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OPOZ/Schoonmaak 2026/4. Leidraad/"/>
    </mc:Choice>
  </mc:AlternateContent>
  <xr:revisionPtr revIDLastSave="2257" documentId="13_ncr:1_{B183499E-F947-4C8C-BB6E-9767C679E1E5}" xr6:coauthVersionLast="47" xr6:coauthVersionMax="47" xr10:uidLastSave="{BB1AF587-8987-4940-873D-641C64CE851F}"/>
  <bookViews>
    <workbookView xWindow="-120" yWindow="-120" windowWidth="29040" windowHeight="15720" tabRatio="848" firstSheet="3" activeTab="12"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Dieptereiniging keuken" sheetId="40"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Glasbewassing!$A$1:$I$144</definedName>
    <definedName name="_xlnm.Print_Area" localSheetId="1">'Legenda Handelingen'!$A$1:$B$136</definedName>
    <definedName name="_xlnm.Print_Area" localSheetId="5">Prestatiefactoren!$A$1:$F$75</definedName>
    <definedName name="_xlnm.Print_Area" localSheetId="11">'Regie en afroep'!$A$1:$I$79</definedName>
    <definedName name="_xlnm.Print_Area" localSheetId="6">'Ruimtestaat'!$A$1:$CD$946</definedName>
    <definedName name="_xlnm.Print_Area" localSheetId="4">Tariefsopbouw!$A$1:$Q$42</definedName>
    <definedName name="_xlnm.Print_Area" localSheetId="12">Totalisatie!$A$1:$O$70</definedName>
    <definedName name="_xlnm.Print_Area" localSheetId="7">Vloeronderhoud!$A$1:$J$135</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L456" i="13" l="1"/>
  <c r="BM456" i="13"/>
  <c r="BN456" i="13"/>
  <c r="BO456" i="13"/>
  <c r="BP456" i="13"/>
  <c r="BQ456" i="13"/>
  <c r="BR456" i="13"/>
  <c r="BS456" i="13"/>
  <c r="BT456" i="13"/>
  <c r="BU456" i="13"/>
  <c r="BV456" i="13"/>
  <c r="BW456" i="13"/>
  <c r="BX456" i="13"/>
  <c r="BY456" i="13"/>
  <c r="BZ456" i="13"/>
  <c r="CA456" i="13"/>
  <c r="CB456" i="13"/>
  <c r="CC456" i="13"/>
  <c r="CD456" i="13"/>
  <c r="BL457" i="13"/>
  <c r="BM457" i="13"/>
  <c r="BN457" i="13"/>
  <c r="BO457" i="13"/>
  <c r="BP457" i="13"/>
  <c r="BQ457" i="13"/>
  <c r="BR457" i="13"/>
  <c r="BS457" i="13"/>
  <c r="BT457" i="13"/>
  <c r="BU457" i="13"/>
  <c r="BV457" i="13"/>
  <c r="BW457" i="13"/>
  <c r="BX457" i="13"/>
  <c r="BY457" i="13"/>
  <c r="BZ457" i="13"/>
  <c r="CA457" i="13"/>
  <c r="CB457" i="13"/>
  <c r="CC457" i="13"/>
  <c r="CD457" i="13"/>
  <c r="BL458" i="13"/>
  <c r="BM458" i="13"/>
  <c r="BN458" i="13"/>
  <c r="BO458" i="13"/>
  <c r="BP458" i="13"/>
  <c r="BQ458" i="13"/>
  <c r="BR458" i="13"/>
  <c r="BS458" i="13"/>
  <c r="BT458" i="13"/>
  <c r="BU458" i="13"/>
  <c r="BV458" i="13"/>
  <c r="BW458" i="13"/>
  <c r="BX458" i="13"/>
  <c r="BY458" i="13"/>
  <c r="BZ458" i="13"/>
  <c r="CA458" i="13"/>
  <c r="CB458" i="13"/>
  <c r="CC458" i="13"/>
  <c r="CD458" i="13"/>
  <c r="BL459" i="13"/>
  <c r="BM459" i="13"/>
  <c r="BN459" i="13"/>
  <c r="BO459" i="13"/>
  <c r="BP459" i="13"/>
  <c r="BQ459" i="13"/>
  <c r="BR459" i="13"/>
  <c r="BS459" i="13"/>
  <c r="BT459" i="13"/>
  <c r="BU459" i="13"/>
  <c r="BV459" i="13"/>
  <c r="BW459" i="13"/>
  <c r="BX459" i="13"/>
  <c r="BY459" i="13"/>
  <c r="BZ459" i="13"/>
  <c r="CA459" i="13"/>
  <c r="CB459" i="13"/>
  <c r="CC459" i="13"/>
  <c r="CD459" i="13"/>
  <c r="BL460" i="13"/>
  <c r="BM460" i="13"/>
  <c r="BN460" i="13"/>
  <c r="BO460" i="13"/>
  <c r="BP460" i="13"/>
  <c r="BQ460" i="13"/>
  <c r="BR460" i="13"/>
  <c r="BS460" i="13"/>
  <c r="BT460" i="13"/>
  <c r="BU460" i="13"/>
  <c r="BV460" i="13"/>
  <c r="BW460" i="13"/>
  <c r="BX460" i="13"/>
  <c r="BY460" i="13"/>
  <c r="BZ460" i="13"/>
  <c r="CA460" i="13"/>
  <c r="CB460" i="13"/>
  <c r="CC460" i="13"/>
  <c r="CD460" i="13"/>
  <c r="BL461" i="13"/>
  <c r="BM461" i="13"/>
  <c r="BN461" i="13"/>
  <c r="BO461" i="13"/>
  <c r="BP461" i="13"/>
  <c r="BQ461" i="13"/>
  <c r="BR461" i="13"/>
  <c r="BS461" i="13"/>
  <c r="BT461" i="13"/>
  <c r="BU461" i="13"/>
  <c r="BV461" i="13"/>
  <c r="BW461" i="13"/>
  <c r="BX461" i="13"/>
  <c r="BY461" i="13"/>
  <c r="BZ461" i="13"/>
  <c r="CA461" i="13"/>
  <c r="CB461" i="13"/>
  <c r="CC461" i="13"/>
  <c r="CD461" i="13"/>
  <c r="BL462" i="13"/>
  <c r="BM462" i="13"/>
  <c r="BN462" i="13"/>
  <c r="BO462" i="13"/>
  <c r="BP462" i="13"/>
  <c r="BQ462" i="13"/>
  <c r="BR462" i="13"/>
  <c r="BS462" i="13"/>
  <c r="BT462" i="13"/>
  <c r="BU462" i="13"/>
  <c r="BV462" i="13"/>
  <c r="BW462" i="13"/>
  <c r="BX462" i="13"/>
  <c r="BY462" i="13"/>
  <c r="BZ462" i="13"/>
  <c r="CA462" i="13"/>
  <c r="CB462" i="13"/>
  <c r="CC462" i="13"/>
  <c r="CD462" i="13"/>
  <c r="BL463" i="13"/>
  <c r="BM463" i="13"/>
  <c r="BN463" i="13"/>
  <c r="BO463" i="13"/>
  <c r="BP463" i="13"/>
  <c r="BQ463" i="13"/>
  <c r="BR463" i="13"/>
  <c r="BS463" i="13"/>
  <c r="BT463" i="13"/>
  <c r="BU463" i="13"/>
  <c r="BV463" i="13"/>
  <c r="BW463" i="13"/>
  <c r="BX463" i="13"/>
  <c r="BY463" i="13"/>
  <c r="BZ463" i="13"/>
  <c r="CA463" i="13"/>
  <c r="CB463" i="13"/>
  <c r="CC463" i="13"/>
  <c r="CD463" i="13"/>
  <c r="BL464" i="13"/>
  <c r="BM464" i="13"/>
  <c r="BN464" i="13"/>
  <c r="BO464" i="13"/>
  <c r="BP464" i="13"/>
  <c r="BQ464" i="13"/>
  <c r="BR464" i="13"/>
  <c r="BS464" i="13"/>
  <c r="BT464" i="13"/>
  <c r="BU464" i="13"/>
  <c r="BV464" i="13"/>
  <c r="BW464" i="13"/>
  <c r="BX464" i="13"/>
  <c r="BY464" i="13"/>
  <c r="BZ464" i="13"/>
  <c r="CA464" i="13"/>
  <c r="CB464" i="13"/>
  <c r="CC464" i="13"/>
  <c r="CD464" i="13"/>
  <c r="BL465" i="13"/>
  <c r="BM465" i="13"/>
  <c r="BN465" i="13"/>
  <c r="BO465" i="13"/>
  <c r="BP465" i="13"/>
  <c r="BQ465" i="13"/>
  <c r="BR465" i="13"/>
  <c r="BS465" i="13"/>
  <c r="BT465" i="13"/>
  <c r="BU465" i="13"/>
  <c r="BV465" i="13"/>
  <c r="BW465" i="13"/>
  <c r="BX465" i="13"/>
  <c r="BY465" i="13"/>
  <c r="BZ465" i="13"/>
  <c r="CA465" i="13"/>
  <c r="CB465" i="13"/>
  <c r="CC465" i="13"/>
  <c r="CD465" i="13"/>
  <c r="BL466" i="13"/>
  <c r="BM466" i="13"/>
  <c r="BN466" i="13"/>
  <c r="BO466" i="13"/>
  <c r="BP466" i="13"/>
  <c r="BQ466" i="13"/>
  <c r="BR466" i="13"/>
  <c r="BS466" i="13"/>
  <c r="BT466" i="13"/>
  <c r="BU466" i="13"/>
  <c r="BV466" i="13"/>
  <c r="BW466" i="13"/>
  <c r="BX466" i="13"/>
  <c r="BY466" i="13"/>
  <c r="BZ466" i="13"/>
  <c r="CA466" i="13"/>
  <c r="CB466" i="13"/>
  <c r="CC466" i="13"/>
  <c r="CD466" i="13"/>
  <c r="BL467" i="13"/>
  <c r="BM467" i="13"/>
  <c r="BN467" i="13"/>
  <c r="BO467" i="13"/>
  <c r="BP467" i="13"/>
  <c r="BQ467" i="13"/>
  <c r="BR467" i="13"/>
  <c r="BS467" i="13"/>
  <c r="BT467" i="13"/>
  <c r="BU467" i="13"/>
  <c r="BV467" i="13"/>
  <c r="BW467" i="13"/>
  <c r="BX467" i="13"/>
  <c r="BY467" i="13"/>
  <c r="BZ467" i="13"/>
  <c r="CA467" i="13"/>
  <c r="CB467" i="13"/>
  <c r="CC467" i="13"/>
  <c r="CD467" i="13"/>
  <c r="BL468" i="13"/>
  <c r="BM468" i="13"/>
  <c r="BN468" i="13"/>
  <c r="BO468" i="13"/>
  <c r="BP468" i="13"/>
  <c r="BQ468" i="13"/>
  <c r="BR468" i="13"/>
  <c r="BS468" i="13"/>
  <c r="BT468" i="13"/>
  <c r="BU468" i="13"/>
  <c r="BV468" i="13"/>
  <c r="BW468" i="13"/>
  <c r="BX468" i="13"/>
  <c r="BY468" i="13"/>
  <c r="BZ468" i="13"/>
  <c r="CA468" i="13"/>
  <c r="CB468" i="13"/>
  <c r="CC468" i="13"/>
  <c r="CD468" i="13"/>
  <c r="BL469" i="13"/>
  <c r="BM469" i="13"/>
  <c r="BN469" i="13"/>
  <c r="BO469" i="13"/>
  <c r="BP469" i="13"/>
  <c r="BQ469" i="13"/>
  <c r="BR469" i="13"/>
  <c r="BS469" i="13"/>
  <c r="BT469" i="13"/>
  <c r="BU469" i="13"/>
  <c r="BV469" i="13"/>
  <c r="BW469" i="13"/>
  <c r="BX469" i="13"/>
  <c r="BY469" i="13"/>
  <c r="BZ469" i="13"/>
  <c r="CA469" i="13"/>
  <c r="CB469" i="13"/>
  <c r="CC469" i="13"/>
  <c r="CD469" i="13"/>
  <c r="BL470" i="13"/>
  <c r="BM470" i="13"/>
  <c r="BN470" i="13"/>
  <c r="BO470" i="13"/>
  <c r="BP470" i="13"/>
  <c r="BQ470" i="13"/>
  <c r="BR470" i="13"/>
  <c r="BS470" i="13"/>
  <c r="BT470" i="13"/>
  <c r="BU470" i="13"/>
  <c r="BV470" i="13"/>
  <c r="BW470" i="13"/>
  <c r="BX470" i="13"/>
  <c r="BY470" i="13"/>
  <c r="BZ470" i="13"/>
  <c r="CA470" i="13"/>
  <c r="CB470" i="13"/>
  <c r="CC470" i="13"/>
  <c r="CD470" i="13"/>
  <c r="BL471" i="13"/>
  <c r="BM471" i="13"/>
  <c r="BN471" i="13"/>
  <c r="BO471" i="13"/>
  <c r="BP471" i="13"/>
  <c r="BQ471" i="13"/>
  <c r="BR471" i="13"/>
  <c r="BS471" i="13"/>
  <c r="BT471" i="13"/>
  <c r="BU471" i="13"/>
  <c r="BV471" i="13"/>
  <c r="BW471" i="13"/>
  <c r="BX471" i="13"/>
  <c r="BY471" i="13"/>
  <c r="BZ471" i="13"/>
  <c r="CA471" i="13"/>
  <c r="CB471" i="13"/>
  <c r="CC471" i="13"/>
  <c r="CD471" i="13"/>
  <c r="BL472" i="13"/>
  <c r="BM472" i="13"/>
  <c r="BN472" i="13"/>
  <c r="BO472" i="13"/>
  <c r="BP472" i="13"/>
  <c r="BQ472" i="13"/>
  <c r="BR472" i="13"/>
  <c r="BS472" i="13"/>
  <c r="BT472" i="13"/>
  <c r="BU472" i="13"/>
  <c r="BV472" i="13"/>
  <c r="BW472" i="13"/>
  <c r="BX472" i="13"/>
  <c r="BY472" i="13"/>
  <c r="BZ472" i="13"/>
  <c r="CA472" i="13"/>
  <c r="CB472" i="13"/>
  <c r="CC472" i="13"/>
  <c r="CD472" i="13"/>
  <c r="BL473" i="13"/>
  <c r="BM473" i="13"/>
  <c r="BN473" i="13"/>
  <c r="BO473" i="13"/>
  <c r="BP473" i="13"/>
  <c r="BQ473" i="13"/>
  <c r="BR473" i="13"/>
  <c r="BS473" i="13"/>
  <c r="BT473" i="13"/>
  <c r="BU473" i="13"/>
  <c r="BV473" i="13"/>
  <c r="BW473" i="13"/>
  <c r="BX473" i="13"/>
  <c r="BY473" i="13"/>
  <c r="BZ473" i="13"/>
  <c r="CA473" i="13"/>
  <c r="CB473" i="13"/>
  <c r="CC473" i="13"/>
  <c r="CD473" i="13"/>
  <c r="BL474" i="13"/>
  <c r="BM474" i="13"/>
  <c r="BN474" i="13"/>
  <c r="BO474" i="13"/>
  <c r="BP474" i="13"/>
  <c r="BQ474" i="13"/>
  <c r="BR474" i="13"/>
  <c r="BS474" i="13"/>
  <c r="BT474" i="13"/>
  <c r="BU474" i="13"/>
  <c r="BV474" i="13"/>
  <c r="BW474" i="13"/>
  <c r="BX474" i="13"/>
  <c r="BY474" i="13"/>
  <c r="BZ474" i="13"/>
  <c r="CA474" i="13"/>
  <c r="CB474" i="13"/>
  <c r="CC474" i="13"/>
  <c r="CD474" i="13"/>
  <c r="BL475" i="13"/>
  <c r="BM475" i="13"/>
  <c r="BN475" i="13"/>
  <c r="BO475" i="13"/>
  <c r="BP475" i="13"/>
  <c r="BQ475" i="13"/>
  <c r="BR475" i="13"/>
  <c r="BS475" i="13"/>
  <c r="BT475" i="13"/>
  <c r="BU475" i="13"/>
  <c r="BV475" i="13"/>
  <c r="BW475" i="13"/>
  <c r="BX475" i="13"/>
  <c r="BY475" i="13"/>
  <c r="BZ475" i="13"/>
  <c r="CA475" i="13"/>
  <c r="CB475" i="13"/>
  <c r="CC475" i="13"/>
  <c r="CD475" i="13"/>
  <c r="BL476" i="13"/>
  <c r="BM476" i="13"/>
  <c r="BN476" i="13"/>
  <c r="BO476" i="13"/>
  <c r="BP476" i="13"/>
  <c r="BQ476" i="13"/>
  <c r="BR476" i="13"/>
  <c r="BS476" i="13"/>
  <c r="BT476" i="13"/>
  <c r="BU476" i="13"/>
  <c r="BV476" i="13"/>
  <c r="BW476" i="13"/>
  <c r="BX476" i="13"/>
  <c r="BY476" i="13"/>
  <c r="BZ476" i="13"/>
  <c r="CA476" i="13"/>
  <c r="CB476" i="13"/>
  <c r="CC476" i="13"/>
  <c r="CD476" i="13"/>
  <c r="BL477" i="13"/>
  <c r="BM477" i="13"/>
  <c r="BN477" i="13"/>
  <c r="BO477" i="13"/>
  <c r="BP477" i="13"/>
  <c r="BQ477" i="13"/>
  <c r="BR477" i="13"/>
  <c r="BS477" i="13"/>
  <c r="BT477" i="13"/>
  <c r="BU477" i="13"/>
  <c r="BV477" i="13"/>
  <c r="BW477" i="13"/>
  <c r="BX477" i="13"/>
  <c r="BY477" i="13"/>
  <c r="BZ477" i="13"/>
  <c r="CA477" i="13"/>
  <c r="CB477" i="13"/>
  <c r="CC477" i="13"/>
  <c r="CD477" i="13"/>
  <c r="BL478" i="13"/>
  <c r="BM478" i="13"/>
  <c r="BN478" i="13"/>
  <c r="BO478" i="13"/>
  <c r="BP478" i="13"/>
  <c r="BQ478" i="13"/>
  <c r="BR478" i="13"/>
  <c r="BS478" i="13"/>
  <c r="BT478" i="13"/>
  <c r="BU478" i="13"/>
  <c r="BV478" i="13"/>
  <c r="BW478" i="13"/>
  <c r="BX478" i="13"/>
  <c r="BY478" i="13"/>
  <c r="BZ478" i="13"/>
  <c r="CA478" i="13"/>
  <c r="CB478" i="13"/>
  <c r="CC478" i="13"/>
  <c r="CD478" i="13"/>
  <c r="BL479" i="13"/>
  <c r="BM479" i="13"/>
  <c r="BN479" i="13"/>
  <c r="BO479" i="13"/>
  <c r="BP479" i="13"/>
  <c r="BQ479" i="13"/>
  <c r="BR479" i="13"/>
  <c r="BS479" i="13"/>
  <c r="BT479" i="13"/>
  <c r="BU479" i="13"/>
  <c r="BV479" i="13"/>
  <c r="BW479" i="13"/>
  <c r="BX479" i="13"/>
  <c r="BY479" i="13"/>
  <c r="BZ479" i="13"/>
  <c r="CA479" i="13"/>
  <c r="CB479" i="13"/>
  <c r="CC479" i="13"/>
  <c r="CD479" i="13"/>
  <c r="BL480" i="13"/>
  <c r="BM480" i="13"/>
  <c r="BN480" i="13"/>
  <c r="BO480" i="13"/>
  <c r="BP480" i="13"/>
  <c r="BQ480" i="13"/>
  <c r="BR480" i="13"/>
  <c r="BS480" i="13"/>
  <c r="BT480" i="13"/>
  <c r="BU480" i="13"/>
  <c r="BV480" i="13"/>
  <c r="BW480" i="13"/>
  <c r="BX480" i="13"/>
  <c r="BY480" i="13"/>
  <c r="BZ480" i="13"/>
  <c r="CA480" i="13"/>
  <c r="CB480" i="13"/>
  <c r="CC480" i="13"/>
  <c r="CD480" i="13"/>
  <c r="BL481" i="13"/>
  <c r="BM481" i="13"/>
  <c r="BN481" i="13"/>
  <c r="BO481" i="13"/>
  <c r="BP481" i="13"/>
  <c r="BQ481" i="13"/>
  <c r="BR481" i="13"/>
  <c r="BS481" i="13"/>
  <c r="BT481" i="13"/>
  <c r="BU481" i="13"/>
  <c r="BV481" i="13"/>
  <c r="BW481" i="13"/>
  <c r="BX481" i="13"/>
  <c r="BY481" i="13"/>
  <c r="BZ481" i="13"/>
  <c r="CA481" i="13"/>
  <c r="CB481" i="13"/>
  <c r="CC481" i="13"/>
  <c r="CD481" i="13"/>
  <c r="BL482" i="13"/>
  <c r="BM482" i="13"/>
  <c r="BN482" i="13"/>
  <c r="BO482" i="13"/>
  <c r="BP482" i="13"/>
  <c r="BQ482" i="13"/>
  <c r="BR482" i="13"/>
  <c r="BS482" i="13"/>
  <c r="BT482" i="13"/>
  <c r="BU482" i="13"/>
  <c r="BV482" i="13"/>
  <c r="BW482" i="13"/>
  <c r="BX482" i="13"/>
  <c r="BY482" i="13"/>
  <c r="BZ482" i="13"/>
  <c r="CA482" i="13"/>
  <c r="CB482" i="13"/>
  <c r="CC482" i="13"/>
  <c r="CD482" i="13"/>
  <c r="BL483" i="13"/>
  <c r="BM483" i="13"/>
  <c r="BN483" i="13"/>
  <c r="BO483" i="13"/>
  <c r="BP483" i="13"/>
  <c r="BQ483" i="13"/>
  <c r="BR483" i="13"/>
  <c r="BS483" i="13"/>
  <c r="BT483" i="13"/>
  <c r="BU483" i="13"/>
  <c r="BV483" i="13"/>
  <c r="BW483" i="13"/>
  <c r="BX483" i="13"/>
  <c r="BY483" i="13"/>
  <c r="BZ483" i="13"/>
  <c r="CA483" i="13"/>
  <c r="CB483" i="13"/>
  <c r="CC483" i="13"/>
  <c r="CD483" i="13"/>
  <c r="BL484" i="13"/>
  <c r="BM484" i="13"/>
  <c r="BN484" i="13"/>
  <c r="BO484" i="13"/>
  <c r="BP484" i="13"/>
  <c r="BQ484" i="13"/>
  <c r="BR484" i="13"/>
  <c r="BS484" i="13"/>
  <c r="BT484" i="13"/>
  <c r="BU484" i="13"/>
  <c r="BV484" i="13"/>
  <c r="BW484" i="13"/>
  <c r="BX484" i="13"/>
  <c r="BY484" i="13"/>
  <c r="BZ484" i="13"/>
  <c r="CA484" i="13"/>
  <c r="CB484" i="13"/>
  <c r="CC484" i="13"/>
  <c r="CD484" i="13"/>
  <c r="BL485" i="13"/>
  <c r="BM485" i="13"/>
  <c r="BN485" i="13"/>
  <c r="BO485" i="13"/>
  <c r="BP485" i="13"/>
  <c r="BQ485" i="13"/>
  <c r="BR485" i="13"/>
  <c r="BS485" i="13"/>
  <c r="BT485" i="13"/>
  <c r="BU485" i="13"/>
  <c r="BV485" i="13"/>
  <c r="BW485" i="13"/>
  <c r="BX485" i="13"/>
  <c r="BY485" i="13"/>
  <c r="BZ485" i="13"/>
  <c r="CA485" i="13"/>
  <c r="CB485" i="13"/>
  <c r="CC485" i="13"/>
  <c r="CD485" i="13"/>
  <c r="BL486" i="13"/>
  <c r="BM486" i="13"/>
  <c r="BN486" i="13"/>
  <c r="BO486" i="13"/>
  <c r="BP486" i="13"/>
  <c r="BQ486" i="13"/>
  <c r="BR486" i="13"/>
  <c r="BS486" i="13"/>
  <c r="BT486" i="13"/>
  <c r="BU486" i="13"/>
  <c r="BV486" i="13"/>
  <c r="BW486" i="13"/>
  <c r="BX486" i="13"/>
  <c r="BY486" i="13"/>
  <c r="BZ486" i="13"/>
  <c r="CA486" i="13"/>
  <c r="CB486" i="13"/>
  <c r="CC486" i="13"/>
  <c r="CD486" i="13"/>
  <c r="BL487" i="13"/>
  <c r="BM487" i="13"/>
  <c r="BN487" i="13"/>
  <c r="BO487" i="13"/>
  <c r="BP487" i="13"/>
  <c r="BQ487" i="13"/>
  <c r="BR487" i="13"/>
  <c r="BS487" i="13"/>
  <c r="BT487" i="13"/>
  <c r="BU487" i="13"/>
  <c r="BV487" i="13"/>
  <c r="BW487" i="13"/>
  <c r="BX487" i="13"/>
  <c r="BY487" i="13"/>
  <c r="BZ487" i="13"/>
  <c r="CA487" i="13"/>
  <c r="CB487" i="13"/>
  <c r="CC487" i="13"/>
  <c r="CD487" i="13"/>
  <c r="BL488" i="13"/>
  <c r="BM488" i="13"/>
  <c r="BN488" i="13"/>
  <c r="BO488" i="13"/>
  <c r="BP488" i="13"/>
  <c r="BQ488" i="13"/>
  <c r="BR488" i="13"/>
  <c r="BS488" i="13"/>
  <c r="BT488" i="13"/>
  <c r="BU488" i="13"/>
  <c r="BV488" i="13"/>
  <c r="BW488" i="13"/>
  <c r="BX488" i="13"/>
  <c r="BY488" i="13"/>
  <c r="BZ488" i="13"/>
  <c r="CA488" i="13"/>
  <c r="CB488" i="13"/>
  <c r="CC488" i="13"/>
  <c r="CD488" i="13"/>
  <c r="BL489" i="13"/>
  <c r="BM489" i="13"/>
  <c r="BN489" i="13"/>
  <c r="BO489" i="13"/>
  <c r="BP489" i="13"/>
  <c r="BQ489" i="13"/>
  <c r="BR489" i="13"/>
  <c r="BS489" i="13"/>
  <c r="BT489" i="13"/>
  <c r="BU489" i="13"/>
  <c r="BV489" i="13"/>
  <c r="BW489" i="13"/>
  <c r="BX489" i="13"/>
  <c r="BY489" i="13"/>
  <c r="BZ489" i="13"/>
  <c r="CA489" i="13"/>
  <c r="CB489" i="13"/>
  <c r="CC489" i="13"/>
  <c r="CD489" i="13"/>
  <c r="BL490" i="13"/>
  <c r="BM490" i="13"/>
  <c r="BN490" i="13"/>
  <c r="BO490" i="13"/>
  <c r="BP490" i="13"/>
  <c r="BQ490" i="13"/>
  <c r="BR490" i="13"/>
  <c r="BS490" i="13"/>
  <c r="BT490" i="13"/>
  <c r="BU490" i="13"/>
  <c r="BV490" i="13"/>
  <c r="BW490" i="13"/>
  <c r="BX490" i="13"/>
  <c r="BY490" i="13"/>
  <c r="BZ490" i="13"/>
  <c r="CA490" i="13"/>
  <c r="CB490" i="13"/>
  <c r="CC490" i="13"/>
  <c r="CD490" i="13"/>
  <c r="BL491" i="13"/>
  <c r="BM491" i="13"/>
  <c r="BN491" i="13"/>
  <c r="BO491" i="13"/>
  <c r="BP491" i="13"/>
  <c r="BQ491" i="13"/>
  <c r="BR491" i="13"/>
  <c r="BS491" i="13"/>
  <c r="BT491" i="13"/>
  <c r="BU491" i="13"/>
  <c r="BV491" i="13"/>
  <c r="BW491" i="13"/>
  <c r="BX491" i="13"/>
  <c r="BY491" i="13"/>
  <c r="BZ491" i="13"/>
  <c r="CA491" i="13"/>
  <c r="CB491" i="13"/>
  <c r="CC491" i="13"/>
  <c r="CD491" i="13"/>
  <c r="BL492" i="13"/>
  <c r="BM492" i="13"/>
  <c r="BN492" i="13"/>
  <c r="BO492" i="13"/>
  <c r="BP492" i="13"/>
  <c r="BQ492" i="13"/>
  <c r="BR492" i="13"/>
  <c r="BS492" i="13"/>
  <c r="BT492" i="13"/>
  <c r="BU492" i="13"/>
  <c r="BV492" i="13"/>
  <c r="BW492" i="13"/>
  <c r="BX492" i="13"/>
  <c r="BY492" i="13"/>
  <c r="BZ492" i="13"/>
  <c r="CA492" i="13"/>
  <c r="CB492" i="13"/>
  <c r="CC492" i="13"/>
  <c r="CD492" i="13"/>
  <c r="BL493" i="13"/>
  <c r="BM493" i="13"/>
  <c r="BN493" i="13"/>
  <c r="BO493" i="13"/>
  <c r="BP493" i="13"/>
  <c r="BQ493" i="13"/>
  <c r="BR493" i="13"/>
  <c r="BS493" i="13"/>
  <c r="BT493" i="13"/>
  <c r="BU493" i="13"/>
  <c r="BV493" i="13"/>
  <c r="BW493" i="13"/>
  <c r="BX493" i="13"/>
  <c r="BY493" i="13"/>
  <c r="BZ493" i="13"/>
  <c r="CA493" i="13"/>
  <c r="CB493" i="13"/>
  <c r="CC493" i="13"/>
  <c r="CD493" i="13"/>
  <c r="BL494" i="13"/>
  <c r="BM494" i="13"/>
  <c r="BN494" i="13"/>
  <c r="BO494" i="13"/>
  <c r="BP494" i="13"/>
  <c r="BQ494" i="13"/>
  <c r="BR494" i="13"/>
  <c r="BS494" i="13"/>
  <c r="BT494" i="13"/>
  <c r="BU494" i="13"/>
  <c r="BV494" i="13"/>
  <c r="BW494" i="13"/>
  <c r="BX494" i="13"/>
  <c r="BY494" i="13"/>
  <c r="BZ494" i="13"/>
  <c r="CA494" i="13"/>
  <c r="CB494" i="13"/>
  <c r="CC494" i="13"/>
  <c r="CD494" i="13"/>
  <c r="BL495" i="13"/>
  <c r="BM495" i="13"/>
  <c r="BN495" i="13"/>
  <c r="BO495" i="13"/>
  <c r="BP495" i="13"/>
  <c r="BQ495" i="13"/>
  <c r="BR495" i="13"/>
  <c r="BS495" i="13"/>
  <c r="BT495" i="13"/>
  <c r="BU495" i="13"/>
  <c r="BV495" i="13"/>
  <c r="BW495" i="13"/>
  <c r="BX495" i="13"/>
  <c r="BY495" i="13"/>
  <c r="BZ495" i="13"/>
  <c r="CA495" i="13"/>
  <c r="CB495" i="13"/>
  <c r="CC495" i="13"/>
  <c r="CD495" i="13"/>
  <c r="BL496" i="13"/>
  <c r="BM496" i="13"/>
  <c r="BN496" i="13"/>
  <c r="BO496" i="13"/>
  <c r="BP496" i="13"/>
  <c r="BQ496" i="13"/>
  <c r="BR496" i="13"/>
  <c r="BS496" i="13"/>
  <c r="BT496" i="13"/>
  <c r="BU496" i="13"/>
  <c r="BV496" i="13"/>
  <c r="BW496" i="13"/>
  <c r="BX496" i="13"/>
  <c r="BY496" i="13"/>
  <c r="BZ496" i="13"/>
  <c r="CA496" i="13"/>
  <c r="CB496" i="13"/>
  <c r="CC496" i="13"/>
  <c r="CD496" i="13"/>
  <c r="BL497" i="13"/>
  <c r="BM497" i="13"/>
  <c r="BN497" i="13"/>
  <c r="BO497" i="13"/>
  <c r="BP497" i="13"/>
  <c r="BQ497" i="13"/>
  <c r="BR497" i="13"/>
  <c r="BS497" i="13"/>
  <c r="BT497" i="13"/>
  <c r="BU497" i="13"/>
  <c r="BV497" i="13"/>
  <c r="BW497" i="13"/>
  <c r="BX497" i="13"/>
  <c r="BY497" i="13"/>
  <c r="BZ497" i="13"/>
  <c r="CA497" i="13"/>
  <c r="CB497" i="13"/>
  <c r="CC497" i="13"/>
  <c r="CD497" i="13"/>
  <c r="BL498" i="13"/>
  <c r="BM498" i="13"/>
  <c r="BN498" i="13"/>
  <c r="BO498" i="13"/>
  <c r="BP498" i="13"/>
  <c r="BQ498" i="13"/>
  <c r="BR498" i="13"/>
  <c r="BS498" i="13"/>
  <c r="BT498" i="13"/>
  <c r="BU498" i="13"/>
  <c r="BV498" i="13"/>
  <c r="BW498" i="13"/>
  <c r="BX498" i="13"/>
  <c r="BY498" i="13"/>
  <c r="BZ498" i="13"/>
  <c r="CA498" i="13"/>
  <c r="CB498" i="13"/>
  <c r="CC498" i="13"/>
  <c r="CD498" i="13"/>
  <c r="BL499" i="13"/>
  <c r="BM499" i="13"/>
  <c r="BN499" i="13"/>
  <c r="BO499" i="13"/>
  <c r="BP499" i="13"/>
  <c r="BQ499" i="13"/>
  <c r="BR499" i="13"/>
  <c r="BS499" i="13"/>
  <c r="BT499" i="13"/>
  <c r="BU499" i="13"/>
  <c r="BV499" i="13"/>
  <c r="BW499" i="13"/>
  <c r="BX499" i="13"/>
  <c r="BY499" i="13"/>
  <c r="BZ499" i="13"/>
  <c r="CA499" i="13"/>
  <c r="CB499" i="13"/>
  <c r="CC499" i="13"/>
  <c r="CD499" i="13"/>
  <c r="BL500" i="13"/>
  <c r="BM500" i="13"/>
  <c r="BN500" i="13"/>
  <c r="BO500" i="13"/>
  <c r="BP500" i="13"/>
  <c r="BQ500" i="13"/>
  <c r="BR500" i="13"/>
  <c r="BS500" i="13"/>
  <c r="BT500" i="13"/>
  <c r="BU500" i="13"/>
  <c r="BV500" i="13"/>
  <c r="BW500" i="13"/>
  <c r="BX500" i="13"/>
  <c r="BY500" i="13"/>
  <c r="BZ500" i="13"/>
  <c r="CA500" i="13"/>
  <c r="CB500" i="13"/>
  <c r="CC500" i="13"/>
  <c r="CD500" i="13"/>
  <c r="BL501" i="13"/>
  <c r="BM501" i="13"/>
  <c r="BN501" i="13"/>
  <c r="BO501" i="13"/>
  <c r="BP501" i="13"/>
  <c r="BQ501" i="13"/>
  <c r="BR501" i="13"/>
  <c r="BS501" i="13"/>
  <c r="BT501" i="13"/>
  <c r="BU501" i="13"/>
  <c r="BV501" i="13"/>
  <c r="BW501" i="13"/>
  <c r="BX501" i="13"/>
  <c r="BY501" i="13"/>
  <c r="BZ501" i="13"/>
  <c r="CA501" i="13"/>
  <c r="CB501" i="13"/>
  <c r="CC501" i="13"/>
  <c r="CD501" i="13"/>
  <c r="BL502" i="13"/>
  <c r="BM502" i="13"/>
  <c r="BN502" i="13"/>
  <c r="BO502" i="13"/>
  <c r="BP502" i="13"/>
  <c r="BQ502" i="13"/>
  <c r="BR502" i="13"/>
  <c r="BS502" i="13"/>
  <c r="BT502" i="13"/>
  <c r="BU502" i="13"/>
  <c r="BV502" i="13"/>
  <c r="BW502" i="13"/>
  <c r="BX502" i="13"/>
  <c r="BY502" i="13"/>
  <c r="BZ502" i="13"/>
  <c r="CA502" i="13"/>
  <c r="CB502" i="13"/>
  <c r="CC502" i="13"/>
  <c r="CD502" i="13"/>
  <c r="BL503" i="13"/>
  <c r="BM503" i="13"/>
  <c r="BN503" i="13"/>
  <c r="BO503" i="13"/>
  <c r="BP503" i="13"/>
  <c r="BQ503" i="13"/>
  <c r="BR503" i="13"/>
  <c r="BS503" i="13"/>
  <c r="BT503" i="13"/>
  <c r="BU503" i="13"/>
  <c r="BV503" i="13"/>
  <c r="BW503" i="13"/>
  <c r="BX503" i="13"/>
  <c r="BY503" i="13"/>
  <c r="BZ503" i="13"/>
  <c r="CA503" i="13"/>
  <c r="CB503" i="13"/>
  <c r="CC503" i="13"/>
  <c r="CD503" i="13"/>
  <c r="BL504" i="13"/>
  <c r="BM504" i="13"/>
  <c r="BN504" i="13"/>
  <c r="BO504" i="13"/>
  <c r="BP504" i="13"/>
  <c r="BQ504" i="13"/>
  <c r="BR504" i="13"/>
  <c r="BS504" i="13"/>
  <c r="BT504" i="13"/>
  <c r="BU504" i="13"/>
  <c r="BV504" i="13"/>
  <c r="BW504" i="13"/>
  <c r="BX504" i="13"/>
  <c r="BY504" i="13"/>
  <c r="BZ504" i="13"/>
  <c r="CA504" i="13"/>
  <c r="CB504" i="13"/>
  <c r="CC504" i="13"/>
  <c r="CD504" i="13"/>
  <c r="BL505" i="13"/>
  <c r="BM505" i="13"/>
  <c r="BN505" i="13"/>
  <c r="BO505" i="13"/>
  <c r="BP505" i="13"/>
  <c r="BQ505" i="13"/>
  <c r="BR505" i="13"/>
  <c r="BS505" i="13"/>
  <c r="BT505" i="13"/>
  <c r="BU505" i="13"/>
  <c r="BV505" i="13"/>
  <c r="BW505" i="13"/>
  <c r="BX505" i="13"/>
  <c r="BY505" i="13"/>
  <c r="BZ505" i="13"/>
  <c r="CA505" i="13"/>
  <c r="CB505" i="13"/>
  <c r="CC505" i="13"/>
  <c r="CD505" i="13"/>
  <c r="BL506" i="13"/>
  <c r="BM506" i="13"/>
  <c r="BN506" i="13"/>
  <c r="BO506" i="13"/>
  <c r="BP506" i="13"/>
  <c r="BQ506" i="13"/>
  <c r="BR506" i="13"/>
  <c r="BS506" i="13"/>
  <c r="BT506" i="13"/>
  <c r="BU506" i="13"/>
  <c r="BV506" i="13"/>
  <c r="BW506" i="13"/>
  <c r="BX506" i="13"/>
  <c r="BY506" i="13"/>
  <c r="BZ506" i="13"/>
  <c r="CA506" i="13"/>
  <c r="CB506" i="13"/>
  <c r="CC506" i="13"/>
  <c r="CD506" i="13"/>
  <c r="BL507" i="13"/>
  <c r="BM507" i="13"/>
  <c r="BN507" i="13"/>
  <c r="BO507" i="13"/>
  <c r="BP507" i="13"/>
  <c r="BQ507" i="13"/>
  <c r="BR507" i="13"/>
  <c r="BS507" i="13"/>
  <c r="BT507" i="13"/>
  <c r="BU507" i="13"/>
  <c r="BV507" i="13"/>
  <c r="BW507" i="13"/>
  <c r="BX507" i="13"/>
  <c r="BY507" i="13"/>
  <c r="BZ507" i="13"/>
  <c r="CA507" i="13"/>
  <c r="CB507" i="13"/>
  <c r="CC507" i="13"/>
  <c r="CD507" i="13"/>
  <c r="BL508" i="13"/>
  <c r="BM508" i="13"/>
  <c r="BN508" i="13"/>
  <c r="BO508" i="13"/>
  <c r="BP508" i="13"/>
  <c r="BQ508" i="13"/>
  <c r="BR508" i="13"/>
  <c r="BS508" i="13"/>
  <c r="BT508" i="13"/>
  <c r="BU508" i="13"/>
  <c r="BV508" i="13"/>
  <c r="BW508" i="13"/>
  <c r="BX508" i="13"/>
  <c r="BY508" i="13"/>
  <c r="BZ508" i="13"/>
  <c r="CA508" i="13"/>
  <c r="CB508" i="13"/>
  <c r="CC508" i="13"/>
  <c r="CD508" i="13"/>
  <c r="BL509" i="13"/>
  <c r="BM509" i="13"/>
  <c r="BN509" i="13"/>
  <c r="BO509" i="13"/>
  <c r="BP509" i="13"/>
  <c r="BQ509" i="13"/>
  <c r="BR509" i="13"/>
  <c r="BS509" i="13"/>
  <c r="BT509" i="13"/>
  <c r="BU509" i="13"/>
  <c r="BV509" i="13"/>
  <c r="BW509" i="13"/>
  <c r="BX509" i="13"/>
  <c r="BY509" i="13"/>
  <c r="BZ509" i="13"/>
  <c r="CA509" i="13"/>
  <c r="CB509" i="13"/>
  <c r="CC509" i="13"/>
  <c r="CD509" i="13"/>
  <c r="BL510" i="13"/>
  <c r="BM510" i="13"/>
  <c r="BN510" i="13"/>
  <c r="BO510" i="13"/>
  <c r="BP510" i="13"/>
  <c r="BQ510" i="13"/>
  <c r="BR510" i="13"/>
  <c r="BS510" i="13"/>
  <c r="BT510" i="13"/>
  <c r="BU510" i="13"/>
  <c r="BV510" i="13"/>
  <c r="BW510" i="13"/>
  <c r="BX510" i="13"/>
  <c r="BY510" i="13"/>
  <c r="BZ510" i="13"/>
  <c r="CA510" i="13"/>
  <c r="CB510" i="13"/>
  <c r="CC510" i="13"/>
  <c r="CD510" i="13"/>
  <c r="BL511" i="13"/>
  <c r="BM511" i="13"/>
  <c r="BN511" i="13"/>
  <c r="BO511" i="13"/>
  <c r="BP511" i="13"/>
  <c r="BQ511" i="13"/>
  <c r="BR511" i="13"/>
  <c r="BS511" i="13"/>
  <c r="BT511" i="13"/>
  <c r="BU511" i="13"/>
  <c r="BV511" i="13"/>
  <c r="BW511" i="13"/>
  <c r="BX511" i="13"/>
  <c r="BY511" i="13"/>
  <c r="BZ511" i="13"/>
  <c r="CA511" i="13"/>
  <c r="CB511" i="13"/>
  <c r="CC511" i="13"/>
  <c r="CD511" i="13"/>
  <c r="BL512" i="13"/>
  <c r="BM512" i="13"/>
  <c r="BN512" i="13"/>
  <c r="BO512" i="13"/>
  <c r="BP512" i="13"/>
  <c r="BQ512" i="13"/>
  <c r="BR512" i="13"/>
  <c r="BS512" i="13"/>
  <c r="BT512" i="13"/>
  <c r="BU512" i="13"/>
  <c r="BV512" i="13"/>
  <c r="BW512" i="13"/>
  <c r="BX512" i="13"/>
  <c r="BY512" i="13"/>
  <c r="BZ512" i="13"/>
  <c r="CA512" i="13"/>
  <c r="CB512" i="13"/>
  <c r="CC512" i="13"/>
  <c r="CD512" i="13"/>
  <c r="BL513" i="13"/>
  <c r="BM513" i="13"/>
  <c r="BN513" i="13"/>
  <c r="BO513" i="13"/>
  <c r="BP513" i="13"/>
  <c r="BQ513" i="13"/>
  <c r="BR513" i="13"/>
  <c r="BS513" i="13"/>
  <c r="BT513" i="13"/>
  <c r="BU513" i="13"/>
  <c r="BV513" i="13"/>
  <c r="BW513" i="13"/>
  <c r="BX513" i="13"/>
  <c r="BY513" i="13"/>
  <c r="BZ513" i="13"/>
  <c r="CA513" i="13"/>
  <c r="CB513" i="13"/>
  <c r="CC513" i="13"/>
  <c r="CD513" i="13"/>
  <c r="BL514" i="13"/>
  <c r="BM514" i="13"/>
  <c r="BN514" i="13"/>
  <c r="BO514" i="13"/>
  <c r="BP514" i="13"/>
  <c r="BQ514" i="13"/>
  <c r="BR514" i="13"/>
  <c r="BS514" i="13"/>
  <c r="BT514" i="13"/>
  <c r="BU514" i="13"/>
  <c r="BV514" i="13"/>
  <c r="BW514" i="13"/>
  <c r="BX514" i="13"/>
  <c r="BY514" i="13"/>
  <c r="BZ514" i="13"/>
  <c r="CA514" i="13"/>
  <c r="CB514" i="13"/>
  <c r="CC514" i="13"/>
  <c r="CD514" i="13"/>
  <c r="BL515" i="13"/>
  <c r="BM515" i="13"/>
  <c r="BN515" i="13"/>
  <c r="BO515" i="13"/>
  <c r="BP515" i="13"/>
  <c r="BQ515" i="13"/>
  <c r="BR515" i="13"/>
  <c r="BS515" i="13"/>
  <c r="BT515" i="13"/>
  <c r="BU515" i="13"/>
  <c r="BV515" i="13"/>
  <c r="BW515" i="13"/>
  <c r="BX515" i="13"/>
  <c r="BY515" i="13"/>
  <c r="BZ515" i="13"/>
  <c r="CA515" i="13"/>
  <c r="CB515" i="13"/>
  <c r="CC515" i="13"/>
  <c r="CD515" i="13"/>
  <c r="BL516" i="13"/>
  <c r="BM516" i="13"/>
  <c r="BN516" i="13"/>
  <c r="BO516" i="13"/>
  <c r="BP516" i="13"/>
  <c r="BQ516" i="13"/>
  <c r="BR516" i="13"/>
  <c r="BS516" i="13"/>
  <c r="BT516" i="13"/>
  <c r="BU516" i="13"/>
  <c r="BV516" i="13"/>
  <c r="BW516" i="13"/>
  <c r="BX516" i="13"/>
  <c r="BY516" i="13"/>
  <c r="BZ516" i="13"/>
  <c r="CA516" i="13"/>
  <c r="CB516" i="13"/>
  <c r="CC516" i="13"/>
  <c r="CD516" i="13"/>
  <c r="BL517" i="13"/>
  <c r="BM517" i="13"/>
  <c r="BN517" i="13"/>
  <c r="BO517" i="13"/>
  <c r="BP517" i="13"/>
  <c r="BQ517" i="13"/>
  <c r="BR517" i="13"/>
  <c r="BS517" i="13"/>
  <c r="BT517" i="13"/>
  <c r="BU517" i="13"/>
  <c r="BV517" i="13"/>
  <c r="BW517" i="13"/>
  <c r="BX517" i="13"/>
  <c r="BY517" i="13"/>
  <c r="BZ517" i="13"/>
  <c r="CA517" i="13"/>
  <c r="CB517" i="13"/>
  <c r="CC517" i="13"/>
  <c r="CD517" i="13"/>
  <c r="BL518" i="13"/>
  <c r="BM518" i="13"/>
  <c r="BN518" i="13"/>
  <c r="BO518" i="13"/>
  <c r="BP518" i="13"/>
  <c r="BQ518" i="13"/>
  <c r="BR518" i="13"/>
  <c r="BS518" i="13"/>
  <c r="BT518" i="13"/>
  <c r="BU518" i="13"/>
  <c r="BV518" i="13"/>
  <c r="BW518" i="13"/>
  <c r="BX518" i="13"/>
  <c r="BY518" i="13"/>
  <c r="BZ518" i="13"/>
  <c r="CA518" i="13"/>
  <c r="CB518" i="13"/>
  <c r="CC518" i="13"/>
  <c r="CD518" i="13"/>
  <c r="BL519" i="13"/>
  <c r="BM519" i="13"/>
  <c r="BN519" i="13"/>
  <c r="BO519" i="13"/>
  <c r="BP519" i="13"/>
  <c r="BQ519" i="13"/>
  <c r="BR519" i="13"/>
  <c r="BS519" i="13"/>
  <c r="BT519" i="13"/>
  <c r="BU519" i="13"/>
  <c r="BV519" i="13"/>
  <c r="BW519" i="13"/>
  <c r="BX519" i="13"/>
  <c r="BY519" i="13"/>
  <c r="BZ519" i="13"/>
  <c r="CA519" i="13"/>
  <c r="CB519" i="13"/>
  <c r="CC519" i="13"/>
  <c r="CD519" i="13"/>
  <c r="BL520" i="13"/>
  <c r="BM520" i="13"/>
  <c r="BN520" i="13"/>
  <c r="BO520" i="13"/>
  <c r="BP520" i="13"/>
  <c r="BQ520" i="13"/>
  <c r="BR520" i="13"/>
  <c r="BS520" i="13"/>
  <c r="BT520" i="13"/>
  <c r="BU520" i="13"/>
  <c r="BV520" i="13"/>
  <c r="BW520" i="13"/>
  <c r="BX520" i="13"/>
  <c r="BY520" i="13"/>
  <c r="BZ520" i="13"/>
  <c r="CA520" i="13"/>
  <c r="CB520" i="13"/>
  <c r="CC520" i="13"/>
  <c r="CD520" i="13"/>
  <c r="BL521" i="13"/>
  <c r="BM521" i="13"/>
  <c r="BN521" i="13"/>
  <c r="BO521" i="13"/>
  <c r="BP521" i="13"/>
  <c r="BQ521" i="13"/>
  <c r="BR521" i="13"/>
  <c r="BS521" i="13"/>
  <c r="BT521" i="13"/>
  <c r="BU521" i="13"/>
  <c r="BV521" i="13"/>
  <c r="BW521" i="13"/>
  <c r="BX521" i="13"/>
  <c r="BY521" i="13"/>
  <c r="BZ521" i="13"/>
  <c r="CA521" i="13"/>
  <c r="CB521" i="13"/>
  <c r="CC521" i="13"/>
  <c r="CD521" i="13"/>
  <c r="BL522" i="13"/>
  <c r="BM522" i="13"/>
  <c r="BN522" i="13"/>
  <c r="BO522" i="13"/>
  <c r="BP522" i="13"/>
  <c r="BQ522" i="13"/>
  <c r="BR522" i="13"/>
  <c r="BS522" i="13"/>
  <c r="BT522" i="13"/>
  <c r="BU522" i="13"/>
  <c r="BV522" i="13"/>
  <c r="BW522" i="13"/>
  <c r="BX522" i="13"/>
  <c r="BY522" i="13"/>
  <c r="BZ522" i="13"/>
  <c r="CA522" i="13"/>
  <c r="CB522" i="13"/>
  <c r="CC522" i="13"/>
  <c r="CD522" i="13"/>
  <c r="BL523" i="13"/>
  <c r="BM523" i="13"/>
  <c r="BN523" i="13"/>
  <c r="BO523" i="13"/>
  <c r="BP523" i="13"/>
  <c r="BQ523" i="13"/>
  <c r="BR523" i="13"/>
  <c r="BS523" i="13"/>
  <c r="BT523" i="13"/>
  <c r="BU523" i="13"/>
  <c r="BV523" i="13"/>
  <c r="BW523" i="13"/>
  <c r="BX523" i="13"/>
  <c r="BY523" i="13"/>
  <c r="BZ523" i="13"/>
  <c r="CA523" i="13"/>
  <c r="CB523" i="13"/>
  <c r="CC523" i="13"/>
  <c r="CD523" i="13"/>
  <c r="BL524" i="13"/>
  <c r="BM524" i="13"/>
  <c r="BN524" i="13"/>
  <c r="BO524" i="13"/>
  <c r="BP524" i="13"/>
  <c r="BQ524" i="13"/>
  <c r="BR524" i="13"/>
  <c r="BS524" i="13"/>
  <c r="BT524" i="13"/>
  <c r="BU524" i="13"/>
  <c r="BV524" i="13"/>
  <c r="BW524" i="13"/>
  <c r="BX524" i="13"/>
  <c r="BY524" i="13"/>
  <c r="BZ524" i="13"/>
  <c r="CA524" i="13"/>
  <c r="CB524" i="13"/>
  <c r="CC524" i="13"/>
  <c r="CD524" i="13"/>
  <c r="BL525" i="13"/>
  <c r="BM525" i="13"/>
  <c r="BN525" i="13"/>
  <c r="BO525" i="13"/>
  <c r="BP525" i="13"/>
  <c r="BQ525" i="13"/>
  <c r="BR525" i="13"/>
  <c r="BS525" i="13"/>
  <c r="BT525" i="13"/>
  <c r="BU525" i="13"/>
  <c r="BV525" i="13"/>
  <c r="BW525" i="13"/>
  <c r="BX525" i="13"/>
  <c r="BY525" i="13"/>
  <c r="BZ525" i="13"/>
  <c r="CA525" i="13"/>
  <c r="CB525" i="13"/>
  <c r="CC525" i="13"/>
  <c r="CD525" i="13"/>
  <c r="BL526" i="13"/>
  <c r="BM526" i="13"/>
  <c r="BN526" i="13"/>
  <c r="BO526" i="13"/>
  <c r="BP526" i="13"/>
  <c r="BQ526" i="13"/>
  <c r="BR526" i="13"/>
  <c r="BS526" i="13"/>
  <c r="BT526" i="13"/>
  <c r="BU526" i="13"/>
  <c r="BV526" i="13"/>
  <c r="BW526" i="13"/>
  <c r="BX526" i="13"/>
  <c r="BY526" i="13"/>
  <c r="BZ526" i="13"/>
  <c r="CA526" i="13"/>
  <c r="CB526" i="13"/>
  <c r="CC526" i="13"/>
  <c r="CD526" i="13"/>
  <c r="BL527" i="13"/>
  <c r="BM527" i="13"/>
  <c r="BN527" i="13"/>
  <c r="BO527" i="13"/>
  <c r="BP527" i="13"/>
  <c r="BQ527" i="13"/>
  <c r="BR527" i="13"/>
  <c r="BS527" i="13"/>
  <c r="BT527" i="13"/>
  <c r="BU527" i="13"/>
  <c r="BV527" i="13"/>
  <c r="BW527" i="13"/>
  <c r="BX527" i="13"/>
  <c r="BY527" i="13"/>
  <c r="BZ527" i="13"/>
  <c r="CA527" i="13"/>
  <c r="CB527" i="13"/>
  <c r="CC527" i="13"/>
  <c r="CD527" i="13"/>
  <c r="BL528" i="13"/>
  <c r="BM528" i="13"/>
  <c r="BN528" i="13"/>
  <c r="BO528" i="13"/>
  <c r="BP528" i="13"/>
  <c r="BQ528" i="13"/>
  <c r="BR528" i="13"/>
  <c r="BS528" i="13"/>
  <c r="BT528" i="13"/>
  <c r="BU528" i="13"/>
  <c r="BV528" i="13"/>
  <c r="BW528" i="13"/>
  <c r="BX528" i="13"/>
  <c r="BY528" i="13"/>
  <c r="BZ528" i="13"/>
  <c r="CA528" i="13"/>
  <c r="CB528" i="13"/>
  <c r="CC528" i="13"/>
  <c r="CD528" i="13"/>
  <c r="BL529" i="13"/>
  <c r="BM529" i="13"/>
  <c r="BN529" i="13"/>
  <c r="BO529" i="13"/>
  <c r="BP529" i="13"/>
  <c r="BQ529" i="13"/>
  <c r="BR529" i="13"/>
  <c r="BS529" i="13"/>
  <c r="BT529" i="13"/>
  <c r="BU529" i="13"/>
  <c r="BV529" i="13"/>
  <c r="BW529" i="13"/>
  <c r="BX529" i="13"/>
  <c r="BY529" i="13"/>
  <c r="BZ529" i="13"/>
  <c r="CA529" i="13"/>
  <c r="CB529" i="13"/>
  <c r="CC529" i="13"/>
  <c r="CD529" i="13"/>
  <c r="BL530" i="13"/>
  <c r="BM530" i="13"/>
  <c r="BN530" i="13"/>
  <c r="BO530" i="13"/>
  <c r="BP530" i="13"/>
  <c r="BQ530" i="13"/>
  <c r="BR530" i="13"/>
  <c r="BS530" i="13"/>
  <c r="BT530" i="13"/>
  <c r="BU530" i="13"/>
  <c r="BV530" i="13"/>
  <c r="BW530" i="13"/>
  <c r="BX530" i="13"/>
  <c r="BY530" i="13"/>
  <c r="BZ530" i="13"/>
  <c r="CA530" i="13"/>
  <c r="CB530" i="13"/>
  <c r="CC530" i="13"/>
  <c r="CD530" i="13"/>
  <c r="BL531" i="13"/>
  <c r="BM531" i="13"/>
  <c r="BN531" i="13"/>
  <c r="BO531" i="13"/>
  <c r="BP531" i="13"/>
  <c r="BQ531" i="13"/>
  <c r="BR531" i="13"/>
  <c r="BS531" i="13"/>
  <c r="BT531" i="13"/>
  <c r="BU531" i="13"/>
  <c r="BV531" i="13"/>
  <c r="BW531" i="13"/>
  <c r="BX531" i="13"/>
  <c r="BY531" i="13"/>
  <c r="BZ531" i="13"/>
  <c r="CA531" i="13"/>
  <c r="CB531" i="13"/>
  <c r="CC531" i="13"/>
  <c r="CD531" i="13"/>
  <c r="BL532" i="13"/>
  <c r="BM532" i="13"/>
  <c r="BN532" i="13"/>
  <c r="BO532" i="13"/>
  <c r="BP532" i="13"/>
  <c r="BQ532" i="13"/>
  <c r="BR532" i="13"/>
  <c r="BS532" i="13"/>
  <c r="BT532" i="13"/>
  <c r="BU532" i="13"/>
  <c r="BV532" i="13"/>
  <c r="BW532" i="13"/>
  <c r="BX532" i="13"/>
  <c r="BY532" i="13"/>
  <c r="BZ532" i="13"/>
  <c r="CA532" i="13"/>
  <c r="CB532" i="13"/>
  <c r="CC532" i="13"/>
  <c r="CD532" i="13"/>
  <c r="BL533" i="13"/>
  <c r="BM533" i="13"/>
  <c r="BN533" i="13"/>
  <c r="BO533" i="13"/>
  <c r="BP533" i="13"/>
  <c r="BQ533" i="13"/>
  <c r="BR533" i="13"/>
  <c r="BS533" i="13"/>
  <c r="BT533" i="13"/>
  <c r="BU533" i="13"/>
  <c r="BV533" i="13"/>
  <c r="BW533" i="13"/>
  <c r="BX533" i="13"/>
  <c r="BY533" i="13"/>
  <c r="BZ533" i="13"/>
  <c r="CA533" i="13"/>
  <c r="CB533" i="13"/>
  <c r="CC533" i="13"/>
  <c r="CD533" i="13"/>
  <c r="BL534" i="13"/>
  <c r="BM534" i="13"/>
  <c r="BN534" i="13"/>
  <c r="BO534" i="13"/>
  <c r="BP534" i="13"/>
  <c r="BQ534" i="13"/>
  <c r="BR534" i="13"/>
  <c r="BS534" i="13"/>
  <c r="BT534" i="13"/>
  <c r="BU534" i="13"/>
  <c r="BV534" i="13"/>
  <c r="BW534" i="13"/>
  <c r="BX534" i="13"/>
  <c r="BY534" i="13"/>
  <c r="BZ534" i="13"/>
  <c r="CA534" i="13"/>
  <c r="CB534" i="13"/>
  <c r="CC534" i="13"/>
  <c r="CD534" i="13"/>
  <c r="BL535" i="13"/>
  <c r="BM535" i="13"/>
  <c r="BN535" i="13"/>
  <c r="BO535" i="13"/>
  <c r="BP535" i="13"/>
  <c r="BQ535" i="13"/>
  <c r="BR535" i="13"/>
  <c r="BS535" i="13"/>
  <c r="BT535" i="13"/>
  <c r="BU535" i="13"/>
  <c r="BV535" i="13"/>
  <c r="BW535" i="13"/>
  <c r="BX535" i="13"/>
  <c r="BY535" i="13"/>
  <c r="BZ535" i="13"/>
  <c r="CA535" i="13"/>
  <c r="CB535" i="13"/>
  <c r="CC535" i="13"/>
  <c r="CD535" i="13"/>
  <c r="BL536" i="13"/>
  <c r="BM536" i="13"/>
  <c r="BN536" i="13"/>
  <c r="BO536" i="13"/>
  <c r="BP536" i="13"/>
  <c r="BQ536" i="13"/>
  <c r="BR536" i="13"/>
  <c r="BS536" i="13"/>
  <c r="BT536" i="13"/>
  <c r="BU536" i="13"/>
  <c r="BV536" i="13"/>
  <c r="BW536" i="13"/>
  <c r="BX536" i="13"/>
  <c r="BY536" i="13"/>
  <c r="BZ536" i="13"/>
  <c r="CA536" i="13"/>
  <c r="CB536" i="13"/>
  <c r="CC536" i="13"/>
  <c r="CD536" i="13"/>
  <c r="BL537" i="13"/>
  <c r="BM537" i="13"/>
  <c r="BN537" i="13"/>
  <c r="BO537" i="13"/>
  <c r="BP537" i="13"/>
  <c r="BQ537" i="13"/>
  <c r="BR537" i="13"/>
  <c r="BS537" i="13"/>
  <c r="BT537" i="13"/>
  <c r="BU537" i="13"/>
  <c r="BV537" i="13"/>
  <c r="BW537" i="13"/>
  <c r="BX537" i="13"/>
  <c r="BY537" i="13"/>
  <c r="BZ537" i="13"/>
  <c r="CA537" i="13"/>
  <c r="CB537" i="13"/>
  <c r="CC537" i="13"/>
  <c r="CD537" i="13"/>
  <c r="BL538" i="13"/>
  <c r="BM538" i="13"/>
  <c r="BN538" i="13"/>
  <c r="BO538" i="13"/>
  <c r="BP538" i="13"/>
  <c r="BQ538" i="13"/>
  <c r="BR538" i="13"/>
  <c r="BS538" i="13"/>
  <c r="BT538" i="13"/>
  <c r="BU538" i="13"/>
  <c r="BV538" i="13"/>
  <c r="BW538" i="13"/>
  <c r="BX538" i="13"/>
  <c r="BY538" i="13"/>
  <c r="BZ538" i="13"/>
  <c r="CA538" i="13"/>
  <c r="CB538" i="13"/>
  <c r="CC538" i="13"/>
  <c r="CD538" i="13"/>
  <c r="BL539" i="13"/>
  <c r="BM539" i="13"/>
  <c r="BN539" i="13"/>
  <c r="BO539" i="13"/>
  <c r="BP539" i="13"/>
  <c r="BQ539" i="13"/>
  <c r="BR539" i="13"/>
  <c r="BS539" i="13"/>
  <c r="BT539" i="13"/>
  <c r="BU539" i="13"/>
  <c r="BV539" i="13"/>
  <c r="BW539" i="13"/>
  <c r="BX539" i="13"/>
  <c r="BY539" i="13"/>
  <c r="BZ539" i="13"/>
  <c r="CA539" i="13"/>
  <c r="CB539" i="13"/>
  <c r="CC539" i="13"/>
  <c r="CD539" i="13"/>
  <c r="BL540" i="13"/>
  <c r="BM540" i="13"/>
  <c r="BN540" i="13"/>
  <c r="BO540" i="13"/>
  <c r="BP540" i="13"/>
  <c r="BQ540" i="13"/>
  <c r="BR540" i="13"/>
  <c r="BS540" i="13"/>
  <c r="BT540" i="13"/>
  <c r="BU540" i="13"/>
  <c r="BV540" i="13"/>
  <c r="BW540" i="13"/>
  <c r="BX540" i="13"/>
  <c r="BY540" i="13"/>
  <c r="BZ540" i="13"/>
  <c r="CA540" i="13"/>
  <c r="CB540" i="13"/>
  <c r="CC540" i="13"/>
  <c r="CD540" i="13"/>
  <c r="BL541" i="13"/>
  <c r="BM541" i="13"/>
  <c r="BN541" i="13"/>
  <c r="BO541" i="13"/>
  <c r="BP541" i="13"/>
  <c r="BQ541" i="13"/>
  <c r="BR541" i="13"/>
  <c r="BS541" i="13"/>
  <c r="BT541" i="13"/>
  <c r="BU541" i="13"/>
  <c r="BV541" i="13"/>
  <c r="BW541" i="13"/>
  <c r="BX541" i="13"/>
  <c r="BY541" i="13"/>
  <c r="BZ541" i="13"/>
  <c r="CA541" i="13"/>
  <c r="CB541" i="13"/>
  <c r="CC541" i="13"/>
  <c r="CD541" i="13"/>
  <c r="BL542" i="13"/>
  <c r="BM542" i="13"/>
  <c r="BN542" i="13"/>
  <c r="BO542" i="13"/>
  <c r="BP542" i="13"/>
  <c r="BQ542" i="13"/>
  <c r="BR542" i="13"/>
  <c r="BS542" i="13"/>
  <c r="BT542" i="13"/>
  <c r="BU542" i="13"/>
  <c r="BV542" i="13"/>
  <c r="BW542" i="13"/>
  <c r="BX542" i="13"/>
  <c r="BY542" i="13"/>
  <c r="BZ542" i="13"/>
  <c r="CA542" i="13"/>
  <c r="CB542" i="13"/>
  <c r="CC542" i="13"/>
  <c r="CD542" i="13"/>
  <c r="BL543" i="13"/>
  <c r="BM543" i="13"/>
  <c r="BN543" i="13"/>
  <c r="BO543" i="13"/>
  <c r="BP543" i="13"/>
  <c r="BQ543" i="13"/>
  <c r="BR543" i="13"/>
  <c r="BS543" i="13"/>
  <c r="BT543" i="13"/>
  <c r="BU543" i="13"/>
  <c r="BV543" i="13"/>
  <c r="BW543" i="13"/>
  <c r="BX543" i="13"/>
  <c r="BY543" i="13"/>
  <c r="BZ543" i="13"/>
  <c r="CA543" i="13"/>
  <c r="CB543" i="13"/>
  <c r="CC543" i="13"/>
  <c r="CD543" i="13"/>
  <c r="BL544" i="13"/>
  <c r="BM544" i="13"/>
  <c r="BN544" i="13"/>
  <c r="BO544" i="13"/>
  <c r="BP544" i="13"/>
  <c r="BQ544" i="13"/>
  <c r="BR544" i="13"/>
  <c r="BS544" i="13"/>
  <c r="BT544" i="13"/>
  <c r="BU544" i="13"/>
  <c r="BV544" i="13"/>
  <c r="BW544" i="13"/>
  <c r="BX544" i="13"/>
  <c r="BY544" i="13"/>
  <c r="BZ544" i="13"/>
  <c r="CA544" i="13"/>
  <c r="CB544" i="13"/>
  <c r="CC544" i="13"/>
  <c r="CD544" i="13"/>
  <c r="BL545" i="13"/>
  <c r="BM545" i="13"/>
  <c r="BN545" i="13"/>
  <c r="BO545" i="13"/>
  <c r="BP545" i="13"/>
  <c r="BQ545" i="13"/>
  <c r="BR545" i="13"/>
  <c r="BS545" i="13"/>
  <c r="BT545" i="13"/>
  <c r="BU545" i="13"/>
  <c r="BV545" i="13"/>
  <c r="BW545" i="13"/>
  <c r="BX545" i="13"/>
  <c r="BY545" i="13"/>
  <c r="BZ545" i="13"/>
  <c r="CA545" i="13"/>
  <c r="CB545" i="13"/>
  <c r="CC545" i="13"/>
  <c r="CD545" i="13"/>
  <c r="BL546" i="13"/>
  <c r="BM546" i="13"/>
  <c r="BN546" i="13"/>
  <c r="BO546" i="13"/>
  <c r="BP546" i="13"/>
  <c r="BQ546" i="13"/>
  <c r="BR546" i="13"/>
  <c r="BS546" i="13"/>
  <c r="BT546" i="13"/>
  <c r="BU546" i="13"/>
  <c r="BV546" i="13"/>
  <c r="BW546" i="13"/>
  <c r="BX546" i="13"/>
  <c r="BY546" i="13"/>
  <c r="BZ546" i="13"/>
  <c r="CA546" i="13"/>
  <c r="CB546" i="13"/>
  <c r="CC546" i="13"/>
  <c r="CD546" i="13"/>
  <c r="BL547" i="13"/>
  <c r="BM547" i="13"/>
  <c r="BN547" i="13"/>
  <c r="BO547" i="13"/>
  <c r="BP547" i="13"/>
  <c r="BQ547" i="13"/>
  <c r="BR547" i="13"/>
  <c r="BS547" i="13"/>
  <c r="BT547" i="13"/>
  <c r="BU547" i="13"/>
  <c r="BV547" i="13"/>
  <c r="BW547" i="13"/>
  <c r="BX547" i="13"/>
  <c r="BY547" i="13"/>
  <c r="BZ547" i="13"/>
  <c r="CA547" i="13"/>
  <c r="CB547" i="13"/>
  <c r="CC547" i="13"/>
  <c r="CD547" i="13"/>
  <c r="BL548" i="13"/>
  <c r="BM548" i="13"/>
  <c r="BN548" i="13"/>
  <c r="BO548" i="13"/>
  <c r="BP548" i="13"/>
  <c r="BQ548" i="13"/>
  <c r="BR548" i="13"/>
  <c r="BS548" i="13"/>
  <c r="BT548" i="13"/>
  <c r="BU548" i="13"/>
  <c r="BV548" i="13"/>
  <c r="BW548" i="13"/>
  <c r="BX548" i="13"/>
  <c r="BY548" i="13"/>
  <c r="BZ548" i="13"/>
  <c r="CA548" i="13"/>
  <c r="CB548" i="13"/>
  <c r="CC548" i="13"/>
  <c r="CD548" i="13"/>
  <c r="BL549" i="13"/>
  <c r="BM549" i="13"/>
  <c r="BN549" i="13"/>
  <c r="BO549" i="13"/>
  <c r="BP549" i="13"/>
  <c r="BQ549" i="13"/>
  <c r="BR549" i="13"/>
  <c r="BS549" i="13"/>
  <c r="BT549" i="13"/>
  <c r="BU549" i="13"/>
  <c r="BV549" i="13"/>
  <c r="BW549" i="13"/>
  <c r="BX549" i="13"/>
  <c r="BY549" i="13"/>
  <c r="BZ549" i="13"/>
  <c r="CA549" i="13"/>
  <c r="CB549" i="13"/>
  <c r="CC549" i="13"/>
  <c r="CD549" i="13"/>
  <c r="BL550" i="13"/>
  <c r="BM550" i="13"/>
  <c r="BN550" i="13"/>
  <c r="BO550" i="13"/>
  <c r="BP550" i="13"/>
  <c r="BQ550" i="13"/>
  <c r="BR550" i="13"/>
  <c r="BS550" i="13"/>
  <c r="BT550" i="13"/>
  <c r="BU550" i="13"/>
  <c r="BV550" i="13"/>
  <c r="BW550" i="13"/>
  <c r="BX550" i="13"/>
  <c r="BY550" i="13"/>
  <c r="BZ550" i="13"/>
  <c r="CA550" i="13"/>
  <c r="CB550" i="13"/>
  <c r="CC550" i="13"/>
  <c r="CD550" i="13"/>
  <c r="BL551" i="13"/>
  <c r="BM551" i="13"/>
  <c r="BN551" i="13"/>
  <c r="BO551" i="13"/>
  <c r="BP551" i="13"/>
  <c r="BQ551" i="13"/>
  <c r="BR551" i="13"/>
  <c r="BS551" i="13"/>
  <c r="BT551" i="13"/>
  <c r="BU551" i="13"/>
  <c r="BV551" i="13"/>
  <c r="BW551" i="13"/>
  <c r="BX551" i="13"/>
  <c r="BY551" i="13"/>
  <c r="BZ551" i="13"/>
  <c r="CA551" i="13"/>
  <c r="CB551" i="13"/>
  <c r="CC551" i="13"/>
  <c r="CD551" i="13"/>
  <c r="BL552" i="13"/>
  <c r="BM552" i="13"/>
  <c r="BN552" i="13"/>
  <c r="BO552" i="13"/>
  <c r="BP552" i="13"/>
  <c r="BQ552" i="13"/>
  <c r="BR552" i="13"/>
  <c r="BS552" i="13"/>
  <c r="BT552" i="13"/>
  <c r="BU552" i="13"/>
  <c r="BV552" i="13"/>
  <c r="BW552" i="13"/>
  <c r="BX552" i="13"/>
  <c r="BY552" i="13"/>
  <c r="BZ552" i="13"/>
  <c r="CA552" i="13"/>
  <c r="CB552" i="13"/>
  <c r="CC552" i="13"/>
  <c r="CD552" i="13"/>
  <c r="BL553" i="13"/>
  <c r="BM553" i="13"/>
  <c r="BN553" i="13"/>
  <c r="BO553" i="13"/>
  <c r="BP553" i="13"/>
  <c r="BQ553" i="13"/>
  <c r="BR553" i="13"/>
  <c r="BS553" i="13"/>
  <c r="BT553" i="13"/>
  <c r="BU553" i="13"/>
  <c r="BV553" i="13"/>
  <c r="BW553" i="13"/>
  <c r="BX553" i="13"/>
  <c r="BY553" i="13"/>
  <c r="BZ553" i="13"/>
  <c r="CA553" i="13"/>
  <c r="CB553" i="13"/>
  <c r="CC553" i="13"/>
  <c r="CD553" i="13"/>
  <c r="BL554" i="13"/>
  <c r="BM554" i="13"/>
  <c r="BN554" i="13"/>
  <c r="BO554" i="13"/>
  <c r="BP554" i="13"/>
  <c r="BQ554" i="13"/>
  <c r="BR554" i="13"/>
  <c r="BS554" i="13"/>
  <c r="BT554" i="13"/>
  <c r="BU554" i="13"/>
  <c r="BV554" i="13"/>
  <c r="BW554" i="13"/>
  <c r="BX554" i="13"/>
  <c r="BY554" i="13"/>
  <c r="BZ554" i="13"/>
  <c r="CA554" i="13"/>
  <c r="CB554" i="13"/>
  <c r="CC554" i="13"/>
  <c r="CD554" i="13"/>
  <c r="BL555" i="13"/>
  <c r="BM555" i="13"/>
  <c r="BN555" i="13"/>
  <c r="BO555" i="13"/>
  <c r="BP555" i="13"/>
  <c r="BQ555" i="13"/>
  <c r="BR555" i="13"/>
  <c r="BS555" i="13"/>
  <c r="BT555" i="13"/>
  <c r="BU555" i="13"/>
  <c r="BV555" i="13"/>
  <c r="BW555" i="13"/>
  <c r="BX555" i="13"/>
  <c r="BY555" i="13"/>
  <c r="BZ555" i="13"/>
  <c r="CA555" i="13"/>
  <c r="CB555" i="13"/>
  <c r="CC555" i="13"/>
  <c r="CD555" i="13"/>
  <c r="BL556" i="13"/>
  <c r="BM556" i="13"/>
  <c r="BN556" i="13"/>
  <c r="BO556" i="13"/>
  <c r="BP556" i="13"/>
  <c r="BQ556" i="13"/>
  <c r="BR556" i="13"/>
  <c r="BS556" i="13"/>
  <c r="BT556" i="13"/>
  <c r="BU556" i="13"/>
  <c r="BV556" i="13"/>
  <c r="BW556" i="13"/>
  <c r="BX556" i="13"/>
  <c r="BY556" i="13"/>
  <c r="BZ556" i="13"/>
  <c r="CA556" i="13"/>
  <c r="CB556" i="13"/>
  <c r="CC556" i="13"/>
  <c r="CD556" i="13"/>
  <c r="BL557" i="13"/>
  <c r="BM557" i="13"/>
  <c r="BN557" i="13"/>
  <c r="BO557" i="13"/>
  <c r="BP557" i="13"/>
  <c r="BQ557" i="13"/>
  <c r="BR557" i="13"/>
  <c r="BS557" i="13"/>
  <c r="BT557" i="13"/>
  <c r="BU557" i="13"/>
  <c r="BV557" i="13"/>
  <c r="BW557" i="13"/>
  <c r="BX557" i="13"/>
  <c r="BY557" i="13"/>
  <c r="BZ557" i="13"/>
  <c r="CA557" i="13"/>
  <c r="CB557" i="13"/>
  <c r="CC557" i="13"/>
  <c r="CD557" i="13"/>
  <c r="BL558" i="13"/>
  <c r="BM558" i="13"/>
  <c r="BN558" i="13"/>
  <c r="BO558" i="13"/>
  <c r="BP558" i="13"/>
  <c r="BQ558" i="13"/>
  <c r="BR558" i="13"/>
  <c r="BS558" i="13"/>
  <c r="BT558" i="13"/>
  <c r="BU558" i="13"/>
  <c r="BV558" i="13"/>
  <c r="BW558" i="13"/>
  <c r="BX558" i="13"/>
  <c r="BY558" i="13"/>
  <c r="BZ558" i="13"/>
  <c r="CA558" i="13"/>
  <c r="CB558" i="13"/>
  <c r="CC558" i="13"/>
  <c r="CD558" i="13"/>
  <c r="BL559" i="13"/>
  <c r="BM559" i="13"/>
  <c r="BN559" i="13"/>
  <c r="BO559" i="13"/>
  <c r="BP559" i="13"/>
  <c r="BQ559" i="13"/>
  <c r="BR559" i="13"/>
  <c r="BS559" i="13"/>
  <c r="BT559" i="13"/>
  <c r="BU559" i="13"/>
  <c r="BV559" i="13"/>
  <c r="BW559" i="13"/>
  <c r="BX559" i="13"/>
  <c r="BY559" i="13"/>
  <c r="BZ559" i="13"/>
  <c r="CA559" i="13"/>
  <c r="CB559" i="13"/>
  <c r="CC559" i="13"/>
  <c r="CD559" i="13"/>
  <c r="BL560" i="13"/>
  <c r="BM560" i="13"/>
  <c r="BN560" i="13"/>
  <c r="BO560" i="13"/>
  <c r="BP560" i="13"/>
  <c r="BQ560" i="13"/>
  <c r="BR560" i="13"/>
  <c r="BS560" i="13"/>
  <c r="BT560" i="13"/>
  <c r="BU560" i="13"/>
  <c r="BV560" i="13"/>
  <c r="BW560" i="13"/>
  <c r="BX560" i="13"/>
  <c r="BY560" i="13"/>
  <c r="BZ560" i="13"/>
  <c r="CA560" i="13"/>
  <c r="CB560" i="13"/>
  <c r="CC560" i="13"/>
  <c r="CD560" i="13"/>
  <c r="BL561" i="13"/>
  <c r="BM561" i="13"/>
  <c r="BN561" i="13"/>
  <c r="BO561" i="13"/>
  <c r="BP561" i="13"/>
  <c r="BQ561" i="13"/>
  <c r="BR561" i="13"/>
  <c r="BS561" i="13"/>
  <c r="BT561" i="13"/>
  <c r="BU561" i="13"/>
  <c r="BV561" i="13"/>
  <c r="BW561" i="13"/>
  <c r="BX561" i="13"/>
  <c r="BY561" i="13"/>
  <c r="BZ561" i="13"/>
  <c r="CA561" i="13"/>
  <c r="CB561" i="13"/>
  <c r="CC561" i="13"/>
  <c r="CD561" i="13"/>
  <c r="BL562" i="13"/>
  <c r="BM562" i="13"/>
  <c r="BN562" i="13"/>
  <c r="BO562" i="13"/>
  <c r="BP562" i="13"/>
  <c r="BQ562" i="13"/>
  <c r="BR562" i="13"/>
  <c r="BS562" i="13"/>
  <c r="BT562" i="13"/>
  <c r="BU562" i="13"/>
  <c r="BV562" i="13"/>
  <c r="BW562" i="13"/>
  <c r="BX562" i="13"/>
  <c r="BY562" i="13"/>
  <c r="BZ562" i="13"/>
  <c r="CA562" i="13"/>
  <c r="CB562" i="13"/>
  <c r="CC562" i="13"/>
  <c r="CD562" i="13"/>
  <c r="BL563" i="13"/>
  <c r="BM563" i="13"/>
  <c r="BN563" i="13"/>
  <c r="BO563" i="13"/>
  <c r="BP563" i="13"/>
  <c r="BQ563" i="13"/>
  <c r="BR563" i="13"/>
  <c r="BS563" i="13"/>
  <c r="BT563" i="13"/>
  <c r="BU563" i="13"/>
  <c r="BV563" i="13"/>
  <c r="BW563" i="13"/>
  <c r="BX563" i="13"/>
  <c r="BY563" i="13"/>
  <c r="BZ563" i="13"/>
  <c r="CA563" i="13"/>
  <c r="CB563" i="13"/>
  <c r="CC563" i="13"/>
  <c r="CD563" i="13"/>
  <c r="BL564" i="13"/>
  <c r="BM564" i="13"/>
  <c r="BN564" i="13"/>
  <c r="BO564" i="13"/>
  <c r="BP564" i="13"/>
  <c r="BQ564" i="13"/>
  <c r="BR564" i="13"/>
  <c r="BS564" i="13"/>
  <c r="BT564" i="13"/>
  <c r="BU564" i="13"/>
  <c r="BV564" i="13"/>
  <c r="BW564" i="13"/>
  <c r="BX564" i="13"/>
  <c r="BY564" i="13"/>
  <c r="BZ564" i="13"/>
  <c r="CA564" i="13"/>
  <c r="CB564" i="13"/>
  <c r="CC564" i="13"/>
  <c r="CD564" i="13"/>
  <c r="BL565" i="13"/>
  <c r="BM565" i="13"/>
  <c r="BN565" i="13"/>
  <c r="BO565" i="13"/>
  <c r="BP565" i="13"/>
  <c r="BQ565" i="13"/>
  <c r="BR565" i="13"/>
  <c r="BS565" i="13"/>
  <c r="BT565" i="13"/>
  <c r="BU565" i="13"/>
  <c r="BV565" i="13"/>
  <c r="BW565" i="13"/>
  <c r="BX565" i="13"/>
  <c r="BY565" i="13"/>
  <c r="BZ565" i="13"/>
  <c r="CA565" i="13"/>
  <c r="CB565" i="13"/>
  <c r="CC565" i="13"/>
  <c r="CD565" i="13"/>
  <c r="BL566" i="13"/>
  <c r="BM566" i="13"/>
  <c r="BN566" i="13"/>
  <c r="BO566" i="13"/>
  <c r="BP566" i="13"/>
  <c r="BQ566" i="13"/>
  <c r="BR566" i="13"/>
  <c r="BS566" i="13"/>
  <c r="BT566" i="13"/>
  <c r="BU566" i="13"/>
  <c r="BV566" i="13"/>
  <c r="BW566" i="13"/>
  <c r="BX566" i="13"/>
  <c r="BY566" i="13"/>
  <c r="BZ566" i="13"/>
  <c r="CA566" i="13"/>
  <c r="CB566" i="13"/>
  <c r="CC566" i="13"/>
  <c r="CD566" i="13"/>
  <c r="BL567" i="13"/>
  <c r="BM567" i="13"/>
  <c r="BN567" i="13"/>
  <c r="BO567" i="13"/>
  <c r="BP567" i="13"/>
  <c r="BQ567" i="13"/>
  <c r="BR567" i="13"/>
  <c r="BS567" i="13"/>
  <c r="BT567" i="13"/>
  <c r="BU567" i="13"/>
  <c r="BV567" i="13"/>
  <c r="BW567" i="13"/>
  <c r="BX567" i="13"/>
  <c r="BY567" i="13"/>
  <c r="BZ567" i="13"/>
  <c r="CA567" i="13"/>
  <c r="CB567" i="13"/>
  <c r="CC567" i="13"/>
  <c r="CD567" i="13"/>
  <c r="BL568" i="13"/>
  <c r="BM568" i="13"/>
  <c r="BN568" i="13"/>
  <c r="BO568" i="13"/>
  <c r="BP568" i="13"/>
  <c r="BQ568" i="13"/>
  <c r="BR568" i="13"/>
  <c r="BS568" i="13"/>
  <c r="BT568" i="13"/>
  <c r="BU568" i="13"/>
  <c r="BV568" i="13"/>
  <c r="BW568" i="13"/>
  <c r="BX568" i="13"/>
  <c r="BY568" i="13"/>
  <c r="BZ568" i="13"/>
  <c r="CA568" i="13"/>
  <c r="CB568" i="13"/>
  <c r="CC568" i="13"/>
  <c r="CD568" i="13"/>
  <c r="BL569" i="13"/>
  <c r="BM569" i="13"/>
  <c r="BN569" i="13"/>
  <c r="BO569" i="13"/>
  <c r="BP569" i="13"/>
  <c r="BQ569" i="13"/>
  <c r="BR569" i="13"/>
  <c r="BS569" i="13"/>
  <c r="BT569" i="13"/>
  <c r="BU569" i="13"/>
  <c r="BV569" i="13"/>
  <c r="BW569" i="13"/>
  <c r="BX569" i="13"/>
  <c r="BY569" i="13"/>
  <c r="BZ569" i="13"/>
  <c r="CA569" i="13"/>
  <c r="CB569" i="13"/>
  <c r="CC569" i="13"/>
  <c r="CD569" i="13"/>
  <c r="BL570" i="13"/>
  <c r="BM570" i="13"/>
  <c r="BN570" i="13"/>
  <c r="BO570" i="13"/>
  <c r="BP570" i="13"/>
  <c r="BQ570" i="13"/>
  <c r="BR570" i="13"/>
  <c r="BS570" i="13"/>
  <c r="BT570" i="13"/>
  <c r="BU570" i="13"/>
  <c r="BV570" i="13"/>
  <c r="BW570" i="13"/>
  <c r="BX570" i="13"/>
  <c r="BY570" i="13"/>
  <c r="BZ570" i="13"/>
  <c r="CA570" i="13"/>
  <c r="CB570" i="13"/>
  <c r="CC570" i="13"/>
  <c r="CD570" i="13"/>
  <c r="BL571" i="13"/>
  <c r="BM571" i="13"/>
  <c r="BN571" i="13"/>
  <c r="BO571" i="13"/>
  <c r="BP571" i="13"/>
  <c r="BQ571" i="13"/>
  <c r="BR571" i="13"/>
  <c r="BS571" i="13"/>
  <c r="BT571" i="13"/>
  <c r="BU571" i="13"/>
  <c r="BV571" i="13"/>
  <c r="BW571" i="13"/>
  <c r="BX571" i="13"/>
  <c r="BY571" i="13"/>
  <c r="BZ571" i="13"/>
  <c r="CA571" i="13"/>
  <c r="CB571" i="13"/>
  <c r="CC571" i="13"/>
  <c r="CD571" i="13"/>
  <c r="BL572" i="13"/>
  <c r="BM572" i="13"/>
  <c r="BN572" i="13"/>
  <c r="BO572" i="13"/>
  <c r="BP572" i="13"/>
  <c r="BQ572" i="13"/>
  <c r="BR572" i="13"/>
  <c r="BS572" i="13"/>
  <c r="BT572" i="13"/>
  <c r="BU572" i="13"/>
  <c r="BV572" i="13"/>
  <c r="BW572" i="13"/>
  <c r="BX572" i="13"/>
  <c r="BY572" i="13"/>
  <c r="BZ572" i="13"/>
  <c r="CA572" i="13"/>
  <c r="CB572" i="13"/>
  <c r="CC572" i="13"/>
  <c r="CD572" i="13"/>
  <c r="BL573" i="13"/>
  <c r="BM573" i="13"/>
  <c r="BN573" i="13"/>
  <c r="BO573" i="13"/>
  <c r="BP573" i="13"/>
  <c r="BQ573" i="13"/>
  <c r="BR573" i="13"/>
  <c r="BS573" i="13"/>
  <c r="BT573" i="13"/>
  <c r="BU573" i="13"/>
  <c r="BV573" i="13"/>
  <c r="BW573" i="13"/>
  <c r="BX573" i="13"/>
  <c r="BY573" i="13"/>
  <c r="BZ573" i="13"/>
  <c r="CA573" i="13"/>
  <c r="CB573" i="13"/>
  <c r="CC573" i="13"/>
  <c r="CD573" i="13"/>
  <c r="BL574" i="13"/>
  <c r="BM574" i="13"/>
  <c r="BN574" i="13"/>
  <c r="BO574" i="13"/>
  <c r="BP574" i="13"/>
  <c r="BQ574" i="13"/>
  <c r="BR574" i="13"/>
  <c r="BS574" i="13"/>
  <c r="BT574" i="13"/>
  <c r="BU574" i="13"/>
  <c r="BV574" i="13"/>
  <c r="BW574" i="13"/>
  <c r="BX574" i="13"/>
  <c r="BY574" i="13"/>
  <c r="BZ574" i="13"/>
  <c r="CA574" i="13"/>
  <c r="CB574" i="13"/>
  <c r="CC574" i="13"/>
  <c r="CD574" i="13"/>
  <c r="BL575" i="13"/>
  <c r="BM575" i="13"/>
  <c r="BN575" i="13"/>
  <c r="BO575" i="13"/>
  <c r="BP575" i="13"/>
  <c r="BQ575" i="13"/>
  <c r="BR575" i="13"/>
  <c r="BS575" i="13"/>
  <c r="BT575" i="13"/>
  <c r="BU575" i="13"/>
  <c r="BV575" i="13"/>
  <c r="BW575" i="13"/>
  <c r="BX575" i="13"/>
  <c r="BY575" i="13"/>
  <c r="BZ575" i="13"/>
  <c r="CA575" i="13"/>
  <c r="CB575" i="13"/>
  <c r="CC575" i="13"/>
  <c r="CD575" i="13"/>
  <c r="BL576" i="13"/>
  <c r="BM576" i="13"/>
  <c r="BN576" i="13"/>
  <c r="BO576" i="13"/>
  <c r="BP576" i="13"/>
  <c r="BQ576" i="13"/>
  <c r="BR576" i="13"/>
  <c r="BS576" i="13"/>
  <c r="BT576" i="13"/>
  <c r="BU576" i="13"/>
  <c r="BV576" i="13"/>
  <c r="BW576" i="13"/>
  <c r="BX576" i="13"/>
  <c r="BY576" i="13"/>
  <c r="BZ576" i="13"/>
  <c r="CA576" i="13"/>
  <c r="CB576" i="13"/>
  <c r="CC576" i="13"/>
  <c r="CD576" i="13"/>
  <c r="BL577" i="13"/>
  <c r="BM577" i="13"/>
  <c r="BN577" i="13"/>
  <c r="BO577" i="13"/>
  <c r="BP577" i="13"/>
  <c r="BQ577" i="13"/>
  <c r="BR577" i="13"/>
  <c r="BS577" i="13"/>
  <c r="BT577" i="13"/>
  <c r="BU577" i="13"/>
  <c r="BV577" i="13"/>
  <c r="BW577" i="13"/>
  <c r="BX577" i="13"/>
  <c r="BY577" i="13"/>
  <c r="BZ577" i="13"/>
  <c r="CA577" i="13"/>
  <c r="CB577" i="13"/>
  <c r="CC577" i="13"/>
  <c r="CD577" i="13"/>
  <c r="BL578" i="13"/>
  <c r="BM578" i="13"/>
  <c r="BN578" i="13"/>
  <c r="BO578" i="13"/>
  <c r="BP578" i="13"/>
  <c r="BQ578" i="13"/>
  <c r="BR578" i="13"/>
  <c r="BS578" i="13"/>
  <c r="BT578" i="13"/>
  <c r="BU578" i="13"/>
  <c r="BV578" i="13"/>
  <c r="BW578" i="13"/>
  <c r="BX578" i="13"/>
  <c r="BY578" i="13"/>
  <c r="BZ578" i="13"/>
  <c r="CA578" i="13"/>
  <c r="CB578" i="13"/>
  <c r="CC578" i="13"/>
  <c r="CD578" i="13"/>
  <c r="BL579" i="13"/>
  <c r="BM579" i="13"/>
  <c r="BN579" i="13"/>
  <c r="BO579" i="13"/>
  <c r="BP579" i="13"/>
  <c r="BQ579" i="13"/>
  <c r="BR579" i="13"/>
  <c r="BS579" i="13"/>
  <c r="BT579" i="13"/>
  <c r="BU579" i="13"/>
  <c r="BV579" i="13"/>
  <c r="BW579" i="13"/>
  <c r="BX579" i="13"/>
  <c r="BY579" i="13"/>
  <c r="BZ579" i="13"/>
  <c r="CA579" i="13"/>
  <c r="CB579" i="13"/>
  <c r="CC579" i="13"/>
  <c r="CD579" i="13"/>
  <c r="BL580" i="13"/>
  <c r="BM580" i="13"/>
  <c r="BN580" i="13"/>
  <c r="BO580" i="13"/>
  <c r="BP580" i="13"/>
  <c r="BQ580" i="13"/>
  <c r="BR580" i="13"/>
  <c r="BS580" i="13"/>
  <c r="BT580" i="13"/>
  <c r="BU580" i="13"/>
  <c r="BV580" i="13"/>
  <c r="BW580" i="13"/>
  <c r="BX580" i="13"/>
  <c r="BY580" i="13"/>
  <c r="BZ580" i="13"/>
  <c r="CA580" i="13"/>
  <c r="CB580" i="13"/>
  <c r="CC580" i="13"/>
  <c r="CD580" i="13"/>
  <c r="BL581" i="13"/>
  <c r="BM581" i="13"/>
  <c r="BN581" i="13"/>
  <c r="BO581" i="13"/>
  <c r="BP581" i="13"/>
  <c r="BQ581" i="13"/>
  <c r="BR581" i="13"/>
  <c r="BS581" i="13"/>
  <c r="BT581" i="13"/>
  <c r="BU581" i="13"/>
  <c r="BV581" i="13"/>
  <c r="BW581" i="13"/>
  <c r="BX581" i="13"/>
  <c r="BY581" i="13"/>
  <c r="BZ581" i="13"/>
  <c r="CA581" i="13"/>
  <c r="CB581" i="13"/>
  <c r="CC581" i="13"/>
  <c r="CD581" i="13"/>
  <c r="BL582" i="13"/>
  <c r="BM582" i="13"/>
  <c r="BN582" i="13"/>
  <c r="BO582" i="13"/>
  <c r="BP582" i="13"/>
  <c r="BQ582" i="13"/>
  <c r="BR582" i="13"/>
  <c r="BS582" i="13"/>
  <c r="BT582" i="13"/>
  <c r="BU582" i="13"/>
  <c r="BV582" i="13"/>
  <c r="BW582" i="13"/>
  <c r="BX582" i="13"/>
  <c r="BY582" i="13"/>
  <c r="BZ582" i="13"/>
  <c r="CA582" i="13"/>
  <c r="CB582" i="13"/>
  <c r="CC582" i="13"/>
  <c r="CD582" i="13"/>
  <c r="BL583" i="13"/>
  <c r="BM583" i="13"/>
  <c r="BN583" i="13"/>
  <c r="BO583" i="13"/>
  <c r="BP583" i="13"/>
  <c r="BQ583" i="13"/>
  <c r="BR583" i="13"/>
  <c r="BS583" i="13"/>
  <c r="BT583" i="13"/>
  <c r="BU583" i="13"/>
  <c r="BV583" i="13"/>
  <c r="BW583" i="13"/>
  <c r="BX583" i="13"/>
  <c r="BY583" i="13"/>
  <c r="BZ583" i="13"/>
  <c r="CA583" i="13"/>
  <c r="CB583" i="13"/>
  <c r="CC583" i="13"/>
  <c r="CD583" i="13"/>
  <c r="BL584" i="13"/>
  <c r="BM584" i="13"/>
  <c r="BN584" i="13"/>
  <c r="BO584" i="13"/>
  <c r="BP584" i="13"/>
  <c r="BQ584" i="13"/>
  <c r="BR584" i="13"/>
  <c r="BS584" i="13"/>
  <c r="BT584" i="13"/>
  <c r="BU584" i="13"/>
  <c r="BV584" i="13"/>
  <c r="BW584" i="13"/>
  <c r="BX584" i="13"/>
  <c r="BY584" i="13"/>
  <c r="BZ584" i="13"/>
  <c r="CA584" i="13"/>
  <c r="CB584" i="13"/>
  <c r="CC584" i="13"/>
  <c r="CD584" i="13"/>
  <c r="BL585" i="13"/>
  <c r="BM585" i="13"/>
  <c r="BN585" i="13"/>
  <c r="BO585" i="13"/>
  <c r="BP585" i="13"/>
  <c r="BQ585" i="13"/>
  <c r="BR585" i="13"/>
  <c r="BS585" i="13"/>
  <c r="BT585" i="13"/>
  <c r="BU585" i="13"/>
  <c r="BV585" i="13"/>
  <c r="BW585" i="13"/>
  <c r="BX585" i="13"/>
  <c r="BY585" i="13"/>
  <c r="BZ585" i="13"/>
  <c r="CA585" i="13"/>
  <c r="CB585" i="13"/>
  <c r="CC585" i="13"/>
  <c r="CD585" i="13"/>
  <c r="BL586" i="13"/>
  <c r="BM586" i="13"/>
  <c r="BN586" i="13"/>
  <c r="BO586" i="13"/>
  <c r="BP586" i="13"/>
  <c r="BQ586" i="13"/>
  <c r="BR586" i="13"/>
  <c r="BS586" i="13"/>
  <c r="BT586" i="13"/>
  <c r="BU586" i="13"/>
  <c r="BV586" i="13"/>
  <c r="BW586" i="13"/>
  <c r="BX586" i="13"/>
  <c r="BY586" i="13"/>
  <c r="BZ586" i="13"/>
  <c r="CA586" i="13"/>
  <c r="CB586" i="13"/>
  <c r="CC586" i="13"/>
  <c r="CD586" i="13"/>
  <c r="BL587" i="13"/>
  <c r="BM587" i="13"/>
  <c r="BN587" i="13"/>
  <c r="BO587" i="13"/>
  <c r="BP587" i="13"/>
  <c r="BQ587" i="13"/>
  <c r="BR587" i="13"/>
  <c r="BS587" i="13"/>
  <c r="BT587" i="13"/>
  <c r="BU587" i="13"/>
  <c r="BV587" i="13"/>
  <c r="BW587" i="13"/>
  <c r="BX587" i="13"/>
  <c r="BY587" i="13"/>
  <c r="BZ587" i="13"/>
  <c r="CA587" i="13"/>
  <c r="CB587" i="13"/>
  <c r="CC587" i="13"/>
  <c r="CD587" i="13"/>
  <c r="BL588" i="13"/>
  <c r="BM588" i="13"/>
  <c r="BN588" i="13"/>
  <c r="BO588" i="13"/>
  <c r="BP588" i="13"/>
  <c r="BQ588" i="13"/>
  <c r="BR588" i="13"/>
  <c r="BS588" i="13"/>
  <c r="BT588" i="13"/>
  <c r="BU588" i="13"/>
  <c r="BV588" i="13"/>
  <c r="BW588" i="13"/>
  <c r="BX588" i="13"/>
  <c r="BY588" i="13"/>
  <c r="BZ588" i="13"/>
  <c r="CA588" i="13"/>
  <c r="CB588" i="13"/>
  <c r="CC588" i="13"/>
  <c r="CD588" i="13"/>
  <c r="BL589" i="13"/>
  <c r="BM589" i="13"/>
  <c r="BN589" i="13"/>
  <c r="BO589" i="13"/>
  <c r="BP589" i="13"/>
  <c r="BQ589" i="13"/>
  <c r="BR589" i="13"/>
  <c r="BS589" i="13"/>
  <c r="BT589" i="13"/>
  <c r="BU589" i="13"/>
  <c r="BV589" i="13"/>
  <c r="BW589" i="13"/>
  <c r="BX589" i="13"/>
  <c r="BY589" i="13"/>
  <c r="BZ589" i="13"/>
  <c r="CA589" i="13"/>
  <c r="CB589" i="13"/>
  <c r="CC589" i="13"/>
  <c r="CD589" i="13"/>
  <c r="BL590" i="13"/>
  <c r="BM590" i="13"/>
  <c r="BN590" i="13"/>
  <c r="BO590" i="13"/>
  <c r="BP590" i="13"/>
  <c r="BQ590" i="13"/>
  <c r="BR590" i="13"/>
  <c r="BS590" i="13"/>
  <c r="BT590" i="13"/>
  <c r="BU590" i="13"/>
  <c r="BV590" i="13"/>
  <c r="BW590" i="13"/>
  <c r="BX590" i="13"/>
  <c r="BY590" i="13"/>
  <c r="BZ590" i="13"/>
  <c r="CA590" i="13"/>
  <c r="CB590" i="13"/>
  <c r="CC590" i="13"/>
  <c r="CD590" i="13"/>
  <c r="BL591" i="13"/>
  <c r="BM591" i="13"/>
  <c r="BN591" i="13"/>
  <c r="BO591" i="13"/>
  <c r="BP591" i="13"/>
  <c r="BQ591" i="13"/>
  <c r="BR591" i="13"/>
  <c r="BS591" i="13"/>
  <c r="BT591" i="13"/>
  <c r="BU591" i="13"/>
  <c r="BV591" i="13"/>
  <c r="BW591" i="13"/>
  <c r="BX591" i="13"/>
  <c r="BY591" i="13"/>
  <c r="BZ591" i="13"/>
  <c r="CA591" i="13"/>
  <c r="CB591" i="13"/>
  <c r="CC591" i="13"/>
  <c r="CD591" i="13"/>
  <c r="BL592" i="13"/>
  <c r="BM592" i="13"/>
  <c r="BN592" i="13"/>
  <c r="BO592" i="13"/>
  <c r="BP592" i="13"/>
  <c r="BQ592" i="13"/>
  <c r="BR592" i="13"/>
  <c r="BS592" i="13"/>
  <c r="BT592" i="13"/>
  <c r="BU592" i="13"/>
  <c r="BV592" i="13"/>
  <c r="BW592" i="13"/>
  <c r="BX592" i="13"/>
  <c r="BY592" i="13"/>
  <c r="BZ592" i="13"/>
  <c r="CA592" i="13"/>
  <c r="CB592" i="13"/>
  <c r="CC592" i="13"/>
  <c r="CD592" i="13"/>
  <c r="BL593" i="13"/>
  <c r="BM593" i="13"/>
  <c r="BN593" i="13"/>
  <c r="BO593" i="13"/>
  <c r="BP593" i="13"/>
  <c r="BQ593" i="13"/>
  <c r="BR593" i="13"/>
  <c r="BS593" i="13"/>
  <c r="BT593" i="13"/>
  <c r="BU593" i="13"/>
  <c r="BV593" i="13"/>
  <c r="BW593" i="13"/>
  <c r="BX593" i="13"/>
  <c r="BY593" i="13"/>
  <c r="BZ593" i="13"/>
  <c r="CA593" i="13"/>
  <c r="CB593" i="13"/>
  <c r="CC593" i="13"/>
  <c r="CD593" i="13"/>
  <c r="BL594" i="13"/>
  <c r="BM594" i="13"/>
  <c r="BN594" i="13"/>
  <c r="BO594" i="13"/>
  <c r="BP594" i="13"/>
  <c r="BQ594" i="13"/>
  <c r="BR594" i="13"/>
  <c r="BS594" i="13"/>
  <c r="BT594" i="13"/>
  <c r="BU594" i="13"/>
  <c r="BV594" i="13"/>
  <c r="BW594" i="13"/>
  <c r="BX594" i="13"/>
  <c r="BY594" i="13"/>
  <c r="BZ594" i="13"/>
  <c r="CA594" i="13"/>
  <c r="CB594" i="13"/>
  <c r="CC594" i="13"/>
  <c r="CD594" i="13"/>
  <c r="BL595" i="13"/>
  <c r="BM595" i="13"/>
  <c r="BN595" i="13"/>
  <c r="BO595" i="13"/>
  <c r="BP595" i="13"/>
  <c r="BQ595" i="13"/>
  <c r="BR595" i="13"/>
  <c r="BS595" i="13"/>
  <c r="BT595" i="13"/>
  <c r="BU595" i="13"/>
  <c r="BV595" i="13"/>
  <c r="BW595" i="13"/>
  <c r="BX595" i="13"/>
  <c r="BY595" i="13"/>
  <c r="BZ595" i="13"/>
  <c r="CA595" i="13"/>
  <c r="CB595" i="13"/>
  <c r="CC595" i="13"/>
  <c r="CD595" i="13"/>
  <c r="BL596" i="13"/>
  <c r="BM596" i="13"/>
  <c r="BN596" i="13"/>
  <c r="BO596" i="13"/>
  <c r="BP596" i="13"/>
  <c r="BQ596" i="13"/>
  <c r="BR596" i="13"/>
  <c r="BS596" i="13"/>
  <c r="BT596" i="13"/>
  <c r="BU596" i="13"/>
  <c r="BV596" i="13"/>
  <c r="BW596" i="13"/>
  <c r="BX596" i="13"/>
  <c r="BY596" i="13"/>
  <c r="BZ596" i="13"/>
  <c r="CA596" i="13"/>
  <c r="CB596" i="13"/>
  <c r="CC596" i="13"/>
  <c r="CD596" i="13"/>
  <c r="BL597" i="13"/>
  <c r="BM597" i="13"/>
  <c r="BN597" i="13"/>
  <c r="BO597" i="13"/>
  <c r="BP597" i="13"/>
  <c r="BQ597" i="13"/>
  <c r="BR597" i="13"/>
  <c r="BS597" i="13"/>
  <c r="BT597" i="13"/>
  <c r="BU597" i="13"/>
  <c r="BV597" i="13"/>
  <c r="BW597" i="13"/>
  <c r="BX597" i="13"/>
  <c r="BY597" i="13"/>
  <c r="BZ597" i="13"/>
  <c r="CA597" i="13"/>
  <c r="CB597" i="13"/>
  <c r="CC597" i="13"/>
  <c r="CD597" i="13"/>
  <c r="BL598" i="13"/>
  <c r="BM598" i="13"/>
  <c r="BN598" i="13"/>
  <c r="BO598" i="13"/>
  <c r="BP598" i="13"/>
  <c r="BQ598" i="13"/>
  <c r="BR598" i="13"/>
  <c r="BS598" i="13"/>
  <c r="BT598" i="13"/>
  <c r="BU598" i="13"/>
  <c r="BV598" i="13"/>
  <c r="BW598" i="13"/>
  <c r="BX598" i="13"/>
  <c r="BY598" i="13"/>
  <c r="BZ598" i="13"/>
  <c r="CA598" i="13"/>
  <c r="CB598" i="13"/>
  <c r="CC598" i="13"/>
  <c r="CD598" i="13"/>
  <c r="BL599" i="13"/>
  <c r="BM599" i="13"/>
  <c r="BN599" i="13"/>
  <c r="BO599" i="13"/>
  <c r="BP599" i="13"/>
  <c r="BQ599" i="13"/>
  <c r="BR599" i="13"/>
  <c r="BS599" i="13"/>
  <c r="BT599" i="13"/>
  <c r="BU599" i="13"/>
  <c r="BV599" i="13"/>
  <c r="BW599" i="13"/>
  <c r="BX599" i="13"/>
  <c r="BY599" i="13"/>
  <c r="BZ599" i="13"/>
  <c r="CA599" i="13"/>
  <c r="CB599" i="13"/>
  <c r="CC599" i="13"/>
  <c r="CD599" i="13"/>
  <c r="BL600" i="13"/>
  <c r="BM600" i="13"/>
  <c r="BN600" i="13"/>
  <c r="BO600" i="13"/>
  <c r="BP600" i="13"/>
  <c r="BQ600" i="13"/>
  <c r="BR600" i="13"/>
  <c r="BS600" i="13"/>
  <c r="BT600" i="13"/>
  <c r="BU600" i="13"/>
  <c r="BV600" i="13"/>
  <c r="BW600" i="13"/>
  <c r="BX600" i="13"/>
  <c r="BY600" i="13"/>
  <c r="BZ600" i="13"/>
  <c r="CA600" i="13"/>
  <c r="CB600" i="13"/>
  <c r="CC600" i="13"/>
  <c r="CD600" i="13"/>
  <c r="BL601" i="13"/>
  <c r="BM601" i="13"/>
  <c r="BN601" i="13"/>
  <c r="BO601" i="13"/>
  <c r="BP601" i="13"/>
  <c r="BQ601" i="13"/>
  <c r="BR601" i="13"/>
  <c r="BS601" i="13"/>
  <c r="BT601" i="13"/>
  <c r="BU601" i="13"/>
  <c r="BV601" i="13"/>
  <c r="BW601" i="13"/>
  <c r="BX601" i="13"/>
  <c r="BY601" i="13"/>
  <c r="BZ601" i="13"/>
  <c r="CA601" i="13"/>
  <c r="CB601" i="13"/>
  <c r="CC601" i="13"/>
  <c r="CD601" i="13"/>
  <c r="BL602" i="13"/>
  <c r="BM602" i="13"/>
  <c r="BN602" i="13"/>
  <c r="BO602" i="13"/>
  <c r="BP602" i="13"/>
  <c r="BQ602" i="13"/>
  <c r="BR602" i="13"/>
  <c r="BS602" i="13"/>
  <c r="BT602" i="13"/>
  <c r="BU602" i="13"/>
  <c r="BV602" i="13"/>
  <c r="BW602" i="13"/>
  <c r="BX602" i="13"/>
  <c r="BY602" i="13"/>
  <c r="BZ602" i="13"/>
  <c r="CA602" i="13"/>
  <c r="CB602" i="13"/>
  <c r="CC602" i="13"/>
  <c r="CD602" i="13"/>
  <c r="BL603" i="13"/>
  <c r="BM603" i="13"/>
  <c r="BN603" i="13"/>
  <c r="BO603" i="13"/>
  <c r="BP603" i="13"/>
  <c r="BQ603" i="13"/>
  <c r="BR603" i="13"/>
  <c r="BS603" i="13"/>
  <c r="BT603" i="13"/>
  <c r="BU603" i="13"/>
  <c r="BV603" i="13"/>
  <c r="BW603" i="13"/>
  <c r="BX603" i="13"/>
  <c r="BY603" i="13"/>
  <c r="BZ603" i="13"/>
  <c r="CA603" i="13"/>
  <c r="CB603" i="13"/>
  <c r="CC603" i="13"/>
  <c r="CD603" i="13"/>
  <c r="BL604" i="13"/>
  <c r="BM604" i="13"/>
  <c r="BN604" i="13"/>
  <c r="BO604" i="13"/>
  <c r="BP604" i="13"/>
  <c r="BQ604" i="13"/>
  <c r="BR604" i="13"/>
  <c r="BS604" i="13"/>
  <c r="BT604" i="13"/>
  <c r="BU604" i="13"/>
  <c r="BV604" i="13"/>
  <c r="BW604" i="13"/>
  <c r="BX604" i="13"/>
  <c r="BY604" i="13"/>
  <c r="BZ604" i="13"/>
  <c r="CA604" i="13"/>
  <c r="CB604" i="13"/>
  <c r="CC604" i="13"/>
  <c r="CD604" i="13"/>
  <c r="BL605" i="13"/>
  <c r="BM605" i="13"/>
  <c r="BN605" i="13"/>
  <c r="BO605" i="13"/>
  <c r="BP605" i="13"/>
  <c r="BQ605" i="13"/>
  <c r="BR605" i="13"/>
  <c r="BS605" i="13"/>
  <c r="BT605" i="13"/>
  <c r="BU605" i="13"/>
  <c r="BV605" i="13"/>
  <c r="BW605" i="13"/>
  <c r="BX605" i="13"/>
  <c r="BY605" i="13"/>
  <c r="BZ605" i="13"/>
  <c r="CA605" i="13"/>
  <c r="CB605" i="13"/>
  <c r="CC605" i="13"/>
  <c r="CD605" i="13"/>
  <c r="BL606" i="13"/>
  <c r="BM606" i="13"/>
  <c r="BN606" i="13"/>
  <c r="BO606" i="13"/>
  <c r="BP606" i="13"/>
  <c r="BQ606" i="13"/>
  <c r="BR606" i="13"/>
  <c r="BS606" i="13"/>
  <c r="BT606" i="13"/>
  <c r="BU606" i="13"/>
  <c r="BV606" i="13"/>
  <c r="BW606" i="13"/>
  <c r="BX606" i="13"/>
  <c r="BY606" i="13"/>
  <c r="BZ606" i="13"/>
  <c r="CA606" i="13"/>
  <c r="CB606" i="13"/>
  <c r="CC606" i="13"/>
  <c r="CD606" i="13"/>
  <c r="BL607" i="13"/>
  <c r="BM607" i="13"/>
  <c r="BN607" i="13"/>
  <c r="BO607" i="13"/>
  <c r="BP607" i="13"/>
  <c r="BQ607" i="13"/>
  <c r="BR607" i="13"/>
  <c r="BS607" i="13"/>
  <c r="BT607" i="13"/>
  <c r="BU607" i="13"/>
  <c r="BV607" i="13"/>
  <c r="BW607" i="13"/>
  <c r="BX607" i="13"/>
  <c r="BY607" i="13"/>
  <c r="BZ607" i="13"/>
  <c r="CA607" i="13"/>
  <c r="CB607" i="13"/>
  <c r="CC607" i="13"/>
  <c r="CD607" i="13"/>
  <c r="BL608" i="13"/>
  <c r="BM608" i="13"/>
  <c r="BN608" i="13"/>
  <c r="BO608" i="13"/>
  <c r="BP608" i="13"/>
  <c r="BQ608" i="13"/>
  <c r="BR608" i="13"/>
  <c r="BS608" i="13"/>
  <c r="BT608" i="13"/>
  <c r="BU608" i="13"/>
  <c r="BV608" i="13"/>
  <c r="BW608" i="13"/>
  <c r="BX608" i="13"/>
  <c r="BY608" i="13"/>
  <c r="BZ608" i="13"/>
  <c r="CA608" i="13"/>
  <c r="CB608" i="13"/>
  <c r="CC608" i="13"/>
  <c r="CD608" i="13"/>
  <c r="BL609" i="13"/>
  <c r="BM609" i="13"/>
  <c r="BN609" i="13"/>
  <c r="BO609" i="13"/>
  <c r="BP609" i="13"/>
  <c r="BQ609" i="13"/>
  <c r="BR609" i="13"/>
  <c r="BS609" i="13"/>
  <c r="BT609" i="13"/>
  <c r="BU609" i="13"/>
  <c r="BV609" i="13"/>
  <c r="BW609" i="13"/>
  <c r="BX609" i="13"/>
  <c r="BY609" i="13"/>
  <c r="BZ609" i="13"/>
  <c r="CA609" i="13"/>
  <c r="CB609" i="13"/>
  <c r="CC609" i="13"/>
  <c r="CD609" i="13"/>
  <c r="BL610" i="13"/>
  <c r="BM610" i="13"/>
  <c r="BN610" i="13"/>
  <c r="BO610" i="13"/>
  <c r="BP610" i="13"/>
  <c r="BQ610" i="13"/>
  <c r="BR610" i="13"/>
  <c r="BS610" i="13"/>
  <c r="BT610" i="13"/>
  <c r="BU610" i="13"/>
  <c r="BV610" i="13"/>
  <c r="BW610" i="13"/>
  <c r="BX610" i="13"/>
  <c r="BY610" i="13"/>
  <c r="BZ610" i="13"/>
  <c r="CA610" i="13"/>
  <c r="CB610" i="13"/>
  <c r="CC610" i="13"/>
  <c r="CD610" i="13"/>
  <c r="BL611" i="13"/>
  <c r="BM611" i="13"/>
  <c r="BN611" i="13"/>
  <c r="BO611" i="13"/>
  <c r="BP611" i="13"/>
  <c r="BQ611" i="13"/>
  <c r="BR611" i="13"/>
  <c r="BS611" i="13"/>
  <c r="BT611" i="13"/>
  <c r="BU611" i="13"/>
  <c r="BV611" i="13"/>
  <c r="BW611" i="13"/>
  <c r="BX611" i="13"/>
  <c r="BY611" i="13"/>
  <c r="BZ611" i="13"/>
  <c r="CA611" i="13"/>
  <c r="CB611" i="13"/>
  <c r="CC611" i="13"/>
  <c r="CD611" i="13"/>
  <c r="BL612" i="13"/>
  <c r="BM612" i="13"/>
  <c r="BN612" i="13"/>
  <c r="BO612" i="13"/>
  <c r="BP612" i="13"/>
  <c r="BQ612" i="13"/>
  <c r="BR612" i="13"/>
  <c r="BS612" i="13"/>
  <c r="BT612" i="13"/>
  <c r="BU612" i="13"/>
  <c r="BV612" i="13"/>
  <c r="BW612" i="13"/>
  <c r="BX612" i="13"/>
  <c r="BY612" i="13"/>
  <c r="BZ612" i="13"/>
  <c r="CA612" i="13"/>
  <c r="CB612" i="13"/>
  <c r="CC612" i="13"/>
  <c r="CD612" i="13"/>
  <c r="BL613" i="13"/>
  <c r="BM613" i="13"/>
  <c r="BN613" i="13"/>
  <c r="BO613" i="13"/>
  <c r="BP613" i="13"/>
  <c r="BQ613" i="13"/>
  <c r="BR613" i="13"/>
  <c r="BS613" i="13"/>
  <c r="BT613" i="13"/>
  <c r="BU613" i="13"/>
  <c r="BV613" i="13"/>
  <c r="BW613" i="13"/>
  <c r="BX613" i="13"/>
  <c r="BY613" i="13"/>
  <c r="BZ613" i="13"/>
  <c r="CA613" i="13"/>
  <c r="CB613" i="13"/>
  <c r="CC613" i="13"/>
  <c r="CD613" i="13"/>
  <c r="BL614" i="13"/>
  <c r="BM614" i="13"/>
  <c r="BN614" i="13"/>
  <c r="BO614" i="13"/>
  <c r="BP614" i="13"/>
  <c r="BQ614" i="13"/>
  <c r="BR614" i="13"/>
  <c r="BS614" i="13"/>
  <c r="BT614" i="13"/>
  <c r="BU614" i="13"/>
  <c r="BV614" i="13"/>
  <c r="BW614" i="13"/>
  <c r="BX614" i="13"/>
  <c r="BY614" i="13"/>
  <c r="BZ614" i="13"/>
  <c r="CA614" i="13"/>
  <c r="CB614" i="13"/>
  <c r="CC614" i="13"/>
  <c r="CD614" i="13"/>
  <c r="BL615" i="13"/>
  <c r="BM615" i="13"/>
  <c r="BN615" i="13"/>
  <c r="BO615" i="13"/>
  <c r="BP615" i="13"/>
  <c r="BQ615" i="13"/>
  <c r="BR615" i="13"/>
  <c r="BS615" i="13"/>
  <c r="BT615" i="13"/>
  <c r="BU615" i="13"/>
  <c r="BV615" i="13"/>
  <c r="BW615" i="13"/>
  <c r="BX615" i="13"/>
  <c r="BY615" i="13"/>
  <c r="BZ615" i="13"/>
  <c r="CA615" i="13"/>
  <c r="CB615" i="13"/>
  <c r="CC615" i="13"/>
  <c r="CD615" i="13"/>
  <c r="BL616" i="13"/>
  <c r="BM616" i="13"/>
  <c r="BN616" i="13"/>
  <c r="BO616" i="13"/>
  <c r="BP616" i="13"/>
  <c r="BQ616" i="13"/>
  <c r="BR616" i="13"/>
  <c r="BS616" i="13"/>
  <c r="BT616" i="13"/>
  <c r="BU616" i="13"/>
  <c r="BV616" i="13"/>
  <c r="BW616" i="13"/>
  <c r="BX616" i="13"/>
  <c r="BY616" i="13"/>
  <c r="BZ616" i="13"/>
  <c r="CA616" i="13"/>
  <c r="CB616" i="13"/>
  <c r="CC616" i="13"/>
  <c r="CD616" i="13"/>
  <c r="BL617" i="13"/>
  <c r="BM617" i="13"/>
  <c r="BN617" i="13"/>
  <c r="BO617" i="13"/>
  <c r="BP617" i="13"/>
  <c r="BQ617" i="13"/>
  <c r="BR617" i="13"/>
  <c r="BS617" i="13"/>
  <c r="BT617" i="13"/>
  <c r="BU617" i="13"/>
  <c r="BV617" i="13"/>
  <c r="BW617" i="13"/>
  <c r="BX617" i="13"/>
  <c r="BY617" i="13"/>
  <c r="BZ617" i="13"/>
  <c r="CA617" i="13"/>
  <c r="CB617" i="13"/>
  <c r="CC617" i="13"/>
  <c r="CD617" i="13"/>
  <c r="BL618" i="13"/>
  <c r="BM618" i="13"/>
  <c r="BN618" i="13"/>
  <c r="BO618" i="13"/>
  <c r="BP618" i="13"/>
  <c r="BQ618" i="13"/>
  <c r="BR618" i="13"/>
  <c r="BS618" i="13"/>
  <c r="BT618" i="13"/>
  <c r="BU618" i="13"/>
  <c r="BV618" i="13"/>
  <c r="BW618" i="13"/>
  <c r="BX618" i="13"/>
  <c r="BY618" i="13"/>
  <c r="BZ618" i="13"/>
  <c r="CA618" i="13"/>
  <c r="CB618" i="13"/>
  <c r="CC618" i="13"/>
  <c r="CD618" i="13"/>
  <c r="BL619" i="13"/>
  <c r="BM619" i="13"/>
  <c r="BN619" i="13"/>
  <c r="BO619" i="13"/>
  <c r="BP619" i="13"/>
  <c r="BQ619" i="13"/>
  <c r="BR619" i="13"/>
  <c r="BS619" i="13"/>
  <c r="BT619" i="13"/>
  <c r="BU619" i="13"/>
  <c r="BV619" i="13"/>
  <c r="BW619" i="13"/>
  <c r="BX619" i="13"/>
  <c r="BY619" i="13"/>
  <c r="BZ619" i="13"/>
  <c r="CA619" i="13"/>
  <c r="CB619" i="13"/>
  <c r="CC619" i="13"/>
  <c r="CD619" i="13"/>
  <c r="BL620" i="13"/>
  <c r="BM620" i="13"/>
  <c r="BN620" i="13"/>
  <c r="BO620" i="13"/>
  <c r="BP620" i="13"/>
  <c r="BQ620" i="13"/>
  <c r="BR620" i="13"/>
  <c r="BS620" i="13"/>
  <c r="BT620" i="13"/>
  <c r="BU620" i="13"/>
  <c r="BV620" i="13"/>
  <c r="BW620" i="13"/>
  <c r="BX620" i="13"/>
  <c r="BY620" i="13"/>
  <c r="BZ620" i="13"/>
  <c r="CA620" i="13"/>
  <c r="CB620" i="13"/>
  <c r="CC620" i="13"/>
  <c r="CD620" i="13"/>
  <c r="BL621" i="13"/>
  <c r="BM621" i="13"/>
  <c r="BN621" i="13"/>
  <c r="BO621" i="13"/>
  <c r="BP621" i="13"/>
  <c r="BQ621" i="13"/>
  <c r="BR621" i="13"/>
  <c r="BS621" i="13"/>
  <c r="BT621" i="13"/>
  <c r="BU621" i="13"/>
  <c r="BV621" i="13"/>
  <c r="BW621" i="13"/>
  <c r="BX621" i="13"/>
  <c r="BY621" i="13"/>
  <c r="BZ621" i="13"/>
  <c r="CA621" i="13"/>
  <c r="CB621" i="13"/>
  <c r="CC621" i="13"/>
  <c r="CD621" i="13"/>
  <c r="BL622" i="13"/>
  <c r="BM622" i="13"/>
  <c r="BN622" i="13"/>
  <c r="BO622" i="13"/>
  <c r="BP622" i="13"/>
  <c r="BQ622" i="13"/>
  <c r="BR622" i="13"/>
  <c r="BS622" i="13"/>
  <c r="BT622" i="13"/>
  <c r="BU622" i="13"/>
  <c r="BV622" i="13"/>
  <c r="BW622" i="13"/>
  <c r="BX622" i="13"/>
  <c r="BY622" i="13"/>
  <c r="BZ622" i="13"/>
  <c r="CA622" i="13"/>
  <c r="CB622" i="13"/>
  <c r="CC622" i="13"/>
  <c r="CD622" i="13"/>
  <c r="BL623" i="13"/>
  <c r="BM623" i="13"/>
  <c r="BN623" i="13"/>
  <c r="BO623" i="13"/>
  <c r="BP623" i="13"/>
  <c r="BQ623" i="13"/>
  <c r="BR623" i="13"/>
  <c r="BS623" i="13"/>
  <c r="BT623" i="13"/>
  <c r="BU623" i="13"/>
  <c r="BV623" i="13"/>
  <c r="BW623" i="13"/>
  <c r="BX623" i="13"/>
  <c r="BY623" i="13"/>
  <c r="BZ623" i="13"/>
  <c r="CA623" i="13"/>
  <c r="CB623" i="13"/>
  <c r="CC623" i="13"/>
  <c r="CD623" i="13"/>
  <c r="BL624" i="13"/>
  <c r="BM624" i="13"/>
  <c r="BN624" i="13"/>
  <c r="BO624" i="13"/>
  <c r="BP624" i="13"/>
  <c r="BQ624" i="13"/>
  <c r="BR624" i="13"/>
  <c r="BS624" i="13"/>
  <c r="BT624" i="13"/>
  <c r="BU624" i="13"/>
  <c r="BV624" i="13"/>
  <c r="BW624" i="13"/>
  <c r="BX624" i="13"/>
  <c r="BY624" i="13"/>
  <c r="BZ624" i="13"/>
  <c r="CA624" i="13"/>
  <c r="CB624" i="13"/>
  <c r="CC624" i="13"/>
  <c r="CD624" i="13"/>
  <c r="BL625" i="13"/>
  <c r="BM625" i="13"/>
  <c r="BN625" i="13"/>
  <c r="BO625" i="13"/>
  <c r="BP625" i="13"/>
  <c r="BQ625" i="13"/>
  <c r="BR625" i="13"/>
  <c r="BS625" i="13"/>
  <c r="BT625" i="13"/>
  <c r="BU625" i="13"/>
  <c r="BV625" i="13"/>
  <c r="BW625" i="13"/>
  <c r="BX625" i="13"/>
  <c r="BY625" i="13"/>
  <c r="BZ625" i="13"/>
  <c r="CA625" i="13"/>
  <c r="CB625" i="13"/>
  <c r="CC625" i="13"/>
  <c r="CD625" i="13"/>
  <c r="BL626" i="13"/>
  <c r="BM626" i="13"/>
  <c r="BN626" i="13"/>
  <c r="BO626" i="13"/>
  <c r="BP626" i="13"/>
  <c r="BQ626" i="13"/>
  <c r="BR626" i="13"/>
  <c r="BS626" i="13"/>
  <c r="BT626" i="13"/>
  <c r="BU626" i="13"/>
  <c r="BV626" i="13"/>
  <c r="BW626" i="13"/>
  <c r="BX626" i="13"/>
  <c r="BY626" i="13"/>
  <c r="BZ626" i="13"/>
  <c r="CA626" i="13"/>
  <c r="CB626" i="13"/>
  <c r="CC626" i="13"/>
  <c r="CD626" i="13"/>
  <c r="BL627" i="13"/>
  <c r="BM627" i="13"/>
  <c r="BN627" i="13"/>
  <c r="BO627" i="13"/>
  <c r="BP627" i="13"/>
  <c r="BQ627" i="13"/>
  <c r="BR627" i="13"/>
  <c r="BS627" i="13"/>
  <c r="BT627" i="13"/>
  <c r="BU627" i="13"/>
  <c r="BV627" i="13"/>
  <c r="BW627" i="13"/>
  <c r="BX627" i="13"/>
  <c r="BY627" i="13"/>
  <c r="BZ627" i="13"/>
  <c r="CA627" i="13"/>
  <c r="CB627" i="13"/>
  <c r="CC627" i="13"/>
  <c r="CD627" i="13"/>
  <c r="BL628" i="13"/>
  <c r="BM628" i="13"/>
  <c r="BN628" i="13"/>
  <c r="BO628" i="13"/>
  <c r="BP628" i="13"/>
  <c r="BQ628" i="13"/>
  <c r="BR628" i="13"/>
  <c r="BS628" i="13"/>
  <c r="BT628" i="13"/>
  <c r="BU628" i="13"/>
  <c r="BV628" i="13"/>
  <c r="BW628" i="13"/>
  <c r="BX628" i="13"/>
  <c r="BY628" i="13"/>
  <c r="BZ628" i="13"/>
  <c r="CA628" i="13"/>
  <c r="CB628" i="13"/>
  <c r="CC628" i="13"/>
  <c r="CD628" i="13"/>
  <c r="BL629" i="13"/>
  <c r="BM629" i="13"/>
  <c r="BN629" i="13"/>
  <c r="BO629" i="13"/>
  <c r="BP629" i="13"/>
  <c r="BQ629" i="13"/>
  <c r="BR629" i="13"/>
  <c r="BS629" i="13"/>
  <c r="BT629" i="13"/>
  <c r="BU629" i="13"/>
  <c r="BV629" i="13"/>
  <c r="BW629" i="13"/>
  <c r="BX629" i="13"/>
  <c r="BY629" i="13"/>
  <c r="BZ629" i="13"/>
  <c r="CA629" i="13"/>
  <c r="CB629" i="13"/>
  <c r="CC629" i="13"/>
  <c r="CD629" i="13"/>
  <c r="BL630" i="13"/>
  <c r="BM630" i="13"/>
  <c r="BN630" i="13"/>
  <c r="BO630" i="13"/>
  <c r="BP630" i="13"/>
  <c r="BQ630" i="13"/>
  <c r="BR630" i="13"/>
  <c r="BS630" i="13"/>
  <c r="BT630" i="13"/>
  <c r="BU630" i="13"/>
  <c r="BV630" i="13"/>
  <c r="BW630" i="13"/>
  <c r="BX630" i="13"/>
  <c r="BY630" i="13"/>
  <c r="BZ630" i="13"/>
  <c r="CA630" i="13"/>
  <c r="CB630" i="13"/>
  <c r="CC630" i="13"/>
  <c r="CD630" i="13"/>
  <c r="BL631" i="13"/>
  <c r="BM631" i="13"/>
  <c r="BN631" i="13"/>
  <c r="BO631" i="13"/>
  <c r="BP631" i="13"/>
  <c r="BQ631" i="13"/>
  <c r="BR631" i="13"/>
  <c r="BS631" i="13"/>
  <c r="BT631" i="13"/>
  <c r="BU631" i="13"/>
  <c r="BV631" i="13"/>
  <c r="BW631" i="13"/>
  <c r="BX631" i="13"/>
  <c r="BY631" i="13"/>
  <c r="BZ631" i="13"/>
  <c r="CA631" i="13"/>
  <c r="CB631" i="13"/>
  <c r="CC631" i="13"/>
  <c r="CD631" i="13"/>
  <c r="BL632" i="13"/>
  <c r="BM632" i="13"/>
  <c r="BN632" i="13"/>
  <c r="BO632" i="13"/>
  <c r="BP632" i="13"/>
  <c r="BQ632" i="13"/>
  <c r="BR632" i="13"/>
  <c r="BS632" i="13"/>
  <c r="BT632" i="13"/>
  <c r="BU632" i="13"/>
  <c r="BV632" i="13"/>
  <c r="BW632" i="13"/>
  <c r="BX632" i="13"/>
  <c r="BY632" i="13"/>
  <c r="BZ632" i="13"/>
  <c r="CA632" i="13"/>
  <c r="CB632" i="13"/>
  <c r="CC632" i="13"/>
  <c r="CD632" i="13"/>
  <c r="BL633" i="13"/>
  <c r="BM633" i="13"/>
  <c r="BN633" i="13"/>
  <c r="BO633" i="13"/>
  <c r="BP633" i="13"/>
  <c r="BQ633" i="13"/>
  <c r="BR633" i="13"/>
  <c r="BS633" i="13"/>
  <c r="BT633" i="13"/>
  <c r="BU633" i="13"/>
  <c r="BV633" i="13"/>
  <c r="BW633" i="13"/>
  <c r="BX633" i="13"/>
  <c r="BY633" i="13"/>
  <c r="BZ633" i="13"/>
  <c r="CA633" i="13"/>
  <c r="CB633" i="13"/>
  <c r="CC633" i="13"/>
  <c r="CD633" i="13"/>
  <c r="BL634" i="13"/>
  <c r="BM634" i="13"/>
  <c r="BN634" i="13"/>
  <c r="BO634" i="13"/>
  <c r="BP634" i="13"/>
  <c r="BQ634" i="13"/>
  <c r="BR634" i="13"/>
  <c r="BS634" i="13"/>
  <c r="BT634" i="13"/>
  <c r="BU634" i="13"/>
  <c r="BV634" i="13"/>
  <c r="BW634" i="13"/>
  <c r="BX634" i="13"/>
  <c r="BY634" i="13"/>
  <c r="BZ634" i="13"/>
  <c r="CA634" i="13"/>
  <c r="CB634" i="13"/>
  <c r="CC634" i="13"/>
  <c r="CD634" i="13"/>
  <c r="BL635" i="13"/>
  <c r="BM635" i="13"/>
  <c r="BN635" i="13"/>
  <c r="BO635" i="13"/>
  <c r="BP635" i="13"/>
  <c r="BQ635" i="13"/>
  <c r="BR635" i="13"/>
  <c r="BS635" i="13"/>
  <c r="BT635" i="13"/>
  <c r="BU635" i="13"/>
  <c r="BV635" i="13"/>
  <c r="BW635" i="13"/>
  <c r="BX635" i="13"/>
  <c r="BY635" i="13"/>
  <c r="BZ635" i="13"/>
  <c r="CA635" i="13"/>
  <c r="CB635" i="13"/>
  <c r="CC635" i="13"/>
  <c r="CD635" i="13"/>
  <c r="BL636" i="13"/>
  <c r="BM636" i="13"/>
  <c r="BN636" i="13"/>
  <c r="BO636" i="13"/>
  <c r="BP636" i="13"/>
  <c r="BQ636" i="13"/>
  <c r="BR636" i="13"/>
  <c r="BS636" i="13"/>
  <c r="BT636" i="13"/>
  <c r="BU636" i="13"/>
  <c r="BV636" i="13"/>
  <c r="BW636" i="13"/>
  <c r="BX636" i="13"/>
  <c r="BY636" i="13"/>
  <c r="BZ636" i="13"/>
  <c r="CA636" i="13"/>
  <c r="CB636" i="13"/>
  <c r="CC636" i="13"/>
  <c r="CD636" i="13"/>
  <c r="BL637" i="13"/>
  <c r="BM637" i="13"/>
  <c r="BN637" i="13"/>
  <c r="BO637" i="13"/>
  <c r="BP637" i="13"/>
  <c r="BQ637" i="13"/>
  <c r="BR637" i="13"/>
  <c r="BS637" i="13"/>
  <c r="BT637" i="13"/>
  <c r="BU637" i="13"/>
  <c r="BV637" i="13"/>
  <c r="BW637" i="13"/>
  <c r="BX637" i="13"/>
  <c r="BY637" i="13"/>
  <c r="BZ637" i="13"/>
  <c r="CA637" i="13"/>
  <c r="CB637" i="13"/>
  <c r="CC637" i="13"/>
  <c r="CD637" i="13"/>
  <c r="BL638" i="13"/>
  <c r="BM638" i="13"/>
  <c r="BN638" i="13"/>
  <c r="BO638" i="13"/>
  <c r="BP638" i="13"/>
  <c r="BQ638" i="13"/>
  <c r="BR638" i="13"/>
  <c r="BS638" i="13"/>
  <c r="BT638" i="13"/>
  <c r="BU638" i="13"/>
  <c r="BV638" i="13"/>
  <c r="BW638" i="13"/>
  <c r="BX638" i="13"/>
  <c r="BY638" i="13"/>
  <c r="BZ638" i="13"/>
  <c r="CA638" i="13"/>
  <c r="CB638" i="13"/>
  <c r="CC638" i="13"/>
  <c r="CD638" i="13"/>
  <c r="BL639" i="13"/>
  <c r="BM639" i="13"/>
  <c r="BN639" i="13"/>
  <c r="BO639" i="13"/>
  <c r="BP639" i="13"/>
  <c r="BQ639" i="13"/>
  <c r="BR639" i="13"/>
  <c r="BS639" i="13"/>
  <c r="BT639" i="13"/>
  <c r="BU639" i="13"/>
  <c r="BV639" i="13"/>
  <c r="BW639" i="13"/>
  <c r="BX639" i="13"/>
  <c r="BY639" i="13"/>
  <c r="BZ639" i="13"/>
  <c r="CA639" i="13"/>
  <c r="CB639" i="13"/>
  <c r="CC639" i="13"/>
  <c r="CD639" i="13"/>
  <c r="BL640" i="13"/>
  <c r="BM640" i="13"/>
  <c r="BN640" i="13"/>
  <c r="BO640" i="13"/>
  <c r="BP640" i="13"/>
  <c r="BQ640" i="13"/>
  <c r="BR640" i="13"/>
  <c r="BS640" i="13"/>
  <c r="BT640" i="13"/>
  <c r="BU640" i="13"/>
  <c r="BV640" i="13"/>
  <c r="BW640" i="13"/>
  <c r="BX640" i="13"/>
  <c r="BY640" i="13"/>
  <c r="BZ640" i="13"/>
  <c r="CA640" i="13"/>
  <c r="CB640" i="13"/>
  <c r="CC640" i="13"/>
  <c r="CD640" i="13"/>
  <c r="BL641" i="13"/>
  <c r="BM641" i="13"/>
  <c r="BN641" i="13"/>
  <c r="BO641" i="13"/>
  <c r="BP641" i="13"/>
  <c r="BQ641" i="13"/>
  <c r="BR641" i="13"/>
  <c r="BS641" i="13"/>
  <c r="BT641" i="13"/>
  <c r="BU641" i="13"/>
  <c r="BV641" i="13"/>
  <c r="BW641" i="13"/>
  <c r="BX641" i="13"/>
  <c r="BY641" i="13"/>
  <c r="BZ641" i="13"/>
  <c r="CA641" i="13"/>
  <c r="CB641" i="13"/>
  <c r="CC641" i="13"/>
  <c r="CD641" i="13"/>
  <c r="BL642" i="13"/>
  <c r="BM642" i="13"/>
  <c r="BN642" i="13"/>
  <c r="BO642" i="13"/>
  <c r="BP642" i="13"/>
  <c r="BQ642" i="13"/>
  <c r="BR642" i="13"/>
  <c r="BS642" i="13"/>
  <c r="BT642" i="13"/>
  <c r="BU642" i="13"/>
  <c r="BV642" i="13"/>
  <c r="BW642" i="13"/>
  <c r="BX642" i="13"/>
  <c r="BY642" i="13"/>
  <c r="BZ642" i="13"/>
  <c r="CA642" i="13"/>
  <c r="CB642" i="13"/>
  <c r="CC642" i="13"/>
  <c r="CD642" i="13"/>
  <c r="BL643" i="13"/>
  <c r="BM643" i="13"/>
  <c r="BN643" i="13"/>
  <c r="BO643" i="13"/>
  <c r="BP643" i="13"/>
  <c r="BQ643" i="13"/>
  <c r="BR643" i="13"/>
  <c r="BS643" i="13"/>
  <c r="BT643" i="13"/>
  <c r="BU643" i="13"/>
  <c r="BV643" i="13"/>
  <c r="BW643" i="13"/>
  <c r="BX643" i="13"/>
  <c r="BY643" i="13"/>
  <c r="BZ643" i="13"/>
  <c r="CA643" i="13"/>
  <c r="CB643" i="13"/>
  <c r="CC643" i="13"/>
  <c r="CD643" i="13"/>
  <c r="BL644" i="13"/>
  <c r="BM644" i="13"/>
  <c r="BN644" i="13"/>
  <c r="BO644" i="13"/>
  <c r="BP644" i="13"/>
  <c r="BQ644" i="13"/>
  <c r="BR644" i="13"/>
  <c r="BS644" i="13"/>
  <c r="BT644" i="13"/>
  <c r="BU644" i="13"/>
  <c r="BV644" i="13"/>
  <c r="BW644" i="13"/>
  <c r="BX644" i="13"/>
  <c r="BY644" i="13"/>
  <c r="BZ644" i="13"/>
  <c r="CA644" i="13"/>
  <c r="CB644" i="13"/>
  <c r="CC644" i="13"/>
  <c r="CD644" i="13"/>
  <c r="BL645" i="13"/>
  <c r="BM645" i="13"/>
  <c r="BN645" i="13"/>
  <c r="BO645" i="13"/>
  <c r="BP645" i="13"/>
  <c r="BQ645" i="13"/>
  <c r="BR645" i="13"/>
  <c r="BS645" i="13"/>
  <c r="BT645" i="13"/>
  <c r="BU645" i="13"/>
  <c r="BV645" i="13"/>
  <c r="BW645" i="13"/>
  <c r="BX645" i="13"/>
  <c r="BY645" i="13"/>
  <c r="BZ645" i="13"/>
  <c r="CA645" i="13"/>
  <c r="CB645" i="13"/>
  <c r="CC645" i="13"/>
  <c r="CD645" i="13"/>
  <c r="BL646" i="13"/>
  <c r="BM646" i="13"/>
  <c r="BN646" i="13"/>
  <c r="BO646" i="13"/>
  <c r="BP646" i="13"/>
  <c r="BQ646" i="13"/>
  <c r="BR646" i="13"/>
  <c r="BS646" i="13"/>
  <c r="BT646" i="13"/>
  <c r="BU646" i="13"/>
  <c r="BV646" i="13"/>
  <c r="BW646" i="13"/>
  <c r="BX646" i="13"/>
  <c r="BY646" i="13"/>
  <c r="BZ646" i="13"/>
  <c r="CA646" i="13"/>
  <c r="CB646" i="13"/>
  <c r="CC646" i="13"/>
  <c r="CD646" i="13"/>
  <c r="BL647" i="13"/>
  <c r="BM647" i="13"/>
  <c r="BN647" i="13"/>
  <c r="BO647" i="13"/>
  <c r="BP647" i="13"/>
  <c r="BQ647" i="13"/>
  <c r="BR647" i="13"/>
  <c r="BS647" i="13"/>
  <c r="BT647" i="13"/>
  <c r="BU647" i="13"/>
  <c r="BV647" i="13"/>
  <c r="BW647" i="13"/>
  <c r="BX647" i="13"/>
  <c r="BY647" i="13"/>
  <c r="BZ647" i="13"/>
  <c r="CA647" i="13"/>
  <c r="CB647" i="13"/>
  <c r="CC647" i="13"/>
  <c r="CD647" i="13"/>
  <c r="BL648" i="13"/>
  <c r="BM648" i="13"/>
  <c r="BN648" i="13"/>
  <c r="BO648" i="13"/>
  <c r="BP648" i="13"/>
  <c r="BQ648" i="13"/>
  <c r="BR648" i="13"/>
  <c r="BS648" i="13"/>
  <c r="BT648" i="13"/>
  <c r="BU648" i="13"/>
  <c r="BV648" i="13"/>
  <c r="BW648" i="13"/>
  <c r="BX648" i="13"/>
  <c r="BY648" i="13"/>
  <c r="BZ648" i="13"/>
  <c r="CA648" i="13"/>
  <c r="CB648" i="13"/>
  <c r="CC648" i="13"/>
  <c r="CD648" i="13"/>
  <c r="BL649" i="13"/>
  <c r="BM649" i="13"/>
  <c r="BN649" i="13"/>
  <c r="BO649" i="13"/>
  <c r="BP649" i="13"/>
  <c r="BQ649" i="13"/>
  <c r="BR649" i="13"/>
  <c r="BS649" i="13"/>
  <c r="BT649" i="13"/>
  <c r="BU649" i="13"/>
  <c r="BV649" i="13"/>
  <c r="BW649" i="13"/>
  <c r="BX649" i="13"/>
  <c r="BY649" i="13"/>
  <c r="BZ649" i="13"/>
  <c r="CA649" i="13"/>
  <c r="CB649" i="13"/>
  <c r="CC649" i="13"/>
  <c r="CD649" i="13"/>
  <c r="BL650" i="13"/>
  <c r="BM650" i="13"/>
  <c r="BN650" i="13"/>
  <c r="BO650" i="13"/>
  <c r="BP650" i="13"/>
  <c r="BQ650" i="13"/>
  <c r="BR650" i="13"/>
  <c r="BS650" i="13"/>
  <c r="BT650" i="13"/>
  <c r="BU650" i="13"/>
  <c r="BV650" i="13"/>
  <c r="BW650" i="13"/>
  <c r="BX650" i="13"/>
  <c r="BY650" i="13"/>
  <c r="BZ650" i="13"/>
  <c r="CA650" i="13"/>
  <c r="CB650" i="13"/>
  <c r="CC650" i="13"/>
  <c r="CD650" i="13"/>
  <c r="BL651" i="13"/>
  <c r="BM651" i="13"/>
  <c r="BN651" i="13"/>
  <c r="BO651" i="13"/>
  <c r="BP651" i="13"/>
  <c r="BQ651" i="13"/>
  <c r="BR651" i="13"/>
  <c r="BS651" i="13"/>
  <c r="BT651" i="13"/>
  <c r="BU651" i="13"/>
  <c r="BV651" i="13"/>
  <c r="BW651" i="13"/>
  <c r="BX651" i="13"/>
  <c r="BY651" i="13"/>
  <c r="BZ651" i="13"/>
  <c r="CA651" i="13"/>
  <c r="CB651" i="13"/>
  <c r="CC651" i="13"/>
  <c r="CD651" i="13"/>
  <c r="BL652" i="13"/>
  <c r="BM652" i="13"/>
  <c r="BN652" i="13"/>
  <c r="BO652" i="13"/>
  <c r="BP652" i="13"/>
  <c r="BQ652" i="13"/>
  <c r="BR652" i="13"/>
  <c r="BS652" i="13"/>
  <c r="BT652" i="13"/>
  <c r="BU652" i="13"/>
  <c r="BV652" i="13"/>
  <c r="BW652" i="13"/>
  <c r="BX652" i="13"/>
  <c r="BY652" i="13"/>
  <c r="BZ652" i="13"/>
  <c r="CA652" i="13"/>
  <c r="CB652" i="13"/>
  <c r="CC652" i="13"/>
  <c r="CD652" i="13"/>
  <c r="BL653" i="13"/>
  <c r="BM653" i="13"/>
  <c r="BN653" i="13"/>
  <c r="BO653" i="13"/>
  <c r="BP653" i="13"/>
  <c r="BQ653" i="13"/>
  <c r="BR653" i="13"/>
  <c r="BS653" i="13"/>
  <c r="BT653" i="13"/>
  <c r="BU653" i="13"/>
  <c r="BV653" i="13"/>
  <c r="BW653" i="13"/>
  <c r="BX653" i="13"/>
  <c r="BY653" i="13"/>
  <c r="BZ653" i="13"/>
  <c r="CA653" i="13"/>
  <c r="CB653" i="13"/>
  <c r="CC653" i="13"/>
  <c r="CD653" i="13"/>
  <c r="BL654" i="13"/>
  <c r="BM654" i="13"/>
  <c r="BN654" i="13"/>
  <c r="BO654" i="13"/>
  <c r="BP654" i="13"/>
  <c r="BQ654" i="13"/>
  <c r="BR654" i="13"/>
  <c r="BS654" i="13"/>
  <c r="BT654" i="13"/>
  <c r="BU654" i="13"/>
  <c r="BV654" i="13"/>
  <c r="BW654" i="13"/>
  <c r="BX654" i="13"/>
  <c r="BY654" i="13"/>
  <c r="BZ654" i="13"/>
  <c r="CA654" i="13"/>
  <c r="CB654" i="13"/>
  <c r="CC654" i="13"/>
  <c r="CD654" i="13"/>
  <c r="BL655" i="13"/>
  <c r="BM655" i="13"/>
  <c r="BN655" i="13"/>
  <c r="BO655" i="13"/>
  <c r="BP655" i="13"/>
  <c r="BQ655" i="13"/>
  <c r="BR655" i="13"/>
  <c r="BS655" i="13"/>
  <c r="BT655" i="13"/>
  <c r="BU655" i="13"/>
  <c r="BV655" i="13"/>
  <c r="BW655" i="13"/>
  <c r="BX655" i="13"/>
  <c r="BY655" i="13"/>
  <c r="BZ655" i="13"/>
  <c r="CA655" i="13"/>
  <c r="CB655" i="13"/>
  <c r="CC655" i="13"/>
  <c r="CD655" i="13"/>
  <c r="BL656" i="13"/>
  <c r="BM656" i="13"/>
  <c r="BN656" i="13"/>
  <c r="BO656" i="13"/>
  <c r="BP656" i="13"/>
  <c r="BQ656" i="13"/>
  <c r="BR656" i="13"/>
  <c r="BS656" i="13"/>
  <c r="BT656" i="13"/>
  <c r="BU656" i="13"/>
  <c r="BV656" i="13"/>
  <c r="BW656" i="13"/>
  <c r="BX656" i="13"/>
  <c r="BY656" i="13"/>
  <c r="BZ656" i="13"/>
  <c r="CA656" i="13"/>
  <c r="CB656" i="13"/>
  <c r="CC656" i="13"/>
  <c r="CD656" i="13"/>
  <c r="BL657" i="13"/>
  <c r="BM657" i="13"/>
  <c r="BN657" i="13"/>
  <c r="BO657" i="13"/>
  <c r="BP657" i="13"/>
  <c r="BQ657" i="13"/>
  <c r="BR657" i="13"/>
  <c r="BS657" i="13"/>
  <c r="BT657" i="13"/>
  <c r="BU657" i="13"/>
  <c r="BV657" i="13"/>
  <c r="BW657" i="13"/>
  <c r="BX657" i="13"/>
  <c r="BY657" i="13"/>
  <c r="BZ657" i="13"/>
  <c r="CA657" i="13"/>
  <c r="CB657" i="13"/>
  <c r="CC657" i="13"/>
  <c r="CD657" i="13"/>
  <c r="BL658" i="13"/>
  <c r="BM658" i="13"/>
  <c r="BN658" i="13"/>
  <c r="BO658" i="13"/>
  <c r="BP658" i="13"/>
  <c r="BQ658" i="13"/>
  <c r="BR658" i="13"/>
  <c r="BS658" i="13"/>
  <c r="BT658" i="13"/>
  <c r="BU658" i="13"/>
  <c r="BV658" i="13"/>
  <c r="BW658" i="13"/>
  <c r="BX658" i="13"/>
  <c r="BY658" i="13"/>
  <c r="BZ658" i="13"/>
  <c r="CA658" i="13"/>
  <c r="CB658" i="13"/>
  <c r="CC658" i="13"/>
  <c r="CD658" i="13"/>
  <c r="BL659" i="13"/>
  <c r="BM659" i="13"/>
  <c r="BN659" i="13"/>
  <c r="BO659" i="13"/>
  <c r="BP659" i="13"/>
  <c r="BQ659" i="13"/>
  <c r="BR659" i="13"/>
  <c r="BS659" i="13"/>
  <c r="BT659" i="13"/>
  <c r="BU659" i="13"/>
  <c r="BV659" i="13"/>
  <c r="BW659" i="13"/>
  <c r="BX659" i="13"/>
  <c r="BY659" i="13"/>
  <c r="BZ659" i="13"/>
  <c r="CA659" i="13"/>
  <c r="CB659" i="13"/>
  <c r="CC659" i="13"/>
  <c r="CD659" i="13"/>
  <c r="BL660" i="13"/>
  <c r="BM660" i="13"/>
  <c r="BN660" i="13"/>
  <c r="BO660" i="13"/>
  <c r="BP660" i="13"/>
  <c r="BQ660" i="13"/>
  <c r="BR660" i="13"/>
  <c r="BS660" i="13"/>
  <c r="BT660" i="13"/>
  <c r="BU660" i="13"/>
  <c r="BV660" i="13"/>
  <c r="BW660" i="13"/>
  <c r="BX660" i="13"/>
  <c r="BY660" i="13"/>
  <c r="BZ660" i="13"/>
  <c r="CA660" i="13"/>
  <c r="CB660" i="13"/>
  <c r="CC660" i="13"/>
  <c r="CD660" i="13"/>
  <c r="BL661" i="13"/>
  <c r="BM661" i="13"/>
  <c r="BN661" i="13"/>
  <c r="BO661" i="13"/>
  <c r="BP661" i="13"/>
  <c r="BQ661" i="13"/>
  <c r="BR661" i="13"/>
  <c r="BS661" i="13"/>
  <c r="BT661" i="13"/>
  <c r="BU661" i="13"/>
  <c r="BV661" i="13"/>
  <c r="BW661" i="13"/>
  <c r="BX661" i="13"/>
  <c r="BY661" i="13"/>
  <c r="BZ661" i="13"/>
  <c r="CA661" i="13"/>
  <c r="CB661" i="13"/>
  <c r="CC661" i="13"/>
  <c r="CD661" i="13"/>
  <c r="BL662" i="13"/>
  <c r="BM662" i="13"/>
  <c r="BN662" i="13"/>
  <c r="BO662" i="13"/>
  <c r="BP662" i="13"/>
  <c r="BQ662" i="13"/>
  <c r="BR662" i="13"/>
  <c r="BS662" i="13"/>
  <c r="BT662" i="13"/>
  <c r="BU662" i="13"/>
  <c r="BV662" i="13"/>
  <c r="BW662" i="13"/>
  <c r="BX662" i="13"/>
  <c r="BY662" i="13"/>
  <c r="BZ662" i="13"/>
  <c r="CA662" i="13"/>
  <c r="CB662" i="13"/>
  <c r="CC662" i="13"/>
  <c r="CD662" i="13"/>
  <c r="BL663" i="13"/>
  <c r="BM663" i="13"/>
  <c r="BN663" i="13"/>
  <c r="BO663" i="13"/>
  <c r="BP663" i="13"/>
  <c r="BQ663" i="13"/>
  <c r="BR663" i="13"/>
  <c r="BS663" i="13"/>
  <c r="BT663" i="13"/>
  <c r="BU663" i="13"/>
  <c r="BV663" i="13"/>
  <c r="BW663" i="13"/>
  <c r="BX663" i="13"/>
  <c r="BY663" i="13"/>
  <c r="BZ663" i="13"/>
  <c r="CA663" i="13"/>
  <c r="CB663" i="13"/>
  <c r="CC663" i="13"/>
  <c r="CD663" i="13"/>
  <c r="BL664" i="13"/>
  <c r="BM664" i="13"/>
  <c r="BN664" i="13"/>
  <c r="BO664" i="13"/>
  <c r="BP664" i="13"/>
  <c r="BQ664" i="13"/>
  <c r="BR664" i="13"/>
  <c r="BS664" i="13"/>
  <c r="BT664" i="13"/>
  <c r="BU664" i="13"/>
  <c r="BV664" i="13"/>
  <c r="BW664" i="13"/>
  <c r="BX664" i="13"/>
  <c r="BY664" i="13"/>
  <c r="BZ664" i="13"/>
  <c r="CA664" i="13"/>
  <c r="CB664" i="13"/>
  <c r="CC664" i="13"/>
  <c r="CD664" i="13"/>
  <c r="BL665" i="13"/>
  <c r="BM665" i="13"/>
  <c r="BN665" i="13"/>
  <c r="BO665" i="13"/>
  <c r="BP665" i="13"/>
  <c r="BQ665" i="13"/>
  <c r="BR665" i="13"/>
  <c r="BS665" i="13"/>
  <c r="BT665" i="13"/>
  <c r="BU665" i="13"/>
  <c r="BV665" i="13"/>
  <c r="BW665" i="13"/>
  <c r="BX665" i="13"/>
  <c r="BY665" i="13"/>
  <c r="BZ665" i="13"/>
  <c r="CA665" i="13"/>
  <c r="CB665" i="13"/>
  <c r="CC665" i="13"/>
  <c r="CD665" i="13"/>
  <c r="BL666" i="13"/>
  <c r="BM666" i="13"/>
  <c r="BN666" i="13"/>
  <c r="BO666" i="13"/>
  <c r="BP666" i="13"/>
  <c r="BQ666" i="13"/>
  <c r="BR666" i="13"/>
  <c r="BS666" i="13"/>
  <c r="BT666" i="13"/>
  <c r="BU666" i="13"/>
  <c r="BV666" i="13"/>
  <c r="BW666" i="13"/>
  <c r="BX666" i="13"/>
  <c r="BY666" i="13"/>
  <c r="BZ666" i="13"/>
  <c r="CA666" i="13"/>
  <c r="CB666" i="13"/>
  <c r="CC666" i="13"/>
  <c r="CD666" i="13"/>
  <c r="BL667" i="13"/>
  <c r="BM667" i="13"/>
  <c r="BN667" i="13"/>
  <c r="BO667" i="13"/>
  <c r="BP667" i="13"/>
  <c r="BQ667" i="13"/>
  <c r="BR667" i="13"/>
  <c r="BS667" i="13"/>
  <c r="BT667" i="13"/>
  <c r="BU667" i="13"/>
  <c r="BV667" i="13"/>
  <c r="BW667" i="13"/>
  <c r="BX667" i="13"/>
  <c r="BY667" i="13"/>
  <c r="BZ667" i="13"/>
  <c r="CA667" i="13"/>
  <c r="CB667" i="13"/>
  <c r="CC667" i="13"/>
  <c r="CD667" i="13"/>
  <c r="BL668" i="13"/>
  <c r="BM668" i="13"/>
  <c r="BN668" i="13"/>
  <c r="BO668" i="13"/>
  <c r="BP668" i="13"/>
  <c r="BQ668" i="13"/>
  <c r="BR668" i="13"/>
  <c r="BS668" i="13"/>
  <c r="BT668" i="13"/>
  <c r="BU668" i="13"/>
  <c r="BV668" i="13"/>
  <c r="BW668" i="13"/>
  <c r="BX668" i="13"/>
  <c r="BY668" i="13"/>
  <c r="BZ668" i="13"/>
  <c r="CA668" i="13"/>
  <c r="CB668" i="13"/>
  <c r="CC668" i="13"/>
  <c r="CD668" i="13"/>
  <c r="BL669" i="13"/>
  <c r="BM669" i="13"/>
  <c r="BN669" i="13"/>
  <c r="BO669" i="13"/>
  <c r="BP669" i="13"/>
  <c r="BQ669" i="13"/>
  <c r="BR669" i="13"/>
  <c r="BS669" i="13"/>
  <c r="BT669" i="13"/>
  <c r="BU669" i="13"/>
  <c r="BV669" i="13"/>
  <c r="BW669" i="13"/>
  <c r="BX669" i="13"/>
  <c r="BY669" i="13"/>
  <c r="BZ669" i="13"/>
  <c r="CA669" i="13"/>
  <c r="CB669" i="13"/>
  <c r="CC669" i="13"/>
  <c r="CD669" i="13"/>
  <c r="BL670" i="13"/>
  <c r="BM670" i="13"/>
  <c r="BN670" i="13"/>
  <c r="BO670" i="13"/>
  <c r="BP670" i="13"/>
  <c r="BQ670" i="13"/>
  <c r="BR670" i="13"/>
  <c r="BS670" i="13"/>
  <c r="BT670" i="13"/>
  <c r="BU670" i="13"/>
  <c r="BV670" i="13"/>
  <c r="BW670" i="13"/>
  <c r="BX670" i="13"/>
  <c r="BY670" i="13"/>
  <c r="BZ670" i="13"/>
  <c r="CA670" i="13"/>
  <c r="CB670" i="13"/>
  <c r="CC670" i="13"/>
  <c r="CD670" i="13"/>
  <c r="BL671" i="13"/>
  <c r="BM671" i="13"/>
  <c r="BN671" i="13"/>
  <c r="BO671" i="13"/>
  <c r="BP671" i="13"/>
  <c r="BQ671" i="13"/>
  <c r="BR671" i="13"/>
  <c r="BS671" i="13"/>
  <c r="BT671" i="13"/>
  <c r="BU671" i="13"/>
  <c r="BV671" i="13"/>
  <c r="BW671" i="13"/>
  <c r="BX671" i="13"/>
  <c r="BY671" i="13"/>
  <c r="BZ671" i="13"/>
  <c r="CA671" i="13"/>
  <c r="CB671" i="13"/>
  <c r="CC671" i="13"/>
  <c r="CD671" i="13"/>
  <c r="BL672" i="13"/>
  <c r="BM672" i="13"/>
  <c r="BN672" i="13"/>
  <c r="BO672" i="13"/>
  <c r="BP672" i="13"/>
  <c r="BQ672" i="13"/>
  <c r="BR672" i="13"/>
  <c r="BS672" i="13"/>
  <c r="BT672" i="13"/>
  <c r="BU672" i="13"/>
  <c r="BV672" i="13"/>
  <c r="BW672" i="13"/>
  <c r="BX672" i="13"/>
  <c r="BY672" i="13"/>
  <c r="BZ672" i="13"/>
  <c r="CA672" i="13"/>
  <c r="CB672" i="13"/>
  <c r="CC672" i="13"/>
  <c r="CD672" i="13"/>
  <c r="BL673" i="13"/>
  <c r="BM673" i="13"/>
  <c r="BN673" i="13"/>
  <c r="BO673" i="13"/>
  <c r="BP673" i="13"/>
  <c r="BQ673" i="13"/>
  <c r="BR673" i="13"/>
  <c r="BS673" i="13"/>
  <c r="BT673" i="13"/>
  <c r="BU673" i="13"/>
  <c r="BV673" i="13"/>
  <c r="BW673" i="13"/>
  <c r="BX673" i="13"/>
  <c r="BY673" i="13"/>
  <c r="BZ673" i="13"/>
  <c r="CA673" i="13"/>
  <c r="CB673" i="13"/>
  <c r="CC673" i="13"/>
  <c r="CD673" i="13"/>
  <c r="BL674" i="13"/>
  <c r="BM674" i="13"/>
  <c r="BN674" i="13"/>
  <c r="BO674" i="13"/>
  <c r="BP674" i="13"/>
  <c r="BQ674" i="13"/>
  <c r="BR674" i="13"/>
  <c r="BS674" i="13"/>
  <c r="BT674" i="13"/>
  <c r="BU674" i="13"/>
  <c r="BV674" i="13"/>
  <c r="BW674" i="13"/>
  <c r="BX674" i="13"/>
  <c r="BY674" i="13"/>
  <c r="BZ674" i="13"/>
  <c r="CA674" i="13"/>
  <c r="CB674" i="13"/>
  <c r="CC674" i="13"/>
  <c r="CD674" i="13"/>
  <c r="BL675" i="13"/>
  <c r="BM675" i="13"/>
  <c r="BN675" i="13"/>
  <c r="BO675" i="13"/>
  <c r="BP675" i="13"/>
  <c r="BQ675" i="13"/>
  <c r="BR675" i="13"/>
  <c r="BS675" i="13"/>
  <c r="BT675" i="13"/>
  <c r="BU675" i="13"/>
  <c r="BV675" i="13"/>
  <c r="BW675" i="13"/>
  <c r="BX675" i="13"/>
  <c r="BY675" i="13"/>
  <c r="BZ675" i="13"/>
  <c r="CA675" i="13"/>
  <c r="CB675" i="13"/>
  <c r="CC675" i="13"/>
  <c r="CD675" i="13"/>
  <c r="BL676" i="13"/>
  <c r="BM676" i="13"/>
  <c r="BN676" i="13"/>
  <c r="BO676" i="13"/>
  <c r="BP676" i="13"/>
  <c r="BQ676" i="13"/>
  <c r="BR676" i="13"/>
  <c r="BS676" i="13"/>
  <c r="BT676" i="13"/>
  <c r="BU676" i="13"/>
  <c r="BV676" i="13"/>
  <c r="BW676" i="13"/>
  <c r="BX676" i="13"/>
  <c r="BY676" i="13"/>
  <c r="BZ676" i="13"/>
  <c r="CA676" i="13"/>
  <c r="CB676" i="13"/>
  <c r="CC676" i="13"/>
  <c r="CD676" i="13"/>
  <c r="BL677" i="13"/>
  <c r="BM677" i="13"/>
  <c r="BN677" i="13"/>
  <c r="BO677" i="13"/>
  <c r="BP677" i="13"/>
  <c r="BQ677" i="13"/>
  <c r="BR677" i="13"/>
  <c r="BS677" i="13"/>
  <c r="BT677" i="13"/>
  <c r="BU677" i="13"/>
  <c r="BV677" i="13"/>
  <c r="BW677" i="13"/>
  <c r="BX677" i="13"/>
  <c r="BY677" i="13"/>
  <c r="BZ677" i="13"/>
  <c r="CA677" i="13"/>
  <c r="CB677" i="13"/>
  <c r="CC677" i="13"/>
  <c r="CD677" i="13"/>
  <c r="BL678" i="13"/>
  <c r="BM678" i="13"/>
  <c r="BN678" i="13"/>
  <c r="BO678" i="13"/>
  <c r="BP678" i="13"/>
  <c r="BQ678" i="13"/>
  <c r="BR678" i="13"/>
  <c r="BS678" i="13"/>
  <c r="BT678" i="13"/>
  <c r="BU678" i="13"/>
  <c r="BV678" i="13"/>
  <c r="BW678" i="13"/>
  <c r="BX678" i="13"/>
  <c r="BY678" i="13"/>
  <c r="BZ678" i="13"/>
  <c r="CA678" i="13"/>
  <c r="CB678" i="13"/>
  <c r="CC678" i="13"/>
  <c r="CD678" i="13"/>
  <c r="BL679" i="13"/>
  <c r="BM679" i="13"/>
  <c r="BN679" i="13"/>
  <c r="BO679" i="13"/>
  <c r="BP679" i="13"/>
  <c r="BQ679" i="13"/>
  <c r="BR679" i="13"/>
  <c r="BS679" i="13"/>
  <c r="BT679" i="13"/>
  <c r="BU679" i="13"/>
  <c r="BV679" i="13"/>
  <c r="BW679" i="13"/>
  <c r="BX679" i="13"/>
  <c r="BY679" i="13"/>
  <c r="BZ679" i="13"/>
  <c r="CA679" i="13"/>
  <c r="CB679" i="13"/>
  <c r="CC679" i="13"/>
  <c r="CD679" i="13"/>
  <c r="BL680" i="13"/>
  <c r="BM680" i="13"/>
  <c r="BN680" i="13"/>
  <c r="BO680" i="13"/>
  <c r="BP680" i="13"/>
  <c r="BQ680" i="13"/>
  <c r="BR680" i="13"/>
  <c r="BS680" i="13"/>
  <c r="BT680" i="13"/>
  <c r="BU680" i="13"/>
  <c r="BV680" i="13"/>
  <c r="BW680" i="13"/>
  <c r="BX680" i="13"/>
  <c r="BY680" i="13"/>
  <c r="BZ680" i="13"/>
  <c r="CA680" i="13"/>
  <c r="CB680" i="13"/>
  <c r="CC680" i="13"/>
  <c r="CD680" i="13"/>
  <c r="BL681" i="13"/>
  <c r="BM681" i="13"/>
  <c r="BN681" i="13"/>
  <c r="BO681" i="13"/>
  <c r="BP681" i="13"/>
  <c r="BQ681" i="13"/>
  <c r="BR681" i="13"/>
  <c r="BS681" i="13"/>
  <c r="BT681" i="13"/>
  <c r="BU681" i="13"/>
  <c r="BV681" i="13"/>
  <c r="BW681" i="13"/>
  <c r="BX681" i="13"/>
  <c r="BY681" i="13"/>
  <c r="BZ681" i="13"/>
  <c r="CA681" i="13"/>
  <c r="CB681" i="13"/>
  <c r="CC681" i="13"/>
  <c r="CD681" i="13"/>
  <c r="BL682" i="13"/>
  <c r="BM682" i="13"/>
  <c r="BN682" i="13"/>
  <c r="BO682" i="13"/>
  <c r="BP682" i="13"/>
  <c r="BQ682" i="13"/>
  <c r="BR682" i="13"/>
  <c r="BS682" i="13"/>
  <c r="BT682" i="13"/>
  <c r="BU682" i="13"/>
  <c r="BV682" i="13"/>
  <c r="BW682" i="13"/>
  <c r="BX682" i="13"/>
  <c r="BY682" i="13"/>
  <c r="BZ682" i="13"/>
  <c r="CA682" i="13"/>
  <c r="CB682" i="13"/>
  <c r="CC682" i="13"/>
  <c r="CD682" i="13"/>
  <c r="BL683" i="13"/>
  <c r="BM683" i="13"/>
  <c r="BN683" i="13"/>
  <c r="BO683" i="13"/>
  <c r="BP683" i="13"/>
  <c r="BQ683" i="13"/>
  <c r="BR683" i="13"/>
  <c r="BS683" i="13"/>
  <c r="BT683" i="13"/>
  <c r="BU683" i="13"/>
  <c r="BV683" i="13"/>
  <c r="BW683" i="13"/>
  <c r="BX683" i="13"/>
  <c r="BY683" i="13"/>
  <c r="BZ683" i="13"/>
  <c r="CA683" i="13"/>
  <c r="CB683" i="13"/>
  <c r="CC683" i="13"/>
  <c r="CD683" i="13"/>
  <c r="BL684" i="13"/>
  <c r="BM684" i="13"/>
  <c r="BN684" i="13"/>
  <c r="BO684" i="13"/>
  <c r="BP684" i="13"/>
  <c r="BQ684" i="13"/>
  <c r="BR684" i="13"/>
  <c r="BS684" i="13"/>
  <c r="BT684" i="13"/>
  <c r="BU684" i="13"/>
  <c r="BV684" i="13"/>
  <c r="BW684" i="13"/>
  <c r="BX684" i="13"/>
  <c r="BY684" i="13"/>
  <c r="BZ684" i="13"/>
  <c r="CA684" i="13"/>
  <c r="CB684" i="13"/>
  <c r="CC684" i="13"/>
  <c r="CD684" i="13"/>
  <c r="BL685" i="13"/>
  <c r="BM685" i="13"/>
  <c r="BN685" i="13"/>
  <c r="BO685" i="13"/>
  <c r="BP685" i="13"/>
  <c r="BQ685" i="13"/>
  <c r="BR685" i="13"/>
  <c r="BS685" i="13"/>
  <c r="BT685" i="13"/>
  <c r="BU685" i="13"/>
  <c r="BV685" i="13"/>
  <c r="BW685" i="13"/>
  <c r="BX685" i="13"/>
  <c r="BY685" i="13"/>
  <c r="BZ685" i="13"/>
  <c r="CA685" i="13"/>
  <c r="CB685" i="13"/>
  <c r="CC685" i="13"/>
  <c r="CD685" i="13"/>
  <c r="BL686" i="13"/>
  <c r="BM686" i="13"/>
  <c r="BN686" i="13"/>
  <c r="BO686" i="13"/>
  <c r="BP686" i="13"/>
  <c r="BQ686" i="13"/>
  <c r="BR686" i="13"/>
  <c r="BS686" i="13"/>
  <c r="BT686" i="13"/>
  <c r="BU686" i="13"/>
  <c r="BV686" i="13"/>
  <c r="BW686" i="13"/>
  <c r="BX686" i="13"/>
  <c r="BY686" i="13"/>
  <c r="BZ686" i="13"/>
  <c r="CA686" i="13"/>
  <c r="CB686" i="13"/>
  <c r="CC686" i="13"/>
  <c r="CD686" i="13"/>
  <c r="BL687" i="13"/>
  <c r="BM687" i="13"/>
  <c r="BN687" i="13"/>
  <c r="BO687" i="13"/>
  <c r="BP687" i="13"/>
  <c r="BQ687" i="13"/>
  <c r="BR687" i="13"/>
  <c r="BS687" i="13"/>
  <c r="BT687" i="13"/>
  <c r="BU687" i="13"/>
  <c r="BV687" i="13"/>
  <c r="BW687" i="13"/>
  <c r="BX687" i="13"/>
  <c r="BY687" i="13"/>
  <c r="BZ687" i="13"/>
  <c r="CA687" i="13"/>
  <c r="CB687" i="13"/>
  <c r="CC687" i="13"/>
  <c r="CD687" i="13"/>
  <c r="BL688" i="13"/>
  <c r="BM688" i="13"/>
  <c r="BN688" i="13"/>
  <c r="BO688" i="13"/>
  <c r="BP688" i="13"/>
  <c r="BQ688" i="13"/>
  <c r="BR688" i="13"/>
  <c r="BS688" i="13"/>
  <c r="BT688" i="13"/>
  <c r="BU688" i="13"/>
  <c r="BV688" i="13"/>
  <c r="BW688" i="13"/>
  <c r="BX688" i="13"/>
  <c r="BY688" i="13"/>
  <c r="BZ688" i="13"/>
  <c r="CA688" i="13"/>
  <c r="CB688" i="13"/>
  <c r="CC688" i="13"/>
  <c r="CD688" i="13"/>
  <c r="BL689" i="13"/>
  <c r="BM689" i="13"/>
  <c r="BN689" i="13"/>
  <c r="BO689" i="13"/>
  <c r="BP689" i="13"/>
  <c r="BQ689" i="13"/>
  <c r="BR689" i="13"/>
  <c r="BS689" i="13"/>
  <c r="BT689" i="13"/>
  <c r="BU689" i="13"/>
  <c r="BV689" i="13"/>
  <c r="BW689" i="13"/>
  <c r="BX689" i="13"/>
  <c r="BY689" i="13"/>
  <c r="BZ689" i="13"/>
  <c r="CA689" i="13"/>
  <c r="CB689" i="13"/>
  <c r="CC689" i="13"/>
  <c r="CD689" i="13"/>
  <c r="BL690" i="13"/>
  <c r="BM690" i="13"/>
  <c r="BN690" i="13"/>
  <c r="BO690" i="13"/>
  <c r="BP690" i="13"/>
  <c r="BQ690" i="13"/>
  <c r="BR690" i="13"/>
  <c r="BS690" i="13"/>
  <c r="BT690" i="13"/>
  <c r="BU690" i="13"/>
  <c r="BV690" i="13"/>
  <c r="BW690" i="13"/>
  <c r="BX690" i="13"/>
  <c r="BY690" i="13"/>
  <c r="BZ690" i="13"/>
  <c r="CA690" i="13"/>
  <c r="CB690" i="13"/>
  <c r="CC690" i="13"/>
  <c r="CD690" i="13"/>
  <c r="BL691" i="13"/>
  <c r="BM691" i="13"/>
  <c r="BN691" i="13"/>
  <c r="BO691" i="13"/>
  <c r="BP691" i="13"/>
  <c r="BQ691" i="13"/>
  <c r="BR691" i="13"/>
  <c r="BS691" i="13"/>
  <c r="BT691" i="13"/>
  <c r="BU691" i="13"/>
  <c r="BV691" i="13"/>
  <c r="BW691" i="13"/>
  <c r="BX691" i="13"/>
  <c r="BY691" i="13"/>
  <c r="BZ691" i="13"/>
  <c r="CA691" i="13"/>
  <c r="CB691" i="13"/>
  <c r="CC691" i="13"/>
  <c r="CD691" i="13"/>
  <c r="BL692" i="13"/>
  <c r="BM692" i="13"/>
  <c r="BN692" i="13"/>
  <c r="BO692" i="13"/>
  <c r="BP692" i="13"/>
  <c r="BQ692" i="13"/>
  <c r="BR692" i="13"/>
  <c r="BS692" i="13"/>
  <c r="BT692" i="13"/>
  <c r="BU692" i="13"/>
  <c r="BV692" i="13"/>
  <c r="BW692" i="13"/>
  <c r="BX692" i="13"/>
  <c r="BY692" i="13"/>
  <c r="BZ692" i="13"/>
  <c r="CA692" i="13"/>
  <c r="CB692" i="13"/>
  <c r="CC692" i="13"/>
  <c r="CD692" i="13"/>
  <c r="BL693" i="13"/>
  <c r="BM693" i="13"/>
  <c r="BN693" i="13"/>
  <c r="BO693" i="13"/>
  <c r="BP693" i="13"/>
  <c r="BQ693" i="13"/>
  <c r="BR693" i="13"/>
  <c r="BS693" i="13"/>
  <c r="BT693" i="13"/>
  <c r="BU693" i="13"/>
  <c r="BV693" i="13"/>
  <c r="BW693" i="13"/>
  <c r="BX693" i="13"/>
  <c r="BY693" i="13"/>
  <c r="BZ693" i="13"/>
  <c r="CA693" i="13"/>
  <c r="CB693" i="13"/>
  <c r="CC693" i="13"/>
  <c r="CD693" i="13"/>
  <c r="BL694" i="13"/>
  <c r="BM694" i="13"/>
  <c r="BN694" i="13"/>
  <c r="BO694" i="13"/>
  <c r="BP694" i="13"/>
  <c r="BQ694" i="13"/>
  <c r="BR694" i="13"/>
  <c r="BS694" i="13"/>
  <c r="BT694" i="13"/>
  <c r="BU694" i="13"/>
  <c r="BV694" i="13"/>
  <c r="BW694" i="13"/>
  <c r="BX694" i="13"/>
  <c r="BY694" i="13"/>
  <c r="BZ694" i="13"/>
  <c r="CA694" i="13"/>
  <c r="CB694" i="13"/>
  <c r="CC694" i="13"/>
  <c r="CD694" i="13"/>
  <c r="BL695" i="13"/>
  <c r="BM695" i="13"/>
  <c r="BN695" i="13"/>
  <c r="BO695" i="13"/>
  <c r="BP695" i="13"/>
  <c r="BQ695" i="13"/>
  <c r="BR695" i="13"/>
  <c r="BS695" i="13"/>
  <c r="BT695" i="13"/>
  <c r="BU695" i="13"/>
  <c r="BV695" i="13"/>
  <c r="BW695" i="13"/>
  <c r="BX695" i="13"/>
  <c r="BY695" i="13"/>
  <c r="BZ695" i="13"/>
  <c r="CA695" i="13"/>
  <c r="CB695" i="13"/>
  <c r="CC695" i="13"/>
  <c r="CD695" i="13"/>
  <c r="BL696" i="13"/>
  <c r="BM696" i="13"/>
  <c r="BN696" i="13"/>
  <c r="BO696" i="13"/>
  <c r="BP696" i="13"/>
  <c r="BQ696" i="13"/>
  <c r="BR696" i="13"/>
  <c r="BS696" i="13"/>
  <c r="BT696" i="13"/>
  <c r="BU696" i="13"/>
  <c r="BV696" i="13"/>
  <c r="BW696" i="13"/>
  <c r="BX696" i="13"/>
  <c r="BY696" i="13"/>
  <c r="BZ696" i="13"/>
  <c r="CA696" i="13"/>
  <c r="CB696" i="13"/>
  <c r="CC696" i="13"/>
  <c r="CD696" i="13"/>
  <c r="BL697" i="13"/>
  <c r="BM697" i="13"/>
  <c r="BN697" i="13"/>
  <c r="BO697" i="13"/>
  <c r="BP697" i="13"/>
  <c r="BQ697" i="13"/>
  <c r="BR697" i="13"/>
  <c r="BS697" i="13"/>
  <c r="BT697" i="13"/>
  <c r="BU697" i="13"/>
  <c r="BV697" i="13"/>
  <c r="BW697" i="13"/>
  <c r="BX697" i="13"/>
  <c r="BY697" i="13"/>
  <c r="BZ697" i="13"/>
  <c r="CA697" i="13"/>
  <c r="CB697" i="13"/>
  <c r="CC697" i="13"/>
  <c r="CD697" i="13"/>
  <c r="BL698" i="13"/>
  <c r="BM698" i="13"/>
  <c r="BN698" i="13"/>
  <c r="BO698" i="13"/>
  <c r="BP698" i="13"/>
  <c r="BQ698" i="13"/>
  <c r="BR698" i="13"/>
  <c r="BS698" i="13"/>
  <c r="BT698" i="13"/>
  <c r="BU698" i="13"/>
  <c r="BV698" i="13"/>
  <c r="BW698" i="13"/>
  <c r="BX698" i="13"/>
  <c r="BY698" i="13"/>
  <c r="BZ698" i="13"/>
  <c r="CA698" i="13"/>
  <c r="CB698" i="13"/>
  <c r="CC698" i="13"/>
  <c r="CD698" i="13"/>
  <c r="BL699" i="13"/>
  <c r="BM699" i="13"/>
  <c r="BN699" i="13"/>
  <c r="BO699" i="13"/>
  <c r="BP699" i="13"/>
  <c r="BQ699" i="13"/>
  <c r="BR699" i="13"/>
  <c r="BS699" i="13"/>
  <c r="BT699" i="13"/>
  <c r="BU699" i="13"/>
  <c r="BV699" i="13"/>
  <c r="BW699" i="13"/>
  <c r="BX699" i="13"/>
  <c r="BY699" i="13"/>
  <c r="BZ699" i="13"/>
  <c r="CA699" i="13"/>
  <c r="CB699" i="13"/>
  <c r="CC699" i="13"/>
  <c r="CD699" i="13"/>
  <c r="BL700" i="13"/>
  <c r="BM700" i="13"/>
  <c r="BN700" i="13"/>
  <c r="BO700" i="13"/>
  <c r="BP700" i="13"/>
  <c r="BQ700" i="13"/>
  <c r="BR700" i="13"/>
  <c r="BS700" i="13"/>
  <c r="BT700" i="13"/>
  <c r="BU700" i="13"/>
  <c r="BV700" i="13"/>
  <c r="BW700" i="13"/>
  <c r="BX700" i="13"/>
  <c r="BY700" i="13"/>
  <c r="BZ700" i="13"/>
  <c r="CA700" i="13"/>
  <c r="CB700" i="13"/>
  <c r="CC700" i="13"/>
  <c r="CD700" i="13"/>
  <c r="BL701" i="13"/>
  <c r="BM701" i="13"/>
  <c r="BN701" i="13"/>
  <c r="BO701" i="13"/>
  <c r="BP701" i="13"/>
  <c r="BQ701" i="13"/>
  <c r="BR701" i="13"/>
  <c r="BS701" i="13"/>
  <c r="BT701" i="13"/>
  <c r="BU701" i="13"/>
  <c r="BV701" i="13"/>
  <c r="BW701" i="13"/>
  <c r="BX701" i="13"/>
  <c r="BY701" i="13"/>
  <c r="BZ701" i="13"/>
  <c r="CA701" i="13"/>
  <c r="CB701" i="13"/>
  <c r="CC701" i="13"/>
  <c r="CD701" i="13"/>
  <c r="BL702" i="13"/>
  <c r="BM702" i="13"/>
  <c r="BN702" i="13"/>
  <c r="BO702" i="13"/>
  <c r="BP702" i="13"/>
  <c r="BQ702" i="13"/>
  <c r="BR702" i="13"/>
  <c r="BS702" i="13"/>
  <c r="BT702" i="13"/>
  <c r="BU702" i="13"/>
  <c r="BV702" i="13"/>
  <c r="BW702" i="13"/>
  <c r="BX702" i="13"/>
  <c r="BY702" i="13"/>
  <c r="BZ702" i="13"/>
  <c r="CA702" i="13"/>
  <c r="CB702" i="13"/>
  <c r="CC702" i="13"/>
  <c r="CD702" i="13"/>
  <c r="BL703" i="13"/>
  <c r="BM703" i="13"/>
  <c r="BN703" i="13"/>
  <c r="BO703" i="13"/>
  <c r="BP703" i="13"/>
  <c r="BQ703" i="13"/>
  <c r="BR703" i="13"/>
  <c r="BS703" i="13"/>
  <c r="BT703" i="13"/>
  <c r="BU703" i="13"/>
  <c r="BV703" i="13"/>
  <c r="BW703" i="13"/>
  <c r="BX703" i="13"/>
  <c r="BY703" i="13"/>
  <c r="BZ703" i="13"/>
  <c r="CA703" i="13"/>
  <c r="CB703" i="13"/>
  <c r="CC703" i="13"/>
  <c r="CD703" i="13"/>
  <c r="BL704" i="13"/>
  <c r="BM704" i="13"/>
  <c r="BN704" i="13"/>
  <c r="BO704" i="13"/>
  <c r="BP704" i="13"/>
  <c r="BQ704" i="13"/>
  <c r="BR704" i="13"/>
  <c r="BS704" i="13"/>
  <c r="BT704" i="13"/>
  <c r="BU704" i="13"/>
  <c r="BV704" i="13"/>
  <c r="BW704" i="13"/>
  <c r="BX704" i="13"/>
  <c r="BY704" i="13"/>
  <c r="BZ704" i="13"/>
  <c r="CA704" i="13"/>
  <c r="CB704" i="13"/>
  <c r="CC704" i="13"/>
  <c r="CD704" i="13"/>
  <c r="BL705" i="13"/>
  <c r="BM705" i="13"/>
  <c r="BN705" i="13"/>
  <c r="BO705" i="13"/>
  <c r="BP705" i="13"/>
  <c r="BQ705" i="13"/>
  <c r="BR705" i="13"/>
  <c r="BS705" i="13"/>
  <c r="BT705" i="13"/>
  <c r="BU705" i="13"/>
  <c r="BV705" i="13"/>
  <c r="BW705" i="13"/>
  <c r="BX705" i="13"/>
  <c r="BY705" i="13"/>
  <c r="BZ705" i="13"/>
  <c r="CA705" i="13"/>
  <c r="CB705" i="13"/>
  <c r="CC705" i="13"/>
  <c r="CD705" i="13"/>
  <c r="BL706" i="13"/>
  <c r="BM706" i="13"/>
  <c r="BN706" i="13"/>
  <c r="BO706" i="13"/>
  <c r="BP706" i="13"/>
  <c r="BQ706" i="13"/>
  <c r="BR706" i="13"/>
  <c r="BS706" i="13"/>
  <c r="BT706" i="13"/>
  <c r="BU706" i="13"/>
  <c r="BV706" i="13"/>
  <c r="BW706" i="13"/>
  <c r="BX706" i="13"/>
  <c r="BY706" i="13"/>
  <c r="BZ706" i="13"/>
  <c r="CA706" i="13"/>
  <c r="CB706" i="13"/>
  <c r="CC706" i="13"/>
  <c r="CD706" i="13"/>
  <c r="BL707" i="13"/>
  <c r="BM707" i="13"/>
  <c r="BN707" i="13"/>
  <c r="BO707" i="13"/>
  <c r="BP707" i="13"/>
  <c r="BQ707" i="13"/>
  <c r="BR707" i="13"/>
  <c r="BS707" i="13"/>
  <c r="BT707" i="13"/>
  <c r="BU707" i="13"/>
  <c r="BV707" i="13"/>
  <c r="BW707" i="13"/>
  <c r="BX707" i="13"/>
  <c r="BY707" i="13"/>
  <c r="BZ707" i="13"/>
  <c r="CA707" i="13"/>
  <c r="CB707" i="13"/>
  <c r="CC707" i="13"/>
  <c r="CD707" i="13"/>
  <c r="BL708" i="13"/>
  <c r="BM708" i="13"/>
  <c r="BN708" i="13"/>
  <c r="BO708" i="13"/>
  <c r="BP708" i="13"/>
  <c r="BQ708" i="13"/>
  <c r="BR708" i="13"/>
  <c r="BS708" i="13"/>
  <c r="BT708" i="13"/>
  <c r="BU708" i="13"/>
  <c r="BV708" i="13"/>
  <c r="BW708" i="13"/>
  <c r="BX708" i="13"/>
  <c r="BY708" i="13"/>
  <c r="BZ708" i="13"/>
  <c r="CA708" i="13"/>
  <c r="CB708" i="13"/>
  <c r="CC708" i="13"/>
  <c r="CD708" i="13"/>
  <c r="BL709" i="13"/>
  <c r="BM709" i="13"/>
  <c r="BN709" i="13"/>
  <c r="BO709" i="13"/>
  <c r="BP709" i="13"/>
  <c r="BQ709" i="13"/>
  <c r="BR709" i="13"/>
  <c r="BS709" i="13"/>
  <c r="BT709" i="13"/>
  <c r="BU709" i="13"/>
  <c r="BV709" i="13"/>
  <c r="BW709" i="13"/>
  <c r="BX709" i="13"/>
  <c r="BY709" i="13"/>
  <c r="BZ709" i="13"/>
  <c r="CA709" i="13"/>
  <c r="CB709" i="13"/>
  <c r="CC709" i="13"/>
  <c r="CD709" i="13"/>
  <c r="BL710" i="13"/>
  <c r="BM710" i="13"/>
  <c r="BN710" i="13"/>
  <c r="BO710" i="13"/>
  <c r="BP710" i="13"/>
  <c r="BQ710" i="13"/>
  <c r="BR710" i="13"/>
  <c r="BS710" i="13"/>
  <c r="BT710" i="13"/>
  <c r="BU710" i="13"/>
  <c r="BV710" i="13"/>
  <c r="BW710" i="13"/>
  <c r="BX710" i="13"/>
  <c r="BY710" i="13"/>
  <c r="BZ710" i="13"/>
  <c r="CA710" i="13"/>
  <c r="CB710" i="13"/>
  <c r="CC710" i="13"/>
  <c r="CD710" i="13"/>
  <c r="BL711" i="13"/>
  <c r="BM711" i="13"/>
  <c r="BN711" i="13"/>
  <c r="BO711" i="13"/>
  <c r="BP711" i="13"/>
  <c r="BQ711" i="13"/>
  <c r="BR711" i="13"/>
  <c r="BS711" i="13"/>
  <c r="BT711" i="13"/>
  <c r="BU711" i="13"/>
  <c r="BV711" i="13"/>
  <c r="BW711" i="13"/>
  <c r="BX711" i="13"/>
  <c r="BY711" i="13"/>
  <c r="BZ711" i="13"/>
  <c r="CA711" i="13"/>
  <c r="CB711" i="13"/>
  <c r="CC711" i="13"/>
  <c r="CD711" i="13"/>
  <c r="BL712" i="13"/>
  <c r="BM712" i="13"/>
  <c r="BN712" i="13"/>
  <c r="BO712" i="13"/>
  <c r="BP712" i="13"/>
  <c r="BQ712" i="13"/>
  <c r="BR712" i="13"/>
  <c r="BS712" i="13"/>
  <c r="BT712" i="13"/>
  <c r="BU712" i="13"/>
  <c r="BV712" i="13"/>
  <c r="BW712" i="13"/>
  <c r="BX712" i="13"/>
  <c r="BY712" i="13"/>
  <c r="BZ712" i="13"/>
  <c r="CA712" i="13"/>
  <c r="CB712" i="13"/>
  <c r="CC712" i="13"/>
  <c r="CD712" i="13"/>
  <c r="BL713" i="13"/>
  <c r="BM713" i="13"/>
  <c r="BN713" i="13"/>
  <c r="BO713" i="13"/>
  <c r="BP713" i="13"/>
  <c r="BQ713" i="13"/>
  <c r="BR713" i="13"/>
  <c r="BS713" i="13"/>
  <c r="BT713" i="13"/>
  <c r="BU713" i="13"/>
  <c r="BV713" i="13"/>
  <c r="BW713" i="13"/>
  <c r="BX713" i="13"/>
  <c r="BY713" i="13"/>
  <c r="BZ713" i="13"/>
  <c r="CA713" i="13"/>
  <c r="CB713" i="13"/>
  <c r="CC713" i="13"/>
  <c r="CD713" i="13"/>
  <c r="BL714" i="13"/>
  <c r="BM714" i="13"/>
  <c r="BN714" i="13"/>
  <c r="BO714" i="13"/>
  <c r="BP714" i="13"/>
  <c r="BQ714" i="13"/>
  <c r="BR714" i="13"/>
  <c r="BS714" i="13"/>
  <c r="BT714" i="13"/>
  <c r="BU714" i="13"/>
  <c r="BV714" i="13"/>
  <c r="BW714" i="13"/>
  <c r="BX714" i="13"/>
  <c r="BY714" i="13"/>
  <c r="BZ714" i="13"/>
  <c r="CA714" i="13"/>
  <c r="CB714" i="13"/>
  <c r="CC714" i="13"/>
  <c r="CD714" i="13"/>
  <c r="BL715" i="13"/>
  <c r="BM715" i="13"/>
  <c r="BN715" i="13"/>
  <c r="BO715" i="13"/>
  <c r="BP715" i="13"/>
  <c r="BQ715" i="13"/>
  <c r="BR715" i="13"/>
  <c r="BS715" i="13"/>
  <c r="BT715" i="13"/>
  <c r="BU715" i="13"/>
  <c r="BV715" i="13"/>
  <c r="BW715" i="13"/>
  <c r="BX715" i="13"/>
  <c r="BY715" i="13"/>
  <c r="BZ715" i="13"/>
  <c r="CA715" i="13"/>
  <c r="CB715" i="13"/>
  <c r="CC715" i="13"/>
  <c r="CD715" i="13"/>
  <c r="BL716" i="13"/>
  <c r="BM716" i="13"/>
  <c r="BN716" i="13"/>
  <c r="BO716" i="13"/>
  <c r="BP716" i="13"/>
  <c r="BQ716" i="13"/>
  <c r="BR716" i="13"/>
  <c r="BS716" i="13"/>
  <c r="BT716" i="13"/>
  <c r="BU716" i="13"/>
  <c r="BV716" i="13"/>
  <c r="BW716" i="13"/>
  <c r="BX716" i="13"/>
  <c r="BY716" i="13"/>
  <c r="BZ716" i="13"/>
  <c r="CA716" i="13"/>
  <c r="CB716" i="13"/>
  <c r="CC716" i="13"/>
  <c r="CD716" i="13"/>
  <c r="BL717" i="13"/>
  <c r="BM717" i="13"/>
  <c r="BN717" i="13"/>
  <c r="BO717" i="13"/>
  <c r="BP717" i="13"/>
  <c r="BQ717" i="13"/>
  <c r="BR717" i="13"/>
  <c r="BS717" i="13"/>
  <c r="BT717" i="13"/>
  <c r="BU717" i="13"/>
  <c r="BV717" i="13"/>
  <c r="BW717" i="13"/>
  <c r="BX717" i="13"/>
  <c r="BY717" i="13"/>
  <c r="BZ717" i="13"/>
  <c r="CA717" i="13"/>
  <c r="CB717" i="13"/>
  <c r="CC717" i="13"/>
  <c r="CD717" i="13"/>
  <c r="BL718" i="13"/>
  <c r="BM718" i="13"/>
  <c r="BN718" i="13"/>
  <c r="BO718" i="13"/>
  <c r="BP718" i="13"/>
  <c r="BQ718" i="13"/>
  <c r="BR718" i="13"/>
  <c r="BS718" i="13"/>
  <c r="BT718" i="13"/>
  <c r="BU718" i="13"/>
  <c r="BV718" i="13"/>
  <c r="BW718" i="13"/>
  <c r="BX718" i="13"/>
  <c r="BY718" i="13"/>
  <c r="BZ718" i="13"/>
  <c r="CA718" i="13"/>
  <c r="CB718" i="13"/>
  <c r="CC718" i="13"/>
  <c r="CD718" i="13"/>
  <c r="BL719" i="13"/>
  <c r="BM719" i="13"/>
  <c r="BN719" i="13"/>
  <c r="BO719" i="13"/>
  <c r="BP719" i="13"/>
  <c r="BQ719" i="13"/>
  <c r="BR719" i="13"/>
  <c r="BS719" i="13"/>
  <c r="BT719" i="13"/>
  <c r="BU719" i="13"/>
  <c r="BV719" i="13"/>
  <c r="BW719" i="13"/>
  <c r="BX719" i="13"/>
  <c r="BY719" i="13"/>
  <c r="BZ719" i="13"/>
  <c r="CA719" i="13"/>
  <c r="CB719" i="13"/>
  <c r="CC719" i="13"/>
  <c r="CD719" i="13"/>
  <c r="BL720" i="13"/>
  <c r="BM720" i="13"/>
  <c r="BN720" i="13"/>
  <c r="BO720" i="13"/>
  <c r="BP720" i="13"/>
  <c r="BQ720" i="13"/>
  <c r="BR720" i="13"/>
  <c r="BS720" i="13"/>
  <c r="BT720" i="13"/>
  <c r="BU720" i="13"/>
  <c r="BV720" i="13"/>
  <c r="BW720" i="13"/>
  <c r="BX720" i="13"/>
  <c r="BY720" i="13"/>
  <c r="BZ720" i="13"/>
  <c r="CA720" i="13"/>
  <c r="CB720" i="13"/>
  <c r="CC720" i="13"/>
  <c r="CD720" i="13"/>
  <c r="BL721" i="13"/>
  <c r="BM721" i="13"/>
  <c r="BN721" i="13"/>
  <c r="BO721" i="13"/>
  <c r="BP721" i="13"/>
  <c r="BQ721" i="13"/>
  <c r="BR721" i="13"/>
  <c r="BS721" i="13"/>
  <c r="BT721" i="13"/>
  <c r="BU721" i="13"/>
  <c r="BV721" i="13"/>
  <c r="BW721" i="13"/>
  <c r="BX721" i="13"/>
  <c r="BY721" i="13"/>
  <c r="BZ721" i="13"/>
  <c r="CA721" i="13"/>
  <c r="CB721" i="13"/>
  <c r="CC721" i="13"/>
  <c r="CD721" i="13"/>
  <c r="BL722" i="13"/>
  <c r="BM722" i="13"/>
  <c r="BN722" i="13"/>
  <c r="BO722" i="13"/>
  <c r="BP722" i="13"/>
  <c r="BQ722" i="13"/>
  <c r="BR722" i="13"/>
  <c r="BS722" i="13"/>
  <c r="BT722" i="13"/>
  <c r="BU722" i="13"/>
  <c r="BV722" i="13"/>
  <c r="BW722" i="13"/>
  <c r="BX722" i="13"/>
  <c r="BY722" i="13"/>
  <c r="BZ722" i="13"/>
  <c r="CA722" i="13"/>
  <c r="CB722" i="13"/>
  <c r="CC722" i="13"/>
  <c r="CD722" i="13"/>
  <c r="BL723" i="13"/>
  <c r="BM723" i="13"/>
  <c r="BN723" i="13"/>
  <c r="BO723" i="13"/>
  <c r="BP723" i="13"/>
  <c r="BQ723" i="13"/>
  <c r="BR723" i="13"/>
  <c r="BS723" i="13"/>
  <c r="BT723" i="13"/>
  <c r="BU723" i="13"/>
  <c r="BV723" i="13"/>
  <c r="BW723" i="13"/>
  <c r="BX723" i="13"/>
  <c r="BY723" i="13"/>
  <c r="BZ723" i="13"/>
  <c r="CA723" i="13"/>
  <c r="CB723" i="13"/>
  <c r="CC723" i="13"/>
  <c r="CD723" i="13"/>
  <c r="BL724" i="13"/>
  <c r="BM724" i="13"/>
  <c r="BN724" i="13"/>
  <c r="BO724" i="13"/>
  <c r="BP724" i="13"/>
  <c r="BQ724" i="13"/>
  <c r="BR724" i="13"/>
  <c r="BS724" i="13"/>
  <c r="BT724" i="13"/>
  <c r="BU724" i="13"/>
  <c r="BV724" i="13"/>
  <c r="BW724" i="13"/>
  <c r="BX724" i="13"/>
  <c r="BY724" i="13"/>
  <c r="BZ724" i="13"/>
  <c r="CA724" i="13"/>
  <c r="CB724" i="13"/>
  <c r="CC724" i="13"/>
  <c r="CD724" i="13"/>
  <c r="BL725" i="13"/>
  <c r="BM725" i="13"/>
  <c r="BN725" i="13"/>
  <c r="BO725" i="13"/>
  <c r="BP725" i="13"/>
  <c r="BQ725" i="13"/>
  <c r="BR725" i="13"/>
  <c r="BS725" i="13"/>
  <c r="BT725" i="13"/>
  <c r="BU725" i="13"/>
  <c r="BV725" i="13"/>
  <c r="BW725" i="13"/>
  <c r="BX725" i="13"/>
  <c r="BY725" i="13"/>
  <c r="BZ725" i="13"/>
  <c r="CA725" i="13"/>
  <c r="CB725" i="13"/>
  <c r="CC725" i="13"/>
  <c r="CD725" i="13"/>
  <c r="BL726" i="13"/>
  <c r="BM726" i="13"/>
  <c r="BN726" i="13"/>
  <c r="BO726" i="13"/>
  <c r="BP726" i="13"/>
  <c r="BQ726" i="13"/>
  <c r="BR726" i="13"/>
  <c r="BS726" i="13"/>
  <c r="BT726" i="13"/>
  <c r="BU726" i="13"/>
  <c r="BV726" i="13"/>
  <c r="BW726" i="13"/>
  <c r="BX726" i="13"/>
  <c r="BY726" i="13"/>
  <c r="BZ726" i="13"/>
  <c r="CA726" i="13"/>
  <c r="CB726" i="13"/>
  <c r="CC726" i="13"/>
  <c r="CD726" i="13"/>
  <c r="BL727" i="13"/>
  <c r="BM727" i="13"/>
  <c r="BN727" i="13"/>
  <c r="BO727" i="13"/>
  <c r="BP727" i="13"/>
  <c r="BQ727" i="13"/>
  <c r="BR727" i="13"/>
  <c r="BS727" i="13"/>
  <c r="BT727" i="13"/>
  <c r="BU727" i="13"/>
  <c r="BV727" i="13"/>
  <c r="BW727" i="13"/>
  <c r="BX727" i="13"/>
  <c r="BY727" i="13"/>
  <c r="BZ727" i="13"/>
  <c r="CA727" i="13"/>
  <c r="CB727" i="13"/>
  <c r="CC727" i="13"/>
  <c r="CD727" i="13"/>
  <c r="BL728" i="13"/>
  <c r="BM728" i="13"/>
  <c r="BN728" i="13"/>
  <c r="BO728" i="13"/>
  <c r="BP728" i="13"/>
  <c r="BQ728" i="13"/>
  <c r="BR728" i="13"/>
  <c r="BS728" i="13"/>
  <c r="BT728" i="13"/>
  <c r="BU728" i="13"/>
  <c r="BV728" i="13"/>
  <c r="BW728" i="13"/>
  <c r="BX728" i="13"/>
  <c r="BY728" i="13"/>
  <c r="BZ728" i="13"/>
  <c r="CA728" i="13"/>
  <c r="CB728" i="13"/>
  <c r="CC728" i="13"/>
  <c r="CD728" i="13"/>
  <c r="BL729" i="13"/>
  <c r="BM729" i="13"/>
  <c r="BN729" i="13"/>
  <c r="BO729" i="13"/>
  <c r="BP729" i="13"/>
  <c r="BQ729" i="13"/>
  <c r="BR729" i="13"/>
  <c r="BS729" i="13"/>
  <c r="BT729" i="13"/>
  <c r="BU729" i="13"/>
  <c r="BV729" i="13"/>
  <c r="BW729" i="13"/>
  <c r="BX729" i="13"/>
  <c r="BY729" i="13"/>
  <c r="BZ729" i="13"/>
  <c r="CA729" i="13"/>
  <c r="CB729" i="13"/>
  <c r="CC729" i="13"/>
  <c r="CD729" i="13"/>
  <c r="BL730" i="13"/>
  <c r="BM730" i="13"/>
  <c r="BN730" i="13"/>
  <c r="BO730" i="13"/>
  <c r="BP730" i="13"/>
  <c r="BQ730" i="13"/>
  <c r="BR730" i="13"/>
  <c r="BS730" i="13"/>
  <c r="BT730" i="13"/>
  <c r="BU730" i="13"/>
  <c r="BV730" i="13"/>
  <c r="BW730" i="13"/>
  <c r="BX730" i="13"/>
  <c r="BY730" i="13"/>
  <c r="BZ730" i="13"/>
  <c r="CA730" i="13"/>
  <c r="CB730" i="13"/>
  <c r="CC730" i="13"/>
  <c r="CD730" i="13"/>
  <c r="BL731" i="13"/>
  <c r="BM731" i="13"/>
  <c r="BN731" i="13"/>
  <c r="BO731" i="13"/>
  <c r="BP731" i="13"/>
  <c r="BQ731" i="13"/>
  <c r="BR731" i="13"/>
  <c r="BS731" i="13"/>
  <c r="BT731" i="13"/>
  <c r="BU731" i="13"/>
  <c r="BV731" i="13"/>
  <c r="BW731" i="13"/>
  <c r="BX731" i="13"/>
  <c r="BY731" i="13"/>
  <c r="BZ731" i="13"/>
  <c r="CA731" i="13"/>
  <c r="CB731" i="13"/>
  <c r="CC731" i="13"/>
  <c r="CD731" i="13"/>
  <c r="BL732" i="13"/>
  <c r="BM732" i="13"/>
  <c r="BN732" i="13"/>
  <c r="BO732" i="13"/>
  <c r="BP732" i="13"/>
  <c r="BQ732" i="13"/>
  <c r="BR732" i="13"/>
  <c r="BS732" i="13"/>
  <c r="BT732" i="13"/>
  <c r="BU732" i="13"/>
  <c r="BV732" i="13"/>
  <c r="BW732" i="13"/>
  <c r="BX732" i="13"/>
  <c r="BY732" i="13"/>
  <c r="BZ732" i="13"/>
  <c r="CA732" i="13"/>
  <c r="CB732" i="13"/>
  <c r="CC732" i="13"/>
  <c r="CD732" i="13"/>
  <c r="BL733" i="13"/>
  <c r="BM733" i="13"/>
  <c r="BN733" i="13"/>
  <c r="BO733" i="13"/>
  <c r="BP733" i="13"/>
  <c r="BQ733" i="13"/>
  <c r="BR733" i="13"/>
  <c r="BS733" i="13"/>
  <c r="BT733" i="13"/>
  <c r="BU733" i="13"/>
  <c r="BV733" i="13"/>
  <c r="BW733" i="13"/>
  <c r="BX733" i="13"/>
  <c r="BY733" i="13"/>
  <c r="BZ733" i="13"/>
  <c r="CA733" i="13"/>
  <c r="CB733" i="13"/>
  <c r="CC733" i="13"/>
  <c r="CD733" i="13"/>
  <c r="BL734" i="13"/>
  <c r="BM734" i="13"/>
  <c r="BN734" i="13"/>
  <c r="BO734" i="13"/>
  <c r="BP734" i="13"/>
  <c r="BQ734" i="13"/>
  <c r="BR734" i="13"/>
  <c r="BS734" i="13"/>
  <c r="BT734" i="13"/>
  <c r="BU734" i="13"/>
  <c r="BV734" i="13"/>
  <c r="BW734" i="13"/>
  <c r="BX734" i="13"/>
  <c r="BY734" i="13"/>
  <c r="BZ734" i="13"/>
  <c r="CA734" i="13"/>
  <c r="CB734" i="13"/>
  <c r="CC734" i="13"/>
  <c r="CD734" i="13"/>
  <c r="BL735" i="13"/>
  <c r="BM735" i="13"/>
  <c r="BN735" i="13"/>
  <c r="BO735" i="13"/>
  <c r="BP735" i="13"/>
  <c r="BQ735" i="13"/>
  <c r="BR735" i="13"/>
  <c r="BS735" i="13"/>
  <c r="BT735" i="13"/>
  <c r="BU735" i="13"/>
  <c r="BV735" i="13"/>
  <c r="BW735" i="13"/>
  <c r="BX735" i="13"/>
  <c r="BY735" i="13"/>
  <c r="BZ735" i="13"/>
  <c r="CA735" i="13"/>
  <c r="CB735" i="13"/>
  <c r="CC735" i="13"/>
  <c r="CD735" i="13"/>
  <c r="BL736" i="13"/>
  <c r="BM736" i="13"/>
  <c r="BN736" i="13"/>
  <c r="BO736" i="13"/>
  <c r="BP736" i="13"/>
  <c r="BQ736" i="13"/>
  <c r="BR736" i="13"/>
  <c r="BS736" i="13"/>
  <c r="BT736" i="13"/>
  <c r="BU736" i="13"/>
  <c r="BV736" i="13"/>
  <c r="BW736" i="13"/>
  <c r="BX736" i="13"/>
  <c r="BY736" i="13"/>
  <c r="BZ736" i="13"/>
  <c r="CA736" i="13"/>
  <c r="CB736" i="13"/>
  <c r="CC736" i="13"/>
  <c r="CD736" i="13"/>
  <c r="BL737" i="13"/>
  <c r="BM737" i="13"/>
  <c r="BN737" i="13"/>
  <c r="BO737" i="13"/>
  <c r="BP737" i="13"/>
  <c r="BQ737" i="13"/>
  <c r="BR737" i="13"/>
  <c r="BS737" i="13"/>
  <c r="BT737" i="13"/>
  <c r="BU737" i="13"/>
  <c r="BV737" i="13"/>
  <c r="BW737" i="13"/>
  <c r="BX737" i="13"/>
  <c r="BY737" i="13"/>
  <c r="BZ737" i="13"/>
  <c r="CA737" i="13"/>
  <c r="CB737" i="13"/>
  <c r="CC737" i="13"/>
  <c r="CD737" i="13"/>
  <c r="BL738" i="13"/>
  <c r="BM738" i="13"/>
  <c r="BN738" i="13"/>
  <c r="BO738" i="13"/>
  <c r="BP738" i="13"/>
  <c r="BQ738" i="13"/>
  <c r="BR738" i="13"/>
  <c r="BS738" i="13"/>
  <c r="BT738" i="13"/>
  <c r="BU738" i="13"/>
  <c r="BV738" i="13"/>
  <c r="BW738" i="13"/>
  <c r="BX738" i="13"/>
  <c r="BY738" i="13"/>
  <c r="BZ738" i="13"/>
  <c r="CA738" i="13"/>
  <c r="CB738" i="13"/>
  <c r="CC738" i="13"/>
  <c r="CD738" i="13"/>
  <c r="BL739" i="13"/>
  <c r="BM739" i="13"/>
  <c r="BN739" i="13"/>
  <c r="BO739" i="13"/>
  <c r="BP739" i="13"/>
  <c r="BQ739" i="13"/>
  <c r="BR739" i="13"/>
  <c r="BS739" i="13"/>
  <c r="BT739" i="13"/>
  <c r="BU739" i="13"/>
  <c r="BV739" i="13"/>
  <c r="BW739" i="13"/>
  <c r="BX739" i="13"/>
  <c r="BY739" i="13"/>
  <c r="BZ739" i="13"/>
  <c r="CA739" i="13"/>
  <c r="CB739" i="13"/>
  <c r="CC739" i="13"/>
  <c r="CD739" i="13"/>
  <c r="BL740" i="13"/>
  <c r="BM740" i="13"/>
  <c r="BN740" i="13"/>
  <c r="BO740" i="13"/>
  <c r="BP740" i="13"/>
  <c r="BQ740" i="13"/>
  <c r="BR740" i="13"/>
  <c r="BS740" i="13"/>
  <c r="BT740" i="13"/>
  <c r="BU740" i="13"/>
  <c r="BV740" i="13"/>
  <c r="BW740" i="13"/>
  <c r="BX740" i="13"/>
  <c r="BY740" i="13"/>
  <c r="BZ740" i="13"/>
  <c r="CA740" i="13"/>
  <c r="CB740" i="13"/>
  <c r="CC740" i="13"/>
  <c r="CD740" i="13"/>
  <c r="BL741" i="13"/>
  <c r="BM741" i="13"/>
  <c r="BN741" i="13"/>
  <c r="BO741" i="13"/>
  <c r="BP741" i="13"/>
  <c r="BQ741" i="13"/>
  <c r="BR741" i="13"/>
  <c r="BS741" i="13"/>
  <c r="BT741" i="13"/>
  <c r="BU741" i="13"/>
  <c r="BV741" i="13"/>
  <c r="BW741" i="13"/>
  <c r="BX741" i="13"/>
  <c r="BY741" i="13"/>
  <c r="BZ741" i="13"/>
  <c r="CA741" i="13"/>
  <c r="CB741" i="13"/>
  <c r="CC741" i="13"/>
  <c r="CD741" i="13"/>
  <c r="BL742" i="13"/>
  <c r="BM742" i="13"/>
  <c r="BN742" i="13"/>
  <c r="BO742" i="13"/>
  <c r="BP742" i="13"/>
  <c r="BQ742" i="13"/>
  <c r="BR742" i="13"/>
  <c r="BS742" i="13"/>
  <c r="BT742" i="13"/>
  <c r="BU742" i="13"/>
  <c r="BV742" i="13"/>
  <c r="BW742" i="13"/>
  <c r="BX742" i="13"/>
  <c r="BY742" i="13"/>
  <c r="BZ742" i="13"/>
  <c r="CA742" i="13"/>
  <c r="CB742" i="13"/>
  <c r="CC742" i="13"/>
  <c r="CD742" i="13"/>
  <c r="BL743" i="13"/>
  <c r="BM743" i="13"/>
  <c r="BN743" i="13"/>
  <c r="BO743" i="13"/>
  <c r="BP743" i="13"/>
  <c r="BQ743" i="13"/>
  <c r="BR743" i="13"/>
  <c r="BS743" i="13"/>
  <c r="BT743" i="13"/>
  <c r="BU743" i="13"/>
  <c r="BV743" i="13"/>
  <c r="BW743" i="13"/>
  <c r="BX743" i="13"/>
  <c r="BY743" i="13"/>
  <c r="BZ743" i="13"/>
  <c r="CA743" i="13"/>
  <c r="CB743" i="13"/>
  <c r="CC743" i="13"/>
  <c r="CD743" i="13"/>
  <c r="BL744" i="13"/>
  <c r="BM744" i="13"/>
  <c r="BN744" i="13"/>
  <c r="BO744" i="13"/>
  <c r="BP744" i="13"/>
  <c r="BQ744" i="13"/>
  <c r="BR744" i="13"/>
  <c r="BS744" i="13"/>
  <c r="BT744" i="13"/>
  <c r="BU744" i="13"/>
  <c r="BV744" i="13"/>
  <c r="BW744" i="13"/>
  <c r="BX744" i="13"/>
  <c r="BY744" i="13"/>
  <c r="BZ744" i="13"/>
  <c r="CA744" i="13"/>
  <c r="CB744" i="13"/>
  <c r="CC744" i="13"/>
  <c r="CD744" i="13"/>
  <c r="BL745" i="13"/>
  <c r="BM745" i="13"/>
  <c r="BN745" i="13"/>
  <c r="BO745" i="13"/>
  <c r="BP745" i="13"/>
  <c r="BQ745" i="13"/>
  <c r="BR745" i="13"/>
  <c r="BS745" i="13"/>
  <c r="BT745" i="13"/>
  <c r="BU745" i="13"/>
  <c r="BV745" i="13"/>
  <c r="BW745" i="13"/>
  <c r="BX745" i="13"/>
  <c r="BY745" i="13"/>
  <c r="BZ745" i="13"/>
  <c r="CA745" i="13"/>
  <c r="CB745" i="13"/>
  <c r="CC745" i="13"/>
  <c r="CD745" i="13"/>
  <c r="BL746" i="13"/>
  <c r="BM746" i="13"/>
  <c r="BN746" i="13"/>
  <c r="BO746" i="13"/>
  <c r="BP746" i="13"/>
  <c r="BQ746" i="13"/>
  <c r="BR746" i="13"/>
  <c r="BS746" i="13"/>
  <c r="BT746" i="13"/>
  <c r="BU746" i="13"/>
  <c r="BV746" i="13"/>
  <c r="BW746" i="13"/>
  <c r="BX746" i="13"/>
  <c r="BY746" i="13"/>
  <c r="BZ746" i="13"/>
  <c r="CA746" i="13"/>
  <c r="CB746" i="13"/>
  <c r="CC746" i="13"/>
  <c r="CD746" i="13"/>
  <c r="BL747" i="13"/>
  <c r="BM747" i="13"/>
  <c r="BN747" i="13"/>
  <c r="BO747" i="13"/>
  <c r="BP747" i="13"/>
  <c r="BQ747" i="13"/>
  <c r="BR747" i="13"/>
  <c r="BS747" i="13"/>
  <c r="BT747" i="13"/>
  <c r="BU747" i="13"/>
  <c r="BV747" i="13"/>
  <c r="BW747" i="13"/>
  <c r="BX747" i="13"/>
  <c r="BY747" i="13"/>
  <c r="BZ747" i="13"/>
  <c r="CA747" i="13"/>
  <c r="CB747" i="13"/>
  <c r="CC747" i="13"/>
  <c r="CD747" i="13"/>
  <c r="BL748" i="13"/>
  <c r="BM748" i="13"/>
  <c r="BN748" i="13"/>
  <c r="BO748" i="13"/>
  <c r="BP748" i="13"/>
  <c r="BQ748" i="13"/>
  <c r="BR748" i="13"/>
  <c r="BS748" i="13"/>
  <c r="BT748" i="13"/>
  <c r="BU748" i="13"/>
  <c r="BV748" i="13"/>
  <c r="BW748" i="13"/>
  <c r="BX748" i="13"/>
  <c r="BY748" i="13"/>
  <c r="BZ748" i="13"/>
  <c r="CA748" i="13"/>
  <c r="CB748" i="13"/>
  <c r="CC748" i="13"/>
  <c r="CD748" i="13"/>
  <c r="BL749" i="13"/>
  <c r="BM749" i="13"/>
  <c r="BN749" i="13"/>
  <c r="BO749" i="13"/>
  <c r="BP749" i="13"/>
  <c r="BQ749" i="13"/>
  <c r="BR749" i="13"/>
  <c r="BS749" i="13"/>
  <c r="BT749" i="13"/>
  <c r="BU749" i="13"/>
  <c r="BV749" i="13"/>
  <c r="BW749" i="13"/>
  <c r="BX749" i="13"/>
  <c r="BY749" i="13"/>
  <c r="BZ749" i="13"/>
  <c r="CA749" i="13"/>
  <c r="CB749" i="13"/>
  <c r="CC749" i="13"/>
  <c r="CD749" i="13"/>
  <c r="BL750" i="13"/>
  <c r="BM750" i="13"/>
  <c r="BN750" i="13"/>
  <c r="BO750" i="13"/>
  <c r="BP750" i="13"/>
  <c r="BQ750" i="13"/>
  <c r="BR750" i="13"/>
  <c r="BS750" i="13"/>
  <c r="BT750" i="13"/>
  <c r="BU750" i="13"/>
  <c r="BV750" i="13"/>
  <c r="BW750" i="13"/>
  <c r="BX750" i="13"/>
  <c r="BY750" i="13"/>
  <c r="BZ750" i="13"/>
  <c r="CA750" i="13"/>
  <c r="CB750" i="13"/>
  <c r="CC750" i="13"/>
  <c r="CD750" i="13"/>
  <c r="BL751" i="13"/>
  <c r="BM751" i="13"/>
  <c r="BN751" i="13"/>
  <c r="BO751" i="13"/>
  <c r="BP751" i="13"/>
  <c r="BQ751" i="13"/>
  <c r="BR751" i="13"/>
  <c r="BS751" i="13"/>
  <c r="BT751" i="13"/>
  <c r="BU751" i="13"/>
  <c r="BV751" i="13"/>
  <c r="BW751" i="13"/>
  <c r="BX751" i="13"/>
  <c r="BY751" i="13"/>
  <c r="BZ751" i="13"/>
  <c r="CA751" i="13"/>
  <c r="CB751" i="13"/>
  <c r="CC751" i="13"/>
  <c r="CD751" i="13"/>
  <c r="BL752" i="13"/>
  <c r="BM752" i="13"/>
  <c r="BN752" i="13"/>
  <c r="BO752" i="13"/>
  <c r="BP752" i="13"/>
  <c r="BQ752" i="13"/>
  <c r="BR752" i="13"/>
  <c r="BS752" i="13"/>
  <c r="BT752" i="13"/>
  <c r="BU752" i="13"/>
  <c r="BV752" i="13"/>
  <c r="BW752" i="13"/>
  <c r="BX752" i="13"/>
  <c r="BY752" i="13"/>
  <c r="BZ752" i="13"/>
  <c r="CA752" i="13"/>
  <c r="CB752" i="13"/>
  <c r="CC752" i="13"/>
  <c r="CD752" i="13"/>
  <c r="BL753" i="13"/>
  <c r="BM753" i="13"/>
  <c r="BN753" i="13"/>
  <c r="BO753" i="13"/>
  <c r="BP753" i="13"/>
  <c r="BQ753" i="13"/>
  <c r="BR753" i="13"/>
  <c r="BS753" i="13"/>
  <c r="BT753" i="13"/>
  <c r="BU753" i="13"/>
  <c r="BV753" i="13"/>
  <c r="BW753" i="13"/>
  <c r="BX753" i="13"/>
  <c r="BY753" i="13"/>
  <c r="BZ753" i="13"/>
  <c r="CA753" i="13"/>
  <c r="CB753" i="13"/>
  <c r="CC753" i="13"/>
  <c r="CD753" i="13"/>
  <c r="BL754" i="13"/>
  <c r="BM754" i="13"/>
  <c r="BN754" i="13"/>
  <c r="BO754" i="13"/>
  <c r="BP754" i="13"/>
  <c r="BQ754" i="13"/>
  <c r="BR754" i="13"/>
  <c r="BS754" i="13"/>
  <c r="BT754" i="13"/>
  <c r="BU754" i="13"/>
  <c r="BV754" i="13"/>
  <c r="BW754" i="13"/>
  <c r="BX754" i="13"/>
  <c r="BY754" i="13"/>
  <c r="BZ754" i="13"/>
  <c r="CA754" i="13"/>
  <c r="CB754" i="13"/>
  <c r="CC754" i="13"/>
  <c r="CD754" i="13"/>
  <c r="BL755" i="13"/>
  <c r="BM755" i="13"/>
  <c r="BN755" i="13"/>
  <c r="BO755" i="13"/>
  <c r="BP755" i="13"/>
  <c r="BQ755" i="13"/>
  <c r="BR755" i="13"/>
  <c r="BS755" i="13"/>
  <c r="BT755" i="13"/>
  <c r="BU755" i="13"/>
  <c r="BV755" i="13"/>
  <c r="BW755" i="13"/>
  <c r="BX755" i="13"/>
  <c r="BY755" i="13"/>
  <c r="BZ755" i="13"/>
  <c r="CA755" i="13"/>
  <c r="CB755" i="13"/>
  <c r="CC755" i="13"/>
  <c r="CD755" i="13"/>
  <c r="BL756" i="13"/>
  <c r="BM756" i="13"/>
  <c r="BN756" i="13"/>
  <c r="BO756" i="13"/>
  <c r="BP756" i="13"/>
  <c r="BQ756" i="13"/>
  <c r="BR756" i="13"/>
  <c r="BS756" i="13"/>
  <c r="BT756" i="13"/>
  <c r="BU756" i="13"/>
  <c r="BV756" i="13"/>
  <c r="BW756" i="13"/>
  <c r="BX756" i="13"/>
  <c r="BY756" i="13"/>
  <c r="BZ756" i="13"/>
  <c r="CA756" i="13"/>
  <c r="CB756" i="13"/>
  <c r="CC756" i="13"/>
  <c r="CD756" i="13"/>
  <c r="BL757" i="13"/>
  <c r="BM757" i="13"/>
  <c r="BN757" i="13"/>
  <c r="BO757" i="13"/>
  <c r="BP757" i="13"/>
  <c r="BQ757" i="13"/>
  <c r="BR757" i="13"/>
  <c r="BS757" i="13"/>
  <c r="BT757" i="13"/>
  <c r="BU757" i="13"/>
  <c r="BV757" i="13"/>
  <c r="BW757" i="13"/>
  <c r="BX757" i="13"/>
  <c r="BY757" i="13"/>
  <c r="BZ757" i="13"/>
  <c r="CA757" i="13"/>
  <c r="CB757" i="13"/>
  <c r="CC757" i="13"/>
  <c r="CD757" i="13"/>
  <c r="BL758" i="13"/>
  <c r="BM758" i="13"/>
  <c r="BN758" i="13"/>
  <c r="BO758" i="13"/>
  <c r="BP758" i="13"/>
  <c r="BQ758" i="13"/>
  <c r="BR758" i="13"/>
  <c r="BS758" i="13"/>
  <c r="BT758" i="13"/>
  <c r="BU758" i="13"/>
  <c r="BV758" i="13"/>
  <c r="BW758" i="13"/>
  <c r="BX758" i="13"/>
  <c r="BY758" i="13"/>
  <c r="BZ758" i="13"/>
  <c r="CA758" i="13"/>
  <c r="CB758" i="13"/>
  <c r="CC758" i="13"/>
  <c r="CD758" i="13"/>
  <c r="BL759" i="13"/>
  <c r="BM759" i="13"/>
  <c r="BN759" i="13"/>
  <c r="BO759" i="13"/>
  <c r="BP759" i="13"/>
  <c r="BQ759" i="13"/>
  <c r="BR759" i="13"/>
  <c r="BS759" i="13"/>
  <c r="BT759" i="13"/>
  <c r="BU759" i="13"/>
  <c r="BV759" i="13"/>
  <c r="BW759" i="13"/>
  <c r="BX759" i="13"/>
  <c r="BY759" i="13"/>
  <c r="BZ759" i="13"/>
  <c r="CA759" i="13"/>
  <c r="CB759" i="13"/>
  <c r="CC759" i="13"/>
  <c r="CD759" i="13"/>
  <c r="BL760" i="13"/>
  <c r="BM760" i="13"/>
  <c r="BN760" i="13"/>
  <c r="BO760" i="13"/>
  <c r="BP760" i="13"/>
  <c r="BQ760" i="13"/>
  <c r="BR760" i="13"/>
  <c r="BS760" i="13"/>
  <c r="BT760" i="13"/>
  <c r="BU760" i="13"/>
  <c r="BV760" i="13"/>
  <c r="BW760" i="13"/>
  <c r="BX760" i="13"/>
  <c r="BY760" i="13"/>
  <c r="BZ760" i="13"/>
  <c r="CA760" i="13"/>
  <c r="CB760" i="13"/>
  <c r="CC760" i="13"/>
  <c r="CD760" i="13"/>
  <c r="BL761" i="13"/>
  <c r="BM761" i="13"/>
  <c r="BN761" i="13"/>
  <c r="BO761" i="13"/>
  <c r="BP761" i="13"/>
  <c r="BQ761" i="13"/>
  <c r="BR761" i="13"/>
  <c r="BS761" i="13"/>
  <c r="BT761" i="13"/>
  <c r="BU761" i="13"/>
  <c r="BV761" i="13"/>
  <c r="BW761" i="13"/>
  <c r="BX761" i="13"/>
  <c r="BY761" i="13"/>
  <c r="BZ761" i="13"/>
  <c r="CA761" i="13"/>
  <c r="CB761" i="13"/>
  <c r="CC761" i="13"/>
  <c r="CD761" i="13"/>
  <c r="BL762" i="13"/>
  <c r="BM762" i="13"/>
  <c r="BN762" i="13"/>
  <c r="BO762" i="13"/>
  <c r="BP762" i="13"/>
  <c r="BQ762" i="13"/>
  <c r="BR762" i="13"/>
  <c r="BS762" i="13"/>
  <c r="BT762" i="13"/>
  <c r="BU762" i="13"/>
  <c r="BV762" i="13"/>
  <c r="BW762" i="13"/>
  <c r="BX762" i="13"/>
  <c r="BY762" i="13"/>
  <c r="BZ762" i="13"/>
  <c r="CA762" i="13"/>
  <c r="CB762" i="13"/>
  <c r="CC762" i="13"/>
  <c r="CD762" i="13"/>
  <c r="BL763" i="13"/>
  <c r="BM763" i="13"/>
  <c r="BN763" i="13"/>
  <c r="BO763" i="13"/>
  <c r="BP763" i="13"/>
  <c r="BQ763" i="13"/>
  <c r="BR763" i="13"/>
  <c r="BS763" i="13"/>
  <c r="BT763" i="13"/>
  <c r="BU763" i="13"/>
  <c r="BV763" i="13"/>
  <c r="BW763" i="13"/>
  <c r="BX763" i="13"/>
  <c r="BY763" i="13"/>
  <c r="BZ763" i="13"/>
  <c r="CA763" i="13"/>
  <c r="CB763" i="13"/>
  <c r="CC763" i="13"/>
  <c r="CD763" i="13"/>
  <c r="BL764" i="13"/>
  <c r="BM764" i="13"/>
  <c r="BN764" i="13"/>
  <c r="BO764" i="13"/>
  <c r="BP764" i="13"/>
  <c r="BQ764" i="13"/>
  <c r="BR764" i="13"/>
  <c r="BS764" i="13"/>
  <c r="BT764" i="13"/>
  <c r="BU764" i="13"/>
  <c r="BV764" i="13"/>
  <c r="BW764" i="13"/>
  <c r="BX764" i="13"/>
  <c r="BY764" i="13"/>
  <c r="BZ764" i="13"/>
  <c r="CA764" i="13"/>
  <c r="CB764" i="13"/>
  <c r="CC764" i="13"/>
  <c r="CD764" i="13"/>
  <c r="BL765" i="13"/>
  <c r="BM765" i="13"/>
  <c r="BN765" i="13"/>
  <c r="BO765" i="13"/>
  <c r="BP765" i="13"/>
  <c r="BQ765" i="13"/>
  <c r="BR765" i="13"/>
  <c r="BS765" i="13"/>
  <c r="BT765" i="13"/>
  <c r="BU765" i="13"/>
  <c r="BV765" i="13"/>
  <c r="BW765" i="13"/>
  <c r="BX765" i="13"/>
  <c r="BY765" i="13"/>
  <c r="BZ765" i="13"/>
  <c r="CA765" i="13"/>
  <c r="CB765" i="13"/>
  <c r="CC765" i="13"/>
  <c r="CD765" i="13"/>
  <c r="BL766" i="13"/>
  <c r="BM766" i="13"/>
  <c r="BN766" i="13"/>
  <c r="BO766" i="13"/>
  <c r="BP766" i="13"/>
  <c r="BQ766" i="13"/>
  <c r="BR766" i="13"/>
  <c r="BS766" i="13"/>
  <c r="BT766" i="13"/>
  <c r="BU766" i="13"/>
  <c r="BV766" i="13"/>
  <c r="BW766" i="13"/>
  <c r="BX766" i="13"/>
  <c r="BY766" i="13"/>
  <c r="BZ766" i="13"/>
  <c r="CA766" i="13"/>
  <c r="CB766" i="13"/>
  <c r="CC766" i="13"/>
  <c r="CD766" i="13"/>
  <c r="BL767" i="13"/>
  <c r="BM767" i="13"/>
  <c r="BN767" i="13"/>
  <c r="BO767" i="13"/>
  <c r="BP767" i="13"/>
  <c r="BQ767" i="13"/>
  <c r="BR767" i="13"/>
  <c r="BS767" i="13"/>
  <c r="BT767" i="13"/>
  <c r="BU767" i="13"/>
  <c r="BV767" i="13"/>
  <c r="BW767" i="13"/>
  <c r="BX767" i="13"/>
  <c r="BY767" i="13"/>
  <c r="BZ767" i="13"/>
  <c r="CA767" i="13"/>
  <c r="CB767" i="13"/>
  <c r="CC767" i="13"/>
  <c r="CD767" i="13"/>
  <c r="BL768" i="13"/>
  <c r="BM768" i="13"/>
  <c r="BN768" i="13"/>
  <c r="BO768" i="13"/>
  <c r="BP768" i="13"/>
  <c r="BQ768" i="13"/>
  <c r="BR768" i="13"/>
  <c r="BS768" i="13"/>
  <c r="BT768" i="13"/>
  <c r="BU768" i="13"/>
  <c r="BV768" i="13"/>
  <c r="BW768" i="13"/>
  <c r="BX768" i="13"/>
  <c r="BY768" i="13"/>
  <c r="BZ768" i="13"/>
  <c r="CA768" i="13"/>
  <c r="CB768" i="13"/>
  <c r="CC768" i="13"/>
  <c r="CD768" i="13"/>
  <c r="BL769" i="13"/>
  <c r="BM769" i="13"/>
  <c r="BN769" i="13"/>
  <c r="BO769" i="13"/>
  <c r="BP769" i="13"/>
  <c r="BQ769" i="13"/>
  <c r="BR769" i="13"/>
  <c r="BS769" i="13"/>
  <c r="BT769" i="13"/>
  <c r="BU769" i="13"/>
  <c r="BV769" i="13"/>
  <c r="BW769" i="13"/>
  <c r="BX769" i="13"/>
  <c r="BY769" i="13"/>
  <c r="BZ769" i="13"/>
  <c r="CA769" i="13"/>
  <c r="CB769" i="13"/>
  <c r="CC769" i="13"/>
  <c r="CD769" i="13"/>
  <c r="BL770" i="13"/>
  <c r="BM770" i="13"/>
  <c r="BN770" i="13"/>
  <c r="BO770" i="13"/>
  <c r="BP770" i="13"/>
  <c r="BQ770" i="13"/>
  <c r="BR770" i="13"/>
  <c r="BS770" i="13"/>
  <c r="BT770" i="13"/>
  <c r="BU770" i="13"/>
  <c r="BV770" i="13"/>
  <c r="BW770" i="13"/>
  <c r="BX770" i="13"/>
  <c r="BY770" i="13"/>
  <c r="BZ770" i="13"/>
  <c r="CA770" i="13"/>
  <c r="CB770" i="13"/>
  <c r="CC770" i="13"/>
  <c r="CD770" i="13"/>
  <c r="BL771" i="13"/>
  <c r="BM771" i="13"/>
  <c r="BN771" i="13"/>
  <c r="BO771" i="13"/>
  <c r="BP771" i="13"/>
  <c r="BQ771" i="13"/>
  <c r="BR771" i="13"/>
  <c r="BS771" i="13"/>
  <c r="BT771" i="13"/>
  <c r="BU771" i="13"/>
  <c r="BV771" i="13"/>
  <c r="BW771" i="13"/>
  <c r="BX771" i="13"/>
  <c r="BY771" i="13"/>
  <c r="BZ771" i="13"/>
  <c r="CA771" i="13"/>
  <c r="CB771" i="13"/>
  <c r="CC771" i="13"/>
  <c r="CD771" i="13"/>
  <c r="BL772" i="13"/>
  <c r="BM772" i="13"/>
  <c r="BN772" i="13"/>
  <c r="BO772" i="13"/>
  <c r="BP772" i="13"/>
  <c r="BQ772" i="13"/>
  <c r="BR772" i="13"/>
  <c r="BS772" i="13"/>
  <c r="BT772" i="13"/>
  <c r="BU772" i="13"/>
  <c r="BV772" i="13"/>
  <c r="BW772" i="13"/>
  <c r="BX772" i="13"/>
  <c r="BY772" i="13"/>
  <c r="BZ772" i="13"/>
  <c r="CA772" i="13"/>
  <c r="CB772" i="13"/>
  <c r="CC772" i="13"/>
  <c r="CD772" i="13"/>
  <c r="BL773" i="13"/>
  <c r="BM773" i="13"/>
  <c r="BN773" i="13"/>
  <c r="BO773" i="13"/>
  <c r="BP773" i="13"/>
  <c r="BQ773" i="13"/>
  <c r="BR773" i="13"/>
  <c r="BS773" i="13"/>
  <c r="BT773" i="13"/>
  <c r="BU773" i="13"/>
  <c r="BV773" i="13"/>
  <c r="BW773" i="13"/>
  <c r="BX773" i="13"/>
  <c r="BY773" i="13"/>
  <c r="BZ773" i="13"/>
  <c r="CA773" i="13"/>
  <c r="CB773" i="13"/>
  <c r="CC773" i="13"/>
  <c r="CD773" i="13"/>
  <c r="BL774" i="13"/>
  <c r="BM774" i="13"/>
  <c r="BN774" i="13"/>
  <c r="BO774" i="13"/>
  <c r="BP774" i="13"/>
  <c r="BQ774" i="13"/>
  <c r="BR774" i="13"/>
  <c r="BS774" i="13"/>
  <c r="BT774" i="13"/>
  <c r="BU774" i="13"/>
  <c r="BV774" i="13"/>
  <c r="BW774" i="13"/>
  <c r="BX774" i="13"/>
  <c r="BY774" i="13"/>
  <c r="BZ774" i="13"/>
  <c r="CA774" i="13"/>
  <c r="CB774" i="13"/>
  <c r="CC774" i="13"/>
  <c r="CD774" i="13"/>
  <c r="BL775" i="13"/>
  <c r="BM775" i="13"/>
  <c r="BN775" i="13"/>
  <c r="BO775" i="13"/>
  <c r="BP775" i="13"/>
  <c r="BQ775" i="13"/>
  <c r="BR775" i="13"/>
  <c r="BS775" i="13"/>
  <c r="BT775" i="13"/>
  <c r="BU775" i="13"/>
  <c r="BV775" i="13"/>
  <c r="BW775" i="13"/>
  <c r="BX775" i="13"/>
  <c r="BY775" i="13"/>
  <c r="BZ775" i="13"/>
  <c r="CA775" i="13"/>
  <c r="CB775" i="13"/>
  <c r="CC775" i="13"/>
  <c r="CD775" i="13"/>
  <c r="BL776" i="13"/>
  <c r="BM776" i="13"/>
  <c r="BN776" i="13"/>
  <c r="BO776" i="13"/>
  <c r="BP776" i="13"/>
  <c r="BQ776" i="13"/>
  <c r="BR776" i="13"/>
  <c r="BS776" i="13"/>
  <c r="BT776" i="13"/>
  <c r="BU776" i="13"/>
  <c r="BV776" i="13"/>
  <c r="BW776" i="13"/>
  <c r="BX776" i="13"/>
  <c r="BY776" i="13"/>
  <c r="BZ776" i="13"/>
  <c r="CA776" i="13"/>
  <c r="CB776" i="13"/>
  <c r="CC776" i="13"/>
  <c r="CD776" i="13"/>
  <c r="BL777" i="13"/>
  <c r="BM777" i="13"/>
  <c r="BN777" i="13"/>
  <c r="BO777" i="13"/>
  <c r="BP777" i="13"/>
  <c r="BQ777" i="13"/>
  <c r="BR777" i="13"/>
  <c r="BS777" i="13"/>
  <c r="BT777" i="13"/>
  <c r="BU777" i="13"/>
  <c r="BV777" i="13"/>
  <c r="BW777" i="13"/>
  <c r="BX777" i="13"/>
  <c r="BY777" i="13"/>
  <c r="BZ777" i="13"/>
  <c r="CA777" i="13"/>
  <c r="CB777" i="13"/>
  <c r="CC777" i="13"/>
  <c r="CD777" i="13"/>
  <c r="BL778" i="13"/>
  <c r="BM778" i="13"/>
  <c r="BN778" i="13"/>
  <c r="BO778" i="13"/>
  <c r="BP778" i="13"/>
  <c r="BQ778" i="13"/>
  <c r="BR778" i="13"/>
  <c r="BS778" i="13"/>
  <c r="BT778" i="13"/>
  <c r="BU778" i="13"/>
  <c r="BV778" i="13"/>
  <c r="BW778" i="13"/>
  <c r="BX778" i="13"/>
  <c r="BY778" i="13"/>
  <c r="BZ778" i="13"/>
  <c r="CA778" i="13"/>
  <c r="CB778" i="13"/>
  <c r="CC778" i="13"/>
  <c r="CD778" i="13"/>
  <c r="BL779" i="13"/>
  <c r="BM779" i="13"/>
  <c r="BN779" i="13"/>
  <c r="BO779" i="13"/>
  <c r="BP779" i="13"/>
  <c r="BQ779" i="13"/>
  <c r="BR779" i="13"/>
  <c r="BS779" i="13"/>
  <c r="BT779" i="13"/>
  <c r="BU779" i="13"/>
  <c r="BV779" i="13"/>
  <c r="BW779" i="13"/>
  <c r="BX779" i="13"/>
  <c r="BY779" i="13"/>
  <c r="BZ779" i="13"/>
  <c r="CA779" i="13"/>
  <c r="CB779" i="13"/>
  <c r="CC779" i="13"/>
  <c r="CD779" i="13"/>
  <c r="BL780" i="13"/>
  <c r="BM780" i="13"/>
  <c r="BN780" i="13"/>
  <c r="BO780" i="13"/>
  <c r="BP780" i="13"/>
  <c r="BQ780" i="13"/>
  <c r="BR780" i="13"/>
  <c r="BS780" i="13"/>
  <c r="BT780" i="13"/>
  <c r="BU780" i="13"/>
  <c r="BV780" i="13"/>
  <c r="BW780" i="13"/>
  <c r="BX780" i="13"/>
  <c r="BY780" i="13"/>
  <c r="BZ780" i="13"/>
  <c r="CA780" i="13"/>
  <c r="CB780" i="13"/>
  <c r="CC780" i="13"/>
  <c r="CD780" i="13"/>
  <c r="BL781" i="13"/>
  <c r="BM781" i="13"/>
  <c r="BN781" i="13"/>
  <c r="BO781" i="13"/>
  <c r="BP781" i="13"/>
  <c r="BQ781" i="13"/>
  <c r="BR781" i="13"/>
  <c r="BS781" i="13"/>
  <c r="BT781" i="13"/>
  <c r="BU781" i="13"/>
  <c r="BV781" i="13"/>
  <c r="BW781" i="13"/>
  <c r="BX781" i="13"/>
  <c r="BY781" i="13"/>
  <c r="BZ781" i="13"/>
  <c r="CA781" i="13"/>
  <c r="CB781" i="13"/>
  <c r="CC781" i="13"/>
  <c r="CD781" i="13"/>
  <c r="BL782" i="13"/>
  <c r="BM782" i="13"/>
  <c r="BN782" i="13"/>
  <c r="BO782" i="13"/>
  <c r="BP782" i="13"/>
  <c r="BQ782" i="13"/>
  <c r="BR782" i="13"/>
  <c r="BS782" i="13"/>
  <c r="BT782" i="13"/>
  <c r="BU782" i="13"/>
  <c r="BV782" i="13"/>
  <c r="BW782" i="13"/>
  <c r="BX782" i="13"/>
  <c r="BY782" i="13"/>
  <c r="BZ782" i="13"/>
  <c r="CA782" i="13"/>
  <c r="CB782" i="13"/>
  <c r="CC782" i="13"/>
  <c r="CD782" i="13"/>
  <c r="BL783" i="13"/>
  <c r="BM783" i="13"/>
  <c r="BN783" i="13"/>
  <c r="BO783" i="13"/>
  <c r="BP783" i="13"/>
  <c r="BQ783" i="13"/>
  <c r="BR783" i="13"/>
  <c r="BS783" i="13"/>
  <c r="BT783" i="13"/>
  <c r="BU783" i="13"/>
  <c r="BV783" i="13"/>
  <c r="BW783" i="13"/>
  <c r="BX783" i="13"/>
  <c r="BY783" i="13"/>
  <c r="BZ783" i="13"/>
  <c r="CA783" i="13"/>
  <c r="CB783" i="13"/>
  <c r="CC783" i="13"/>
  <c r="CD783" i="13"/>
  <c r="BL784" i="13"/>
  <c r="BM784" i="13"/>
  <c r="BN784" i="13"/>
  <c r="BO784" i="13"/>
  <c r="BP784" i="13"/>
  <c r="BQ784" i="13"/>
  <c r="BR784" i="13"/>
  <c r="BS784" i="13"/>
  <c r="BT784" i="13"/>
  <c r="BU784" i="13"/>
  <c r="BV784" i="13"/>
  <c r="BW784" i="13"/>
  <c r="BX784" i="13"/>
  <c r="BY784" i="13"/>
  <c r="BZ784" i="13"/>
  <c r="CA784" i="13"/>
  <c r="CB784" i="13"/>
  <c r="CC784" i="13"/>
  <c r="CD784" i="13"/>
  <c r="BL785" i="13"/>
  <c r="BM785" i="13"/>
  <c r="BN785" i="13"/>
  <c r="BO785" i="13"/>
  <c r="BP785" i="13"/>
  <c r="BQ785" i="13"/>
  <c r="BR785" i="13"/>
  <c r="BS785" i="13"/>
  <c r="BT785" i="13"/>
  <c r="BU785" i="13"/>
  <c r="BV785" i="13"/>
  <c r="BW785" i="13"/>
  <c r="BX785" i="13"/>
  <c r="BY785" i="13"/>
  <c r="BZ785" i="13"/>
  <c r="CA785" i="13"/>
  <c r="CB785" i="13"/>
  <c r="CC785" i="13"/>
  <c r="CD785" i="13"/>
  <c r="BL786" i="13"/>
  <c r="BM786" i="13"/>
  <c r="BN786" i="13"/>
  <c r="BO786" i="13"/>
  <c r="BP786" i="13"/>
  <c r="BQ786" i="13"/>
  <c r="BR786" i="13"/>
  <c r="BS786" i="13"/>
  <c r="BT786" i="13"/>
  <c r="BU786" i="13"/>
  <c r="BV786" i="13"/>
  <c r="BW786" i="13"/>
  <c r="BX786" i="13"/>
  <c r="BY786" i="13"/>
  <c r="BZ786" i="13"/>
  <c r="CA786" i="13"/>
  <c r="CB786" i="13"/>
  <c r="CC786" i="13"/>
  <c r="CD786" i="13"/>
  <c r="BL787" i="13"/>
  <c r="BM787" i="13"/>
  <c r="BN787" i="13"/>
  <c r="BO787" i="13"/>
  <c r="BP787" i="13"/>
  <c r="BQ787" i="13"/>
  <c r="BR787" i="13"/>
  <c r="BS787" i="13"/>
  <c r="BT787" i="13"/>
  <c r="BU787" i="13"/>
  <c r="BV787" i="13"/>
  <c r="BW787" i="13"/>
  <c r="BX787" i="13"/>
  <c r="BY787" i="13"/>
  <c r="BZ787" i="13"/>
  <c r="CA787" i="13"/>
  <c r="CB787" i="13"/>
  <c r="CC787" i="13"/>
  <c r="CD787" i="13"/>
  <c r="BL788" i="13"/>
  <c r="BM788" i="13"/>
  <c r="BN788" i="13"/>
  <c r="BO788" i="13"/>
  <c r="BP788" i="13"/>
  <c r="BQ788" i="13"/>
  <c r="BR788" i="13"/>
  <c r="BS788" i="13"/>
  <c r="BT788" i="13"/>
  <c r="BU788" i="13"/>
  <c r="BV788" i="13"/>
  <c r="BW788" i="13"/>
  <c r="BX788" i="13"/>
  <c r="BY788" i="13"/>
  <c r="BZ788" i="13"/>
  <c r="CA788" i="13"/>
  <c r="CB788" i="13"/>
  <c r="CC788" i="13"/>
  <c r="CD788" i="13"/>
  <c r="BL789" i="13"/>
  <c r="BM789" i="13"/>
  <c r="BN789" i="13"/>
  <c r="BO789" i="13"/>
  <c r="BP789" i="13"/>
  <c r="BQ789" i="13"/>
  <c r="BR789" i="13"/>
  <c r="BS789" i="13"/>
  <c r="BT789" i="13"/>
  <c r="BU789" i="13"/>
  <c r="BV789" i="13"/>
  <c r="BW789" i="13"/>
  <c r="BX789" i="13"/>
  <c r="BY789" i="13"/>
  <c r="BZ789" i="13"/>
  <c r="CA789" i="13"/>
  <c r="CB789" i="13"/>
  <c r="CC789" i="13"/>
  <c r="CD789" i="13"/>
  <c r="BL790" i="13"/>
  <c r="BM790" i="13"/>
  <c r="BN790" i="13"/>
  <c r="BO790" i="13"/>
  <c r="BP790" i="13"/>
  <c r="BQ790" i="13"/>
  <c r="BR790" i="13"/>
  <c r="BS790" i="13"/>
  <c r="BT790" i="13"/>
  <c r="BU790" i="13"/>
  <c r="BV790" i="13"/>
  <c r="BW790" i="13"/>
  <c r="BX790" i="13"/>
  <c r="BY790" i="13"/>
  <c r="BZ790" i="13"/>
  <c r="CA790" i="13"/>
  <c r="CB790" i="13"/>
  <c r="CC790" i="13"/>
  <c r="CD790" i="13"/>
  <c r="BL791" i="13"/>
  <c r="BM791" i="13"/>
  <c r="BN791" i="13"/>
  <c r="BO791" i="13"/>
  <c r="BP791" i="13"/>
  <c r="BQ791" i="13"/>
  <c r="BR791" i="13"/>
  <c r="BS791" i="13"/>
  <c r="BT791" i="13"/>
  <c r="BU791" i="13"/>
  <c r="BV791" i="13"/>
  <c r="BW791" i="13"/>
  <c r="BX791" i="13"/>
  <c r="BY791" i="13"/>
  <c r="BZ791" i="13"/>
  <c r="CA791" i="13"/>
  <c r="CB791" i="13"/>
  <c r="CC791" i="13"/>
  <c r="CD791" i="13"/>
  <c r="BL792" i="13"/>
  <c r="BM792" i="13"/>
  <c r="BN792" i="13"/>
  <c r="BO792" i="13"/>
  <c r="BP792" i="13"/>
  <c r="BQ792" i="13"/>
  <c r="BR792" i="13"/>
  <c r="BS792" i="13"/>
  <c r="BT792" i="13"/>
  <c r="BU792" i="13"/>
  <c r="BV792" i="13"/>
  <c r="BW792" i="13"/>
  <c r="BX792" i="13"/>
  <c r="BY792" i="13"/>
  <c r="BZ792" i="13"/>
  <c r="CA792" i="13"/>
  <c r="CB792" i="13"/>
  <c r="CC792" i="13"/>
  <c r="CD792" i="13"/>
  <c r="BL793" i="13"/>
  <c r="BM793" i="13"/>
  <c r="BN793" i="13"/>
  <c r="BO793" i="13"/>
  <c r="BP793" i="13"/>
  <c r="BQ793" i="13"/>
  <c r="BR793" i="13"/>
  <c r="BS793" i="13"/>
  <c r="BT793" i="13"/>
  <c r="BU793" i="13"/>
  <c r="BV793" i="13"/>
  <c r="BW793" i="13"/>
  <c r="BX793" i="13"/>
  <c r="BY793" i="13"/>
  <c r="BZ793" i="13"/>
  <c r="CA793" i="13"/>
  <c r="CB793" i="13"/>
  <c r="CC793" i="13"/>
  <c r="CD793" i="13"/>
  <c r="BL794" i="13"/>
  <c r="BM794" i="13"/>
  <c r="BN794" i="13"/>
  <c r="BO794" i="13"/>
  <c r="BP794" i="13"/>
  <c r="BQ794" i="13"/>
  <c r="BR794" i="13"/>
  <c r="BS794" i="13"/>
  <c r="BT794" i="13"/>
  <c r="BU794" i="13"/>
  <c r="BV794" i="13"/>
  <c r="BW794" i="13"/>
  <c r="BX794" i="13"/>
  <c r="BY794" i="13"/>
  <c r="BZ794" i="13"/>
  <c r="CA794" i="13"/>
  <c r="CB794" i="13"/>
  <c r="CC794" i="13"/>
  <c r="CD794" i="13"/>
  <c r="BL795" i="13"/>
  <c r="BM795" i="13"/>
  <c r="BN795" i="13"/>
  <c r="BO795" i="13"/>
  <c r="BP795" i="13"/>
  <c r="BQ795" i="13"/>
  <c r="BR795" i="13"/>
  <c r="BS795" i="13"/>
  <c r="BT795" i="13"/>
  <c r="BU795" i="13"/>
  <c r="BV795" i="13"/>
  <c r="BW795" i="13"/>
  <c r="BX795" i="13"/>
  <c r="BY795" i="13"/>
  <c r="BZ795" i="13"/>
  <c r="CA795" i="13"/>
  <c r="CB795" i="13"/>
  <c r="CC795" i="13"/>
  <c r="CD795" i="13"/>
  <c r="BL796" i="13"/>
  <c r="BM796" i="13"/>
  <c r="BN796" i="13"/>
  <c r="BO796" i="13"/>
  <c r="BP796" i="13"/>
  <c r="BQ796" i="13"/>
  <c r="BR796" i="13"/>
  <c r="BS796" i="13"/>
  <c r="BT796" i="13"/>
  <c r="BU796" i="13"/>
  <c r="BV796" i="13"/>
  <c r="BW796" i="13"/>
  <c r="BX796" i="13"/>
  <c r="BY796" i="13"/>
  <c r="BZ796" i="13"/>
  <c r="CA796" i="13"/>
  <c r="CB796" i="13"/>
  <c r="CC796" i="13"/>
  <c r="CD796" i="13"/>
  <c r="BL797" i="13"/>
  <c r="BM797" i="13"/>
  <c r="BN797" i="13"/>
  <c r="BO797" i="13"/>
  <c r="BP797" i="13"/>
  <c r="BQ797" i="13"/>
  <c r="BR797" i="13"/>
  <c r="BS797" i="13"/>
  <c r="BT797" i="13"/>
  <c r="BU797" i="13"/>
  <c r="BV797" i="13"/>
  <c r="BW797" i="13"/>
  <c r="BX797" i="13"/>
  <c r="BY797" i="13"/>
  <c r="BZ797" i="13"/>
  <c r="CA797" i="13"/>
  <c r="CB797" i="13"/>
  <c r="CC797" i="13"/>
  <c r="CD797" i="13"/>
  <c r="BL798" i="13"/>
  <c r="BM798" i="13"/>
  <c r="BN798" i="13"/>
  <c r="BO798" i="13"/>
  <c r="BP798" i="13"/>
  <c r="BQ798" i="13"/>
  <c r="BR798" i="13"/>
  <c r="BS798" i="13"/>
  <c r="BT798" i="13"/>
  <c r="BU798" i="13"/>
  <c r="BV798" i="13"/>
  <c r="BW798" i="13"/>
  <c r="BX798" i="13"/>
  <c r="BY798" i="13"/>
  <c r="BZ798" i="13"/>
  <c r="CA798" i="13"/>
  <c r="CB798" i="13"/>
  <c r="CC798" i="13"/>
  <c r="CD798" i="13"/>
  <c r="BL799" i="13"/>
  <c r="BM799" i="13"/>
  <c r="BN799" i="13"/>
  <c r="BO799" i="13"/>
  <c r="BP799" i="13"/>
  <c r="BQ799" i="13"/>
  <c r="BR799" i="13"/>
  <c r="BS799" i="13"/>
  <c r="BT799" i="13"/>
  <c r="BU799" i="13"/>
  <c r="BV799" i="13"/>
  <c r="BW799" i="13"/>
  <c r="BX799" i="13"/>
  <c r="BY799" i="13"/>
  <c r="BZ799" i="13"/>
  <c r="CA799" i="13"/>
  <c r="CB799" i="13"/>
  <c r="CC799" i="13"/>
  <c r="CD799" i="13"/>
  <c r="BL800" i="13"/>
  <c r="BM800" i="13"/>
  <c r="BN800" i="13"/>
  <c r="BO800" i="13"/>
  <c r="BP800" i="13"/>
  <c r="BQ800" i="13"/>
  <c r="BR800" i="13"/>
  <c r="BS800" i="13"/>
  <c r="BT800" i="13"/>
  <c r="BU800" i="13"/>
  <c r="BV800" i="13"/>
  <c r="BW800" i="13"/>
  <c r="BX800" i="13"/>
  <c r="BY800" i="13"/>
  <c r="BZ800" i="13"/>
  <c r="CA800" i="13"/>
  <c r="CB800" i="13"/>
  <c r="CC800" i="13"/>
  <c r="CD800" i="13"/>
  <c r="BL801" i="13"/>
  <c r="BM801" i="13"/>
  <c r="BN801" i="13"/>
  <c r="BO801" i="13"/>
  <c r="BP801" i="13"/>
  <c r="BQ801" i="13"/>
  <c r="BR801" i="13"/>
  <c r="BS801" i="13"/>
  <c r="BT801" i="13"/>
  <c r="BU801" i="13"/>
  <c r="BV801" i="13"/>
  <c r="BW801" i="13"/>
  <c r="BX801" i="13"/>
  <c r="BY801" i="13"/>
  <c r="BZ801" i="13"/>
  <c r="CA801" i="13"/>
  <c r="CB801" i="13"/>
  <c r="CC801" i="13"/>
  <c r="CD801" i="13"/>
  <c r="BL802" i="13"/>
  <c r="BM802" i="13"/>
  <c r="BN802" i="13"/>
  <c r="BO802" i="13"/>
  <c r="BP802" i="13"/>
  <c r="BQ802" i="13"/>
  <c r="BR802" i="13"/>
  <c r="BS802" i="13"/>
  <c r="BT802" i="13"/>
  <c r="BU802" i="13"/>
  <c r="BV802" i="13"/>
  <c r="BW802" i="13"/>
  <c r="BX802" i="13"/>
  <c r="BY802" i="13"/>
  <c r="BZ802" i="13"/>
  <c r="CA802" i="13"/>
  <c r="CB802" i="13"/>
  <c r="CC802" i="13"/>
  <c r="CD802" i="13"/>
  <c r="BL803" i="13"/>
  <c r="BM803" i="13"/>
  <c r="BN803" i="13"/>
  <c r="BO803" i="13"/>
  <c r="BP803" i="13"/>
  <c r="BQ803" i="13"/>
  <c r="BR803" i="13"/>
  <c r="BS803" i="13"/>
  <c r="BT803" i="13"/>
  <c r="BU803" i="13"/>
  <c r="BV803" i="13"/>
  <c r="BW803" i="13"/>
  <c r="BX803" i="13"/>
  <c r="BY803" i="13"/>
  <c r="BZ803" i="13"/>
  <c r="CA803" i="13"/>
  <c r="CB803" i="13"/>
  <c r="CC803" i="13"/>
  <c r="CD803" i="13"/>
  <c r="BL804" i="13"/>
  <c r="BM804" i="13"/>
  <c r="BN804" i="13"/>
  <c r="BO804" i="13"/>
  <c r="BP804" i="13"/>
  <c r="BQ804" i="13"/>
  <c r="BR804" i="13"/>
  <c r="BS804" i="13"/>
  <c r="BT804" i="13"/>
  <c r="BU804" i="13"/>
  <c r="BV804" i="13"/>
  <c r="BW804" i="13"/>
  <c r="BX804" i="13"/>
  <c r="BY804" i="13"/>
  <c r="BZ804" i="13"/>
  <c r="CA804" i="13"/>
  <c r="CB804" i="13"/>
  <c r="CC804" i="13"/>
  <c r="CD804" i="13"/>
  <c r="BL805" i="13"/>
  <c r="BM805" i="13"/>
  <c r="BN805" i="13"/>
  <c r="BO805" i="13"/>
  <c r="BP805" i="13"/>
  <c r="BQ805" i="13"/>
  <c r="BR805" i="13"/>
  <c r="BS805" i="13"/>
  <c r="BT805" i="13"/>
  <c r="BU805" i="13"/>
  <c r="BV805" i="13"/>
  <c r="BW805" i="13"/>
  <c r="BX805" i="13"/>
  <c r="BY805" i="13"/>
  <c r="BZ805" i="13"/>
  <c r="CA805" i="13"/>
  <c r="CB805" i="13"/>
  <c r="CC805" i="13"/>
  <c r="CD805" i="13"/>
  <c r="BL806" i="13"/>
  <c r="BM806" i="13"/>
  <c r="BN806" i="13"/>
  <c r="BO806" i="13"/>
  <c r="BP806" i="13"/>
  <c r="BQ806" i="13"/>
  <c r="BR806" i="13"/>
  <c r="BS806" i="13"/>
  <c r="BT806" i="13"/>
  <c r="BU806" i="13"/>
  <c r="BV806" i="13"/>
  <c r="BW806" i="13"/>
  <c r="BX806" i="13"/>
  <c r="BY806" i="13"/>
  <c r="BZ806" i="13"/>
  <c r="CA806" i="13"/>
  <c r="CB806" i="13"/>
  <c r="CC806" i="13"/>
  <c r="CD806" i="13"/>
  <c r="BL807" i="13"/>
  <c r="BM807" i="13"/>
  <c r="BN807" i="13"/>
  <c r="BO807" i="13"/>
  <c r="BP807" i="13"/>
  <c r="BQ807" i="13"/>
  <c r="BR807" i="13"/>
  <c r="BS807" i="13"/>
  <c r="BT807" i="13"/>
  <c r="BU807" i="13"/>
  <c r="BV807" i="13"/>
  <c r="BW807" i="13"/>
  <c r="BX807" i="13"/>
  <c r="BY807" i="13"/>
  <c r="BZ807" i="13"/>
  <c r="CA807" i="13"/>
  <c r="CB807" i="13"/>
  <c r="CC807" i="13"/>
  <c r="CD807" i="13"/>
  <c r="BL808" i="13"/>
  <c r="BM808" i="13"/>
  <c r="BN808" i="13"/>
  <c r="BO808" i="13"/>
  <c r="BP808" i="13"/>
  <c r="BQ808" i="13"/>
  <c r="BR808" i="13"/>
  <c r="BS808" i="13"/>
  <c r="BT808" i="13"/>
  <c r="BU808" i="13"/>
  <c r="BV808" i="13"/>
  <c r="BW808" i="13"/>
  <c r="BX808" i="13"/>
  <c r="BY808" i="13"/>
  <c r="BZ808" i="13"/>
  <c r="CA808" i="13"/>
  <c r="CB808" i="13"/>
  <c r="CC808" i="13"/>
  <c r="CD808" i="13"/>
  <c r="BL809" i="13"/>
  <c r="BM809" i="13"/>
  <c r="BN809" i="13"/>
  <c r="BO809" i="13"/>
  <c r="BP809" i="13"/>
  <c r="BQ809" i="13"/>
  <c r="BR809" i="13"/>
  <c r="BS809" i="13"/>
  <c r="BT809" i="13"/>
  <c r="BU809" i="13"/>
  <c r="BV809" i="13"/>
  <c r="BW809" i="13"/>
  <c r="BX809" i="13"/>
  <c r="BY809" i="13"/>
  <c r="BZ809" i="13"/>
  <c r="CA809" i="13"/>
  <c r="CB809" i="13"/>
  <c r="CC809" i="13"/>
  <c r="CD809" i="13"/>
  <c r="BL810" i="13"/>
  <c r="BM810" i="13"/>
  <c r="BN810" i="13"/>
  <c r="BO810" i="13"/>
  <c r="BP810" i="13"/>
  <c r="BQ810" i="13"/>
  <c r="BR810" i="13"/>
  <c r="BS810" i="13"/>
  <c r="BT810" i="13"/>
  <c r="BU810" i="13"/>
  <c r="BV810" i="13"/>
  <c r="BW810" i="13"/>
  <c r="BX810" i="13"/>
  <c r="BY810" i="13"/>
  <c r="BZ810" i="13"/>
  <c r="CA810" i="13"/>
  <c r="CB810" i="13"/>
  <c r="CC810" i="13"/>
  <c r="CD810" i="13"/>
  <c r="BL811" i="13"/>
  <c r="BM811" i="13"/>
  <c r="BN811" i="13"/>
  <c r="BO811" i="13"/>
  <c r="BP811" i="13"/>
  <c r="BQ811" i="13"/>
  <c r="BR811" i="13"/>
  <c r="BS811" i="13"/>
  <c r="BT811" i="13"/>
  <c r="BU811" i="13"/>
  <c r="BV811" i="13"/>
  <c r="BW811" i="13"/>
  <c r="BX811" i="13"/>
  <c r="BY811" i="13"/>
  <c r="BZ811" i="13"/>
  <c r="CA811" i="13"/>
  <c r="CB811" i="13"/>
  <c r="CC811" i="13"/>
  <c r="CD811" i="13"/>
  <c r="BL812" i="13"/>
  <c r="BM812" i="13"/>
  <c r="BN812" i="13"/>
  <c r="BO812" i="13"/>
  <c r="BP812" i="13"/>
  <c r="BQ812" i="13"/>
  <c r="BR812" i="13"/>
  <c r="BS812" i="13"/>
  <c r="BT812" i="13"/>
  <c r="BU812" i="13"/>
  <c r="BV812" i="13"/>
  <c r="BW812" i="13"/>
  <c r="BX812" i="13"/>
  <c r="BY812" i="13"/>
  <c r="BZ812" i="13"/>
  <c r="CA812" i="13"/>
  <c r="CB812" i="13"/>
  <c r="CC812" i="13"/>
  <c r="CD812" i="13"/>
  <c r="BL813" i="13"/>
  <c r="BM813" i="13"/>
  <c r="BN813" i="13"/>
  <c r="BO813" i="13"/>
  <c r="BP813" i="13"/>
  <c r="BQ813" i="13"/>
  <c r="BR813" i="13"/>
  <c r="BS813" i="13"/>
  <c r="BT813" i="13"/>
  <c r="BU813" i="13"/>
  <c r="BV813" i="13"/>
  <c r="BW813" i="13"/>
  <c r="BX813" i="13"/>
  <c r="BY813" i="13"/>
  <c r="BZ813" i="13"/>
  <c r="CA813" i="13"/>
  <c r="CB813" i="13"/>
  <c r="CC813" i="13"/>
  <c r="CD813" i="13"/>
  <c r="BL814" i="13"/>
  <c r="BM814" i="13"/>
  <c r="BN814" i="13"/>
  <c r="BO814" i="13"/>
  <c r="BP814" i="13"/>
  <c r="BQ814" i="13"/>
  <c r="BR814" i="13"/>
  <c r="BS814" i="13"/>
  <c r="BT814" i="13"/>
  <c r="BU814" i="13"/>
  <c r="BV814" i="13"/>
  <c r="BW814" i="13"/>
  <c r="BX814" i="13"/>
  <c r="BY814" i="13"/>
  <c r="BZ814" i="13"/>
  <c r="CA814" i="13"/>
  <c r="CB814" i="13"/>
  <c r="CC814" i="13"/>
  <c r="CD814" i="13"/>
  <c r="BL815" i="13"/>
  <c r="BM815" i="13"/>
  <c r="BN815" i="13"/>
  <c r="BO815" i="13"/>
  <c r="BP815" i="13"/>
  <c r="BQ815" i="13"/>
  <c r="BR815" i="13"/>
  <c r="BS815" i="13"/>
  <c r="BT815" i="13"/>
  <c r="BU815" i="13"/>
  <c r="BV815" i="13"/>
  <c r="BW815" i="13"/>
  <c r="BX815" i="13"/>
  <c r="BY815" i="13"/>
  <c r="BZ815" i="13"/>
  <c r="CA815" i="13"/>
  <c r="CB815" i="13"/>
  <c r="CC815" i="13"/>
  <c r="CD815" i="13"/>
  <c r="BL816" i="13"/>
  <c r="BM816" i="13"/>
  <c r="BN816" i="13"/>
  <c r="BO816" i="13"/>
  <c r="BP816" i="13"/>
  <c r="BQ816" i="13"/>
  <c r="BR816" i="13"/>
  <c r="BS816" i="13"/>
  <c r="BT816" i="13"/>
  <c r="BU816" i="13"/>
  <c r="BV816" i="13"/>
  <c r="BW816" i="13"/>
  <c r="BX816" i="13"/>
  <c r="BY816" i="13"/>
  <c r="BZ816" i="13"/>
  <c r="CA816" i="13"/>
  <c r="CB816" i="13"/>
  <c r="CC816" i="13"/>
  <c r="CD816" i="13"/>
  <c r="BL817" i="13"/>
  <c r="BM817" i="13"/>
  <c r="BN817" i="13"/>
  <c r="BO817" i="13"/>
  <c r="BP817" i="13"/>
  <c r="BQ817" i="13"/>
  <c r="BR817" i="13"/>
  <c r="BS817" i="13"/>
  <c r="BT817" i="13"/>
  <c r="BU817" i="13"/>
  <c r="BV817" i="13"/>
  <c r="BW817" i="13"/>
  <c r="BX817" i="13"/>
  <c r="BY817" i="13"/>
  <c r="BZ817" i="13"/>
  <c r="CA817" i="13"/>
  <c r="CB817" i="13"/>
  <c r="CC817" i="13"/>
  <c r="CD817" i="13"/>
  <c r="BL818" i="13"/>
  <c r="BM818" i="13"/>
  <c r="BN818" i="13"/>
  <c r="BO818" i="13"/>
  <c r="BP818" i="13"/>
  <c r="BQ818" i="13"/>
  <c r="BR818" i="13"/>
  <c r="BS818" i="13"/>
  <c r="BT818" i="13"/>
  <c r="BU818" i="13"/>
  <c r="BV818" i="13"/>
  <c r="BW818" i="13"/>
  <c r="BX818" i="13"/>
  <c r="BY818" i="13"/>
  <c r="BZ818" i="13"/>
  <c r="CA818" i="13"/>
  <c r="CB818" i="13"/>
  <c r="CC818" i="13"/>
  <c r="CD818" i="13"/>
  <c r="BL819" i="13"/>
  <c r="BM819" i="13"/>
  <c r="BN819" i="13"/>
  <c r="BO819" i="13"/>
  <c r="BP819" i="13"/>
  <c r="BQ819" i="13"/>
  <c r="BR819" i="13"/>
  <c r="BS819" i="13"/>
  <c r="BT819" i="13"/>
  <c r="BU819" i="13"/>
  <c r="BV819" i="13"/>
  <c r="BW819" i="13"/>
  <c r="BX819" i="13"/>
  <c r="BY819" i="13"/>
  <c r="BZ819" i="13"/>
  <c r="CA819" i="13"/>
  <c r="CB819" i="13"/>
  <c r="CC819" i="13"/>
  <c r="CD819" i="13"/>
  <c r="BL820" i="13"/>
  <c r="BM820" i="13"/>
  <c r="BN820" i="13"/>
  <c r="BO820" i="13"/>
  <c r="BP820" i="13"/>
  <c r="BQ820" i="13"/>
  <c r="BR820" i="13"/>
  <c r="BS820" i="13"/>
  <c r="BT820" i="13"/>
  <c r="BU820" i="13"/>
  <c r="BV820" i="13"/>
  <c r="BW820" i="13"/>
  <c r="BX820" i="13"/>
  <c r="BY820" i="13"/>
  <c r="BZ820" i="13"/>
  <c r="CA820" i="13"/>
  <c r="CB820" i="13"/>
  <c r="CC820" i="13"/>
  <c r="CD820" i="13"/>
  <c r="BL821" i="13"/>
  <c r="BM821" i="13"/>
  <c r="BN821" i="13"/>
  <c r="BO821" i="13"/>
  <c r="BP821" i="13"/>
  <c r="BQ821" i="13"/>
  <c r="BR821" i="13"/>
  <c r="BS821" i="13"/>
  <c r="BT821" i="13"/>
  <c r="BU821" i="13"/>
  <c r="BV821" i="13"/>
  <c r="BW821" i="13"/>
  <c r="BX821" i="13"/>
  <c r="BY821" i="13"/>
  <c r="BZ821" i="13"/>
  <c r="CA821" i="13"/>
  <c r="CB821" i="13"/>
  <c r="CC821" i="13"/>
  <c r="CD821" i="13"/>
  <c r="BL822" i="13"/>
  <c r="BM822" i="13"/>
  <c r="BN822" i="13"/>
  <c r="BO822" i="13"/>
  <c r="BP822" i="13"/>
  <c r="BQ822" i="13"/>
  <c r="BR822" i="13"/>
  <c r="BS822" i="13"/>
  <c r="BT822" i="13"/>
  <c r="BU822" i="13"/>
  <c r="BV822" i="13"/>
  <c r="BW822" i="13"/>
  <c r="BX822" i="13"/>
  <c r="BY822" i="13"/>
  <c r="BZ822" i="13"/>
  <c r="CA822" i="13"/>
  <c r="CB822" i="13"/>
  <c r="CC822" i="13"/>
  <c r="CD822" i="13"/>
  <c r="BL823" i="13"/>
  <c r="BM823" i="13"/>
  <c r="BN823" i="13"/>
  <c r="BO823" i="13"/>
  <c r="BP823" i="13"/>
  <c r="BQ823" i="13"/>
  <c r="BR823" i="13"/>
  <c r="BS823" i="13"/>
  <c r="BT823" i="13"/>
  <c r="BU823" i="13"/>
  <c r="BV823" i="13"/>
  <c r="BW823" i="13"/>
  <c r="BX823" i="13"/>
  <c r="BY823" i="13"/>
  <c r="BZ823" i="13"/>
  <c r="CA823" i="13"/>
  <c r="CB823" i="13"/>
  <c r="CC823" i="13"/>
  <c r="CD823" i="13"/>
  <c r="BL824" i="13"/>
  <c r="BM824" i="13"/>
  <c r="BN824" i="13"/>
  <c r="BO824" i="13"/>
  <c r="BP824" i="13"/>
  <c r="BQ824" i="13"/>
  <c r="BR824" i="13"/>
  <c r="BS824" i="13"/>
  <c r="BT824" i="13"/>
  <c r="BU824" i="13"/>
  <c r="BV824" i="13"/>
  <c r="BW824" i="13"/>
  <c r="BX824" i="13"/>
  <c r="BY824" i="13"/>
  <c r="BZ824" i="13"/>
  <c r="CA824" i="13"/>
  <c r="CB824" i="13"/>
  <c r="CC824" i="13"/>
  <c r="CD824" i="13"/>
  <c r="BL825" i="13"/>
  <c r="BM825" i="13"/>
  <c r="BN825" i="13"/>
  <c r="BO825" i="13"/>
  <c r="BP825" i="13"/>
  <c r="BQ825" i="13"/>
  <c r="BR825" i="13"/>
  <c r="BS825" i="13"/>
  <c r="BT825" i="13"/>
  <c r="BU825" i="13"/>
  <c r="BV825" i="13"/>
  <c r="BW825" i="13"/>
  <c r="BX825" i="13"/>
  <c r="BY825" i="13"/>
  <c r="BZ825" i="13"/>
  <c r="CA825" i="13"/>
  <c r="CB825" i="13"/>
  <c r="CC825" i="13"/>
  <c r="CD825" i="13"/>
  <c r="BL826" i="13"/>
  <c r="BM826" i="13"/>
  <c r="BN826" i="13"/>
  <c r="BO826" i="13"/>
  <c r="BP826" i="13"/>
  <c r="BQ826" i="13"/>
  <c r="BR826" i="13"/>
  <c r="BS826" i="13"/>
  <c r="BT826" i="13"/>
  <c r="BU826" i="13"/>
  <c r="BV826" i="13"/>
  <c r="BW826" i="13"/>
  <c r="BX826" i="13"/>
  <c r="BY826" i="13"/>
  <c r="BZ826" i="13"/>
  <c r="CA826" i="13"/>
  <c r="CB826" i="13"/>
  <c r="CC826" i="13"/>
  <c r="CD826" i="13"/>
  <c r="BL827" i="13"/>
  <c r="BM827" i="13"/>
  <c r="BN827" i="13"/>
  <c r="BO827" i="13"/>
  <c r="BP827" i="13"/>
  <c r="BQ827" i="13"/>
  <c r="BR827" i="13"/>
  <c r="BS827" i="13"/>
  <c r="BT827" i="13"/>
  <c r="BU827" i="13"/>
  <c r="BV827" i="13"/>
  <c r="BW827" i="13"/>
  <c r="BX827" i="13"/>
  <c r="BY827" i="13"/>
  <c r="BZ827" i="13"/>
  <c r="CA827" i="13"/>
  <c r="CB827" i="13"/>
  <c r="CC827" i="13"/>
  <c r="CD827" i="13"/>
  <c r="BL828" i="13"/>
  <c r="BM828" i="13"/>
  <c r="BN828" i="13"/>
  <c r="BO828" i="13"/>
  <c r="BP828" i="13"/>
  <c r="BQ828" i="13"/>
  <c r="BR828" i="13"/>
  <c r="BS828" i="13"/>
  <c r="BT828" i="13"/>
  <c r="BU828" i="13"/>
  <c r="BV828" i="13"/>
  <c r="BW828" i="13"/>
  <c r="BX828" i="13"/>
  <c r="BY828" i="13"/>
  <c r="BZ828" i="13"/>
  <c r="CA828" i="13"/>
  <c r="CB828" i="13"/>
  <c r="CC828" i="13"/>
  <c r="CD828" i="13"/>
  <c r="BL829" i="13"/>
  <c r="BM829" i="13"/>
  <c r="BN829" i="13"/>
  <c r="BO829" i="13"/>
  <c r="BP829" i="13"/>
  <c r="BQ829" i="13"/>
  <c r="BR829" i="13"/>
  <c r="BS829" i="13"/>
  <c r="BT829" i="13"/>
  <c r="BU829" i="13"/>
  <c r="BV829" i="13"/>
  <c r="BW829" i="13"/>
  <c r="BX829" i="13"/>
  <c r="BY829" i="13"/>
  <c r="BZ829" i="13"/>
  <c r="CA829" i="13"/>
  <c r="CB829" i="13"/>
  <c r="CC829" i="13"/>
  <c r="CD829" i="13"/>
  <c r="BL830" i="13"/>
  <c r="BM830" i="13"/>
  <c r="BN830" i="13"/>
  <c r="BO830" i="13"/>
  <c r="BP830" i="13"/>
  <c r="BQ830" i="13"/>
  <c r="BR830" i="13"/>
  <c r="BS830" i="13"/>
  <c r="BT830" i="13"/>
  <c r="BU830" i="13"/>
  <c r="BV830" i="13"/>
  <c r="BW830" i="13"/>
  <c r="BX830" i="13"/>
  <c r="BY830" i="13"/>
  <c r="BZ830" i="13"/>
  <c r="CA830" i="13"/>
  <c r="CB830" i="13"/>
  <c r="CC830" i="13"/>
  <c r="CD830" i="13"/>
  <c r="BL831" i="13"/>
  <c r="BM831" i="13"/>
  <c r="BN831" i="13"/>
  <c r="BO831" i="13"/>
  <c r="BP831" i="13"/>
  <c r="BQ831" i="13"/>
  <c r="BR831" i="13"/>
  <c r="BS831" i="13"/>
  <c r="BT831" i="13"/>
  <c r="BU831" i="13"/>
  <c r="BV831" i="13"/>
  <c r="BW831" i="13"/>
  <c r="BX831" i="13"/>
  <c r="BY831" i="13"/>
  <c r="BZ831" i="13"/>
  <c r="CA831" i="13"/>
  <c r="CB831" i="13"/>
  <c r="CC831" i="13"/>
  <c r="CD831" i="13"/>
  <c r="BL832" i="13"/>
  <c r="BM832" i="13"/>
  <c r="BN832" i="13"/>
  <c r="BO832" i="13"/>
  <c r="BP832" i="13"/>
  <c r="BQ832" i="13"/>
  <c r="BR832" i="13"/>
  <c r="BS832" i="13"/>
  <c r="BT832" i="13"/>
  <c r="BU832" i="13"/>
  <c r="BV832" i="13"/>
  <c r="BW832" i="13"/>
  <c r="BX832" i="13"/>
  <c r="BY832" i="13"/>
  <c r="BZ832" i="13"/>
  <c r="CA832" i="13"/>
  <c r="CB832" i="13"/>
  <c r="CC832" i="13"/>
  <c r="CD832" i="13"/>
  <c r="BL833" i="13"/>
  <c r="BM833" i="13"/>
  <c r="BN833" i="13"/>
  <c r="BO833" i="13"/>
  <c r="BP833" i="13"/>
  <c r="BQ833" i="13"/>
  <c r="BR833" i="13"/>
  <c r="BS833" i="13"/>
  <c r="BT833" i="13"/>
  <c r="BU833" i="13"/>
  <c r="BV833" i="13"/>
  <c r="BW833" i="13"/>
  <c r="BX833" i="13"/>
  <c r="BY833" i="13"/>
  <c r="BZ833" i="13"/>
  <c r="CA833" i="13"/>
  <c r="CB833" i="13"/>
  <c r="CC833" i="13"/>
  <c r="CD833" i="13"/>
  <c r="BL834" i="13"/>
  <c r="BM834" i="13"/>
  <c r="BN834" i="13"/>
  <c r="BO834" i="13"/>
  <c r="BP834" i="13"/>
  <c r="BQ834" i="13"/>
  <c r="BR834" i="13"/>
  <c r="BS834" i="13"/>
  <c r="BT834" i="13"/>
  <c r="BU834" i="13"/>
  <c r="BV834" i="13"/>
  <c r="BW834" i="13"/>
  <c r="BX834" i="13"/>
  <c r="BY834" i="13"/>
  <c r="BZ834" i="13"/>
  <c r="CA834" i="13"/>
  <c r="CB834" i="13"/>
  <c r="CC834" i="13"/>
  <c r="CD834" i="13"/>
  <c r="BL835" i="13"/>
  <c r="BM835" i="13"/>
  <c r="BN835" i="13"/>
  <c r="BO835" i="13"/>
  <c r="BP835" i="13"/>
  <c r="BQ835" i="13"/>
  <c r="BR835" i="13"/>
  <c r="BS835" i="13"/>
  <c r="BT835" i="13"/>
  <c r="BU835" i="13"/>
  <c r="BV835" i="13"/>
  <c r="BW835" i="13"/>
  <c r="BX835" i="13"/>
  <c r="BY835" i="13"/>
  <c r="BZ835" i="13"/>
  <c r="CA835" i="13"/>
  <c r="CB835" i="13"/>
  <c r="CC835" i="13"/>
  <c r="CD835" i="13"/>
  <c r="BL836" i="13"/>
  <c r="BM836" i="13"/>
  <c r="BN836" i="13"/>
  <c r="BO836" i="13"/>
  <c r="BP836" i="13"/>
  <c r="BQ836" i="13"/>
  <c r="BR836" i="13"/>
  <c r="BS836" i="13"/>
  <c r="BT836" i="13"/>
  <c r="BU836" i="13"/>
  <c r="BV836" i="13"/>
  <c r="BW836" i="13"/>
  <c r="BX836" i="13"/>
  <c r="BY836" i="13"/>
  <c r="BZ836" i="13"/>
  <c r="CA836" i="13"/>
  <c r="CB836" i="13"/>
  <c r="CC836" i="13"/>
  <c r="CD836" i="13"/>
  <c r="BL837" i="13"/>
  <c r="BM837" i="13"/>
  <c r="BN837" i="13"/>
  <c r="BO837" i="13"/>
  <c r="BP837" i="13"/>
  <c r="BQ837" i="13"/>
  <c r="BR837" i="13"/>
  <c r="BS837" i="13"/>
  <c r="BT837" i="13"/>
  <c r="BU837" i="13"/>
  <c r="BV837" i="13"/>
  <c r="BW837" i="13"/>
  <c r="BX837" i="13"/>
  <c r="BY837" i="13"/>
  <c r="BZ837" i="13"/>
  <c r="CA837" i="13"/>
  <c r="CB837" i="13"/>
  <c r="CC837" i="13"/>
  <c r="CD837" i="13"/>
  <c r="BL838" i="13"/>
  <c r="BM838" i="13"/>
  <c r="BN838" i="13"/>
  <c r="BO838" i="13"/>
  <c r="BP838" i="13"/>
  <c r="BQ838" i="13"/>
  <c r="BR838" i="13"/>
  <c r="BS838" i="13"/>
  <c r="BT838" i="13"/>
  <c r="BU838" i="13"/>
  <c r="BV838" i="13"/>
  <c r="BW838" i="13"/>
  <c r="BX838" i="13"/>
  <c r="BY838" i="13"/>
  <c r="BZ838" i="13"/>
  <c r="CA838" i="13"/>
  <c r="CB838" i="13"/>
  <c r="CC838" i="13"/>
  <c r="CD838" i="13"/>
  <c r="BL839" i="13"/>
  <c r="BM839" i="13"/>
  <c r="BN839" i="13"/>
  <c r="BO839" i="13"/>
  <c r="BP839" i="13"/>
  <c r="BQ839" i="13"/>
  <c r="BR839" i="13"/>
  <c r="BS839" i="13"/>
  <c r="BT839" i="13"/>
  <c r="BU839" i="13"/>
  <c r="BV839" i="13"/>
  <c r="BW839" i="13"/>
  <c r="BX839" i="13"/>
  <c r="BY839" i="13"/>
  <c r="BZ839" i="13"/>
  <c r="CA839" i="13"/>
  <c r="CB839" i="13"/>
  <c r="CC839" i="13"/>
  <c r="CD839" i="13"/>
  <c r="BL840" i="13"/>
  <c r="BM840" i="13"/>
  <c r="BN840" i="13"/>
  <c r="BO840" i="13"/>
  <c r="BP840" i="13"/>
  <c r="BQ840" i="13"/>
  <c r="BR840" i="13"/>
  <c r="BS840" i="13"/>
  <c r="BT840" i="13"/>
  <c r="BU840" i="13"/>
  <c r="BV840" i="13"/>
  <c r="BW840" i="13"/>
  <c r="BX840" i="13"/>
  <c r="BY840" i="13"/>
  <c r="BZ840" i="13"/>
  <c r="CA840" i="13"/>
  <c r="CB840" i="13"/>
  <c r="CC840" i="13"/>
  <c r="CD840" i="13"/>
  <c r="BL841" i="13"/>
  <c r="BM841" i="13"/>
  <c r="BN841" i="13"/>
  <c r="BO841" i="13"/>
  <c r="BP841" i="13"/>
  <c r="BQ841" i="13"/>
  <c r="BR841" i="13"/>
  <c r="BS841" i="13"/>
  <c r="BT841" i="13"/>
  <c r="BU841" i="13"/>
  <c r="BV841" i="13"/>
  <c r="BW841" i="13"/>
  <c r="BX841" i="13"/>
  <c r="BY841" i="13"/>
  <c r="BZ841" i="13"/>
  <c r="CA841" i="13"/>
  <c r="CB841" i="13"/>
  <c r="CC841" i="13"/>
  <c r="CD841" i="13"/>
  <c r="BL842" i="13"/>
  <c r="BM842" i="13"/>
  <c r="BN842" i="13"/>
  <c r="BO842" i="13"/>
  <c r="BP842" i="13"/>
  <c r="BQ842" i="13"/>
  <c r="BR842" i="13"/>
  <c r="BS842" i="13"/>
  <c r="BT842" i="13"/>
  <c r="BU842" i="13"/>
  <c r="BV842" i="13"/>
  <c r="BW842" i="13"/>
  <c r="BX842" i="13"/>
  <c r="BY842" i="13"/>
  <c r="BZ842" i="13"/>
  <c r="CA842" i="13"/>
  <c r="CB842" i="13"/>
  <c r="CC842" i="13"/>
  <c r="CD842" i="13"/>
  <c r="BL843" i="13"/>
  <c r="BM843" i="13"/>
  <c r="BN843" i="13"/>
  <c r="BO843" i="13"/>
  <c r="BP843" i="13"/>
  <c r="BQ843" i="13"/>
  <c r="BR843" i="13"/>
  <c r="BS843" i="13"/>
  <c r="BT843" i="13"/>
  <c r="BU843" i="13"/>
  <c r="BV843" i="13"/>
  <c r="BW843" i="13"/>
  <c r="BX843" i="13"/>
  <c r="BY843" i="13"/>
  <c r="BZ843" i="13"/>
  <c r="CA843" i="13"/>
  <c r="CB843" i="13"/>
  <c r="CC843" i="13"/>
  <c r="CD843" i="13"/>
  <c r="BL844" i="13"/>
  <c r="BM844" i="13"/>
  <c r="BN844" i="13"/>
  <c r="BO844" i="13"/>
  <c r="BP844" i="13"/>
  <c r="BQ844" i="13"/>
  <c r="BR844" i="13"/>
  <c r="BS844" i="13"/>
  <c r="BT844" i="13"/>
  <c r="BU844" i="13"/>
  <c r="BV844" i="13"/>
  <c r="BW844" i="13"/>
  <c r="BX844" i="13"/>
  <c r="BY844" i="13"/>
  <c r="BZ844" i="13"/>
  <c r="CA844" i="13"/>
  <c r="CB844" i="13"/>
  <c r="CC844" i="13"/>
  <c r="CD844" i="13"/>
  <c r="BL845" i="13"/>
  <c r="BM845" i="13"/>
  <c r="BN845" i="13"/>
  <c r="BO845" i="13"/>
  <c r="BP845" i="13"/>
  <c r="BQ845" i="13"/>
  <c r="BR845" i="13"/>
  <c r="BS845" i="13"/>
  <c r="BT845" i="13"/>
  <c r="BU845" i="13"/>
  <c r="BV845" i="13"/>
  <c r="BW845" i="13"/>
  <c r="BX845" i="13"/>
  <c r="BY845" i="13"/>
  <c r="BZ845" i="13"/>
  <c r="CA845" i="13"/>
  <c r="CB845" i="13"/>
  <c r="CC845" i="13"/>
  <c r="CD845" i="13"/>
  <c r="BL846" i="13"/>
  <c r="BM846" i="13"/>
  <c r="BN846" i="13"/>
  <c r="BO846" i="13"/>
  <c r="BP846" i="13"/>
  <c r="BQ846" i="13"/>
  <c r="BR846" i="13"/>
  <c r="BS846" i="13"/>
  <c r="BT846" i="13"/>
  <c r="BU846" i="13"/>
  <c r="BV846" i="13"/>
  <c r="BW846" i="13"/>
  <c r="BX846" i="13"/>
  <c r="BY846" i="13"/>
  <c r="BZ846" i="13"/>
  <c r="CA846" i="13"/>
  <c r="CB846" i="13"/>
  <c r="CC846" i="13"/>
  <c r="CD846" i="13"/>
  <c r="BL847" i="13"/>
  <c r="BM847" i="13"/>
  <c r="BN847" i="13"/>
  <c r="BO847" i="13"/>
  <c r="BP847" i="13"/>
  <c r="BQ847" i="13"/>
  <c r="BR847" i="13"/>
  <c r="BS847" i="13"/>
  <c r="BT847" i="13"/>
  <c r="BU847" i="13"/>
  <c r="BV847" i="13"/>
  <c r="BW847" i="13"/>
  <c r="BX847" i="13"/>
  <c r="BY847" i="13"/>
  <c r="BZ847" i="13"/>
  <c r="CA847" i="13"/>
  <c r="CB847" i="13"/>
  <c r="CC847" i="13"/>
  <c r="CD847" i="13"/>
  <c r="BL848" i="13"/>
  <c r="BM848" i="13"/>
  <c r="BN848" i="13"/>
  <c r="BO848" i="13"/>
  <c r="BP848" i="13"/>
  <c r="BQ848" i="13"/>
  <c r="BR848" i="13"/>
  <c r="BS848" i="13"/>
  <c r="BT848" i="13"/>
  <c r="BU848" i="13"/>
  <c r="BV848" i="13"/>
  <c r="BW848" i="13"/>
  <c r="BX848" i="13"/>
  <c r="BY848" i="13"/>
  <c r="BZ848" i="13"/>
  <c r="CA848" i="13"/>
  <c r="CB848" i="13"/>
  <c r="CC848" i="13"/>
  <c r="CD848" i="13"/>
  <c r="BL849" i="13"/>
  <c r="BM849" i="13"/>
  <c r="BN849" i="13"/>
  <c r="BO849" i="13"/>
  <c r="BP849" i="13"/>
  <c r="BQ849" i="13"/>
  <c r="BR849" i="13"/>
  <c r="BS849" i="13"/>
  <c r="BT849" i="13"/>
  <c r="BU849" i="13"/>
  <c r="BV849" i="13"/>
  <c r="BW849" i="13"/>
  <c r="BX849" i="13"/>
  <c r="BY849" i="13"/>
  <c r="BZ849" i="13"/>
  <c r="CA849" i="13"/>
  <c r="CB849" i="13"/>
  <c r="CC849" i="13"/>
  <c r="CD849" i="13"/>
  <c r="BL850" i="13"/>
  <c r="BM850" i="13"/>
  <c r="BN850" i="13"/>
  <c r="BO850" i="13"/>
  <c r="BP850" i="13"/>
  <c r="BQ850" i="13"/>
  <c r="BR850" i="13"/>
  <c r="BS850" i="13"/>
  <c r="BT850" i="13"/>
  <c r="BU850" i="13"/>
  <c r="BV850" i="13"/>
  <c r="BW850" i="13"/>
  <c r="BX850" i="13"/>
  <c r="BY850" i="13"/>
  <c r="BZ850" i="13"/>
  <c r="CA850" i="13"/>
  <c r="CB850" i="13"/>
  <c r="CC850" i="13"/>
  <c r="CD850" i="13"/>
  <c r="BL851" i="13"/>
  <c r="BM851" i="13"/>
  <c r="BN851" i="13"/>
  <c r="BO851" i="13"/>
  <c r="BP851" i="13"/>
  <c r="BQ851" i="13"/>
  <c r="BR851" i="13"/>
  <c r="BS851" i="13"/>
  <c r="BT851" i="13"/>
  <c r="BU851" i="13"/>
  <c r="BV851" i="13"/>
  <c r="BW851" i="13"/>
  <c r="BX851" i="13"/>
  <c r="BY851" i="13"/>
  <c r="BZ851" i="13"/>
  <c r="CA851" i="13"/>
  <c r="CB851" i="13"/>
  <c r="CC851" i="13"/>
  <c r="CD851" i="13"/>
  <c r="BL852" i="13"/>
  <c r="BM852" i="13"/>
  <c r="BN852" i="13"/>
  <c r="BO852" i="13"/>
  <c r="BP852" i="13"/>
  <c r="BQ852" i="13"/>
  <c r="BR852" i="13"/>
  <c r="BS852" i="13"/>
  <c r="BT852" i="13"/>
  <c r="BU852" i="13"/>
  <c r="BV852" i="13"/>
  <c r="BW852" i="13"/>
  <c r="BX852" i="13"/>
  <c r="BY852" i="13"/>
  <c r="BZ852" i="13"/>
  <c r="CA852" i="13"/>
  <c r="CB852" i="13"/>
  <c r="CC852" i="13"/>
  <c r="CD852" i="13"/>
  <c r="BL853" i="13"/>
  <c r="BM853" i="13"/>
  <c r="BN853" i="13"/>
  <c r="BO853" i="13"/>
  <c r="BP853" i="13"/>
  <c r="BQ853" i="13"/>
  <c r="BR853" i="13"/>
  <c r="BS853" i="13"/>
  <c r="BT853" i="13"/>
  <c r="BU853" i="13"/>
  <c r="BV853" i="13"/>
  <c r="BW853" i="13"/>
  <c r="BX853" i="13"/>
  <c r="BY853" i="13"/>
  <c r="BZ853" i="13"/>
  <c r="CA853" i="13"/>
  <c r="CB853" i="13"/>
  <c r="CC853" i="13"/>
  <c r="CD853" i="13"/>
  <c r="BL854" i="13"/>
  <c r="BM854" i="13"/>
  <c r="BN854" i="13"/>
  <c r="BO854" i="13"/>
  <c r="BP854" i="13"/>
  <c r="BQ854" i="13"/>
  <c r="BR854" i="13"/>
  <c r="BS854" i="13"/>
  <c r="BT854" i="13"/>
  <c r="BU854" i="13"/>
  <c r="BV854" i="13"/>
  <c r="BW854" i="13"/>
  <c r="BX854" i="13"/>
  <c r="BY854" i="13"/>
  <c r="BZ854" i="13"/>
  <c r="CA854" i="13"/>
  <c r="CB854" i="13"/>
  <c r="CC854" i="13"/>
  <c r="CD854" i="13"/>
  <c r="BL855" i="13"/>
  <c r="BM855" i="13"/>
  <c r="BN855" i="13"/>
  <c r="BO855" i="13"/>
  <c r="BP855" i="13"/>
  <c r="BQ855" i="13"/>
  <c r="BR855" i="13"/>
  <c r="BS855" i="13"/>
  <c r="BT855" i="13"/>
  <c r="BU855" i="13"/>
  <c r="BV855" i="13"/>
  <c r="BW855" i="13"/>
  <c r="BX855" i="13"/>
  <c r="BY855" i="13"/>
  <c r="BZ855" i="13"/>
  <c r="CA855" i="13"/>
  <c r="CB855" i="13"/>
  <c r="CC855" i="13"/>
  <c r="CD855" i="13"/>
  <c r="BL856" i="13"/>
  <c r="BM856" i="13"/>
  <c r="BN856" i="13"/>
  <c r="BO856" i="13"/>
  <c r="BP856" i="13"/>
  <c r="BQ856" i="13"/>
  <c r="BR856" i="13"/>
  <c r="BS856" i="13"/>
  <c r="BT856" i="13"/>
  <c r="BU856" i="13"/>
  <c r="BV856" i="13"/>
  <c r="BW856" i="13"/>
  <c r="BX856" i="13"/>
  <c r="BY856" i="13"/>
  <c r="BZ856" i="13"/>
  <c r="CA856" i="13"/>
  <c r="CB856" i="13"/>
  <c r="CC856" i="13"/>
  <c r="CD856" i="13"/>
  <c r="BL857" i="13"/>
  <c r="BM857" i="13"/>
  <c r="BN857" i="13"/>
  <c r="BO857" i="13"/>
  <c r="BP857" i="13"/>
  <c r="BQ857" i="13"/>
  <c r="BR857" i="13"/>
  <c r="BS857" i="13"/>
  <c r="BT857" i="13"/>
  <c r="BU857" i="13"/>
  <c r="BV857" i="13"/>
  <c r="BW857" i="13"/>
  <c r="BX857" i="13"/>
  <c r="BY857" i="13"/>
  <c r="BZ857" i="13"/>
  <c r="CA857" i="13"/>
  <c r="CB857" i="13"/>
  <c r="CC857" i="13"/>
  <c r="CD857" i="13"/>
  <c r="BL858" i="13"/>
  <c r="BM858" i="13"/>
  <c r="BN858" i="13"/>
  <c r="BO858" i="13"/>
  <c r="BP858" i="13"/>
  <c r="BQ858" i="13"/>
  <c r="BR858" i="13"/>
  <c r="BS858" i="13"/>
  <c r="BT858" i="13"/>
  <c r="BU858" i="13"/>
  <c r="BV858" i="13"/>
  <c r="BW858" i="13"/>
  <c r="BX858" i="13"/>
  <c r="BY858" i="13"/>
  <c r="BZ858" i="13"/>
  <c r="CA858" i="13"/>
  <c r="CB858" i="13"/>
  <c r="CC858" i="13"/>
  <c r="CD858" i="13"/>
  <c r="BL859" i="13"/>
  <c r="BM859" i="13"/>
  <c r="BN859" i="13"/>
  <c r="BO859" i="13"/>
  <c r="BP859" i="13"/>
  <c r="BQ859" i="13"/>
  <c r="BR859" i="13"/>
  <c r="BS859" i="13"/>
  <c r="BT859" i="13"/>
  <c r="BU859" i="13"/>
  <c r="BV859" i="13"/>
  <c r="BW859" i="13"/>
  <c r="BX859" i="13"/>
  <c r="BY859" i="13"/>
  <c r="BZ859" i="13"/>
  <c r="CA859" i="13"/>
  <c r="CB859" i="13"/>
  <c r="CC859" i="13"/>
  <c r="CD859" i="13"/>
  <c r="BL860" i="13"/>
  <c r="BM860" i="13"/>
  <c r="BN860" i="13"/>
  <c r="BO860" i="13"/>
  <c r="BP860" i="13"/>
  <c r="BQ860" i="13"/>
  <c r="BR860" i="13"/>
  <c r="BS860" i="13"/>
  <c r="BT860" i="13"/>
  <c r="BU860" i="13"/>
  <c r="BV860" i="13"/>
  <c r="BW860" i="13"/>
  <c r="BX860" i="13"/>
  <c r="BY860" i="13"/>
  <c r="BZ860" i="13"/>
  <c r="CA860" i="13"/>
  <c r="CB860" i="13"/>
  <c r="CC860" i="13"/>
  <c r="CD860" i="13"/>
  <c r="BL861" i="13"/>
  <c r="BM861" i="13"/>
  <c r="BN861" i="13"/>
  <c r="BO861" i="13"/>
  <c r="BP861" i="13"/>
  <c r="BQ861" i="13"/>
  <c r="BR861" i="13"/>
  <c r="BS861" i="13"/>
  <c r="BT861" i="13"/>
  <c r="BU861" i="13"/>
  <c r="BV861" i="13"/>
  <c r="BW861" i="13"/>
  <c r="BX861" i="13"/>
  <c r="BY861" i="13"/>
  <c r="BZ861" i="13"/>
  <c r="CA861" i="13"/>
  <c r="CB861" i="13"/>
  <c r="CC861" i="13"/>
  <c r="CD861" i="13"/>
  <c r="BL862" i="13"/>
  <c r="BM862" i="13"/>
  <c r="BN862" i="13"/>
  <c r="BO862" i="13"/>
  <c r="BP862" i="13"/>
  <c r="BQ862" i="13"/>
  <c r="BR862" i="13"/>
  <c r="BS862" i="13"/>
  <c r="BT862" i="13"/>
  <c r="BU862" i="13"/>
  <c r="BV862" i="13"/>
  <c r="BW862" i="13"/>
  <c r="BX862" i="13"/>
  <c r="BY862" i="13"/>
  <c r="BZ862" i="13"/>
  <c r="CA862" i="13"/>
  <c r="CB862" i="13"/>
  <c r="CC862" i="13"/>
  <c r="CD862" i="13"/>
  <c r="BL863" i="13"/>
  <c r="BM863" i="13"/>
  <c r="BN863" i="13"/>
  <c r="BO863" i="13"/>
  <c r="BP863" i="13"/>
  <c r="BQ863" i="13"/>
  <c r="BR863" i="13"/>
  <c r="BS863" i="13"/>
  <c r="BT863" i="13"/>
  <c r="BU863" i="13"/>
  <c r="BV863" i="13"/>
  <c r="BW863" i="13"/>
  <c r="BX863" i="13"/>
  <c r="BY863" i="13"/>
  <c r="BZ863" i="13"/>
  <c r="CA863" i="13"/>
  <c r="CB863" i="13"/>
  <c r="CC863" i="13"/>
  <c r="CD863" i="13"/>
  <c r="BL864" i="13"/>
  <c r="BM864" i="13"/>
  <c r="BN864" i="13"/>
  <c r="BO864" i="13"/>
  <c r="BP864" i="13"/>
  <c r="BQ864" i="13"/>
  <c r="BR864" i="13"/>
  <c r="BS864" i="13"/>
  <c r="BT864" i="13"/>
  <c r="BU864" i="13"/>
  <c r="BV864" i="13"/>
  <c r="BW864" i="13"/>
  <c r="BX864" i="13"/>
  <c r="BY864" i="13"/>
  <c r="BZ864" i="13"/>
  <c r="CA864" i="13"/>
  <c r="CB864" i="13"/>
  <c r="CC864" i="13"/>
  <c r="CD864" i="13"/>
  <c r="BL865" i="13"/>
  <c r="BM865" i="13"/>
  <c r="BN865" i="13"/>
  <c r="BO865" i="13"/>
  <c r="BP865" i="13"/>
  <c r="BQ865" i="13"/>
  <c r="BR865" i="13"/>
  <c r="BS865" i="13"/>
  <c r="BT865" i="13"/>
  <c r="BU865" i="13"/>
  <c r="BV865" i="13"/>
  <c r="BW865" i="13"/>
  <c r="BX865" i="13"/>
  <c r="BY865" i="13"/>
  <c r="BZ865" i="13"/>
  <c r="CA865" i="13"/>
  <c r="CB865" i="13"/>
  <c r="CC865" i="13"/>
  <c r="CD865" i="13"/>
  <c r="BL866" i="13"/>
  <c r="BM866" i="13"/>
  <c r="BN866" i="13"/>
  <c r="BO866" i="13"/>
  <c r="BP866" i="13"/>
  <c r="BQ866" i="13"/>
  <c r="BR866" i="13"/>
  <c r="BS866" i="13"/>
  <c r="BT866" i="13"/>
  <c r="BU866" i="13"/>
  <c r="BV866" i="13"/>
  <c r="BW866" i="13"/>
  <c r="BX866" i="13"/>
  <c r="BY866" i="13"/>
  <c r="BZ866" i="13"/>
  <c r="CA866" i="13"/>
  <c r="CB866" i="13"/>
  <c r="CC866" i="13"/>
  <c r="CD866" i="13"/>
  <c r="BL867" i="13"/>
  <c r="BM867" i="13"/>
  <c r="BN867" i="13"/>
  <c r="BO867" i="13"/>
  <c r="BP867" i="13"/>
  <c r="BQ867" i="13"/>
  <c r="BR867" i="13"/>
  <c r="BS867" i="13"/>
  <c r="BT867" i="13"/>
  <c r="BU867" i="13"/>
  <c r="BV867" i="13"/>
  <c r="BW867" i="13"/>
  <c r="BX867" i="13"/>
  <c r="BY867" i="13"/>
  <c r="BZ867" i="13"/>
  <c r="CA867" i="13"/>
  <c r="CB867" i="13"/>
  <c r="CC867" i="13"/>
  <c r="CD867" i="13"/>
  <c r="BL868" i="13"/>
  <c r="BM868" i="13"/>
  <c r="BN868" i="13"/>
  <c r="BO868" i="13"/>
  <c r="BP868" i="13"/>
  <c r="BQ868" i="13"/>
  <c r="BR868" i="13"/>
  <c r="BS868" i="13"/>
  <c r="BT868" i="13"/>
  <c r="BU868" i="13"/>
  <c r="BV868" i="13"/>
  <c r="BW868" i="13"/>
  <c r="BX868" i="13"/>
  <c r="BY868" i="13"/>
  <c r="BZ868" i="13"/>
  <c r="CA868" i="13"/>
  <c r="CB868" i="13"/>
  <c r="CC868" i="13"/>
  <c r="CD868" i="13"/>
  <c r="BL869" i="13"/>
  <c r="BM869" i="13"/>
  <c r="BN869" i="13"/>
  <c r="BO869" i="13"/>
  <c r="BP869" i="13"/>
  <c r="BQ869" i="13"/>
  <c r="BR869" i="13"/>
  <c r="BS869" i="13"/>
  <c r="BT869" i="13"/>
  <c r="BU869" i="13"/>
  <c r="BV869" i="13"/>
  <c r="BW869" i="13"/>
  <c r="BX869" i="13"/>
  <c r="BY869" i="13"/>
  <c r="BZ869" i="13"/>
  <c r="CA869" i="13"/>
  <c r="CB869" i="13"/>
  <c r="CC869" i="13"/>
  <c r="CD869" i="13"/>
  <c r="BL870" i="13"/>
  <c r="BM870" i="13"/>
  <c r="BN870" i="13"/>
  <c r="BO870" i="13"/>
  <c r="BP870" i="13"/>
  <c r="BQ870" i="13"/>
  <c r="BR870" i="13"/>
  <c r="BS870" i="13"/>
  <c r="BT870" i="13"/>
  <c r="BU870" i="13"/>
  <c r="BV870" i="13"/>
  <c r="BW870" i="13"/>
  <c r="BX870" i="13"/>
  <c r="BY870" i="13"/>
  <c r="BZ870" i="13"/>
  <c r="CA870" i="13"/>
  <c r="CB870" i="13"/>
  <c r="CC870" i="13"/>
  <c r="CD870" i="13"/>
  <c r="BL871" i="13"/>
  <c r="BM871" i="13"/>
  <c r="BN871" i="13"/>
  <c r="BO871" i="13"/>
  <c r="BP871" i="13"/>
  <c r="BQ871" i="13"/>
  <c r="BR871" i="13"/>
  <c r="BS871" i="13"/>
  <c r="BT871" i="13"/>
  <c r="BU871" i="13"/>
  <c r="BV871" i="13"/>
  <c r="BW871" i="13"/>
  <c r="BX871" i="13"/>
  <c r="BY871" i="13"/>
  <c r="BZ871" i="13"/>
  <c r="CA871" i="13"/>
  <c r="CB871" i="13"/>
  <c r="CC871" i="13"/>
  <c r="CD871" i="13"/>
  <c r="BL872" i="13"/>
  <c r="BM872" i="13"/>
  <c r="BN872" i="13"/>
  <c r="BO872" i="13"/>
  <c r="BP872" i="13"/>
  <c r="BQ872" i="13"/>
  <c r="BR872" i="13"/>
  <c r="BS872" i="13"/>
  <c r="BT872" i="13"/>
  <c r="BU872" i="13"/>
  <c r="BV872" i="13"/>
  <c r="BW872" i="13"/>
  <c r="BX872" i="13"/>
  <c r="BY872" i="13"/>
  <c r="BZ872" i="13"/>
  <c r="CA872" i="13"/>
  <c r="CB872" i="13"/>
  <c r="CC872" i="13"/>
  <c r="CD872" i="13"/>
  <c r="BL873" i="13"/>
  <c r="BM873" i="13"/>
  <c r="BN873" i="13"/>
  <c r="BO873" i="13"/>
  <c r="BP873" i="13"/>
  <c r="BQ873" i="13"/>
  <c r="BR873" i="13"/>
  <c r="BS873" i="13"/>
  <c r="BT873" i="13"/>
  <c r="BU873" i="13"/>
  <c r="BV873" i="13"/>
  <c r="BW873" i="13"/>
  <c r="BX873" i="13"/>
  <c r="BY873" i="13"/>
  <c r="BZ873" i="13"/>
  <c r="CA873" i="13"/>
  <c r="CB873" i="13"/>
  <c r="CC873" i="13"/>
  <c r="CD873" i="13"/>
  <c r="BL874" i="13"/>
  <c r="BM874" i="13"/>
  <c r="BN874" i="13"/>
  <c r="BO874" i="13"/>
  <c r="BP874" i="13"/>
  <c r="BQ874" i="13"/>
  <c r="BR874" i="13"/>
  <c r="BS874" i="13"/>
  <c r="BT874" i="13"/>
  <c r="BU874" i="13"/>
  <c r="BV874" i="13"/>
  <c r="BW874" i="13"/>
  <c r="BX874" i="13"/>
  <c r="BY874" i="13"/>
  <c r="BZ874" i="13"/>
  <c r="CA874" i="13"/>
  <c r="CB874" i="13"/>
  <c r="CC874" i="13"/>
  <c r="CD874" i="13"/>
  <c r="BL875" i="13"/>
  <c r="BM875" i="13"/>
  <c r="BN875" i="13"/>
  <c r="BO875" i="13"/>
  <c r="BP875" i="13"/>
  <c r="BQ875" i="13"/>
  <c r="BR875" i="13"/>
  <c r="BS875" i="13"/>
  <c r="BT875" i="13"/>
  <c r="BU875" i="13"/>
  <c r="BV875" i="13"/>
  <c r="BW875" i="13"/>
  <c r="BX875" i="13"/>
  <c r="BY875" i="13"/>
  <c r="BZ875" i="13"/>
  <c r="CA875" i="13"/>
  <c r="CB875" i="13"/>
  <c r="CC875" i="13"/>
  <c r="CD875" i="13"/>
  <c r="BL876" i="13"/>
  <c r="BM876" i="13"/>
  <c r="BN876" i="13"/>
  <c r="BO876" i="13"/>
  <c r="BP876" i="13"/>
  <c r="BQ876" i="13"/>
  <c r="BR876" i="13"/>
  <c r="BS876" i="13"/>
  <c r="BT876" i="13"/>
  <c r="BU876" i="13"/>
  <c r="BV876" i="13"/>
  <c r="BW876" i="13"/>
  <c r="BX876" i="13"/>
  <c r="BY876" i="13"/>
  <c r="BZ876" i="13"/>
  <c r="CA876" i="13"/>
  <c r="CB876" i="13"/>
  <c r="CC876" i="13"/>
  <c r="CD876" i="13"/>
  <c r="BL877" i="13"/>
  <c r="BM877" i="13"/>
  <c r="BN877" i="13"/>
  <c r="BO877" i="13"/>
  <c r="BP877" i="13"/>
  <c r="BQ877" i="13"/>
  <c r="BR877" i="13"/>
  <c r="BS877" i="13"/>
  <c r="BT877" i="13"/>
  <c r="BU877" i="13"/>
  <c r="BV877" i="13"/>
  <c r="BW877" i="13"/>
  <c r="BX877" i="13"/>
  <c r="BY877" i="13"/>
  <c r="BZ877" i="13"/>
  <c r="CA877" i="13"/>
  <c r="CB877" i="13"/>
  <c r="CC877" i="13"/>
  <c r="CD877" i="13"/>
  <c r="BL878" i="13"/>
  <c r="BM878" i="13"/>
  <c r="BN878" i="13"/>
  <c r="BO878" i="13"/>
  <c r="BP878" i="13"/>
  <c r="BQ878" i="13"/>
  <c r="BR878" i="13"/>
  <c r="BS878" i="13"/>
  <c r="BT878" i="13"/>
  <c r="BU878" i="13"/>
  <c r="BV878" i="13"/>
  <c r="BW878" i="13"/>
  <c r="BX878" i="13"/>
  <c r="BY878" i="13"/>
  <c r="BZ878" i="13"/>
  <c r="CA878" i="13"/>
  <c r="CB878" i="13"/>
  <c r="CC878" i="13"/>
  <c r="CD878" i="13"/>
  <c r="BL879" i="13"/>
  <c r="BM879" i="13"/>
  <c r="BN879" i="13"/>
  <c r="BO879" i="13"/>
  <c r="BP879" i="13"/>
  <c r="BQ879" i="13"/>
  <c r="BR879" i="13"/>
  <c r="BS879" i="13"/>
  <c r="BT879" i="13"/>
  <c r="BU879" i="13"/>
  <c r="BV879" i="13"/>
  <c r="BW879" i="13"/>
  <c r="BX879" i="13"/>
  <c r="BY879" i="13"/>
  <c r="BZ879" i="13"/>
  <c r="CA879" i="13"/>
  <c r="CB879" i="13"/>
  <c r="CC879" i="13"/>
  <c r="CD879" i="13"/>
  <c r="BL880" i="13"/>
  <c r="BM880" i="13"/>
  <c r="BN880" i="13"/>
  <c r="BO880" i="13"/>
  <c r="BP880" i="13"/>
  <c r="BQ880" i="13"/>
  <c r="BR880" i="13"/>
  <c r="BS880" i="13"/>
  <c r="BT880" i="13"/>
  <c r="BU880" i="13"/>
  <c r="BV880" i="13"/>
  <c r="BW880" i="13"/>
  <c r="BX880" i="13"/>
  <c r="BY880" i="13"/>
  <c r="BZ880" i="13"/>
  <c r="CA880" i="13"/>
  <c r="CB880" i="13"/>
  <c r="CC880" i="13"/>
  <c r="CD880" i="13"/>
  <c r="BL881" i="13"/>
  <c r="BM881" i="13"/>
  <c r="BN881" i="13"/>
  <c r="BO881" i="13"/>
  <c r="BP881" i="13"/>
  <c r="BQ881" i="13"/>
  <c r="BR881" i="13"/>
  <c r="BS881" i="13"/>
  <c r="BT881" i="13"/>
  <c r="BU881" i="13"/>
  <c r="BV881" i="13"/>
  <c r="BW881" i="13"/>
  <c r="BX881" i="13"/>
  <c r="BY881" i="13"/>
  <c r="BZ881" i="13"/>
  <c r="CA881" i="13"/>
  <c r="CB881" i="13"/>
  <c r="CC881" i="13"/>
  <c r="CD881" i="13"/>
  <c r="BL882" i="13"/>
  <c r="BM882" i="13"/>
  <c r="BN882" i="13"/>
  <c r="BO882" i="13"/>
  <c r="BP882" i="13"/>
  <c r="BQ882" i="13"/>
  <c r="BR882" i="13"/>
  <c r="BS882" i="13"/>
  <c r="BT882" i="13"/>
  <c r="BU882" i="13"/>
  <c r="BV882" i="13"/>
  <c r="BW882" i="13"/>
  <c r="BX882" i="13"/>
  <c r="BY882" i="13"/>
  <c r="BZ882" i="13"/>
  <c r="CA882" i="13"/>
  <c r="CB882" i="13"/>
  <c r="CC882" i="13"/>
  <c r="CD882" i="13"/>
  <c r="BL883" i="13"/>
  <c r="BM883" i="13"/>
  <c r="BN883" i="13"/>
  <c r="BO883" i="13"/>
  <c r="BP883" i="13"/>
  <c r="BQ883" i="13"/>
  <c r="BR883" i="13"/>
  <c r="BS883" i="13"/>
  <c r="BT883" i="13"/>
  <c r="BU883" i="13"/>
  <c r="BV883" i="13"/>
  <c r="BW883" i="13"/>
  <c r="BX883" i="13"/>
  <c r="BY883" i="13"/>
  <c r="BZ883" i="13"/>
  <c r="CA883" i="13"/>
  <c r="CB883" i="13"/>
  <c r="CC883" i="13"/>
  <c r="CD883" i="13"/>
  <c r="BL884" i="13"/>
  <c r="BM884" i="13"/>
  <c r="BN884" i="13"/>
  <c r="BO884" i="13"/>
  <c r="BP884" i="13"/>
  <c r="BQ884" i="13"/>
  <c r="BR884" i="13"/>
  <c r="BS884" i="13"/>
  <c r="BT884" i="13"/>
  <c r="BU884" i="13"/>
  <c r="BV884" i="13"/>
  <c r="BW884" i="13"/>
  <c r="BX884" i="13"/>
  <c r="BY884" i="13"/>
  <c r="BZ884" i="13"/>
  <c r="CA884" i="13"/>
  <c r="CB884" i="13"/>
  <c r="CC884" i="13"/>
  <c r="CD884" i="13"/>
  <c r="BL885" i="13"/>
  <c r="BM885" i="13"/>
  <c r="BN885" i="13"/>
  <c r="BO885" i="13"/>
  <c r="BP885" i="13"/>
  <c r="BQ885" i="13"/>
  <c r="BR885" i="13"/>
  <c r="BS885" i="13"/>
  <c r="BT885" i="13"/>
  <c r="BU885" i="13"/>
  <c r="BV885" i="13"/>
  <c r="BW885" i="13"/>
  <c r="BX885" i="13"/>
  <c r="BY885" i="13"/>
  <c r="BZ885" i="13"/>
  <c r="CA885" i="13"/>
  <c r="CB885" i="13"/>
  <c r="CC885" i="13"/>
  <c r="CD885" i="13"/>
  <c r="BL886" i="13"/>
  <c r="BM886" i="13"/>
  <c r="BN886" i="13"/>
  <c r="BO886" i="13"/>
  <c r="BP886" i="13"/>
  <c r="BQ886" i="13"/>
  <c r="BR886" i="13"/>
  <c r="BS886" i="13"/>
  <c r="BT886" i="13"/>
  <c r="BU886" i="13"/>
  <c r="BV886" i="13"/>
  <c r="BW886" i="13"/>
  <c r="BX886" i="13"/>
  <c r="BY886" i="13"/>
  <c r="BZ886" i="13"/>
  <c r="CA886" i="13"/>
  <c r="CB886" i="13"/>
  <c r="CC886" i="13"/>
  <c r="CD886" i="13"/>
  <c r="BL887" i="13"/>
  <c r="BM887" i="13"/>
  <c r="BN887" i="13"/>
  <c r="BO887" i="13"/>
  <c r="BP887" i="13"/>
  <c r="BQ887" i="13"/>
  <c r="BR887" i="13"/>
  <c r="BS887" i="13"/>
  <c r="BT887" i="13"/>
  <c r="BU887" i="13"/>
  <c r="BV887" i="13"/>
  <c r="BW887" i="13"/>
  <c r="BX887" i="13"/>
  <c r="BY887" i="13"/>
  <c r="BZ887" i="13"/>
  <c r="CA887" i="13"/>
  <c r="CB887" i="13"/>
  <c r="CC887" i="13"/>
  <c r="CD887" i="13"/>
  <c r="BL888" i="13"/>
  <c r="BM888" i="13"/>
  <c r="BN888" i="13"/>
  <c r="BO888" i="13"/>
  <c r="BP888" i="13"/>
  <c r="BQ888" i="13"/>
  <c r="BR888" i="13"/>
  <c r="BS888" i="13"/>
  <c r="BT888" i="13"/>
  <c r="BU888" i="13"/>
  <c r="BV888" i="13"/>
  <c r="BW888" i="13"/>
  <c r="BX888" i="13"/>
  <c r="BY888" i="13"/>
  <c r="BZ888" i="13"/>
  <c r="CA888" i="13"/>
  <c r="CB888" i="13"/>
  <c r="CC888" i="13"/>
  <c r="CD888" i="13"/>
  <c r="BL889" i="13"/>
  <c r="BM889" i="13"/>
  <c r="BN889" i="13"/>
  <c r="BO889" i="13"/>
  <c r="BP889" i="13"/>
  <c r="BQ889" i="13"/>
  <c r="BR889" i="13"/>
  <c r="BS889" i="13"/>
  <c r="BT889" i="13"/>
  <c r="BU889" i="13"/>
  <c r="BV889" i="13"/>
  <c r="BW889" i="13"/>
  <c r="BX889" i="13"/>
  <c r="BY889" i="13"/>
  <c r="BZ889" i="13"/>
  <c r="CA889" i="13"/>
  <c r="CB889" i="13"/>
  <c r="CC889" i="13"/>
  <c r="CD889" i="13"/>
  <c r="BL890" i="13"/>
  <c r="BM890" i="13"/>
  <c r="BN890" i="13"/>
  <c r="BO890" i="13"/>
  <c r="BP890" i="13"/>
  <c r="BQ890" i="13"/>
  <c r="BR890" i="13"/>
  <c r="BS890" i="13"/>
  <c r="BT890" i="13"/>
  <c r="BU890" i="13"/>
  <c r="BV890" i="13"/>
  <c r="BW890" i="13"/>
  <c r="BX890" i="13"/>
  <c r="BY890" i="13"/>
  <c r="BZ890" i="13"/>
  <c r="CA890" i="13"/>
  <c r="CB890" i="13"/>
  <c r="CC890" i="13"/>
  <c r="CD890" i="13"/>
  <c r="BL891" i="13"/>
  <c r="BM891" i="13"/>
  <c r="BN891" i="13"/>
  <c r="BO891" i="13"/>
  <c r="BP891" i="13"/>
  <c r="BQ891" i="13"/>
  <c r="BR891" i="13"/>
  <c r="BS891" i="13"/>
  <c r="BT891" i="13"/>
  <c r="BU891" i="13"/>
  <c r="BV891" i="13"/>
  <c r="BW891" i="13"/>
  <c r="BX891" i="13"/>
  <c r="BY891" i="13"/>
  <c r="BZ891" i="13"/>
  <c r="CA891" i="13"/>
  <c r="CB891" i="13"/>
  <c r="CC891" i="13"/>
  <c r="CD891" i="13"/>
  <c r="BL892" i="13"/>
  <c r="BM892" i="13"/>
  <c r="BN892" i="13"/>
  <c r="BO892" i="13"/>
  <c r="BP892" i="13"/>
  <c r="BQ892" i="13"/>
  <c r="BR892" i="13"/>
  <c r="BS892" i="13"/>
  <c r="BT892" i="13"/>
  <c r="BU892" i="13"/>
  <c r="BV892" i="13"/>
  <c r="BW892" i="13"/>
  <c r="BX892" i="13"/>
  <c r="BY892" i="13"/>
  <c r="BZ892" i="13"/>
  <c r="CA892" i="13"/>
  <c r="CB892" i="13"/>
  <c r="CC892" i="13"/>
  <c r="CD892" i="13"/>
  <c r="BL893" i="13"/>
  <c r="BM893" i="13"/>
  <c r="BN893" i="13"/>
  <c r="BO893" i="13"/>
  <c r="BP893" i="13"/>
  <c r="BQ893" i="13"/>
  <c r="BR893" i="13"/>
  <c r="BS893" i="13"/>
  <c r="BT893" i="13"/>
  <c r="BU893" i="13"/>
  <c r="BV893" i="13"/>
  <c r="BW893" i="13"/>
  <c r="BX893" i="13"/>
  <c r="BY893" i="13"/>
  <c r="BZ893" i="13"/>
  <c r="CA893" i="13"/>
  <c r="CB893" i="13"/>
  <c r="CC893" i="13"/>
  <c r="CD893" i="13"/>
  <c r="BL894" i="13"/>
  <c r="BM894" i="13"/>
  <c r="BN894" i="13"/>
  <c r="BO894" i="13"/>
  <c r="BP894" i="13"/>
  <c r="BQ894" i="13"/>
  <c r="BR894" i="13"/>
  <c r="BS894" i="13"/>
  <c r="BT894" i="13"/>
  <c r="BU894" i="13"/>
  <c r="BV894" i="13"/>
  <c r="BW894" i="13"/>
  <c r="BX894" i="13"/>
  <c r="BY894" i="13"/>
  <c r="BZ894" i="13"/>
  <c r="CA894" i="13"/>
  <c r="CB894" i="13"/>
  <c r="CC894" i="13"/>
  <c r="CD894" i="13"/>
  <c r="BL895" i="13"/>
  <c r="BM895" i="13"/>
  <c r="BN895" i="13"/>
  <c r="BO895" i="13"/>
  <c r="BP895" i="13"/>
  <c r="BQ895" i="13"/>
  <c r="BR895" i="13"/>
  <c r="BS895" i="13"/>
  <c r="BT895" i="13"/>
  <c r="BU895" i="13"/>
  <c r="BV895" i="13"/>
  <c r="BW895" i="13"/>
  <c r="BX895" i="13"/>
  <c r="BY895" i="13"/>
  <c r="BZ895" i="13"/>
  <c r="CA895" i="13"/>
  <c r="CB895" i="13"/>
  <c r="CC895" i="13"/>
  <c r="CD895" i="13"/>
  <c r="BL896" i="13"/>
  <c r="BM896" i="13"/>
  <c r="BN896" i="13"/>
  <c r="BO896" i="13"/>
  <c r="BP896" i="13"/>
  <c r="BQ896" i="13"/>
  <c r="BR896" i="13"/>
  <c r="BS896" i="13"/>
  <c r="BT896" i="13"/>
  <c r="BU896" i="13"/>
  <c r="BV896" i="13"/>
  <c r="BW896" i="13"/>
  <c r="BX896" i="13"/>
  <c r="BY896" i="13"/>
  <c r="BZ896" i="13"/>
  <c r="CA896" i="13"/>
  <c r="CB896" i="13"/>
  <c r="CC896" i="13"/>
  <c r="CD896" i="13"/>
  <c r="BL897" i="13"/>
  <c r="BM897" i="13"/>
  <c r="BN897" i="13"/>
  <c r="BO897" i="13"/>
  <c r="BP897" i="13"/>
  <c r="BQ897" i="13"/>
  <c r="BR897" i="13"/>
  <c r="BS897" i="13"/>
  <c r="BT897" i="13"/>
  <c r="BU897" i="13"/>
  <c r="BV897" i="13"/>
  <c r="BW897" i="13"/>
  <c r="BX897" i="13"/>
  <c r="BY897" i="13"/>
  <c r="BZ897" i="13"/>
  <c r="CA897" i="13"/>
  <c r="CB897" i="13"/>
  <c r="CC897" i="13"/>
  <c r="CD897" i="13"/>
  <c r="BL898" i="13"/>
  <c r="BM898" i="13"/>
  <c r="BN898" i="13"/>
  <c r="BO898" i="13"/>
  <c r="BP898" i="13"/>
  <c r="BQ898" i="13"/>
  <c r="BR898" i="13"/>
  <c r="BS898" i="13"/>
  <c r="BT898" i="13"/>
  <c r="BU898" i="13"/>
  <c r="BV898" i="13"/>
  <c r="BW898" i="13"/>
  <c r="BX898" i="13"/>
  <c r="BY898" i="13"/>
  <c r="BZ898" i="13"/>
  <c r="CA898" i="13"/>
  <c r="CB898" i="13"/>
  <c r="CC898" i="13"/>
  <c r="CD898" i="13"/>
  <c r="BL899" i="13"/>
  <c r="BM899" i="13"/>
  <c r="BN899" i="13"/>
  <c r="BO899" i="13"/>
  <c r="BP899" i="13"/>
  <c r="BQ899" i="13"/>
  <c r="BR899" i="13"/>
  <c r="BS899" i="13"/>
  <c r="BT899" i="13"/>
  <c r="BU899" i="13"/>
  <c r="BV899" i="13"/>
  <c r="BW899" i="13"/>
  <c r="BX899" i="13"/>
  <c r="BY899" i="13"/>
  <c r="BZ899" i="13"/>
  <c r="CA899" i="13"/>
  <c r="CB899" i="13"/>
  <c r="CC899" i="13"/>
  <c r="CD899" i="13"/>
  <c r="BL900" i="13"/>
  <c r="BM900" i="13"/>
  <c r="BN900" i="13"/>
  <c r="BO900" i="13"/>
  <c r="BP900" i="13"/>
  <c r="BQ900" i="13"/>
  <c r="BR900" i="13"/>
  <c r="BS900" i="13"/>
  <c r="BT900" i="13"/>
  <c r="BU900" i="13"/>
  <c r="BV900" i="13"/>
  <c r="BW900" i="13"/>
  <c r="BX900" i="13"/>
  <c r="BY900" i="13"/>
  <c r="BZ900" i="13"/>
  <c r="CA900" i="13"/>
  <c r="CB900" i="13"/>
  <c r="CC900" i="13"/>
  <c r="CD900" i="13"/>
  <c r="BL901" i="13"/>
  <c r="BM901" i="13"/>
  <c r="BN901" i="13"/>
  <c r="BO901" i="13"/>
  <c r="BP901" i="13"/>
  <c r="BQ901" i="13"/>
  <c r="BR901" i="13"/>
  <c r="BS901" i="13"/>
  <c r="BT901" i="13"/>
  <c r="BU901" i="13"/>
  <c r="BV901" i="13"/>
  <c r="BW901" i="13"/>
  <c r="BX901" i="13"/>
  <c r="BY901" i="13"/>
  <c r="BZ901" i="13"/>
  <c r="CA901" i="13"/>
  <c r="CB901" i="13"/>
  <c r="CC901" i="13"/>
  <c r="CD901" i="13"/>
  <c r="BL902" i="13"/>
  <c r="BM902" i="13"/>
  <c r="BN902" i="13"/>
  <c r="BO902" i="13"/>
  <c r="BP902" i="13"/>
  <c r="BQ902" i="13"/>
  <c r="BR902" i="13"/>
  <c r="BS902" i="13"/>
  <c r="BT902" i="13"/>
  <c r="BU902" i="13"/>
  <c r="BV902" i="13"/>
  <c r="BW902" i="13"/>
  <c r="BX902" i="13"/>
  <c r="BY902" i="13"/>
  <c r="BZ902" i="13"/>
  <c r="CA902" i="13"/>
  <c r="CB902" i="13"/>
  <c r="CC902" i="13"/>
  <c r="CD902" i="13"/>
  <c r="BL903" i="13"/>
  <c r="BM903" i="13"/>
  <c r="BN903" i="13"/>
  <c r="BO903" i="13"/>
  <c r="BP903" i="13"/>
  <c r="BQ903" i="13"/>
  <c r="BR903" i="13"/>
  <c r="BS903" i="13"/>
  <c r="BT903" i="13"/>
  <c r="BU903" i="13"/>
  <c r="BV903" i="13"/>
  <c r="BW903" i="13"/>
  <c r="BX903" i="13"/>
  <c r="BY903" i="13"/>
  <c r="BZ903" i="13"/>
  <c r="CA903" i="13"/>
  <c r="CB903" i="13"/>
  <c r="CC903" i="13"/>
  <c r="CD903" i="13"/>
  <c r="BL904" i="13"/>
  <c r="BM904" i="13"/>
  <c r="BN904" i="13"/>
  <c r="BO904" i="13"/>
  <c r="BP904" i="13"/>
  <c r="BQ904" i="13"/>
  <c r="BR904" i="13"/>
  <c r="BS904" i="13"/>
  <c r="BT904" i="13"/>
  <c r="BU904" i="13"/>
  <c r="BV904" i="13"/>
  <c r="BW904" i="13"/>
  <c r="BX904" i="13"/>
  <c r="BY904" i="13"/>
  <c r="BZ904" i="13"/>
  <c r="CA904" i="13"/>
  <c r="CB904" i="13"/>
  <c r="CC904" i="13"/>
  <c r="CD904" i="13"/>
  <c r="BL905" i="13"/>
  <c r="BM905" i="13"/>
  <c r="BN905" i="13"/>
  <c r="BO905" i="13"/>
  <c r="BP905" i="13"/>
  <c r="BQ905" i="13"/>
  <c r="BR905" i="13"/>
  <c r="BS905" i="13"/>
  <c r="BT905" i="13"/>
  <c r="BU905" i="13"/>
  <c r="BV905" i="13"/>
  <c r="BW905" i="13"/>
  <c r="BX905" i="13"/>
  <c r="BY905" i="13"/>
  <c r="BZ905" i="13"/>
  <c r="CA905" i="13"/>
  <c r="CB905" i="13"/>
  <c r="CC905" i="13"/>
  <c r="CD905" i="13"/>
  <c r="BL906" i="13"/>
  <c r="BM906" i="13"/>
  <c r="BN906" i="13"/>
  <c r="BO906" i="13"/>
  <c r="BP906" i="13"/>
  <c r="BQ906" i="13"/>
  <c r="BR906" i="13"/>
  <c r="BS906" i="13"/>
  <c r="BT906" i="13"/>
  <c r="BU906" i="13"/>
  <c r="BV906" i="13"/>
  <c r="BW906" i="13"/>
  <c r="BX906" i="13"/>
  <c r="BY906" i="13"/>
  <c r="BZ906" i="13"/>
  <c r="CA906" i="13"/>
  <c r="CB906" i="13"/>
  <c r="CC906" i="13"/>
  <c r="CD906" i="13"/>
  <c r="BL907" i="13"/>
  <c r="BM907" i="13"/>
  <c r="BN907" i="13"/>
  <c r="BO907" i="13"/>
  <c r="BP907" i="13"/>
  <c r="BQ907" i="13"/>
  <c r="BR907" i="13"/>
  <c r="BS907" i="13"/>
  <c r="BT907" i="13"/>
  <c r="BU907" i="13"/>
  <c r="BV907" i="13"/>
  <c r="BW907" i="13"/>
  <c r="BX907" i="13"/>
  <c r="BY907" i="13"/>
  <c r="BZ907" i="13"/>
  <c r="CA907" i="13"/>
  <c r="CB907" i="13"/>
  <c r="CC907" i="13"/>
  <c r="CD907" i="13"/>
  <c r="BL908" i="13"/>
  <c r="BM908" i="13"/>
  <c r="BN908" i="13"/>
  <c r="BO908" i="13"/>
  <c r="BP908" i="13"/>
  <c r="BQ908" i="13"/>
  <c r="BR908" i="13"/>
  <c r="BS908" i="13"/>
  <c r="BT908" i="13"/>
  <c r="BU908" i="13"/>
  <c r="BV908" i="13"/>
  <c r="BW908" i="13"/>
  <c r="BX908" i="13"/>
  <c r="BY908" i="13"/>
  <c r="BZ908" i="13"/>
  <c r="CA908" i="13"/>
  <c r="CB908" i="13"/>
  <c r="CC908" i="13"/>
  <c r="CD908" i="13"/>
  <c r="BL909" i="13"/>
  <c r="BM909" i="13"/>
  <c r="BN909" i="13"/>
  <c r="BO909" i="13"/>
  <c r="BP909" i="13"/>
  <c r="BQ909" i="13"/>
  <c r="BR909" i="13"/>
  <c r="BS909" i="13"/>
  <c r="BT909" i="13"/>
  <c r="BU909" i="13"/>
  <c r="BV909" i="13"/>
  <c r="BW909" i="13"/>
  <c r="BX909" i="13"/>
  <c r="BY909" i="13"/>
  <c r="BZ909" i="13"/>
  <c r="CA909" i="13"/>
  <c r="CB909" i="13"/>
  <c r="CC909" i="13"/>
  <c r="CD909" i="13"/>
  <c r="BL910" i="13"/>
  <c r="BM910" i="13"/>
  <c r="BN910" i="13"/>
  <c r="BO910" i="13"/>
  <c r="BP910" i="13"/>
  <c r="BQ910" i="13"/>
  <c r="BR910" i="13"/>
  <c r="BS910" i="13"/>
  <c r="BT910" i="13"/>
  <c r="BU910" i="13"/>
  <c r="BV910" i="13"/>
  <c r="BW910" i="13"/>
  <c r="BX910" i="13"/>
  <c r="BY910" i="13"/>
  <c r="BZ910" i="13"/>
  <c r="CA910" i="13"/>
  <c r="CB910" i="13"/>
  <c r="CC910" i="13"/>
  <c r="CD910" i="13"/>
  <c r="BL911" i="13"/>
  <c r="BM911" i="13"/>
  <c r="BN911" i="13"/>
  <c r="BO911" i="13"/>
  <c r="BP911" i="13"/>
  <c r="BQ911" i="13"/>
  <c r="BR911" i="13"/>
  <c r="BS911" i="13"/>
  <c r="BT911" i="13"/>
  <c r="BU911" i="13"/>
  <c r="BV911" i="13"/>
  <c r="BW911" i="13"/>
  <c r="BX911" i="13"/>
  <c r="BY911" i="13"/>
  <c r="BZ911" i="13"/>
  <c r="CA911" i="13"/>
  <c r="CB911" i="13"/>
  <c r="CC911" i="13"/>
  <c r="CD911" i="13"/>
  <c r="BL912" i="13"/>
  <c r="BM912" i="13"/>
  <c r="BN912" i="13"/>
  <c r="BO912" i="13"/>
  <c r="BP912" i="13"/>
  <c r="BQ912" i="13"/>
  <c r="BR912" i="13"/>
  <c r="BS912" i="13"/>
  <c r="BT912" i="13"/>
  <c r="BU912" i="13"/>
  <c r="BV912" i="13"/>
  <c r="BW912" i="13"/>
  <c r="BX912" i="13"/>
  <c r="BY912" i="13"/>
  <c r="BZ912" i="13"/>
  <c r="CA912" i="13"/>
  <c r="CB912" i="13"/>
  <c r="CC912" i="13"/>
  <c r="CD912" i="13"/>
  <c r="BL913" i="13"/>
  <c r="BM913" i="13"/>
  <c r="BN913" i="13"/>
  <c r="BO913" i="13"/>
  <c r="BP913" i="13"/>
  <c r="BQ913" i="13"/>
  <c r="BR913" i="13"/>
  <c r="BS913" i="13"/>
  <c r="BT913" i="13"/>
  <c r="BU913" i="13"/>
  <c r="BV913" i="13"/>
  <c r="BW913" i="13"/>
  <c r="BX913" i="13"/>
  <c r="BY913" i="13"/>
  <c r="BZ913" i="13"/>
  <c r="CA913" i="13"/>
  <c r="CB913" i="13"/>
  <c r="CC913" i="13"/>
  <c r="CD913" i="13"/>
  <c r="BL914" i="13"/>
  <c r="BM914" i="13"/>
  <c r="BN914" i="13"/>
  <c r="BO914" i="13"/>
  <c r="BP914" i="13"/>
  <c r="BQ914" i="13"/>
  <c r="BR914" i="13"/>
  <c r="BS914" i="13"/>
  <c r="BT914" i="13"/>
  <c r="BU914" i="13"/>
  <c r="BV914" i="13"/>
  <c r="BW914" i="13"/>
  <c r="BX914" i="13"/>
  <c r="BY914" i="13"/>
  <c r="BZ914" i="13"/>
  <c r="CA914" i="13"/>
  <c r="CB914" i="13"/>
  <c r="CC914" i="13"/>
  <c r="CD914" i="13"/>
  <c r="BL915" i="13"/>
  <c r="BM915" i="13"/>
  <c r="BN915" i="13"/>
  <c r="BO915" i="13"/>
  <c r="BP915" i="13"/>
  <c r="BQ915" i="13"/>
  <c r="BR915" i="13"/>
  <c r="BS915" i="13"/>
  <c r="BT915" i="13"/>
  <c r="BU915" i="13"/>
  <c r="BV915" i="13"/>
  <c r="BW915" i="13"/>
  <c r="BX915" i="13"/>
  <c r="BY915" i="13"/>
  <c r="BZ915" i="13"/>
  <c r="CA915" i="13"/>
  <c r="CB915" i="13"/>
  <c r="CC915" i="13"/>
  <c r="CD915" i="13"/>
  <c r="BL916" i="13"/>
  <c r="BM916" i="13"/>
  <c r="BN916" i="13"/>
  <c r="BO916" i="13"/>
  <c r="BP916" i="13"/>
  <c r="BQ916" i="13"/>
  <c r="BR916" i="13"/>
  <c r="BS916" i="13"/>
  <c r="BT916" i="13"/>
  <c r="BU916" i="13"/>
  <c r="BV916" i="13"/>
  <c r="BW916" i="13"/>
  <c r="BX916" i="13"/>
  <c r="BY916" i="13"/>
  <c r="BZ916" i="13"/>
  <c r="CA916" i="13"/>
  <c r="CB916" i="13"/>
  <c r="CC916" i="13"/>
  <c r="CD916" i="13"/>
  <c r="BL917" i="13"/>
  <c r="BM917" i="13"/>
  <c r="BN917" i="13"/>
  <c r="BO917" i="13"/>
  <c r="BP917" i="13"/>
  <c r="BQ917" i="13"/>
  <c r="BR917" i="13"/>
  <c r="BS917" i="13"/>
  <c r="BT917" i="13"/>
  <c r="BU917" i="13"/>
  <c r="BV917" i="13"/>
  <c r="BW917" i="13"/>
  <c r="BX917" i="13"/>
  <c r="BY917" i="13"/>
  <c r="BZ917" i="13"/>
  <c r="CA917" i="13"/>
  <c r="CB917" i="13"/>
  <c r="CC917" i="13"/>
  <c r="CD917" i="13"/>
  <c r="BL918" i="13"/>
  <c r="BM918" i="13"/>
  <c r="BN918" i="13"/>
  <c r="BO918" i="13"/>
  <c r="BP918" i="13"/>
  <c r="BQ918" i="13"/>
  <c r="BR918" i="13"/>
  <c r="BS918" i="13"/>
  <c r="BT918" i="13"/>
  <c r="BU918" i="13"/>
  <c r="BV918" i="13"/>
  <c r="BW918" i="13"/>
  <c r="BX918" i="13"/>
  <c r="BY918" i="13"/>
  <c r="BZ918" i="13"/>
  <c r="CA918" i="13"/>
  <c r="CB918" i="13"/>
  <c r="CC918" i="13"/>
  <c r="CD918" i="13"/>
  <c r="BL919" i="13"/>
  <c r="BM919" i="13"/>
  <c r="BN919" i="13"/>
  <c r="BO919" i="13"/>
  <c r="BP919" i="13"/>
  <c r="BQ919" i="13"/>
  <c r="BR919" i="13"/>
  <c r="BS919" i="13"/>
  <c r="BT919" i="13"/>
  <c r="BU919" i="13"/>
  <c r="BV919" i="13"/>
  <c r="BW919" i="13"/>
  <c r="BX919" i="13"/>
  <c r="BY919" i="13"/>
  <c r="BZ919" i="13"/>
  <c r="CA919" i="13"/>
  <c r="CB919" i="13"/>
  <c r="CC919" i="13"/>
  <c r="CD919" i="13"/>
  <c r="BL920" i="13"/>
  <c r="BM920" i="13"/>
  <c r="BN920" i="13"/>
  <c r="BO920" i="13"/>
  <c r="BP920" i="13"/>
  <c r="BQ920" i="13"/>
  <c r="BR920" i="13"/>
  <c r="BS920" i="13"/>
  <c r="BT920" i="13"/>
  <c r="BU920" i="13"/>
  <c r="BV920" i="13"/>
  <c r="BW920" i="13"/>
  <c r="BX920" i="13"/>
  <c r="BY920" i="13"/>
  <c r="BZ920" i="13"/>
  <c r="CA920" i="13"/>
  <c r="CB920" i="13"/>
  <c r="CC920" i="13"/>
  <c r="CD920" i="13"/>
  <c r="BL921" i="13"/>
  <c r="BM921" i="13"/>
  <c r="BN921" i="13"/>
  <c r="BO921" i="13"/>
  <c r="BP921" i="13"/>
  <c r="BQ921" i="13"/>
  <c r="BR921" i="13"/>
  <c r="BS921" i="13"/>
  <c r="BT921" i="13"/>
  <c r="BU921" i="13"/>
  <c r="BV921" i="13"/>
  <c r="BW921" i="13"/>
  <c r="BX921" i="13"/>
  <c r="BY921" i="13"/>
  <c r="BZ921" i="13"/>
  <c r="CA921" i="13"/>
  <c r="CB921" i="13"/>
  <c r="CC921" i="13"/>
  <c r="CD921" i="13"/>
  <c r="BL922" i="13"/>
  <c r="BM922" i="13"/>
  <c r="BN922" i="13"/>
  <c r="BO922" i="13"/>
  <c r="BP922" i="13"/>
  <c r="BQ922" i="13"/>
  <c r="BR922" i="13"/>
  <c r="BS922" i="13"/>
  <c r="BT922" i="13"/>
  <c r="BU922" i="13"/>
  <c r="BV922" i="13"/>
  <c r="BW922" i="13"/>
  <c r="BX922" i="13"/>
  <c r="BY922" i="13"/>
  <c r="BZ922" i="13"/>
  <c r="CA922" i="13"/>
  <c r="CB922" i="13"/>
  <c r="CC922" i="13"/>
  <c r="CD922" i="13"/>
  <c r="BL923" i="13"/>
  <c r="BM923" i="13"/>
  <c r="BN923" i="13"/>
  <c r="BO923" i="13"/>
  <c r="BP923" i="13"/>
  <c r="BQ923" i="13"/>
  <c r="BR923" i="13"/>
  <c r="BS923" i="13"/>
  <c r="BT923" i="13"/>
  <c r="BU923" i="13"/>
  <c r="BV923" i="13"/>
  <c r="BW923" i="13"/>
  <c r="BX923" i="13"/>
  <c r="BY923" i="13"/>
  <c r="BZ923" i="13"/>
  <c r="CA923" i="13"/>
  <c r="CB923" i="13"/>
  <c r="CC923" i="13"/>
  <c r="CD923" i="13"/>
  <c r="BL924" i="13"/>
  <c r="BM924" i="13"/>
  <c r="BN924" i="13"/>
  <c r="BO924" i="13"/>
  <c r="BP924" i="13"/>
  <c r="BQ924" i="13"/>
  <c r="BR924" i="13"/>
  <c r="BS924" i="13"/>
  <c r="BT924" i="13"/>
  <c r="BU924" i="13"/>
  <c r="BV924" i="13"/>
  <c r="BW924" i="13"/>
  <c r="BX924" i="13"/>
  <c r="BY924" i="13"/>
  <c r="BZ924" i="13"/>
  <c r="CA924" i="13"/>
  <c r="CB924" i="13"/>
  <c r="CC924" i="13"/>
  <c r="CD924" i="13"/>
  <c r="BL925" i="13"/>
  <c r="BM925" i="13"/>
  <c r="BN925" i="13"/>
  <c r="BO925" i="13"/>
  <c r="BP925" i="13"/>
  <c r="BQ925" i="13"/>
  <c r="BR925" i="13"/>
  <c r="BS925" i="13"/>
  <c r="BT925" i="13"/>
  <c r="BU925" i="13"/>
  <c r="BV925" i="13"/>
  <c r="BW925" i="13"/>
  <c r="BX925" i="13"/>
  <c r="BY925" i="13"/>
  <c r="BZ925" i="13"/>
  <c r="CA925" i="13"/>
  <c r="CB925" i="13"/>
  <c r="CC925" i="13"/>
  <c r="CD925" i="13"/>
  <c r="BL926" i="13"/>
  <c r="BM926" i="13"/>
  <c r="BN926" i="13"/>
  <c r="BO926" i="13"/>
  <c r="BP926" i="13"/>
  <c r="BQ926" i="13"/>
  <c r="BR926" i="13"/>
  <c r="BS926" i="13"/>
  <c r="BT926" i="13"/>
  <c r="BU926" i="13"/>
  <c r="BV926" i="13"/>
  <c r="BW926" i="13"/>
  <c r="BX926" i="13"/>
  <c r="BY926" i="13"/>
  <c r="BZ926" i="13"/>
  <c r="CA926" i="13"/>
  <c r="CB926" i="13"/>
  <c r="CC926" i="13"/>
  <c r="CD926" i="13"/>
  <c r="BL927" i="13"/>
  <c r="BM927" i="13"/>
  <c r="BN927" i="13"/>
  <c r="BO927" i="13"/>
  <c r="BP927" i="13"/>
  <c r="BQ927" i="13"/>
  <c r="BR927" i="13"/>
  <c r="BS927" i="13"/>
  <c r="BT927" i="13"/>
  <c r="BU927" i="13"/>
  <c r="BV927" i="13"/>
  <c r="BW927" i="13"/>
  <c r="BX927" i="13"/>
  <c r="BY927" i="13"/>
  <c r="BZ927" i="13"/>
  <c r="CA927" i="13"/>
  <c r="CB927" i="13"/>
  <c r="CC927" i="13"/>
  <c r="CD927" i="13"/>
  <c r="BL928" i="13"/>
  <c r="BM928" i="13"/>
  <c r="BN928" i="13"/>
  <c r="BO928" i="13"/>
  <c r="BP928" i="13"/>
  <c r="BQ928" i="13"/>
  <c r="BR928" i="13"/>
  <c r="BS928" i="13"/>
  <c r="BT928" i="13"/>
  <c r="BU928" i="13"/>
  <c r="BV928" i="13"/>
  <c r="BW928" i="13"/>
  <c r="BX928" i="13"/>
  <c r="BY928" i="13"/>
  <c r="BZ928" i="13"/>
  <c r="CA928" i="13"/>
  <c r="CB928" i="13"/>
  <c r="CC928" i="13"/>
  <c r="CD928" i="13"/>
  <c r="BL929" i="13"/>
  <c r="BM929" i="13"/>
  <c r="BN929" i="13"/>
  <c r="BO929" i="13"/>
  <c r="BP929" i="13"/>
  <c r="BQ929" i="13"/>
  <c r="BR929" i="13"/>
  <c r="BS929" i="13"/>
  <c r="BT929" i="13"/>
  <c r="BU929" i="13"/>
  <c r="BV929" i="13"/>
  <c r="BW929" i="13"/>
  <c r="BX929" i="13"/>
  <c r="BY929" i="13"/>
  <c r="BZ929" i="13"/>
  <c r="CA929" i="13"/>
  <c r="CB929" i="13"/>
  <c r="CC929" i="13"/>
  <c r="CD929" i="13"/>
  <c r="BL930" i="13"/>
  <c r="BM930" i="13"/>
  <c r="BN930" i="13"/>
  <c r="BO930" i="13"/>
  <c r="BP930" i="13"/>
  <c r="BQ930" i="13"/>
  <c r="BR930" i="13"/>
  <c r="BS930" i="13"/>
  <c r="BT930" i="13"/>
  <c r="BU930" i="13"/>
  <c r="BV930" i="13"/>
  <c r="BW930" i="13"/>
  <c r="BX930" i="13"/>
  <c r="BY930" i="13"/>
  <c r="BZ930" i="13"/>
  <c r="CA930" i="13"/>
  <c r="CB930" i="13"/>
  <c r="CC930" i="13"/>
  <c r="CD930" i="13"/>
  <c r="BL931" i="13"/>
  <c r="BM931" i="13"/>
  <c r="BN931" i="13"/>
  <c r="BO931" i="13"/>
  <c r="BP931" i="13"/>
  <c r="BQ931" i="13"/>
  <c r="BR931" i="13"/>
  <c r="BS931" i="13"/>
  <c r="BT931" i="13"/>
  <c r="BU931" i="13"/>
  <c r="BV931" i="13"/>
  <c r="BW931" i="13"/>
  <c r="BX931" i="13"/>
  <c r="BY931" i="13"/>
  <c r="BZ931" i="13"/>
  <c r="CA931" i="13"/>
  <c r="CB931" i="13"/>
  <c r="CC931" i="13"/>
  <c r="CD931" i="13"/>
  <c r="BL932" i="13"/>
  <c r="BM932" i="13"/>
  <c r="BN932" i="13"/>
  <c r="BO932" i="13"/>
  <c r="BP932" i="13"/>
  <c r="BQ932" i="13"/>
  <c r="BR932" i="13"/>
  <c r="BS932" i="13"/>
  <c r="BT932" i="13"/>
  <c r="BU932" i="13"/>
  <c r="BV932" i="13"/>
  <c r="BW932" i="13"/>
  <c r="BX932" i="13"/>
  <c r="BY932" i="13"/>
  <c r="BZ932" i="13"/>
  <c r="CA932" i="13"/>
  <c r="CB932" i="13"/>
  <c r="CC932" i="13"/>
  <c r="CD932" i="13"/>
  <c r="BL933" i="13"/>
  <c r="BM933" i="13"/>
  <c r="BN933" i="13"/>
  <c r="BO933" i="13"/>
  <c r="BP933" i="13"/>
  <c r="BQ933" i="13"/>
  <c r="BR933" i="13"/>
  <c r="BS933" i="13"/>
  <c r="BT933" i="13"/>
  <c r="BU933" i="13"/>
  <c r="BV933" i="13"/>
  <c r="BW933" i="13"/>
  <c r="BX933" i="13"/>
  <c r="BY933" i="13"/>
  <c r="BZ933" i="13"/>
  <c r="CA933" i="13"/>
  <c r="CB933" i="13"/>
  <c r="CC933" i="13"/>
  <c r="CD933" i="13"/>
  <c r="BL934" i="13"/>
  <c r="BM934" i="13"/>
  <c r="BN934" i="13"/>
  <c r="BO934" i="13"/>
  <c r="BP934" i="13"/>
  <c r="BQ934" i="13"/>
  <c r="BR934" i="13"/>
  <c r="BS934" i="13"/>
  <c r="BT934" i="13"/>
  <c r="BU934" i="13"/>
  <c r="BV934" i="13"/>
  <c r="BW934" i="13"/>
  <c r="BX934" i="13"/>
  <c r="BY934" i="13"/>
  <c r="BZ934" i="13"/>
  <c r="CA934" i="13"/>
  <c r="CB934" i="13"/>
  <c r="CC934" i="13"/>
  <c r="CD934" i="13"/>
  <c r="BL935" i="13"/>
  <c r="BM935" i="13"/>
  <c r="BN935" i="13"/>
  <c r="BO935" i="13"/>
  <c r="BP935" i="13"/>
  <c r="BQ935" i="13"/>
  <c r="BR935" i="13"/>
  <c r="BS935" i="13"/>
  <c r="BT935" i="13"/>
  <c r="BU935" i="13"/>
  <c r="BV935" i="13"/>
  <c r="BW935" i="13"/>
  <c r="BX935" i="13"/>
  <c r="BY935" i="13"/>
  <c r="BZ935" i="13"/>
  <c r="CA935" i="13"/>
  <c r="CB935" i="13"/>
  <c r="CC935" i="13"/>
  <c r="CD935" i="13"/>
  <c r="BL936" i="13"/>
  <c r="BM936" i="13"/>
  <c r="BN936" i="13"/>
  <c r="BO936" i="13"/>
  <c r="BP936" i="13"/>
  <c r="BQ936" i="13"/>
  <c r="BR936" i="13"/>
  <c r="BS936" i="13"/>
  <c r="BT936" i="13"/>
  <c r="BU936" i="13"/>
  <c r="BV936" i="13"/>
  <c r="BW936" i="13"/>
  <c r="BX936" i="13"/>
  <c r="BY936" i="13"/>
  <c r="BZ936" i="13"/>
  <c r="CA936" i="13"/>
  <c r="CB936" i="13"/>
  <c r="CC936" i="13"/>
  <c r="CD936" i="13"/>
  <c r="BL937" i="13"/>
  <c r="BM937" i="13"/>
  <c r="BN937" i="13"/>
  <c r="BO937" i="13"/>
  <c r="BP937" i="13"/>
  <c r="BQ937" i="13"/>
  <c r="BR937" i="13"/>
  <c r="BS937" i="13"/>
  <c r="BT937" i="13"/>
  <c r="BU937" i="13"/>
  <c r="BV937" i="13"/>
  <c r="BW937" i="13"/>
  <c r="BX937" i="13"/>
  <c r="BY937" i="13"/>
  <c r="BZ937" i="13"/>
  <c r="CA937" i="13"/>
  <c r="CB937" i="13"/>
  <c r="CC937" i="13"/>
  <c r="CD937" i="13"/>
  <c r="BL938" i="13"/>
  <c r="BM938" i="13"/>
  <c r="BN938" i="13"/>
  <c r="BO938" i="13"/>
  <c r="BP938" i="13"/>
  <c r="BQ938" i="13"/>
  <c r="BR938" i="13"/>
  <c r="BS938" i="13"/>
  <c r="BT938" i="13"/>
  <c r="BU938" i="13"/>
  <c r="BV938" i="13"/>
  <c r="BW938" i="13"/>
  <c r="BX938" i="13"/>
  <c r="BY938" i="13"/>
  <c r="BZ938" i="13"/>
  <c r="CA938" i="13"/>
  <c r="CB938" i="13"/>
  <c r="CC938" i="13"/>
  <c r="CD938" i="13"/>
  <c r="BL939" i="13"/>
  <c r="BM939" i="13"/>
  <c r="BN939" i="13"/>
  <c r="BO939" i="13"/>
  <c r="BP939" i="13"/>
  <c r="BQ939" i="13"/>
  <c r="BR939" i="13"/>
  <c r="BS939" i="13"/>
  <c r="BT939" i="13"/>
  <c r="BU939" i="13"/>
  <c r="BV939" i="13"/>
  <c r="BW939" i="13"/>
  <c r="BX939" i="13"/>
  <c r="BY939" i="13"/>
  <c r="BZ939" i="13"/>
  <c r="CA939" i="13"/>
  <c r="CB939" i="13"/>
  <c r="CC939" i="13"/>
  <c r="CD939" i="13"/>
  <c r="BL940" i="13"/>
  <c r="BM940" i="13"/>
  <c r="BN940" i="13"/>
  <c r="BO940" i="13"/>
  <c r="BP940" i="13"/>
  <c r="BQ940" i="13"/>
  <c r="BR940" i="13"/>
  <c r="BS940" i="13"/>
  <c r="BT940" i="13"/>
  <c r="BU940" i="13"/>
  <c r="BV940" i="13"/>
  <c r="BW940" i="13"/>
  <c r="BX940" i="13"/>
  <c r="BY940" i="13"/>
  <c r="BZ940" i="13"/>
  <c r="CA940" i="13"/>
  <c r="CB940" i="13"/>
  <c r="CC940" i="13"/>
  <c r="CD940" i="13"/>
  <c r="BL941" i="13"/>
  <c r="BM941" i="13"/>
  <c r="BN941" i="13"/>
  <c r="BO941" i="13"/>
  <c r="BP941" i="13"/>
  <c r="BQ941" i="13"/>
  <c r="BR941" i="13"/>
  <c r="BS941" i="13"/>
  <c r="BT941" i="13"/>
  <c r="BU941" i="13"/>
  <c r="BV941" i="13"/>
  <c r="BW941" i="13"/>
  <c r="BX941" i="13"/>
  <c r="BY941" i="13"/>
  <c r="BZ941" i="13"/>
  <c r="CA941" i="13"/>
  <c r="CB941" i="13"/>
  <c r="CC941" i="13"/>
  <c r="CD941" i="13"/>
  <c r="BL942" i="13"/>
  <c r="BM942" i="13"/>
  <c r="BN942" i="13"/>
  <c r="BO942" i="13"/>
  <c r="BP942" i="13"/>
  <c r="BQ942" i="13"/>
  <c r="BR942" i="13"/>
  <c r="BS942" i="13"/>
  <c r="BT942" i="13"/>
  <c r="BU942" i="13"/>
  <c r="BV942" i="13"/>
  <c r="BW942" i="13"/>
  <c r="BX942" i="13"/>
  <c r="BY942" i="13"/>
  <c r="BZ942" i="13"/>
  <c r="CA942" i="13"/>
  <c r="CB942" i="13"/>
  <c r="CC942" i="13"/>
  <c r="CD942" i="13"/>
  <c r="BL943" i="13"/>
  <c r="BM943" i="13"/>
  <c r="BN943" i="13"/>
  <c r="BO943" i="13"/>
  <c r="BP943" i="13"/>
  <c r="BQ943" i="13"/>
  <c r="BR943" i="13"/>
  <c r="BS943" i="13"/>
  <c r="BT943" i="13"/>
  <c r="BU943" i="13"/>
  <c r="BV943" i="13"/>
  <c r="BW943" i="13"/>
  <c r="BX943" i="13"/>
  <c r="BY943" i="13"/>
  <c r="BZ943" i="13"/>
  <c r="CA943" i="13"/>
  <c r="CB943" i="13"/>
  <c r="CC943" i="13"/>
  <c r="CD943" i="13"/>
  <c r="BL944" i="13"/>
  <c r="BM944" i="13"/>
  <c r="BN944" i="13"/>
  <c r="BO944" i="13"/>
  <c r="BP944" i="13"/>
  <c r="BQ944" i="13"/>
  <c r="BR944" i="13"/>
  <c r="BS944" i="13"/>
  <c r="BT944" i="13"/>
  <c r="BU944" i="13"/>
  <c r="BV944" i="13"/>
  <c r="BW944" i="13"/>
  <c r="BX944" i="13"/>
  <c r="BY944" i="13"/>
  <c r="BZ944" i="13"/>
  <c r="CA944" i="13"/>
  <c r="CB944" i="13"/>
  <c r="CC944" i="13"/>
  <c r="CD944" i="13"/>
  <c r="BL945" i="13"/>
  <c r="BM945" i="13"/>
  <c r="BN945" i="13"/>
  <c r="BO945" i="13"/>
  <c r="BP945" i="13"/>
  <c r="BQ945" i="13"/>
  <c r="BR945" i="13"/>
  <c r="BS945" i="13"/>
  <c r="BT945" i="13"/>
  <c r="BU945" i="13"/>
  <c r="BV945" i="13"/>
  <c r="BW945" i="13"/>
  <c r="BX945" i="13"/>
  <c r="BY945" i="13"/>
  <c r="BZ945" i="13"/>
  <c r="CA945" i="13"/>
  <c r="CB945" i="13"/>
  <c r="CC945" i="13"/>
  <c r="CD945" i="13"/>
  <c r="BL946" i="13"/>
  <c r="BM946" i="13"/>
  <c r="BN946" i="13"/>
  <c r="BO946" i="13"/>
  <c r="BP946" i="13"/>
  <c r="BQ946" i="13"/>
  <c r="BR946" i="13"/>
  <c r="BS946" i="13"/>
  <c r="BT946" i="13"/>
  <c r="BU946" i="13"/>
  <c r="BV946" i="13"/>
  <c r="BW946" i="13"/>
  <c r="BX946" i="13"/>
  <c r="BY946" i="13"/>
  <c r="BZ946" i="13"/>
  <c r="CA946" i="13"/>
  <c r="CB946" i="13"/>
  <c r="CC946" i="13"/>
  <c r="CD946" i="13"/>
  <c r="AQ946" i="13"/>
  <c r="AR946" i="13"/>
  <c r="AS946" i="13"/>
  <c r="AT946" i="13"/>
  <c r="AU946" i="13"/>
  <c r="AV946" i="13"/>
  <c r="AW946" i="13"/>
  <c r="AX946" i="13"/>
  <c r="AY946" i="13"/>
  <c r="AZ946" i="13"/>
  <c r="BA946" i="13"/>
  <c r="BB946" i="13"/>
  <c r="BC946" i="13"/>
  <c r="BD946" i="13"/>
  <c r="BE946" i="13"/>
  <c r="BF946" i="13"/>
  <c r="BG946" i="13"/>
  <c r="BH946" i="13"/>
  <c r="BI946" i="13"/>
  <c r="AQ456" i="13"/>
  <c r="AR456" i="13"/>
  <c r="AS456" i="13"/>
  <c r="AT456" i="13"/>
  <c r="AU456" i="13"/>
  <c r="AV456" i="13"/>
  <c r="AW456" i="13"/>
  <c r="AX456" i="13"/>
  <c r="AY456" i="13"/>
  <c r="AZ456" i="13"/>
  <c r="BA456" i="13"/>
  <c r="BB456" i="13"/>
  <c r="BC456" i="13"/>
  <c r="BD456" i="13"/>
  <c r="BE456" i="13"/>
  <c r="BF456" i="13"/>
  <c r="BG456" i="13"/>
  <c r="BH456" i="13"/>
  <c r="BI456" i="13"/>
  <c r="AQ457" i="13"/>
  <c r="AR457" i="13"/>
  <c r="AS457" i="13"/>
  <c r="AT457" i="13"/>
  <c r="AU457" i="13"/>
  <c r="AV457" i="13"/>
  <c r="AW457" i="13"/>
  <c r="AX457" i="13"/>
  <c r="AY457" i="13"/>
  <c r="AZ457" i="13"/>
  <c r="BA457" i="13"/>
  <c r="BB457" i="13"/>
  <c r="BC457" i="13"/>
  <c r="BD457" i="13"/>
  <c r="BE457" i="13"/>
  <c r="BF457" i="13"/>
  <c r="BG457" i="13"/>
  <c r="BH457" i="13"/>
  <c r="BI457" i="13"/>
  <c r="AQ458" i="13"/>
  <c r="AR458" i="13"/>
  <c r="AS458" i="13"/>
  <c r="AT458" i="13"/>
  <c r="AU458" i="13"/>
  <c r="AV458" i="13"/>
  <c r="AW458" i="13"/>
  <c r="AX458" i="13"/>
  <c r="AY458" i="13"/>
  <c r="AZ458" i="13"/>
  <c r="BA458" i="13"/>
  <c r="BB458" i="13"/>
  <c r="BC458" i="13"/>
  <c r="BD458" i="13"/>
  <c r="BE458" i="13"/>
  <c r="BF458" i="13"/>
  <c r="BG458" i="13"/>
  <c r="BH458" i="13"/>
  <c r="BI458" i="13"/>
  <c r="AQ459" i="13"/>
  <c r="AR459" i="13"/>
  <c r="AS459" i="13"/>
  <c r="AT459" i="13"/>
  <c r="AU459" i="13"/>
  <c r="AV459" i="13"/>
  <c r="AW459" i="13"/>
  <c r="AX459" i="13"/>
  <c r="AY459" i="13"/>
  <c r="AZ459" i="13"/>
  <c r="BA459" i="13"/>
  <c r="BB459" i="13"/>
  <c r="BC459" i="13"/>
  <c r="BD459" i="13"/>
  <c r="BE459" i="13"/>
  <c r="BF459" i="13"/>
  <c r="BG459" i="13"/>
  <c r="BH459" i="13"/>
  <c r="BI459" i="13"/>
  <c r="AQ460" i="13"/>
  <c r="AR460" i="13"/>
  <c r="AS460" i="13"/>
  <c r="AT460" i="13"/>
  <c r="AU460" i="13"/>
  <c r="AV460" i="13"/>
  <c r="AW460" i="13"/>
  <c r="AX460" i="13"/>
  <c r="AY460" i="13"/>
  <c r="AZ460" i="13"/>
  <c r="BA460" i="13"/>
  <c r="BB460" i="13"/>
  <c r="BC460" i="13"/>
  <c r="BD460" i="13"/>
  <c r="BE460" i="13"/>
  <c r="BF460" i="13"/>
  <c r="BG460" i="13"/>
  <c r="BH460" i="13"/>
  <c r="BI460" i="13"/>
  <c r="AQ461" i="13"/>
  <c r="AR461" i="13"/>
  <c r="AS461" i="13"/>
  <c r="AT461" i="13"/>
  <c r="AU461" i="13"/>
  <c r="AV461" i="13"/>
  <c r="AW461" i="13"/>
  <c r="AX461" i="13"/>
  <c r="AY461" i="13"/>
  <c r="AZ461" i="13"/>
  <c r="BA461" i="13"/>
  <c r="BB461" i="13"/>
  <c r="BC461" i="13"/>
  <c r="BD461" i="13"/>
  <c r="BE461" i="13"/>
  <c r="BF461" i="13"/>
  <c r="BG461" i="13"/>
  <c r="BH461" i="13"/>
  <c r="BI461" i="13"/>
  <c r="AQ462" i="13"/>
  <c r="AR462" i="13"/>
  <c r="AS462" i="13"/>
  <c r="AT462" i="13"/>
  <c r="AU462" i="13"/>
  <c r="AV462" i="13"/>
  <c r="AW462" i="13"/>
  <c r="AX462" i="13"/>
  <c r="AY462" i="13"/>
  <c r="AZ462" i="13"/>
  <c r="BA462" i="13"/>
  <c r="BB462" i="13"/>
  <c r="BC462" i="13"/>
  <c r="BD462" i="13"/>
  <c r="BE462" i="13"/>
  <c r="BF462" i="13"/>
  <c r="BG462" i="13"/>
  <c r="BH462" i="13"/>
  <c r="BI462" i="13"/>
  <c r="AQ463" i="13"/>
  <c r="AR463" i="13"/>
  <c r="AS463" i="13"/>
  <c r="AT463" i="13"/>
  <c r="AU463" i="13"/>
  <c r="AV463" i="13"/>
  <c r="AW463" i="13"/>
  <c r="AX463" i="13"/>
  <c r="AY463" i="13"/>
  <c r="AZ463" i="13"/>
  <c r="BA463" i="13"/>
  <c r="BB463" i="13"/>
  <c r="BC463" i="13"/>
  <c r="BD463" i="13"/>
  <c r="BE463" i="13"/>
  <c r="BF463" i="13"/>
  <c r="BG463" i="13"/>
  <c r="BH463" i="13"/>
  <c r="BI463" i="13"/>
  <c r="AQ464" i="13"/>
  <c r="AR464" i="13"/>
  <c r="AS464" i="13"/>
  <c r="AT464" i="13"/>
  <c r="AU464" i="13"/>
  <c r="AV464" i="13"/>
  <c r="AW464" i="13"/>
  <c r="AX464" i="13"/>
  <c r="AY464" i="13"/>
  <c r="AZ464" i="13"/>
  <c r="BA464" i="13"/>
  <c r="BB464" i="13"/>
  <c r="BC464" i="13"/>
  <c r="BD464" i="13"/>
  <c r="BE464" i="13"/>
  <c r="BF464" i="13"/>
  <c r="BG464" i="13"/>
  <c r="BH464" i="13"/>
  <c r="BI464" i="13"/>
  <c r="AQ465" i="13"/>
  <c r="AR465" i="13"/>
  <c r="AS465" i="13"/>
  <c r="AT465" i="13"/>
  <c r="AU465" i="13"/>
  <c r="AV465" i="13"/>
  <c r="AW465" i="13"/>
  <c r="AX465" i="13"/>
  <c r="AY465" i="13"/>
  <c r="AZ465" i="13"/>
  <c r="BA465" i="13"/>
  <c r="BB465" i="13"/>
  <c r="BC465" i="13"/>
  <c r="BD465" i="13"/>
  <c r="BE465" i="13"/>
  <c r="BF465" i="13"/>
  <c r="BG465" i="13"/>
  <c r="BH465" i="13"/>
  <c r="BI465" i="13"/>
  <c r="AQ466" i="13"/>
  <c r="AR466" i="13"/>
  <c r="AS466" i="13"/>
  <c r="AT466" i="13"/>
  <c r="AU466" i="13"/>
  <c r="AV466" i="13"/>
  <c r="AW466" i="13"/>
  <c r="AX466" i="13"/>
  <c r="AY466" i="13"/>
  <c r="AZ466" i="13"/>
  <c r="BA466" i="13"/>
  <c r="BB466" i="13"/>
  <c r="BC466" i="13"/>
  <c r="BD466" i="13"/>
  <c r="BE466" i="13"/>
  <c r="BF466" i="13"/>
  <c r="BG466" i="13"/>
  <c r="BH466" i="13"/>
  <c r="BI466" i="13"/>
  <c r="AQ467" i="13"/>
  <c r="AR467" i="13"/>
  <c r="AS467" i="13"/>
  <c r="AT467" i="13"/>
  <c r="AU467" i="13"/>
  <c r="AV467" i="13"/>
  <c r="AW467" i="13"/>
  <c r="AX467" i="13"/>
  <c r="AY467" i="13"/>
  <c r="AZ467" i="13"/>
  <c r="BA467" i="13"/>
  <c r="BB467" i="13"/>
  <c r="BC467" i="13"/>
  <c r="BD467" i="13"/>
  <c r="BE467" i="13"/>
  <c r="BF467" i="13"/>
  <c r="BG467" i="13"/>
  <c r="BH467" i="13"/>
  <c r="BI467" i="13"/>
  <c r="AQ468" i="13"/>
  <c r="AR468" i="13"/>
  <c r="AS468" i="13"/>
  <c r="AT468" i="13"/>
  <c r="AU468" i="13"/>
  <c r="AV468" i="13"/>
  <c r="AW468" i="13"/>
  <c r="AX468" i="13"/>
  <c r="AY468" i="13"/>
  <c r="AZ468" i="13"/>
  <c r="BA468" i="13"/>
  <c r="BB468" i="13"/>
  <c r="BC468" i="13"/>
  <c r="BD468" i="13"/>
  <c r="BE468" i="13"/>
  <c r="BF468" i="13"/>
  <c r="BG468" i="13"/>
  <c r="BH468" i="13"/>
  <c r="BI468" i="13"/>
  <c r="AQ469" i="13"/>
  <c r="AR469" i="13"/>
  <c r="AS469" i="13"/>
  <c r="AT469" i="13"/>
  <c r="AU469" i="13"/>
  <c r="AV469" i="13"/>
  <c r="AW469" i="13"/>
  <c r="AX469" i="13"/>
  <c r="AY469" i="13"/>
  <c r="AZ469" i="13"/>
  <c r="BA469" i="13"/>
  <c r="BB469" i="13"/>
  <c r="BC469" i="13"/>
  <c r="BD469" i="13"/>
  <c r="BE469" i="13"/>
  <c r="BF469" i="13"/>
  <c r="BG469" i="13"/>
  <c r="BH469" i="13"/>
  <c r="BI469" i="13"/>
  <c r="AQ470" i="13"/>
  <c r="AR470" i="13"/>
  <c r="AS470" i="13"/>
  <c r="AT470" i="13"/>
  <c r="AU470" i="13"/>
  <c r="AV470" i="13"/>
  <c r="AW470" i="13"/>
  <c r="AX470" i="13"/>
  <c r="AY470" i="13"/>
  <c r="AZ470" i="13"/>
  <c r="BA470" i="13"/>
  <c r="BB470" i="13"/>
  <c r="BC470" i="13"/>
  <c r="BD470" i="13"/>
  <c r="BE470" i="13"/>
  <c r="BF470" i="13"/>
  <c r="BG470" i="13"/>
  <c r="BH470" i="13"/>
  <c r="BI470" i="13"/>
  <c r="AQ471" i="13"/>
  <c r="AR471" i="13"/>
  <c r="AS471" i="13"/>
  <c r="AT471" i="13"/>
  <c r="AU471" i="13"/>
  <c r="AV471" i="13"/>
  <c r="AW471" i="13"/>
  <c r="AX471" i="13"/>
  <c r="AY471" i="13"/>
  <c r="AZ471" i="13"/>
  <c r="BA471" i="13"/>
  <c r="BB471" i="13"/>
  <c r="BC471" i="13"/>
  <c r="BD471" i="13"/>
  <c r="BE471" i="13"/>
  <c r="BF471" i="13"/>
  <c r="BG471" i="13"/>
  <c r="BH471" i="13"/>
  <c r="BI471" i="13"/>
  <c r="AQ472" i="13"/>
  <c r="AR472" i="13"/>
  <c r="AS472" i="13"/>
  <c r="AT472" i="13"/>
  <c r="AU472" i="13"/>
  <c r="AV472" i="13"/>
  <c r="AW472" i="13"/>
  <c r="AX472" i="13"/>
  <c r="AY472" i="13"/>
  <c r="AZ472" i="13"/>
  <c r="BA472" i="13"/>
  <c r="BB472" i="13"/>
  <c r="BC472" i="13"/>
  <c r="BD472" i="13"/>
  <c r="BE472" i="13"/>
  <c r="BF472" i="13"/>
  <c r="BG472" i="13"/>
  <c r="BH472" i="13"/>
  <c r="BI472" i="13"/>
  <c r="AQ473" i="13"/>
  <c r="AR473" i="13"/>
  <c r="AS473" i="13"/>
  <c r="AT473" i="13"/>
  <c r="AU473" i="13"/>
  <c r="AV473" i="13"/>
  <c r="AW473" i="13"/>
  <c r="AX473" i="13"/>
  <c r="AY473" i="13"/>
  <c r="AZ473" i="13"/>
  <c r="BA473" i="13"/>
  <c r="BB473" i="13"/>
  <c r="BC473" i="13"/>
  <c r="BD473" i="13"/>
  <c r="BE473" i="13"/>
  <c r="BF473" i="13"/>
  <c r="BG473" i="13"/>
  <c r="BH473" i="13"/>
  <c r="BI473" i="13"/>
  <c r="AQ474" i="13"/>
  <c r="AR474" i="13"/>
  <c r="AS474" i="13"/>
  <c r="AT474" i="13"/>
  <c r="AU474" i="13"/>
  <c r="AV474" i="13"/>
  <c r="AW474" i="13"/>
  <c r="AX474" i="13"/>
  <c r="AY474" i="13"/>
  <c r="AZ474" i="13"/>
  <c r="BA474" i="13"/>
  <c r="BB474" i="13"/>
  <c r="BC474" i="13"/>
  <c r="BD474" i="13"/>
  <c r="BE474" i="13"/>
  <c r="BF474" i="13"/>
  <c r="BG474" i="13"/>
  <c r="BH474" i="13"/>
  <c r="BI474" i="13"/>
  <c r="AQ475" i="13"/>
  <c r="AR475" i="13"/>
  <c r="AS475" i="13"/>
  <c r="AT475" i="13"/>
  <c r="AU475" i="13"/>
  <c r="AV475" i="13"/>
  <c r="AW475" i="13"/>
  <c r="AX475" i="13"/>
  <c r="AY475" i="13"/>
  <c r="AZ475" i="13"/>
  <c r="BA475" i="13"/>
  <c r="BB475" i="13"/>
  <c r="BC475" i="13"/>
  <c r="BD475" i="13"/>
  <c r="BE475" i="13"/>
  <c r="BF475" i="13"/>
  <c r="BG475" i="13"/>
  <c r="BH475" i="13"/>
  <c r="BI475" i="13"/>
  <c r="AQ476" i="13"/>
  <c r="AR476" i="13"/>
  <c r="AS476" i="13"/>
  <c r="AT476" i="13"/>
  <c r="AU476" i="13"/>
  <c r="AV476" i="13"/>
  <c r="AW476" i="13"/>
  <c r="AX476" i="13"/>
  <c r="AY476" i="13"/>
  <c r="AZ476" i="13"/>
  <c r="BA476" i="13"/>
  <c r="BB476" i="13"/>
  <c r="BC476" i="13"/>
  <c r="BD476" i="13"/>
  <c r="BE476" i="13"/>
  <c r="BF476" i="13"/>
  <c r="BG476" i="13"/>
  <c r="BH476" i="13"/>
  <c r="BI476" i="13"/>
  <c r="AQ477" i="13"/>
  <c r="AR477" i="13"/>
  <c r="AS477" i="13"/>
  <c r="AT477" i="13"/>
  <c r="AU477" i="13"/>
  <c r="AV477" i="13"/>
  <c r="AW477" i="13"/>
  <c r="AX477" i="13"/>
  <c r="AY477" i="13"/>
  <c r="AZ477" i="13"/>
  <c r="BA477" i="13"/>
  <c r="BB477" i="13"/>
  <c r="BC477" i="13"/>
  <c r="BD477" i="13"/>
  <c r="BE477" i="13"/>
  <c r="BF477" i="13"/>
  <c r="BG477" i="13"/>
  <c r="BH477" i="13"/>
  <c r="BI477" i="13"/>
  <c r="AQ478" i="13"/>
  <c r="AR478" i="13"/>
  <c r="AS478" i="13"/>
  <c r="AT478" i="13"/>
  <c r="AU478" i="13"/>
  <c r="AV478" i="13"/>
  <c r="AW478" i="13"/>
  <c r="AX478" i="13"/>
  <c r="AY478" i="13"/>
  <c r="AZ478" i="13"/>
  <c r="BA478" i="13"/>
  <c r="BB478" i="13"/>
  <c r="BC478" i="13"/>
  <c r="BD478" i="13"/>
  <c r="BE478" i="13"/>
  <c r="BF478" i="13"/>
  <c r="BG478" i="13"/>
  <c r="BH478" i="13"/>
  <c r="BI478" i="13"/>
  <c r="AQ479" i="13"/>
  <c r="AR479" i="13"/>
  <c r="AS479" i="13"/>
  <c r="AT479" i="13"/>
  <c r="AU479" i="13"/>
  <c r="AV479" i="13"/>
  <c r="AW479" i="13"/>
  <c r="AX479" i="13"/>
  <c r="AY479" i="13"/>
  <c r="AZ479" i="13"/>
  <c r="BA479" i="13"/>
  <c r="BB479" i="13"/>
  <c r="BC479" i="13"/>
  <c r="BD479" i="13"/>
  <c r="BE479" i="13"/>
  <c r="BF479" i="13"/>
  <c r="BG479" i="13"/>
  <c r="BH479" i="13"/>
  <c r="BI479" i="13"/>
  <c r="AQ480" i="13"/>
  <c r="AR480" i="13"/>
  <c r="AS480" i="13"/>
  <c r="AT480" i="13"/>
  <c r="AU480" i="13"/>
  <c r="AV480" i="13"/>
  <c r="AW480" i="13"/>
  <c r="AX480" i="13"/>
  <c r="AY480" i="13"/>
  <c r="AZ480" i="13"/>
  <c r="BA480" i="13"/>
  <c r="BB480" i="13"/>
  <c r="BC480" i="13"/>
  <c r="BD480" i="13"/>
  <c r="BE480" i="13"/>
  <c r="BF480" i="13"/>
  <c r="BG480" i="13"/>
  <c r="BH480" i="13"/>
  <c r="BI480" i="13"/>
  <c r="AQ481" i="13"/>
  <c r="AR481" i="13"/>
  <c r="AS481" i="13"/>
  <c r="AT481" i="13"/>
  <c r="AU481" i="13"/>
  <c r="AV481" i="13"/>
  <c r="AW481" i="13"/>
  <c r="AX481" i="13"/>
  <c r="AY481" i="13"/>
  <c r="AZ481" i="13"/>
  <c r="BA481" i="13"/>
  <c r="BB481" i="13"/>
  <c r="BC481" i="13"/>
  <c r="BD481" i="13"/>
  <c r="BE481" i="13"/>
  <c r="BF481" i="13"/>
  <c r="BG481" i="13"/>
  <c r="BH481" i="13"/>
  <c r="BI481" i="13"/>
  <c r="AQ482" i="13"/>
  <c r="AR482" i="13"/>
  <c r="AS482" i="13"/>
  <c r="AT482" i="13"/>
  <c r="AU482" i="13"/>
  <c r="AV482" i="13"/>
  <c r="AW482" i="13"/>
  <c r="AX482" i="13"/>
  <c r="AY482" i="13"/>
  <c r="AZ482" i="13"/>
  <c r="BA482" i="13"/>
  <c r="BB482" i="13"/>
  <c r="BC482" i="13"/>
  <c r="BD482" i="13"/>
  <c r="BE482" i="13"/>
  <c r="BF482" i="13"/>
  <c r="BG482" i="13"/>
  <c r="BH482" i="13"/>
  <c r="BI482" i="13"/>
  <c r="AQ483" i="13"/>
  <c r="AR483" i="13"/>
  <c r="AS483" i="13"/>
  <c r="AT483" i="13"/>
  <c r="AU483" i="13"/>
  <c r="AV483" i="13"/>
  <c r="AW483" i="13"/>
  <c r="AX483" i="13"/>
  <c r="AY483" i="13"/>
  <c r="AZ483" i="13"/>
  <c r="BA483" i="13"/>
  <c r="BB483" i="13"/>
  <c r="BC483" i="13"/>
  <c r="BD483" i="13"/>
  <c r="BE483" i="13"/>
  <c r="BF483" i="13"/>
  <c r="BG483" i="13"/>
  <c r="BH483" i="13"/>
  <c r="BI483" i="13"/>
  <c r="AQ484" i="13"/>
  <c r="AR484" i="13"/>
  <c r="AS484" i="13"/>
  <c r="AT484" i="13"/>
  <c r="AU484" i="13"/>
  <c r="AV484" i="13"/>
  <c r="AW484" i="13"/>
  <c r="AX484" i="13"/>
  <c r="AY484" i="13"/>
  <c r="AZ484" i="13"/>
  <c r="BA484" i="13"/>
  <c r="BB484" i="13"/>
  <c r="BC484" i="13"/>
  <c r="BD484" i="13"/>
  <c r="BE484" i="13"/>
  <c r="BF484" i="13"/>
  <c r="BG484" i="13"/>
  <c r="BH484" i="13"/>
  <c r="BI484" i="13"/>
  <c r="AQ485" i="13"/>
  <c r="AR485" i="13"/>
  <c r="AS485" i="13"/>
  <c r="AT485" i="13"/>
  <c r="AU485" i="13"/>
  <c r="AV485" i="13"/>
  <c r="AW485" i="13"/>
  <c r="AX485" i="13"/>
  <c r="AY485" i="13"/>
  <c r="AZ485" i="13"/>
  <c r="BA485" i="13"/>
  <c r="BB485" i="13"/>
  <c r="BC485" i="13"/>
  <c r="BD485" i="13"/>
  <c r="BE485" i="13"/>
  <c r="BF485" i="13"/>
  <c r="BG485" i="13"/>
  <c r="BH485" i="13"/>
  <c r="BI485" i="13"/>
  <c r="AQ486" i="13"/>
  <c r="AR486" i="13"/>
  <c r="AS486" i="13"/>
  <c r="AT486" i="13"/>
  <c r="AU486" i="13"/>
  <c r="AV486" i="13"/>
  <c r="AW486" i="13"/>
  <c r="AX486" i="13"/>
  <c r="AY486" i="13"/>
  <c r="AZ486" i="13"/>
  <c r="BA486" i="13"/>
  <c r="BB486" i="13"/>
  <c r="BC486" i="13"/>
  <c r="BD486" i="13"/>
  <c r="BE486" i="13"/>
  <c r="BF486" i="13"/>
  <c r="BG486" i="13"/>
  <c r="BH486" i="13"/>
  <c r="BI486" i="13"/>
  <c r="AQ487" i="13"/>
  <c r="AR487" i="13"/>
  <c r="AS487" i="13"/>
  <c r="AT487" i="13"/>
  <c r="AU487" i="13"/>
  <c r="AV487" i="13"/>
  <c r="AW487" i="13"/>
  <c r="AX487" i="13"/>
  <c r="AY487" i="13"/>
  <c r="AZ487" i="13"/>
  <c r="BA487" i="13"/>
  <c r="BB487" i="13"/>
  <c r="BC487" i="13"/>
  <c r="BD487" i="13"/>
  <c r="BE487" i="13"/>
  <c r="BF487" i="13"/>
  <c r="BG487" i="13"/>
  <c r="BH487" i="13"/>
  <c r="BI487" i="13"/>
  <c r="AQ488" i="13"/>
  <c r="AR488" i="13"/>
  <c r="AS488" i="13"/>
  <c r="AT488" i="13"/>
  <c r="AU488" i="13"/>
  <c r="AV488" i="13"/>
  <c r="AW488" i="13"/>
  <c r="AX488" i="13"/>
  <c r="AY488" i="13"/>
  <c r="AZ488" i="13"/>
  <c r="BA488" i="13"/>
  <c r="BB488" i="13"/>
  <c r="BC488" i="13"/>
  <c r="BD488" i="13"/>
  <c r="BE488" i="13"/>
  <c r="BF488" i="13"/>
  <c r="BG488" i="13"/>
  <c r="BH488" i="13"/>
  <c r="BI488" i="13"/>
  <c r="AQ489" i="13"/>
  <c r="AR489" i="13"/>
  <c r="AS489" i="13"/>
  <c r="AT489" i="13"/>
  <c r="AU489" i="13"/>
  <c r="AV489" i="13"/>
  <c r="AW489" i="13"/>
  <c r="AX489" i="13"/>
  <c r="AY489" i="13"/>
  <c r="AZ489" i="13"/>
  <c r="BA489" i="13"/>
  <c r="BB489" i="13"/>
  <c r="BC489" i="13"/>
  <c r="BD489" i="13"/>
  <c r="BE489" i="13"/>
  <c r="BF489" i="13"/>
  <c r="BG489" i="13"/>
  <c r="BH489" i="13"/>
  <c r="BI489" i="13"/>
  <c r="AQ490" i="13"/>
  <c r="AR490" i="13"/>
  <c r="AS490" i="13"/>
  <c r="AT490" i="13"/>
  <c r="AU490" i="13"/>
  <c r="AV490" i="13"/>
  <c r="AW490" i="13"/>
  <c r="AX490" i="13"/>
  <c r="AY490" i="13"/>
  <c r="AZ490" i="13"/>
  <c r="BA490" i="13"/>
  <c r="BB490" i="13"/>
  <c r="BC490" i="13"/>
  <c r="BD490" i="13"/>
  <c r="BE490" i="13"/>
  <c r="BF490" i="13"/>
  <c r="BG490" i="13"/>
  <c r="BH490" i="13"/>
  <c r="BI490" i="13"/>
  <c r="AQ491" i="13"/>
  <c r="AR491" i="13"/>
  <c r="AS491" i="13"/>
  <c r="AT491" i="13"/>
  <c r="AU491" i="13"/>
  <c r="AV491" i="13"/>
  <c r="AW491" i="13"/>
  <c r="AX491" i="13"/>
  <c r="AY491" i="13"/>
  <c r="AZ491" i="13"/>
  <c r="BA491" i="13"/>
  <c r="BB491" i="13"/>
  <c r="BC491" i="13"/>
  <c r="BD491" i="13"/>
  <c r="BE491" i="13"/>
  <c r="BF491" i="13"/>
  <c r="BG491" i="13"/>
  <c r="BH491" i="13"/>
  <c r="BI491" i="13"/>
  <c r="AQ492" i="13"/>
  <c r="AR492" i="13"/>
  <c r="AS492" i="13"/>
  <c r="AT492" i="13"/>
  <c r="AU492" i="13"/>
  <c r="AV492" i="13"/>
  <c r="AW492" i="13"/>
  <c r="AX492" i="13"/>
  <c r="AY492" i="13"/>
  <c r="AZ492" i="13"/>
  <c r="BA492" i="13"/>
  <c r="BB492" i="13"/>
  <c r="BC492" i="13"/>
  <c r="BD492" i="13"/>
  <c r="BE492" i="13"/>
  <c r="BF492" i="13"/>
  <c r="BG492" i="13"/>
  <c r="BH492" i="13"/>
  <c r="BI492" i="13"/>
  <c r="AQ493" i="13"/>
  <c r="AR493" i="13"/>
  <c r="AS493" i="13"/>
  <c r="AT493" i="13"/>
  <c r="AU493" i="13"/>
  <c r="AV493" i="13"/>
  <c r="AW493" i="13"/>
  <c r="AX493" i="13"/>
  <c r="AY493" i="13"/>
  <c r="AZ493" i="13"/>
  <c r="BA493" i="13"/>
  <c r="BB493" i="13"/>
  <c r="BC493" i="13"/>
  <c r="BD493" i="13"/>
  <c r="BE493" i="13"/>
  <c r="BF493" i="13"/>
  <c r="BG493" i="13"/>
  <c r="BH493" i="13"/>
  <c r="BI493" i="13"/>
  <c r="AQ494" i="13"/>
  <c r="AR494" i="13"/>
  <c r="AS494" i="13"/>
  <c r="AT494" i="13"/>
  <c r="AU494" i="13"/>
  <c r="AV494" i="13"/>
  <c r="AW494" i="13"/>
  <c r="AX494" i="13"/>
  <c r="AY494" i="13"/>
  <c r="AZ494" i="13"/>
  <c r="BA494" i="13"/>
  <c r="BB494" i="13"/>
  <c r="BC494" i="13"/>
  <c r="BD494" i="13"/>
  <c r="BE494" i="13"/>
  <c r="BF494" i="13"/>
  <c r="BG494" i="13"/>
  <c r="BH494" i="13"/>
  <c r="BI494" i="13"/>
  <c r="AQ495" i="13"/>
  <c r="AR495" i="13"/>
  <c r="AS495" i="13"/>
  <c r="AT495" i="13"/>
  <c r="AU495" i="13"/>
  <c r="AV495" i="13"/>
  <c r="AW495" i="13"/>
  <c r="AX495" i="13"/>
  <c r="AY495" i="13"/>
  <c r="AZ495" i="13"/>
  <c r="BA495" i="13"/>
  <c r="BB495" i="13"/>
  <c r="BC495" i="13"/>
  <c r="BD495" i="13"/>
  <c r="BE495" i="13"/>
  <c r="BF495" i="13"/>
  <c r="BG495" i="13"/>
  <c r="BH495" i="13"/>
  <c r="BI495" i="13"/>
  <c r="AQ496" i="13"/>
  <c r="AR496" i="13"/>
  <c r="AS496" i="13"/>
  <c r="AT496" i="13"/>
  <c r="AU496" i="13"/>
  <c r="AV496" i="13"/>
  <c r="AW496" i="13"/>
  <c r="AX496" i="13"/>
  <c r="AY496" i="13"/>
  <c r="AZ496" i="13"/>
  <c r="BA496" i="13"/>
  <c r="BB496" i="13"/>
  <c r="BC496" i="13"/>
  <c r="BD496" i="13"/>
  <c r="BE496" i="13"/>
  <c r="BF496" i="13"/>
  <c r="BG496" i="13"/>
  <c r="BH496" i="13"/>
  <c r="BI496" i="13"/>
  <c r="AQ497" i="13"/>
  <c r="AR497" i="13"/>
  <c r="AS497" i="13"/>
  <c r="AT497" i="13"/>
  <c r="AU497" i="13"/>
  <c r="AV497" i="13"/>
  <c r="AW497" i="13"/>
  <c r="AX497" i="13"/>
  <c r="AY497" i="13"/>
  <c r="AZ497" i="13"/>
  <c r="BA497" i="13"/>
  <c r="BB497" i="13"/>
  <c r="BC497" i="13"/>
  <c r="BD497" i="13"/>
  <c r="BE497" i="13"/>
  <c r="BF497" i="13"/>
  <c r="BG497" i="13"/>
  <c r="BH497" i="13"/>
  <c r="BI497" i="13"/>
  <c r="AQ498" i="13"/>
  <c r="AR498" i="13"/>
  <c r="AS498" i="13"/>
  <c r="AT498" i="13"/>
  <c r="AU498" i="13"/>
  <c r="AV498" i="13"/>
  <c r="AW498" i="13"/>
  <c r="AX498" i="13"/>
  <c r="AY498" i="13"/>
  <c r="AZ498" i="13"/>
  <c r="BA498" i="13"/>
  <c r="BB498" i="13"/>
  <c r="BC498" i="13"/>
  <c r="BD498" i="13"/>
  <c r="BE498" i="13"/>
  <c r="BF498" i="13"/>
  <c r="BG498" i="13"/>
  <c r="BH498" i="13"/>
  <c r="BI498" i="13"/>
  <c r="AQ499" i="13"/>
  <c r="AR499" i="13"/>
  <c r="AS499" i="13"/>
  <c r="AT499" i="13"/>
  <c r="AU499" i="13"/>
  <c r="AV499" i="13"/>
  <c r="AW499" i="13"/>
  <c r="AX499" i="13"/>
  <c r="AY499" i="13"/>
  <c r="AZ499" i="13"/>
  <c r="BA499" i="13"/>
  <c r="BB499" i="13"/>
  <c r="BC499" i="13"/>
  <c r="BD499" i="13"/>
  <c r="BE499" i="13"/>
  <c r="BF499" i="13"/>
  <c r="BG499" i="13"/>
  <c r="BH499" i="13"/>
  <c r="BI499" i="13"/>
  <c r="AQ500" i="13"/>
  <c r="AR500" i="13"/>
  <c r="AS500" i="13"/>
  <c r="AT500" i="13"/>
  <c r="AU500" i="13"/>
  <c r="AV500" i="13"/>
  <c r="AW500" i="13"/>
  <c r="AX500" i="13"/>
  <c r="AY500" i="13"/>
  <c r="AZ500" i="13"/>
  <c r="BA500" i="13"/>
  <c r="BB500" i="13"/>
  <c r="BC500" i="13"/>
  <c r="BD500" i="13"/>
  <c r="BE500" i="13"/>
  <c r="BF500" i="13"/>
  <c r="BG500" i="13"/>
  <c r="BH500" i="13"/>
  <c r="BI500" i="13"/>
  <c r="AQ501" i="13"/>
  <c r="AR501" i="13"/>
  <c r="AS501" i="13"/>
  <c r="AT501" i="13"/>
  <c r="AU501" i="13"/>
  <c r="AV501" i="13"/>
  <c r="AW501" i="13"/>
  <c r="AX501" i="13"/>
  <c r="AY501" i="13"/>
  <c r="AZ501" i="13"/>
  <c r="BA501" i="13"/>
  <c r="BB501" i="13"/>
  <c r="BC501" i="13"/>
  <c r="BD501" i="13"/>
  <c r="BE501" i="13"/>
  <c r="BF501" i="13"/>
  <c r="BG501" i="13"/>
  <c r="BH501" i="13"/>
  <c r="BI501" i="13"/>
  <c r="AQ502" i="13"/>
  <c r="AR502" i="13"/>
  <c r="AS502" i="13"/>
  <c r="AT502" i="13"/>
  <c r="AU502" i="13"/>
  <c r="AV502" i="13"/>
  <c r="AW502" i="13"/>
  <c r="AX502" i="13"/>
  <c r="AY502" i="13"/>
  <c r="AZ502" i="13"/>
  <c r="BA502" i="13"/>
  <c r="BB502" i="13"/>
  <c r="BC502" i="13"/>
  <c r="BD502" i="13"/>
  <c r="BE502" i="13"/>
  <c r="BF502" i="13"/>
  <c r="BG502" i="13"/>
  <c r="BH502" i="13"/>
  <c r="BI502" i="13"/>
  <c r="AQ503" i="13"/>
  <c r="AR503" i="13"/>
  <c r="AS503" i="13"/>
  <c r="AT503" i="13"/>
  <c r="AU503" i="13"/>
  <c r="AV503" i="13"/>
  <c r="AW503" i="13"/>
  <c r="AX503" i="13"/>
  <c r="AY503" i="13"/>
  <c r="AZ503" i="13"/>
  <c r="BA503" i="13"/>
  <c r="BB503" i="13"/>
  <c r="BC503" i="13"/>
  <c r="BD503" i="13"/>
  <c r="BE503" i="13"/>
  <c r="BF503" i="13"/>
  <c r="BG503" i="13"/>
  <c r="BH503" i="13"/>
  <c r="BI503" i="13"/>
  <c r="AQ504" i="13"/>
  <c r="AR504" i="13"/>
  <c r="AS504" i="13"/>
  <c r="AT504" i="13"/>
  <c r="AU504" i="13"/>
  <c r="AV504" i="13"/>
  <c r="AW504" i="13"/>
  <c r="AX504" i="13"/>
  <c r="AY504" i="13"/>
  <c r="AZ504" i="13"/>
  <c r="BA504" i="13"/>
  <c r="BB504" i="13"/>
  <c r="BC504" i="13"/>
  <c r="BD504" i="13"/>
  <c r="BE504" i="13"/>
  <c r="BF504" i="13"/>
  <c r="BG504" i="13"/>
  <c r="BH504" i="13"/>
  <c r="BI504" i="13"/>
  <c r="AQ505" i="13"/>
  <c r="AR505" i="13"/>
  <c r="AS505" i="13"/>
  <c r="AT505" i="13"/>
  <c r="AU505" i="13"/>
  <c r="AV505" i="13"/>
  <c r="AW505" i="13"/>
  <c r="AX505" i="13"/>
  <c r="AY505" i="13"/>
  <c r="AZ505" i="13"/>
  <c r="BA505" i="13"/>
  <c r="BB505" i="13"/>
  <c r="BC505" i="13"/>
  <c r="BD505" i="13"/>
  <c r="BE505" i="13"/>
  <c r="BF505" i="13"/>
  <c r="BG505" i="13"/>
  <c r="BH505" i="13"/>
  <c r="BI505" i="13"/>
  <c r="AQ506" i="13"/>
  <c r="AR506" i="13"/>
  <c r="AS506" i="13"/>
  <c r="AT506" i="13"/>
  <c r="AU506" i="13"/>
  <c r="AV506" i="13"/>
  <c r="AW506" i="13"/>
  <c r="AX506" i="13"/>
  <c r="AY506" i="13"/>
  <c r="AZ506" i="13"/>
  <c r="BA506" i="13"/>
  <c r="BB506" i="13"/>
  <c r="BC506" i="13"/>
  <c r="BD506" i="13"/>
  <c r="BE506" i="13"/>
  <c r="BF506" i="13"/>
  <c r="BG506" i="13"/>
  <c r="BH506" i="13"/>
  <c r="BI506" i="13"/>
  <c r="AQ507" i="13"/>
  <c r="AR507" i="13"/>
  <c r="AS507" i="13"/>
  <c r="AT507" i="13"/>
  <c r="AU507" i="13"/>
  <c r="AV507" i="13"/>
  <c r="AW507" i="13"/>
  <c r="AX507" i="13"/>
  <c r="AY507" i="13"/>
  <c r="AZ507" i="13"/>
  <c r="BA507" i="13"/>
  <c r="BB507" i="13"/>
  <c r="BC507" i="13"/>
  <c r="BD507" i="13"/>
  <c r="BE507" i="13"/>
  <c r="BF507" i="13"/>
  <c r="BG507" i="13"/>
  <c r="BH507" i="13"/>
  <c r="BI507" i="13"/>
  <c r="AQ508" i="13"/>
  <c r="AR508" i="13"/>
  <c r="AS508" i="13"/>
  <c r="AT508" i="13"/>
  <c r="AU508" i="13"/>
  <c r="AV508" i="13"/>
  <c r="AW508" i="13"/>
  <c r="AX508" i="13"/>
  <c r="AY508" i="13"/>
  <c r="AZ508" i="13"/>
  <c r="BA508" i="13"/>
  <c r="BB508" i="13"/>
  <c r="BC508" i="13"/>
  <c r="BD508" i="13"/>
  <c r="BE508" i="13"/>
  <c r="BF508" i="13"/>
  <c r="BG508" i="13"/>
  <c r="BH508" i="13"/>
  <c r="BI508" i="13"/>
  <c r="AQ509" i="13"/>
  <c r="AR509" i="13"/>
  <c r="AS509" i="13"/>
  <c r="AT509" i="13"/>
  <c r="AU509" i="13"/>
  <c r="AV509" i="13"/>
  <c r="AW509" i="13"/>
  <c r="AX509" i="13"/>
  <c r="AY509" i="13"/>
  <c r="AZ509" i="13"/>
  <c r="BA509" i="13"/>
  <c r="BB509" i="13"/>
  <c r="BC509" i="13"/>
  <c r="BD509" i="13"/>
  <c r="BE509" i="13"/>
  <c r="BF509" i="13"/>
  <c r="BG509" i="13"/>
  <c r="BH509" i="13"/>
  <c r="BI509" i="13"/>
  <c r="AQ510" i="13"/>
  <c r="AR510" i="13"/>
  <c r="AS510" i="13"/>
  <c r="AT510" i="13"/>
  <c r="AU510" i="13"/>
  <c r="AV510" i="13"/>
  <c r="AW510" i="13"/>
  <c r="AX510" i="13"/>
  <c r="AY510" i="13"/>
  <c r="AZ510" i="13"/>
  <c r="BA510" i="13"/>
  <c r="BB510" i="13"/>
  <c r="BC510" i="13"/>
  <c r="BD510" i="13"/>
  <c r="BE510" i="13"/>
  <c r="BF510" i="13"/>
  <c r="BG510" i="13"/>
  <c r="BH510" i="13"/>
  <c r="BI510" i="13"/>
  <c r="AQ511" i="13"/>
  <c r="AR511" i="13"/>
  <c r="AS511" i="13"/>
  <c r="AT511" i="13"/>
  <c r="AU511" i="13"/>
  <c r="AV511" i="13"/>
  <c r="AW511" i="13"/>
  <c r="AX511" i="13"/>
  <c r="AY511" i="13"/>
  <c r="AZ511" i="13"/>
  <c r="BA511" i="13"/>
  <c r="BB511" i="13"/>
  <c r="BC511" i="13"/>
  <c r="BD511" i="13"/>
  <c r="BE511" i="13"/>
  <c r="BF511" i="13"/>
  <c r="BG511" i="13"/>
  <c r="BH511" i="13"/>
  <c r="BI511" i="13"/>
  <c r="AQ512" i="13"/>
  <c r="AR512" i="13"/>
  <c r="AS512" i="13"/>
  <c r="AT512" i="13"/>
  <c r="AU512" i="13"/>
  <c r="AV512" i="13"/>
  <c r="AW512" i="13"/>
  <c r="AX512" i="13"/>
  <c r="AY512" i="13"/>
  <c r="AZ512" i="13"/>
  <c r="BA512" i="13"/>
  <c r="BB512" i="13"/>
  <c r="BC512" i="13"/>
  <c r="BD512" i="13"/>
  <c r="BE512" i="13"/>
  <c r="BF512" i="13"/>
  <c r="BG512" i="13"/>
  <c r="BH512" i="13"/>
  <c r="BI512" i="13"/>
  <c r="AQ513" i="13"/>
  <c r="AR513" i="13"/>
  <c r="AS513" i="13"/>
  <c r="AT513" i="13"/>
  <c r="AU513" i="13"/>
  <c r="AV513" i="13"/>
  <c r="AW513" i="13"/>
  <c r="AX513" i="13"/>
  <c r="AY513" i="13"/>
  <c r="AZ513" i="13"/>
  <c r="BA513" i="13"/>
  <c r="BB513" i="13"/>
  <c r="BC513" i="13"/>
  <c r="BD513" i="13"/>
  <c r="BE513" i="13"/>
  <c r="BF513" i="13"/>
  <c r="BG513" i="13"/>
  <c r="BH513" i="13"/>
  <c r="BI513" i="13"/>
  <c r="AQ514" i="13"/>
  <c r="AR514" i="13"/>
  <c r="AS514" i="13"/>
  <c r="AT514" i="13"/>
  <c r="AU514" i="13"/>
  <c r="AV514" i="13"/>
  <c r="AW514" i="13"/>
  <c r="AX514" i="13"/>
  <c r="AY514" i="13"/>
  <c r="AZ514" i="13"/>
  <c r="BA514" i="13"/>
  <c r="BB514" i="13"/>
  <c r="BC514" i="13"/>
  <c r="BD514" i="13"/>
  <c r="BE514" i="13"/>
  <c r="BF514" i="13"/>
  <c r="BG514" i="13"/>
  <c r="BH514" i="13"/>
  <c r="BI514" i="13"/>
  <c r="AQ515" i="13"/>
  <c r="AR515" i="13"/>
  <c r="AS515" i="13"/>
  <c r="AT515" i="13"/>
  <c r="AU515" i="13"/>
  <c r="AV515" i="13"/>
  <c r="AW515" i="13"/>
  <c r="AX515" i="13"/>
  <c r="AY515" i="13"/>
  <c r="AZ515" i="13"/>
  <c r="BA515" i="13"/>
  <c r="BB515" i="13"/>
  <c r="BC515" i="13"/>
  <c r="BD515" i="13"/>
  <c r="BE515" i="13"/>
  <c r="BF515" i="13"/>
  <c r="BG515" i="13"/>
  <c r="BH515" i="13"/>
  <c r="BI515" i="13"/>
  <c r="AQ516" i="13"/>
  <c r="AR516" i="13"/>
  <c r="AS516" i="13"/>
  <c r="AT516" i="13"/>
  <c r="AU516" i="13"/>
  <c r="AV516" i="13"/>
  <c r="AW516" i="13"/>
  <c r="AX516" i="13"/>
  <c r="AY516" i="13"/>
  <c r="AZ516" i="13"/>
  <c r="BA516" i="13"/>
  <c r="BB516" i="13"/>
  <c r="BC516" i="13"/>
  <c r="BD516" i="13"/>
  <c r="BE516" i="13"/>
  <c r="BF516" i="13"/>
  <c r="BG516" i="13"/>
  <c r="BH516" i="13"/>
  <c r="BI516" i="13"/>
  <c r="AQ517" i="13"/>
  <c r="AR517" i="13"/>
  <c r="AS517" i="13"/>
  <c r="AT517" i="13"/>
  <c r="AU517" i="13"/>
  <c r="AV517" i="13"/>
  <c r="AW517" i="13"/>
  <c r="AX517" i="13"/>
  <c r="AY517" i="13"/>
  <c r="AZ517" i="13"/>
  <c r="BA517" i="13"/>
  <c r="BB517" i="13"/>
  <c r="BC517" i="13"/>
  <c r="BD517" i="13"/>
  <c r="BE517" i="13"/>
  <c r="BF517" i="13"/>
  <c r="BG517" i="13"/>
  <c r="BH517" i="13"/>
  <c r="BI517" i="13"/>
  <c r="AQ518" i="13"/>
  <c r="AR518" i="13"/>
  <c r="AS518" i="13"/>
  <c r="AT518" i="13"/>
  <c r="AU518" i="13"/>
  <c r="AV518" i="13"/>
  <c r="AW518" i="13"/>
  <c r="AX518" i="13"/>
  <c r="AY518" i="13"/>
  <c r="AZ518" i="13"/>
  <c r="BA518" i="13"/>
  <c r="BB518" i="13"/>
  <c r="BC518" i="13"/>
  <c r="BD518" i="13"/>
  <c r="BE518" i="13"/>
  <c r="BF518" i="13"/>
  <c r="BG518" i="13"/>
  <c r="BH518" i="13"/>
  <c r="BI518" i="13"/>
  <c r="AQ519" i="13"/>
  <c r="AR519" i="13"/>
  <c r="AS519" i="13"/>
  <c r="AT519" i="13"/>
  <c r="AU519" i="13"/>
  <c r="AV519" i="13"/>
  <c r="AW519" i="13"/>
  <c r="AX519" i="13"/>
  <c r="AY519" i="13"/>
  <c r="AZ519" i="13"/>
  <c r="BA519" i="13"/>
  <c r="BB519" i="13"/>
  <c r="BC519" i="13"/>
  <c r="BD519" i="13"/>
  <c r="BE519" i="13"/>
  <c r="BF519" i="13"/>
  <c r="BG519" i="13"/>
  <c r="BH519" i="13"/>
  <c r="BI519" i="13"/>
  <c r="AQ520" i="13"/>
  <c r="AR520" i="13"/>
  <c r="AS520" i="13"/>
  <c r="AT520" i="13"/>
  <c r="AU520" i="13"/>
  <c r="AV520" i="13"/>
  <c r="AW520" i="13"/>
  <c r="AX520" i="13"/>
  <c r="AY520" i="13"/>
  <c r="AZ520" i="13"/>
  <c r="BA520" i="13"/>
  <c r="BB520" i="13"/>
  <c r="BC520" i="13"/>
  <c r="BD520" i="13"/>
  <c r="BE520" i="13"/>
  <c r="BF520" i="13"/>
  <c r="BG520" i="13"/>
  <c r="BH520" i="13"/>
  <c r="BI520" i="13"/>
  <c r="AQ521" i="13"/>
  <c r="AR521" i="13"/>
  <c r="AS521" i="13"/>
  <c r="AT521" i="13"/>
  <c r="AU521" i="13"/>
  <c r="AV521" i="13"/>
  <c r="AW521" i="13"/>
  <c r="AX521" i="13"/>
  <c r="AY521" i="13"/>
  <c r="AZ521" i="13"/>
  <c r="BA521" i="13"/>
  <c r="BB521" i="13"/>
  <c r="BC521" i="13"/>
  <c r="BD521" i="13"/>
  <c r="BE521" i="13"/>
  <c r="BF521" i="13"/>
  <c r="BG521" i="13"/>
  <c r="BH521" i="13"/>
  <c r="BI521" i="13"/>
  <c r="AQ522" i="13"/>
  <c r="AR522" i="13"/>
  <c r="AS522" i="13"/>
  <c r="AT522" i="13"/>
  <c r="AU522" i="13"/>
  <c r="AV522" i="13"/>
  <c r="AW522" i="13"/>
  <c r="AX522" i="13"/>
  <c r="AY522" i="13"/>
  <c r="AZ522" i="13"/>
  <c r="BA522" i="13"/>
  <c r="BB522" i="13"/>
  <c r="BC522" i="13"/>
  <c r="BD522" i="13"/>
  <c r="BE522" i="13"/>
  <c r="BF522" i="13"/>
  <c r="BG522" i="13"/>
  <c r="BH522" i="13"/>
  <c r="BI522" i="13"/>
  <c r="AQ523" i="13"/>
  <c r="AR523" i="13"/>
  <c r="AS523" i="13"/>
  <c r="AT523" i="13"/>
  <c r="AU523" i="13"/>
  <c r="AV523" i="13"/>
  <c r="AW523" i="13"/>
  <c r="AX523" i="13"/>
  <c r="AY523" i="13"/>
  <c r="AZ523" i="13"/>
  <c r="BA523" i="13"/>
  <c r="BB523" i="13"/>
  <c r="BC523" i="13"/>
  <c r="BD523" i="13"/>
  <c r="BE523" i="13"/>
  <c r="BF523" i="13"/>
  <c r="BG523" i="13"/>
  <c r="BH523" i="13"/>
  <c r="BI523" i="13"/>
  <c r="AQ524" i="13"/>
  <c r="AR524" i="13"/>
  <c r="AS524" i="13"/>
  <c r="AT524" i="13"/>
  <c r="AU524" i="13"/>
  <c r="AV524" i="13"/>
  <c r="AW524" i="13"/>
  <c r="AX524" i="13"/>
  <c r="AY524" i="13"/>
  <c r="AZ524" i="13"/>
  <c r="BA524" i="13"/>
  <c r="BB524" i="13"/>
  <c r="BC524" i="13"/>
  <c r="BD524" i="13"/>
  <c r="BE524" i="13"/>
  <c r="BF524" i="13"/>
  <c r="BG524" i="13"/>
  <c r="BH524" i="13"/>
  <c r="BI524" i="13"/>
  <c r="AQ525" i="13"/>
  <c r="AR525" i="13"/>
  <c r="AS525" i="13"/>
  <c r="AT525" i="13"/>
  <c r="AU525" i="13"/>
  <c r="AV525" i="13"/>
  <c r="AW525" i="13"/>
  <c r="AX525" i="13"/>
  <c r="AY525" i="13"/>
  <c r="AZ525" i="13"/>
  <c r="BA525" i="13"/>
  <c r="BB525" i="13"/>
  <c r="BC525" i="13"/>
  <c r="BD525" i="13"/>
  <c r="BE525" i="13"/>
  <c r="BF525" i="13"/>
  <c r="BG525" i="13"/>
  <c r="BH525" i="13"/>
  <c r="BI525" i="13"/>
  <c r="AQ526" i="13"/>
  <c r="AR526" i="13"/>
  <c r="AS526" i="13"/>
  <c r="AT526" i="13"/>
  <c r="AU526" i="13"/>
  <c r="AV526" i="13"/>
  <c r="AW526" i="13"/>
  <c r="AX526" i="13"/>
  <c r="AY526" i="13"/>
  <c r="AZ526" i="13"/>
  <c r="BA526" i="13"/>
  <c r="BB526" i="13"/>
  <c r="BC526" i="13"/>
  <c r="BD526" i="13"/>
  <c r="BE526" i="13"/>
  <c r="BF526" i="13"/>
  <c r="BG526" i="13"/>
  <c r="BH526" i="13"/>
  <c r="BI526" i="13"/>
  <c r="AQ527" i="13"/>
  <c r="AR527" i="13"/>
  <c r="AS527" i="13"/>
  <c r="AT527" i="13"/>
  <c r="AU527" i="13"/>
  <c r="AV527" i="13"/>
  <c r="AW527" i="13"/>
  <c r="AX527" i="13"/>
  <c r="AY527" i="13"/>
  <c r="AZ527" i="13"/>
  <c r="BA527" i="13"/>
  <c r="BB527" i="13"/>
  <c r="BC527" i="13"/>
  <c r="BD527" i="13"/>
  <c r="BE527" i="13"/>
  <c r="BF527" i="13"/>
  <c r="BG527" i="13"/>
  <c r="BH527" i="13"/>
  <c r="BI527" i="13"/>
  <c r="AQ528" i="13"/>
  <c r="AR528" i="13"/>
  <c r="AS528" i="13"/>
  <c r="AT528" i="13"/>
  <c r="AU528" i="13"/>
  <c r="AV528" i="13"/>
  <c r="AW528" i="13"/>
  <c r="AX528" i="13"/>
  <c r="AY528" i="13"/>
  <c r="AZ528" i="13"/>
  <c r="BA528" i="13"/>
  <c r="BB528" i="13"/>
  <c r="BC528" i="13"/>
  <c r="BD528" i="13"/>
  <c r="BE528" i="13"/>
  <c r="BF528" i="13"/>
  <c r="BG528" i="13"/>
  <c r="BH528" i="13"/>
  <c r="BI528" i="13"/>
  <c r="AQ529" i="13"/>
  <c r="AR529" i="13"/>
  <c r="AS529" i="13"/>
  <c r="AT529" i="13"/>
  <c r="AU529" i="13"/>
  <c r="AV529" i="13"/>
  <c r="AW529" i="13"/>
  <c r="AX529" i="13"/>
  <c r="AY529" i="13"/>
  <c r="AZ529" i="13"/>
  <c r="BA529" i="13"/>
  <c r="BB529" i="13"/>
  <c r="BC529" i="13"/>
  <c r="BD529" i="13"/>
  <c r="BE529" i="13"/>
  <c r="BF529" i="13"/>
  <c r="BG529" i="13"/>
  <c r="BH529" i="13"/>
  <c r="BI529" i="13"/>
  <c r="AQ530" i="13"/>
  <c r="AR530" i="13"/>
  <c r="AS530" i="13"/>
  <c r="AT530" i="13"/>
  <c r="AU530" i="13"/>
  <c r="AV530" i="13"/>
  <c r="AW530" i="13"/>
  <c r="AX530" i="13"/>
  <c r="AY530" i="13"/>
  <c r="AZ530" i="13"/>
  <c r="BA530" i="13"/>
  <c r="BB530" i="13"/>
  <c r="BC530" i="13"/>
  <c r="BD530" i="13"/>
  <c r="BE530" i="13"/>
  <c r="BF530" i="13"/>
  <c r="BG530" i="13"/>
  <c r="BH530" i="13"/>
  <c r="BI530" i="13"/>
  <c r="AQ531" i="13"/>
  <c r="AR531" i="13"/>
  <c r="AS531" i="13"/>
  <c r="AT531" i="13"/>
  <c r="AU531" i="13"/>
  <c r="AV531" i="13"/>
  <c r="AW531" i="13"/>
  <c r="AX531" i="13"/>
  <c r="AY531" i="13"/>
  <c r="AZ531" i="13"/>
  <c r="BA531" i="13"/>
  <c r="BB531" i="13"/>
  <c r="BC531" i="13"/>
  <c r="BD531" i="13"/>
  <c r="BE531" i="13"/>
  <c r="BF531" i="13"/>
  <c r="BG531" i="13"/>
  <c r="BH531" i="13"/>
  <c r="BI531" i="13"/>
  <c r="AQ532" i="13"/>
  <c r="AR532" i="13"/>
  <c r="AS532" i="13"/>
  <c r="AT532" i="13"/>
  <c r="AU532" i="13"/>
  <c r="AV532" i="13"/>
  <c r="AW532" i="13"/>
  <c r="AX532" i="13"/>
  <c r="AY532" i="13"/>
  <c r="AZ532" i="13"/>
  <c r="BA532" i="13"/>
  <c r="BB532" i="13"/>
  <c r="BC532" i="13"/>
  <c r="BD532" i="13"/>
  <c r="BE532" i="13"/>
  <c r="BF532" i="13"/>
  <c r="BG532" i="13"/>
  <c r="BH532" i="13"/>
  <c r="BI532" i="13"/>
  <c r="AQ533" i="13"/>
  <c r="AR533" i="13"/>
  <c r="AS533" i="13"/>
  <c r="AT533" i="13"/>
  <c r="AU533" i="13"/>
  <c r="AV533" i="13"/>
  <c r="AW533" i="13"/>
  <c r="AX533" i="13"/>
  <c r="AY533" i="13"/>
  <c r="AZ533" i="13"/>
  <c r="BA533" i="13"/>
  <c r="BB533" i="13"/>
  <c r="BC533" i="13"/>
  <c r="BD533" i="13"/>
  <c r="BE533" i="13"/>
  <c r="BF533" i="13"/>
  <c r="BG533" i="13"/>
  <c r="BH533" i="13"/>
  <c r="BI533" i="13"/>
  <c r="AQ534" i="13"/>
  <c r="AR534" i="13"/>
  <c r="AS534" i="13"/>
  <c r="AT534" i="13"/>
  <c r="AU534" i="13"/>
  <c r="AV534" i="13"/>
  <c r="AW534" i="13"/>
  <c r="AX534" i="13"/>
  <c r="AY534" i="13"/>
  <c r="AZ534" i="13"/>
  <c r="BA534" i="13"/>
  <c r="BB534" i="13"/>
  <c r="BC534" i="13"/>
  <c r="BD534" i="13"/>
  <c r="BE534" i="13"/>
  <c r="BF534" i="13"/>
  <c r="BG534" i="13"/>
  <c r="BH534" i="13"/>
  <c r="BI534" i="13"/>
  <c r="AQ535" i="13"/>
  <c r="AR535" i="13"/>
  <c r="AS535" i="13"/>
  <c r="AT535" i="13"/>
  <c r="AU535" i="13"/>
  <c r="AV535" i="13"/>
  <c r="AW535" i="13"/>
  <c r="AX535" i="13"/>
  <c r="AY535" i="13"/>
  <c r="AZ535" i="13"/>
  <c r="BA535" i="13"/>
  <c r="BB535" i="13"/>
  <c r="BC535" i="13"/>
  <c r="BD535" i="13"/>
  <c r="BE535" i="13"/>
  <c r="BF535" i="13"/>
  <c r="BG535" i="13"/>
  <c r="BH535" i="13"/>
  <c r="BI535" i="13"/>
  <c r="AQ536" i="13"/>
  <c r="AR536" i="13"/>
  <c r="AS536" i="13"/>
  <c r="AT536" i="13"/>
  <c r="AU536" i="13"/>
  <c r="AV536" i="13"/>
  <c r="AW536" i="13"/>
  <c r="AX536" i="13"/>
  <c r="AY536" i="13"/>
  <c r="AZ536" i="13"/>
  <c r="BA536" i="13"/>
  <c r="BB536" i="13"/>
  <c r="BC536" i="13"/>
  <c r="BD536" i="13"/>
  <c r="BE536" i="13"/>
  <c r="BF536" i="13"/>
  <c r="BG536" i="13"/>
  <c r="BH536" i="13"/>
  <c r="BI536" i="13"/>
  <c r="AQ537" i="13"/>
  <c r="AR537" i="13"/>
  <c r="AS537" i="13"/>
  <c r="AT537" i="13"/>
  <c r="AU537" i="13"/>
  <c r="AV537" i="13"/>
  <c r="AW537" i="13"/>
  <c r="AX537" i="13"/>
  <c r="AY537" i="13"/>
  <c r="AZ537" i="13"/>
  <c r="BA537" i="13"/>
  <c r="BB537" i="13"/>
  <c r="BC537" i="13"/>
  <c r="BD537" i="13"/>
  <c r="BE537" i="13"/>
  <c r="BF537" i="13"/>
  <c r="BG537" i="13"/>
  <c r="BH537" i="13"/>
  <c r="BI537" i="13"/>
  <c r="AQ538" i="13"/>
  <c r="AR538" i="13"/>
  <c r="AS538" i="13"/>
  <c r="AT538" i="13"/>
  <c r="AU538" i="13"/>
  <c r="AV538" i="13"/>
  <c r="AW538" i="13"/>
  <c r="AX538" i="13"/>
  <c r="AY538" i="13"/>
  <c r="AZ538" i="13"/>
  <c r="BA538" i="13"/>
  <c r="BB538" i="13"/>
  <c r="BC538" i="13"/>
  <c r="BD538" i="13"/>
  <c r="BE538" i="13"/>
  <c r="BF538" i="13"/>
  <c r="BG538" i="13"/>
  <c r="BH538" i="13"/>
  <c r="BI538" i="13"/>
  <c r="AQ539" i="13"/>
  <c r="AR539" i="13"/>
  <c r="AS539" i="13"/>
  <c r="AT539" i="13"/>
  <c r="AU539" i="13"/>
  <c r="AV539" i="13"/>
  <c r="AW539" i="13"/>
  <c r="AX539" i="13"/>
  <c r="AY539" i="13"/>
  <c r="AZ539" i="13"/>
  <c r="BA539" i="13"/>
  <c r="BB539" i="13"/>
  <c r="BC539" i="13"/>
  <c r="BD539" i="13"/>
  <c r="BE539" i="13"/>
  <c r="BF539" i="13"/>
  <c r="BG539" i="13"/>
  <c r="BH539" i="13"/>
  <c r="BI539" i="13"/>
  <c r="AQ540" i="13"/>
  <c r="AR540" i="13"/>
  <c r="AS540" i="13"/>
  <c r="AT540" i="13"/>
  <c r="AU540" i="13"/>
  <c r="AV540" i="13"/>
  <c r="AW540" i="13"/>
  <c r="AX540" i="13"/>
  <c r="AY540" i="13"/>
  <c r="AZ540" i="13"/>
  <c r="BA540" i="13"/>
  <c r="BB540" i="13"/>
  <c r="BC540" i="13"/>
  <c r="BD540" i="13"/>
  <c r="BE540" i="13"/>
  <c r="BF540" i="13"/>
  <c r="BG540" i="13"/>
  <c r="BH540" i="13"/>
  <c r="BI540" i="13"/>
  <c r="AQ541" i="13"/>
  <c r="AR541" i="13"/>
  <c r="AS541" i="13"/>
  <c r="AT541" i="13"/>
  <c r="AU541" i="13"/>
  <c r="AV541" i="13"/>
  <c r="AW541" i="13"/>
  <c r="AX541" i="13"/>
  <c r="AY541" i="13"/>
  <c r="AZ541" i="13"/>
  <c r="BA541" i="13"/>
  <c r="BB541" i="13"/>
  <c r="BC541" i="13"/>
  <c r="BD541" i="13"/>
  <c r="BE541" i="13"/>
  <c r="BF541" i="13"/>
  <c r="BG541" i="13"/>
  <c r="BH541" i="13"/>
  <c r="BI541" i="13"/>
  <c r="AQ542" i="13"/>
  <c r="AR542" i="13"/>
  <c r="AS542" i="13"/>
  <c r="AT542" i="13"/>
  <c r="AU542" i="13"/>
  <c r="AV542" i="13"/>
  <c r="AW542" i="13"/>
  <c r="AX542" i="13"/>
  <c r="AY542" i="13"/>
  <c r="AZ542" i="13"/>
  <c r="BA542" i="13"/>
  <c r="BB542" i="13"/>
  <c r="BC542" i="13"/>
  <c r="BD542" i="13"/>
  <c r="BE542" i="13"/>
  <c r="BF542" i="13"/>
  <c r="BG542" i="13"/>
  <c r="BH542" i="13"/>
  <c r="BI542" i="13"/>
  <c r="AQ543" i="13"/>
  <c r="AR543" i="13"/>
  <c r="AS543" i="13"/>
  <c r="AT543" i="13"/>
  <c r="AU543" i="13"/>
  <c r="AV543" i="13"/>
  <c r="AW543" i="13"/>
  <c r="AX543" i="13"/>
  <c r="AY543" i="13"/>
  <c r="AZ543" i="13"/>
  <c r="BA543" i="13"/>
  <c r="BB543" i="13"/>
  <c r="BC543" i="13"/>
  <c r="BD543" i="13"/>
  <c r="BE543" i="13"/>
  <c r="BF543" i="13"/>
  <c r="BG543" i="13"/>
  <c r="BH543" i="13"/>
  <c r="BI543" i="13"/>
  <c r="AQ544" i="13"/>
  <c r="AR544" i="13"/>
  <c r="AS544" i="13"/>
  <c r="AT544" i="13"/>
  <c r="AU544" i="13"/>
  <c r="AV544" i="13"/>
  <c r="AW544" i="13"/>
  <c r="AX544" i="13"/>
  <c r="AY544" i="13"/>
  <c r="AZ544" i="13"/>
  <c r="BA544" i="13"/>
  <c r="BB544" i="13"/>
  <c r="BC544" i="13"/>
  <c r="BD544" i="13"/>
  <c r="BE544" i="13"/>
  <c r="BF544" i="13"/>
  <c r="BG544" i="13"/>
  <c r="BH544" i="13"/>
  <c r="BI544" i="13"/>
  <c r="AQ545" i="13"/>
  <c r="AR545" i="13"/>
  <c r="AS545" i="13"/>
  <c r="AT545" i="13"/>
  <c r="AU545" i="13"/>
  <c r="AV545" i="13"/>
  <c r="AW545" i="13"/>
  <c r="AX545" i="13"/>
  <c r="AY545" i="13"/>
  <c r="AZ545" i="13"/>
  <c r="BA545" i="13"/>
  <c r="BB545" i="13"/>
  <c r="BC545" i="13"/>
  <c r="BD545" i="13"/>
  <c r="BE545" i="13"/>
  <c r="BF545" i="13"/>
  <c r="BG545" i="13"/>
  <c r="BH545" i="13"/>
  <c r="BI545" i="13"/>
  <c r="AQ546" i="13"/>
  <c r="AR546" i="13"/>
  <c r="AS546" i="13"/>
  <c r="AT546" i="13"/>
  <c r="AU546" i="13"/>
  <c r="AV546" i="13"/>
  <c r="AW546" i="13"/>
  <c r="AX546" i="13"/>
  <c r="AY546" i="13"/>
  <c r="AZ546" i="13"/>
  <c r="BA546" i="13"/>
  <c r="BB546" i="13"/>
  <c r="BC546" i="13"/>
  <c r="BD546" i="13"/>
  <c r="BE546" i="13"/>
  <c r="BF546" i="13"/>
  <c r="BG546" i="13"/>
  <c r="BH546" i="13"/>
  <c r="BI546" i="13"/>
  <c r="AQ547" i="13"/>
  <c r="AR547" i="13"/>
  <c r="AS547" i="13"/>
  <c r="AT547" i="13"/>
  <c r="AU547" i="13"/>
  <c r="AV547" i="13"/>
  <c r="AW547" i="13"/>
  <c r="AX547" i="13"/>
  <c r="AY547" i="13"/>
  <c r="AZ547" i="13"/>
  <c r="BA547" i="13"/>
  <c r="BB547" i="13"/>
  <c r="BC547" i="13"/>
  <c r="BD547" i="13"/>
  <c r="BE547" i="13"/>
  <c r="BF547" i="13"/>
  <c r="BG547" i="13"/>
  <c r="BH547" i="13"/>
  <c r="BI547" i="13"/>
  <c r="AQ548" i="13"/>
  <c r="AR548" i="13"/>
  <c r="AS548" i="13"/>
  <c r="AT548" i="13"/>
  <c r="AU548" i="13"/>
  <c r="AV548" i="13"/>
  <c r="AW548" i="13"/>
  <c r="AX548" i="13"/>
  <c r="AY548" i="13"/>
  <c r="AZ548" i="13"/>
  <c r="BA548" i="13"/>
  <c r="BB548" i="13"/>
  <c r="BC548" i="13"/>
  <c r="BD548" i="13"/>
  <c r="BE548" i="13"/>
  <c r="BF548" i="13"/>
  <c r="BG548" i="13"/>
  <c r="BH548" i="13"/>
  <c r="BI548" i="13"/>
  <c r="AQ549" i="13"/>
  <c r="AR549" i="13"/>
  <c r="AS549" i="13"/>
  <c r="AT549" i="13"/>
  <c r="AU549" i="13"/>
  <c r="AV549" i="13"/>
  <c r="AW549" i="13"/>
  <c r="AX549" i="13"/>
  <c r="AY549" i="13"/>
  <c r="AZ549" i="13"/>
  <c r="BA549" i="13"/>
  <c r="BB549" i="13"/>
  <c r="BC549" i="13"/>
  <c r="BD549" i="13"/>
  <c r="BE549" i="13"/>
  <c r="BF549" i="13"/>
  <c r="BG549" i="13"/>
  <c r="BH549" i="13"/>
  <c r="BI549" i="13"/>
  <c r="AQ550" i="13"/>
  <c r="AR550" i="13"/>
  <c r="AS550" i="13"/>
  <c r="AT550" i="13"/>
  <c r="AU550" i="13"/>
  <c r="AV550" i="13"/>
  <c r="AW550" i="13"/>
  <c r="AX550" i="13"/>
  <c r="AY550" i="13"/>
  <c r="AZ550" i="13"/>
  <c r="BA550" i="13"/>
  <c r="BB550" i="13"/>
  <c r="BC550" i="13"/>
  <c r="BD550" i="13"/>
  <c r="BE550" i="13"/>
  <c r="BF550" i="13"/>
  <c r="BG550" i="13"/>
  <c r="BH550" i="13"/>
  <c r="BI550" i="13"/>
  <c r="AQ551" i="13"/>
  <c r="AR551" i="13"/>
  <c r="AS551" i="13"/>
  <c r="AT551" i="13"/>
  <c r="AU551" i="13"/>
  <c r="AV551" i="13"/>
  <c r="AW551" i="13"/>
  <c r="AX551" i="13"/>
  <c r="AY551" i="13"/>
  <c r="AZ551" i="13"/>
  <c r="BA551" i="13"/>
  <c r="BB551" i="13"/>
  <c r="BC551" i="13"/>
  <c r="BD551" i="13"/>
  <c r="BE551" i="13"/>
  <c r="BF551" i="13"/>
  <c r="BG551" i="13"/>
  <c r="BH551" i="13"/>
  <c r="BI551" i="13"/>
  <c r="AQ552" i="13"/>
  <c r="AR552" i="13"/>
  <c r="AS552" i="13"/>
  <c r="AT552" i="13"/>
  <c r="AU552" i="13"/>
  <c r="AV552" i="13"/>
  <c r="AW552" i="13"/>
  <c r="AX552" i="13"/>
  <c r="AY552" i="13"/>
  <c r="AZ552" i="13"/>
  <c r="BA552" i="13"/>
  <c r="BB552" i="13"/>
  <c r="BC552" i="13"/>
  <c r="BD552" i="13"/>
  <c r="BE552" i="13"/>
  <c r="BF552" i="13"/>
  <c r="BG552" i="13"/>
  <c r="BH552" i="13"/>
  <c r="BI552" i="13"/>
  <c r="AQ553" i="13"/>
  <c r="AR553" i="13"/>
  <c r="AS553" i="13"/>
  <c r="AT553" i="13"/>
  <c r="AU553" i="13"/>
  <c r="AV553" i="13"/>
  <c r="AW553" i="13"/>
  <c r="AX553" i="13"/>
  <c r="AY553" i="13"/>
  <c r="AZ553" i="13"/>
  <c r="BA553" i="13"/>
  <c r="BB553" i="13"/>
  <c r="BC553" i="13"/>
  <c r="BD553" i="13"/>
  <c r="BE553" i="13"/>
  <c r="BF553" i="13"/>
  <c r="BG553" i="13"/>
  <c r="BH553" i="13"/>
  <c r="BI553" i="13"/>
  <c r="AQ554" i="13"/>
  <c r="AR554" i="13"/>
  <c r="AS554" i="13"/>
  <c r="AT554" i="13"/>
  <c r="AU554" i="13"/>
  <c r="AV554" i="13"/>
  <c r="AW554" i="13"/>
  <c r="AX554" i="13"/>
  <c r="AY554" i="13"/>
  <c r="AZ554" i="13"/>
  <c r="BA554" i="13"/>
  <c r="BB554" i="13"/>
  <c r="BC554" i="13"/>
  <c r="BD554" i="13"/>
  <c r="BE554" i="13"/>
  <c r="BF554" i="13"/>
  <c r="BG554" i="13"/>
  <c r="BH554" i="13"/>
  <c r="BI554" i="13"/>
  <c r="AQ555" i="13"/>
  <c r="AR555" i="13"/>
  <c r="AS555" i="13"/>
  <c r="AT555" i="13"/>
  <c r="AU555" i="13"/>
  <c r="AV555" i="13"/>
  <c r="AW555" i="13"/>
  <c r="AX555" i="13"/>
  <c r="AY555" i="13"/>
  <c r="AZ555" i="13"/>
  <c r="BA555" i="13"/>
  <c r="BB555" i="13"/>
  <c r="BC555" i="13"/>
  <c r="BD555" i="13"/>
  <c r="BE555" i="13"/>
  <c r="BF555" i="13"/>
  <c r="BG555" i="13"/>
  <c r="BH555" i="13"/>
  <c r="BI555" i="13"/>
  <c r="AQ556" i="13"/>
  <c r="AR556" i="13"/>
  <c r="AS556" i="13"/>
  <c r="AT556" i="13"/>
  <c r="AU556" i="13"/>
  <c r="AV556" i="13"/>
  <c r="AW556" i="13"/>
  <c r="AX556" i="13"/>
  <c r="AY556" i="13"/>
  <c r="AZ556" i="13"/>
  <c r="BA556" i="13"/>
  <c r="BB556" i="13"/>
  <c r="BC556" i="13"/>
  <c r="BD556" i="13"/>
  <c r="BE556" i="13"/>
  <c r="BF556" i="13"/>
  <c r="BG556" i="13"/>
  <c r="BH556" i="13"/>
  <c r="BI556" i="13"/>
  <c r="AQ557" i="13"/>
  <c r="AR557" i="13"/>
  <c r="AS557" i="13"/>
  <c r="AT557" i="13"/>
  <c r="AU557" i="13"/>
  <c r="AV557" i="13"/>
  <c r="AW557" i="13"/>
  <c r="AX557" i="13"/>
  <c r="AY557" i="13"/>
  <c r="AZ557" i="13"/>
  <c r="BA557" i="13"/>
  <c r="BB557" i="13"/>
  <c r="BC557" i="13"/>
  <c r="BD557" i="13"/>
  <c r="BE557" i="13"/>
  <c r="BF557" i="13"/>
  <c r="BG557" i="13"/>
  <c r="BH557" i="13"/>
  <c r="BI557" i="13"/>
  <c r="AQ558" i="13"/>
  <c r="AR558" i="13"/>
  <c r="AS558" i="13"/>
  <c r="AT558" i="13"/>
  <c r="AU558" i="13"/>
  <c r="AV558" i="13"/>
  <c r="AW558" i="13"/>
  <c r="AX558" i="13"/>
  <c r="AY558" i="13"/>
  <c r="AZ558" i="13"/>
  <c r="BA558" i="13"/>
  <c r="BB558" i="13"/>
  <c r="BC558" i="13"/>
  <c r="BD558" i="13"/>
  <c r="BE558" i="13"/>
  <c r="BF558" i="13"/>
  <c r="BG558" i="13"/>
  <c r="BH558" i="13"/>
  <c r="BI558" i="13"/>
  <c r="AQ559" i="13"/>
  <c r="AR559" i="13"/>
  <c r="AS559" i="13"/>
  <c r="AT559" i="13"/>
  <c r="AU559" i="13"/>
  <c r="AV559" i="13"/>
  <c r="AW559" i="13"/>
  <c r="AX559" i="13"/>
  <c r="AY559" i="13"/>
  <c r="AZ559" i="13"/>
  <c r="BA559" i="13"/>
  <c r="BB559" i="13"/>
  <c r="BC559" i="13"/>
  <c r="BD559" i="13"/>
  <c r="BE559" i="13"/>
  <c r="BF559" i="13"/>
  <c r="BG559" i="13"/>
  <c r="BH559" i="13"/>
  <c r="BI559" i="13"/>
  <c r="AQ560" i="13"/>
  <c r="AR560" i="13"/>
  <c r="AS560" i="13"/>
  <c r="AT560" i="13"/>
  <c r="AU560" i="13"/>
  <c r="AV560" i="13"/>
  <c r="AW560" i="13"/>
  <c r="AX560" i="13"/>
  <c r="AY560" i="13"/>
  <c r="AZ560" i="13"/>
  <c r="BA560" i="13"/>
  <c r="BB560" i="13"/>
  <c r="BC560" i="13"/>
  <c r="BD560" i="13"/>
  <c r="BE560" i="13"/>
  <c r="BF560" i="13"/>
  <c r="BG560" i="13"/>
  <c r="BH560" i="13"/>
  <c r="BI560" i="13"/>
  <c r="AQ561" i="13"/>
  <c r="AR561" i="13"/>
  <c r="AS561" i="13"/>
  <c r="AT561" i="13"/>
  <c r="AU561" i="13"/>
  <c r="AV561" i="13"/>
  <c r="AW561" i="13"/>
  <c r="AX561" i="13"/>
  <c r="AY561" i="13"/>
  <c r="AZ561" i="13"/>
  <c r="BA561" i="13"/>
  <c r="BB561" i="13"/>
  <c r="BC561" i="13"/>
  <c r="BD561" i="13"/>
  <c r="BE561" i="13"/>
  <c r="BF561" i="13"/>
  <c r="BG561" i="13"/>
  <c r="BH561" i="13"/>
  <c r="BI561" i="13"/>
  <c r="AQ562" i="13"/>
  <c r="AR562" i="13"/>
  <c r="AS562" i="13"/>
  <c r="AT562" i="13"/>
  <c r="AU562" i="13"/>
  <c r="AV562" i="13"/>
  <c r="AW562" i="13"/>
  <c r="AX562" i="13"/>
  <c r="AY562" i="13"/>
  <c r="AZ562" i="13"/>
  <c r="BA562" i="13"/>
  <c r="BB562" i="13"/>
  <c r="BC562" i="13"/>
  <c r="BD562" i="13"/>
  <c r="BE562" i="13"/>
  <c r="BF562" i="13"/>
  <c r="BG562" i="13"/>
  <c r="BH562" i="13"/>
  <c r="BI562" i="13"/>
  <c r="AQ563" i="13"/>
  <c r="AR563" i="13"/>
  <c r="AS563" i="13"/>
  <c r="AT563" i="13"/>
  <c r="AU563" i="13"/>
  <c r="AV563" i="13"/>
  <c r="AW563" i="13"/>
  <c r="AX563" i="13"/>
  <c r="AY563" i="13"/>
  <c r="AZ563" i="13"/>
  <c r="BA563" i="13"/>
  <c r="BB563" i="13"/>
  <c r="BC563" i="13"/>
  <c r="BD563" i="13"/>
  <c r="BE563" i="13"/>
  <c r="BF563" i="13"/>
  <c r="BG563" i="13"/>
  <c r="BH563" i="13"/>
  <c r="BI563" i="13"/>
  <c r="AQ564" i="13"/>
  <c r="AR564" i="13"/>
  <c r="AS564" i="13"/>
  <c r="AT564" i="13"/>
  <c r="AU564" i="13"/>
  <c r="AV564" i="13"/>
  <c r="AW564" i="13"/>
  <c r="AX564" i="13"/>
  <c r="AY564" i="13"/>
  <c r="AZ564" i="13"/>
  <c r="BA564" i="13"/>
  <c r="BB564" i="13"/>
  <c r="BC564" i="13"/>
  <c r="BD564" i="13"/>
  <c r="BE564" i="13"/>
  <c r="BF564" i="13"/>
  <c r="BG564" i="13"/>
  <c r="BH564" i="13"/>
  <c r="BI564" i="13"/>
  <c r="AQ565" i="13"/>
  <c r="AR565" i="13"/>
  <c r="AS565" i="13"/>
  <c r="AT565" i="13"/>
  <c r="AU565" i="13"/>
  <c r="AV565" i="13"/>
  <c r="AW565" i="13"/>
  <c r="AX565" i="13"/>
  <c r="AY565" i="13"/>
  <c r="AZ565" i="13"/>
  <c r="BA565" i="13"/>
  <c r="BB565" i="13"/>
  <c r="BC565" i="13"/>
  <c r="BD565" i="13"/>
  <c r="BE565" i="13"/>
  <c r="BF565" i="13"/>
  <c r="BG565" i="13"/>
  <c r="BH565" i="13"/>
  <c r="BI565" i="13"/>
  <c r="AQ566" i="13"/>
  <c r="AR566" i="13"/>
  <c r="AS566" i="13"/>
  <c r="AT566" i="13"/>
  <c r="AU566" i="13"/>
  <c r="AV566" i="13"/>
  <c r="AW566" i="13"/>
  <c r="AX566" i="13"/>
  <c r="AY566" i="13"/>
  <c r="AZ566" i="13"/>
  <c r="BA566" i="13"/>
  <c r="BB566" i="13"/>
  <c r="BC566" i="13"/>
  <c r="BD566" i="13"/>
  <c r="BE566" i="13"/>
  <c r="BF566" i="13"/>
  <c r="BG566" i="13"/>
  <c r="BH566" i="13"/>
  <c r="BI566" i="13"/>
  <c r="AQ567" i="13"/>
  <c r="AR567" i="13"/>
  <c r="AS567" i="13"/>
  <c r="AT567" i="13"/>
  <c r="AU567" i="13"/>
  <c r="AV567" i="13"/>
  <c r="AW567" i="13"/>
  <c r="AX567" i="13"/>
  <c r="AY567" i="13"/>
  <c r="AZ567" i="13"/>
  <c r="BA567" i="13"/>
  <c r="BB567" i="13"/>
  <c r="BC567" i="13"/>
  <c r="BD567" i="13"/>
  <c r="BE567" i="13"/>
  <c r="BF567" i="13"/>
  <c r="BG567" i="13"/>
  <c r="BH567" i="13"/>
  <c r="BI567" i="13"/>
  <c r="AQ568" i="13"/>
  <c r="AR568" i="13"/>
  <c r="AS568" i="13"/>
  <c r="AT568" i="13"/>
  <c r="AU568" i="13"/>
  <c r="AV568" i="13"/>
  <c r="AW568" i="13"/>
  <c r="AX568" i="13"/>
  <c r="AY568" i="13"/>
  <c r="AZ568" i="13"/>
  <c r="BA568" i="13"/>
  <c r="BB568" i="13"/>
  <c r="BC568" i="13"/>
  <c r="BD568" i="13"/>
  <c r="BE568" i="13"/>
  <c r="BF568" i="13"/>
  <c r="BG568" i="13"/>
  <c r="BH568" i="13"/>
  <c r="BI568" i="13"/>
  <c r="AQ569" i="13"/>
  <c r="AR569" i="13"/>
  <c r="AS569" i="13"/>
  <c r="AT569" i="13"/>
  <c r="AU569" i="13"/>
  <c r="AV569" i="13"/>
  <c r="AW569" i="13"/>
  <c r="AX569" i="13"/>
  <c r="AY569" i="13"/>
  <c r="AZ569" i="13"/>
  <c r="BA569" i="13"/>
  <c r="BB569" i="13"/>
  <c r="BC569" i="13"/>
  <c r="BD569" i="13"/>
  <c r="BE569" i="13"/>
  <c r="BF569" i="13"/>
  <c r="BG569" i="13"/>
  <c r="BH569" i="13"/>
  <c r="BI569" i="13"/>
  <c r="AQ570" i="13"/>
  <c r="AR570" i="13"/>
  <c r="AS570" i="13"/>
  <c r="AT570" i="13"/>
  <c r="AU570" i="13"/>
  <c r="AV570" i="13"/>
  <c r="AW570" i="13"/>
  <c r="AX570" i="13"/>
  <c r="AY570" i="13"/>
  <c r="AZ570" i="13"/>
  <c r="BA570" i="13"/>
  <c r="BB570" i="13"/>
  <c r="BC570" i="13"/>
  <c r="BD570" i="13"/>
  <c r="BE570" i="13"/>
  <c r="BF570" i="13"/>
  <c r="BG570" i="13"/>
  <c r="BH570" i="13"/>
  <c r="BI570" i="13"/>
  <c r="AQ571" i="13"/>
  <c r="AR571" i="13"/>
  <c r="AS571" i="13"/>
  <c r="AT571" i="13"/>
  <c r="AU571" i="13"/>
  <c r="AV571" i="13"/>
  <c r="AW571" i="13"/>
  <c r="AX571" i="13"/>
  <c r="AY571" i="13"/>
  <c r="AZ571" i="13"/>
  <c r="BA571" i="13"/>
  <c r="BB571" i="13"/>
  <c r="BC571" i="13"/>
  <c r="BD571" i="13"/>
  <c r="BE571" i="13"/>
  <c r="BF571" i="13"/>
  <c r="BG571" i="13"/>
  <c r="BH571" i="13"/>
  <c r="BI571" i="13"/>
  <c r="AQ572" i="13"/>
  <c r="AR572" i="13"/>
  <c r="AS572" i="13"/>
  <c r="AT572" i="13"/>
  <c r="AU572" i="13"/>
  <c r="AV572" i="13"/>
  <c r="AW572" i="13"/>
  <c r="AX572" i="13"/>
  <c r="AY572" i="13"/>
  <c r="AZ572" i="13"/>
  <c r="BA572" i="13"/>
  <c r="BB572" i="13"/>
  <c r="BC572" i="13"/>
  <c r="BD572" i="13"/>
  <c r="BE572" i="13"/>
  <c r="BF572" i="13"/>
  <c r="BG572" i="13"/>
  <c r="BH572" i="13"/>
  <c r="BI572" i="13"/>
  <c r="AQ573" i="13"/>
  <c r="AR573" i="13"/>
  <c r="AS573" i="13"/>
  <c r="AT573" i="13"/>
  <c r="AU573" i="13"/>
  <c r="AV573" i="13"/>
  <c r="AW573" i="13"/>
  <c r="AX573" i="13"/>
  <c r="AY573" i="13"/>
  <c r="AZ573" i="13"/>
  <c r="BA573" i="13"/>
  <c r="BB573" i="13"/>
  <c r="BC573" i="13"/>
  <c r="BD573" i="13"/>
  <c r="BE573" i="13"/>
  <c r="BF573" i="13"/>
  <c r="BG573" i="13"/>
  <c r="BH573" i="13"/>
  <c r="BI573" i="13"/>
  <c r="AQ574" i="13"/>
  <c r="AR574" i="13"/>
  <c r="AS574" i="13"/>
  <c r="AT574" i="13"/>
  <c r="AU574" i="13"/>
  <c r="AV574" i="13"/>
  <c r="AW574" i="13"/>
  <c r="AX574" i="13"/>
  <c r="AY574" i="13"/>
  <c r="AZ574" i="13"/>
  <c r="BA574" i="13"/>
  <c r="BB574" i="13"/>
  <c r="BC574" i="13"/>
  <c r="BD574" i="13"/>
  <c r="BE574" i="13"/>
  <c r="BF574" i="13"/>
  <c r="BG574" i="13"/>
  <c r="BH574" i="13"/>
  <c r="BI574" i="13"/>
  <c r="AQ575" i="13"/>
  <c r="AR575" i="13"/>
  <c r="AS575" i="13"/>
  <c r="AT575" i="13"/>
  <c r="AU575" i="13"/>
  <c r="AV575" i="13"/>
  <c r="AW575" i="13"/>
  <c r="AX575" i="13"/>
  <c r="AY575" i="13"/>
  <c r="AZ575" i="13"/>
  <c r="BA575" i="13"/>
  <c r="BB575" i="13"/>
  <c r="BC575" i="13"/>
  <c r="BD575" i="13"/>
  <c r="BE575" i="13"/>
  <c r="BF575" i="13"/>
  <c r="BG575" i="13"/>
  <c r="BH575" i="13"/>
  <c r="BI575" i="13"/>
  <c r="AQ576" i="13"/>
  <c r="AR576" i="13"/>
  <c r="AS576" i="13"/>
  <c r="AT576" i="13"/>
  <c r="AU576" i="13"/>
  <c r="AV576" i="13"/>
  <c r="AW576" i="13"/>
  <c r="AX576" i="13"/>
  <c r="AY576" i="13"/>
  <c r="AZ576" i="13"/>
  <c r="BA576" i="13"/>
  <c r="BB576" i="13"/>
  <c r="BC576" i="13"/>
  <c r="BD576" i="13"/>
  <c r="BE576" i="13"/>
  <c r="BF576" i="13"/>
  <c r="BG576" i="13"/>
  <c r="BH576" i="13"/>
  <c r="BI576" i="13"/>
  <c r="AQ577" i="13"/>
  <c r="AR577" i="13"/>
  <c r="AS577" i="13"/>
  <c r="AT577" i="13"/>
  <c r="AU577" i="13"/>
  <c r="AV577" i="13"/>
  <c r="AW577" i="13"/>
  <c r="AX577" i="13"/>
  <c r="AY577" i="13"/>
  <c r="AZ577" i="13"/>
  <c r="BA577" i="13"/>
  <c r="BB577" i="13"/>
  <c r="BC577" i="13"/>
  <c r="BD577" i="13"/>
  <c r="BE577" i="13"/>
  <c r="BF577" i="13"/>
  <c r="BG577" i="13"/>
  <c r="BH577" i="13"/>
  <c r="BI577" i="13"/>
  <c r="AQ578" i="13"/>
  <c r="AR578" i="13"/>
  <c r="AS578" i="13"/>
  <c r="AT578" i="13"/>
  <c r="AU578" i="13"/>
  <c r="AV578" i="13"/>
  <c r="AW578" i="13"/>
  <c r="AX578" i="13"/>
  <c r="AY578" i="13"/>
  <c r="AZ578" i="13"/>
  <c r="BA578" i="13"/>
  <c r="BB578" i="13"/>
  <c r="BC578" i="13"/>
  <c r="BD578" i="13"/>
  <c r="BE578" i="13"/>
  <c r="BF578" i="13"/>
  <c r="BG578" i="13"/>
  <c r="BH578" i="13"/>
  <c r="BI578" i="13"/>
  <c r="AQ579" i="13"/>
  <c r="AR579" i="13"/>
  <c r="AS579" i="13"/>
  <c r="AT579" i="13"/>
  <c r="AU579" i="13"/>
  <c r="AV579" i="13"/>
  <c r="AW579" i="13"/>
  <c r="AX579" i="13"/>
  <c r="AY579" i="13"/>
  <c r="AZ579" i="13"/>
  <c r="BA579" i="13"/>
  <c r="BB579" i="13"/>
  <c r="BC579" i="13"/>
  <c r="BD579" i="13"/>
  <c r="BE579" i="13"/>
  <c r="BF579" i="13"/>
  <c r="BG579" i="13"/>
  <c r="BH579" i="13"/>
  <c r="BI579" i="13"/>
  <c r="AQ580" i="13"/>
  <c r="AR580" i="13"/>
  <c r="AS580" i="13"/>
  <c r="AT580" i="13"/>
  <c r="AU580" i="13"/>
  <c r="AV580" i="13"/>
  <c r="AW580" i="13"/>
  <c r="AX580" i="13"/>
  <c r="AY580" i="13"/>
  <c r="AZ580" i="13"/>
  <c r="BA580" i="13"/>
  <c r="BB580" i="13"/>
  <c r="BC580" i="13"/>
  <c r="BD580" i="13"/>
  <c r="BE580" i="13"/>
  <c r="BF580" i="13"/>
  <c r="BG580" i="13"/>
  <c r="BH580" i="13"/>
  <c r="BI580" i="13"/>
  <c r="AQ581" i="13"/>
  <c r="AR581" i="13"/>
  <c r="AS581" i="13"/>
  <c r="AT581" i="13"/>
  <c r="AU581" i="13"/>
  <c r="AV581" i="13"/>
  <c r="AW581" i="13"/>
  <c r="AX581" i="13"/>
  <c r="AY581" i="13"/>
  <c r="AZ581" i="13"/>
  <c r="BA581" i="13"/>
  <c r="BB581" i="13"/>
  <c r="BC581" i="13"/>
  <c r="BD581" i="13"/>
  <c r="BE581" i="13"/>
  <c r="BF581" i="13"/>
  <c r="BG581" i="13"/>
  <c r="BH581" i="13"/>
  <c r="BI581" i="13"/>
  <c r="AQ582" i="13"/>
  <c r="AR582" i="13"/>
  <c r="AS582" i="13"/>
  <c r="AT582" i="13"/>
  <c r="AU582" i="13"/>
  <c r="AV582" i="13"/>
  <c r="AW582" i="13"/>
  <c r="AX582" i="13"/>
  <c r="AY582" i="13"/>
  <c r="AZ582" i="13"/>
  <c r="BA582" i="13"/>
  <c r="BB582" i="13"/>
  <c r="BC582" i="13"/>
  <c r="BD582" i="13"/>
  <c r="BE582" i="13"/>
  <c r="BF582" i="13"/>
  <c r="BG582" i="13"/>
  <c r="BH582" i="13"/>
  <c r="BI582" i="13"/>
  <c r="AQ583" i="13"/>
  <c r="AR583" i="13"/>
  <c r="AS583" i="13"/>
  <c r="AT583" i="13"/>
  <c r="AU583" i="13"/>
  <c r="AV583" i="13"/>
  <c r="AW583" i="13"/>
  <c r="AX583" i="13"/>
  <c r="AY583" i="13"/>
  <c r="AZ583" i="13"/>
  <c r="BA583" i="13"/>
  <c r="BB583" i="13"/>
  <c r="BC583" i="13"/>
  <c r="BD583" i="13"/>
  <c r="BE583" i="13"/>
  <c r="BF583" i="13"/>
  <c r="BG583" i="13"/>
  <c r="BH583" i="13"/>
  <c r="BI583" i="13"/>
  <c r="AQ584" i="13"/>
  <c r="AR584" i="13"/>
  <c r="AS584" i="13"/>
  <c r="AT584" i="13"/>
  <c r="AU584" i="13"/>
  <c r="AV584" i="13"/>
  <c r="AW584" i="13"/>
  <c r="AX584" i="13"/>
  <c r="AY584" i="13"/>
  <c r="AZ584" i="13"/>
  <c r="BA584" i="13"/>
  <c r="BB584" i="13"/>
  <c r="BC584" i="13"/>
  <c r="BD584" i="13"/>
  <c r="BE584" i="13"/>
  <c r="BF584" i="13"/>
  <c r="BG584" i="13"/>
  <c r="BH584" i="13"/>
  <c r="BI584" i="13"/>
  <c r="AQ585" i="13"/>
  <c r="AR585" i="13"/>
  <c r="AS585" i="13"/>
  <c r="AT585" i="13"/>
  <c r="AU585" i="13"/>
  <c r="AV585" i="13"/>
  <c r="AW585" i="13"/>
  <c r="AX585" i="13"/>
  <c r="AY585" i="13"/>
  <c r="AZ585" i="13"/>
  <c r="BA585" i="13"/>
  <c r="BB585" i="13"/>
  <c r="BC585" i="13"/>
  <c r="BD585" i="13"/>
  <c r="BE585" i="13"/>
  <c r="BF585" i="13"/>
  <c r="BG585" i="13"/>
  <c r="BH585" i="13"/>
  <c r="BI585" i="13"/>
  <c r="AQ586" i="13"/>
  <c r="AR586" i="13"/>
  <c r="AS586" i="13"/>
  <c r="AT586" i="13"/>
  <c r="AU586" i="13"/>
  <c r="AV586" i="13"/>
  <c r="AW586" i="13"/>
  <c r="AX586" i="13"/>
  <c r="AY586" i="13"/>
  <c r="AZ586" i="13"/>
  <c r="BA586" i="13"/>
  <c r="BB586" i="13"/>
  <c r="BC586" i="13"/>
  <c r="BD586" i="13"/>
  <c r="BE586" i="13"/>
  <c r="BF586" i="13"/>
  <c r="BG586" i="13"/>
  <c r="BH586" i="13"/>
  <c r="BI586" i="13"/>
  <c r="AQ587" i="13"/>
  <c r="AR587" i="13"/>
  <c r="AS587" i="13"/>
  <c r="AT587" i="13"/>
  <c r="AU587" i="13"/>
  <c r="AV587" i="13"/>
  <c r="AW587" i="13"/>
  <c r="AX587" i="13"/>
  <c r="AY587" i="13"/>
  <c r="AZ587" i="13"/>
  <c r="BA587" i="13"/>
  <c r="BB587" i="13"/>
  <c r="BC587" i="13"/>
  <c r="BD587" i="13"/>
  <c r="BE587" i="13"/>
  <c r="BF587" i="13"/>
  <c r="BG587" i="13"/>
  <c r="BH587" i="13"/>
  <c r="BI587" i="13"/>
  <c r="AQ588" i="13"/>
  <c r="AR588" i="13"/>
  <c r="AS588" i="13"/>
  <c r="AT588" i="13"/>
  <c r="AU588" i="13"/>
  <c r="AV588" i="13"/>
  <c r="AW588" i="13"/>
  <c r="AX588" i="13"/>
  <c r="AY588" i="13"/>
  <c r="AZ588" i="13"/>
  <c r="BA588" i="13"/>
  <c r="BB588" i="13"/>
  <c r="BC588" i="13"/>
  <c r="BD588" i="13"/>
  <c r="BE588" i="13"/>
  <c r="BF588" i="13"/>
  <c r="BG588" i="13"/>
  <c r="BH588" i="13"/>
  <c r="BI588" i="13"/>
  <c r="AQ589" i="13"/>
  <c r="AR589" i="13"/>
  <c r="AS589" i="13"/>
  <c r="AT589" i="13"/>
  <c r="AU589" i="13"/>
  <c r="AV589" i="13"/>
  <c r="AW589" i="13"/>
  <c r="AX589" i="13"/>
  <c r="AY589" i="13"/>
  <c r="AZ589" i="13"/>
  <c r="BA589" i="13"/>
  <c r="BB589" i="13"/>
  <c r="BC589" i="13"/>
  <c r="BD589" i="13"/>
  <c r="BE589" i="13"/>
  <c r="BF589" i="13"/>
  <c r="BG589" i="13"/>
  <c r="BH589" i="13"/>
  <c r="BI589" i="13"/>
  <c r="AQ590" i="13"/>
  <c r="AR590" i="13"/>
  <c r="AS590" i="13"/>
  <c r="AT590" i="13"/>
  <c r="AU590" i="13"/>
  <c r="AV590" i="13"/>
  <c r="AW590" i="13"/>
  <c r="AX590" i="13"/>
  <c r="AY590" i="13"/>
  <c r="AZ590" i="13"/>
  <c r="BA590" i="13"/>
  <c r="BB590" i="13"/>
  <c r="BC590" i="13"/>
  <c r="BD590" i="13"/>
  <c r="BE590" i="13"/>
  <c r="BF590" i="13"/>
  <c r="BG590" i="13"/>
  <c r="BH590" i="13"/>
  <c r="BI590" i="13"/>
  <c r="AQ591" i="13"/>
  <c r="AR591" i="13"/>
  <c r="AS591" i="13"/>
  <c r="AT591" i="13"/>
  <c r="AU591" i="13"/>
  <c r="AV591" i="13"/>
  <c r="AW591" i="13"/>
  <c r="AX591" i="13"/>
  <c r="AY591" i="13"/>
  <c r="AZ591" i="13"/>
  <c r="BA591" i="13"/>
  <c r="BB591" i="13"/>
  <c r="BC591" i="13"/>
  <c r="BD591" i="13"/>
  <c r="BE591" i="13"/>
  <c r="BF591" i="13"/>
  <c r="BG591" i="13"/>
  <c r="BH591" i="13"/>
  <c r="BI591" i="13"/>
  <c r="AQ592" i="13"/>
  <c r="AR592" i="13"/>
  <c r="AS592" i="13"/>
  <c r="AT592" i="13"/>
  <c r="AU592" i="13"/>
  <c r="AV592" i="13"/>
  <c r="AW592" i="13"/>
  <c r="AX592" i="13"/>
  <c r="AY592" i="13"/>
  <c r="AZ592" i="13"/>
  <c r="BA592" i="13"/>
  <c r="BB592" i="13"/>
  <c r="BC592" i="13"/>
  <c r="BD592" i="13"/>
  <c r="BE592" i="13"/>
  <c r="BF592" i="13"/>
  <c r="BG592" i="13"/>
  <c r="BH592" i="13"/>
  <c r="BI592" i="13"/>
  <c r="AQ593" i="13"/>
  <c r="AR593" i="13"/>
  <c r="AS593" i="13"/>
  <c r="AT593" i="13"/>
  <c r="AU593" i="13"/>
  <c r="AV593" i="13"/>
  <c r="AW593" i="13"/>
  <c r="AX593" i="13"/>
  <c r="AY593" i="13"/>
  <c r="AZ593" i="13"/>
  <c r="BA593" i="13"/>
  <c r="BB593" i="13"/>
  <c r="BC593" i="13"/>
  <c r="BD593" i="13"/>
  <c r="BE593" i="13"/>
  <c r="BF593" i="13"/>
  <c r="BG593" i="13"/>
  <c r="BH593" i="13"/>
  <c r="BI593" i="13"/>
  <c r="AQ594" i="13"/>
  <c r="AR594" i="13"/>
  <c r="AS594" i="13"/>
  <c r="AT594" i="13"/>
  <c r="AU594" i="13"/>
  <c r="AV594" i="13"/>
  <c r="AW594" i="13"/>
  <c r="AX594" i="13"/>
  <c r="AY594" i="13"/>
  <c r="AZ594" i="13"/>
  <c r="BA594" i="13"/>
  <c r="BB594" i="13"/>
  <c r="BC594" i="13"/>
  <c r="BD594" i="13"/>
  <c r="BE594" i="13"/>
  <c r="BF594" i="13"/>
  <c r="BG594" i="13"/>
  <c r="BH594" i="13"/>
  <c r="BI594" i="13"/>
  <c r="AQ595" i="13"/>
  <c r="AR595" i="13"/>
  <c r="AS595" i="13"/>
  <c r="AT595" i="13"/>
  <c r="AU595" i="13"/>
  <c r="AV595" i="13"/>
  <c r="AW595" i="13"/>
  <c r="AX595" i="13"/>
  <c r="AY595" i="13"/>
  <c r="AZ595" i="13"/>
  <c r="BA595" i="13"/>
  <c r="BB595" i="13"/>
  <c r="BC595" i="13"/>
  <c r="BD595" i="13"/>
  <c r="BE595" i="13"/>
  <c r="BF595" i="13"/>
  <c r="BG595" i="13"/>
  <c r="BH595" i="13"/>
  <c r="BI595" i="13"/>
  <c r="AQ596" i="13"/>
  <c r="AR596" i="13"/>
  <c r="AS596" i="13"/>
  <c r="AT596" i="13"/>
  <c r="AU596" i="13"/>
  <c r="AV596" i="13"/>
  <c r="AW596" i="13"/>
  <c r="AX596" i="13"/>
  <c r="AY596" i="13"/>
  <c r="AZ596" i="13"/>
  <c r="BA596" i="13"/>
  <c r="BB596" i="13"/>
  <c r="BC596" i="13"/>
  <c r="BD596" i="13"/>
  <c r="BE596" i="13"/>
  <c r="BF596" i="13"/>
  <c r="BG596" i="13"/>
  <c r="BH596" i="13"/>
  <c r="BI596" i="13"/>
  <c r="AQ597" i="13"/>
  <c r="AR597" i="13"/>
  <c r="AS597" i="13"/>
  <c r="AT597" i="13"/>
  <c r="AU597" i="13"/>
  <c r="AV597" i="13"/>
  <c r="AW597" i="13"/>
  <c r="AX597" i="13"/>
  <c r="AY597" i="13"/>
  <c r="AZ597" i="13"/>
  <c r="BA597" i="13"/>
  <c r="BB597" i="13"/>
  <c r="BC597" i="13"/>
  <c r="BD597" i="13"/>
  <c r="BE597" i="13"/>
  <c r="BF597" i="13"/>
  <c r="BG597" i="13"/>
  <c r="BH597" i="13"/>
  <c r="BI597" i="13"/>
  <c r="AQ598" i="13"/>
  <c r="AR598" i="13"/>
  <c r="AS598" i="13"/>
  <c r="AT598" i="13"/>
  <c r="AU598" i="13"/>
  <c r="AV598" i="13"/>
  <c r="AW598" i="13"/>
  <c r="AX598" i="13"/>
  <c r="AY598" i="13"/>
  <c r="AZ598" i="13"/>
  <c r="BA598" i="13"/>
  <c r="BB598" i="13"/>
  <c r="BC598" i="13"/>
  <c r="BD598" i="13"/>
  <c r="BE598" i="13"/>
  <c r="BF598" i="13"/>
  <c r="BG598" i="13"/>
  <c r="BH598" i="13"/>
  <c r="BI598" i="13"/>
  <c r="AQ599" i="13"/>
  <c r="AR599" i="13"/>
  <c r="AS599" i="13"/>
  <c r="AT599" i="13"/>
  <c r="AU599" i="13"/>
  <c r="AV599" i="13"/>
  <c r="AW599" i="13"/>
  <c r="AX599" i="13"/>
  <c r="AY599" i="13"/>
  <c r="AZ599" i="13"/>
  <c r="BA599" i="13"/>
  <c r="BB599" i="13"/>
  <c r="BC599" i="13"/>
  <c r="BD599" i="13"/>
  <c r="BE599" i="13"/>
  <c r="BF599" i="13"/>
  <c r="BG599" i="13"/>
  <c r="BH599" i="13"/>
  <c r="BI599" i="13"/>
  <c r="AQ600" i="13"/>
  <c r="AR600" i="13"/>
  <c r="AS600" i="13"/>
  <c r="AT600" i="13"/>
  <c r="AU600" i="13"/>
  <c r="AV600" i="13"/>
  <c r="AW600" i="13"/>
  <c r="AX600" i="13"/>
  <c r="AY600" i="13"/>
  <c r="AZ600" i="13"/>
  <c r="BA600" i="13"/>
  <c r="BB600" i="13"/>
  <c r="BC600" i="13"/>
  <c r="BD600" i="13"/>
  <c r="BE600" i="13"/>
  <c r="BF600" i="13"/>
  <c r="BG600" i="13"/>
  <c r="BH600" i="13"/>
  <c r="BI600" i="13"/>
  <c r="AQ601" i="13"/>
  <c r="AR601" i="13"/>
  <c r="AS601" i="13"/>
  <c r="AT601" i="13"/>
  <c r="AU601" i="13"/>
  <c r="AV601" i="13"/>
  <c r="AW601" i="13"/>
  <c r="AX601" i="13"/>
  <c r="AY601" i="13"/>
  <c r="AZ601" i="13"/>
  <c r="BA601" i="13"/>
  <c r="BB601" i="13"/>
  <c r="BC601" i="13"/>
  <c r="BD601" i="13"/>
  <c r="BE601" i="13"/>
  <c r="BF601" i="13"/>
  <c r="BG601" i="13"/>
  <c r="BH601" i="13"/>
  <c r="BI601" i="13"/>
  <c r="AQ602" i="13"/>
  <c r="AR602" i="13"/>
  <c r="AS602" i="13"/>
  <c r="AT602" i="13"/>
  <c r="AU602" i="13"/>
  <c r="AV602" i="13"/>
  <c r="AW602" i="13"/>
  <c r="AX602" i="13"/>
  <c r="AY602" i="13"/>
  <c r="AZ602" i="13"/>
  <c r="BA602" i="13"/>
  <c r="BB602" i="13"/>
  <c r="BC602" i="13"/>
  <c r="BD602" i="13"/>
  <c r="BE602" i="13"/>
  <c r="BF602" i="13"/>
  <c r="BG602" i="13"/>
  <c r="BH602" i="13"/>
  <c r="BI602" i="13"/>
  <c r="AQ603" i="13"/>
  <c r="AR603" i="13"/>
  <c r="AS603" i="13"/>
  <c r="AT603" i="13"/>
  <c r="AU603" i="13"/>
  <c r="AV603" i="13"/>
  <c r="AW603" i="13"/>
  <c r="AX603" i="13"/>
  <c r="AY603" i="13"/>
  <c r="AZ603" i="13"/>
  <c r="BA603" i="13"/>
  <c r="BB603" i="13"/>
  <c r="BC603" i="13"/>
  <c r="BD603" i="13"/>
  <c r="BE603" i="13"/>
  <c r="BF603" i="13"/>
  <c r="BG603" i="13"/>
  <c r="BH603" i="13"/>
  <c r="BI603" i="13"/>
  <c r="AQ604" i="13"/>
  <c r="AR604" i="13"/>
  <c r="AS604" i="13"/>
  <c r="AT604" i="13"/>
  <c r="AU604" i="13"/>
  <c r="AV604" i="13"/>
  <c r="AW604" i="13"/>
  <c r="AX604" i="13"/>
  <c r="AY604" i="13"/>
  <c r="AZ604" i="13"/>
  <c r="BA604" i="13"/>
  <c r="BB604" i="13"/>
  <c r="BC604" i="13"/>
  <c r="BD604" i="13"/>
  <c r="BE604" i="13"/>
  <c r="BF604" i="13"/>
  <c r="BG604" i="13"/>
  <c r="BH604" i="13"/>
  <c r="BI604" i="13"/>
  <c r="AQ605" i="13"/>
  <c r="AR605" i="13"/>
  <c r="AS605" i="13"/>
  <c r="AT605" i="13"/>
  <c r="AU605" i="13"/>
  <c r="AV605" i="13"/>
  <c r="AW605" i="13"/>
  <c r="AX605" i="13"/>
  <c r="AY605" i="13"/>
  <c r="AZ605" i="13"/>
  <c r="BA605" i="13"/>
  <c r="BB605" i="13"/>
  <c r="BC605" i="13"/>
  <c r="BD605" i="13"/>
  <c r="BE605" i="13"/>
  <c r="BF605" i="13"/>
  <c r="BG605" i="13"/>
  <c r="BH605" i="13"/>
  <c r="BI605" i="13"/>
  <c r="AQ606" i="13"/>
  <c r="AR606" i="13"/>
  <c r="AS606" i="13"/>
  <c r="AT606" i="13"/>
  <c r="AU606" i="13"/>
  <c r="AV606" i="13"/>
  <c r="AW606" i="13"/>
  <c r="AX606" i="13"/>
  <c r="AY606" i="13"/>
  <c r="AZ606" i="13"/>
  <c r="BA606" i="13"/>
  <c r="BB606" i="13"/>
  <c r="BC606" i="13"/>
  <c r="BD606" i="13"/>
  <c r="BE606" i="13"/>
  <c r="BF606" i="13"/>
  <c r="BG606" i="13"/>
  <c r="BH606" i="13"/>
  <c r="BI606" i="13"/>
  <c r="AQ607" i="13"/>
  <c r="AR607" i="13"/>
  <c r="AS607" i="13"/>
  <c r="AT607" i="13"/>
  <c r="AU607" i="13"/>
  <c r="AV607" i="13"/>
  <c r="AW607" i="13"/>
  <c r="AX607" i="13"/>
  <c r="AY607" i="13"/>
  <c r="AZ607" i="13"/>
  <c r="BA607" i="13"/>
  <c r="BB607" i="13"/>
  <c r="BC607" i="13"/>
  <c r="BD607" i="13"/>
  <c r="BE607" i="13"/>
  <c r="BF607" i="13"/>
  <c r="BG607" i="13"/>
  <c r="BH607" i="13"/>
  <c r="BI607" i="13"/>
  <c r="AQ608" i="13"/>
  <c r="AR608" i="13"/>
  <c r="AS608" i="13"/>
  <c r="AT608" i="13"/>
  <c r="AU608" i="13"/>
  <c r="AV608" i="13"/>
  <c r="AW608" i="13"/>
  <c r="AX608" i="13"/>
  <c r="AY608" i="13"/>
  <c r="AZ608" i="13"/>
  <c r="BA608" i="13"/>
  <c r="BB608" i="13"/>
  <c r="BC608" i="13"/>
  <c r="BD608" i="13"/>
  <c r="BE608" i="13"/>
  <c r="BF608" i="13"/>
  <c r="BG608" i="13"/>
  <c r="BH608" i="13"/>
  <c r="BI608" i="13"/>
  <c r="AQ609" i="13"/>
  <c r="AR609" i="13"/>
  <c r="AS609" i="13"/>
  <c r="AT609" i="13"/>
  <c r="AU609" i="13"/>
  <c r="AV609" i="13"/>
  <c r="AW609" i="13"/>
  <c r="AX609" i="13"/>
  <c r="AY609" i="13"/>
  <c r="AZ609" i="13"/>
  <c r="BA609" i="13"/>
  <c r="BB609" i="13"/>
  <c r="BC609" i="13"/>
  <c r="BD609" i="13"/>
  <c r="BE609" i="13"/>
  <c r="BF609" i="13"/>
  <c r="BG609" i="13"/>
  <c r="BH609" i="13"/>
  <c r="BI609" i="13"/>
  <c r="AQ610" i="13"/>
  <c r="AR610" i="13"/>
  <c r="AS610" i="13"/>
  <c r="AT610" i="13"/>
  <c r="AU610" i="13"/>
  <c r="AV610" i="13"/>
  <c r="AW610" i="13"/>
  <c r="AX610" i="13"/>
  <c r="AY610" i="13"/>
  <c r="AZ610" i="13"/>
  <c r="BA610" i="13"/>
  <c r="BB610" i="13"/>
  <c r="BC610" i="13"/>
  <c r="BD610" i="13"/>
  <c r="BE610" i="13"/>
  <c r="BF610" i="13"/>
  <c r="BG610" i="13"/>
  <c r="BH610" i="13"/>
  <c r="BI610" i="13"/>
  <c r="AQ611" i="13"/>
  <c r="AR611" i="13"/>
  <c r="AS611" i="13"/>
  <c r="AT611" i="13"/>
  <c r="AU611" i="13"/>
  <c r="AV611" i="13"/>
  <c r="AW611" i="13"/>
  <c r="AX611" i="13"/>
  <c r="AY611" i="13"/>
  <c r="AZ611" i="13"/>
  <c r="BA611" i="13"/>
  <c r="BB611" i="13"/>
  <c r="BC611" i="13"/>
  <c r="BD611" i="13"/>
  <c r="BE611" i="13"/>
  <c r="BF611" i="13"/>
  <c r="BG611" i="13"/>
  <c r="BH611" i="13"/>
  <c r="BI611" i="13"/>
  <c r="AQ612" i="13"/>
  <c r="AR612" i="13"/>
  <c r="AS612" i="13"/>
  <c r="AT612" i="13"/>
  <c r="AU612" i="13"/>
  <c r="AV612" i="13"/>
  <c r="AW612" i="13"/>
  <c r="AX612" i="13"/>
  <c r="AY612" i="13"/>
  <c r="AZ612" i="13"/>
  <c r="BA612" i="13"/>
  <c r="BB612" i="13"/>
  <c r="BC612" i="13"/>
  <c r="BD612" i="13"/>
  <c r="BE612" i="13"/>
  <c r="BF612" i="13"/>
  <c r="BG612" i="13"/>
  <c r="BH612" i="13"/>
  <c r="BI612" i="13"/>
  <c r="AQ613" i="13"/>
  <c r="AR613" i="13"/>
  <c r="AS613" i="13"/>
  <c r="AT613" i="13"/>
  <c r="AU613" i="13"/>
  <c r="AV613" i="13"/>
  <c r="AW613" i="13"/>
  <c r="AX613" i="13"/>
  <c r="AY613" i="13"/>
  <c r="AZ613" i="13"/>
  <c r="BA613" i="13"/>
  <c r="BB613" i="13"/>
  <c r="BC613" i="13"/>
  <c r="BD613" i="13"/>
  <c r="BE613" i="13"/>
  <c r="BF613" i="13"/>
  <c r="BG613" i="13"/>
  <c r="BH613" i="13"/>
  <c r="BI613" i="13"/>
  <c r="AQ614" i="13"/>
  <c r="AR614" i="13"/>
  <c r="AS614" i="13"/>
  <c r="AT614" i="13"/>
  <c r="AU614" i="13"/>
  <c r="AV614" i="13"/>
  <c r="AW614" i="13"/>
  <c r="AX614" i="13"/>
  <c r="AY614" i="13"/>
  <c r="AZ614" i="13"/>
  <c r="BA614" i="13"/>
  <c r="BB614" i="13"/>
  <c r="BC614" i="13"/>
  <c r="BD614" i="13"/>
  <c r="BE614" i="13"/>
  <c r="BF614" i="13"/>
  <c r="BG614" i="13"/>
  <c r="BH614" i="13"/>
  <c r="BI614" i="13"/>
  <c r="AQ615" i="13"/>
  <c r="AR615" i="13"/>
  <c r="AS615" i="13"/>
  <c r="AT615" i="13"/>
  <c r="AU615" i="13"/>
  <c r="AV615" i="13"/>
  <c r="AW615" i="13"/>
  <c r="AX615" i="13"/>
  <c r="AY615" i="13"/>
  <c r="AZ615" i="13"/>
  <c r="BA615" i="13"/>
  <c r="BB615" i="13"/>
  <c r="BC615" i="13"/>
  <c r="BD615" i="13"/>
  <c r="BE615" i="13"/>
  <c r="BF615" i="13"/>
  <c r="BG615" i="13"/>
  <c r="BH615" i="13"/>
  <c r="BI615" i="13"/>
  <c r="AQ616" i="13"/>
  <c r="AR616" i="13"/>
  <c r="AS616" i="13"/>
  <c r="AT616" i="13"/>
  <c r="AU616" i="13"/>
  <c r="AV616" i="13"/>
  <c r="AW616" i="13"/>
  <c r="AX616" i="13"/>
  <c r="AY616" i="13"/>
  <c r="AZ616" i="13"/>
  <c r="BA616" i="13"/>
  <c r="BB616" i="13"/>
  <c r="BC616" i="13"/>
  <c r="BD616" i="13"/>
  <c r="BE616" i="13"/>
  <c r="BF616" i="13"/>
  <c r="BG616" i="13"/>
  <c r="BH616" i="13"/>
  <c r="BI616" i="13"/>
  <c r="AQ617" i="13"/>
  <c r="AR617" i="13"/>
  <c r="AS617" i="13"/>
  <c r="AT617" i="13"/>
  <c r="AU617" i="13"/>
  <c r="AV617" i="13"/>
  <c r="AW617" i="13"/>
  <c r="AX617" i="13"/>
  <c r="AY617" i="13"/>
  <c r="AZ617" i="13"/>
  <c r="BA617" i="13"/>
  <c r="BB617" i="13"/>
  <c r="BC617" i="13"/>
  <c r="BD617" i="13"/>
  <c r="BE617" i="13"/>
  <c r="BF617" i="13"/>
  <c r="BG617" i="13"/>
  <c r="BH617" i="13"/>
  <c r="BI617" i="13"/>
  <c r="AQ618" i="13"/>
  <c r="AR618" i="13"/>
  <c r="AS618" i="13"/>
  <c r="AT618" i="13"/>
  <c r="AU618" i="13"/>
  <c r="AV618" i="13"/>
  <c r="AW618" i="13"/>
  <c r="AX618" i="13"/>
  <c r="AY618" i="13"/>
  <c r="AZ618" i="13"/>
  <c r="BA618" i="13"/>
  <c r="BB618" i="13"/>
  <c r="BC618" i="13"/>
  <c r="BD618" i="13"/>
  <c r="BE618" i="13"/>
  <c r="BF618" i="13"/>
  <c r="BG618" i="13"/>
  <c r="BH618" i="13"/>
  <c r="BI618" i="13"/>
  <c r="AQ619" i="13"/>
  <c r="AR619" i="13"/>
  <c r="AS619" i="13"/>
  <c r="AT619" i="13"/>
  <c r="AU619" i="13"/>
  <c r="AV619" i="13"/>
  <c r="AW619" i="13"/>
  <c r="AX619" i="13"/>
  <c r="AY619" i="13"/>
  <c r="AZ619" i="13"/>
  <c r="BA619" i="13"/>
  <c r="BB619" i="13"/>
  <c r="BC619" i="13"/>
  <c r="BD619" i="13"/>
  <c r="BE619" i="13"/>
  <c r="BF619" i="13"/>
  <c r="BG619" i="13"/>
  <c r="BH619" i="13"/>
  <c r="BI619" i="13"/>
  <c r="AQ620" i="13"/>
  <c r="AR620" i="13"/>
  <c r="AS620" i="13"/>
  <c r="AT620" i="13"/>
  <c r="AU620" i="13"/>
  <c r="AV620" i="13"/>
  <c r="AW620" i="13"/>
  <c r="AX620" i="13"/>
  <c r="AY620" i="13"/>
  <c r="AZ620" i="13"/>
  <c r="BA620" i="13"/>
  <c r="BB620" i="13"/>
  <c r="BC620" i="13"/>
  <c r="BD620" i="13"/>
  <c r="BE620" i="13"/>
  <c r="BF620" i="13"/>
  <c r="BG620" i="13"/>
  <c r="BH620" i="13"/>
  <c r="BI620" i="13"/>
  <c r="AQ621" i="13"/>
  <c r="AR621" i="13"/>
  <c r="AS621" i="13"/>
  <c r="AT621" i="13"/>
  <c r="AU621" i="13"/>
  <c r="AV621" i="13"/>
  <c r="AW621" i="13"/>
  <c r="AX621" i="13"/>
  <c r="AY621" i="13"/>
  <c r="AZ621" i="13"/>
  <c r="BA621" i="13"/>
  <c r="BB621" i="13"/>
  <c r="BC621" i="13"/>
  <c r="BD621" i="13"/>
  <c r="BE621" i="13"/>
  <c r="BF621" i="13"/>
  <c r="BG621" i="13"/>
  <c r="BH621" i="13"/>
  <c r="BI621" i="13"/>
  <c r="AQ622" i="13"/>
  <c r="AR622" i="13"/>
  <c r="AS622" i="13"/>
  <c r="AT622" i="13"/>
  <c r="AU622" i="13"/>
  <c r="AV622" i="13"/>
  <c r="AW622" i="13"/>
  <c r="AX622" i="13"/>
  <c r="AY622" i="13"/>
  <c r="AZ622" i="13"/>
  <c r="BA622" i="13"/>
  <c r="BB622" i="13"/>
  <c r="BC622" i="13"/>
  <c r="BD622" i="13"/>
  <c r="BE622" i="13"/>
  <c r="BF622" i="13"/>
  <c r="BG622" i="13"/>
  <c r="BH622" i="13"/>
  <c r="BI622" i="13"/>
  <c r="AQ623" i="13"/>
  <c r="AR623" i="13"/>
  <c r="AS623" i="13"/>
  <c r="AT623" i="13"/>
  <c r="AU623" i="13"/>
  <c r="AV623" i="13"/>
  <c r="AW623" i="13"/>
  <c r="AX623" i="13"/>
  <c r="AY623" i="13"/>
  <c r="AZ623" i="13"/>
  <c r="BA623" i="13"/>
  <c r="BB623" i="13"/>
  <c r="BC623" i="13"/>
  <c r="BD623" i="13"/>
  <c r="BE623" i="13"/>
  <c r="BF623" i="13"/>
  <c r="BG623" i="13"/>
  <c r="BH623" i="13"/>
  <c r="BI623" i="13"/>
  <c r="AQ624" i="13"/>
  <c r="AR624" i="13"/>
  <c r="AS624" i="13"/>
  <c r="AT624" i="13"/>
  <c r="AU624" i="13"/>
  <c r="AV624" i="13"/>
  <c r="AW624" i="13"/>
  <c r="AX624" i="13"/>
  <c r="AY624" i="13"/>
  <c r="AZ624" i="13"/>
  <c r="BA624" i="13"/>
  <c r="BB624" i="13"/>
  <c r="BC624" i="13"/>
  <c r="BD624" i="13"/>
  <c r="BE624" i="13"/>
  <c r="BF624" i="13"/>
  <c r="BG624" i="13"/>
  <c r="BH624" i="13"/>
  <c r="BI624" i="13"/>
  <c r="AQ625" i="13"/>
  <c r="AR625" i="13"/>
  <c r="AS625" i="13"/>
  <c r="AT625" i="13"/>
  <c r="AU625" i="13"/>
  <c r="AV625" i="13"/>
  <c r="AW625" i="13"/>
  <c r="AX625" i="13"/>
  <c r="AY625" i="13"/>
  <c r="AZ625" i="13"/>
  <c r="BA625" i="13"/>
  <c r="BB625" i="13"/>
  <c r="BC625" i="13"/>
  <c r="BD625" i="13"/>
  <c r="BE625" i="13"/>
  <c r="BF625" i="13"/>
  <c r="BG625" i="13"/>
  <c r="BH625" i="13"/>
  <c r="BI625" i="13"/>
  <c r="AQ626" i="13"/>
  <c r="AR626" i="13"/>
  <c r="AS626" i="13"/>
  <c r="AT626" i="13"/>
  <c r="AU626" i="13"/>
  <c r="AV626" i="13"/>
  <c r="AW626" i="13"/>
  <c r="AX626" i="13"/>
  <c r="AY626" i="13"/>
  <c r="AZ626" i="13"/>
  <c r="BA626" i="13"/>
  <c r="BB626" i="13"/>
  <c r="BC626" i="13"/>
  <c r="BD626" i="13"/>
  <c r="BE626" i="13"/>
  <c r="BF626" i="13"/>
  <c r="BG626" i="13"/>
  <c r="BH626" i="13"/>
  <c r="BI626" i="13"/>
  <c r="AQ627" i="13"/>
  <c r="AR627" i="13"/>
  <c r="AS627" i="13"/>
  <c r="AT627" i="13"/>
  <c r="AU627" i="13"/>
  <c r="AV627" i="13"/>
  <c r="AW627" i="13"/>
  <c r="AX627" i="13"/>
  <c r="AY627" i="13"/>
  <c r="AZ627" i="13"/>
  <c r="BA627" i="13"/>
  <c r="BB627" i="13"/>
  <c r="BC627" i="13"/>
  <c r="BD627" i="13"/>
  <c r="BE627" i="13"/>
  <c r="BF627" i="13"/>
  <c r="BG627" i="13"/>
  <c r="BH627" i="13"/>
  <c r="BI627" i="13"/>
  <c r="AQ628" i="13"/>
  <c r="AR628" i="13"/>
  <c r="AS628" i="13"/>
  <c r="AT628" i="13"/>
  <c r="AU628" i="13"/>
  <c r="AV628" i="13"/>
  <c r="AW628" i="13"/>
  <c r="AX628" i="13"/>
  <c r="AY628" i="13"/>
  <c r="AZ628" i="13"/>
  <c r="BA628" i="13"/>
  <c r="BB628" i="13"/>
  <c r="BC628" i="13"/>
  <c r="BD628" i="13"/>
  <c r="BE628" i="13"/>
  <c r="BF628" i="13"/>
  <c r="BG628" i="13"/>
  <c r="BH628" i="13"/>
  <c r="BI628" i="13"/>
  <c r="AQ629" i="13"/>
  <c r="AR629" i="13"/>
  <c r="AS629" i="13"/>
  <c r="AT629" i="13"/>
  <c r="AU629" i="13"/>
  <c r="AV629" i="13"/>
  <c r="AW629" i="13"/>
  <c r="AX629" i="13"/>
  <c r="AY629" i="13"/>
  <c r="AZ629" i="13"/>
  <c r="BA629" i="13"/>
  <c r="BB629" i="13"/>
  <c r="BC629" i="13"/>
  <c r="BD629" i="13"/>
  <c r="BE629" i="13"/>
  <c r="BF629" i="13"/>
  <c r="BG629" i="13"/>
  <c r="BH629" i="13"/>
  <c r="BI629" i="13"/>
  <c r="AQ630" i="13"/>
  <c r="AR630" i="13"/>
  <c r="AS630" i="13"/>
  <c r="AT630" i="13"/>
  <c r="AU630" i="13"/>
  <c r="AV630" i="13"/>
  <c r="AW630" i="13"/>
  <c r="AX630" i="13"/>
  <c r="AY630" i="13"/>
  <c r="AZ630" i="13"/>
  <c r="BA630" i="13"/>
  <c r="BB630" i="13"/>
  <c r="BC630" i="13"/>
  <c r="BD630" i="13"/>
  <c r="BE630" i="13"/>
  <c r="BF630" i="13"/>
  <c r="BG630" i="13"/>
  <c r="BH630" i="13"/>
  <c r="BI630" i="13"/>
  <c r="AQ631" i="13"/>
  <c r="AR631" i="13"/>
  <c r="AS631" i="13"/>
  <c r="AT631" i="13"/>
  <c r="AU631" i="13"/>
  <c r="AV631" i="13"/>
  <c r="AW631" i="13"/>
  <c r="AX631" i="13"/>
  <c r="AY631" i="13"/>
  <c r="AZ631" i="13"/>
  <c r="BA631" i="13"/>
  <c r="BB631" i="13"/>
  <c r="BC631" i="13"/>
  <c r="BD631" i="13"/>
  <c r="BE631" i="13"/>
  <c r="BF631" i="13"/>
  <c r="BG631" i="13"/>
  <c r="BH631" i="13"/>
  <c r="BI631" i="13"/>
  <c r="AQ632" i="13"/>
  <c r="AR632" i="13"/>
  <c r="AS632" i="13"/>
  <c r="AT632" i="13"/>
  <c r="AU632" i="13"/>
  <c r="AV632" i="13"/>
  <c r="AW632" i="13"/>
  <c r="AX632" i="13"/>
  <c r="AY632" i="13"/>
  <c r="AZ632" i="13"/>
  <c r="BA632" i="13"/>
  <c r="BB632" i="13"/>
  <c r="BC632" i="13"/>
  <c r="BD632" i="13"/>
  <c r="BE632" i="13"/>
  <c r="BF632" i="13"/>
  <c r="BG632" i="13"/>
  <c r="BH632" i="13"/>
  <c r="BI632" i="13"/>
  <c r="AQ633" i="13"/>
  <c r="AR633" i="13"/>
  <c r="AS633" i="13"/>
  <c r="AT633" i="13"/>
  <c r="AU633" i="13"/>
  <c r="AV633" i="13"/>
  <c r="AW633" i="13"/>
  <c r="AX633" i="13"/>
  <c r="AY633" i="13"/>
  <c r="AZ633" i="13"/>
  <c r="BA633" i="13"/>
  <c r="BB633" i="13"/>
  <c r="BC633" i="13"/>
  <c r="BD633" i="13"/>
  <c r="BE633" i="13"/>
  <c r="BF633" i="13"/>
  <c r="BG633" i="13"/>
  <c r="BH633" i="13"/>
  <c r="BI633" i="13"/>
  <c r="AQ634" i="13"/>
  <c r="AR634" i="13"/>
  <c r="AS634" i="13"/>
  <c r="AT634" i="13"/>
  <c r="AU634" i="13"/>
  <c r="AV634" i="13"/>
  <c r="AW634" i="13"/>
  <c r="AX634" i="13"/>
  <c r="AY634" i="13"/>
  <c r="AZ634" i="13"/>
  <c r="BA634" i="13"/>
  <c r="BB634" i="13"/>
  <c r="BC634" i="13"/>
  <c r="BD634" i="13"/>
  <c r="BE634" i="13"/>
  <c r="BF634" i="13"/>
  <c r="BG634" i="13"/>
  <c r="BH634" i="13"/>
  <c r="BI634" i="13"/>
  <c r="AQ635" i="13"/>
  <c r="AR635" i="13"/>
  <c r="AS635" i="13"/>
  <c r="AT635" i="13"/>
  <c r="AU635" i="13"/>
  <c r="AV635" i="13"/>
  <c r="AW635" i="13"/>
  <c r="AX635" i="13"/>
  <c r="AY635" i="13"/>
  <c r="AZ635" i="13"/>
  <c r="BA635" i="13"/>
  <c r="BB635" i="13"/>
  <c r="BC635" i="13"/>
  <c r="BD635" i="13"/>
  <c r="BE635" i="13"/>
  <c r="BF635" i="13"/>
  <c r="BG635" i="13"/>
  <c r="BH635" i="13"/>
  <c r="BI635" i="13"/>
  <c r="AQ636" i="13"/>
  <c r="AR636" i="13"/>
  <c r="AS636" i="13"/>
  <c r="AT636" i="13"/>
  <c r="AU636" i="13"/>
  <c r="AV636" i="13"/>
  <c r="AW636" i="13"/>
  <c r="AX636" i="13"/>
  <c r="AY636" i="13"/>
  <c r="AZ636" i="13"/>
  <c r="BA636" i="13"/>
  <c r="BB636" i="13"/>
  <c r="BC636" i="13"/>
  <c r="BD636" i="13"/>
  <c r="BE636" i="13"/>
  <c r="BF636" i="13"/>
  <c r="BG636" i="13"/>
  <c r="BH636" i="13"/>
  <c r="BI636" i="13"/>
  <c r="AQ637" i="13"/>
  <c r="AR637" i="13"/>
  <c r="AS637" i="13"/>
  <c r="AT637" i="13"/>
  <c r="AU637" i="13"/>
  <c r="AV637" i="13"/>
  <c r="AW637" i="13"/>
  <c r="AX637" i="13"/>
  <c r="AY637" i="13"/>
  <c r="AZ637" i="13"/>
  <c r="BA637" i="13"/>
  <c r="BB637" i="13"/>
  <c r="BC637" i="13"/>
  <c r="BD637" i="13"/>
  <c r="BE637" i="13"/>
  <c r="BF637" i="13"/>
  <c r="BG637" i="13"/>
  <c r="BH637" i="13"/>
  <c r="BI637" i="13"/>
  <c r="AQ638" i="13"/>
  <c r="AR638" i="13"/>
  <c r="AS638" i="13"/>
  <c r="AT638" i="13"/>
  <c r="AU638" i="13"/>
  <c r="AV638" i="13"/>
  <c r="AW638" i="13"/>
  <c r="AX638" i="13"/>
  <c r="AY638" i="13"/>
  <c r="AZ638" i="13"/>
  <c r="BA638" i="13"/>
  <c r="BB638" i="13"/>
  <c r="BC638" i="13"/>
  <c r="BD638" i="13"/>
  <c r="BE638" i="13"/>
  <c r="BF638" i="13"/>
  <c r="BG638" i="13"/>
  <c r="BH638" i="13"/>
  <c r="BI638" i="13"/>
  <c r="AQ639" i="13"/>
  <c r="AR639" i="13"/>
  <c r="AS639" i="13"/>
  <c r="AT639" i="13"/>
  <c r="AU639" i="13"/>
  <c r="AV639" i="13"/>
  <c r="AW639" i="13"/>
  <c r="AX639" i="13"/>
  <c r="AY639" i="13"/>
  <c r="AZ639" i="13"/>
  <c r="BA639" i="13"/>
  <c r="BB639" i="13"/>
  <c r="BC639" i="13"/>
  <c r="BD639" i="13"/>
  <c r="BE639" i="13"/>
  <c r="BF639" i="13"/>
  <c r="BG639" i="13"/>
  <c r="BH639" i="13"/>
  <c r="BI639" i="13"/>
  <c r="AQ640" i="13"/>
  <c r="AR640" i="13"/>
  <c r="AS640" i="13"/>
  <c r="AT640" i="13"/>
  <c r="AU640" i="13"/>
  <c r="AV640" i="13"/>
  <c r="AW640" i="13"/>
  <c r="AX640" i="13"/>
  <c r="AY640" i="13"/>
  <c r="AZ640" i="13"/>
  <c r="BA640" i="13"/>
  <c r="BB640" i="13"/>
  <c r="BC640" i="13"/>
  <c r="BD640" i="13"/>
  <c r="BE640" i="13"/>
  <c r="BF640" i="13"/>
  <c r="BG640" i="13"/>
  <c r="BH640" i="13"/>
  <c r="BI640" i="13"/>
  <c r="AQ641" i="13"/>
  <c r="AR641" i="13"/>
  <c r="AS641" i="13"/>
  <c r="AT641" i="13"/>
  <c r="AU641" i="13"/>
  <c r="AV641" i="13"/>
  <c r="AW641" i="13"/>
  <c r="AX641" i="13"/>
  <c r="AY641" i="13"/>
  <c r="AZ641" i="13"/>
  <c r="BA641" i="13"/>
  <c r="BB641" i="13"/>
  <c r="BC641" i="13"/>
  <c r="BD641" i="13"/>
  <c r="BE641" i="13"/>
  <c r="BF641" i="13"/>
  <c r="BG641" i="13"/>
  <c r="BH641" i="13"/>
  <c r="BI641" i="13"/>
  <c r="AQ642" i="13"/>
  <c r="AR642" i="13"/>
  <c r="AS642" i="13"/>
  <c r="AT642" i="13"/>
  <c r="AU642" i="13"/>
  <c r="AV642" i="13"/>
  <c r="AW642" i="13"/>
  <c r="AX642" i="13"/>
  <c r="AY642" i="13"/>
  <c r="AZ642" i="13"/>
  <c r="BA642" i="13"/>
  <c r="BB642" i="13"/>
  <c r="BC642" i="13"/>
  <c r="BD642" i="13"/>
  <c r="BE642" i="13"/>
  <c r="BF642" i="13"/>
  <c r="BG642" i="13"/>
  <c r="BH642" i="13"/>
  <c r="BI642" i="13"/>
  <c r="AQ643" i="13"/>
  <c r="AR643" i="13"/>
  <c r="AS643" i="13"/>
  <c r="AT643" i="13"/>
  <c r="AU643" i="13"/>
  <c r="AV643" i="13"/>
  <c r="AW643" i="13"/>
  <c r="AX643" i="13"/>
  <c r="AY643" i="13"/>
  <c r="AZ643" i="13"/>
  <c r="BA643" i="13"/>
  <c r="BB643" i="13"/>
  <c r="BC643" i="13"/>
  <c r="BD643" i="13"/>
  <c r="BE643" i="13"/>
  <c r="BF643" i="13"/>
  <c r="BG643" i="13"/>
  <c r="BH643" i="13"/>
  <c r="BI643" i="13"/>
  <c r="AQ644" i="13"/>
  <c r="AR644" i="13"/>
  <c r="AS644" i="13"/>
  <c r="AT644" i="13"/>
  <c r="AU644" i="13"/>
  <c r="AV644" i="13"/>
  <c r="AW644" i="13"/>
  <c r="AX644" i="13"/>
  <c r="AY644" i="13"/>
  <c r="AZ644" i="13"/>
  <c r="BA644" i="13"/>
  <c r="BB644" i="13"/>
  <c r="BC644" i="13"/>
  <c r="BD644" i="13"/>
  <c r="BE644" i="13"/>
  <c r="BF644" i="13"/>
  <c r="BG644" i="13"/>
  <c r="BH644" i="13"/>
  <c r="BI644" i="13"/>
  <c r="AQ645" i="13"/>
  <c r="AR645" i="13"/>
  <c r="AS645" i="13"/>
  <c r="AT645" i="13"/>
  <c r="AU645" i="13"/>
  <c r="AV645" i="13"/>
  <c r="AW645" i="13"/>
  <c r="AX645" i="13"/>
  <c r="AY645" i="13"/>
  <c r="AZ645" i="13"/>
  <c r="BA645" i="13"/>
  <c r="BB645" i="13"/>
  <c r="BC645" i="13"/>
  <c r="BD645" i="13"/>
  <c r="BE645" i="13"/>
  <c r="BF645" i="13"/>
  <c r="BG645" i="13"/>
  <c r="BH645" i="13"/>
  <c r="BI645" i="13"/>
  <c r="AQ646" i="13"/>
  <c r="AR646" i="13"/>
  <c r="AS646" i="13"/>
  <c r="AT646" i="13"/>
  <c r="AU646" i="13"/>
  <c r="AV646" i="13"/>
  <c r="AW646" i="13"/>
  <c r="AX646" i="13"/>
  <c r="AY646" i="13"/>
  <c r="AZ646" i="13"/>
  <c r="BA646" i="13"/>
  <c r="BB646" i="13"/>
  <c r="BC646" i="13"/>
  <c r="BD646" i="13"/>
  <c r="BE646" i="13"/>
  <c r="BF646" i="13"/>
  <c r="BG646" i="13"/>
  <c r="BH646" i="13"/>
  <c r="BI646" i="13"/>
  <c r="AQ647" i="13"/>
  <c r="AR647" i="13"/>
  <c r="AS647" i="13"/>
  <c r="AT647" i="13"/>
  <c r="AU647" i="13"/>
  <c r="AV647" i="13"/>
  <c r="AW647" i="13"/>
  <c r="AX647" i="13"/>
  <c r="AY647" i="13"/>
  <c r="AZ647" i="13"/>
  <c r="BA647" i="13"/>
  <c r="BB647" i="13"/>
  <c r="BC647" i="13"/>
  <c r="BD647" i="13"/>
  <c r="BE647" i="13"/>
  <c r="BF647" i="13"/>
  <c r="BG647" i="13"/>
  <c r="BH647" i="13"/>
  <c r="BI647" i="13"/>
  <c r="AQ648" i="13"/>
  <c r="AR648" i="13"/>
  <c r="AS648" i="13"/>
  <c r="AT648" i="13"/>
  <c r="AU648" i="13"/>
  <c r="AV648" i="13"/>
  <c r="AW648" i="13"/>
  <c r="AX648" i="13"/>
  <c r="AY648" i="13"/>
  <c r="AZ648" i="13"/>
  <c r="BA648" i="13"/>
  <c r="BB648" i="13"/>
  <c r="BC648" i="13"/>
  <c r="BD648" i="13"/>
  <c r="BE648" i="13"/>
  <c r="BF648" i="13"/>
  <c r="BG648" i="13"/>
  <c r="BH648" i="13"/>
  <c r="BI648" i="13"/>
  <c r="AQ649" i="13"/>
  <c r="AR649" i="13"/>
  <c r="AS649" i="13"/>
  <c r="AT649" i="13"/>
  <c r="AU649" i="13"/>
  <c r="AV649" i="13"/>
  <c r="AW649" i="13"/>
  <c r="AX649" i="13"/>
  <c r="AY649" i="13"/>
  <c r="AZ649" i="13"/>
  <c r="BA649" i="13"/>
  <c r="BB649" i="13"/>
  <c r="BC649" i="13"/>
  <c r="BD649" i="13"/>
  <c r="BE649" i="13"/>
  <c r="BF649" i="13"/>
  <c r="BG649" i="13"/>
  <c r="BH649" i="13"/>
  <c r="BI649" i="13"/>
  <c r="AQ650" i="13"/>
  <c r="AR650" i="13"/>
  <c r="AS650" i="13"/>
  <c r="AT650" i="13"/>
  <c r="AU650" i="13"/>
  <c r="AV650" i="13"/>
  <c r="AW650" i="13"/>
  <c r="AX650" i="13"/>
  <c r="AY650" i="13"/>
  <c r="AZ650" i="13"/>
  <c r="BA650" i="13"/>
  <c r="BB650" i="13"/>
  <c r="BC650" i="13"/>
  <c r="BD650" i="13"/>
  <c r="BE650" i="13"/>
  <c r="BF650" i="13"/>
  <c r="BG650" i="13"/>
  <c r="BH650" i="13"/>
  <c r="BI650" i="13"/>
  <c r="AQ651" i="13"/>
  <c r="AR651" i="13"/>
  <c r="AS651" i="13"/>
  <c r="AT651" i="13"/>
  <c r="AU651" i="13"/>
  <c r="AV651" i="13"/>
  <c r="AW651" i="13"/>
  <c r="AX651" i="13"/>
  <c r="AY651" i="13"/>
  <c r="AZ651" i="13"/>
  <c r="BA651" i="13"/>
  <c r="BB651" i="13"/>
  <c r="BC651" i="13"/>
  <c r="BD651" i="13"/>
  <c r="BE651" i="13"/>
  <c r="BF651" i="13"/>
  <c r="BG651" i="13"/>
  <c r="BH651" i="13"/>
  <c r="BI651" i="13"/>
  <c r="AQ652" i="13"/>
  <c r="AR652" i="13"/>
  <c r="AS652" i="13"/>
  <c r="AT652" i="13"/>
  <c r="AU652" i="13"/>
  <c r="AV652" i="13"/>
  <c r="AW652" i="13"/>
  <c r="AX652" i="13"/>
  <c r="AY652" i="13"/>
  <c r="AZ652" i="13"/>
  <c r="BA652" i="13"/>
  <c r="BB652" i="13"/>
  <c r="BC652" i="13"/>
  <c r="BD652" i="13"/>
  <c r="BE652" i="13"/>
  <c r="BF652" i="13"/>
  <c r="BG652" i="13"/>
  <c r="BH652" i="13"/>
  <c r="BI652" i="13"/>
  <c r="AQ653" i="13"/>
  <c r="AR653" i="13"/>
  <c r="AS653" i="13"/>
  <c r="AT653" i="13"/>
  <c r="AU653" i="13"/>
  <c r="AV653" i="13"/>
  <c r="AW653" i="13"/>
  <c r="AX653" i="13"/>
  <c r="AY653" i="13"/>
  <c r="AZ653" i="13"/>
  <c r="BA653" i="13"/>
  <c r="BB653" i="13"/>
  <c r="BC653" i="13"/>
  <c r="BD653" i="13"/>
  <c r="BE653" i="13"/>
  <c r="BF653" i="13"/>
  <c r="BG653" i="13"/>
  <c r="BH653" i="13"/>
  <c r="BI653" i="13"/>
  <c r="AQ654" i="13"/>
  <c r="AR654" i="13"/>
  <c r="AS654" i="13"/>
  <c r="AT654" i="13"/>
  <c r="AU654" i="13"/>
  <c r="AV654" i="13"/>
  <c r="AW654" i="13"/>
  <c r="AX654" i="13"/>
  <c r="AY654" i="13"/>
  <c r="AZ654" i="13"/>
  <c r="BA654" i="13"/>
  <c r="BB654" i="13"/>
  <c r="BC654" i="13"/>
  <c r="BD654" i="13"/>
  <c r="BE654" i="13"/>
  <c r="BF654" i="13"/>
  <c r="BG654" i="13"/>
  <c r="BH654" i="13"/>
  <c r="BI654" i="13"/>
  <c r="AQ655" i="13"/>
  <c r="AR655" i="13"/>
  <c r="AS655" i="13"/>
  <c r="AT655" i="13"/>
  <c r="AU655" i="13"/>
  <c r="AV655" i="13"/>
  <c r="AW655" i="13"/>
  <c r="AX655" i="13"/>
  <c r="AY655" i="13"/>
  <c r="AZ655" i="13"/>
  <c r="BA655" i="13"/>
  <c r="BB655" i="13"/>
  <c r="BC655" i="13"/>
  <c r="BD655" i="13"/>
  <c r="BE655" i="13"/>
  <c r="BF655" i="13"/>
  <c r="BG655" i="13"/>
  <c r="BH655" i="13"/>
  <c r="BI655" i="13"/>
  <c r="AQ656" i="13"/>
  <c r="AR656" i="13"/>
  <c r="AS656" i="13"/>
  <c r="AT656" i="13"/>
  <c r="AU656" i="13"/>
  <c r="AV656" i="13"/>
  <c r="AW656" i="13"/>
  <c r="AX656" i="13"/>
  <c r="AY656" i="13"/>
  <c r="AZ656" i="13"/>
  <c r="BA656" i="13"/>
  <c r="BB656" i="13"/>
  <c r="BC656" i="13"/>
  <c r="BD656" i="13"/>
  <c r="BE656" i="13"/>
  <c r="BF656" i="13"/>
  <c r="BG656" i="13"/>
  <c r="BH656" i="13"/>
  <c r="BI656" i="13"/>
  <c r="AQ657" i="13"/>
  <c r="AR657" i="13"/>
  <c r="AS657" i="13"/>
  <c r="AT657" i="13"/>
  <c r="AU657" i="13"/>
  <c r="AV657" i="13"/>
  <c r="AW657" i="13"/>
  <c r="AX657" i="13"/>
  <c r="AY657" i="13"/>
  <c r="AZ657" i="13"/>
  <c r="BA657" i="13"/>
  <c r="BB657" i="13"/>
  <c r="BC657" i="13"/>
  <c r="BD657" i="13"/>
  <c r="BE657" i="13"/>
  <c r="BF657" i="13"/>
  <c r="BG657" i="13"/>
  <c r="BH657" i="13"/>
  <c r="BI657" i="13"/>
  <c r="AQ658" i="13"/>
  <c r="AR658" i="13"/>
  <c r="AS658" i="13"/>
  <c r="AT658" i="13"/>
  <c r="AU658" i="13"/>
  <c r="AV658" i="13"/>
  <c r="AW658" i="13"/>
  <c r="AX658" i="13"/>
  <c r="AY658" i="13"/>
  <c r="AZ658" i="13"/>
  <c r="BA658" i="13"/>
  <c r="BB658" i="13"/>
  <c r="BC658" i="13"/>
  <c r="BD658" i="13"/>
  <c r="BE658" i="13"/>
  <c r="BF658" i="13"/>
  <c r="BG658" i="13"/>
  <c r="BH658" i="13"/>
  <c r="BI658" i="13"/>
  <c r="AQ659" i="13"/>
  <c r="AR659" i="13"/>
  <c r="AS659" i="13"/>
  <c r="AT659" i="13"/>
  <c r="AU659" i="13"/>
  <c r="AV659" i="13"/>
  <c r="AW659" i="13"/>
  <c r="AX659" i="13"/>
  <c r="AY659" i="13"/>
  <c r="AZ659" i="13"/>
  <c r="BA659" i="13"/>
  <c r="BB659" i="13"/>
  <c r="BC659" i="13"/>
  <c r="BD659" i="13"/>
  <c r="BE659" i="13"/>
  <c r="BF659" i="13"/>
  <c r="BG659" i="13"/>
  <c r="BH659" i="13"/>
  <c r="BI659" i="13"/>
  <c r="AQ660" i="13"/>
  <c r="AR660" i="13"/>
  <c r="AS660" i="13"/>
  <c r="AT660" i="13"/>
  <c r="AU660" i="13"/>
  <c r="AV660" i="13"/>
  <c r="AW660" i="13"/>
  <c r="AX660" i="13"/>
  <c r="AY660" i="13"/>
  <c r="AZ660" i="13"/>
  <c r="BA660" i="13"/>
  <c r="BB660" i="13"/>
  <c r="BC660" i="13"/>
  <c r="BD660" i="13"/>
  <c r="BE660" i="13"/>
  <c r="BF660" i="13"/>
  <c r="BG660" i="13"/>
  <c r="BH660" i="13"/>
  <c r="BI660" i="13"/>
  <c r="AQ661" i="13"/>
  <c r="AR661" i="13"/>
  <c r="AS661" i="13"/>
  <c r="AT661" i="13"/>
  <c r="AU661" i="13"/>
  <c r="AV661" i="13"/>
  <c r="AW661" i="13"/>
  <c r="AX661" i="13"/>
  <c r="AY661" i="13"/>
  <c r="AZ661" i="13"/>
  <c r="BA661" i="13"/>
  <c r="BB661" i="13"/>
  <c r="BC661" i="13"/>
  <c r="BD661" i="13"/>
  <c r="BE661" i="13"/>
  <c r="BF661" i="13"/>
  <c r="BG661" i="13"/>
  <c r="BH661" i="13"/>
  <c r="BI661" i="13"/>
  <c r="AQ662" i="13"/>
  <c r="AR662" i="13"/>
  <c r="AS662" i="13"/>
  <c r="AT662" i="13"/>
  <c r="AU662" i="13"/>
  <c r="AV662" i="13"/>
  <c r="AW662" i="13"/>
  <c r="AX662" i="13"/>
  <c r="AY662" i="13"/>
  <c r="AZ662" i="13"/>
  <c r="BA662" i="13"/>
  <c r="BB662" i="13"/>
  <c r="BC662" i="13"/>
  <c r="BD662" i="13"/>
  <c r="BE662" i="13"/>
  <c r="BF662" i="13"/>
  <c r="BG662" i="13"/>
  <c r="BH662" i="13"/>
  <c r="BI662" i="13"/>
  <c r="AQ663" i="13"/>
  <c r="AR663" i="13"/>
  <c r="AS663" i="13"/>
  <c r="AT663" i="13"/>
  <c r="AU663" i="13"/>
  <c r="AV663" i="13"/>
  <c r="AW663" i="13"/>
  <c r="AX663" i="13"/>
  <c r="AY663" i="13"/>
  <c r="AZ663" i="13"/>
  <c r="BA663" i="13"/>
  <c r="BB663" i="13"/>
  <c r="BC663" i="13"/>
  <c r="BD663" i="13"/>
  <c r="BE663" i="13"/>
  <c r="BF663" i="13"/>
  <c r="BG663" i="13"/>
  <c r="BH663" i="13"/>
  <c r="BI663" i="13"/>
  <c r="AQ664" i="13"/>
  <c r="AR664" i="13"/>
  <c r="AS664" i="13"/>
  <c r="AT664" i="13"/>
  <c r="AU664" i="13"/>
  <c r="AV664" i="13"/>
  <c r="AW664" i="13"/>
  <c r="AX664" i="13"/>
  <c r="AY664" i="13"/>
  <c r="AZ664" i="13"/>
  <c r="BA664" i="13"/>
  <c r="BB664" i="13"/>
  <c r="BC664" i="13"/>
  <c r="BD664" i="13"/>
  <c r="BE664" i="13"/>
  <c r="BF664" i="13"/>
  <c r="BG664" i="13"/>
  <c r="BH664" i="13"/>
  <c r="BI664" i="13"/>
  <c r="AQ665" i="13"/>
  <c r="AR665" i="13"/>
  <c r="AS665" i="13"/>
  <c r="AT665" i="13"/>
  <c r="AU665" i="13"/>
  <c r="AV665" i="13"/>
  <c r="AW665" i="13"/>
  <c r="AX665" i="13"/>
  <c r="AY665" i="13"/>
  <c r="AZ665" i="13"/>
  <c r="BA665" i="13"/>
  <c r="BB665" i="13"/>
  <c r="BC665" i="13"/>
  <c r="BD665" i="13"/>
  <c r="BE665" i="13"/>
  <c r="BF665" i="13"/>
  <c r="BG665" i="13"/>
  <c r="BH665" i="13"/>
  <c r="BI665" i="13"/>
  <c r="AQ666" i="13"/>
  <c r="AR666" i="13"/>
  <c r="AS666" i="13"/>
  <c r="AT666" i="13"/>
  <c r="AU666" i="13"/>
  <c r="AV666" i="13"/>
  <c r="AW666" i="13"/>
  <c r="AX666" i="13"/>
  <c r="AY666" i="13"/>
  <c r="AZ666" i="13"/>
  <c r="BA666" i="13"/>
  <c r="BB666" i="13"/>
  <c r="BC666" i="13"/>
  <c r="BD666" i="13"/>
  <c r="BE666" i="13"/>
  <c r="BF666" i="13"/>
  <c r="BG666" i="13"/>
  <c r="BH666" i="13"/>
  <c r="BI666" i="13"/>
  <c r="AQ667" i="13"/>
  <c r="AR667" i="13"/>
  <c r="AS667" i="13"/>
  <c r="AT667" i="13"/>
  <c r="AU667" i="13"/>
  <c r="AV667" i="13"/>
  <c r="AW667" i="13"/>
  <c r="AX667" i="13"/>
  <c r="AY667" i="13"/>
  <c r="AZ667" i="13"/>
  <c r="BA667" i="13"/>
  <c r="BB667" i="13"/>
  <c r="BC667" i="13"/>
  <c r="BD667" i="13"/>
  <c r="BE667" i="13"/>
  <c r="BF667" i="13"/>
  <c r="BG667" i="13"/>
  <c r="BH667" i="13"/>
  <c r="BI667" i="13"/>
  <c r="AQ668" i="13"/>
  <c r="AR668" i="13"/>
  <c r="AS668" i="13"/>
  <c r="AT668" i="13"/>
  <c r="AU668" i="13"/>
  <c r="AV668" i="13"/>
  <c r="AW668" i="13"/>
  <c r="AX668" i="13"/>
  <c r="AY668" i="13"/>
  <c r="AZ668" i="13"/>
  <c r="BA668" i="13"/>
  <c r="BB668" i="13"/>
  <c r="BC668" i="13"/>
  <c r="BD668" i="13"/>
  <c r="BE668" i="13"/>
  <c r="BF668" i="13"/>
  <c r="BG668" i="13"/>
  <c r="BH668" i="13"/>
  <c r="BI668" i="13"/>
  <c r="AQ669" i="13"/>
  <c r="AR669" i="13"/>
  <c r="AS669" i="13"/>
  <c r="AT669" i="13"/>
  <c r="AU669" i="13"/>
  <c r="AV669" i="13"/>
  <c r="AW669" i="13"/>
  <c r="AX669" i="13"/>
  <c r="AY669" i="13"/>
  <c r="AZ669" i="13"/>
  <c r="BA669" i="13"/>
  <c r="BB669" i="13"/>
  <c r="BC669" i="13"/>
  <c r="BD669" i="13"/>
  <c r="BE669" i="13"/>
  <c r="BF669" i="13"/>
  <c r="BG669" i="13"/>
  <c r="BH669" i="13"/>
  <c r="BI669" i="13"/>
  <c r="AQ670" i="13"/>
  <c r="AR670" i="13"/>
  <c r="AS670" i="13"/>
  <c r="AT670" i="13"/>
  <c r="AU670" i="13"/>
  <c r="AV670" i="13"/>
  <c r="AW670" i="13"/>
  <c r="AX670" i="13"/>
  <c r="AY670" i="13"/>
  <c r="AZ670" i="13"/>
  <c r="BA670" i="13"/>
  <c r="BB670" i="13"/>
  <c r="BC670" i="13"/>
  <c r="BD670" i="13"/>
  <c r="BE670" i="13"/>
  <c r="BF670" i="13"/>
  <c r="BG670" i="13"/>
  <c r="BH670" i="13"/>
  <c r="BI670" i="13"/>
  <c r="AQ671" i="13"/>
  <c r="AR671" i="13"/>
  <c r="AS671" i="13"/>
  <c r="AT671" i="13"/>
  <c r="AU671" i="13"/>
  <c r="AV671" i="13"/>
  <c r="AW671" i="13"/>
  <c r="AX671" i="13"/>
  <c r="AY671" i="13"/>
  <c r="AZ671" i="13"/>
  <c r="BA671" i="13"/>
  <c r="BB671" i="13"/>
  <c r="BC671" i="13"/>
  <c r="BD671" i="13"/>
  <c r="BE671" i="13"/>
  <c r="BF671" i="13"/>
  <c r="BG671" i="13"/>
  <c r="BH671" i="13"/>
  <c r="BI671" i="13"/>
  <c r="AQ672" i="13"/>
  <c r="AR672" i="13"/>
  <c r="AS672" i="13"/>
  <c r="AT672" i="13"/>
  <c r="AU672" i="13"/>
  <c r="AV672" i="13"/>
  <c r="AW672" i="13"/>
  <c r="AX672" i="13"/>
  <c r="AY672" i="13"/>
  <c r="AZ672" i="13"/>
  <c r="BA672" i="13"/>
  <c r="BB672" i="13"/>
  <c r="BC672" i="13"/>
  <c r="BD672" i="13"/>
  <c r="BE672" i="13"/>
  <c r="BF672" i="13"/>
  <c r="BG672" i="13"/>
  <c r="BH672" i="13"/>
  <c r="BI672" i="13"/>
  <c r="AQ673" i="13"/>
  <c r="AR673" i="13"/>
  <c r="AS673" i="13"/>
  <c r="AT673" i="13"/>
  <c r="AU673" i="13"/>
  <c r="AV673" i="13"/>
  <c r="AW673" i="13"/>
  <c r="AX673" i="13"/>
  <c r="AY673" i="13"/>
  <c r="AZ673" i="13"/>
  <c r="BA673" i="13"/>
  <c r="BB673" i="13"/>
  <c r="BC673" i="13"/>
  <c r="BD673" i="13"/>
  <c r="BE673" i="13"/>
  <c r="BF673" i="13"/>
  <c r="BG673" i="13"/>
  <c r="BH673" i="13"/>
  <c r="BI673" i="13"/>
  <c r="AQ674" i="13"/>
  <c r="AR674" i="13"/>
  <c r="AS674" i="13"/>
  <c r="AT674" i="13"/>
  <c r="AU674" i="13"/>
  <c r="AV674" i="13"/>
  <c r="AW674" i="13"/>
  <c r="AX674" i="13"/>
  <c r="AY674" i="13"/>
  <c r="AZ674" i="13"/>
  <c r="BA674" i="13"/>
  <c r="BB674" i="13"/>
  <c r="BC674" i="13"/>
  <c r="BD674" i="13"/>
  <c r="BE674" i="13"/>
  <c r="BF674" i="13"/>
  <c r="BG674" i="13"/>
  <c r="BH674" i="13"/>
  <c r="BI674" i="13"/>
  <c r="AQ675" i="13"/>
  <c r="AR675" i="13"/>
  <c r="AS675" i="13"/>
  <c r="AT675" i="13"/>
  <c r="AU675" i="13"/>
  <c r="AV675" i="13"/>
  <c r="AW675" i="13"/>
  <c r="AX675" i="13"/>
  <c r="AY675" i="13"/>
  <c r="AZ675" i="13"/>
  <c r="BA675" i="13"/>
  <c r="BB675" i="13"/>
  <c r="BC675" i="13"/>
  <c r="BD675" i="13"/>
  <c r="BE675" i="13"/>
  <c r="BF675" i="13"/>
  <c r="BG675" i="13"/>
  <c r="BH675" i="13"/>
  <c r="BI675" i="13"/>
  <c r="AQ676" i="13"/>
  <c r="AR676" i="13"/>
  <c r="AS676" i="13"/>
  <c r="AT676" i="13"/>
  <c r="AU676" i="13"/>
  <c r="AV676" i="13"/>
  <c r="AW676" i="13"/>
  <c r="AX676" i="13"/>
  <c r="AY676" i="13"/>
  <c r="AZ676" i="13"/>
  <c r="BA676" i="13"/>
  <c r="BB676" i="13"/>
  <c r="BC676" i="13"/>
  <c r="BD676" i="13"/>
  <c r="BE676" i="13"/>
  <c r="BF676" i="13"/>
  <c r="BG676" i="13"/>
  <c r="BH676" i="13"/>
  <c r="BI676" i="13"/>
  <c r="AQ677" i="13"/>
  <c r="AR677" i="13"/>
  <c r="AS677" i="13"/>
  <c r="AT677" i="13"/>
  <c r="AU677" i="13"/>
  <c r="AV677" i="13"/>
  <c r="AW677" i="13"/>
  <c r="AX677" i="13"/>
  <c r="AY677" i="13"/>
  <c r="AZ677" i="13"/>
  <c r="BA677" i="13"/>
  <c r="BB677" i="13"/>
  <c r="BC677" i="13"/>
  <c r="BD677" i="13"/>
  <c r="BE677" i="13"/>
  <c r="BF677" i="13"/>
  <c r="BG677" i="13"/>
  <c r="BH677" i="13"/>
  <c r="BI677" i="13"/>
  <c r="AQ678" i="13"/>
  <c r="AR678" i="13"/>
  <c r="AS678" i="13"/>
  <c r="AT678" i="13"/>
  <c r="AU678" i="13"/>
  <c r="AV678" i="13"/>
  <c r="AW678" i="13"/>
  <c r="AX678" i="13"/>
  <c r="AY678" i="13"/>
  <c r="AZ678" i="13"/>
  <c r="BA678" i="13"/>
  <c r="BB678" i="13"/>
  <c r="BC678" i="13"/>
  <c r="BD678" i="13"/>
  <c r="BE678" i="13"/>
  <c r="BF678" i="13"/>
  <c r="BG678" i="13"/>
  <c r="BH678" i="13"/>
  <c r="BI678" i="13"/>
  <c r="AQ679" i="13"/>
  <c r="AR679" i="13"/>
  <c r="AS679" i="13"/>
  <c r="AT679" i="13"/>
  <c r="AU679" i="13"/>
  <c r="AV679" i="13"/>
  <c r="AW679" i="13"/>
  <c r="AX679" i="13"/>
  <c r="AY679" i="13"/>
  <c r="AZ679" i="13"/>
  <c r="BA679" i="13"/>
  <c r="BB679" i="13"/>
  <c r="BC679" i="13"/>
  <c r="BD679" i="13"/>
  <c r="BE679" i="13"/>
  <c r="BF679" i="13"/>
  <c r="BG679" i="13"/>
  <c r="BH679" i="13"/>
  <c r="BI679" i="13"/>
  <c r="AQ680" i="13"/>
  <c r="AR680" i="13"/>
  <c r="AS680" i="13"/>
  <c r="AT680" i="13"/>
  <c r="AU680" i="13"/>
  <c r="AV680" i="13"/>
  <c r="AW680" i="13"/>
  <c r="AX680" i="13"/>
  <c r="AY680" i="13"/>
  <c r="AZ680" i="13"/>
  <c r="BA680" i="13"/>
  <c r="BB680" i="13"/>
  <c r="BC680" i="13"/>
  <c r="BD680" i="13"/>
  <c r="BE680" i="13"/>
  <c r="BF680" i="13"/>
  <c r="BG680" i="13"/>
  <c r="BH680" i="13"/>
  <c r="BI680" i="13"/>
  <c r="AQ681" i="13"/>
  <c r="AR681" i="13"/>
  <c r="AS681" i="13"/>
  <c r="AT681" i="13"/>
  <c r="AU681" i="13"/>
  <c r="AV681" i="13"/>
  <c r="AW681" i="13"/>
  <c r="AX681" i="13"/>
  <c r="AY681" i="13"/>
  <c r="AZ681" i="13"/>
  <c r="BA681" i="13"/>
  <c r="BB681" i="13"/>
  <c r="BC681" i="13"/>
  <c r="BD681" i="13"/>
  <c r="BE681" i="13"/>
  <c r="BF681" i="13"/>
  <c r="BG681" i="13"/>
  <c r="BH681" i="13"/>
  <c r="BI681" i="13"/>
  <c r="AQ682" i="13"/>
  <c r="AR682" i="13"/>
  <c r="AS682" i="13"/>
  <c r="AT682" i="13"/>
  <c r="AU682" i="13"/>
  <c r="AV682" i="13"/>
  <c r="AW682" i="13"/>
  <c r="AX682" i="13"/>
  <c r="AY682" i="13"/>
  <c r="AZ682" i="13"/>
  <c r="BA682" i="13"/>
  <c r="BB682" i="13"/>
  <c r="BC682" i="13"/>
  <c r="BD682" i="13"/>
  <c r="BE682" i="13"/>
  <c r="BF682" i="13"/>
  <c r="BG682" i="13"/>
  <c r="BH682" i="13"/>
  <c r="BI682" i="13"/>
  <c r="AQ683" i="13"/>
  <c r="AR683" i="13"/>
  <c r="AS683" i="13"/>
  <c r="AT683" i="13"/>
  <c r="AU683" i="13"/>
  <c r="AV683" i="13"/>
  <c r="AW683" i="13"/>
  <c r="AX683" i="13"/>
  <c r="AY683" i="13"/>
  <c r="AZ683" i="13"/>
  <c r="BA683" i="13"/>
  <c r="BB683" i="13"/>
  <c r="BC683" i="13"/>
  <c r="BD683" i="13"/>
  <c r="BE683" i="13"/>
  <c r="BF683" i="13"/>
  <c r="BG683" i="13"/>
  <c r="BH683" i="13"/>
  <c r="BI683" i="13"/>
  <c r="AQ684" i="13"/>
  <c r="AR684" i="13"/>
  <c r="AS684" i="13"/>
  <c r="AT684" i="13"/>
  <c r="AU684" i="13"/>
  <c r="AV684" i="13"/>
  <c r="AW684" i="13"/>
  <c r="AX684" i="13"/>
  <c r="AY684" i="13"/>
  <c r="AZ684" i="13"/>
  <c r="BA684" i="13"/>
  <c r="BB684" i="13"/>
  <c r="BC684" i="13"/>
  <c r="BD684" i="13"/>
  <c r="BE684" i="13"/>
  <c r="BF684" i="13"/>
  <c r="BG684" i="13"/>
  <c r="BH684" i="13"/>
  <c r="BI684" i="13"/>
  <c r="AQ685" i="13"/>
  <c r="AR685" i="13"/>
  <c r="AS685" i="13"/>
  <c r="AT685" i="13"/>
  <c r="AU685" i="13"/>
  <c r="AV685" i="13"/>
  <c r="AW685" i="13"/>
  <c r="AX685" i="13"/>
  <c r="AY685" i="13"/>
  <c r="AZ685" i="13"/>
  <c r="BA685" i="13"/>
  <c r="BB685" i="13"/>
  <c r="BC685" i="13"/>
  <c r="BD685" i="13"/>
  <c r="BE685" i="13"/>
  <c r="BF685" i="13"/>
  <c r="BG685" i="13"/>
  <c r="BH685" i="13"/>
  <c r="BI685" i="13"/>
  <c r="AQ686" i="13"/>
  <c r="AR686" i="13"/>
  <c r="AS686" i="13"/>
  <c r="AT686" i="13"/>
  <c r="AU686" i="13"/>
  <c r="AV686" i="13"/>
  <c r="AW686" i="13"/>
  <c r="AX686" i="13"/>
  <c r="AY686" i="13"/>
  <c r="AZ686" i="13"/>
  <c r="BA686" i="13"/>
  <c r="BB686" i="13"/>
  <c r="BC686" i="13"/>
  <c r="BD686" i="13"/>
  <c r="BE686" i="13"/>
  <c r="BF686" i="13"/>
  <c r="BG686" i="13"/>
  <c r="BH686" i="13"/>
  <c r="BI686" i="13"/>
  <c r="AQ687" i="13"/>
  <c r="AR687" i="13"/>
  <c r="AS687" i="13"/>
  <c r="AT687" i="13"/>
  <c r="AU687" i="13"/>
  <c r="AV687" i="13"/>
  <c r="AW687" i="13"/>
  <c r="AX687" i="13"/>
  <c r="AY687" i="13"/>
  <c r="AZ687" i="13"/>
  <c r="BA687" i="13"/>
  <c r="BB687" i="13"/>
  <c r="BC687" i="13"/>
  <c r="BD687" i="13"/>
  <c r="BE687" i="13"/>
  <c r="BF687" i="13"/>
  <c r="BG687" i="13"/>
  <c r="BH687" i="13"/>
  <c r="BI687" i="13"/>
  <c r="AQ688" i="13"/>
  <c r="AR688" i="13"/>
  <c r="AS688" i="13"/>
  <c r="AT688" i="13"/>
  <c r="AU688" i="13"/>
  <c r="AV688" i="13"/>
  <c r="AW688" i="13"/>
  <c r="AX688" i="13"/>
  <c r="AY688" i="13"/>
  <c r="AZ688" i="13"/>
  <c r="BA688" i="13"/>
  <c r="BB688" i="13"/>
  <c r="BC688" i="13"/>
  <c r="BD688" i="13"/>
  <c r="BE688" i="13"/>
  <c r="BF688" i="13"/>
  <c r="BG688" i="13"/>
  <c r="BH688" i="13"/>
  <c r="BI688" i="13"/>
  <c r="AQ689" i="13"/>
  <c r="AR689" i="13"/>
  <c r="AS689" i="13"/>
  <c r="AT689" i="13"/>
  <c r="AU689" i="13"/>
  <c r="AV689" i="13"/>
  <c r="AW689" i="13"/>
  <c r="AX689" i="13"/>
  <c r="AY689" i="13"/>
  <c r="AZ689" i="13"/>
  <c r="BA689" i="13"/>
  <c r="BB689" i="13"/>
  <c r="BC689" i="13"/>
  <c r="BD689" i="13"/>
  <c r="BE689" i="13"/>
  <c r="BF689" i="13"/>
  <c r="BG689" i="13"/>
  <c r="BH689" i="13"/>
  <c r="BI689" i="13"/>
  <c r="AQ690" i="13"/>
  <c r="AR690" i="13"/>
  <c r="AS690" i="13"/>
  <c r="AT690" i="13"/>
  <c r="AU690" i="13"/>
  <c r="AV690" i="13"/>
  <c r="AW690" i="13"/>
  <c r="AX690" i="13"/>
  <c r="AY690" i="13"/>
  <c r="AZ690" i="13"/>
  <c r="BA690" i="13"/>
  <c r="BB690" i="13"/>
  <c r="BC690" i="13"/>
  <c r="BD690" i="13"/>
  <c r="BE690" i="13"/>
  <c r="BF690" i="13"/>
  <c r="BG690" i="13"/>
  <c r="BH690" i="13"/>
  <c r="BI690" i="13"/>
  <c r="AQ691" i="13"/>
  <c r="AR691" i="13"/>
  <c r="AS691" i="13"/>
  <c r="AT691" i="13"/>
  <c r="AU691" i="13"/>
  <c r="AV691" i="13"/>
  <c r="AW691" i="13"/>
  <c r="AX691" i="13"/>
  <c r="AY691" i="13"/>
  <c r="AZ691" i="13"/>
  <c r="BA691" i="13"/>
  <c r="BB691" i="13"/>
  <c r="BC691" i="13"/>
  <c r="BD691" i="13"/>
  <c r="BE691" i="13"/>
  <c r="BF691" i="13"/>
  <c r="BG691" i="13"/>
  <c r="BH691" i="13"/>
  <c r="BI691" i="13"/>
  <c r="AQ692" i="13"/>
  <c r="AR692" i="13"/>
  <c r="AS692" i="13"/>
  <c r="AT692" i="13"/>
  <c r="AU692" i="13"/>
  <c r="AV692" i="13"/>
  <c r="AW692" i="13"/>
  <c r="AX692" i="13"/>
  <c r="AY692" i="13"/>
  <c r="AZ692" i="13"/>
  <c r="BA692" i="13"/>
  <c r="BB692" i="13"/>
  <c r="BC692" i="13"/>
  <c r="BD692" i="13"/>
  <c r="BE692" i="13"/>
  <c r="BF692" i="13"/>
  <c r="BG692" i="13"/>
  <c r="BH692" i="13"/>
  <c r="BI692" i="13"/>
  <c r="AQ693" i="13"/>
  <c r="AR693" i="13"/>
  <c r="AS693" i="13"/>
  <c r="AT693" i="13"/>
  <c r="AU693" i="13"/>
  <c r="AV693" i="13"/>
  <c r="AW693" i="13"/>
  <c r="AX693" i="13"/>
  <c r="AY693" i="13"/>
  <c r="AZ693" i="13"/>
  <c r="BA693" i="13"/>
  <c r="BB693" i="13"/>
  <c r="BC693" i="13"/>
  <c r="BD693" i="13"/>
  <c r="BE693" i="13"/>
  <c r="BF693" i="13"/>
  <c r="BG693" i="13"/>
  <c r="BH693" i="13"/>
  <c r="BI693" i="13"/>
  <c r="AQ694" i="13"/>
  <c r="AR694" i="13"/>
  <c r="AS694" i="13"/>
  <c r="AT694" i="13"/>
  <c r="AU694" i="13"/>
  <c r="AV694" i="13"/>
  <c r="AW694" i="13"/>
  <c r="AX694" i="13"/>
  <c r="AY694" i="13"/>
  <c r="AZ694" i="13"/>
  <c r="BA694" i="13"/>
  <c r="BB694" i="13"/>
  <c r="BC694" i="13"/>
  <c r="BD694" i="13"/>
  <c r="BE694" i="13"/>
  <c r="BF694" i="13"/>
  <c r="BG694" i="13"/>
  <c r="BH694" i="13"/>
  <c r="BI694" i="13"/>
  <c r="AQ695" i="13"/>
  <c r="AR695" i="13"/>
  <c r="AS695" i="13"/>
  <c r="AT695" i="13"/>
  <c r="AU695" i="13"/>
  <c r="AV695" i="13"/>
  <c r="AW695" i="13"/>
  <c r="AX695" i="13"/>
  <c r="AY695" i="13"/>
  <c r="AZ695" i="13"/>
  <c r="BA695" i="13"/>
  <c r="BB695" i="13"/>
  <c r="BC695" i="13"/>
  <c r="BD695" i="13"/>
  <c r="BE695" i="13"/>
  <c r="BF695" i="13"/>
  <c r="BG695" i="13"/>
  <c r="BH695" i="13"/>
  <c r="BI695" i="13"/>
  <c r="AQ696" i="13"/>
  <c r="AR696" i="13"/>
  <c r="AS696" i="13"/>
  <c r="AT696" i="13"/>
  <c r="AU696" i="13"/>
  <c r="AV696" i="13"/>
  <c r="AW696" i="13"/>
  <c r="AX696" i="13"/>
  <c r="AY696" i="13"/>
  <c r="AZ696" i="13"/>
  <c r="BA696" i="13"/>
  <c r="BB696" i="13"/>
  <c r="BC696" i="13"/>
  <c r="BD696" i="13"/>
  <c r="BE696" i="13"/>
  <c r="BF696" i="13"/>
  <c r="BG696" i="13"/>
  <c r="BH696" i="13"/>
  <c r="BI696" i="13"/>
  <c r="AQ697" i="13"/>
  <c r="AR697" i="13"/>
  <c r="AS697" i="13"/>
  <c r="AT697" i="13"/>
  <c r="AU697" i="13"/>
  <c r="AV697" i="13"/>
  <c r="AW697" i="13"/>
  <c r="AX697" i="13"/>
  <c r="AY697" i="13"/>
  <c r="AZ697" i="13"/>
  <c r="BA697" i="13"/>
  <c r="BB697" i="13"/>
  <c r="BC697" i="13"/>
  <c r="BD697" i="13"/>
  <c r="BE697" i="13"/>
  <c r="BF697" i="13"/>
  <c r="BG697" i="13"/>
  <c r="BH697" i="13"/>
  <c r="BI697" i="13"/>
  <c r="AQ698" i="13"/>
  <c r="AR698" i="13"/>
  <c r="AS698" i="13"/>
  <c r="AT698" i="13"/>
  <c r="AU698" i="13"/>
  <c r="AV698" i="13"/>
  <c r="AW698" i="13"/>
  <c r="AX698" i="13"/>
  <c r="AY698" i="13"/>
  <c r="AZ698" i="13"/>
  <c r="BA698" i="13"/>
  <c r="BB698" i="13"/>
  <c r="BC698" i="13"/>
  <c r="BD698" i="13"/>
  <c r="BE698" i="13"/>
  <c r="BF698" i="13"/>
  <c r="BG698" i="13"/>
  <c r="BH698" i="13"/>
  <c r="BI698" i="13"/>
  <c r="AQ699" i="13"/>
  <c r="AR699" i="13"/>
  <c r="AS699" i="13"/>
  <c r="AT699" i="13"/>
  <c r="AU699" i="13"/>
  <c r="AV699" i="13"/>
  <c r="AW699" i="13"/>
  <c r="AX699" i="13"/>
  <c r="AY699" i="13"/>
  <c r="AZ699" i="13"/>
  <c r="BA699" i="13"/>
  <c r="BB699" i="13"/>
  <c r="BC699" i="13"/>
  <c r="BD699" i="13"/>
  <c r="BE699" i="13"/>
  <c r="BF699" i="13"/>
  <c r="BG699" i="13"/>
  <c r="BH699" i="13"/>
  <c r="BI699" i="13"/>
  <c r="AQ700" i="13"/>
  <c r="AR700" i="13"/>
  <c r="AS700" i="13"/>
  <c r="AT700" i="13"/>
  <c r="AU700" i="13"/>
  <c r="AV700" i="13"/>
  <c r="AW700" i="13"/>
  <c r="AX700" i="13"/>
  <c r="AY700" i="13"/>
  <c r="AZ700" i="13"/>
  <c r="BA700" i="13"/>
  <c r="BB700" i="13"/>
  <c r="BC700" i="13"/>
  <c r="BD700" i="13"/>
  <c r="BE700" i="13"/>
  <c r="BF700" i="13"/>
  <c r="BG700" i="13"/>
  <c r="BH700" i="13"/>
  <c r="BI700" i="13"/>
  <c r="AQ701" i="13"/>
  <c r="AR701" i="13"/>
  <c r="AS701" i="13"/>
  <c r="AT701" i="13"/>
  <c r="AU701" i="13"/>
  <c r="AV701" i="13"/>
  <c r="AW701" i="13"/>
  <c r="AX701" i="13"/>
  <c r="AY701" i="13"/>
  <c r="AZ701" i="13"/>
  <c r="BA701" i="13"/>
  <c r="BB701" i="13"/>
  <c r="BC701" i="13"/>
  <c r="BD701" i="13"/>
  <c r="BE701" i="13"/>
  <c r="BF701" i="13"/>
  <c r="BG701" i="13"/>
  <c r="BH701" i="13"/>
  <c r="BI701" i="13"/>
  <c r="AQ702" i="13"/>
  <c r="AR702" i="13"/>
  <c r="AS702" i="13"/>
  <c r="AT702" i="13"/>
  <c r="AU702" i="13"/>
  <c r="AV702" i="13"/>
  <c r="AW702" i="13"/>
  <c r="AX702" i="13"/>
  <c r="AY702" i="13"/>
  <c r="AZ702" i="13"/>
  <c r="BA702" i="13"/>
  <c r="BB702" i="13"/>
  <c r="BC702" i="13"/>
  <c r="BD702" i="13"/>
  <c r="BE702" i="13"/>
  <c r="BF702" i="13"/>
  <c r="BG702" i="13"/>
  <c r="BH702" i="13"/>
  <c r="BI702" i="13"/>
  <c r="AQ703" i="13"/>
  <c r="AR703" i="13"/>
  <c r="AS703" i="13"/>
  <c r="AT703" i="13"/>
  <c r="AU703" i="13"/>
  <c r="AV703" i="13"/>
  <c r="AW703" i="13"/>
  <c r="AX703" i="13"/>
  <c r="AY703" i="13"/>
  <c r="AZ703" i="13"/>
  <c r="BA703" i="13"/>
  <c r="BB703" i="13"/>
  <c r="BC703" i="13"/>
  <c r="BD703" i="13"/>
  <c r="BE703" i="13"/>
  <c r="BF703" i="13"/>
  <c r="BG703" i="13"/>
  <c r="BH703" i="13"/>
  <c r="BI703" i="13"/>
  <c r="AQ704" i="13"/>
  <c r="AR704" i="13"/>
  <c r="AS704" i="13"/>
  <c r="AT704" i="13"/>
  <c r="AU704" i="13"/>
  <c r="AV704" i="13"/>
  <c r="AW704" i="13"/>
  <c r="AX704" i="13"/>
  <c r="AY704" i="13"/>
  <c r="AZ704" i="13"/>
  <c r="BA704" i="13"/>
  <c r="BB704" i="13"/>
  <c r="BC704" i="13"/>
  <c r="BD704" i="13"/>
  <c r="BE704" i="13"/>
  <c r="BF704" i="13"/>
  <c r="BG704" i="13"/>
  <c r="BH704" i="13"/>
  <c r="BI704" i="13"/>
  <c r="AQ705" i="13"/>
  <c r="AR705" i="13"/>
  <c r="AS705" i="13"/>
  <c r="AT705" i="13"/>
  <c r="AU705" i="13"/>
  <c r="AV705" i="13"/>
  <c r="AW705" i="13"/>
  <c r="AX705" i="13"/>
  <c r="AY705" i="13"/>
  <c r="AZ705" i="13"/>
  <c r="BA705" i="13"/>
  <c r="BB705" i="13"/>
  <c r="BC705" i="13"/>
  <c r="BD705" i="13"/>
  <c r="BE705" i="13"/>
  <c r="BF705" i="13"/>
  <c r="BG705" i="13"/>
  <c r="BH705" i="13"/>
  <c r="BI705" i="13"/>
  <c r="AQ706" i="13"/>
  <c r="AR706" i="13"/>
  <c r="AS706" i="13"/>
  <c r="AT706" i="13"/>
  <c r="AU706" i="13"/>
  <c r="AV706" i="13"/>
  <c r="AW706" i="13"/>
  <c r="AX706" i="13"/>
  <c r="AY706" i="13"/>
  <c r="AZ706" i="13"/>
  <c r="BA706" i="13"/>
  <c r="BB706" i="13"/>
  <c r="BC706" i="13"/>
  <c r="BD706" i="13"/>
  <c r="BE706" i="13"/>
  <c r="BF706" i="13"/>
  <c r="BG706" i="13"/>
  <c r="BH706" i="13"/>
  <c r="BI706" i="13"/>
  <c r="AQ707" i="13"/>
  <c r="AR707" i="13"/>
  <c r="AS707" i="13"/>
  <c r="AT707" i="13"/>
  <c r="AU707" i="13"/>
  <c r="AV707" i="13"/>
  <c r="AW707" i="13"/>
  <c r="AX707" i="13"/>
  <c r="AY707" i="13"/>
  <c r="AZ707" i="13"/>
  <c r="BA707" i="13"/>
  <c r="BB707" i="13"/>
  <c r="BC707" i="13"/>
  <c r="BD707" i="13"/>
  <c r="BE707" i="13"/>
  <c r="BF707" i="13"/>
  <c r="BG707" i="13"/>
  <c r="BH707" i="13"/>
  <c r="BI707" i="13"/>
  <c r="AQ708" i="13"/>
  <c r="AR708" i="13"/>
  <c r="AS708" i="13"/>
  <c r="AT708" i="13"/>
  <c r="AU708" i="13"/>
  <c r="AV708" i="13"/>
  <c r="AW708" i="13"/>
  <c r="AX708" i="13"/>
  <c r="AY708" i="13"/>
  <c r="AZ708" i="13"/>
  <c r="BA708" i="13"/>
  <c r="BB708" i="13"/>
  <c r="BC708" i="13"/>
  <c r="BD708" i="13"/>
  <c r="BE708" i="13"/>
  <c r="BF708" i="13"/>
  <c r="BG708" i="13"/>
  <c r="BH708" i="13"/>
  <c r="BI708" i="13"/>
  <c r="AQ709" i="13"/>
  <c r="AR709" i="13"/>
  <c r="AS709" i="13"/>
  <c r="AT709" i="13"/>
  <c r="AU709" i="13"/>
  <c r="AV709" i="13"/>
  <c r="AW709" i="13"/>
  <c r="AX709" i="13"/>
  <c r="AY709" i="13"/>
  <c r="AZ709" i="13"/>
  <c r="BA709" i="13"/>
  <c r="BB709" i="13"/>
  <c r="BC709" i="13"/>
  <c r="BD709" i="13"/>
  <c r="BE709" i="13"/>
  <c r="BF709" i="13"/>
  <c r="BG709" i="13"/>
  <c r="BH709" i="13"/>
  <c r="BI709" i="13"/>
  <c r="AQ710" i="13"/>
  <c r="AR710" i="13"/>
  <c r="AS710" i="13"/>
  <c r="AT710" i="13"/>
  <c r="AU710" i="13"/>
  <c r="AV710" i="13"/>
  <c r="AW710" i="13"/>
  <c r="AX710" i="13"/>
  <c r="AY710" i="13"/>
  <c r="AZ710" i="13"/>
  <c r="BA710" i="13"/>
  <c r="BB710" i="13"/>
  <c r="BC710" i="13"/>
  <c r="BD710" i="13"/>
  <c r="BE710" i="13"/>
  <c r="BF710" i="13"/>
  <c r="BG710" i="13"/>
  <c r="BH710" i="13"/>
  <c r="BI710" i="13"/>
  <c r="AQ711" i="13"/>
  <c r="AR711" i="13"/>
  <c r="AS711" i="13"/>
  <c r="AT711" i="13"/>
  <c r="AU711" i="13"/>
  <c r="AV711" i="13"/>
  <c r="AW711" i="13"/>
  <c r="AX711" i="13"/>
  <c r="AY711" i="13"/>
  <c r="AZ711" i="13"/>
  <c r="BA711" i="13"/>
  <c r="BB711" i="13"/>
  <c r="BC711" i="13"/>
  <c r="BD711" i="13"/>
  <c r="BE711" i="13"/>
  <c r="BF711" i="13"/>
  <c r="BG711" i="13"/>
  <c r="BH711" i="13"/>
  <c r="BI711" i="13"/>
  <c r="AQ712" i="13"/>
  <c r="AR712" i="13"/>
  <c r="AS712" i="13"/>
  <c r="AT712" i="13"/>
  <c r="AU712" i="13"/>
  <c r="AV712" i="13"/>
  <c r="AW712" i="13"/>
  <c r="AX712" i="13"/>
  <c r="AY712" i="13"/>
  <c r="AZ712" i="13"/>
  <c r="BA712" i="13"/>
  <c r="BB712" i="13"/>
  <c r="BC712" i="13"/>
  <c r="BD712" i="13"/>
  <c r="BE712" i="13"/>
  <c r="BF712" i="13"/>
  <c r="BG712" i="13"/>
  <c r="BH712" i="13"/>
  <c r="BI712" i="13"/>
  <c r="AQ713" i="13"/>
  <c r="AR713" i="13"/>
  <c r="AS713" i="13"/>
  <c r="AT713" i="13"/>
  <c r="AU713" i="13"/>
  <c r="AV713" i="13"/>
  <c r="AW713" i="13"/>
  <c r="AX713" i="13"/>
  <c r="AY713" i="13"/>
  <c r="AZ713" i="13"/>
  <c r="BA713" i="13"/>
  <c r="BB713" i="13"/>
  <c r="BC713" i="13"/>
  <c r="BD713" i="13"/>
  <c r="BE713" i="13"/>
  <c r="BF713" i="13"/>
  <c r="BG713" i="13"/>
  <c r="BH713" i="13"/>
  <c r="BI713" i="13"/>
  <c r="AQ714" i="13"/>
  <c r="AR714" i="13"/>
  <c r="AS714" i="13"/>
  <c r="AT714" i="13"/>
  <c r="AU714" i="13"/>
  <c r="AV714" i="13"/>
  <c r="AW714" i="13"/>
  <c r="AX714" i="13"/>
  <c r="AY714" i="13"/>
  <c r="AZ714" i="13"/>
  <c r="BA714" i="13"/>
  <c r="BB714" i="13"/>
  <c r="BC714" i="13"/>
  <c r="BD714" i="13"/>
  <c r="BE714" i="13"/>
  <c r="BF714" i="13"/>
  <c r="BG714" i="13"/>
  <c r="BH714" i="13"/>
  <c r="BI714" i="13"/>
  <c r="AQ715" i="13"/>
  <c r="AR715" i="13"/>
  <c r="AS715" i="13"/>
  <c r="AT715" i="13"/>
  <c r="AU715" i="13"/>
  <c r="AV715" i="13"/>
  <c r="AW715" i="13"/>
  <c r="AX715" i="13"/>
  <c r="AY715" i="13"/>
  <c r="AZ715" i="13"/>
  <c r="BA715" i="13"/>
  <c r="BB715" i="13"/>
  <c r="BC715" i="13"/>
  <c r="BD715" i="13"/>
  <c r="BE715" i="13"/>
  <c r="BF715" i="13"/>
  <c r="BG715" i="13"/>
  <c r="BH715" i="13"/>
  <c r="BI715" i="13"/>
  <c r="AQ716" i="13"/>
  <c r="AR716" i="13"/>
  <c r="AS716" i="13"/>
  <c r="AT716" i="13"/>
  <c r="AU716" i="13"/>
  <c r="AV716" i="13"/>
  <c r="AW716" i="13"/>
  <c r="AX716" i="13"/>
  <c r="AY716" i="13"/>
  <c r="AZ716" i="13"/>
  <c r="BA716" i="13"/>
  <c r="BB716" i="13"/>
  <c r="BC716" i="13"/>
  <c r="BD716" i="13"/>
  <c r="BE716" i="13"/>
  <c r="BF716" i="13"/>
  <c r="BG716" i="13"/>
  <c r="BH716" i="13"/>
  <c r="BI716" i="13"/>
  <c r="AQ717" i="13"/>
  <c r="AR717" i="13"/>
  <c r="AS717" i="13"/>
  <c r="AT717" i="13"/>
  <c r="AU717" i="13"/>
  <c r="AV717" i="13"/>
  <c r="AW717" i="13"/>
  <c r="AX717" i="13"/>
  <c r="AY717" i="13"/>
  <c r="AZ717" i="13"/>
  <c r="BA717" i="13"/>
  <c r="BB717" i="13"/>
  <c r="BC717" i="13"/>
  <c r="BD717" i="13"/>
  <c r="BE717" i="13"/>
  <c r="BF717" i="13"/>
  <c r="BG717" i="13"/>
  <c r="BH717" i="13"/>
  <c r="BI717" i="13"/>
  <c r="AQ718" i="13"/>
  <c r="AR718" i="13"/>
  <c r="AS718" i="13"/>
  <c r="AT718" i="13"/>
  <c r="AU718" i="13"/>
  <c r="AV718" i="13"/>
  <c r="AW718" i="13"/>
  <c r="AX718" i="13"/>
  <c r="AY718" i="13"/>
  <c r="AZ718" i="13"/>
  <c r="BA718" i="13"/>
  <c r="BB718" i="13"/>
  <c r="BC718" i="13"/>
  <c r="BD718" i="13"/>
  <c r="BE718" i="13"/>
  <c r="BF718" i="13"/>
  <c r="BG718" i="13"/>
  <c r="BH718" i="13"/>
  <c r="BI718" i="13"/>
  <c r="AQ719" i="13"/>
  <c r="AR719" i="13"/>
  <c r="AS719" i="13"/>
  <c r="AT719" i="13"/>
  <c r="AU719" i="13"/>
  <c r="AV719" i="13"/>
  <c r="AW719" i="13"/>
  <c r="AX719" i="13"/>
  <c r="AY719" i="13"/>
  <c r="AZ719" i="13"/>
  <c r="BA719" i="13"/>
  <c r="BB719" i="13"/>
  <c r="BC719" i="13"/>
  <c r="BD719" i="13"/>
  <c r="BE719" i="13"/>
  <c r="BF719" i="13"/>
  <c r="BG719" i="13"/>
  <c r="BH719" i="13"/>
  <c r="BI719" i="13"/>
  <c r="AQ720" i="13"/>
  <c r="AR720" i="13"/>
  <c r="AS720" i="13"/>
  <c r="AT720" i="13"/>
  <c r="AU720" i="13"/>
  <c r="AV720" i="13"/>
  <c r="AW720" i="13"/>
  <c r="AX720" i="13"/>
  <c r="AY720" i="13"/>
  <c r="AZ720" i="13"/>
  <c r="BA720" i="13"/>
  <c r="BB720" i="13"/>
  <c r="BC720" i="13"/>
  <c r="BD720" i="13"/>
  <c r="BE720" i="13"/>
  <c r="BF720" i="13"/>
  <c r="BG720" i="13"/>
  <c r="BH720" i="13"/>
  <c r="BI720" i="13"/>
  <c r="AQ721" i="13"/>
  <c r="AR721" i="13"/>
  <c r="AS721" i="13"/>
  <c r="AT721" i="13"/>
  <c r="AU721" i="13"/>
  <c r="AV721" i="13"/>
  <c r="AW721" i="13"/>
  <c r="AX721" i="13"/>
  <c r="AY721" i="13"/>
  <c r="AZ721" i="13"/>
  <c r="BA721" i="13"/>
  <c r="BB721" i="13"/>
  <c r="BC721" i="13"/>
  <c r="BD721" i="13"/>
  <c r="BE721" i="13"/>
  <c r="BF721" i="13"/>
  <c r="BG721" i="13"/>
  <c r="BH721" i="13"/>
  <c r="BI721" i="13"/>
  <c r="AQ722" i="13"/>
  <c r="AR722" i="13"/>
  <c r="AS722" i="13"/>
  <c r="AT722" i="13"/>
  <c r="AU722" i="13"/>
  <c r="AV722" i="13"/>
  <c r="AW722" i="13"/>
  <c r="AX722" i="13"/>
  <c r="AY722" i="13"/>
  <c r="AZ722" i="13"/>
  <c r="BA722" i="13"/>
  <c r="BB722" i="13"/>
  <c r="BC722" i="13"/>
  <c r="BD722" i="13"/>
  <c r="BE722" i="13"/>
  <c r="BF722" i="13"/>
  <c r="BG722" i="13"/>
  <c r="BH722" i="13"/>
  <c r="BI722" i="13"/>
  <c r="AQ723" i="13"/>
  <c r="AR723" i="13"/>
  <c r="AS723" i="13"/>
  <c r="AT723" i="13"/>
  <c r="AU723" i="13"/>
  <c r="AV723" i="13"/>
  <c r="AW723" i="13"/>
  <c r="AX723" i="13"/>
  <c r="AY723" i="13"/>
  <c r="AZ723" i="13"/>
  <c r="BA723" i="13"/>
  <c r="BB723" i="13"/>
  <c r="BC723" i="13"/>
  <c r="BD723" i="13"/>
  <c r="BE723" i="13"/>
  <c r="BF723" i="13"/>
  <c r="BG723" i="13"/>
  <c r="BH723" i="13"/>
  <c r="BI723" i="13"/>
  <c r="AQ724" i="13"/>
  <c r="AR724" i="13"/>
  <c r="AS724" i="13"/>
  <c r="AT724" i="13"/>
  <c r="AU724" i="13"/>
  <c r="AV724" i="13"/>
  <c r="AW724" i="13"/>
  <c r="AX724" i="13"/>
  <c r="AY724" i="13"/>
  <c r="AZ724" i="13"/>
  <c r="BA724" i="13"/>
  <c r="BB724" i="13"/>
  <c r="BC724" i="13"/>
  <c r="BD724" i="13"/>
  <c r="BE724" i="13"/>
  <c r="BF724" i="13"/>
  <c r="BG724" i="13"/>
  <c r="BH724" i="13"/>
  <c r="BI724" i="13"/>
  <c r="AQ725" i="13"/>
  <c r="AR725" i="13"/>
  <c r="AS725" i="13"/>
  <c r="AT725" i="13"/>
  <c r="AU725" i="13"/>
  <c r="AV725" i="13"/>
  <c r="AW725" i="13"/>
  <c r="AX725" i="13"/>
  <c r="AY725" i="13"/>
  <c r="AZ725" i="13"/>
  <c r="BA725" i="13"/>
  <c r="BB725" i="13"/>
  <c r="BC725" i="13"/>
  <c r="BD725" i="13"/>
  <c r="BE725" i="13"/>
  <c r="BF725" i="13"/>
  <c r="BG725" i="13"/>
  <c r="BH725" i="13"/>
  <c r="BI725" i="13"/>
  <c r="AQ726" i="13"/>
  <c r="AR726" i="13"/>
  <c r="AS726" i="13"/>
  <c r="AT726" i="13"/>
  <c r="AU726" i="13"/>
  <c r="AV726" i="13"/>
  <c r="AW726" i="13"/>
  <c r="AX726" i="13"/>
  <c r="AY726" i="13"/>
  <c r="AZ726" i="13"/>
  <c r="BA726" i="13"/>
  <c r="BB726" i="13"/>
  <c r="BC726" i="13"/>
  <c r="BD726" i="13"/>
  <c r="BE726" i="13"/>
  <c r="BF726" i="13"/>
  <c r="BG726" i="13"/>
  <c r="BH726" i="13"/>
  <c r="BI726" i="13"/>
  <c r="AQ727" i="13"/>
  <c r="AR727" i="13"/>
  <c r="AS727" i="13"/>
  <c r="AT727" i="13"/>
  <c r="AU727" i="13"/>
  <c r="AV727" i="13"/>
  <c r="AW727" i="13"/>
  <c r="AX727" i="13"/>
  <c r="AY727" i="13"/>
  <c r="AZ727" i="13"/>
  <c r="BA727" i="13"/>
  <c r="BB727" i="13"/>
  <c r="BC727" i="13"/>
  <c r="BD727" i="13"/>
  <c r="BE727" i="13"/>
  <c r="BF727" i="13"/>
  <c r="BG727" i="13"/>
  <c r="BH727" i="13"/>
  <c r="BI727" i="13"/>
  <c r="AQ728" i="13"/>
  <c r="AR728" i="13"/>
  <c r="AS728" i="13"/>
  <c r="AT728" i="13"/>
  <c r="AU728" i="13"/>
  <c r="AV728" i="13"/>
  <c r="AW728" i="13"/>
  <c r="AX728" i="13"/>
  <c r="AY728" i="13"/>
  <c r="AZ728" i="13"/>
  <c r="BA728" i="13"/>
  <c r="BB728" i="13"/>
  <c r="BC728" i="13"/>
  <c r="BD728" i="13"/>
  <c r="BE728" i="13"/>
  <c r="BF728" i="13"/>
  <c r="BG728" i="13"/>
  <c r="BH728" i="13"/>
  <c r="BI728" i="13"/>
  <c r="AQ729" i="13"/>
  <c r="AR729" i="13"/>
  <c r="AS729" i="13"/>
  <c r="AT729" i="13"/>
  <c r="AU729" i="13"/>
  <c r="AV729" i="13"/>
  <c r="AW729" i="13"/>
  <c r="AX729" i="13"/>
  <c r="AY729" i="13"/>
  <c r="AZ729" i="13"/>
  <c r="BA729" i="13"/>
  <c r="BB729" i="13"/>
  <c r="BC729" i="13"/>
  <c r="BD729" i="13"/>
  <c r="BE729" i="13"/>
  <c r="BF729" i="13"/>
  <c r="BG729" i="13"/>
  <c r="BH729" i="13"/>
  <c r="BI729" i="13"/>
  <c r="AQ730" i="13"/>
  <c r="AR730" i="13"/>
  <c r="AS730" i="13"/>
  <c r="AT730" i="13"/>
  <c r="AU730" i="13"/>
  <c r="AV730" i="13"/>
  <c r="AW730" i="13"/>
  <c r="AX730" i="13"/>
  <c r="AY730" i="13"/>
  <c r="AZ730" i="13"/>
  <c r="BA730" i="13"/>
  <c r="BB730" i="13"/>
  <c r="BC730" i="13"/>
  <c r="BD730" i="13"/>
  <c r="BE730" i="13"/>
  <c r="BF730" i="13"/>
  <c r="BG730" i="13"/>
  <c r="BH730" i="13"/>
  <c r="BI730" i="13"/>
  <c r="AQ731" i="13"/>
  <c r="AR731" i="13"/>
  <c r="AS731" i="13"/>
  <c r="AT731" i="13"/>
  <c r="AU731" i="13"/>
  <c r="AV731" i="13"/>
  <c r="AW731" i="13"/>
  <c r="AX731" i="13"/>
  <c r="AY731" i="13"/>
  <c r="AZ731" i="13"/>
  <c r="BA731" i="13"/>
  <c r="BB731" i="13"/>
  <c r="BC731" i="13"/>
  <c r="BD731" i="13"/>
  <c r="BE731" i="13"/>
  <c r="BF731" i="13"/>
  <c r="BG731" i="13"/>
  <c r="BH731" i="13"/>
  <c r="BI731" i="13"/>
  <c r="AQ732" i="13"/>
  <c r="AR732" i="13"/>
  <c r="AS732" i="13"/>
  <c r="AT732" i="13"/>
  <c r="AU732" i="13"/>
  <c r="AV732" i="13"/>
  <c r="AW732" i="13"/>
  <c r="AX732" i="13"/>
  <c r="AY732" i="13"/>
  <c r="AZ732" i="13"/>
  <c r="BA732" i="13"/>
  <c r="BB732" i="13"/>
  <c r="BC732" i="13"/>
  <c r="BD732" i="13"/>
  <c r="BE732" i="13"/>
  <c r="BF732" i="13"/>
  <c r="BG732" i="13"/>
  <c r="BH732" i="13"/>
  <c r="BI732" i="13"/>
  <c r="AQ733" i="13"/>
  <c r="AR733" i="13"/>
  <c r="AS733" i="13"/>
  <c r="AT733" i="13"/>
  <c r="AU733" i="13"/>
  <c r="AV733" i="13"/>
  <c r="AW733" i="13"/>
  <c r="AX733" i="13"/>
  <c r="AY733" i="13"/>
  <c r="AZ733" i="13"/>
  <c r="BA733" i="13"/>
  <c r="BB733" i="13"/>
  <c r="BC733" i="13"/>
  <c r="BD733" i="13"/>
  <c r="BE733" i="13"/>
  <c r="BF733" i="13"/>
  <c r="BG733" i="13"/>
  <c r="BH733" i="13"/>
  <c r="BI733" i="13"/>
  <c r="AQ734" i="13"/>
  <c r="AR734" i="13"/>
  <c r="AS734" i="13"/>
  <c r="AT734" i="13"/>
  <c r="AU734" i="13"/>
  <c r="AV734" i="13"/>
  <c r="AW734" i="13"/>
  <c r="AX734" i="13"/>
  <c r="AY734" i="13"/>
  <c r="AZ734" i="13"/>
  <c r="BA734" i="13"/>
  <c r="BB734" i="13"/>
  <c r="BC734" i="13"/>
  <c r="BD734" i="13"/>
  <c r="BE734" i="13"/>
  <c r="BF734" i="13"/>
  <c r="BG734" i="13"/>
  <c r="BH734" i="13"/>
  <c r="BI734" i="13"/>
  <c r="AQ735" i="13"/>
  <c r="AR735" i="13"/>
  <c r="AS735" i="13"/>
  <c r="AT735" i="13"/>
  <c r="AU735" i="13"/>
  <c r="AV735" i="13"/>
  <c r="AW735" i="13"/>
  <c r="AX735" i="13"/>
  <c r="AY735" i="13"/>
  <c r="AZ735" i="13"/>
  <c r="BA735" i="13"/>
  <c r="BB735" i="13"/>
  <c r="BC735" i="13"/>
  <c r="BD735" i="13"/>
  <c r="BE735" i="13"/>
  <c r="BF735" i="13"/>
  <c r="BG735" i="13"/>
  <c r="BH735" i="13"/>
  <c r="BI735" i="13"/>
  <c r="AQ736" i="13"/>
  <c r="AR736" i="13"/>
  <c r="AS736" i="13"/>
  <c r="AT736" i="13"/>
  <c r="AU736" i="13"/>
  <c r="AV736" i="13"/>
  <c r="AW736" i="13"/>
  <c r="AX736" i="13"/>
  <c r="AY736" i="13"/>
  <c r="AZ736" i="13"/>
  <c r="BA736" i="13"/>
  <c r="BB736" i="13"/>
  <c r="BC736" i="13"/>
  <c r="BD736" i="13"/>
  <c r="BE736" i="13"/>
  <c r="BF736" i="13"/>
  <c r="BG736" i="13"/>
  <c r="BH736" i="13"/>
  <c r="BI736" i="13"/>
  <c r="AQ737" i="13"/>
  <c r="AR737" i="13"/>
  <c r="AS737" i="13"/>
  <c r="AT737" i="13"/>
  <c r="AU737" i="13"/>
  <c r="AV737" i="13"/>
  <c r="AW737" i="13"/>
  <c r="AX737" i="13"/>
  <c r="AY737" i="13"/>
  <c r="AZ737" i="13"/>
  <c r="BA737" i="13"/>
  <c r="BB737" i="13"/>
  <c r="BC737" i="13"/>
  <c r="BD737" i="13"/>
  <c r="BE737" i="13"/>
  <c r="BF737" i="13"/>
  <c r="BG737" i="13"/>
  <c r="BH737" i="13"/>
  <c r="BI737" i="13"/>
  <c r="AQ738" i="13"/>
  <c r="AR738" i="13"/>
  <c r="AS738" i="13"/>
  <c r="AT738" i="13"/>
  <c r="AU738" i="13"/>
  <c r="AV738" i="13"/>
  <c r="AW738" i="13"/>
  <c r="AX738" i="13"/>
  <c r="AY738" i="13"/>
  <c r="AZ738" i="13"/>
  <c r="BA738" i="13"/>
  <c r="BB738" i="13"/>
  <c r="BC738" i="13"/>
  <c r="BD738" i="13"/>
  <c r="BE738" i="13"/>
  <c r="BF738" i="13"/>
  <c r="BG738" i="13"/>
  <c r="BH738" i="13"/>
  <c r="BI738" i="13"/>
  <c r="AQ739" i="13"/>
  <c r="AR739" i="13"/>
  <c r="AS739" i="13"/>
  <c r="AT739" i="13"/>
  <c r="AU739" i="13"/>
  <c r="AV739" i="13"/>
  <c r="AW739" i="13"/>
  <c r="AX739" i="13"/>
  <c r="AY739" i="13"/>
  <c r="AZ739" i="13"/>
  <c r="BA739" i="13"/>
  <c r="BB739" i="13"/>
  <c r="BC739" i="13"/>
  <c r="BD739" i="13"/>
  <c r="BE739" i="13"/>
  <c r="BF739" i="13"/>
  <c r="BG739" i="13"/>
  <c r="BH739" i="13"/>
  <c r="BI739" i="13"/>
  <c r="AQ740" i="13"/>
  <c r="AR740" i="13"/>
  <c r="AS740" i="13"/>
  <c r="AT740" i="13"/>
  <c r="AU740" i="13"/>
  <c r="AV740" i="13"/>
  <c r="AW740" i="13"/>
  <c r="AX740" i="13"/>
  <c r="AY740" i="13"/>
  <c r="AZ740" i="13"/>
  <c r="BA740" i="13"/>
  <c r="BB740" i="13"/>
  <c r="BC740" i="13"/>
  <c r="BD740" i="13"/>
  <c r="BE740" i="13"/>
  <c r="BF740" i="13"/>
  <c r="BG740" i="13"/>
  <c r="BH740" i="13"/>
  <c r="BI740" i="13"/>
  <c r="AQ741" i="13"/>
  <c r="AR741" i="13"/>
  <c r="AS741" i="13"/>
  <c r="AT741" i="13"/>
  <c r="AU741" i="13"/>
  <c r="AV741" i="13"/>
  <c r="AW741" i="13"/>
  <c r="AX741" i="13"/>
  <c r="AY741" i="13"/>
  <c r="AZ741" i="13"/>
  <c r="BA741" i="13"/>
  <c r="BB741" i="13"/>
  <c r="BC741" i="13"/>
  <c r="BD741" i="13"/>
  <c r="BE741" i="13"/>
  <c r="BF741" i="13"/>
  <c r="BG741" i="13"/>
  <c r="BH741" i="13"/>
  <c r="BI741" i="13"/>
  <c r="AQ742" i="13"/>
  <c r="AR742" i="13"/>
  <c r="AS742" i="13"/>
  <c r="AT742" i="13"/>
  <c r="AU742" i="13"/>
  <c r="AV742" i="13"/>
  <c r="AW742" i="13"/>
  <c r="AX742" i="13"/>
  <c r="AY742" i="13"/>
  <c r="AZ742" i="13"/>
  <c r="BA742" i="13"/>
  <c r="BB742" i="13"/>
  <c r="BC742" i="13"/>
  <c r="BD742" i="13"/>
  <c r="BE742" i="13"/>
  <c r="BF742" i="13"/>
  <c r="BG742" i="13"/>
  <c r="BH742" i="13"/>
  <c r="BI742" i="13"/>
  <c r="AQ743" i="13"/>
  <c r="AR743" i="13"/>
  <c r="AS743" i="13"/>
  <c r="AT743" i="13"/>
  <c r="AU743" i="13"/>
  <c r="AV743" i="13"/>
  <c r="AW743" i="13"/>
  <c r="AX743" i="13"/>
  <c r="AY743" i="13"/>
  <c r="AZ743" i="13"/>
  <c r="BA743" i="13"/>
  <c r="BB743" i="13"/>
  <c r="BC743" i="13"/>
  <c r="BD743" i="13"/>
  <c r="BE743" i="13"/>
  <c r="BF743" i="13"/>
  <c r="BG743" i="13"/>
  <c r="BH743" i="13"/>
  <c r="BI743" i="13"/>
  <c r="AQ744" i="13"/>
  <c r="AR744" i="13"/>
  <c r="AS744" i="13"/>
  <c r="AT744" i="13"/>
  <c r="AU744" i="13"/>
  <c r="AV744" i="13"/>
  <c r="AW744" i="13"/>
  <c r="AX744" i="13"/>
  <c r="AY744" i="13"/>
  <c r="AZ744" i="13"/>
  <c r="BA744" i="13"/>
  <c r="BB744" i="13"/>
  <c r="BC744" i="13"/>
  <c r="BD744" i="13"/>
  <c r="BE744" i="13"/>
  <c r="BF744" i="13"/>
  <c r="BG744" i="13"/>
  <c r="BH744" i="13"/>
  <c r="BI744" i="13"/>
  <c r="AQ745" i="13"/>
  <c r="AR745" i="13"/>
  <c r="AS745" i="13"/>
  <c r="AT745" i="13"/>
  <c r="AU745" i="13"/>
  <c r="AV745" i="13"/>
  <c r="AW745" i="13"/>
  <c r="AX745" i="13"/>
  <c r="AY745" i="13"/>
  <c r="AZ745" i="13"/>
  <c r="BA745" i="13"/>
  <c r="BB745" i="13"/>
  <c r="BC745" i="13"/>
  <c r="BD745" i="13"/>
  <c r="BE745" i="13"/>
  <c r="BF745" i="13"/>
  <c r="BG745" i="13"/>
  <c r="BH745" i="13"/>
  <c r="BI745" i="13"/>
  <c r="AQ746" i="13"/>
  <c r="AR746" i="13"/>
  <c r="AS746" i="13"/>
  <c r="AT746" i="13"/>
  <c r="AU746" i="13"/>
  <c r="AV746" i="13"/>
  <c r="AW746" i="13"/>
  <c r="AX746" i="13"/>
  <c r="AY746" i="13"/>
  <c r="AZ746" i="13"/>
  <c r="BA746" i="13"/>
  <c r="BB746" i="13"/>
  <c r="BC746" i="13"/>
  <c r="BD746" i="13"/>
  <c r="BE746" i="13"/>
  <c r="BF746" i="13"/>
  <c r="BG746" i="13"/>
  <c r="BH746" i="13"/>
  <c r="BI746" i="13"/>
  <c r="AQ747" i="13"/>
  <c r="AR747" i="13"/>
  <c r="AS747" i="13"/>
  <c r="AT747" i="13"/>
  <c r="AU747" i="13"/>
  <c r="AV747" i="13"/>
  <c r="AW747" i="13"/>
  <c r="AX747" i="13"/>
  <c r="AY747" i="13"/>
  <c r="AZ747" i="13"/>
  <c r="BA747" i="13"/>
  <c r="BB747" i="13"/>
  <c r="BC747" i="13"/>
  <c r="BD747" i="13"/>
  <c r="BE747" i="13"/>
  <c r="BF747" i="13"/>
  <c r="BG747" i="13"/>
  <c r="BH747" i="13"/>
  <c r="BI747" i="13"/>
  <c r="AQ748" i="13"/>
  <c r="AR748" i="13"/>
  <c r="AS748" i="13"/>
  <c r="AT748" i="13"/>
  <c r="AU748" i="13"/>
  <c r="AV748" i="13"/>
  <c r="AW748" i="13"/>
  <c r="AX748" i="13"/>
  <c r="AY748" i="13"/>
  <c r="AZ748" i="13"/>
  <c r="BA748" i="13"/>
  <c r="BB748" i="13"/>
  <c r="BC748" i="13"/>
  <c r="BD748" i="13"/>
  <c r="BE748" i="13"/>
  <c r="BF748" i="13"/>
  <c r="BG748" i="13"/>
  <c r="BH748" i="13"/>
  <c r="BI748" i="13"/>
  <c r="AQ749" i="13"/>
  <c r="AR749" i="13"/>
  <c r="AS749" i="13"/>
  <c r="AT749" i="13"/>
  <c r="AU749" i="13"/>
  <c r="AV749" i="13"/>
  <c r="AW749" i="13"/>
  <c r="AX749" i="13"/>
  <c r="AY749" i="13"/>
  <c r="AZ749" i="13"/>
  <c r="BA749" i="13"/>
  <c r="BB749" i="13"/>
  <c r="BC749" i="13"/>
  <c r="BD749" i="13"/>
  <c r="BE749" i="13"/>
  <c r="BF749" i="13"/>
  <c r="BG749" i="13"/>
  <c r="BH749" i="13"/>
  <c r="BI749" i="13"/>
  <c r="AQ750" i="13"/>
  <c r="AR750" i="13"/>
  <c r="AS750" i="13"/>
  <c r="AT750" i="13"/>
  <c r="AU750" i="13"/>
  <c r="AV750" i="13"/>
  <c r="AW750" i="13"/>
  <c r="AX750" i="13"/>
  <c r="AY750" i="13"/>
  <c r="AZ750" i="13"/>
  <c r="BA750" i="13"/>
  <c r="BB750" i="13"/>
  <c r="BC750" i="13"/>
  <c r="BD750" i="13"/>
  <c r="BE750" i="13"/>
  <c r="BF750" i="13"/>
  <c r="BG750" i="13"/>
  <c r="BH750" i="13"/>
  <c r="BI750" i="13"/>
  <c r="AQ751" i="13"/>
  <c r="AR751" i="13"/>
  <c r="AS751" i="13"/>
  <c r="AT751" i="13"/>
  <c r="AU751" i="13"/>
  <c r="AV751" i="13"/>
  <c r="AW751" i="13"/>
  <c r="AX751" i="13"/>
  <c r="AY751" i="13"/>
  <c r="AZ751" i="13"/>
  <c r="BA751" i="13"/>
  <c r="BB751" i="13"/>
  <c r="BC751" i="13"/>
  <c r="BD751" i="13"/>
  <c r="BE751" i="13"/>
  <c r="BF751" i="13"/>
  <c r="BG751" i="13"/>
  <c r="BH751" i="13"/>
  <c r="BI751" i="13"/>
  <c r="AQ752" i="13"/>
  <c r="AR752" i="13"/>
  <c r="AS752" i="13"/>
  <c r="AT752" i="13"/>
  <c r="AU752" i="13"/>
  <c r="AV752" i="13"/>
  <c r="AW752" i="13"/>
  <c r="AX752" i="13"/>
  <c r="AY752" i="13"/>
  <c r="AZ752" i="13"/>
  <c r="BA752" i="13"/>
  <c r="BB752" i="13"/>
  <c r="BC752" i="13"/>
  <c r="BD752" i="13"/>
  <c r="BE752" i="13"/>
  <c r="BF752" i="13"/>
  <c r="BG752" i="13"/>
  <c r="BH752" i="13"/>
  <c r="BI752" i="13"/>
  <c r="AQ753" i="13"/>
  <c r="AR753" i="13"/>
  <c r="AS753" i="13"/>
  <c r="AT753" i="13"/>
  <c r="AU753" i="13"/>
  <c r="AV753" i="13"/>
  <c r="AW753" i="13"/>
  <c r="AX753" i="13"/>
  <c r="AY753" i="13"/>
  <c r="AZ753" i="13"/>
  <c r="BA753" i="13"/>
  <c r="BB753" i="13"/>
  <c r="BC753" i="13"/>
  <c r="BD753" i="13"/>
  <c r="BE753" i="13"/>
  <c r="BF753" i="13"/>
  <c r="BG753" i="13"/>
  <c r="BH753" i="13"/>
  <c r="BI753" i="13"/>
  <c r="AQ754" i="13"/>
  <c r="AR754" i="13"/>
  <c r="AS754" i="13"/>
  <c r="AT754" i="13"/>
  <c r="AU754" i="13"/>
  <c r="AV754" i="13"/>
  <c r="AW754" i="13"/>
  <c r="AX754" i="13"/>
  <c r="AY754" i="13"/>
  <c r="AZ754" i="13"/>
  <c r="BA754" i="13"/>
  <c r="BB754" i="13"/>
  <c r="BC754" i="13"/>
  <c r="BD754" i="13"/>
  <c r="BE754" i="13"/>
  <c r="BF754" i="13"/>
  <c r="BG754" i="13"/>
  <c r="BH754" i="13"/>
  <c r="BI754" i="13"/>
  <c r="AQ755" i="13"/>
  <c r="AR755" i="13"/>
  <c r="AS755" i="13"/>
  <c r="AT755" i="13"/>
  <c r="AU755" i="13"/>
  <c r="AV755" i="13"/>
  <c r="AW755" i="13"/>
  <c r="AX755" i="13"/>
  <c r="AY755" i="13"/>
  <c r="AZ755" i="13"/>
  <c r="BA755" i="13"/>
  <c r="BB755" i="13"/>
  <c r="BC755" i="13"/>
  <c r="BD755" i="13"/>
  <c r="BE755" i="13"/>
  <c r="BF755" i="13"/>
  <c r="BG755" i="13"/>
  <c r="BH755" i="13"/>
  <c r="BI755" i="13"/>
  <c r="AQ756" i="13"/>
  <c r="AR756" i="13"/>
  <c r="AS756" i="13"/>
  <c r="AT756" i="13"/>
  <c r="AU756" i="13"/>
  <c r="AV756" i="13"/>
  <c r="AW756" i="13"/>
  <c r="AX756" i="13"/>
  <c r="AY756" i="13"/>
  <c r="AZ756" i="13"/>
  <c r="BA756" i="13"/>
  <c r="BB756" i="13"/>
  <c r="BC756" i="13"/>
  <c r="BD756" i="13"/>
  <c r="BE756" i="13"/>
  <c r="BF756" i="13"/>
  <c r="BG756" i="13"/>
  <c r="BH756" i="13"/>
  <c r="BI756" i="13"/>
  <c r="AQ757" i="13"/>
  <c r="AR757" i="13"/>
  <c r="AS757" i="13"/>
  <c r="AT757" i="13"/>
  <c r="AU757" i="13"/>
  <c r="AV757" i="13"/>
  <c r="AW757" i="13"/>
  <c r="AX757" i="13"/>
  <c r="AY757" i="13"/>
  <c r="AZ757" i="13"/>
  <c r="BA757" i="13"/>
  <c r="BB757" i="13"/>
  <c r="BC757" i="13"/>
  <c r="BD757" i="13"/>
  <c r="BE757" i="13"/>
  <c r="BF757" i="13"/>
  <c r="BG757" i="13"/>
  <c r="BH757" i="13"/>
  <c r="BI757" i="13"/>
  <c r="AQ758" i="13"/>
  <c r="AR758" i="13"/>
  <c r="AS758" i="13"/>
  <c r="AT758" i="13"/>
  <c r="AU758" i="13"/>
  <c r="AV758" i="13"/>
  <c r="AW758" i="13"/>
  <c r="AX758" i="13"/>
  <c r="AY758" i="13"/>
  <c r="AZ758" i="13"/>
  <c r="BA758" i="13"/>
  <c r="BB758" i="13"/>
  <c r="BC758" i="13"/>
  <c r="BD758" i="13"/>
  <c r="BE758" i="13"/>
  <c r="BF758" i="13"/>
  <c r="BG758" i="13"/>
  <c r="BH758" i="13"/>
  <c r="BI758" i="13"/>
  <c r="AQ759" i="13"/>
  <c r="AR759" i="13"/>
  <c r="AS759" i="13"/>
  <c r="AT759" i="13"/>
  <c r="AU759" i="13"/>
  <c r="AV759" i="13"/>
  <c r="AW759" i="13"/>
  <c r="AX759" i="13"/>
  <c r="AY759" i="13"/>
  <c r="AZ759" i="13"/>
  <c r="BA759" i="13"/>
  <c r="BB759" i="13"/>
  <c r="BC759" i="13"/>
  <c r="BD759" i="13"/>
  <c r="BE759" i="13"/>
  <c r="BF759" i="13"/>
  <c r="BG759" i="13"/>
  <c r="BH759" i="13"/>
  <c r="BI759" i="13"/>
  <c r="AQ760" i="13"/>
  <c r="AR760" i="13"/>
  <c r="AS760" i="13"/>
  <c r="AT760" i="13"/>
  <c r="AU760" i="13"/>
  <c r="AV760" i="13"/>
  <c r="AW760" i="13"/>
  <c r="AX760" i="13"/>
  <c r="AY760" i="13"/>
  <c r="AZ760" i="13"/>
  <c r="BA760" i="13"/>
  <c r="BB760" i="13"/>
  <c r="BC760" i="13"/>
  <c r="BD760" i="13"/>
  <c r="BE760" i="13"/>
  <c r="BF760" i="13"/>
  <c r="BG760" i="13"/>
  <c r="BH760" i="13"/>
  <c r="BI760" i="13"/>
  <c r="AQ761" i="13"/>
  <c r="AR761" i="13"/>
  <c r="AS761" i="13"/>
  <c r="AT761" i="13"/>
  <c r="AU761" i="13"/>
  <c r="AV761" i="13"/>
  <c r="AW761" i="13"/>
  <c r="AX761" i="13"/>
  <c r="AY761" i="13"/>
  <c r="AZ761" i="13"/>
  <c r="BA761" i="13"/>
  <c r="BB761" i="13"/>
  <c r="BC761" i="13"/>
  <c r="BD761" i="13"/>
  <c r="BE761" i="13"/>
  <c r="BF761" i="13"/>
  <c r="BG761" i="13"/>
  <c r="BH761" i="13"/>
  <c r="BI761" i="13"/>
  <c r="AQ762" i="13"/>
  <c r="AR762" i="13"/>
  <c r="AS762" i="13"/>
  <c r="AT762" i="13"/>
  <c r="AU762" i="13"/>
  <c r="AV762" i="13"/>
  <c r="AW762" i="13"/>
  <c r="AX762" i="13"/>
  <c r="AY762" i="13"/>
  <c r="AZ762" i="13"/>
  <c r="BA762" i="13"/>
  <c r="BB762" i="13"/>
  <c r="BC762" i="13"/>
  <c r="BD762" i="13"/>
  <c r="BE762" i="13"/>
  <c r="BF762" i="13"/>
  <c r="BG762" i="13"/>
  <c r="BH762" i="13"/>
  <c r="BI762" i="13"/>
  <c r="AQ763" i="13"/>
  <c r="AR763" i="13"/>
  <c r="AS763" i="13"/>
  <c r="AT763" i="13"/>
  <c r="AU763" i="13"/>
  <c r="AV763" i="13"/>
  <c r="AW763" i="13"/>
  <c r="AX763" i="13"/>
  <c r="AY763" i="13"/>
  <c r="AZ763" i="13"/>
  <c r="BA763" i="13"/>
  <c r="BB763" i="13"/>
  <c r="BC763" i="13"/>
  <c r="BD763" i="13"/>
  <c r="BE763" i="13"/>
  <c r="BF763" i="13"/>
  <c r="BG763" i="13"/>
  <c r="BH763" i="13"/>
  <c r="BI763" i="13"/>
  <c r="AQ764" i="13"/>
  <c r="AR764" i="13"/>
  <c r="AS764" i="13"/>
  <c r="AT764" i="13"/>
  <c r="AU764" i="13"/>
  <c r="AV764" i="13"/>
  <c r="AW764" i="13"/>
  <c r="AX764" i="13"/>
  <c r="AY764" i="13"/>
  <c r="AZ764" i="13"/>
  <c r="BA764" i="13"/>
  <c r="BB764" i="13"/>
  <c r="BC764" i="13"/>
  <c r="BD764" i="13"/>
  <c r="BE764" i="13"/>
  <c r="BF764" i="13"/>
  <c r="BG764" i="13"/>
  <c r="BH764" i="13"/>
  <c r="BI764" i="13"/>
  <c r="AQ765" i="13"/>
  <c r="AR765" i="13"/>
  <c r="AS765" i="13"/>
  <c r="AT765" i="13"/>
  <c r="AU765" i="13"/>
  <c r="AV765" i="13"/>
  <c r="AW765" i="13"/>
  <c r="AX765" i="13"/>
  <c r="AY765" i="13"/>
  <c r="AZ765" i="13"/>
  <c r="BA765" i="13"/>
  <c r="BB765" i="13"/>
  <c r="BC765" i="13"/>
  <c r="BD765" i="13"/>
  <c r="BE765" i="13"/>
  <c r="BF765" i="13"/>
  <c r="BG765" i="13"/>
  <c r="BH765" i="13"/>
  <c r="BI765" i="13"/>
  <c r="AQ766" i="13"/>
  <c r="AR766" i="13"/>
  <c r="AS766" i="13"/>
  <c r="AT766" i="13"/>
  <c r="AU766" i="13"/>
  <c r="AV766" i="13"/>
  <c r="AW766" i="13"/>
  <c r="AX766" i="13"/>
  <c r="AY766" i="13"/>
  <c r="AZ766" i="13"/>
  <c r="BA766" i="13"/>
  <c r="BB766" i="13"/>
  <c r="BC766" i="13"/>
  <c r="BD766" i="13"/>
  <c r="BE766" i="13"/>
  <c r="BF766" i="13"/>
  <c r="BG766" i="13"/>
  <c r="BH766" i="13"/>
  <c r="BI766" i="13"/>
  <c r="AQ767" i="13"/>
  <c r="AR767" i="13"/>
  <c r="AS767" i="13"/>
  <c r="AT767" i="13"/>
  <c r="AU767" i="13"/>
  <c r="AV767" i="13"/>
  <c r="AW767" i="13"/>
  <c r="AX767" i="13"/>
  <c r="AY767" i="13"/>
  <c r="AZ767" i="13"/>
  <c r="BA767" i="13"/>
  <c r="BB767" i="13"/>
  <c r="BC767" i="13"/>
  <c r="BD767" i="13"/>
  <c r="BE767" i="13"/>
  <c r="BF767" i="13"/>
  <c r="BG767" i="13"/>
  <c r="BH767" i="13"/>
  <c r="BI767" i="13"/>
  <c r="AQ768" i="13"/>
  <c r="AR768" i="13"/>
  <c r="AS768" i="13"/>
  <c r="AT768" i="13"/>
  <c r="AU768" i="13"/>
  <c r="AV768" i="13"/>
  <c r="AW768" i="13"/>
  <c r="AX768" i="13"/>
  <c r="AY768" i="13"/>
  <c r="AZ768" i="13"/>
  <c r="BA768" i="13"/>
  <c r="BB768" i="13"/>
  <c r="BC768" i="13"/>
  <c r="BD768" i="13"/>
  <c r="BE768" i="13"/>
  <c r="BF768" i="13"/>
  <c r="BG768" i="13"/>
  <c r="BH768" i="13"/>
  <c r="BI768" i="13"/>
  <c r="AQ769" i="13"/>
  <c r="AR769" i="13"/>
  <c r="AS769" i="13"/>
  <c r="AT769" i="13"/>
  <c r="AU769" i="13"/>
  <c r="AV769" i="13"/>
  <c r="AW769" i="13"/>
  <c r="AX769" i="13"/>
  <c r="AY769" i="13"/>
  <c r="AZ769" i="13"/>
  <c r="BA769" i="13"/>
  <c r="BB769" i="13"/>
  <c r="BC769" i="13"/>
  <c r="BD769" i="13"/>
  <c r="BE769" i="13"/>
  <c r="BF769" i="13"/>
  <c r="BG769" i="13"/>
  <c r="BH769" i="13"/>
  <c r="BI769" i="13"/>
  <c r="AQ770" i="13"/>
  <c r="AR770" i="13"/>
  <c r="AS770" i="13"/>
  <c r="AT770" i="13"/>
  <c r="AU770" i="13"/>
  <c r="AV770" i="13"/>
  <c r="AW770" i="13"/>
  <c r="AX770" i="13"/>
  <c r="AY770" i="13"/>
  <c r="AZ770" i="13"/>
  <c r="BA770" i="13"/>
  <c r="BB770" i="13"/>
  <c r="BC770" i="13"/>
  <c r="BD770" i="13"/>
  <c r="BE770" i="13"/>
  <c r="BF770" i="13"/>
  <c r="BG770" i="13"/>
  <c r="BH770" i="13"/>
  <c r="BI770" i="13"/>
  <c r="AQ771" i="13"/>
  <c r="AR771" i="13"/>
  <c r="AS771" i="13"/>
  <c r="AT771" i="13"/>
  <c r="AU771" i="13"/>
  <c r="AV771" i="13"/>
  <c r="AW771" i="13"/>
  <c r="AX771" i="13"/>
  <c r="AY771" i="13"/>
  <c r="AZ771" i="13"/>
  <c r="BA771" i="13"/>
  <c r="BB771" i="13"/>
  <c r="BC771" i="13"/>
  <c r="BD771" i="13"/>
  <c r="BE771" i="13"/>
  <c r="BF771" i="13"/>
  <c r="BG771" i="13"/>
  <c r="BH771" i="13"/>
  <c r="BI771" i="13"/>
  <c r="AQ772" i="13"/>
  <c r="AR772" i="13"/>
  <c r="AS772" i="13"/>
  <c r="AT772" i="13"/>
  <c r="AU772" i="13"/>
  <c r="AV772" i="13"/>
  <c r="AW772" i="13"/>
  <c r="AX772" i="13"/>
  <c r="AY772" i="13"/>
  <c r="AZ772" i="13"/>
  <c r="BA772" i="13"/>
  <c r="BB772" i="13"/>
  <c r="BC772" i="13"/>
  <c r="BD772" i="13"/>
  <c r="BE772" i="13"/>
  <c r="BF772" i="13"/>
  <c r="BG772" i="13"/>
  <c r="BH772" i="13"/>
  <c r="BI772" i="13"/>
  <c r="AQ773" i="13"/>
  <c r="AR773" i="13"/>
  <c r="AS773" i="13"/>
  <c r="AT773" i="13"/>
  <c r="AU773" i="13"/>
  <c r="AV773" i="13"/>
  <c r="AW773" i="13"/>
  <c r="AX773" i="13"/>
  <c r="AY773" i="13"/>
  <c r="AZ773" i="13"/>
  <c r="BA773" i="13"/>
  <c r="BB773" i="13"/>
  <c r="BC773" i="13"/>
  <c r="BD773" i="13"/>
  <c r="BE773" i="13"/>
  <c r="BF773" i="13"/>
  <c r="BG773" i="13"/>
  <c r="BH773" i="13"/>
  <c r="BI773" i="13"/>
  <c r="AQ774" i="13"/>
  <c r="AR774" i="13"/>
  <c r="AS774" i="13"/>
  <c r="AT774" i="13"/>
  <c r="AU774" i="13"/>
  <c r="AV774" i="13"/>
  <c r="AW774" i="13"/>
  <c r="AX774" i="13"/>
  <c r="AY774" i="13"/>
  <c r="AZ774" i="13"/>
  <c r="BA774" i="13"/>
  <c r="BB774" i="13"/>
  <c r="BC774" i="13"/>
  <c r="BD774" i="13"/>
  <c r="BE774" i="13"/>
  <c r="BF774" i="13"/>
  <c r="BG774" i="13"/>
  <c r="BH774" i="13"/>
  <c r="BI774" i="13"/>
  <c r="AQ775" i="13"/>
  <c r="AR775" i="13"/>
  <c r="AS775" i="13"/>
  <c r="AT775" i="13"/>
  <c r="AU775" i="13"/>
  <c r="AV775" i="13"/>
  <c r="AW775" i="13"/>
  <c r="AX775" i="13"/>
  <c r="AY775" i="13"/>
  <c r="AZ775" i="13"/>
  <c r="BA775" i="13"/>
  <c r="BB775" i="13"/>
  <c r="BC775" i="13"/>
  <c r="BD775" i="13"/>
  <c r="BE775" i="13"/>
  <c r="BF775" i="13"/>
  <c r="BG775" i="13"/>
  <c r="BH775" i="13"/>
  <c r="BI775" i="13"/>
  <c r="AQ776" i="13"/>
  <c r="AR776" i="13"/>
  <c r="AS776" i="13"/>
  <c r="AT776" i="13"/>
  <c r="AU776" i="13"/>
  <c r="AV776" i="13"/>
  <c r="AW776" i="13"/>
  <c r="AX776" i="13"/>
  <c r="AY776" i="13"/>
  <c r="AZ776" i="13"/>
  <c r="BA776" i="13"/>
  <c r="BB776" i="13"/>
  <c r="BC776" i="13"/>
  <c r="BD776" i="13"/>
  <c r="BE776" i="13"/>
  <c r="BF776" i="13"/>
  <c r="BG776" i="13"/>
  <c r="BH776" i="13"/>
  <c r="BI776" i="13"/>
  <c r="AQ777" i="13"/>
  <c r="AR777" i="13"/>
  <c r="AS777" i="13"/>
  <c r="AT777" i="13"/>
  <c r="AU777" i="13"/>
  <c r="AV777" i="13"/>
  <c r="AW777" i="13"/>
  <c r="AX777" i="13"/>
  <c r="AY777" i="13"/>
  <c r="AZ777" i="13"/>
  <c r="BA777" i="13"/>
  <c r="BB777" i="13"/>
  <c r="BC777" i="13"/>
  <c r="BD777" i="13"/>
  <c r="BE777" i="13"/>
  <c r="BF777" i="13"/>
  <c r="BG777" i="13"/>
  <c r="BH777" i="13"/>
  <c r="BI777" i="13"/>
  <c r="AQ778" i="13"/>
  <c r="AR778" i="13"/>
  <c r="AS778" i="13"/>
  <c r="AT778" i="13"/>
  <c r="AU778" i="13"/>
  <c r="AV778" i="13"/>
  <c r="AW778" i="13"/>
  <c r="AX778" i="13"/>
  <c r="AY778" i="13"/>
  <c r="AZ778" i="13"/>
  <c r="BA778" i="13"/>
  <c r="BB778" i="13"/>
  <c r="BC778" i="13"/>
  <c r="BD778" i="13"/>
  <c r="BE778" i="13"/>
  <c r="BF778" i="13"/>
  <c r="BG778" i="13"/>
  <c r="BH778" i="13"/>
  <c r="BI778" i="13"/>
  <c r="AQ779" i="13"/>
  <c r="AR779" i="13"/>
  <c r="AS779" i="13"/>
  <c r="AT779" i="13"/>
  <c r="AU779" i="13"/>
  <c r="AV779" i="13"/>
  <c r="AW779" i="13"/>
  <c r="AX779" i="13"/>
  <c r="AY779" i="13"/>
  <c r="AZ779" i="13"/>
  <c r="BA779" i="13"/>
  <c r="BB779" i="13"/>
  <c r="BC779" i="13"/>
  <c r="BD779" i="13"/>
  <c r="BE779" i="13"/>
  <c r="BF779" i="13"/>
  <c r="BG779" i="13"/>
  <c r="BH779" i="13"/>
  <c r="BI779" i="13"/>
  <c r="AQ780" i="13"/>
  <c r="AR780" i="13"/>
  <c r="AS780" i="13"/>
  <c r="AT780" i="13"/>
  <c r="AU780" i="13"/>
  <c r="AV780" i="13"/>
  <c r="AW780" i="13"/>
  <c r="AX780" i="13"/>
  <c r="AY780" i="13"/>
  <c r="AZ780" i="13"/>
  <c r="BA780" i="13"/>
  <c r="BB780" i="13"/>
  <c r="BC780" i="13"/>
  <c r="BD780" i="13"/>
  <c r="BE780" i="13"/>
  <c r="BF780" i="13"/>
  <c r="BG780" i="13"/>
  <c r="BH780" i="13"/>
  <c r="BI780" i="13"/>
  <c r="AQ781" i="13"/>
  <c r="AR781" i="13"/>
  <c r="AS781" i="13"/>
  <c r="AT781" i="13"/>
  <c r="AU781" i="13"/>
  <c r="AV781" i="13"/>
  <c r="AW781" i="13"/>
  <c r="AX781" i="13"/>
  <c r="AY781" i="13"/>
  <c r="AZ781" i="13"/>
  <c r="BA781" i="13"/>
  <c r="BB781" i="13"/>
  <c r="BC781" i="13"/>
  <c r="BD781" i="13"/>
  <c r="BE781" i="13"/>
  <c r="BF781" i="13"/>
  <c r="BG781" i="13"/>
  <c r="BH781" i="13"/>
  <c r="BI781" i="13"/>
  <c r="AQ782" i="13"/>
  <c r="AR782" i="13"/>
  <c r="AS782" i="13"/>
  <c r="AT782" i="13"/>
  <c r="AU782" i="13"/>
  <c r="AV782" i="13"/>
  <c r="AW782" i="13"/>
  <c r="AX782" i="13"/>
  <c r="AY782" i="13"/>
  <c r="AZ782" i="13"/>
  <c r="BA782" i="13"/>
  <c r="BB782" i="13"/>
  <c r="BC782" i="13"/>
  <c r="BD782" i="13"/>
  <c r="BE782" i="13"/>
  <c r="BF782" i="13"/>
  <c r="BG782" i="13"/>
  <c r="BH782" i="13"/>
  <c r="BI782" i="13"/>
  <c r="AQ783" i="13"/>
  <c r="AR783" i="13"/>
  <c r="AS783" i="13"/>
  <c r="AT783" i="13"/>
  <c r="AU783" i="13"/>
  <c r="AV783" i="13"/>
  <c r="AW783" i="13"/>
  <c r="AX783" i="13"/>
  <c r="AY783" i="13"/>
  <c r="AZ783" i="13"/>
  <c r="BA783" i="13"/>
  <c r="BB783" i="13"/>
  <c r="BC783" i="13"/>
  <c r="BD783" i="13"/>
  <c r="BE783" i="13"/>
  <c r="BF783" i="13"/>
  <c r="BG783" i="13"/>
  <c r="BH783" i="13"/>
  <c r="BI783" i="13"/>
  <c r="AQ784" i="13"/>
  <c r="AR784" i="13"/>
  <c r="AS784" i="13"/>
  <c r="AT784" i="13"/>
  <c r="AU784" i="13"/>
  <c r="AV784" i="13"/>
  <c r="AW784" i="13"/>
  <c r="AX784" i="13"/>
  <c r="AY784" i="13"/>
  <c r="AZ784" i="13"/>
  <c r="BA784" i="13"/>
  <c r="BB784" i="13"/>
  <c r="BC784" i="13"/>
  <c r="BD784" i="13"/>
  <c r="BE784" i="13"/>
  <c r="BF784" i="13"/>
  <c r="BG784" i="13"/>
  <c r="BH784" i="13"/>
  <c r="BI784" i="13"/>
  <c r="AQ785" i="13"/>
  <c r="AR785" i="13"/>
  <c r="AS785" i="13"/>
  <c r="AT785" i="13"/>
  <c r="AU785" i="13"/>
  <c r="AV785" i="13"/>
  <c r="AW785" i="13"/>
  <c r="AX785" i="13"/>
  <c r="AY785" i="13"/>
  <c r="AZ785" i="13"/>
  <c r="BA785" i="13"/>
  <c r="BB785" i="13"/>
  <c r="BC785" i="13"/>
  <c r="BD785" i="13"/>
  <c r="BE785" i="13"/>
  <c r="BF785" i="13"/>
  <c r="BG785" i="13"/>
  <c r="BH785" i="13"/>
  <c r="BI785" i="13"/>
  <c r="AQ786" i="13"/>
  <c r="AR786" i="13"/>
  <c r="AS786" i="13"/>
  <c r="AT786" i="13"/>
  <c r="AU786" i="13"/>
  <c r="AV786" i="13"/>
  <c r="AW786" i="13"/>
  <c r="AX786" i="13"/>
  <c r="AY786" i="13"/>
  <c r="AZ786" i="13"/>
  <c r="BA786" i="13"/>
  <c r="BB786" i="13"/>
  <c r="BC786" i="13"/>
  <c r="BD786" i="13"/>
  <c r="BE786" i="13"/>
  <c r="BF786" i="13"/>
  <c r="BG786" i="13"/>
  <c r="BH786" i="13"/>
  <c r="BI786" i="13"/>
  <c r="AQ787" i="13"/>
  <c r="AR787" i="13"/>
  <c r="AS787" i="13"/>
  <c r="AT787" i="13"/>
  <c r="AU787" i="13"/>
  <c r="AV787" i="13"/>
  <c r="AW787" i="13"/>
  <c r="AX787" i="13"/>
  <c r="AY787" i="13"/>
  <c r="AZ787" i="13"/>
  <c r="BA787" i="13"/>
  <c r="BB787" i="13"/>
  <c r="BC787" i="13"/>
  <c r="BD787" i="13"/>
  <c r="BE787" i="13"/>
  <c r="BF787" i="13"/>
  <c r="BG787" i="13"/>
  <c r="BH787" i="13"/>
  <c r="BI787" i="13"/>
  <c r="AQ788" i="13"/>
  <c r="AR788" i="13"/>
  <c r="AS788" i="13"/>
  <c r="AT788" i="13"/>
  <c r="AU788" i="13"/>
  <c r="AV788" i="13"/>
  <c r="AW788" i="13"/>
  <c r="AX788" i="13"/>
  <c r="AY788" i="13"/>
  <c r="AZ788" i="13"/>
  <c r="BA788" i="13"/>
  <c r="BB788" i="13"/>
  <c r="BC788" i="13"/>
  <c r="BD788" i="13"/>
  <c r="BE788" i="13"/>
  <c r="BF788" i="13"/>
  <c r="BG788" i="13"/>
  <c r="BH788" i="13"/>
  <c r="BI788" i="13"/>
  <c r="AQ789" i="13"/>
  <c r="AR789" i="13"/>
  <c r="AS789" i="13"/>
  <c r="AT789" i="13"/>
  <c r="AU789" i="13"/>
  <c r="AV789" i="13"/>
  <c r="AW789" i="13"/>
  <c r="AX789" i="13"/>
  <c r="AY789" i="13"/>
  <c r="AZ789" i="13"/>
  <c r="BA789" i="13"/>
  <c r="BB789" i="13"/>
  <c r="BC789" i="13"/>
  <c r="BD789" i="13"/>
  <c r="BE789" i="13"/>
  <c r="BF789" i="13"/>
  <c r="BG789" i="13"/>
  <c r="BH789" i="13"/>
  <c r="BI789" i="13"/>
  <c r="AQ790" i="13"/>
  <c r="AR790" i="13"/>
  <c r="AS790" i="13"/>
  <c r="AT790" i="13"/>
  <c r="AU790" i="13"/>
  <c r="AV790" i="13"/>
  <c r="AW790" i="13"/>
  <c r="AX790" i="13"/>
  <c r="AY790" i="13"/>
  <c r="AZ790" i="13"/>
  <c r="BA790" i="13"/>
  <c r="BB790" i="13"/>
  <c r="BC790" i="13"/>
  <c r="BD790" i="13"/>
  <c r="BE790" i="13"/>
  <c r="BF790" i="13"/>
  <c r="BG790" i="13"/>
  <c r="BH790" i="13"/>
  <c r="BI790" i="13"/>
  <c r="AQ791" i="13"/>
  <c r="AR791" i="13"/>
  <c r="AS791" i="13"/>
  <c r="AT791" i="13"/>
  <c r="AU791" i="13"/>
  <c r="AV791" i="13"/>
  <c r="AW791" i="13"/>
  <c r="AX791" i="13"/>
  <c r="AY791" i="13"/>
  <c r="AZ791" i="13"/>
  <c r="BA791" i="13"/>
  <c r="BB791" i="13"/>
  <c r="BC791" i="13"/>
  <c r="BD791" i="13"/>
  <c r="BE791" i="13"/>
  <c r="BF791" i="13"/>
  <c r="BG791" i="13"/>
  <c r="BH791" i="13"/>
  <c r="BI791" i="13"/>
  <c r="AQ792" i="13"/>
  <c r="AR792" i="13"/>
  <c r="AS792" i="13"/>
  <c r="AT792" i="13"/>
  <c r="AU792" i="13"/>
  <c r="AV792" i="13"/>
  <c r="AW792" i="13"/>
  <c r="AX792" i="13"/>
  <c r="AY792" i="13"/>
  <c r="AZ792" i="13"/>
  <c r="BA792" i="13"/>
  <c r="BB792" i="13"/>
  <c r="BC792" i="13"/>
  <c r="BD792" i="13"/>
  <c r="BE792" i="13"/>
  <c r="BF792" i="13"/>
  <c r="BG792" i="13"/>
  <c r="BH792" i="13"/>
  <c r="BI792" i="13"/>
  <c r="AQ793" i="13"/>
  <c r="AR793" i="13"/>
  <c r="AS793" i="13"/>
  <c r="AT793" i="13"/>
  <c r="AU793" i="13"/>
  <c r="AV793" i="13"/>
  <c r="AW793" i="13"/>
  <c r="AX793" i="13"/>
  <c r="AY793" i="13"/>
  <c r="AZ793" i="13"/>
  <c r="BA793" i="13"/>
  <c r="BB793" i="13"/>
  <c r="BC793" i="13"/>
  <c r="BD793" i="13"/>
  <c r="BE793" i="13"/>
  <c r="BF793" i="13"/>
  <c r="BG793" i="13"/>
  <c r="BH793" i="13"/>
  <c r="BI793" i="13"/>
  <c r="AQ794" i="13"/>
  <c r="AR794" i="13"/>
  <c r="AS794" i="13"/>
  <c r="AT794" i="13"/>
  <c r="AU794" i="13"/>
  <c r="AV794" i="13"/>
  <c r="AW794" i="13"/>
  <c r="AX794" i="13"/>
  <c r="AY794" i="13"/>
  <c r="AZ794" i="13"/>
  <c r="BA794" i="13"/>
  <c r="BB794" i="13"/>
  <c r="BC794" i="13"/>
  <c r="BD794" i="13"/>
  <c r="BE794" i="13"/>
  <c r="BF794" i="13"/>
  <c r="BG794" i="13"/>
  <c r="BH794" i="13"/>
  <c r="BI794" i="13"/>
  <c r="AQ795" i="13"/>
  <c r="AR795" i="13"/>
  <c r="AS795" i="13"/>
  <c r="AT795" i="13"/>
  <c r="AU795" i="13"/>
  <c r="AV795" i="13"/>
  <c r="AW795" i="13"/>
  <c r="AX795" i="13"/>
  <c r="AY795" i="13"/>
  <c r="AZ795" i="13"/>
  <c r="BA795" i="13"/>
  <c r="BB795" i="13"/>
  <c r="BC795" i="13"/>
  <c r="BD795" i="13"/>
  <c r="BE795" i="13"/>
  <c r="BF795" i="13"/>
  <c r="BG795" i="13"/>
  <c r="BH795" i="13"/>
  <c r="BI795" i="13"/>
  <c r="AQ796" i="13"/>
  <c r="AR796" i="13"/>
  <c r="AS796" i="13"/>
  <c r="AT796" i="13"/>
  <c r="AU796" i="13"/>
  <c r="AV796" i="13"/>
  <c r="AW796" i="13"/>
  <c r="AX796" i="13"/>
  <c r="AY796" i="13"/>
  <c r="AZ796" i="13"/>
  <c r="BA796" i="13"/>
  <c r="BB796" i="13"/>
  <c r="BC796" i="13"/>
  <c r="BD796" i="13"/>
  <c r="BE796" i="13"/>
  <c r="BF796" i="13"/>
  <c r="BG796" i="13"/>
  <c r="BH796" i="13"/>
  <c r="BI796" i="13"/>
  <c r="AQ797" i="13"/>
  <c r="AR797" i="13"/>
  <c r="AS797" i="13"/>
  <c r="AT797" i="13"/>
  <c r="AU797" i="13"/>
  <c r="AV797" i="13"/>
  <c r="AW797" i="13"/>
  <c r="AX797" i="13"/>
  <c r="AY797" i="13"/>
  <c r="AZ797" i="13"/>
  <c r="BA797" i="13"/>
  <c r="BB797" i="13"/>
  <c r="BC797" i="13"/>
  <c r="BD797" i="13"/>
  <c r="BE797" i="13"/>
  <c r="BF797" i="13"/>
  <c r="BG797" i="13"/>
  <c r="BH797" i="13"/>
  <c r="BI797" i="13"/>
  <c r="AQ798" i="13"/>
  <c r="AR798" i="13"/>
  <c r="AS798" i="13"/>
  <c r="AT798" i="13"/>
  <c r="AU798" i="13"/>
  <c r="AV798" i="13"/>
  <c r="AW798" i="13"/>
  <c r="AX798" i="13"/>
  <c r="AY798" i="13"/>
  <c r="AZ798" i="13"/>
  <c r="BA798" i="13"/>
  <c r="BB798" i="13"/>
  <c r="BC798" i="13"/>
  <c r="BD798" i="13"/>
  <c r="BE798" i="13"/>
  <c r="BF798" i="13"/>
  <c r="BG798" i="13"/>
  <c r="BH798" i="13"/>
  <c r="BI798" i="13"/>
  <c r="AQ799" i="13"/>
  <c r="AR799" i="13"/>
  <c r="AS799" i="13"/>
  <c r="AT799" i="13"/>
  <c r="AU799" i="13"/>
  <c r="AV799" i="13"/>
  <c r="AW799" i="13"/>
  <c r="AX799" i="13"/>
  <c r="AY799" i="13"/>
  <c r="AZ799" i="13"/>
  <c r="BA799" i="13"/>
  <c r="BB799" i="13"/>
  <c r="BC799" i="13"/>
  <c r="BD799" i="13"/>
  <c r="BE799" i="13"/>
  <c r="BF799" i="13"/>
  <c r="BG799" i="13"/>
  <c r="BH799" i="13"/>
  <c r="BI799" i="13"/>
  <c r="AQ800" i="13"/>
  <c r="AR800" i="13"/>
  <c r="AS800" i="13"/>
  <c r="AT800" i="13"/>
  <c r="AU800" i="13"/>
  <c r="AV800" i="13"/>
  <c r="AW800" i="13"/>
  <c r="AX800" i="13"/>
  <c r="AY800" i="13"/>
  <c r="AZ800" i="13"/>
  <c r="BA800" i="13"/>
  <c r="BB800" i="13"/>
  <c r="BC800" i="13"/>
  <c r="BD800" i="13"/>
  <c r="BE800" i="13"/>
  <c r="BF800" i="13"/>
  <c r="BG800" i="13"/>
  <c r="BH800" i="13"/>
  <c r="BI800" i="13"/>
  <c r="AQ801" i="13"/>
  <c r="AR801" i="13"/>
  <c r="AS801" i="13"/>
  <c r="AT801" i="13"/>
  <c r="AU801" i="13"/>
  <c r="AV801" i="13"/>
  <c r="AW801" i="13"/>
  <c r="AX801" i="13"/>
  <c r="AY801" i="13"/>
  <c r="AZ801" i="13"/>
  <c r="BA801" i="13"/>
  <c r="BB801" i="13"/>
  <c r="BC801" i="13"/>
  <c r="BD801" i="13"/>
  <c r="BE801" i="13"/>
  <c r="BF801" i="13"/>
  <c r="BG801" i="13"/>
  <c r="BH801" i="13"/>
  <c r="BI801" i="13"/>
  <c r="AQ802" i="13"/>
  <c r="AR802" i="13"/>
  <c r="AS802" i="13"/>
  <c r="AT802" i="13"/>
  <c r="AU802" i="13"/>
  <c r="AV802" i="13"/>
  <c r="AW802" i="13"/>
  <c r="AX802" i="13"/>
  <c r="AY802" i="13"/>
  <c r="AZ802" i="13"/>
  <c r="BA802" i="13"/>
  <c r="BB802" i="13"/>
  <c r="BC802" i="13"/>
  <c r="BD802" i="13"/>
  <c r="BE802" i="13"/>
  <c r="BF802" i="13"/>
  <c r="BG802" i="13"/>
  <c r="BH802" i="13"/>
  <c r="BI802" i="13"/>
  <c r="AQ803" i="13"/>
  <c r="AR803" i="13"/>
  <c r="AS803" i="13"/>
  <c r="AT803" i="13"/>
  <c r="AU803" i="13"/>
  <c r="AV803" i="13"/>
  <c r="AW803" i="13"/>
  <c r="AX803" i="13"/>
  <c r="AY803" i="13"/>
  <c r="AZ803" i="13"/>
  <c r="BA803" i="13"/>
  <c r="BB803" i="13"/>
  <c r="BC803" i="13"/>
  <c r="BD803" i="13"/>
  <c r="BE803" i="13"/>
  <c r="BF803" i="13"/>
  <c r="BG803" i="13"/>
  <c r="BH803" i="13"/>
  <c r="BI803" i="13"/>
  <c r="AQ804" i="13"/>
  <c r="AR804" i="13"/>
  <c r="AS804" i="13"/>
  <c r="AT804" i="13"/>
  <c r="AU804" i="13"/>
  <c r="AV804" i="13"/>
  <c r="AW804" i="13"/>
  <c r="AX804" i="13"/>
  <c r="AY804" i="13"/>
  <c r="AZ804" i="13"/>
  <c r="BA804" i="13"/>
  <c r="BB804" i="13"/>
  <c r="BC804" i="13"/>
  <c r="BD804" i="13"/>
  <c r="BE804" i="13"/>
  <c r="BF804" i="13"/>
  <c r="BG804" i="13"/>
  <c r="BH804" i="13"/>
  <c r="BI804" i="13"/>
  <c r="AQ805" i="13"/>
  <c r="AR805" i="13"/>
  <c r="AS805" i="13"/>
  <c r="AT805" i="13"/>
  <c r="AU805" i="13"/>
  <c r="AV805" i="13"/>
  <c r="AW805" i="13"/>
  <c r="AX805" i="13"/>
  <c r="AY805" i="13"/>
  <c r="AZ805" i="13"/>
  <c r="BA805" i="13"/>
  <c r="BB805" i="13"/>
  <c r="BC805" i="13"/>
  <c r="BD805" i="13"/>
  <c r="BE805" i="13"/>
  <c r="BF805" i="13"/>
  <c r="BG805" i="13"/>
  <c r="BH805" i="13"/>
  <c r="BI805" i="13"/>
  <c r="AQ806" i="13"/>
  <c r="AR806" i="13"/>
  <c r="AS806" i="13"/>
  <c r="AT806" i="13"/>
  <c r="AU806" i="13"/>
  <c r="AV806" i="13"/>
  <c r="AW806" i="13"/>
  <c r="AX806" i="13"/>
  <c r="AY806" i="13"/>
  <c r="AZ806" i="13"/>
  <c r="BA806" i="13"/>
  <c r="BB806" i="13"/>
  <c r="BC806" i="13"/>
  <c r="BD806" i="13"/>
  <c r="BE806" i="13"/>
  <c r="BF806" i="13"/>
  <c r="BG806" i="13"/>
  <c r="BH806" i="13"/>
  <c r="BI806" i="13"/>
  <c r="AQ807" i="13"/>
  <c r="AR807" i="13"/>
  <c r="AS807" i="13"/>
  <c r="AT807" i="13"/>
  <c r="AU807" i="13"/>
  <c r="AV807" i="13"/>
  <c r="AW807" i="13"/>
  <c r="AX807" i="13"/>
  <c r="AY807" i="13"/>
  <c r="AZ807" i="13"/>
  <c r="BA807" i="13"/>
  <c r="BB807" i="13"/>
  <c r="BC807" i="13"/>
  <c r="BD807" i="13"/>
  <c r="BE807" i="13"/>
  <c r="BF807" i="13"/>
  <c r="BG807" i="13"/>
  <c r="BH807" i="13"/>
  <c r="BI807" i="13"/>
  <c r="AQ808" i="13"/>
  <c r="AR808" i="13"/>
  <c r="AS808" i="13"/>
  <c r="AT808" i="13"/>
  <c r="AU808" i="13"/>
  <c r="AV808" i="13"/>
  <c r="AW808" i="13"/>
  <c r="AX808" i="13"/>
  <c r="AY808" i="13"/>
  <c r="AZ808" i="13"/>
  <c r="BA808" i="13"/>
  <c r="BB808" i="13"/>
  <c r="BC808" i="13"/>
  <c r="BD808" i="13"/>
  <c r="BE808" i="13"/>
  <c r="BF808" i="13"/>
  <c r="BG808" i="13"/>
  <c r="BH808" i="13"/>
  <c r="BI808" i="13"/>
  <c r="AQ809" i="13"/>
  <c r="AR809" i="13"/>
  <c r="AS809" i="13"/>
  <c r="AT809" i="13"/>
  <c r="AU809" i="13"/>
  <c r="AV809" i="13"/>
  <c r="AW809" i="13"/>
  <c r="AX809" i="13"/>
  <c r="AY809" i="13"/>
  <c r="AZ809" i="13"/>
  <c r="BA809" i="13"/>
  <c r="BB809" i="13"/>
  <c r="BC809" i="13"/>
  <c r="BD809" i="13"/>
  <c r="BE809" i="13"/>
  <c r="BF809" i="13"/>
  <c r="BG809" i="13"/>
  <c r="BH809" i="13"/>
  <c r="BI809" i="13"/>
  <c r="AQ810" i="13"/>
  <c r="AR810" i="13"/>
  <c r="AS810" i="13"/>
  <c r="AT810" i="13"/>
  <c r="AU810" i="13"/>
  <c r="AV810" i="13"/>
  <c r="AW810" i="13"/>
  <c r="AX810" i="13"/>
  <c r="AY810" i="13"/>
  <c r="AZ810" i="13"/>
  <c r="BA810" i="13"/>
  <c r="BB810" i="13"/>
  <c r="BC810" i="13"/>
  <c r="BD810" i="13"/>
  <c r="BE810" i="13"/>
  <c r="BF810" i="13"/>
  <c r="BG810" i="13"/>
  <c r="BH810" i="13"/>
  <c r="BI810" i="13"/>
  <c r="AQ811" i="13"/>
  <c r="AR811" i="13"/>
  <c r="AS811" i="13"/>
  <c r="AT811" i="13"/>
  <c r="AU811" i="13"/>
  <c r="AV811" i="13"/>
  <c r="AW811" i="13"/>
  <c r="AX811" i="13"/>
  <c r="AY811" i="13"/>
  <c r="AZ811" i="13"/>
  <c r="BA811" i="13"/>
  <c r="BB811" i="13"/>
  <c r="BC811" i="13"/>
  <c r="BD811" i="13"/>
  <c r="BE811" i="13"/>
  <c r="BF811" i="13"/>
  <c r="BG811" i="13"/>
  <c r="BH811" i="13"/>
  <c r="BI811" i="13"/>
  <c r="AQ812" i="13"/>
  <c r="AR812" i="13"/>
  <c r="AS812" i="13"/>
  <c r="AT812" i="13"/>
  <c r="AU812" i="13"/>
  <c r="AV812" i="13"/>
  <c r="AW812" i="13"/>
  <c r="AX812" i="13"/>
  <c r="AY812" i="13"/>
  <c r="AZ812" i="13"/>
  <c r="BA812" i="13"/>
  <c r="BB812" i="13"/>
  <c r="BC812" i="13"/>
  <c r="BD812" i="13"/>
  <c r="BE812" i="13"/>
  <c r="BF812" i="13"/>
  <c r="BG812" i="13"/>
  <c r="BH812" i="13"/>
  <c r="BI812" i="13"/>
  <c r="AQ813" i="13"/>
  <c r="AR813" i="13"/>
  <c r="AS813" i="13"/>
  <c r="AT813" i="13"/>
  <c r="AU813" i="13"/>
  <c r="AV813" i="13"/>
  <c r="AW813" i="13"/>
  <c r="AX813" i="13"/>
  <c r="AY813" i="13"/>
  <c r="AZ813" i="13"/>
  <c r="BA813" i="13"/>
  <c r="BB813" i="13"/>
  <c r="BC813" i="13"/>
  <c r="BD813" i="13"/>
  <c r="BE813" i="13"/>
  <c r="BF813" i="13"/>
  <c r="BG813" i="13"/>
  <c r="BH813" i="13"/>
  <c r="BI813" i="13"/>
  <c r="AQ814" i="13"/>
  <c r="AR814" i="13"/>
  <c r="AS814" i="13"/>
  <c r="AT814" i="13"/>
  <c r="AU814" i="13"/>
  <c r="AV814" i="13"/>
  <c r="AW814" i="13"/>
  <c r="AX814" i="13"/>
  <c r="AY814" i="13"/>
  <c r="AZ814" i="13"/>
  <c r="BA814" i="13"/>
  <c r="BB814" i="13"/>
  <c r="BC814" i="13"/>
  <c r="BD814" i="13"/>
  <c r="BE814" i="13"/>
  <c r="BF814" i="13"/>
  <c r="BG814" i="13"/>
  <c r="BH814" i="13"/>
  <c r="BI814" i="13"/>
  <c r="AQ815" i="13"/>
  <c r="AR815" i="13"/>
  <c r="AS815" i="13"/>
  <c r="AT815" i="13"/>
  <c r="AU815" i="13"/>
  <c r="AV815" i="13"/>
  <c r="AW815" i="13"/>
  <c r="AX815" i="13"/>
  <c r="AY815" i="13"/>
  <c r="AZ815" i="13"/>
  <c r="BA815" i="13"/>
  <c r="BB815" i="13"/>
  <c r="BC815" i="13"/>
  <c r="BD815" i="13"/>
  <c r="BE815" i="13"/>
  <c r="BF815" i="13"/>
  <c r="BG815" i="13"/>
  <c r="BH815" i="13"/>
  <c r="BI815" i="13"/>
  <c r="AQ816" i="13"/>
  <c r="AR816" i="13"/>
  <c r="AS816" i="13"/>
  <c r="AT816" i="13"/>
  <c r="AU816" i="13"/>
  <c r="AV816" i="13"/>
  <c r="AW816" i="13"/>
  <c r="AX816" i="13"/>
  <c r="AY816" i="13"/>
  <c r="AZ816" i="13"/>
  <c r="BA816" i="13"/>
  <c r="BB816" i="13"/>
  <c r="BC816" i="13"/>
  <c r="BD816" i="13"/>
  <c r="BE816" i="13"/>
  <c r="BF816" i="13"/>
  <c r="BG816" i="13"/>
  <c r="BH816" i="13"/>
  <c r="BI816" i="13"/>
  <c r="AQ817" i="13"/>
  <c r="AR817" i="13"/>
  <c r="AS817" i="13"/>
  <c r="AT817" i="13"/>
  <c r="AU817" i="13"/>
  <c r="AV817" i="13"/>
  <c r="AW817" i="13"/>
  <c r="AX817" i="13"/>
  <c r="AY817" i="13"/>
  <c r="AZ817" i="13"/>
  <c r="BA817" i="13"/>
  <c r="BB817" i="13"/>
  <c r="BC817" i="13"/>
  <c r="BD817" i="13"/>
  <c r="BE817" i="13"/>
  <c r="BF817" i="13"/>
  <c r="BG817" i="13"/>
  <c r="BH817" i="13"/>
  <c r="BI817" i="13"/>
  <c r="AQ818" i="13"/>
  <c r="AR818" i="13"/>
  <c r="AS818" i="13"/>
  <c r="AT818" i="13"/>
  <c r="AU818" i="13"/>
  <c r="AV818" i="13"/>
  <c r="AW818" i="13"/>
  <c r="AX818" i="13"/>
  <c r="AY818" i="13"/>
  <c r="AZ818" i="13"/>
  <c r="BA818" i="13"/>
  <c r="BB818" i="13"/>
  <c r="BC818" i="13"/>
  <c r="BD818" i="13"/>
  <c r="BE818" i="13"/>
  <c r="BF818" i="13"/>
  <c r="BG818" i="13"/>
  <c r="BH818" i="13"/>
  <c r="BI818" i="13"/>
  <c r="AQ819" i="13"/>
  <c r="AR819" i="13"/>
  <c r="AS819" i="13"/>
  <c r="AT819" i="13"/>
  <c r="AU819" i="13"/>
  <c r="AV819" i="13"/>
  <c r="AW819" i="13"/>
  <c r="AX819" i="13"/>
  <c r="AY819" i="13"/>
  <c r="AZ819" i="13"/>
  <c r="BA819" i="13"/>
  <c r="BB819" i="13"/>
  <c r="BC819" i="13"/>
  <c r="BD819" i="13"/>
  <c r="BE819" i="13"/>
  <c r="BF819" i="13"/>
  <c r="BG819" i="13"/>
  <c r="BH819" i="13"/>
  <c r="BI819" i="13"/>
  <c r="AQ820" i="13"/>
  <c r="AR820" i="13"/>
  <c r="AS820" i="13"/>
  <c r="AT820" i="13"/>
  <c r="AU820" i="13"/>
  <c r="AV820" i="13"/>
  <c r="AW820" i="13"/>
  <c r="AX820" i="13"/>
  <c r="AY820" i="13"/>
  <c r="AZ820" i="13"/>
  <c r="BA820" i="13"/>
  <c r="BB820" i="13"/>
  <c r="BC820" i="13"/>
  <c r="BD820" i="13"/>
  <c r="BE820" i="13"/>
  <c r="BF820" i="13"/>
  <c r="BG820" i="13"/>
  <c r="BH820" i="13"/>
  <c r="BI820" i="13"/>
  <c r="AQ821" i="13"/>
  <c r="AR821" i="13"/>
  <c r="AS821" i="13"/>
  <c r="AT821" i="13"/>
  <c r="AU821" i="13"/>
  <c r="AV821" i="13"/>
  <c r="AW821" i="13"/>
  <c r="AX821" i="13"/>
  <c r="AY821" i="13"/>
  <c r="AZ821" i="13"/>
  <c r="BA821" i="13"/>
  <c r="BB821" i="13"/>
  <c r="BC821" i="13"/>
  <c r="BD821" i="13"/>
  <c r="BE821" i="13"/>
  <c r="BF821" i="13"/>
  <c r="BG821" i="13"/>
  <c r="BH821" i="13"/>
  <c r="BI821" i="13"/>
  <c r="AQ822" i="13"/>
  <c r="AR822" i="13"/>
  <c r="AS822" i="13"/>
  <c r="AT822" i="13"/>
  <c r="AU822" i="13"/>
  <c r="AV822" i="13"/>
  <c r="AW822" i="13"/>
  <c r="AX822" i="13"/>
  <c r="AY822" i="13"/>
  <c r="AZ822" i="13"/>
  <c r="BA822" i="13"/>
  <c r="BB822" i="13"/>
  <c r="BC822" i="13"/>
  <c r="BD822" i="13"/>
  <c r="BE822" i="13"/>
  <c r="BF822" i="13"/>
  <c r="BG822" i="13"/>
  <c r="BH822" i="13"/>
  <c r="BI822" i="13"/>
  <c r="AQ823" i="13"/>
  <c r="AR823" i="13"/>
  <c r="AS823" i="13"/>
  <c r="AT823" i="13"/>
  <c r="AU823" i="13"/>
  <c r="AV823" i="13"/>
  <c r="AW823" i="13"/>
  <c r="AX823" i="13"/>
  <c r="AY823" i="13"/>
  <c r="AZ823" i="13"/>
  <c r="BA823" i="13"/>
  <c r="BB823" i="13"/>
  <c r="BC823" i="13"/>
  <c r="BD823" i="13"/>
  <c r="BE823" i="13"/>
  <c r="BF823" i="13"/>
  <c r="BG823" i="13"/>
  <c r="BH823" i="13"/>
  <c r="BI823" i="13"/>
  <c r="AQ824" i="13"/>
  <c r="AR824" i="13"/>
  <c r="AS824" i="13"/>
  <c r="AT824" i="13"/>
  <c r="AU824" i="13"/>
  <c r="AV824" i="13"/>
  <c r="AW824" i="13"/>
  <c r="AX824" i="13"/>
  <c r="AY824" i="13"/>
  <c r="AZ824" i="13"/>
  <c r="BA824" i="13"/>
  <c r="BB824" i="13"/>
  <c r="BC824" i="13"/>
  <c r="BD824" i="13"/>
  <c r="BE824" i="13"/>
  <c r="BF824" i="13"/>
  <c r="BG824" i="13"/>
  <c r="BH824" i="13"/>
  <c r="BI824" i="13"/>
  <c r="AQ825" i="13"/>
  <c r="AR825" i="13"/>
  <c r="AS825" i="13"/>
  <c r="AT825" i="13"/>
  <c r="AU825" i="13"/>
  <c r="AV825" i="13"/>
  <c r="AW825" i="13"/>
  <c r="AX825" i="13"/>
  <c r="AY825" i="13"/>
  <c r="AZ825" i="13"/>
  <c r="BA825" i="13"/>
  <c r="BB825" i="13"/>
  <c r="BC825" i="13"/>
  <c r="BD825" i="13"/>
  <c r="BE825" i="13"/>
  <c r="BF825" i="13"/>
  <c r="BG825" i="13"/>
  <c r="BH825" i="13"/>
  <c r="BI825" i="13"/>
  <c r="AQ826" i="13"/>
  <c r="AR826" i="13"/>
  <c r="AS826" i="13"/>
  <c r="AT826" i="13"/>
  <c r="AU826" i="13"/>
  <c r="AV826" i="13"/>
  <c r="AW826" i="13"/>
  <c r="AX826" i="13"/>
  <c r="AY826" i="13"/>
  <c r="AZ826" i="13"/>
  <c r="BA826" i="13"/>
  <c r="BB826" i="13"/>
  <c r="BC826" i="13"/>
  <c r="BD826" i="13"/>
  <c r="BE826" i="13"/>
  <c r="BF826" i="13"/>
  <c r="BG826" i="13"/>
  <c r="BH826" i="13"/>
  <c r="BI826" i="13"/>
  <c r="AQ827" i="13"/>
  <c r="AR827" i="13"/>
  <c r="AS827" i="13"/>
  <c r="AT827" i="13"/>
  <c r="AU827" i="13"/>
  <c r="AV827" i="13"/>
  <c r="AW827" i="13"/>
  <c r="AX827" i="13"/>
  <c r="AY827" i="13"/>
  <c r="AZ827" i="13"/>
  <c r="BA827" i="13"/>
  <c r="BB827" i="13"/>
  <c r="BC827" i="13"/>
  <c r="BD827" i="13"/>
  <c r="BE827" i="13"/>
  <c r="BF827" i="13"/>
  <c r="BG827" i="13"/>
  <c r="BH827" i="13"/>
  <c r="BI827" i="13"/>
  <c r="AQ828" i="13"/>
  <c r="AR828" i="13"/>
  <c r="AS828" i="13"/>
  <c r="AT828" i="13"/>
  <c r="AU828" i="13"/>
  <c r="AV828" i="13"/>
  <c r="AW828" i="13"/>
  <c r="AX828" i="13"/>
  <c r="AY828" i="13"/>
  <c r="AZ828" i="13"/>
  <c r="BA828" i="13"/>
  <c r="BB828" i="13"/>
  <c r="BC828" i="13"/>
  <c r="BD828" i="13"/>
  <c r="BE828" i="13"/>
  <c r="BF828" i="13"/>
  <c r="BG828" i="13"/>
  <c r="BH828" i="13"/>
  <c r="BI828" i="13"/>
  <c r="AQ829" i="13"/>
  <c r="AR829" i="13"/>
  <c r="AS829" i="13"/>
  <c r="AT829" i="13"/>
  <c r="AU829" i="13"/>
  <c r="AV829" i="13"/>
  <c r="AW829" i="13"/>
  <c r="AX829" i="13"/>
  <c r="AY829" i="13"/>
  <c r="AZ829" i="13"/>
  <c r="BA829" i="13"/>
  <c r="BB829" i="13"/>
  <c r="BC829" i="13"/>
  <c r="BD829" i="13"/>
  <c r="BE829" i="13"/>
  <c r="BF829" i="13"/>
  <c r="BG829" i="13"/>
  <c r="BH829" i="13"/>
  <c r="BI829" i="13"/>
  <c r="AQ830" i="13"/>
  <c r="AR830" i="13"/>
  <c r="AS830" i="13"/>
  <c r="AT830" i="13"/>
  <c r="AU830" i="13"/>
  <c r="AV830" i="13"/>
  <c r="AW830" i="13"/>
  <c r="AX830" i="13"/>
  <c r="AY830" i="13"/>
  <c r="AZ830" i="13"/>
  <c r="BA830" i="13"/>
  <c r="BB830" i="13"/>
  <c r="BC830" i="13"/>
  <c r="BD830" i="13"/>
  <c r="BE830" i="13"/>
  <c r="BF830" i="13"/>
  <c r="BG830" i="13"/>
  <c r="BH830" i="13"/>
  <c r="BI830" i="13"/>
  <c r="AQ831" i="13"/>
  <c r="AR831" i="13"/>
  <c r="AS831" i="13"/>
  <c r="AT831" i="13"/>
  <c r="AU831" i="13"/>
  <c r="AV831" i="13"/>
  <c r="AW831" i="13"/>
  <c r="AX831" i="13"/>
  <c r="AY831" i="13"/>
  <c r="AZ831" i="13"/>
  <c r="BA831" i="13"/>
  <c r="BB831" i="13"/>
  <c r="BC831" i="13"/>
  <c r="BD831" i="13"/>
  <c r="BE831" i="13"/>
  <c r="BF831" i="13"/>
  <c r="BG831" i="13"/>
  <c r="BH831" i="13"/>
  <c r="BI831" i="13"/>
  <c r="AQ832" i="13"/>
  <c r="AR832" i="13"/>
  <c r="AS832" i="13"/>
  <c r="AT832" i="13"/>
  <c r="AU832" i="13"/>
  <c r="AV832" i="13"/>
  <c r="AW832" i="13"/>
  <c r="AX832" i="13"/>
  <c r="AY832" i="13"/>
  <c r="AZ832" i="13"/>
  <c r="BA832" i="13"/>
  <c r="BB832" i="13"/>
  <c r="BC832" i="13"/>
  <c r="BD832" i="13"/>
  <c r="BE832" i="13"/>
  <c r="BF832" i="13"/>
  <c r="BG832" i="13"/>
  <c r="BH832" i="13"/>
  <c r="BI832" i="13"/>
  <c r="AQ833" i="13"/>
  <c r="AR833" i="13"/>
  <c r="AS833" i="13"/>
  <c r="AT833" i="13"/>
  <c r="AU833" i="13"/>
  <c r="AV833" i="13"/>
  <c r="AW833" i="13"/>
  <c r="AX833" i="13"/>
  <c r="AY833" i="13"/>
  <c r="AZ833" i="13"/>
  <c r="BA833" i="13"/>
  <c r="BB833" i="13"/>
  <c r="BC833" i="13"/>
  <c r="BD833" i="13"/>
  <c r="BE833" i="13"/>
  <c r="BF833" i="13"/>
  <c r="BG833" i="13"/>
  <c r="BH833" i="13"/>
  <c r="BI833" i="13"/>
  <c r="AQ834" i="13"/>
  <c r="AR834" i="13"/>
  <c r="AS834" i="13"/>
  <c r="AT834" i="13"/>
  <c r="AU834" i="13"/>
  <c r="AV834" i="13"/>
  <c r="AW834" i="13"/>
  <c r="AX834" i="13"/>
  <c r="AY834" i="13"/>
  <c r="AZ834" i="13"/>
  <c r="BA834" i="13"/>
  <c r="BB834" i="13"/>
  <c r="BC834" i="13"/>
  <c r="BD834" i="13"/>
  <c r="BE834" i="13"/>
  <c r="BF834" i="13"/>
  <c r="BG834" i="13"/>
  <c r="BH834" i="13"/>
  <c r="BI834" i="13"/>
  <c r="AQ835" i="13"/>
  <c r="AR835" i="13"/>
  <c r="AS835" i="13"/>
  <c r="AT835" i="13"/>
  <c r="AU835" i="13"/>
  <c r="AV835" i="13"/>
  <c r="AW835" i="13"/>
  <c r="AX835" i="13"/>
  <c r="AY835" i="13"/>
  <c r="AZ835" i="13"/>
  <c r="BA835" i="13"/>
  <c r="BB835" i="13"/>
  <c r="BC835" i="13"/>
  <c r="BD835" i="13"/>
  <c r="BE835" i="13"/>
  <c r="BF835" i="13"/>
  <c r="BG835" i="13"/>
  <c r="BH835" i="13"/>
  <c r="BI835" i="13"/>
  <c r="AQ836" i="13"/>
  <c r="AR836" i="13"/>
  <c r="AS836" i="13"/>
  <c r="AT836" i="13"/>
  <c r="AU836" i="13"/>
  <c r="AV836" i="13"/>
  <c r="AW836" i="13"/>
  <c r="AX836" i="13"/>
  <c r="AY836" i="13"/>
  <c r="AZ836" i="13"/>
  <c r="BA836" i="13"/>
  <c r="BB836" i="13"/>
  <c r="BC836" i="13"/>
  <c r="BD836" i="13"/>
  <c r="BE836" i="13"/>
  <c r="BF836" i="13"/>
  <c r="BG836" i="13"/>
  <c r="BH836" i="13"/>
  <c r="BI836" i="13"/>
  <c r="AQ837" i="13"/>
  <c r="AR837" i="13"/>
  <c r="AS837" i="13"/>
  <c r="AT837" i="13"/>
  <c r="AU837" i="13"/>
  <c r="AV837" i="13"/>
  <c r="AW837" i="13"/>
  <c r="AX837" i="13"/>
  <c r="AY837" i="13"/>
  <c r="AZ837" i="13"/>
  <c r="BA837" i="13"/>
  <c r="BB837" i="13"/>
  <c r="BC837" i="13"/>
  <c r="BD837" i="13"/>
  <c r="BE837" i="13"/>
  <c r="BF837" i="13"/>
  <c r="BG837" i="13"/>
  <c r="BH837" i="13"/>
  <c r="BI837" i="13"/>
  <c r="AQ838" i="13"/>
  <c r="AR838" i="13"/>
  <c r="AS838" i="13"/>
  <c r="AT838" i="13"/>
  <c r="AU838" i="13"/>
  <c r="AV838" i="13"/>
  <c r="AW838" i="13"/>
  <c r="AX838" i="13"/>
  <c r="AY838" i="13"/>
  <c r="AZ838" i="13"/>
  <c r="BA838" i="13"/>
  <c r="BB838" i="13"/>
  <c r="BC838" i="13"/>
  <c r="BD838" i="13"/>
  <c r="BE838" i="13"/>
  <c r="BF838" i="13"/>
  <c r="BG838" i="13"/>
  <c r="BH838" i="13"/>
  <c r="BI838" i="13"/>
  <c r="AQ839" i="13"/>
  <c r="AR839" i="13"/>
  <c r="AS839" i="13"/>
  <c r="AT839" i="13"/>
  <c r="AU839" i="13"/>
  <c r="AV839" i="13"/>
  <c r="AW839" i="13"/>
  <c r="AX839" i="13"/>
  <c r="AY839" i="13"/>
  <c r="AZ839" i="13"/>
  <c r="BA839" i="13"/>
  <c r="BB839" i="13"/>
  <c r="BC839" i="13"/>
  <c r="BD839" i="13"/>
  <c r="BE839" i="13"/>
  <c r="BF839" i="13"/>
  <c r="BG839" i="13"/>
  <c r="BH839" i="13"/>
  <c r="BI839" i="13"/>
  <c r="AQ840" i="13"/>
  <c r="AR840" i="13"/>
  <c r="AS840" i="13"/>
  <c r="AT840" i="13"/>
  <c r="AU840" i="13"/>
  <c r="AV840" i="13"/>
  <c r="AW840" i="13"/>
  <c r="AX840" i="13"/>
  <c r="AY840" i="13"/>
  <c r="AZ840" i="13"/>
  <c r="BA840" i="13"/>
  <c r="BB840" i="13"/>
  <c r="BC840" i="13"/>
  <c r="BD840" i="13"/>
  <c r="BE840" i="13"/>
  <c r="BF840" i="13"/>
  <c r="BG840" i="13"/>
  <c r="BH840" i="13"/>
  <c r="BI840" i="13"/>
  <c r="AQ841" i="13"/>
  <c r="AR841" i="13"/>
  <c r="AS841" i="13"/>
  <c r="AT841" i="13"/>
  <c r="AU841" i="13"/>
  <c r="AV841" i="13"/>
  <c r="AW841" i="13"/>
  <c r="AX841" i="13"/>
  <c r="AY841" i="13"/>
  <c r="AZ841" i="13"/>
  <c r="BA841" i="13"/>
  <c r="BB841" i="13"/>
  <c r="BC841" i="13"/>
  <c r="BD841" i="13"/>
  <c r="BE841" i="13"/>
  <c r="BF841" i="13"/>
  <c r="BG841" i="13"/>
  <c r="BH841" i="13"/>
  <c r="BI841" i="13"/>
  <c r="AQ842" i="13"/>
  <c r="AR842" i="13"/>
  <c r="AS842" i="13"/>
  <c r="AT842" i="13"/>
  <c r="AU842" i="13"/>
  <c r="AV842" i="13"/>
  <c r="AW842" i="13"/>
  <c r="AX842" i="13"/>
  <c r="AY842" i="13"/>
  <c r="AZ842" i="13"/>
  <c r="BA842" i="13"/>
  <c r="BB842" i="13"/>
  <c r="BC842" i="13"/>
  <c r="BD842" i="13"/>
  <c r="BE842" i="13"/>
  <c r="BF842" i="13"/>
  <c r="BG842" i="13"/>
  <c r="BH842" i="13"/>
  <c r="BI842" i="13"/>
  <c r="AQ843" i="13"/>
  <c r="AR843" i="13"/>
  <c r="AS843" i="13"/>
  <c r="AT843" i="13"/>
  <c r="AU843" i="13"/>
  <c r="AV843" i="13"/>
  <c r="AW843" i="13"/>
  <c r="AX843" i="13"/>
  <c r="AY843" i="13"/>
  <c r="AZ843" i="13"/>
  <c r="BA843" i="13"/>
  <c r="BB843" i="13"/>
  <c r="BC843" i="13"/>
  <c r="BD843" i="13"/>
  <c r="BE843" i="13"/>
  <c r="BF843" i="13"/>
  <c r="BG843" i="13"/>
  <c r="BH843" i="13"/>
  <c r="BI843" i="13"/>
  <c r="AQ844" i="13"/>
  <c r="AR844" i="13"/>
  <c r="AS844" i="13"/>
  <c r="AT844" i="13"/>
  <c r="AU844" i="13"/>
  <c r="AV844" i="13"/>
  <c r="AW844" i="13"/>
  <c r="AX844" i="13"/>
  <c r="AY844" i="13"/>
  <c r="AZ844" i="13"/>
  <c r="BA844" i="13"/>
  <c r="BB844" i="13"/>
  <c r="BC844" i="13"/>
  <c r="BD844" i="13"/>
  <c r="BE844" i="13"/>
  <c r="BF844" i="13"/>
  <c r="BG844" i="13"/>
  <c r="BH844" i="13"/>
  <c r="BI844" i="13"/>
  <c r="AQ845" i="13"/>
  <c r="AR845" i="13"/>
  <c r="AS845" i="13"/>
  <c r="AT845" i="13"/>
  <c r="AU845" i="13"/>
  <c r="AV845" i="13"/>
  <c r="AW845" i="13"/>
  <c r="AX845" i="13"/>
  <c r="AY845" i="13"/>
  <c r="AZ845" i="13"/>
  <c r="BA845" i="13"/>
  <c r="BB845" i="13"/>
  <c r="BC845" i="13"/>
  <c r="BD845" i="13"/>
  <c r="BE845" i="13"/>
  <c r="BF845" i="13"/>
  <c r="BG845" i="13"/>
  <c r="BH845" i="13"/>
  <c r="BI845" i="13"/>
  <c r="AQ846" i="13"/>
  <c r="AR846" i="13"/>
  <c r="AS846" i="13"/>
  <c r="AT846" i="13"/>
  <c r="AU846" i="13"/>
  <c r="AV846" i="13"/>
  <c r="AW846" i="13"/>
  <c r="AX846" i="13"/>
  <c r="AY846" i="13"/>
  <c r="AZ846" i="13"/>
  <c r="BA846" i="13"/>
  <c r="BB846" i="13"/>
  <c r="BC846" i="13"/>
  <c r="BD846" i="13"/>
  <c r="BE846" i="13"/>
  <c r="BF846" i="13"/>
  <c r="BG846" i="13"/>
  <c r="BH846" i="13"/>
  <c r="BI846" i="13"/>
  <c r="AQ847" i="13"/>
  <c r="AR847" i="13"/>
  <c r="AS847" i="13"/>
  <c r="AT847" i="13"/>
  <c r="AU847" i="13"/>
  <c r="AV847" i="13"/>
  <c r="AW847" i="13"/>
  <c r="AX847" i="13"/>
  <c r="AY847" i="13"/>
  <c r="AZ847" i="13"/>
  <c r="BA847" i="13"/>
  <c r="BB847" i="13"/>
  <c r="BC847" i="13"/>
  <c r="BD847" i="13"/>
  <c r="BE847" i="13"/>
  <c r="BF847" i="13"/>
  <c r="BG847" i="13"/>
  <c r="BH847" i="13"/>
  <c r="BI847" i="13"/>
  <c r="AQ848" i="13"/>
  <c r="AR848" i="13"/>
  <c r="AS848" i="13"/>
  <c r="AT848" i="13"/>
  <c r="AU848" i="13"/>
  <c r="AV848" i="13"/>
  <c r="AW848" i="13"/>
  <c r="AX848" i="13"/>
  <c r="AY848" i="13"/>
  <c r="AZ848" i="13"/>
  <c r="BA848" i="13"/>
  <c r="BB848" i="13"/>
  <c r="BC848" i="13"/>
  <c r="BD848" i="13"/>
  <c r="BE848" i="13"/>
  <c r="BF848" i="13"/>
  <c r="BG848" i="13"/>
  <c r="BH848" i="13"/>
  <c r="BI848" i="13"/>
  <c r="AQ849" i="13"/>
  <c r="AR849" i="13"/>
  <c r="AS849" i="13"/>
  <c r="AT849" i="13"/>
  <c r="AU849" i="13"/>
  <c r="AV849" i="13"/>
  <c r="AW849" i="13"/>
  <c r="AX849" i="13"/>
  <c r="AY849" i="13"/>
  <c r="AZ849" i="13"/>
  <c r="BA849" i="13"/>
  <c r="BB849" i="13"/>
  <c r="BC849" i="13"/>
  <c r="BD849" i="13"/>
  <c r="BE849" i="13"/>
  <c r="BF849" i="13"/>
  <c r="BG849" i="13"/>
  <c r="BH849" i="13"/>
  <c r="BI849" i="13"/>
  <c r="AQ850" i="13"/>
  <c r="AR850" i="13"/>
  <c r="AS850" i="13"/>
  <c r="AT850" i="13"/>
  <c r="AU850" i="13"/>
  <c r="AV850" i="13"/>
  <c r="AW850" i="13"/>
  <c r="AX850" i="13"/>
  <c r="AY850" i="13"/>
  <c r="AZ850" i="13"/>
  <c r="BA850" i="13"/>
  <c r="BB850" i="13"/>
  <c r="BC850" i="13"/>
  <c r="BD850" i="13"/>
  <c r="BE850" i="13"/>
  <c r="BF850" i="13"/>
  <c r="BG850" i="13"/>
  <c r="BH850" i="13"/>
  <c r="BI850" i="13"/>
  <c r="AQ851" i="13"/>
  <c r="AR851" i="13"/>
  <c r="AS851" i="13"/>
  <c r="AT851" i="13"/>
  <c r="AU851" i="13"/>
  <c r="AV851" i="13"/>
  <c r="AW851" i="13"/>
  <c r="AX851" i="13"/>
  <c r="AY851" i="13"/>
  <c r="AZ851" i="13"/>
  <c r="BA851" i="13"/>
  <c r="BB851" i="13"/>
  <c r="BC851" i="13"/>
  <c r="BD851" i="13"/>
  <c r="BE851" i="13"/>
  <c r="BF851" i="13"/>
  <c r="BG851" i="13"/>
  <c r="BH851" i="13"/>
  <c r="BI851" i="13"/>
  <c r="AQ852" i="13"/>
  <c r="AR852" i="13"/>
  <c r="AS852" i="13"/>
  <c r="AT852" i="13"/>
  <c r="AU852" i="13"/>
  <c r="AV852" i="13"/>
  <c r="AW852" i="13"/>
  <c r="AX852" i="13"/>
  <c r="AY852" i="13"/>
  <c r="AZ852" i="13"/>
  <c r="BA852" i="13"/>
  <c r="BB852" i="13"/>
  <c r="BC852" i="13"/>
  <c r="BD852" i="13"/>
  <c r="BE852" i="13"/>
  <c r="BF852" i="13"/>
  <c r="BG852" i="13"/>
  <c r="BH852" i="13"/>
  <c r="BI852" i="13"/>
  <c r="AQ853" i="13"/>
  <c r="AR853" i="13"/>
  <c r="AS853" i="13"/>
  <c r="AT853" i="13"/>
  <c r="AU853" i="13"/>
  <c r="AV853" i="13"/>
  <c r="AW853" i="13"/>
  <c r="AX853" i="13"/>
  <c r="AY853" i="13"/>
  <c r="AZ853" i="13"/>
  <c r="BA853" i="13"/>
  <c r="BB853" i="13"/>
  <c r="BC853" i="13"/>
  <c r="BD853" i="13"/>
  <c r="BE853" i="13"/>
  <c r="BF853" i="13"/>
  <c r="BG853" i="13"/>
  <c r="BH853" i="13"/>
  <c r="BI853" i="13"/>
  <c r="AQ854" i="13"/>
  <c r="AR854" i="13"/>
  <c r="AS854" i="13"/>
  <c r="AT854" i="13"/>
  <c r="AU854" i="13"/>
  <c r="AV854" i="13"/>
  <c r="AW854" i="13"/>
  <c r="AX854" i="13"/>
  <c r="AY854" i="13"/>
  <c r="AZ854" i="13"/>
  <c r="BA854" i="13"/>
  <c r="BB854" i="13"/>
  <c r="BC854" i="13"/>
  <c r="BD854" i="13"/>
  <c r="BE854" i="13"/>
  <c r="BF854" i="13"/>
  <c r="BG854" i="13"/>
  <c r="BH854" i="13"/>
  <c r="BI854" i="13"/>
  <c r="AQ855" i="13"/>
  <c r="AR855" i="13"/>
  <c r="AS855" i="13"/>
  <c r="AT855" i="13"/>
  <c r="AU855" i="13"/>
  <c r="AV855" i="13"/>
  <c r="AW855" i="13"/>
  <c r="AX855" i="13"/>
  <c r="AY855" i="13"/>
  <c r="AZ855" i="13"/>
  <c r="BA855" i="13"/>
  <c r="BB855" i="13"/>
  <c r="BC855" i="13"/>
  <c r="BD855" i="13"/>
  <c r="BE855" i="13"/>
  <c r="BF855" i="13"/>
  <c r="BG855" i="13"/>
  <c r="BH855" i="13"/>
  <c r="BI855" i="13"/>
  <c r="AQ856" i="13"/>
  <c r="AR856" i="13"/>
  <c r="AS856" i="13"/>
  <c r="AT856" i="13"/>
  <c r="AU856" i="13"/>
  <c r="AV856" i="13"/>
  <c r="AW856" i="13"/>
  <c r="AX856" i="13"/>
  <c r="AY856" i="13"/>
  <c r="AZ856" i="13"/>
  <c r="BA856" i="13"/>
  <c r="BB856" i="13"/>
  <c r="BC856" i="13"/>
  <c r="BD856" i="13"/>
  <c r="BE856" i="13"/>
  <c r="BF856" i="13"/>
  <c r="BG856" i="13"/>
  <c r="BH856" i="13"/>
  <c r="BI856" i="13"/>
  <c r="AQ857" i="13"/>
  <c r="AR857" i="13"/>
  <c r="AS857" i="13"/>
  <c r="AT857" i="13"/>
  <c r="AU857" i="13"/>
  <c r="AV857" i="13"/>
  <c r="AW857" i="13"/>
  <c r="AX857" i="13"/>
  <c r="AY857" i="13"/>
  <c r="AZ857" i="13"/>
  <c r="BA857" i="13"/>
  <c r="BB857" i="13"/>
  <c r="BC857" i="13"/>
  <c r="BD857" i="13"/>
  <c r="BE857" i="13"/>
  <c r="BF857" i="13"/>
  <c r="BG857" i="13"/>
  <c r="BH857" i="13"/>
  <c r="BI857" i="13"/>
  <c r="AQ858" i="13"/>
  <c r="AR858" i="13"/>
  <c r="AS858" i="13"/>
  <c r="AT858" i="13"/>
  <c r="AU858" i="13"/>
  <c r="AV858" i="13"/>
  <c r="AW858" i="13"/>
  <c r="AX858" i="13"/>
  <c r="AY858" i="13"/>
  <c r="AZ858" i="13"/>
  <c r="BA858" i="13"/>
  <c r="BB858" i="13"/>
  <c r="BC858" i="13"/>
  <c r="BD858" i="13"/>
  <c r="BE858" i="13"/>
  <c r="BF858" i="13"/>
  <c r="BG858" i="13"/>
  <c r="BH858" i="13"/>
  <c r="BI858" i="13"/>
  <c r="AQ859" i="13"/>
  <c r="AR859" i="13"/>
  <c r="AS859" i="13"/>
  <c r="AT859" i="13"/>
  <c r="AU859" i="13"/>
  <c r="AV859" i="13"/>
  <c r="AW859" i="13"/>
  <c r="AX859" i="13"/>
  <c r="AY859" i="13"/>
  <c r="AZ859" i="13"/>
  <c r="BA859" i="13"/>
  <c r="BB859" i="13"/>
  <c r="BC859" i="13"/>
  <c r="BD859" i="13"/>
  <c r="BE859" i="13"/>
  <c r="BF859" i="13"/>
  <c r="BG859" i="13"/>
  <c r="BH859" i="13"/>
  <c r="BI859" i="13"/>
  <c r="AQ860" i="13"/>
  <c r="AR860" i="13"/>
  <c r="AS860" i="13"/>
  <c r="AT860" i="13"/>
  <c r="AU860" i="13"/>
  <c r="AV860" i="13"/>
  <c r="AW860" i="13"/>
  <c r="AX860" i="13"/>
  <c r="AY860" i="13"/>
  <c r="AZ860" i="13"/>
  <c r="BA860" i="13"/>
  <c r="BB860" i="13"/>
  <c r="BC860" i="13"/>
  <c r="BD860" i="13"/>
  <c r="BE860" i="13"/>
  <c r="BF860" i="13"/>
  <c r="BG860" i="13"/>
  <c r="BH860" i="13"/>
  <c r="BI860" i="13"/>
  <c r="AQ861" i="13"/>
  <c r="AR861" i="13"/>
  <c r="AS861" i="13"/>
  <c r="AT861" i="13"/>
  <c r="AU861" i="13"/>
  <c r="AV861" i="13"/>
  <c r="AW861" i="13"/>
  <c r="AX861" i="13"/>
  <c r="AY861" i="13"/>
  <c r="AZ861" i="13"/>
  <c r="BA861" i="13"/>
  <c r="BB861" i="13"/>
  <c r="BC861" i="13"/>
  <c r="BD861" i="13"/>
  <c r="BE861" i="13"/>
  <c r="BF861" i="13"/>
  <c r="BG861" i="13"/>
  <c r="BH861" i="13"/>
  <c r="BI861" i="13"/>
  <c r="AQ862" i="13"/>
  <c r="AR862" i="13"/>
  <c r="AS862" i="13"/>
  <c r="AT862" i="13"/>
  <c r="AU862" i="13"/>
  <c r="AV862" i="13"/>
  <c r="AW862" i="13"/>
  <c r="AX862" i="13"/>
  <c r="AY862" i="13"/>
  <c r="AZ862" i="13"/>
  <c r="BA862" i="13"/>
  <c r="BB862" i="13"/>
  <c r="BC862" i="13"/>
  <c r="BD862" i="13"/>
  <c r="BE862" i="13"/>
  <c r="BF862" i="13"/>
  <c r="BG862" i="13"/>
  <c r="BH862" i="13"/>
  <c r="BI862" i="13"/>
  <c r="AQ863" i="13"/>
  <c r="AR863" i="13"/>
  <c r="AS863" i="13"/>
  <c r="AT863" i="13"/>
  <c r="AU863" i="13"/>
  <c r="AV863" i="13"/>
  <c r="AW863" i="13"/>
  <c r="AX863" i="13"/>
  <c r="AY863" i="13"/>
  <c r="AZ863" i="13"/>
  <c r="BA863" i="13"/>
  <c r="BB863" i="13"/>
  <c r="BC863" i="13"/>
  <c r="BD863" i="13"/>
  <c r="BE863" i="13"/>
  <c r="BF863" i="13"/>
  <c r="BG863" i="13"/>
  <c r="BH863" i="13"/>
  <c r="BI863" i="13"/>
  <c r="AQ864" i="13"/>
  <c r="AR864" i="13"/>
  <c r="AS864" i="13"/>
  <c r="AT864" i="13"/>
  <c r="AU864" i="13"/>
  <c r="AV864" i="13"/>
  <c r="AW864" i="13"/>
  <c r="AX864" i="13"/>
  <c r="AY864" i="13"/>
  <c r="AZ864" i="13"/>
  <c r="BA864" i="13"/>
  <c r="BB864" i="13"/>
  <c r="BC864" i="13"/>
  <c r="BD864" i="13"/>
  <c r="BE864" i="13"/>
  <c r="BF864" i="13"/>
  <c r="BG864" i="13"/>
  <c r="BH864" i="13"/>
  <c r="BI864" i="13"/>
  <c r="AQ865" i="13"/>
  <c r="AR865" i="13"/>
  <c r="AS865" i="13"/>
  <c r="AT865" i="13"/>
  <c r="AU865" i="13"/>
  <c r="AV865" i="13"/>
  <c r="AW865" i="13"/>
  <c r="AX865" i="13"/>
  <c r="AY865" i="13"/>
  <c r="AZ865" i="13"/>
  <c r="BA865" i="13"/>
  <c r="BB865" i="13"/>
  <c r="BC865" i="13"/>
  <c r="BD865" i="13"/>
  <c r="BE865" i="13"/>
  <c r="BF865" i="13"/>
  <c r="BG865" i="13"/>
  <c r="BH865" i="13"/>
  <c r="BI865" i="13"/>
  <c r="AQ866" i="13"/>
  <c r="AR866" i="13"/>
  <c r="AS866" i="13"/>
  <c r="AT866" i="13"/>
  <c r="AU866" i="13"/>
  <c r="AV866" i="13"/>
  <c r="AW866" i="13"/>
  <c r="AX866" i="13"/>
  <c r="AY866" i="13"/>
  <c r="AZ866" i="13"/>
  <c r="BA866" i="13"/>
  <c r="BB866" i="13"/>
  <c r="BC866" i="13"/>
  <c r="BD866" i="13"/>
  <c r="BE866" i="13"/>
  <c r="BF866" i="13"/>
  <c r="BG866" i="13"/>
  <c r="BH866" i="13"/>
  <c r="BI866" i="13"/>
  <c r="AQ867" i="13"/>
  <c r="AR867" i="13"/>
  <c r="AS867" i="13"/>
  <c r="AT867" i="13"/>
  <c r="AU867" i="13"/>
  <c r="AV867" i="13"/>
  <c r="AW867" i="13"/>
  <c r="AX867" i="13"/>
  <c r="AY867" i="13"/>
  <c r="AZ867" i="13"/>
  <c r="BA867" i="13"/>
  <c r="BB867" i="13"/>
  <c r="BC867" i="13"/>
  <c r="BD867" i="13"/>
  <c r="BE867" i="13"/>
  <c r="BF867" i="13"/>
  <c r="BG867" i="13"/>
  <c r="BH867" i="13"/>
  <c r="BI867" i="13"/>
  <c r="AQ868" i="13"/>
  <c r="AR868" i="13"/>
  <c r="AS868" i="13"/>
  <c r="AT868" i="13"/>
  <c r="AU868" i="13"/>
  <c r="AV868" i="13"/>
  <c r="AW868" i="13"/>
  <c r="AX868" i="13"/>
  <c r="AY868" i="13"/>
  <c r="AZ868" i="13"/>
  <c r="BA868" i="13"/>
  <c r="BB868" i="13"/>
  <c r="BC868" i="13"/>
  <c r="BD868" i="13"/>
  <c r="BE868" i="13"/>
  <c r="BF868" i="13"/>
  <c r="BG868" i="13"/>
  <c r="BH868" i="13"/>
  <c r="BI868" i="13"/>
  <c r="AQ869" i="13"/>
  <c r="AR869" i="13"/>
  <c r="AS869" i="13"/>
  <c r="AT869" i="13"/>
  <c r="AU869" i="13"/>
  <c r="AV869" i="13"/>
  <c r="AW869" i="13"/>
  <c r="AX869" i="13"/>
  <c r="AY869" i="13"/>
  <c r="AZ869" i="13"/>
  <c r="BA869" i="13"/>
  <c r="BB869" i="13"/>
  <c r="BC869" i="13"/>
  <c r="BD869" i="13"/>
  <c r="BE869" i="13"/>
  <c r="BF869" i="13"/>
  <c r="BG869" i="13"/>
  <c r="BH869" i="13"/>
  <c r="BI869" i="13"/>
  <c r="AQ870" i="13"/>
  <c r="AR870" i="13"/>
  <c r="AS870" i="13"/>
  <c r="AT870" i="13"/>
  <c r="AU870" i="13"/>
  <c r="AV870" i="13"/>
  <c r="AW870" i="13"/>
  <c r="AX870" i="13"/>
  <c r="AY870" i="13"/>
  <c r="AZ870" i="13"/>
  <c r="BA870" i="13"/>
  <c r="BB870" i="13"/>
  <c r="BC870" i="13"/>
  <c r="BD870" i="13"/>
  <c r="BE870" i="13"/>
  <c r="BF870" i="13"/>
  <c r="BG870" i="13"/>
  <c r="BH870" i="13"/>
  <c r="BI870" i="13"/>
  <c r="AQ871" i="13"/>
  <c r="AR871" i="13"/>
  <c r="AS871" i="13"/>
  <c r="AT871" i="13"/>
  <c r="AU871" i="13"/>
  <c r="AV871" i="13"/>
  <c r="AW871" i="13"/>
  <c r="AX871" i="13"/>
  <c r="AY871" i="13"/>
  <c r="AZ871" i="13"/>
  <c r="BA871" i="13"/>
  <c r="BB871" i="13"/>
  <c r="BC871" i="13"/>
  <c r="BD871" i="13"/>
  <c r="BE871" i="13"/>
  <c r="BF871" i="13"/>
  <c r="BG871" i="13"/>
  <c r="BH871" i="13"/>
  <c r="BI871" i="13"/>
  <c r="AQ872" i="13"/>
  <c r="AR872" i="13"/>
  <c r="AS872" i="13"/>
  <c r="AT872" i="13"/>
  <c r="AU872" i="13"/>
  <c r="AV872" i="13"/>
  <c r="AW872" i="13"/>
  <c r="AX872" i="13"/>
  <c r="AY872" i="13"/>
  <c r="AZ872" i="13"/>
  <c r="BA872" i="13"/>
  <c r="BB872" i="13"/>
  <c r="BC872" i="13"/>
  <c r="BD872" i="13"/>
  <c r="BE872" i="13"/>
  <c r="BF872" i="13"/>
  <c r="BG872" i="13"/>
  <c r="BH872" i="13"/>
  <c r="BI872" i="13"/>
  <c r="AQ873" i="13"/>
  <c r="AR873" i="13"/>
  <c r="AS873" i="13"/>
  <c r="AT873" i="13"/>
  <c r="AU873" i="13"/>
  <c r="AV873" i="13"/>
  <c r="AW873" i="13"/>
  <c r="AX873" i="13"/>
  <c r="AY873" i="13"/>
  <c r="AZ873" i="13"/>
  <c r="BA873" i="13"/>
  <c r="BB873" i="13"/>
  <c r="BC873" i="13"/>
  <c r="BD873" i="13"/>
  <c r="BE873" i="13"/>
  <c r="BF873" i="13"/>
  <c r="BG873" i="13"/>
  <c r="BH873" i="13"/>
  <c r="BI873" i="13"/>
  <c r="AQ874" i="13"/>
  <c r="AR874" i="13"/>
  <c r="AS874" i="13"/>
  <c r="AT874" i="13"/>
  <c r="AU874" i="13"/>
  <c r="AV874" i="13"/>
  <c r="AW874" i="13"/>
  <c r="AX874" i="13"/>
  <c r="AY874" i="13"/>
  <c r="AZ874" i="13"/>
  <c r="BA874" i="13"/>
  <c r="BB874" i="13"/>
  <c r="BC874" i="13"/>
  <c r="BD874" i="13"/>
  <c r="BE874" i="13"/>
  <c r="BF874" i="13"/>
  <c r="BG874" i="13"/>
  <c r="BH874" i="13"/>
  <c r="BI874" i="13"/>
  <c r="AQ875" i="13"/>
  <c r="AR875" i="13"/>
  <c r="AS875" i="13"/>
  <c r="AT875" i="13"/>
  <c r="AU875" i="13"/>
  <c r="AV875" i="13"/>
  <c r="AW875" i="13"/>
  <c r="AX875" i="13"/>
  <c r="AY875" i="13"/>
  <c r="AZ875" i="13"/>
  <c r="BA875" i="13"/>
  <c r="BB875" i="13"/>
  <c r="BC875" i="13"/>
  <c r="BD875" i="13"/>
  <c r="BE875" i="13"/>
  <c r="BF875" i="13"/>
  <c r="BG875" i="13"/>
  <c r="BH875" i="13"/>
  <c r="BI875" i="13"/>
  <c r="AQ876" i="13"/>
  <c r="AR876" i="13"/>
  <c r="AS876" i="13"/>
  <c r="AT876" i="13"/>
  <c r="AU876" i="13"/>
  <c r="AV876" i="13"/>
  <c r="AW876" i="13"/>
  <c r="AX876" i="13"/>
  <c r="AY876" i="13"/>
  <c r="AZ876" i="13"/>
  <c r="BA876" i="13"/>
  <c r="BB876" i="13"/>
  <c r="BC876" i="13"/>
  <c r="BD876" i="13"/>
  <c r="BE876" i="13"/>
  <c r="BF876" i="13"/>
  <c r="BG876" i="13"/>
  <c r="BH876" i="13"/>
  <c r="BI876" i="13"/>
  <c r="AQ877" i="13"/>
  <c r="AR877" i="13"/>
  <c r="AS877" i="13"/>
  <c r="AT877" i="13"/>
  <c r="AU877" i="13"/>
  <c r="AV877" i="13"/>
  <c r="AW877" i="13"/>
  <c r="AX877" i="13"/>
  <c r="AY877" i="13"/>
  <c r="AZ877" i="13"/>
  <c r="BA877" i="13"/>
  <c r="BB877" i="13"/>
  <c r="BC877" i="13"/>
  <c r="BD877" i="13"/>
  <c r="BE877" i="13"/>
  <c r="BF877" i="13"/>
  <c r="BG877" i="13"/>
  <c r="BH877" i="13"/>
  <c r="BI877" i="13"/>
  <c r="AQ878" i="13"/>
  <c r="AR878" i="13"/>
  <c r="AS878" i="13"/>
  <c r="AT878" i="13"/>
  <c r="AU878" i="13"/>
  <c r="AV878" i="13"/>
  <c r="AW878" i="13"/>
  <c r="AX878" i="13"/>
  <c r="AY878" i="13"/>
  <c r="AZ878" i="13"/>
  <c r="BA878" i="13"/>
  <c r="BB878" i="13"/>
  <c r="BC878" i="13"/>
  <c r="BD878" i="13"/>
  <c r="BE878" i="13"/>
  <c r="BF878" i="13"/>
  <c r="BG878" i="13"/>
  <c r="BH878" i="13"/>
  <c r="BI878" i="13"/>
  <c r="AQ879" i="13"/>
  <c r="AR879" i="13"/>
  <c r="AS879" i="13"/>
  <c r="AT879" i="13"/>
  <c r="AU879" i="13"/>
  <c r="AV879" i="13"/>
  <c r="AW879" i="13"/>
  <c r="AX879" i="13"/>
  <c r="AY879" i="13"/>
  <c r="AZ879" i="13"/>
  <c r="BA879" i="13"/>
  <c r="BB879" i="13"/>
  <c r="BC879" i="13"/>
  <c r="BD879" i="13"/>
  <c r="BE879" i="13"/>
  <c r="BF879" i="13"/>
  <c r="BG879" i="13"/>
  <c r="BH879" i="13"/>
  <c r="BI879" i="13"/>
  <c r="AQ880" i="13"/>
  <c r="AR880" i="13"/>
  <c r="AS880" i="13"/>
  <c r="AT880" i="13"/>
  <c r="AU880" i="13"/>
  <c r="AV880" i="13"/>
  <c r="AW880" i="13"/>
  <c r="AX880" i="13"/>
  <c r="AY880" i="13"/>
  <c r="AZ880" i="13"/>
  <c r="BA880" i="13"/>
  <c r="BB880" i="13"/>
  <c r="BC880" i="13"/>
  <c r="BD880" i="13"/>
  <c r="BE880" i="13"/>
  <c r="BF880" i="13"/>
  <c r="BG880" i="13"/>
  <c r="BH880" i="13"/>
  <c r="BI880" i="13"/>
  <c r="AQ881" i="13"/>
  <c r="AR881" i="13"/>
  <c r="AS881" i="13"/>
  <c r="AT881" i="13"/>
  <c r="AU881" i="13"/>
  <c r="AV881" i="13"/>
  <c r="AW881" i="13"/>
  <c r="AX881" i="13"/>
  <c r="AY881" i="13"/>
  <c r="AZ881" i="13"/>
  <c r="BA881" i="13"/>
  <c r="BB881" i="13"/>
  <c r="BC881" i="13"/>
  <c r="BD881" i="13"/>
  <c r="BE881" i="13"/>
  <c r="BF881" i="13"/>
  <c r="BG881" i="13"/>
  <c r="BH881" i="13"/>
  <c r="BI881" i="13"/>
  <c r="AQ882" i="13"/>
  <c r="AR882" i="13"/>
  <c r="AS882" i="13"/>
  <c r="AT882" i="13"/>
  <c r="AU882" i="13"/>
  <c r="AV882" i="13"/>
  <c r="AW882" i="13"/>
  <c r="AX882" i="13"/>
  <c r="AY882" i="13"/>
  <c r="AZ882" i="13"/>
  <c r="BA882" i="13"/>
  <c r="BB882" i="13"/>
  <c r="BC882" i="13"/>
  <c r="BD882" i="13"/>
  <c r="BE882" i="13"/>
  <c r="BF882" i="13"/>
  <c r="BG882" i="13"/>
  <c r="BH882" i="13"/>
  <c r="BI882" i="13"/>
  <c r="AQ883" i="13"/>
  <c r="AR883" i="13"/>
  <c r="AS883" i="13"/>
  <c r="AT883" i="13"/>
  <c r="AU883" i="13"/>
  <c r="AV883" i="13"/>
  <c r="AW883" i="13"/>
  <c r="AX883" i="13"/>
  <c r="AY883" i="13"/>
  <c r="AZ883" i="13"/>
  <c r="BA883" i="13"/>
  <c r="BB883" i="13"/>
  <c r="BC883" i="13"/>
  <c r="BD883" i="13"/>
  <c r="BE883" i="13"/>
  <c r="BF883" i="13"/>
  <c r="BG883" i="13"/>
  <c r="BH883" i="13"/>
  <c r="BI883" i="13"/>
  <c r="AQ884" i="13"/>
  <c r="AR884" i="13"/>
  <c r="AS884" i="13"/>
  <c r="AT884" i="13"/>
  <c r="AU884" i="13"/>
  <c r="AV884" i="13"/>
  <c r="AW884" i="13"/>
  <c r="AX884" i="13"/>
  <c r="AY884" i="13"/>
  <c r="AZ884" i="13"/>
  <c r="BA884" i="13"/>
  <c r="BB884" i="13"/>
  <c r="BC884" i="13"/>
  <c r="BD884" i="13"/>
  <c r="BE884" i="13"/>
  <c r="BF884" i="13"/>
  <c r="BG884" i="13"/>
  <c r="BH884" i="13"/>
  <c r="BI884" i="13"/>
  <c r="AQ885" i="13"/>
  <c r="AR885" i="13"/>
  <c r="AS885" i="13"/>
  <c r="AT885" i="13"/>
  <c r="AU885" i="13"/>
  <c r="AV885" i="13"/>
  <c r="AW885" i="13"/>
  <c r="AX885" i="13"/>
  <c r="AY885" i="13"/>
  <c r="AZ885" i="13"/>
  <c r="BA885" i="13"/>
  <c r="BB885" i="13"/>
  <c r="BC885" i="13"/>
  <c r="BD885" i="13"/>
  <c r="BE885" i="13"/>
  <c r="BF885" i="13"/>
  <c r="BG885" i="13"/>
  <c r="BH885" i="13"/>
  <c r="BI885" i="13"/>
  <c r="AQ886" i="13"/>
  <c r="AR886" i="13"/>
  <c r="AS886" i="13"/>
  <c r="AT886" i="13"/>
  <c r="AU886" i="13"/>
  <c r="AV886" i="13"/>
  <c r="AW886" i="13"/>
  <c r="AX886" i="13"/>
  <c r="AY886" i="13"/>
  <c r="AZ886" i="13"/>
  <c r="BA886" i="13"/>
  <c r="BB886" i="13"/>
  <c r="BC886" i="13"/>
  <c r="BD886" i="13"/>
  <c r="BE886" i="13"/>
  <c r="BF886" i="13"/>
  <c r="BG886" i="13"/>
  <c r="BH886" i="13"/>
  <c r="BI886" i="13"/>
  <c r="AQ887" i="13"/>
  <c r="AR887" i="13"/>
  <c r="AS887" i="13"/>
  <c r="AT887" i="13"/>
  <c r="AU887" i="13"/>
  <c r="AV887" i="13"/>
  <c r="AW887" i="13"/>
  <c r="AX887" i="13"/>
  <c r="AY887" i="13"/>
  <c r="AZ887" i="13"/>
  <c r="BA887" i="13"/>
  <c r="BB887" i="13"/>
  <c r="BC887" i="13"/>
  <c r="BD887" i="13"/>
  <c r="BE887" i="13"/>
  <c r="BF887" i="13"/>
  <c r="BG887" i="13"/>
  <c r="BH887" i="13"/>
  <c r="BI887" i="13"/>
  <c r="AQ888" i="13"/>
  <c r="AR888" i="13"/>
  <c r="AS888" i="13"/>
  <c r="AT888" i="13"/>
  <c r="AU888" i="13"/>
  <c r="AV888" i="13"/>
  <c r="AW888" i="13"/>
  <c r="AX888" i="13"/>
  <c r="AY888" i="13"/>
  <c r="AZ888" i="13"/>
  <c r="BA888" i="13"/>
  <c r="BB888" i="13"/>
  <c r="BC888" i="13"/>
  <c r="BD888" i="13"/>
  <c r="BE888" i="13"/>
  <c r="BF888" i="13"/>
  <c r="BG888" i="13"/>
  <c r="BH888" i="13"/>
  <c r="BI888" i="13"/>
  <c r="AQ889" i="13"/>
  <c r="AR889" i="13"/>
  <c r="AS889" i="13"/>
  <c r="AT889" i="13"/>
  <c r="AU889" i="13"/>
  <c r="AV889" i="13"/>
  <c r="AW889" i="13"/>
  <c r="AX889" i="13"/>
  <c r="AY889" i="13"/>
  <c r="AZ889" i="13"/>
  <c r="BA889" i="13"/>
  <c r="BB889" i="13"/>
  <c r="BC889" i="13"/>
  <c r="BD889" i="13"/>
  <c r="BE889" i="13"/>
  <c r="BF889" i="13"/>
  <c r="BG889" i="13"/>
  <c r="BH889" i="13"/>
  <c r="BI889" i="13"/>
  <c r="AQ890" i="13"/>
  <c r="AR890" i="13"/>
  <c r="AS890" i="13"/>
  <c r="AT890" i="13"/>
  <c r="AU890" i="13"/>
  <c r="AV890" i="13"/>
  <c r="AW890" i="13"/>
  <c r="AX890" i="13"/>
  <c r="AY890" i="13"/>
  <c r="AZ890" i="13"/>
  <c r="BA890" i="13"/>
  <c r="BB890" i="13"/>
  <c r="BC890" i="13"/>
  <c r="BD890" i="13"/>
  <c r="BE890" i="13"/>
  <c r="BF890" i="13"/>
  <c r="BG890" i="13"/>
  <c r="BH890" i="13"/>
  <c r="BI890" i="13"/>
  <c r="AQ891" i="13"/>
  <c r="AR891" i="13"/>
  <c r="AS891" i="13"/>
  <c r="AT891" i="13"/>
  <c r="AU891" i="13"/>
  <c r="AV891" i="13"/>
  <c r="AW891" i="13"/>
  <c r="AX891" i="13"/>
  <c r="AY891" i="13"/>
  <c r="AZ891" i="13"/>
  <c r="BA891" i="13"/>
  <c r="BB891" i="13"/>
  <c r="BC891" i="13"/>
  <c r="BD891" i="13"/>
  <c r="BE891" i="13"/>
  <c r="BF891" i="13"/>
  <c r="BG891" i="13"/>
  <c r="BH891" i="13"/>
  <c r="BI891" i="13"/>
  <c r="AQ892" i="13"/>
  <c r="AR892" i="13"/>
  <c r="AS892" i="13"/>
  <c r="AT892" i="13"/>
  <c r="AU892" i="13"/>
  <c r="AV892" i="13"/>
  <c r="AW892" i="13"/>
  <c r="AX892" i="13"/>
  <c r="AY892" i="13"/>
  <c r="AZ892" i="13"/>
  <c r="BA892" i="13"/>
  <c r="BB892" i="13"/>
  <c r="BC892" i="13"/>
  <c r="BD892" i="13"/>
  <c r="BE892" i="13"/>
  <c r="BF892" i="13"/>
  <c r="BG892" i="13"/>
  <c r="BH892" i="13"/>
  <c r="BI892" i="13"/>
  <c r="AQ893" i="13"/>
  <c r="AR893" i="13"/>
  <c r="AS893" i="13"/>
  <c r="AT893" i="13"/>
  <c r="AU893" i="13"/>
  <c r="AV893" i="13"/>
  <c r="AW893" i="13"/>
  <c r="AX893" i="13"/>
  <c r="AY893" i="13"/>
  <c r="AZ893" i="13"/>
  <c r="BA893" i="13"/>
  <c r="BB893" i="13"/>
  <c r="BC893" i="13"/>
  <c r="BD893" i="13"/>
  <c r="BE893" i="13"/>
  <c r="BF893" i="13"/>
  <c r="BG893" i="13"/>
  <c r="BH893" i="13"/>
  <c r="BI893" i="13"/>
  <c r="AQ894" i="13"/>
  <c r="AR894" i="13"/>
  <c r="AS894" i="13"/>
  <c r="AT894" i="13"/>
  <c r="AU894" i="13"/>
  <c r="AV894" i="13"/>
  <c r="AW894" i="13"/>
  <c r="AX894" i="13"/>
  <c r="AY894" i="13"/>
  <c r="AZ894" i="13"/>
  <c r="BA894" i="13"/>
  <c r="BB894" i="13"/>
  <c r="BC894" i="13"/>
  <c r="BD894" i="13"/>
  <c r="BE894" i="13"/>
  <c r="BF894" i="13"/>
  <c r="BG894" i="13"/>
  <c r="BH894" i="13"/>
  <c r="BI894" i="13"/>
  <c r="AQ895" i="13"/>
  <c r="AR895" i="13"/>
  <c r="AS895" i="13"/>
  <c r="AT895" i="13"/>
  <c r="AU895" i="13"/>
  <c r="AV895" i="13"/>
  <c r="AW895" i="13"/>
  <c r="AX895" i="13"/>
  <c r="AY895" i="13"/>
  <c r="AZ895" i="13"/>
  <c r="BA895" i="13"/>
  <c r="BB895" i="13"/>
  <c r="BC895" i="13"/>
  <c r="BD895" i="13"/>
  <c r="BE895" i="13"/>
  <c r="BF895" i="13"/>
  <c r="BG895" i="13"/>
  <c r="BH895" i="13"/>
  <c r="BI895" i="13"/>
  <c r="AQ896" i="13"/>
  <c r="AR896" i="13"/>
  <c r="AS896" i="13"/>
  <c r="AT896" i="13"/>
  <c r="AU896" i="13"/>
  <c r="AV896" i="13"/>
  <c r="AW896" i="13"/>
  <c r="AX896" i="13"/>
  <c r="AY896" i="13"/>
  <c r="AZ896" i="13"/>
  <c r="BA896" i="13"/>
  <c r="BB896" i="13"/>
  <c r="BC896" i="13"/>
  <c r="BD896" i="13"/>
  <c r="BE896" i="13"/>
  <c r="BF896" i="13"/>
  <c r="BG896" i="13"/>
  <c r="BH896" i="13"/>
  <c r="BI896" i="13"/>
  <c r="AQ897" i="13"/>
  <c r="AR897" i="13"/>
  <c r="AS897" i="13"/>
  <c r="AT897" i="13"/>
  <c r="AU897" i="13"/>
  <c r="AV897" i="13"/>
  <c r="AW897" i="13"/>
  <c r="AX897" i="13"/>
  <c r="AY897" i="13"/>
  <c r="AZ897" i="13"/>
  <c r="BA897" i="13"/>
  <c r="BB897" i="13"/>
  <c r="BC897" i="13"/>
  <c r="BD897" i="13"/>
  <c r="BE897" i="13"/>
  <c r="BF897" i="13"/>
  <c r="BG897" i="13"/>
  <c r="BH897" i="13"/>
  <c r="BI897" i="13"/>
  <c r="AQ898" i="13"/>
  <c r="AR898" i="13"/>
  <c r="AS898" i="13"/>
  <c r="AT898" i="13"/>
  <c r="AU898" i="13"/>
  <c r="AV898" i="13"/>
  <c r="AW898" i="13"/>
  <c r="AX898" i="13"/>
  <c r="AY898" i="13"/>
  <c r="AZ898" i="13"/>
  <c r="BA898" i="13"/>
  <c r="BB898" i="13"/>
  <c r="BC898" i="13"/>
  <c r="BD898" i="13"/>
  <c r="BE898" i="13"/>
  <c r="BF898" i="13"/>
  <c r="BG898" i="13"/>
  <c r="BH898" i="13"/>
  <c r="BI898" i="13"/>
  <c r="AQ899" i="13"/>
  <c r="AR899" i="13"/>
  <c r="AS899" i="13"/>
  <c r="AT899" i="13"/>
  <c r="AU899" i="13"/>
  <c r="AV899" i="13"/>
  <c r="AW899" i="13"/>
  <c r="AX899" i="13"/>
  <c r="AY899" i="13"/>
  <c r="AZ899" i="13"/>
  <c r="BA899" i="13"/>
  <c r="BB899" i="13"/>
  <c r="BC899" i="13"/>
  <c r="BD899" i="13"/>
  <c r="BE899" i="13"/>
  <c r="BF899" i="13"/>
  <c r="BG899" i="13"/>
  <c r="BH899" i="13"/>
  <c r="BI899" i="13"/>
  <c r="AQ900" i="13"/>
  <c r="AR900" i="13"/>
  <c r="AS900" i="13"/>
  <c r="AT900" i="13"/>
  <c r="AU900" i="13"/>
  <c r="AV900" i="13"/>
  <c r="AW900" i="13"/>
  <c r="AX900" i="13"/>
  <c r="AY900" i="13"/>
  <c r="AZ900" i="13"/>
  <c r="BA900" i="13"/>
  <c r="BB900" i="13"/>
  <c r="BC900" i="13"/>
  <c r="BD900" i="13"/>
  <c r="BE900" i="13"/>
  <c r="BF900" i="13"/>
  <c r="BG900" i="13"/>
  <c r="BH900" i="13"/>
  <c r="BI900" i="13"/>
  <c r="AQ901" i="13"/>
  <c r="AR901" i="13"/>
  <c r="AS901" i="13"/>
  <c r="AT901" i="13"/>
  <c r="AU901" i="13"/>
  <c r="AV901" i="13"/>
  <c r="AW901" i="13"/>
  <c r="AX901" i="13"/>
  <c r="AY901" i="13"/>
  <c r="AZ901" i="13"/>
  <c r="BA901" i="13"/>
  <c r="BB901" i="13"/>
  <c r="BC901" i="13"/>
  <c r="BD901" i="13"/>
  <c r="BE901" i="13"/>
  <c r="BF901" i="13"/>
  <c r="BG901" i="13"/>
  <c r="BH901" i="13"/>
  <c r="BI901" i="13"/>
  <c r="AQ902" i="13"/>
  <c r="AR902" i="13"/>
  <c r="AS902" i="13"/>
  <c r="AT902" i="13"/>
  <c r="AU902" i="13"/>
  <c r="AV902" i="13"/>
  <c r="AW902" i="13"/>
  <c r="AX902" i="13"/>
  <c r="AY902" i="13"/>
  <c r="AZ902" i="13"/>
  <c r="BA902" i="13"/>
  <c r="BB902" i="13"/>
  <c r="BC902" i="13"/>
  <c r="BD902" i="13"/>
  <c r="BE902" i="13"/>
  <c r="BF902" i="13"/>
  <c r="BG902" i="13"/>
  <c r="BH902" i="13"/>
  <c r="BI902" i="13"/>
  <c r="AQ903" i="13"/>
  <c r="AR903" i="13"/>
  <c r="AS903" i="13"/>
  <c r="AT903" i="13"/>
  <c r="AU903" i="13"/>
  <c r="AV903" i="13"/>
  <c r="AW903" i="13"/>
  <c r="AX903" i="13"/>
  <c r="AY903" i="13"/>
  <c r="AZ903" i="13"/>
  <c r="BA903" i="13"/>
  <c r="BB903" i="13"/>
  <c r="BC903" i="13"/>
  <c r="BD903" i="13"/>
  <c r="BE903" i="13"/>
  <c r="BF903" i="13"/>
  <c r="BG903" i="13"/>
  <c r="BH903" i="13"/>
  <c r="BI903" i="13"/>
  <c r="AQ904" i="13"/>
  <c r="AR904" i="13"/>
  <c r="AS904" i="13"/>
  <c r="AT904" i="13"/>
  <c r="AU904" i="13"/>
  <c r="AV904" i="13"/>
  <c r="AW904" i="13"/>
  <c r="AX904" i="13"/>
  <c r="AY904" i="13"/>
  <c r="AZ904" i="13"/>
  <c r="BA904" i="13"/>
  <c r="BB904" i="13"/>
  <c r="BC904" i="13"/>
  <c r="BD904" i="13"/>
  <c r="BE904" i="13"/>
  <c r="BF904" i="13"/>
  <c r="BG904" i="13"/>
  <c r="BH904" i="13"/>
  <c r="BI904" i="13"/>
  <c r="AQ905" i="13"/>
  <c r="AR905" i="13"/>
  <c r="AS905" i="13"/>
  <c r="AT905" i="13"/>
  <c r="AU905" i="13"/>
  <c r="AV905" i="13"/>
  <c r="AW905" i="13"/>
  <c r="AX905" i="13"/>
  <c r="AY905" i="13"/>
  <c r="AZ905" i="13"/>
  <c r="BA905" i="13"/>
  <c r="BB905" i="13"/>
  <c r="BC905" i="13"/>
  <c r="BD905" i="13"/>
  <c r="BE905" i="13"/>
  <c r="BF905" i="13"/>
  <c r="BG905" i="13"/>
  <c r="BH905" i="13"/>
  <c r="BI905" i="13"/>
  <c r="AQ906" i="13"/>
  <c r="AR906" i="13"/>
  <c r="AS906" i="13"/>
  <c r="AT906" i="13"/>
  <c r="AU906" i="13"/>
  <c r="AV906" i="13"/>
  <c r="AW906" i="13"/>
  <c r="AX906" i="13"/>
  <c r="AY906" i="13"/>
  <c r="AZ906" i="13"/>
  <c r="BA906" i="13"/>
  <c r="BB906" i="13"/>
  <c r="BC906" i="13"/>
  <c r="BD906" i="13"/>
  <c r="BE906" i="13"/>
  <c r="BF906" i="13"/>
  <c r="BG906" i="13"/>
  <c r="BH906" i="13"/>
  <c r="BI906" i="13"/>
  <c r="AQ907" i="13"/>
  <c r="AR907" i="13"/>
  <c r="AS907" i="13"/>
  <c r="AT907" i="13"/>
  <c r="AU907" i="13"/>
  <c r="AV907" i="13"/>
  <c r="AW907" i="13"/>
  <c r="AX907" i="13"/>
  <c r="AY907" i="13"/>
  <c r="AZ907" i="13"/>
  <c r="BA907" i="13"/>
  <c r="BB907" i="13"/>
  <c r="BC907" i="13"/>
  <c r="BD907" i="13"/>
  <c r="BE907" i="13"/>
  <c r="BF907" i="13"/>
  <c r="BG907" i="13"/>
  <c r="BH907" i="13"/>
  <c r="BI907" i="13"/>
  <c r="AQ908" i="13"/>
  <c r="AR908" i="13"/>
  <c r="AS908" i="13"/>
  <c r="AT908" i="13"/>
  <c r="AU908" i="13"/>
  <c r="AV908" i="13"/>
  <c r="AW908" i="13"/>
  <c r="AX908" i="13"/>
  <c r="AY908" i="13"/>
  <c r="AZ908" i="13"/>
  <c r="BA908" i="13"/>
  <c r="BB908" i="13"/>
  <c r="BC908" i="13"/>
  <c r="BD908" i="13"/>
  <c r="BE908" i="13"/>
  <c r="BF908" i="13"/>
  <c r="BG908" i="13"/>
  <c r="BH908" i="13"/>
  <c r="BI908" i="13"/>
  <c r="AQ909" i="13"/>
  <c r="AR909" i="13"/>
  <c r="AS909" i="13"/>
  <c r="AT909" i="13"/>
  <c r="AU909" i="13"/>
  <c r="AV909" i="13"/>
  <c r="AW909" i="13"/>
  <c r="AX909" i="13"/>
  <c r="AY909" i="13"/>
  <c r="AZ909" i="13"/>
  <c r="BA909" i="13"/>
  <c r="BB909" i="13"/>
  <c r="BC909" i="13"/>
  <c r="BD909" i="13"/>
  <c r="BE909" i="13"/>
  <c r="BF909" i="13"/>
  <c r="BG909" i="13"/>
  <c r="BH909" i="13"/>
  <c r="BI909" i="13"/>
  <c r="AQ910" i="13"/>
  <c r="AR910" i="13"/>
  <c r="AS910" i="13"/>
  <c r="AT910" i="13"/>
  <c r="AU910" i="13"/>
  <c r="AV910" i="13"/>
  <c r="AW910" i="13"/>
  <c r="AX910" i="13"/>
  <c r="AY910" i="13"/>
  <c r="AZ910" i="13"/>
  <c r="BA910" i="13"/>
  <c r="BB910" i="13"/>
  <c r="BC910" i="13"/>
  <c r="BD910" i="13"/>
  <c r="BE910" i="13"/>
  <c r="BF910" i="13"/>
  <c r="BG910" i="13"/>
  <c r="BH910" i="13"/>
  <c r="BI910" i="13"/>
  <c r="AQ911" i="13"/>
  <c r="AR911" i="13"/>
  <c r="AS911" i="13"/>
  <c r="AT911" i="13"/>
  <c r="AU911" i="13"/>
  <c r="AV911" i="13"/>
  <c r="AW911" i="13"/>
  <c r="AX911" i="13"/>
  <c r="AY911" i="13"/>
  <c r="AZ911" i="13"/>
  <c r="BA911" i="13"/>
  <c r="BB911" i="13"/>
  <c r="BC911" i="13"/>
  <c r="BD911" i="13"/>
  <c r="BE911" i="13"/>
  <c r="BF911" i="13"/>
  <c r="BG911" i="13"/>
  <c r="BH911" i="13"/>
  <c r="BI911" i="13"/>
  <c r="AQ912" i="13"/>
  <c r="AR912" i="13"/>
  <c r="AS912" i="13"/>
  <c r="AT912" i="13"/>
  <c r="AU912" i="13"/>
  <c r="AV912" i="13"/>
  <c r="AW912" i="13"/>
  <c r="AX912" i="13"/>
  <c r="AY912" i="13"/>
  <c r="AZ912" i="13"/>
  <c r="BA912" i="13"/>
  <c r="BB912" i="13"/>
  <c r="BC912" i="13"/>
  <c r="BD912" i="13"/>
  <c r="BE912" i="13"/>
  <c r="BF912" i="13"/>
  <c r="BG912" i="13"/>
  <c r="BH912" i="13"/>
  <c r="BI912" i="13"/>
  <c r="AQ913" i="13"/>
  <c r="AR913" i="13"/>
  <c r="AS913" i="13"/>
  <c r="AT913" i="13"/>
  <c r="AU913" i="13"/>
  <c r="AV913" i="13"/>
  <c r="AW913" i="13"/>
  <c r="AX913" i="13"/>
  <c r="AY913" i="13"/>
  <c r="AZ913" i="13"/>
  <c r="BA913" i="13"/>
  <c r="BB913" i="13"/>
  <c r="BC913" i="13"/>
  <c r="BD913" i="13"/>
  <c r="BE913" i="13"/>
  <c r="BF913" i="13"/>
  <c r="BG913" i="13"/>
  <c r="BH913" i="13"/>
  <c r="BI913" i="13"/>
  <c r="AQ914" i="13"/>
  <c r="AR914" i="13"/>
  <c r="AS914" i="13"/>
  <c r="AT914" i="13"/>
  <c r="AU914" i="13"/>
  <c r="AV914" i="13"/>
  <c r="AW914" i="13"/>
  <c r="AX914" i="13"/>
  <c r="AY914" i="13"/>
  <c r="AZ914" i="13"/>
  <c r="BA914" i="13"/>
  <c r="BB914" i="13"/>
  <c r="BC914" i="13"/>
  <c r="BD914" i="13"/>
  <c r="BE914" i="13"/>
  <c r="BF914" i="13"/>
  <c r="BG914" i="13"/>
  <c r="BH914" i="13"/>
  <c r="BI914" i="13"/>
  <c r="AQ915" i="13"/>
  <c r="AR915" i="13"/>
  <c r="AS915" i="13"/>
  <c r="AT915" i="13"/>
  <c r="AU915" i="13"/>
  <c r="AV915" i="13"/>
  <c r="AW915" i="13"/>
  <c r="AX915" i="13"/>
  <c r="AY915" i="13"/>
  <c r="AZ915" i="13"/>
  <c r="BA915" i="13"/>
  <c r="BB915" i="13"/>
  <c r="BC915" i="13"/>
  <c r="BD915" i="13"/>
  <c r="BE915" i="13"/>
  <c r="BF915" i="13"/>
  <c r="BG915" i="13"/>
  <c r="BH915" i="13"/>
  <c r="BI915" i="13"/>
  <c r="AQ916" i="13"/>
  <c r="AR916" i="13"/>
  <c r="AS916" i="13"/>
  <c r="AT916" i="13"/>
  <c r="AU916" i="13"/>
  <c r="AV916" i="13"/>
  <c r="AW916" i="13"/>
  <c r="AX916" i="13"/>
  <c r="AY916" i="13"/>
  <c r="AZ916" i="13"/>
  <c r="BA916" i="13"/>
  <c r="BB916" i="13"/>
  <c r="BC916" i="13"/>
  <c r="BD916" i="13"/>
  <c r="BE916" i="13"/>
  <c r="BF916" i="13"/>
  <c r="BG916" i="13"/>
  <c r="BH916" i="13"/>
  <c r="BI916" i="13"/>
  <c r="AQ917" i="13"/>
  <c r="AR917" i="13"/>
  <c r="AS917" i="13"/>
  <c r="AT917" i="13"/>
  <c r="AU917" i="13"/>
  <c r="AV917" i="13"/>
  <c r="AW917" i="13"/>
  <c r="AX917" i="13"/>
  <c r="AY917" i="13"/>
  <c r="AZ917" i="13"/>
  <c r="BA917" i="13"/>
  <c r="BB917" i="13"/>
  <c r="BC917" i="13"/>
  <c r="BD917" i="13"/>
  <c r="BE917" i="13"/>
  <c r="BF917" i="13"/>
  <c r="BG917" i="13"/>
  <c r="BH917" i="13"/>
  <c r="BI917" i="13"/>
  <c r="AQ918" i="13"/>
  <c r="AR918" i="13"/>
  <c r="AS918" i="13"/>
  <c r="AT918" i="13"/>
  <c r="AU918" i="13"/>
  <c r="AV918" i="13"/>
  <c r="AW918" i="13"/>
  <c r="AX918" i="13"/>
  <c r="AY918" i="13"/>
  <c r="AZ918" i="13"/>
  <c r="BA918" i="13"/>
  <c r="BB918" i="13"/>
  <c r="BC918" i="13"/>
  <c r="BD918" i="13"/>
  <c r="BE918" i="13"/>
  <c r="BF918" i="13"/>
  <c r="BG918" i="13"/>
  <c r="BH918" i="13"/>
  <c r="BI918" i="13"/>
  <c r="AQ919" i="13"/>
  <c r="AR919" i="13"/>
  <c r="AS919" i="13"/>
  <c r="AT919" i="13"/>
  <c r="AU919" i="13"/>
  <c r="AV919" i="13"/>
  <c r="AW919" i="13"/>
  <c r="AX919" i="13"/>
  <c r="AY919" i="13"/>
  <c r="AZ919" i="13"/>
  <c r="BA919" i="13"/>
  <c r="BB919" i="13"/>
  <c r="BC919" i="13"/>
  <c r="BD919" i="13"/>
  <c r="BE919" i="13"/>
  <c r="BF919" i="13"/>
  <c r="BG919" i="13"/>
  <c r="BH919" i="13"/>
  <c r="BI919" i="13"/>
  <c r="AQ920" i="13"/>
  <c r="AR920" i="13"/>
  <c r="AS920" i="13"/>
  <c r="AT920" i="13"/>
  <c r="AU920" i="13"/>
  <c r="AV920" i="13"/>
  <c r="AW920" i="13"/>
  <c r="AX920" i="13"/>
  <c r="AY920" i="13"/>
  <c r="AZ920" i="13"/>
  <c r="BA920" i="13"/>
  <c r="BB920" i="13"/>
  <c r="BC920" i="13"/>
  <c r="BD920" i="13"/>
  <c r="BE920" i="13"/>
  <c r="BF920" i="13"/>
  <c r="BG920" i="13"/>
  <c r="BH920" i="13"/>
  <c r="BI920" i="13"/>
  <c r="AQ921" i="13"/>
  <c r="AR921" i="13"/>
  <c r="AS921" i="13"/>
  <c r="AT921" i="13"/>
  <c r="AU921" i="13"/>
  <c r="AV921" i="13"/>
  <c r="AW921" i="13"/>
  <c r="AX921" i="13"/>
  <c r="AY921" i="13"/>
  <c r="AZ921" i="13"/>
  <c r="BA921" i="13"/>
  <c r="BB921" i="13"/>
  <c r="BC921" i="13"/>
  <c r="BD921" i="13"/>
  <c r="BE921" i="13"/>
  <c r="BF921" i="13"/>
  <c r="BG921" i="13"/>
  <c r="BH921" i="13"/>
  <c r="BI921" i="13"/>
  <c r="AQ922" i="13"/>
  <c r="AR922" i="13"/>
  <c r="AS922" i="13"/>
  <c r="AT922" i="13"/>
  <c r="AU922" i="13"/>
  <c r="AV922" i="13"/>
  <c r="AW922" i="13"/>
  <c r="AX922" i="13"/>
  <c r="AY922" i="13"/>
  <c r="AZ922" i="13"/>
  <c r="BA922" i="13"/>
  <c r="BB922" i="13"/>
  <c r="BC922" i="13"/>
  <c r="BD922" i="13"/>
  <c r="BE922" i="13"/>
  <c r="BF922" i="13"/>
  <c r="BG922" i="13"/>
  <c r="BH922" i="13"/>
  <c r="BI922" i="13"/>
  <c r="AQ923" i="13"/>
  <c r="AR923" i="13"/>
  <c r="AS923" i="13"/>
  <c r="AT923" i="13"/>
  <c r="AU923" i="13"/>
  <c r="AV923" i="13"/>
  <c r="AW923" i="13"/>
  <c r="AX923" i="13"/>
  <c r="AY923" i="13"/>
  <c r="AZ923" i="13"/>
  <c r="BA923" i="13"/>
  <c r="BB923" i="13"/>
  <c r="BC923" i="13"/>
  <c r="BD923" i="13"/>
  <c r="BE923" i="13"/>
  <c r="BF923" i="13"/>
  <c r="BG923" i="13"/>
  <c r="BH923" i="13"/>
  <c r="BI923" i="13"/>
  <c r="AQ924" i="13"/>
  <c r="AR924" i="13"/>
  <c r="AS924" i="13"/>
  <c r="AT924" i="13"/>
  <c r="AU924" i="13"/>
  <c r="AV924" i="13"/>
  <c r="AW924" i="13"/>
  <c r="AX924" i="13"/>
  <c r="AY924" i="13"/>
  <c r="AZ924" i="13"/>
  <c r="BA924" i="13"/>
  <c r="BB924" i="13"/>
  <c r="BC924" i="13"/>
  <c r="BD924" i="13"/>
  <c r="BE924" i="13"/>
  <c r="BF924" i="13"/>
  <c r="BG924" i="13"/>
  <c r="BH924" i="13"/>
  <c r="BI924" i="13"/>
  <c r="AQ925" i="13"/>
  <c r="AR925" i="13"/>
  <c r="AS925" i="13"/>
  <c r="AT925" i="13"/>
  <c r="AU925" i="13"/>
  <c r="AV925" i="13"/>
  <c r="AW925" i="13"/>
  <c r="AX925" i="13"/>
  <c r="AY925" i="13"/>
  <c r="AZ925" i="13"/>
  <c r="BA925" i="13"/>
  <c r="BB925" i="13"/>
  <c r="BC925" i="13"/>
  <c r="BD925" i="13"/>
  <c r="BE925" i="13"/>
  <c r="BF925" i="13"/>
  <c r="BG925" i="13"/>
  <c r="BH925" i="13"/>
  <c r="BI925" i="13"/>
  <c r="AQ926" i="13"/>
  <c r="AR926" i="13"/>
  <c r="AS926" i="13"/>
  <c r="AT926" i="13"/>
  <c r="AU926" i="13"/>
  <c r="AV926" i="13"/>
  <c r="AW926" i="13"/>
  <c r="AX926" i="13"/>
  <c r="AY926" i="13"/>
  <c r="AZ926" i="13"/>
  <c r="BA926" i="13"/>
  <c r="BB926" i="13"/>
  <c r="BC926" i="13"/>
  <c r="BD926" i="13"/>
  <c r="BE926" i="13"/>
  <c r="BF926" i="13"/>
  <c r="BG926" i="13"/>
  <c r="BH926" i="13"/>
  <c r="BI926" i="13"/>
  <c r="AQ927" i="13"/>
  <c r="AR927" i="13"/>
  <c r="AS927" i="13"/>
  <c r="AT927" i="13"/>
  <c r="AU927" i="13"/>
  <c r="AV927" i="13"/>
  <c r="AW927" i="13"/>
  <c r="AX927" i="13"/>
  <c r="AY927" i="13"/>
  <c r="AZ927" i="13"/>
  <c r="BA927" i="13"/>
  <c r="BB927" i="13"/>
  <c r="BC927" i="13"/>
  <c r="BD927" i="13"/>
  <c r="BE927" i="13"/>
  <c r="BF927" i="13"/>
  <c r="BG927" i="13"/>
  <c r="BH927" i="13"/>
  <c r="BI927" i="13"/>
  <c r="AQ928" i="13"/>
  <c r="AR928" i="13"/>
  <c r="AS928" i="13"/>
  <c r="AT928" i="13"/>
  <c r="AU928" i="13"/>
  <c r="AV928" i="13"/>
  <c r="AW928" i="13"/>
  <c r="AX928" i="13"/>
  <c r="AY928" i="13"/>
  <c r="AZ928" i="13"/>
  <c r="BA928" i="13"/>
  <c r="BB928" i="13"/>
  <c r="BC928" i="13"/>
  <c r="BD928" i="13"/>
  <c r="BE928" i="13"/>
  <c r="BF928" i="13"/>
  <c r="BG928" i="13"/>
  <c r="BH928" i="13"/>
  <c r="BI928" i="13"/>
  <c r="AQ929" i="13"/>
  <c r="AR929" i="13"/>
  <c r="AS929" i="13"/>
  <c r="AT929" i="13"/>
  <c r="AU929" i="13"/>
  <c r="AV929" i="13"/>
  <c r="AW929" i="13"/>
  <c r="AX929" i="13"/>
  <c r="AY929" i="13"/>
  <c r="AZ929" i="13"/>
  <c r="BA929" i="13"/>
  <c r="BB929" i="13"/>
  <c r="BC929" i="13"/>
  <c r="BD929" i="13"/>
  <c r="BE929" i="13"/>
  <c r="BF929" i="13"/>
  <c r="BG929" i="13"/>
  <c r="BH929" i="13"/>
  <c r="BI929" i="13"/>
  <c r="AQ930" i="13"/>
  <c r="AR930" i="13"/>
  <c r="AS930" i="13"/>
  <c r="AT930" i="13"/>
  <c r="AU930" i="13"/>
  <c r="AV930" i="13"/>
  <c r="AW930" i="13"/>
  <c r="AX930" i="13"/>
  <c r="AY930" i="13"/>
  <c r="AZ930" i="13"/>
  <c r="BA930" i="13"/>
  <c r="BB930" i="13"/>
  <c r="BC930" i="13"/>
  <c r="BD930" i="13"/>
  <c r="BE930" i="13"/>
  <c r="BF930" i="13"/>
  <c r="BG930" i="13"/>
  <c r="BH930" i="13"/>
  <c r="BI930" i="13"/>
  <c r="AQ931" i="13"/>
  <c r="AR931" i="13"/>
  <c r="AS931" i="13"/>
  <c r="AT931" i="13"/>
  <c r="AU931" i="13"/>
  <c r="AV931" i="13"/>
  <c r="AW931" i="13"/>
  <c r="AX931" i="13"/>
  <c r="AY931" i="13"/>
  <c r="AZ931" i="13"/>
  <c r="BA931" i="13"/>
  <c r="BB931" i="13"/>
  <c r="BC931" i="13"/>
  <c r="BD931" i="13"/>
  <c r="BE931" i="13"/>
  <c r="BF931" i="13"/>
  <c r="BG931" i="13"/>
  <c r="BH931" i="13"/>
  <c r="BI931" i="13"/>
  <c r="AQ932" i="13"/>
  <c r="AR932" i="13"/>
  <c r="AS932" i="13"/>
  <c r="AT932" i="13"/>
  <c r="AU932" i="13"/>
  <c r="AV932" i="13"/>
  <c r="AW932" i="13"/>
  <c r="AX932" i="13"/>
  <c r="AY932" i="13"/>
  <c r="AZ932" i="13"/>
  <c r="BA932" i="13"/>
  <c r="BB932" i="13"/>
  <c r="BC932" i="13"/>
  <c r="BD932" i="13"/>
  <c r="BE932" i="13"/>
  <c r="BF932" i="13"/>
  <c r="BG932" i="13"/>
  <c r="BH932" i="13"/>
  <c r="BI932" i="13"/>
  <c r="AQ933" i="13"/>
  <c r="AR933" i="13"/>
  <c r="AS933" i="13"/>
  <c r="AT933" i="13"/>
  <c r="AU933" i="13"/>
  <c r="AV933" i="13"/>
  <c r="AW933" i="13"/>
  <c r="AX933" i="13"/>
  <c r="AY933" i="13"/>
  <c r="AZ933" i="13"/>
  <c r="BA933" i="13"/>
  <c r="BB933" i="13"/>
  <c r="BC933" i="13"/>
  <c r="BD933" i="13"/>
  <c r="BE933" i="13"/>
  <c r="BF933" i="13"/>
  <c r="BG933" i="13"/>
  <c r="BH933" i="13"/>
  <c r="BI933" i="13"/>
  <c r="AQ934" i="13"/>
  <c r="AR934" i="13"/>
  <c r="AS934" i="13"/>
  <c r="AT934" i="13"/>
  <c r="AU934" i="13"/>
  <c r="AV934" i="13"/>
  <c r="AW934" i="13"/>
  <c r="AX934" i="13"/>
  <c r="AY934" i="13"/>
  <c r="AZ934" i="13"/>
  <c r="BA934" i="13"/>
  <c r="BB934" i="13"/>
  <c r="BC934" i="13"/>
  <c r="BD934" i="13"/>
  <c r="BE934" i="13"/>
  <c r="BF934" i="13"/>
  <c r="BG934" i="13"/>
  <c r="BH934" i="13"/>
  <c r="BI934" i="13"/>
  <c r="AQ935" i="13"/>
  <c r="AR935" i="13"/>
  <c r="AS935" i="13"/>
  <c r="AT935" i="13"/>
  <c r="AU935" i="13"/>
  <c r="AV935" i="13"/>
  <c r="AW935" i="13"/>
  <c r="AX935" i="13"/>
  <c r="AY935" i="13"/>
  <c r="AZ935" i="13"/>
  <c r="BA935" i="13"/>
  <c r="BB935" i="13"/>
  <c r="BC935" i="13"/>
  <c r="BD935" i="13"/>
  <c r="BE935" i="13"/>
  <c r="BF935" i="13"/>
  <c r="BG935" i="13"/>
  <c r="BH935" i="13"/>
  <c r="BI935" i="13"/>
  <c r="AQ936" i="13"/>
  <c r="AR936" i="13"/>
  <c r="AS936" i="13"/>
  <c r="AT936" i="13"/>
  <c r="AU936" i="13"/>
  <c r="AV936" i="13"/>
  <c r="AW936" i="13"/>
  <c r="AX936" i="13"/>
  <c r="AY936" i="13"/>
  <c r="AZ936" i="13"/>
  <c r="BA936" i="13"/>
  <c r="BB936" i="13"/>
  <c r="BC936" i="13"/>
  <c r="BD936" i="13"/>
  <c r="BE936" i="13"/>
  <c r="BF936" i="13"/>
  <c r="BG936" i="13"/>
  <c r="BH936" i="13"/>
  <c r="BI936" i="13"/>
  <c r="AQ937" i="13"/>
  <c r="AR937" i="13"/>
  <c r="AS937" i="13"/>
  <c r="AT937" i="13"/>
  <c r="AU937" i="13"/>
  <c r="AV937" i="13"/>
  <c r="AW937" i="13"/>
  <c r="AX937" i="13"/>
  <c r="AY937" i="13"/>
  <c r="AZ937" i="13"/>
  <c r="BA937" i="13"/>
  <c r="BB937" i="13"/>
  <c r="BC937" i="13"/>
  <c r="BD937" i="13"/>
  <c r="BE937" i="13"/>
  <c r="BF937" i="13"/>
  <c r="BG937" i="13"/>
  <c r="BH937" i="13"/>
  <c r="BI937" i="13"/>
  <c r="AQ938" i="13"/>
  <c r="AR938" i="13"/>
  <c r="AS938" i="13"/>
  <c r="AT938" i="13"/>
  <c r="AU938" i="13"/>
  <c r="AV938" i="13"/>
  <c r="AW938" i="13"/>
  <c r="AX938" i="13"/>
  <c r="AY938" i="13"/>
  <c r="AZ938" i="13"/>
  <c r="BA938" i="13"/>
  <c r="BB938" i="13"/>
  <c r="BC938" i="13"/>
  <c r="BD938" i="13"/>
  <c r="BE938" i="13"/>
  <c r="BF938" i="13"/>
  <c r="BG938" i="13"/>
  <c r="BH938" i="13"/>
  <c r="BI938" i="13"/>
  <c r="AQ939" i="13"/>
  <c r="AR939" i="13"/>
  <c r="AS939" i="13"/>
  <c r="AT939" i="13"/>
  <c r="AU939" i="13"/>
  <c r="AV939" i="13"/>
  <c r="AW939" i="13"/>
  <c r="AX939" i="13"/>
  <c r="AY939" i="13"/>
  <c r="AZ939" i="13"/>
  <c r="BA939" i="13"/>
  <c r="BB939" i="13"/>
  <c r="BC939" i="13"/>
  <c r="BD939" i="13"/>
  <c r="BE939" i="13"/>
  <c r="BF939" i="13"/>
  <c r="BG939" i="13"/>
  <c r="BH939" i="13"/>
  <c r="BI939" i="13"/>
  <c r="AQ940" i="13"/>
  <c r="AR940" i="13"/>
  <c r="AS940" i="13"/>
  <c r="AT940" i="13"/>
  <c r="AU940" i="13"/>
  <c r="AV940" i="13"/>
  <c r="AW940" i="13"/>
  <c r="AX940" i="13"/>
  <c r="AY940" i="13"/>
  <c r="AZ940" i="13"/>
  <c r="BA940" i="13"/>
  <c r="BB940" i="13"/>
  <c r="BC940" i="13"/>
  <c r="BD940" i="13"/>
  <c r="BE940" i="13"/>
  <c r="BF940" i="13"/>
  <c r="BG940" i="13"/>
  <c r="BH940" i="13"/>
  <c r="BI940" i="13"/>
  <c r="AQ941" i="13"/>
  <c r="AR941" i="13"/>
  <c r="AS941" i="13"/>
  <c r="AT941" i="13"/>
  <c r="AU941" i="13"/>
  <c r="AV941" i="13"/>
  <c r="AW941" i="13"/>
  <c r="AX941" i="13"/>
  <c r="AY941" i="13"/>
  <c r="AZ941" i="13"/>
  <c r="BA941" i="13"/>
  <c r="BB941" i="13"/>
  <c r="BC941" i="13"/>
  <c r="BD941" i="13"/>
  <c r="BE941" i="13"/>
  <c r="BF941" i="13"/>
  <c r="BG941" i="13"/>
  <c r="BH941" i="13"/>
  <c r="BI941" i="13"/>
  <c r="AQ942" i="13"/>
  <c r="AR942" i="13"/>
  <c r="AS942" i="13"/>
  <c r="AT942" i="13"/>
  <c r="AU942" i="13"/>
  <c r="AV942" i="13"/>
  <c r="AW942" i="13"/>
  <c r="AX942" i="13"/>
  <c r="AY942" i="13"/>
  <c r="AZ942" i="13"/>
  <c r="BA942" i="13"/>
  <c r="BB942" i="13"/>
  <c r="BC942" i="13"/>
  <c r="BD942" i="13"/>
  <c r="BE942" i="13"/>
  <c r="BF942" i="13"/>
  <c r="BG942" i="13"/>
  <c r="BH942" i="13"/>
  <c r="BI942" i="13"/>
  <c r="AQ943" i="13"/>
  <c r="AR943" i="13"/>
  <c r="AS943" i="13"/>
  <c r="AT943" i="13"/>
  <c r="AU943" i="13"/>
  <c r="AV943" i="13"/>
  <c r="AW943" i="13"/>
  <c r="AX943" i="13"/>
  <c r="AY943" i="13"/>
  <c r="AZ943" i="13"/>
  <c r="BA943" i="13"/>
  <c r="BB943" i="13"/>
  <c r="BC943" i="13"/>
  <c r="BD943" i="13"/>
  <c r="BE943" i="13"/>
  <c r="BF943" i="13"/>
  <c r="BG943" i="13"/>
  <c r="BH943" i="13"/>
  <c r="BI943" i="13"/>
  <c r="AQ944" i="13"/>
  <c r="AR944" i="13"/>
  <c r="AS944" i="13"/>
  <c r="AT944" i="13"/>
  <c r="AU944" i="13"/>
  <c r="AV944" i="13"/>
  <c r="AW944" i="13"/>
  <c r="AX944" i="13"/>
  <c r="AY944" i="13"/>
  <c r="AZ944" i="13"/>
  <c r="BA944" i="13"/>
  <c r="BB944" i="13"/>
  <c r="BC944" i="13"/>
  <c r="BD944" i="13"/>
  <c r="BE944" i="13"/>
  <c r="BF944" i="13"/>
  <c r="BG944" i="13"/>
  <c r="BH944" i="13"/>
  <c r="BI944" i="13"/>
  <c r="AQ945" i="13"/>
  <c r="AR945" i="13"/>
  <c r="AS945" i="13"/>
  <c r="AT945" i="13"/>
  <c r="AU945" i="13"/>
  <c r="AV945" i="13"/>
  <c r="AW945" i="13"/>
  <c r="AX945" i="13"/>
  <c r="AY945" i="13"/>
  <c r="AZ945" i="13"/>
  <c r="BA945" i="13"/>
  <c r="BB945" i="13"/>
  <c r="BC945" i="13"/>
  <c r="BD945" i="13"/>
  <c r="BE945" i="13"/>
  <c r="BF945" i="13"/>
  <c r="BG945" i="13"/>
  <c r="BH945" i="13"/>
  <c r="BI945" i="13"/>
  <c r="V469" i="13"/>
  <c r="X469" i="13" s="1"/>
  <c r="W469" i="13"/>
  <c r="V470" i="13"/>
  <c r="W470" i="13"/>
  <c r="V471" i="13"/>
  <c r="X471" i="13" s="1"/>
  <c r="W471" i="13"/>
  <c r="V472" i="13"/>
  <c r="X472" i="13" s="1"/>
  <c r="W472" i="13"/>
  <c r="V473" i="13"/>
  <c r="X473" i="13" s="1"/>
  <c r="W473" i="13"/>
  <c r="V474" i="13"/>
  <c r="X474" i="13" s="1"/>
  <c r="W474" i="13"/>
  <c r="V475" i="13"/>
  <c r="X475" i="13" s="1"/>
  <c r="W475" i="13"/>
  <c r="V476" i="13"/>
  <c r="X476" i="13" s="1"/>
  <c r="W476" i="13"/>
  <c r="V477" i="13"/>
  <c r="W477" i="13"/>
  <c r="V478" i="13"/>
  <c r="X478" i="13" s="1"/>
  <c r="W478" i="13"/>
  <c r="V479" i="13"/>
  <c r="X479" i="13" s="1"/>
  <c r="W479" i="13"/>
  <c r="V480" i="13"/>
  <c r="X480" i="13" s="1"/>
  <c r="W480" i="13"/>
  <c r="V481" i="13"/>
  <c r="X481" i="13" s="1"/>
  <c r="W481" i="13"/>
  <c r="V482" i="13"/>
  <c r="X482" i="13" s="1"/>
  <c r="W482" i="13"/>
  <c r="V483" i="13"/>
  <c r="X483" i="13" s="1"/>
  <c r="W483" i="13"/>
  <c r="V484" i="13"/>
  <c r="X484" i="13" s="1"/>
  <c r="W484" i="13"/>
  <c r="V485" i="13"/>
  <c r="X485" i="13" s="1"/>
  <c r="W485" i="13"/>
  <c r="V486" i="13"/>
  <c r="X486" i="13" s="1"/>
  <c r="W486" i="13"/>
  <c r="V487" i="13"/>
  <c r="X487" i="13" s="1"/>
  <c r="W487" i="13"/>
  <c r="V488" i="13"/>
  <c r="X488" i="13" s="1"/>
  <c r="W488" i="13"/>
  <c r="V489" i="13"/>
  <c r="X489" i="13" s="1"/>
  <c r="W489" i="13"/>
  <c r="V490" i="13"/>
  <c r="X490" i="13" s="1"/>
  <c r="W490" i="13"/>
  <c r="V491" i="13"/>
  <c r="X491" i="13" s="1"/>
  <c r="W491" i="13"/>
  <c r="V492" i="13"/>
  <c r="X492" i="13" s="1"/>
  <c r="W492" i="13"/>
  <c r="V493" i="13"/>
  <c r="X493" i="13" s="1"/>
  <c r="W493" i="13"/>
  <c r="V494" i="13"/>
  <c r="X494" i="13" s="1"/>
  <c r="W494" i="13"/>
  <c r="V495" i="13"/>
  <c r="X495" i="13" s="1"/>
  <c r="W495" i="13"/>
  <c r="V496" i="13"/>
  <c r="X496" i="13" s="1"/>
  <c r="W496" i="13"/>
  <c r="V497" i="13"/>
  <c r="X497" i="13" s="1"/>
  <c r="W497" i="13"/>
  <c r="V498" i="13"/>
  <c r="X498" i="13" s="1"/>
  <c r="W498" i="13"/>
  <c r="V499" i="13"/>
  <c r="X499" i="13" s="1"/>
  <c r="W499" i="13"/>
  <c r="V500" i="13"/>
  <c r="X500" i="13" s="1"/>
  <c r="W500" i="13"/>
  <c r="V501" i="13"/>
  <c r="X501" i="13" s="1"/>
  <c r="W501" i="13"/>
  <c r="V502" i="13"/>
  <c r="X502" i="13" s="1"/>
  <c r="W502" i="13"/>
  <c r="V503" i="13"/>
  <c r="X503" i="13" s="1"/>
  <c r="W503" i="13"/>
  <c r="V504" i="13"/>
  <c r="X504" i="13" s="1"/>
  <c r="W504" i="13"/>
  <c r="V505" i="13"/>
  <c r="X505" i="13" s="1"/>
  <c r="W505" i="13"/>
  <c r="V506" i="13"/>
  <c r="W506" i="13"/>
  <c r="X506" i="13"/>
  <c r="V507" i="13"/>
  <c r="X507" i="13" s="1"/>
  <c r="W507" i="13"/>
  <c r="V508" i="13"/>
  <c r="X508" i="13" s="1"/>
  <c r="W508" i="13"/>
  <c r="V509" i="13"/>
  <c r="X509" i="13" s="1"/>
  <c r="W509" i="13"/>
  <c r="V510" i="13"/>
  <c r="X510" i="13" s="1"/>
  <c r="W510" i="13"/>
  <c r="V511" i="13"/>
  <c r="X511" i="13" s="1"/>
  <c r="W511" i="13"/>
  <c r="V512" i="13"/>
  <c r="X512" i="13" s="1"/>
  <c r="W512" i="13"/>
  <c r="V513" i="13"/>
  <c r="X513" i="13" s="1"/>
  <c r="W513" i="13"/>
  <c r="V514" i="13"/>
  <c r="X514" i="13" s="1"/>
  <c r="W514" i="13"/>
  <c r="V515" i="13"/>
  <c r="X515" i="13" s="1"/>
  <c r="W515" i="13"/>
  <c r="V516" i="13"/>
  <c r="X516" i="13" s="1"/>
  <c r="W516" i="13"/>
  <c r="V517" i="13"/>
  <c r="X517" i="13" s="1"/>
  <c r="W517" i="13"/>
  <c r="V518" i="13"/>
  <c r="X518" i="13" s="1"/>
  <c r="W518" i="13"/>
  <c r="V519" i="13"/>
  <c r="X519" i="13" s="1"/>
  <c r="W519" i="13"/>
  <c r="V520" i="13"/>
  <c r="X520" i="13" s="1"/>
  <c r="W520" i="13"/>
  <c r="V521" i="13"/>
  <c r="X521" i="13" s="1"/>
  <c r="W521" i="13"/>
  <c r="V522" i="13"/>
  <c r="X522" i="13" s="1"/>
  <c r="W522" i="13"/>
  <c r="V523" i="13"/>
  <c r="X523" i="13" s="1"/>
  <c r="W523" i="13"/>
  <c r="V524" i="13"/>
  <c r="X524" i="13" s="1"/>
  <c r="W524" i="13"/>
  <c r="V525" i="13"/>
  <c r="X525" i="13" s="1"/>
  <c r="W525" i="13"/>
  <c r="V526" i="13"/>
  <c r="X526" i="13" s="1"/>
  <c r="W526" i="13"/>
  <c r="V527" i="13"/>
  <c r="X527" i="13" s="1"/>
  <c r="W527" i="13"/>
  <c r="V528" i="13"/>
  <c r="X528" i="13" s="1"/>
  <c r="W528" i="13"/>
  <c r="V529" i="13"/>
  <c r="X529" i="13" s="1"/>
  <c r="W529" i="13"/>
  <c r="V530" i="13"/>
  <c r="X530" i="13" s="1"/>
  <c r="W530" i="13"/>
  <c r="V531" i="13"/>
  <c r="X531" i="13" s="1"/>
  <c r="W531" i="13"/>
  <c r="V532" i="13"/>
  <c r="X532" i="13" s="1"/>
  <c r="W532" i="13"/>
  <c r="V533" i="13"/>
  <c r="X533" i="13" s="1"/>
  <c r="W533" i="13"/>
  <c r="V534" i="13"/>
  <c r="X534" i="13" s="1"/>
  <c r="W534" i="13"/>
  <c r="V535" i="13"/>
  <c r="X535" i="13" s="1"/>
  <c r="W535" i="13"/>
  <c r="V536" i="13"/>
  <c r="X536" i="13" s="1"/>
  <c r="W536" i="13"/>
  <c r="V537" i="13"/>
  <c r="X537" i="13" s="1"/>
  <c r="W537" i="13"/>
  <c r="V538" i="13"/>
  <c r="X538" i="13" s="1"/>
  <c r="W538" i="13"/>
  <c r="V539" i="13"/>
  <c r="X539" i="13" s="1"/>
  <c r="W539" i="13"/>
  <c r="V540" i="13"/>
  <c r="X540" i="13" s="1"/>
  <c r="W540" i="13"/>
  <c r="V541" i="13"/>
  <c r="X541" i="13" s="1"/>
  <c r="W541" i="13"/>
  <c r="V542" i="13"/>
  <c r="X542" i="13" s="1"/>
  <c r="W542" i="13"/>
  <c r="V543" i="13"/>
  <c r="X543" i="13" s="1"/>
  <c r="W543" i="13"/>
  <c r="V544" i="13"/>
  <c r="X544" i="13" s="1"/>
  <c r="W544" i="13"/>
  <c r="V545" i="13"/>
  <c r="X545" i="13" s="1"/>
  <c r="W545" i="13"/>
  <c r="V546" i="13"/>
  <c r="X546" i="13" s="1"/>
  <c r="W546" i="13"/>
  <c r="V547" i="13"/>
  <c r="X547" i="13" s="1"/>
  <c r="W547" i="13"/>
  <c r="V548" i="13"/>
  <c r="X548" i="13" s="1"/>
  <c r="W548" i="13"/>
  <c r="V549" i="13"/>
  <c r="X549" i="13" s="1"/>
  <c r="W549" i="13"/>
  <c r="V550" i="13"/>
  <c r="X550" i="13" s="1"/>
  <c r="W550" i="13"/>
  <c r="V551" i="13"/>
  <c r="X551" i="13" s="1"/>
  <c r="W551" i="13"/>
  <c r="V552" i="13"/>
  <c r="X552" i="13" s="1"/>
  <c r="W552" i="13"/>
  <c r="V553" i="13"/>
  <c r="X553" i="13" s="1"/>
  <c r="W553" i="13"/>
  <c r="V554" i="13"/>
  <c r="X554" i="13" s="1"/>
  <c r="W554" i="13"/>
  <c r="V555" i="13"/>
  <c r="X555" i="13" s="1"/>
  <c r="W555" i="13"/>
  <c r="V556" i="13"/>
  <c r="X556" i="13" s="1"/>
  <c r="W556" i="13"/>
  <c r="V557" i="13"/>
  <c r="X557" i="13" s="1"/>
  <c r="W557" i="13"/>
  <c r="V558" i="13"/>
  <c r="X558" i="13" s="1"/>
  <c r="W558" i="13"/>
  <c r="V559" i="13"/>
  <c r="X559" i="13" s="1"/>
  <c r="W559" i="13"/>
  <c r="V560" i="13"/>
  <c r="X560" i="13" s="1"/>
  <c r="W560" i="13"/>
  <c r="V561" i="13"/>
  <c r="X561" i="13" s="1"/>
  <c r="W561" i="13"/>
  <c r="V562" i="13"/>
  <c r="X562" i="13" s="1"/>
  <c r="W562" i="13"/>
  <c r="V563" i="13"/>
  <c r="X563" i="13" s="1"/>
  <c r="W563" i="13"/>
  <c r="V564" i="13"/>
  <c r="X564" i="13" s="1"/>
  <c r="W564" i="13"/>
  <c r="V565" i="13"/>
  <c r="X565" i="13" s="1"/>
  <c r="W565" i="13"/>
  <c r="V566" i="13"/>
  <c r="X566" i="13" s="1"/>
  <c r="W566" i="13"/>
  <c r="V567" i="13"/>
  <c r="X567" i="13" s="1"/>
  <c r="W567" i="13"/>
  <c r="V568" i="13"/>
  <c r="X568" i="13" s="1"/>
  <c r="W568" i="13"/>
  <c r="V569" i="13"/>
  <c r="X569" i="13" s="1"/>
  <c r="W569" i="13"/>
  <c r="V570" i="13"/>
  <c r="X570" i="13" s="1"/>
  <c r="W570" i="13"/>
  <c r="V571" i="13"/>
  <c r="X571" i="13" s="1"/>
  <c r="W571" i="13"/>
  <c r="V572" i="13"/>
  <c r="X572" i="13" s="1"/>
  <c r="W572" i="13"/>
  <c r="V573" i="13"/>
  <c r="X573" i="13" s="1"/>
  <c r="W573" i="13"/>
  <c r="V574" i="13"/>
  <c r="X574" i="13" s="1"/>
  <c r="W574" i="13"/>
  <c r="V575" i="13"/>
  <c r="X575" i="13" s="1"/>
  <c r="W575" i="13"/>
  <c r="V576" i="13"/>
  <c r="X576" i="13" s="1"/>
  <c r="W576" i="13"/>
  <c r="V577" i="13"/>
  <c r="X577" i="13" s="1"/>
  <c r="W577" i="13"/>
  <c r="V578" i="13"/>
  <c r="X578" i="13" s="1"/>
  <c r="W578" i="13"/>
  <c r="V579" i="13"/>
  <c r="X579" i="13" s="1"/>
  <c r="W579" i="13"/>
  <c r="V580" i="13"/>
  <c r="X580" i="13" s="1"/>
  <c r="W580" i="13"/>
  <c r="V581" i="13"/>
  <c r="X581" i="13" s="1"/>
  <c r="W581" i="13"/>
  <c r="V582" i="13"/>
  <c r="X582" i="13" s="1"/>
  <c r="W582" i="13"/>
  <c r="V583" i="13"/>
  <c r="X583" i="13" s="1"/>
  <c r="W583" i="13"/>
  <c r="V584" i="13"/>
  <c r="X584" i="13" s="1"/>
  <c r="W584" i="13"/>
  <c r="V585" i="13"/>
  <c r="X585" i="13" s="1"/>
  <c r="W585" i="13"/>
  <c r="V586" i="13"/>
  <c r="X586" i="13" s="1"/>
  <c r="W586" i="13"/>
  <c r="V587" i="13"/>
  <c r="X587" i="13" s="1"/>
  <c r="W587" i="13"/>
  <c r="V588" i="13"/>
  <c r="X588" i="13" s="1"/>
  <c r="W588" i="13"/>
  <c r="V589" i="13"/>
  <c r="X589" i="13" s="1"/>
  <c r="W589" i="13"/>
  <c r="V590" i="13"/>
  <c r="X590" i="13" s="1"/>
  <c r="W590" i="13"/>
  <c r="V591" i="13"/>
  <c r="X591" i="13" s="1"/>
  <c r="W591" i="13"/>
  <c r="V592" i="13"/>
  <c r="X592" i="13" s="1"/>
  <c r="W592" i="13"/>
  <c r="V593" i="13"/>
  <c r="X593" i="13" s="1"/>
  <c r="W593" i="13"/>
  <c r="V594" i="13"/>
  <c r="X594" i="13" s="1"/>
  <c r="W594" i="13"/>
  <c r="V595" i="13"/>
  <c r="X595" i="13" s="1"/>
  <c r="W595" i="13"/>
  <c r="V596" i="13"/>
  <c r="X596" i="13" s="1"/>
  <c r="W596" i="13"/>
  <c r="V597" i="13"/>
  <c r="X597" i="13" s="1"/>
  <c r="W597" i="13"/>
  <c r="V598" i="13"/>
  <c r="X598" i="13" s="1"/>
  <c r="W598" i="13"/>
  <c r="V599" i="13"/>
  <c r="X599" i="13" s="1"/>
  <c r="W599" i="13"/>
  <c r="V600" i="13"/>
  <c r="X600" i="13" s="1"/>
  <c r="W600" i="13"/>
  <c r="V601" i="13"/>
  <c r="X601" i="13" s="1"/>
  <c r="W601" i="13"/>
  <c r="V602" i="13"/>
  <c r="X602" i="13" s="1"/>
  <c r="W602" i="13"/>
  <c r="V603" i="13"/>
  <c r="X603" i="13" s="1"/>
  <c r="W603" i="13"/>
  <c r="V604" i="13"/>
  <c r="X604" i="13" s="1"/>
  <c r="W604" i="13"/>
  <c r="V605" i="13"/>
  <c r="X605" i="13" s="1"/>
  <c r="W605" i="13"/>
  <c r="V606" i="13"/>
  <c r="X606" i="13" s="1"/>
  <c r="W606" i="13"/>
  <c r="V607" i="13"/>
  <c r="X607" i="13" s="1"/>
  <c r="W607" i="13"/>
  <c r="V608" i="13"/>
  <c r="X608" i="13" s="1"/>
  <c r="W608" i="13"/>
  <c r="V609" i="13"/>
  <c r="X609" i="13" s="1"/>
  <c r="W609" i="13"/>
  <c r="V610" i="13"/>
  <c r="X610" i="13" s="1"/>
  <c r="W610" i="13"/>
  <c r="V611" i="13"/>
  <c r="X611" i="13" s="1"/>
  <c r="W611" i="13"/>
  <c r="V612" i="13"/>
  <c r="X612" i="13" s="1"/>
  <c r="W612" i="13"/>
  <c r="V613" i="13"/>
  <c r="X613" i="13" s="1"/>
  <c r="W613" i="13"/>
  <c r="V614" i="13"/>
  <c r="X614" i="13" s="1"/>
  <c r="W614" i="13"/>
  <c r="V615" i="13"/>
  <c r="X615" i="13" s="1"/>
  <c r="W615" i="13"/>
  <c r="V616" i="13"/>
  <c r="X616" i="13" s="1"/>
  <c r="W616" i="13"/>
  <c r="V617" i="13"/>
  <c r="X617" i="13" s="1"/>
  <c r="W617" i="13"/>
  <c r="V618" i="13"/>
  <c r="X618" i="13" s="1"/>
  <c r="W618" i="13"/>
  <c r="V619" i="13"/>
  <c r="X619" i="13" s="1"/>
  <c r="W619" i="13"/>
  <c r="V620" i="13"/>
  <c r="X620" i="13" s="1"/>
  <c r="W620" i="13"/>
  <c r="V621" i="13"/>
  <c r="X621" i="13" s="1"/>
  <c r="W621" i="13"/>
  <c r="V622" i="13"/>
  <c r="X622" i="13" s="1"/>
  <c r="W622" i="13"/>
  <c r="V623" i="13"/>
  <c r="X623" i="13" s="1"/>
  <c r="W623" i="13"/>
  <c r="V624" i="13"/>
  <c r="X624" i="13" s="1"/>
  <c r="W624" i="13"/>
  <c r="V625" i="13"/>
  <c r="X625" i="13" s="1"/>
  <c r="W625" i="13"/>
  <c r="V626" i="13"/>
  <c r="X626" i="13" s="1"/>
  <c r="W626" i="13"/>
  <c r="V627" i="13"/>
  <c r="X627" i="13" s="1"/>
  <c r="W627" i="13"/>
  <c r="V628" i="13"/>
  <c r="X628" i="13" s="1"/>
  <c r="W628" i="13"/>
  <c r="V629" i="13"/>
  <c r="X629" i="13" s="1"/>
  <c r="W629" i="13"/>
  <c r="V630" i="13"/>
  <c r="X630" i="13" s="1"/>
  <c r="W630" i="13"/>
  <c r="V631" i="13"/>
  <c r="X631" i="13" s="1"/>
  <c r="W631" i="13"/>
  <c r="V632" i="13"/>
  <c r="X632" i="13" s="1"/>
  <c r="W632" i="13"/>
  <c r="V633" i="13"/>
  <c r="X633" i="13" s="1"/>
  <c r="W633" i="13"/>
  <c r="V634" i="13"/>
  <c r="X634" i="13" s="1"/>
  <c r="W634" i="13"/>
  <c r="V635" i="13"/>
  <c r="X635" i="13" s="1"/>
  <c r="W635" i="13"/>
  <c r="V636" i="13"/>
  <c r="X636" i="13" s="1"/>
  <c r="W636" i="13"/>
  <c r="V637" i="13"/>
  <c r="X637" i="13" s="1"/>
  <c r="W637" i="13"/>
  <c r="V638" i="13"/>
  <c r="W638" i="13"/>
  <c r="X638" i="13"/>
  <c r="V639" i="13"/>
  <c r="X639" i="13" s="1"/>
  <c r="W639" i="13"/>
  <c r="V640" i="13"/>
  <c r="X640" i="13" s="1"/>
  <c r="W640" i="13"/>
  <c r="V641" i="13"/>
  <c r="X641" i="13" s="1"/>
  <c r="W641" i="13"/>
  <c r="V642" i="13"/>
  <c r="X642" i="13" s="1"/>
  <c r="W642" i="13"/>
  <c r="V643" i="13"/>
  <c r="X643" i="13" s="1"/>
  <c r="W643" i="13"/>
  <c r="V644" i="13"/>
  <c r="X644" i="13" s="1"/>
  <c r="W644" i="13"/>
  <c r="V645" i="13"/>
  <c r="X645" i="13" s="1"/>
  <c r="W645" i="13"/>
  <c r="V646" i="13"/>
  <c r="X646" i="13" s="1"/>
  <c r="W646" i="13"/>
  <c r="V647" i="13"/>
  <c r="X647" i="13" s="1"/>
  <c r="W647" i="13"/>
  <c r="V648" i="13"/>
  <c r="X648" i="13" s="1"/>
  <c r="W648" i="13"/>
  <c r="V649" i="13"/>
  <c r="X649" i="13" s="1"/>
  <c r="W649" i="13"/>
  <c r="V650" i="13"/>
  <c r="X650" i="13" s="1"/>
  <c r="W650" i="13"/>
  <c r="V651" i="13"/>
  <c r="X651" i="13" s="1"/>
  <c r="W651" i="13"/>
  <c r="V652" i="13"/>
  <c r="X652" i="13" s="1"/>
  <c r="W652" i="13"/>
  <c r="V653" i="13"/>
  <c r="X653" i="13" s="1"/>
  <c r="W653" i="13"/>
  <c r="V654" i="13"/>
  <c r="X654" i="13" s="1"/>
  <c r="W654" i="13"/>
  <c r="V655" i="13"/>
  <c r="X655" i="13" s="1"/>
  <c r="W655" i="13"/>
  <c r="V656" i="13"/>
  <c r="X656" i="13" s="1"/>
  <c r="W656" i="13"/>
  <c r="V657" i="13"/>
  <c r="X657" i="13" s="1"/>
  <c r="W657" i="13"/>
  <c r="V658" i="13"/>
  <c r="X658" i="13" s="1"/>
  <c r="W658" i="13"/>
  <c r="V659" i="13"/>
  <c r="X659" i="13" s="1"/>
  <c r="W659" i="13"/>
  <c r="V660" i="13"/>
  <c r="X660" i="13" s="1"/>
  <c r="W660" i="13"/>
  <c r="V661" i="13"/>
  <c r="X661" i="13" s="1"/>
  <c r="W661" i="13"/>
  <c r="V662" i="13"/>
  <c r="X662" i="13" s="1"/>
  <c r="W662" i="13"/>
  <c r="V663" i="13"/>
  <c r="X663" i="13" s="1"/>
  <c r="W663" i="13"/>
  <c r="V664" i="13"/>
  <c r="X664" i="13" s="1"/>
  <c r="W664" i="13"/>
  <c r="V665" i="13"/>
  <c r="X665" i="13" s="1"/>
  <c r="W665" i="13"/>
  <c r="V666" i="13"/>
  <c r="X666" i="13" s="1"/>
  <c r="W666" i="13"/>
  <c r="V667" i="13"/>
  <c r="X667" i="13" s="1"/>
  <c r="W667" i="13"/>
  <c r="V668" i="13"/>
  <c r="X668" i="13" s="1"/>
  <c r="W668" i="13"/>
  <c r="V669" i="13"/>
  <c r="X669" i="13" s="1"/>
  <c r="W669" i="13"/>
  <c r="V670" i="13"/>
  <c r="X670" i="13" s="1"/>
  <c r="W670" i="13"/>
  <c r="V671" i="13"/>
  <c r="X671" i="13" s="1"/>
  <c r="W671" i="13"/>
  <c r="V672" i="13"/>
  <c r="X672" i="13" s="1"/>
  <c r="W672" i="13"/>
  <c r="V673" i="13"/>
  <c r="X673" i="13" s="1"/>
  <c r="W673" i="13"/>
  <c r="V674" i="13"/>
  <c r="X674" i="13" s="1"/>
  <c r="W674" i="13"/>
  <c r="V675" i="13"/>
  <c r="X675" i="13" s="1"/>
  <c r="W675" i="13"/>
  <c r="V676" i="13"/>
  <c r="X676" i="13" s="1"/>
  <c r="W676" i="13"/>
  <c r="V677" i="13"/>
  <c r="X677" i="13" s="1"/>
  <c r="W677" i="13"/>
  <c r="V678" i="13"/>
  <c r="X678" i="13" s="1"/>
  <c r="W678" i="13"/>
  <c r="V679" i="13"/>
  <c r="X679" i="13" s="1"/>
  <c r="W679" i="13"/>
  <c r="V680" i="13"/>
  <c r="X680" i="13" s="1"/>
  <c r="W680" i="13"/>
  <c r="V681" i="13"/>
  <c r="W681" i="13"/>
  <c r="X681" i="13"/>
  <c r="V682" i="13"/>
  <c r="X682" i="13" s="1"/>
  <c r="W682" i="13"/>
  <c r="V683" i="13"/>
  <c r="X683" i="13" s="1"/>
  <c r="W683" i="13"/>
  <c r="V684" i="13"/>
  <c r="X684" i="13" s="1"/>
  <c r="W684" i="13"/>
  <c r="V685" i="13"/>
  <c r="X685" i="13" s="1"/>
  <c r="W685" i="13"/>
  <c r="V686" i="13"/>
  <c r="X686" i="13" s="1"/>
  <c r="W686" i="13"/>
  <c r="V687" i="13"/>
  <c r="X687" i="13" s="1"/>
  <c r="W687" i="13"/>
  <c r="V688" i="13"/>
  <c r="X688" i="13" s="1"/>
  <c r="W688" i="13"/>
  <c r="V689" i="13"/>
  <c r="X689" i="13" s="1"/>
  <c r="W689" i="13"/>
  <c r="V690" i="13"/>
  <c r="X690" i="13" s="1"/>
  <c r="W690" i="13"/>
  <c r="V691" i="13"/>
  <c r="X691" i="13" s="1"/>
  <c r="W691" i="13"/>
  <c r="V692" i="13"/>
  <c r="X692" i="13" s="1"/>
  <c r="W692" i="13"/>
  <c r="V693" i="13"/>
  <c r="X693" i="13" s="1"/>
  <c r="W693" i="13"/>
  <c r="V694" i="13"/>
  <c r="X694" i="13" s="1"/>
  <c r="W694" i="13"/>
  <c r="V695" i="13"/>
  <c r="X695" i="13" s="1"/>
  <c r="W695" i="13"/>
  <c r="V696" i="13"/>
  <c r="X696" i="13" s="1"/>
  <c r="W696" i="13"/>
  <c r="V697" i="13"/>
  <c r="X697" i="13" s="1"/>
  <c r="W697" i="13"/>
  <c r="V698" i="13"/>
  <c r="X698" i="13" s="1"/>
  <c r="W698" i="13"/>
  <c r="V699" i="13"/>
  <c r="X699" i="13" s="1"/>
  <c r="W699" i="13"/>
  <c r="V700" i="13"/>
  <c r="X700" i="13" s="1"/>
  <c r="W700" i="13"/>
  <c r="V701" i="13"/>
  <c r="X701" i="13" s="1"/>
  <c r="W701" i="13"/>
  <c r="V702" i="13"/>
  <c r="X702" i="13" s="1"/>
  <c r="W702" i="13"/>
  <c r="V703" i="13"/>
  <c r="X703" i="13" s="1"/>
  <c r="W703" i="13"/>
  <c r="V704" i="13"/>
  <c r="X704" i="13" s="1"/>
  <c r="W704" i="13"/>
  <c r="V705" i="13"/>
  <c r="X705" i="13" s="1"/>
  <c r="W705" i="13"/>
  <c r="V706" i="13"/>
  <c r="X706" i="13" s="1"/>
  <c r="W706" i="13"/>
  <c r="V707" i="13"/>
  <c r="X707" i="13" s="1"/>
  <c r="W707" i="13"/>
  <c r="V708" i="13"/>
  <c r="X708" i="13" s="1"/>
  <c r="W708" i="13"/>
  <c r="V709" i="13"/>
  <c r="X709" i="13" s="1"/>
  <c r="W709" i="13"/>
  <c r="V710" i="13"/>
  <c r="X710" i="13" s="1"/>
  <c r="W710" i="13"/>
  <c r="V711" i="13"/>
  <c r="X711" i="13" s="1"/>
  <c r="W711" i="13"/>
  <c r="V712" i="13"/>
  <c r="X712" i="13" s="1"/>
  <c r="W712" i="13"/>
  <c r="V713" i="13"/>
  <c r="X713" i="13" s="1"/>
  <c r="W713" i="13"/>
  <c r="V714" i="13"/>
  <c r="X714" i="13" s="1"/>
  <c r="W714" i="13"/>
  <c r="V715" i="13"/>
  <c r="X715" i="13" s="1"/>
  <c r="W715" i="13"/>
  <c r="V716" i="13"/>
  <c r="X716" i="13" s="1"/>
  <c r="W716" i="13"/>
  <c r="V717" i="13"/>
  <c r="X717" i="13" s="1"/>
  <c r="W717" i="13"/>
  <c r="V718" i="13"/>
  <c r="X718" i="13" s="1"/>
  <c r="W718" i="13"/>
  <c r="V719" i="13"/>
  <c r="X719" i="13" s="1"/>
  <c r="W719" i="13"/>
  <c r="V720" i="13"/>
  <c r="X720" i="13" s="1"/>
  <c r="W720" i="13"/>
  <c r="V721" i="13"/>
  <c r="X721" i="13" s="1"/>
  <c r="W721" i="13"/>
  <c r="V722" i="13"/>
  <c r="X722" i="13" s="1"/>
  <c r="W722" i="13"/>
  <c r="V723" i="13"/>
  <c r="X723" i="13" s="1"/>
  <c r="W723" i="13"/>
  <c r="V724" i="13"/>
  <c r="X724" i="13" s="1"/>
  <c r="W724" i="13"/>
  <c r="V725" i="13"/>
  <c r="X725" i="13" s="1"/>
  <c r="W725" i="13"/>
  <c r="V726" i="13"/>
  <c r="X726" i="13" s="1"/>
  <c r="W726" i="13"/>
  <c r="V727" i="13"/>
  <c r="X727" i="13" s="1"/>
  <c r="W727" i="13"/>
  <c r="V728" i="13"/>
  <c r="X728" i="13" s="1"/>
  <c r="W728" i="13"/>
  <c r="V729" i="13"/>
  <c r="X729" i="13" s="1"/>
  <c r="W729" i="13"/>
  <c r="V730" i="13"/>
  <c r="X730" i="13" s="1"/>
  <c r="W730" i="13"/>
  <c r="V731" i="13"/>
  <c r="X731" i="13" s="1"/>
  <c r="W731" i="13"/>
  <c r="V732" i="13"/>
  <c r="X732" i="13" s="1"/>
  <c r="W732" i="13"/>
  <c r="V733" i="13"/>
  <c r="X733" i="13" s="1"/>
  <c r="W733" i="13"/>
  <c r="V734" i="13"/>
  <c r="X734" i="13" s="1"/>
  <c r="W734" i="13"/>
  <c r="V735" i="13"/>
  <c r="X735" i="13" s="1"/>
  <c r="W735" i="13"/>
  <c r="V736" i="13"/>
  <c r="X736" i="13" s="1"/>
  <c r="W736" i="13"/>
  <c r="V737" i="13"/>
  <c r="X737" i="13" s="1"/>
  <c r="W737" i="13"/>
  <c r="V738" i="13"/>
  <c r="X738" i="13" s="1"/>
  <c r="W738" i="13"/>
  <c r="V739" i="13"/>
  <c r="X739" i="13" s="1"/>
  <c r="W739" i="13"/>
  <c r="V740" i="13"/>
  <c r="X740" i="13" s="1"/>
  <c r="W740" i="13"/>
  <c r="V741" i="13"/>
  <c r="X741" i="13" s="1"/>
  <c r="W741" i="13"/>
  <c r="V742" i="13"/>
  <c r="X742" i="13" s="1"/>
  <c r="W742" i="13"/>
  <c r="V743" i="13"/>
  <c r="X743" i="13" s="1"/>
  <c r="W743" i="13"/>
  <c r="V744" i="13"/>
  <c r="X744" i="13" s="1"/>
  <c r="W744" i="13"/>
  <c r="V745" i="13"/>
  <c r="X745" i="13" s="1"/>
  <c r="W745" i="13"/>
  <c r="V746" i="13"/>
  <c r="X746" i="13" s="1"/>
  <c r="W746" i="13"/>
  <c r="V747" i="13"/>
  <c r="X747" i="13" s="1"/>
  <c r="W747" i="13"/>
  <c r="V748" i="13"/>
  <c r="X748" i="13" s="1"/>
  <c r="W748" i="13"/>
  <c r="V749" i="13"/>
  <c r="X749" i="13" s="1"/>
  <c r="W749" i="13"/>
  <c r="V750" i="13"/>
  <c r="X750" i="13" s="1"/>
  <c r="W750" i="13"/>
  <c r="V751" i="13"/>
  <c r="X751" i="13" s="1"/>
  <c r="W751" i="13"/>
  <c r="V752" i="13"/>
  <c r="X752" i="13" s="1"/>
  <c r="W752" i="13"/>
  <c r="V753" i="13"/>
  <c r="X753" i="13" s="1"/>
  <c r="W753" i="13"/>
  <c r="V754" i="13"/>
  <c r="X754" i="13" s="1"/>
  <c r="W754" i="13"/>
  <c r="V755" i="13"/>
  <c r="X755" i="13" s="1"/>
  <c r="W755" i="13"/>
  <c r="V756" i="13"/>
  <c r="X756" i="13" s="1"/>
  <c r="W756" i="13"/>
  <c r="V757" i="13"/>
  <c r="X757" i="13" s="1"/>
  <c r="W757" i="13"/>
  <c r="V758" i="13"/>
  <c r="X758" i="13" s="1"/>
  <c r="W758" i="13"/>
  <c r="V759" i="13"/>
  <c r="X759" i="13" s="1"/>
  <c r="W759" i="13"/>
  <c r="V760" i="13"/>
  <c r="X760" i="13" s="1"/>
  <c r="W760" i="13"/>
  <c r="V761" i="13"/>
  <c r="X761" i="13" s="1"/>
  <c r="W761" i="13"/>
  <c r="V762" i="13"/>
  <c r="X762" i="13" s="1"/>
  <c r="W762" i="13"/>
  <c r="V763" i="13"/>
  <c r="X763" i="13" s="1"/>
  <c r="W763" i="13"/>
  <c r="V764" i="13"/>
  <c r="X764" i="13" s="1"/>
  <c r="W764" i="13"/>
  <c r="V765" i="13"/>
  <c r="W765" i="13"/>
  <c r="X765" i="13"/>
  <c r="V766" i="13"/>
  <c r="X766" i="13" s="1"/>
  <c r="W766" i="13"/>
  <c r="V767" i="13"/>
  <c r="X767" i="13" s="1"/>
  <c r="W767" i="13"/>
  <c r="V768" i="13"/>
  <c r="X768" i="13" s="1"/>
  <c r="W768" i="13"/>
  <c r="V769" i="13"/>
  <c r="X769" i="13" s="1"/>
  <c r="W769" i="13"/>
  <c r="V770" i="13"/>
  <c r="X770" i="13" s="1"/>
  <c r="W770" i="13"/>
  <c r="V771" i="13"/>
  <c r="X771" i="13" s="1"/>
  <c r="W771" i="13"/>
  <c r="V772" i="13"/>
  <c r="X772" i="13" s="1"/>
  <c r="W772" i="13"/>
  <c r="V773" i="13"/>
  <c r="X773" i="13" s="1"/>
  <c r="W773" i="13"/>
  <c r="V774" i="13"/>
  <c r="X774" i="13" s="1"/>
  <c r="W774" i="13"/>
  <c r="V775" i="13"/>
  <c r="X775" i="13" s="1"/>
  <c r="W775" i="13"/>
  <c r="V776" i="13"/>
  <c r="X776" i="13" s="1"/>
  <c r="W776" i="13"/>
  <c r="V777" i="13"/>
  <c r="X777" i="13" s="1"/>
  <c r="W777" i="13"/>
  <c r="V778" i="13"/>
  <c r="X778" i="13" s="1"/>
  <c r="W778" i="13"/>
  <c r="V779" i="13"/>
  <c r="X779" i="13" s="1"/>
  <c r="W779" i="13"/>
  <c r="V780" i="13"/>
  <c r="X780" i="13" s="1"/>
  <c r="W780" i="13"/>
  <c r="V781" i="13"/>
  <c r="X781" i="13" s="1"/>
  <c r="W781" i="13"/>
  <c r="V782" i="13"/>
  <c r="X782" i="13" s="1"/>
  <c r="W782" i="13"/>
  <c r="V783" i="13"/>
  <c r="X783" i="13" s="1"/>
  <c r="W783" i="13"/>
  <c r="V784" i="13"/>
  <c r="X784" i="13" s="1"/>
  <c r="W784" i="13"/>
  <c r="V785" i="13"/>
  <c r="X785" i="13" s="1"/>
  <c r="W785" i="13"/>
  <c r="V786" i="13"/>
  <c r="X786" i="13" s="1"/>
  <c r="W786" i="13"/>
  <c r="V787" i="13"/>
  <c r="X787" i="13" s="1"/>
  <c r="W787" i="13"/>
  <c r="V788" i="13"/>
  <c r="X788" i="13" s="1"/>
  <c r="W788" i="13"/>
  <c r="V789" i="13"/>
  <c r="X789" i="13" s="1"/>
  <c r="W789" i="13"/>
  <c r="V790" i="13"/>
  <c r="X790" i="13" s="1"/>
  <c r="W790" i="13"/>
  <c r="V791" i="13"/>
  <c r="X791" i="13" s="1"/>
  <c r="W791" i="13"/>
  <c r="V792" i="13"/>
  <c r="X792" i="13" s="1"/>
  <c r="W792" i="13"/>
  <c r="V793" i="13"/>
  <c r="X793" i="13" s="1"/>
  <c r="W793" i="13"/>
  <c r="V794" i="13"/>
  <c r="X794" i="13" s="1"/>
  <c r="W794" i="13"/>
  <c r="V795" i="13"/>
  <c r="X795" i="13" s="1"/>
  <c r="W795" i="13"/>
  <c r="V796" i="13"/>
  <c r="X796" i="13" s="1"/>
  <c r="W796" i="13"/>
  <c r="V797" i="13"/>
  <c r="X797" i="13" s="1"/>
  <c r="W797" i="13"/>
  <c r="V798" i="13"/>
  <c r="X798" i="13" s="1"/>
  <c r="W798" i="13"/>
  <c r="V799" i="13"/>
  <c r="X799" i="13" s="1"/>
  <c r="W799" i="13"/>
  <c r="V800" i="13"/>
  <c r="X800" i="13" s="1"/>
  <c r="W800" i="13"/>
  <c r="V801" i="13"/>
  <c r="X801" i="13" s="1"/>
  <c r="W801" i="13"/>
  <c r="V802" i="13"/>
  <c r="X802" i="13" s="1"/>
  <c r="W802" i="13"/>
  <c r="V803" i="13"/>
  <c r="X803" i="13" s="1"/>
  <c r="W803" i="13"/>
  <c r="V804" i="13"/>
  <c r="X804" i="13" s="1"/>
  <c r="W804" i="13"/>
  <c r="V805" i="13"/>
  <c r="X805" i="13" s="1"/>
  <c r="W805" i="13"/>
  <c r="V806" i="13"/>
  <c r="X806" i="13" s="1"/>
  <c r="W806" i="13"/>
  <c r="V807" i="13"/>
  <c r="X807" i="13" s="1"/>
  <c r="W807" i="13"/>
  <c r="V808" i="13"/>
  <c r="X808" i="13" s="1"/>
  <c r="W808" i="13"/>
  <c r="V809" i="13"/>
  <c r="X809" i="13" s="1"/>
  <c r="W809" i="13"/>
  <c r="V810" i="13"/>
  <c r="X810" i="13" s="1"/>
  <c r="W810" i="13"/>
  <c r="V811" i="13"/>
  <c r="X811" i="13" s="1"/>
  <c r="W811" i="13"/>
  <c r="V812" i="13"/>
  <c r="X812" i="13" s="1"/>
  <c r="W812" i="13"/>
  <c r="V813" i="13"/>
  <c r="X813" i="13" s="1"/>
  <c r="W813" i="13"/>
  <c r="V814" i="13"/>
  <c r="X814" i="13" s="1"/>
  <c r="W814" i="13"/>
  <c r="V815" i="13"/>
  <c r="X815" i="13" s="1"/>
  <c r="W815" i="13"/>
  <c r="V816" i="13"/>
  <c r="X816" i="13" s="1"/>
  <c r="W816" i="13"/>
  <c r="V817" i="13"/>
  <c r="X817" i="13" s="1"/>
  <c r="W817" i="13"/>
  <c r="V818" i="13"/>
  <c r="X818" i="13" s="1"/>
  <c r="W818" i="13"/>
  <c r="V819" i="13"/>
  <c r="X819" i="13" s="1"/>
  <c r="W819" i="13"/>
  <c r="V820" i="13"/>
  <c r="X820" i="13" s="1"/>
  <c r="W820" i="13"/>
  <c r="V821" i="13"/>
  <c r="X821" i="13" s="1"/>
  <c r="W821" i="13"/>
  <c r="V822" i="13"/>
  <c r="X822" i="13" s="1"/>
  <c r="W822" i="13"/>
  <c r="V823" i="13"/>
  <c r="X823" i="13" s="1"/>
  <c r="W823" i="13"/>
  <c r="V824" i="13"/>
  <c r="X824" i="13" s="1"/>
  <c r="W824" i="13"/>
  <c r="V825" i="13"/>
  <c r="X825" i="13" s="1"/>
  <c r="W825" i="13"/>
  <c r="V826" i="13"/>
  <c r="X826" i="13" s="1"/>
  <c r="W826" i="13"/>
  <c r="V827" i="13"/>
  <c r="X827" i="13" s="1"/>
  <c r="W827" i="13"/>
  <c r="V828" i="13"/>
  <c r="X828" i="13" s="1"/>
  <c r="W828" i="13"/>
  <c r="V829" i="13"/>
  <c r="X829" i="13" s="1"/>
  <c r="W829" i="13"/>
  <c r="V830" i="13"/>
  <c r="X830" i="13" s="1"/>
  <c r="W830" i="13"/>
  <c r="V831" i="13"/>
  <c r="X831" i="13" s="1"/>
  <c r="W831" i="13"/>
  <c r="V832" i="13"/>
  <c r="X832" i="13" s="1"/>
  <c r="W832" i="13"/>
  <c r="V833" i="13"/>
  <c r="X833" i="13" s="1"/>
  <c r="W833" i="13"/>
  <c r="V834" i="13"/>
  <c r="X834" i="13" s="1"/>
  <c r="W834" i="13"/>
  <c r="V835" i="13"/>
  <c r="X835" i="13" s="1"/>
  <c r="W835" i="13"/>
  <c r="V836" i="13"/>
  <c r="X836" i="13" s="1"/>
  <c r="W836" i="13"/>
  <c r="V837" i="13"/>
  <c r="X837" i="13" s="1"/>
  <c r="W837" i="13"/>
  <c r="V838" i="13"/>
  <c r="X838" i="13" s="1"/>
  <c r="W838" i="13"/>
  <c r="V839" i="13"/>
  <c r="W839" i="13"/>
  <c r="X839" i="13"/>
  <c r="V840" i="13"/>
  <c r="X840" i="13" s="1"/>
  <c r="W840" i="13"/>
  <c r="V841" i="13"/>
  <c r="X841" i="13" s="1"/>
  <c r="W841" i="13"/>
  <c r="V842" i="13"/>
  <c r="X842" i="13" s="1"/>
  <c r="W842" i="13"/>
  <c r="V843" i="13"/>
  <c r="X843" i="13" s="1"/>
  <c r="W843" i="13"/>
  <c r="V844" i="13"/>
  <c r="X844" i="13" s="1"/>
  <c r="W844" i="13"/>
  <c r="V845" i="13"/>
  <c r="X845" i="13" s="1"/>
  <c r="W845" i="13"/>
  <c r="V846" i="13"/>
  <c r="X846" i="13" s="1"/>
  <c r="W846" i="13"/>
  <c r="V847" i="13"/>
  <c r="X847" i="13" s="1"/>
  <c r="W847" i="13"/>
  <c r="V848" i="13"/>
  <c r="X848" i="13" s="1"/>
  <c r="W848" i="13"/>
  <c r="V849" i="13"/>
  <c r="X849" i="13" s="1"/>
  <c r="W849" i="13"/>
  <c r="V850" i="13"/>
  <c r="X850" i="13" s="1"/>
  <c r="W850" i="13"/>
  <c r="V851" i="13"/>
  <c r="X851" i="13" s="1"/>
  <c r="W851" i="13"/>
  <c r="V852" i="13"/>
  <c r="X852" i="13" s="1"/>
  <c r="W852" i="13"/>
  <c r="V853" i="13"/>
  <c r="X853" i="13" s="1"/>
  <c r="W853" i="13"/>
  <c r="V854" i="13"/>
  <c r="X854" i="13" s="1"/>
  <c r="W854" i="13"/>
  <c r="V855" i="13"/>
  <c r="X855" i="13" s="1"/>
  <c r="W855" i="13"/>
  <c r="V856" i="13"/>
  <c r="X856" i="13" s="1"/>
  <c r="W856" i="13"/>
  <c r="V857" i="13"/>
  <c r="X857" i="13" s="1"/>
  <c r="W857" i="13"/>
  <c r="V858" i="13"/>
  <c r="X858" i="13" s="1"/>
  <c r="W858" i="13"/>
  <c r="V859" i="13"/>
  <c r="X859" i="13" s="1"/>
  <c r="W859" i="13"/>
  <c r="V860" i="13"/>
  <c r="X860" i="13" s="1"/>
  <c r="W860" i="13"/>
  <c r="V861" i="13"/>
  <c r="X861" i="13" s="1"/>
  <c r="W861" i="13"/>
  <c r="V862" i="13"/>
  <c r="X862" i="13" s="1"/>
  <c r="W862" i="13"/>
  <c r="V863" i="13"/>
  <c r="X863" i="13" s="1"/>
  <c r="W863" i="13"/>
  <c r="V864" i="13"/>
  <c r="X864" i="13" s="1"/>
  <c r="W864" i="13"/>
  <c r="V865" i="13"/>
  <c r="X865" i="13" s="1"/>
  <c r="W865" i="13"/>
  <c r="V866" i="13"/>
  <c r="X866" i="13" s="1"/>
  <c r="W866" i="13"/>
  <c r="V867" i="13"/>
  <c r="X867" i="13" s="1"/>
  <c r="W867" i="13"/>
  <c r="V868" i="13"/>
  <c r="X868" i="13" s="1"/>
  <c r="W868" i="13"/>
  <c r="V869" i="13"/>
  <c r="X869" i="13" s="1"/>
  <c r="W869" i="13"/>
  <c r="V870" i="13"/>
  <c r="X870" i="13" s="1"/>
  <c r="W870" i="13"/>
  <c r="V871" i="13"/>
  <c r="X871" i="13" s="1"/>
  <c r="W871" i="13"/>
  <c r="V872" i="13"/>
  <c r="X872" i="13" s="1"/>
  <c r="W872" i="13"/>
  <c r="V873" i="13"/>
  <c r="X873" i="13" s="1"/>
  <c r="W873" i="13"/>
  <c r="V874" i="13"/>
  <c r="X874" i="13" s="1"/>
  <c r="W874" i="13"/>
  <c r="V875" i="13"/>
  <c r="X875" i="13" s="1"/>
  <c r="W875" i="13"/>
  <c r="V876" i="13"/>
  <c r="X876" i="13" s="1"/>
  <c r="W876" i="13"/>
  <c r="V877" i="13"/>
  <c r="X877" i="13" s="1"/>
  <c r="W877" i="13"/>
  <c r="V878" i="13"/>
  <c r="X878" i="13" s="1"/>
  <c r="W878" i="13"/>
  <c r="V879" i="13"/>
  <c r="X879" i="13" s="1"/>
  <c r="W879" i="13"/>
  <c r="V880" i="13"/>
  <c r="X880" i="13" s="1"/>
  <c r="W880" i="13"/>
  <c r="V881" i="13"/>
  <c r="X881" i="13" s="1"/>
  <c r="W881" i="13"/>
  <c r="V882" i="13"/>
  <c r="X882" i="13" s="1"/>
  <c r="W882" i="13"/>
  <c r="V883" i="13"/>
  <c r="X883" i="13" s="1"/>
  <c r="W883" i="13"/>
  <c r="V884" i="13"/>
  <c r="X884" i="13" s="1"/>
  <c r="W884" i="13"/>
  <c r="V885" i="13"/>
  <c r="X885" i="13" s="1"/>
  <c r="W885" i="13"/>
  <c r="V886" i="13"/>
  <c r="X886" i="13" s="1"/>
  <c r="W886" i="13"/>
  <c r="V887" i="13"/>
  <c r="X887" i="13" s="1"/>
  <c r="W887" i="13"/>
  <c r="V888" i="13"/>
  <c r="X888" i="13" s="1"/>
  <c r="W888" i="13"/>
  <c r="V889" i="13"/>
  <c r="X889" i="13" s="1"/>
  <c r="W889" i="13"/>
  <c r="V890" i="13"/>
  <c r="X890" i="13" s="1"/>
  <c r="W890" i="13"/>
  <c r="V891" i="13"/>
  <c r="X891" i="13" s="1"/>
  <c r="W891" i="13"/>
  <c r="V892" i="13"/>
  <c r="X892" i="13" s="1"/>
  <c r="W892" i="13"/>
  <c r="V893" i="13"/>
  <c r="X893" i="13" s="1"/>
  <c r="W893" i="13"/>
  <c r="V894" i="13"/>
  <c r="X894" i="13" s="1"/>
  <c r="W894" i="13"/>
  <c r="V895" i="13"/>
  <c r="X895" i="13" s="1"/>
  <c r="W895" i="13"/>
  <c r="V896" i="13"/>
  <c r="X896" i="13" s="1"/>
  <c r="W896" i="13"/>
  <c r="V897" i="13"/>
  <c r="X897" i="13" s="1"/>
  <c r="W897" i="13"/>
  <c r="V898" i="13"/>
  <c r="X898" i="13" s="1"/>
  <c r="W898" i="13"/>
  <c r="V899" i="13"/>
  <c r="X899" i="13" s="1"/>
  <c r="W899" i="13"/>
  <c r="V900" i="13"/>
  <c r="X900" i="13" s="1"/>
  <c r="W900" i="13"/>
  <c r="V901" i="13"/>
  <c r="X901" i="13" s="1"/>
  <c r="W901" i="13"/>
  <c r="V902" i="13"/>
  <c r="X902" i="13" s="1"/>
  <c r="W902" i="13"/>
  <c r="V903" i="13"/>
  <c r="X903" i="13" s="1"/>
  <c r="W903" i="13"/>
  <c r="V904" i="13"/>
  <c r="X904" i="13" s="1"/>
  <c r="W904" i="13"/>
  <c r="V905" i="13"/>
  <c r="X905" i="13" s="1"/>
  <c r="W905" i="13"/>
  <c r="V906" i="13"/>
  <c r="X906" i="13" s="1"/>
  <c r="W906" i="13"/>
  <c r="V907" i="13"/>
  <c r="X907" i="13" s="1"/>
  <c r="W907" i="13"/>
  <c r="V908" i="13"/>
  <c r="X908" i="13" s="1"/>
  <c r="W908" i="13"/>
  <c r="V909" i="13"/>
  <c r="X909" i="13" s="1"/>
  <c r="W909" i="13"/>
  <c r="V910" i="13"/>
  <c r="X910" i="13" s="1"/>
  <c r="W910" i="13"/>
  <c r="V911" i="13"/>
  <c r="X911" i="13" s="1"/>
  <c r="W911" i="13"/>
  <c r="V912" i="13"/>
  <c r="X912" i="13" s="1"/>
  <c r="W912" i="13"/>
  <c r="V913" i="13"/>
  <c r="X913" i="13" s="1"/>
  <c r="W913" i="13"/>
  <c r="V914" i="13"/>
  <c r="X914" i="13" s="1"/>
  <c r="W914" i="13"/>
  <c r="V915" i="13"/>
  <c r="X915" i="13" s="1"/>
  <c r="W915" i="13"/>
  <c r="V916" i="13"/>
  <c r="X916" i="13" s="1"/>
  <c r="W916" i="13"/>
  <c r="V917" i="13"/>
  <c r="X917" i="13" s="1"/>
  <c r="W917" i="13"/>
  <c r="V918" i="13"/>
  <c r="X918" i="13" s="1"/>
  <c r="W918" i="13"/>
  <c r="V919" i="13"/>
  <c r="X919" i="13" s="1"/>
  <c r="W919" i="13"/>
  <c r="V920" i="13"/>
  <c r="X920" i="13" s="1"/>
  <c r="W920" i="13"/>
  <c r="V921" i="13"/>
  <c r="X921" i="13" s="1"/>
  <c r="W921" i="13"/>
  <c r="V922" i="13"/>
  <c r="X922" i="13" s="1"/>
  <c r="W922" i="13"/>
  <c r="V923" i="13"/>
  <c r="X923" i="13" s="1"/>
  <c r="W923" i="13"/>
  <c r="V924" i="13"/>
  <c r="X924" i="13" s="1"/>
  <c r="W924" i="13"/>
  <c r="V925" i="13"/>
  <c r="X925" i="13" s="1"/>
  <c r="W925" i="13"/>
  <c r="V926" i="13"/>
  <c r="X926" i="13" s="1"/>
  <c r="W926" i="13"/>
  <c r="V927" i="13"/>
  <c r="X927" i="13" s="1"/>
  <c r="W927" i="13"/>
  <c r="V928" i="13"/>
  <c r="X928" i="13" s="1"/>
  <c r="W928" i="13"/>
  <c r="V929" i="13"/>
  <c r="X929" i="13" s="1"/>
  <c r="W929" i="13"/>
  <c r="V930" i="13"/>
  <c r="X930" i="13" s="1"/>
  <c r="W930" i="13"/>
  <c r="V931" i="13"/>
  <c r="X931" i="13" s="1"/>
  <c r="W931" i="13"/>
  <c r="V932" i="13"/>
  <c r="X932" i="13" s="1"/>
  <c r="W932" i="13"/>
  <c r="V933" i="13"/>
  <c r="X933" i="13" s="1"/>
  <c r="W933" i="13"/>
  <c r="V934" i="13"/>
  <c r="X934" i="13" s="1"/>
  <c r="W934" i="13"/>
  <c r="V935" i="13"/>
  <c r="X935" i="13" s="1"/>
  <c r="W935" i="13"/>
  <c r="V936" i="13"/>
  <c r="X936" i="13" s="1"/>
  <c r="W936" i="13"/>
  <c r="V937" i="13"/>
  <c r="X937" i="13" s="1"/>
  <c r="W937" i="13"/>
  <c r="V938" i="13"/>
  <c r="X938" i="13" s="1"/>
  <c r="W938" i="13"/>
  <c r="V939" i="13"/>
  <c r="X939" i="13" s="1"/>
  <c r="W939" i="13"/>
  <c r="V940" i="13"/>
  <c r="X940" i="13" s="1"/>
  <c r="W940" i="13"/>
  <c r="V941" i="13"/>
  <c r="X941" i="13" s="1"/>
  <c r="W941" i="13"/>
  <c r="V942" i="13"/>
  <c r="X942" i="13" s="1"/>
  <c r="W942" i="13"/>
  <c r="V943" i="13"/>
  <c r="X943" i="13" s="1"/>
  <c r="W943" i="13"/>
  <c r="V944" i="13"/>
  <c r="X944" i="13" s="1"/>
  <c r="W944" i="13"/>
  <c r="V945" i="13"/>
  <c r="X945" i="13" s="1"/>
  <c r="W945" i="13"/>
  <c r="V946" i="13"/>
  <c r="X946" i="13" s="1"/>
  <c r="W946" i="13"/>
  <c r="V461" i="13"/>
  <c r="X461" i="13" s="1"/>
  <c r="W461" i="13"/>
  <c r="V462" i="13"/>
  <c r="X462" i="13" s="1"/>
  <c r="W462" i="13"/>
  <c r="V463" i="13"/>
  <c r="X463" i="13" s="1"/>
  <c r="W463" i="13"/>
  <c r="V464" i="13"/>
  <c r="X464" i="13" s="1"/>
  <c r="W464" i="13"/>
  <c r="V465" i="13"/>
  <c r="X465" i="13" s="1"/>
  <c r="W465" i="13"/>
  <c r="V466" i="13"/>
  <c r="X466" i="13" s="1"/>
  <c r="W466" i="13"/>
  <c r="V467" i="13"/>
  <c r="X467" i="13" s="1"/>
  <c r="W467" i="13"/>
  <c r="V468" i="13"/>
  <c r="X468" i="13" s="1"/>
  <c r="W468" i="13"/>
  <c r="V455" i="13"/>
  <c r="X455" i="13" s="1"/>
  <c r="W455" i="13"/>
  <c r="V456" i="13"/>
  <c r="X456" i="13" s="1"/>
  <c r="W456" i="13"/>
  <c r="V457" i="13"/>
  <c r="X457" i="13" s="1"/>
  <c r="W457" i="13"/>
  <c r="V458" i="13"/>
  <c r="X458" i="13" s="1"/>
  <c r="W458" i="13"/>
  <c r="V459" i="13"/>
  <c r="X459" i="13" s="1"/>
  <c r="W459" i="13"/>
  <c r="V460" i="13"/>
  <c r="X460" i="13" s="1"/>
  <c r="W460" i="13"/>
  <c r="U427" i="13"/>
  <c r="V427" i="13"/>
  <c r="X427" i="13" s="1"/>
  <c r="W427" i="13"/>
  <c r="U428" i="13"/>
  <c r="V428" i="13"/>
  <c r="X428" i="13" s="1"/>
  <c r="W428" i="13"/>
  <c r="U429" i="13"/>
  <c r="V429" i="13"/>
  <c r="X429" i="13" s="1"/>
  <c r="W429" i="13"/>
  <c r="U430" i="13"/>
  <c r="V430" i="13"/>
  <c r="X430" i="13" s="1"/>
  <c r="W430" i="13"/>
  <c r="U431" i="13"/>
  <c r="V431" i="13"/>
  <c r="X431" i="13" s="1"/>
  <c r="W431" i="13"/>
  <c r="U432" i="13"/>
  <c r="U433" i="13"/>
  <c r="V433" i="13" s="1"/>
  <c r="X433" i="13" s="1"/>
  <c r="W433" i="13"/>
  <c r="U434" i="13"/>
  <c r="U435" i="13"/>
  <c r="U436" i="13"/>
  <c r="U437" i="13"/>
  <c r="U438" i="13"/>
  <c r="U439" i="13"/>
  <c r="V439" i="13" s="1"/>
  <c r="X439" i="13" s="1"/>
  <c r="W439" i="13"/>
  <c r="U440" i="13"/>
  <c r="U441" i="13"/>
  <c r="U442" i="13"/>
  <c r="U443" i="13"/>
  <c r="V443" i="13"/>
  <c r="X443" i="13" s="1"/>
  <c r="W443" i="13"/>
  <c r="U444" i="13"/>
  <c r="V444" i="13"/>
  <c r="X444" i="13" s="1"/>
  <c r="W444" i="13"/>
  <c r="U445" i="13"/>
  <c r="V445" i="13"/>
  <c r="X445" i="13" s="1"/>
  <c r="W445" i="13"/>
  <c r="U446" i="13"/>
  <c r="V446" i="13"/>
  <c r="X446" i="13" s="1"/>
  <c r="W446" i="13"/>
  <c r="U447" i="13"/>
  <c r="V447" i="13"/>
  <c r="X447" i="13" s="1"/>
  <c r="W447" i="13"/>
  <c r="U448" i="13"/>
  <c r="V448" i="13"/>
  <c r="X448" i="13" s="1"/>
  <c r="W448" i="13"/>
  <c r="U449" i="13"/>
  <c r="V449" i="13"/>
  <c r="X449" i="13" s="1"/>
  <c r="W449" i="13"/>
  <c r="U450" i="13"/>
  <c r="V450" i="13"/>
  <c r="X450" i="13" s="1"/>
  <c r="W450" i="13"/>
  <c r="U451" i="13"/>
  <c r="V451" i="13"/>
  <c r="X451" i="13" s="1"/>
  <c r="W451" i="13"/>
  <c r="U452" i="13"/>
  <c r="U453" i="13"/>
  <c r="U454" i="13"/>
  <c r="U455" i="13"/>
  <c r="U456" i="13"/>
  <c r="U457" i="13"/>
  <c r="U458" i="13"/>
  <c r="U459" i="13"/>
  <c r="U460" i="13"/>
  <c r="U461" i="13"/>
  <c r="U462" i="13"/>
  <c r="U463" i="13"/>
  <c r="U464" i="13"/>
  <c r="U465" i="13"/>
  <c r="U466" i="13"/>
  <c r="U467" i="13"/>
  <c r="U468" i="13"/>
  <c r="U469" i="13"/>
  <c r="U470" i="13"/>
  <c r="U471" i="13"/>
  <c r="U472" i="13"/>
  <c r="U473" i="13"/>
  <c r="U474" i="13"/>
  <c r="U475" i="13"/>
  <c r="U476" i="13"/>
  <c r="U477" i="13"/>
  <c r="U478" i="13"/>
  <c r="U479" i="13"/>
  <c r="U480" i="13"/>
  <c r="U481" i="13"/>
  <c r="U482" i="13"/>
  <c r="U483" i="13"/>
  <c r="U484" i="13"/>
  <c r="U485" i="13"/>
  <c r="U486" i="13"/>
  <c r="U487" i="13"/>
  <c r="U488" i="13"/>
  <c r="U489" i="13"/>
  <c r="U490" i="13"/>
  <c r="U491" i="13"/>
  <c r="U492" i="13"/>
  <c r="D32" i="19"/>
  <c r="E32" i="19"/>
  <c r="K7" i="19"/>
  <c r="K8" i="19"/>
  <c r="K9" i="19"/>
  <c r="K10" i="19"/>
  <c r="K11" i="19"/>
  <c r="K12" i="19"/>
  <c r="K13" i="19"/>
  <c r="K14" i="19"/>
  <c r="K15" i="19"/>
  <c r="K16" i="19"/>
  <c r="K17" i="19"/>
  <c r="K18" i="19"/>
  <c r="K19" i="19"/>
  <c r="K20" i="19"/>
  <c r="K21" i="19"/>
  <c r="K22" i="19"/>
  <c r="K23" i="19"/>
  <c r="K24" i="19"/>
  <c r="K25" i="19"/>
  <c r="K26" i="19"/>
  <c r="K27" i="19"/>
  <c r="K28" i="19"/>
  <c r="K29" i="19"/>
  <c r="K30" i="19"/>
  <c r="K31" i="19"/>
  <c r="X470" i="13" l="1"/>
  <c r="X477" i="13"/>
  <c r="W432" i="13"/>
  <c r="V432" i="13"/>
  <c r="X432" i="13" s="1"/>
  <c r="V434" i="13"/>
  <c r="X434" i="13" s="1"/>
  <c r="W434" i="13"/>
  <c r="V435" i="13"/>
  <c r="W435" i="13"/>
  <c r="W436" i="13"/>
  <c r="V436" i="13"/>
  <c r="X436" i="13" s="1"/>
  <c r="V437" i="13"/>
  <c r="W437" i="13"/>
  <c r="W438" i="13"/>
  <c r="V438" i="13"/>
  <c r="X438" i="13" s="1"/>
  <c r="V440" i="13"/>
  <c r="X440" i="13" s="1"/>
  <c r="W440" i="13"/>
  <c r="W441" i="13"/>
  <c r="V441" i="13"/>
  <c r="X441" i="13" s="1"/>
  <c r="W442" i="13"/>
  <c r="V442" i="13"/>
  <c r="X442" i="13" s="1"/>
  <c r="W452" i="13"/>
  <c r="V452" i="13"/>
  <c r="X452" i="13" s="1"/>
  <c r="V453" i="13"/>
  <c r="X453" i="13" s="1"/>
  <c r="W453" i="13"/>
  <c r="W454" i="13"/>
  <c r="V454" i="13"/>
  <c r="X454" i="13" s="1"/>
  <c r="K32" i="19"/>
  <c r="B13" i="32"/>
  <c r="D13" i="32"/>
  <c r="B19" i="32"/>
  <c r="D19" i="32"/>
  <c r="B14" i="32"/>
  <c r="D14" i="32"/>
  <c r="B25" i="32"/>
  <c r="D25" i="32"/>
  <c r="D17" i="32"/>
  <c r="B17" i="32"/>
  <c r="D22" i="32"/>
  <c r="B22" i="32"/>
  <c r="B24" i="32"/>
  <c r="D24" i="32"/>
  <c r="B16" i="32"/>
  <c r="D16" i="32"/>
  <c r="B34" i="40"/>
  <c r="D34" i="40"/>
  <c r="G34" i="40"/>
  <c r="H34" i="40" s="1"/>
  <c r="B35" i="40"/>
  <c r="D35" i="40"/>
  <c r="G35" i="40"/>
  <c r="H35" i="40" s="1"/>
  <c r="B36" i="40"/>
  <c r="D36" i="40"/>
  <c r="G36" i="40"/>
  <c r="H36" i="40" s="1"/>
  <c r="D24" i="40"/>
  <c r="D25" i="40"/>
  <c r="D26" i="40"/>
  <c r="D27" i="40"/>
  <c r="D28" i="40"/>
  <c r="D29" i="40"/>
  <c r="D30" i="40"/>
  <c r="D31" i="40"/>
  <c r="D32" i="40"/>
  <c r="D33" i="40"/>
  <c r="B74" i="38"/>
  <c r="D74" i="38"/>
  <c r="F74" i="38"/>
  <c r="H74" i="38" s="1"/>
  <c r="I74" i="38" s="1"/>
  <c r="B116" i="38"/>
  <c r="B117" i="38"/>
  <c r="B118" i="38"/>
  <c r="B119" i="38"/>
  <c r="B120" i="38"/>
  <c r="B121" i="38"/>
  <c r="B122" i="38"/>
  <c r="B123" i="38"/>
  <c r="B124" i="38"/>
  <c r="B125" i="38"/>
  <c r="B126" i="38"/>
  <c r="B127" i="38"/>
  <c r="B128" i="38"/>
  <c r="B129" i="38"/>
  <c r="B130" i="38"/>
  <c r="B131" i="38"/>
  <c r="B132" i="38"/>
  <c r="B133" i="38"/>
  <c r="B134" i="38"/>
  <c r="D116" i="38"/>
  <c r="D117" i="38"/>
  <c r="D118" i="38"/>
  <c r="D119" i="38"/>
  <c r="D120" i="38"/>
  <c r="D121" i="38"/>
  <c r="D122" i="38"/>
  <c r="D123" i="38"/>
  <c r="D124" i="38"/>
  <c r="D125" i="38"/>
  <c r="D126" i="38"/>
  <c r="D127" i="38"/>
  <c r="D128" i="38"/>
  <c r="D129" i="38"/>
  <c r="D130" i="38"/>
  <c r="D131" i="38"/>
  <c r="D132" i="38"/>
  <c r="D133" i="38"/>
  <c r="D134" i="38"/>
  <c r="F116" i="38"/>
  <c r="H116" i="38" s="1"/>
  <c r="I116" i="38" s="1"/>
  <c r="F117" i="38"/>
  <c r="H117" i="38" s="1"/>
  <c r="I117" i="38" s="1"/>
  <c r="F118" i="38"/>
  <c r="H118" i="38" s="1"/>
  <c r="I118" i="38" s="1"/>
  <c r="F119" i="38"/>
  <c r="H119" i="38" s="1"/>
  <c r="I119" i="38" s="1"/>
  <c r="F120" i="38"/>
  <c r="H120" i="38" s="1"/>
  <c r="I120" i="38" s="1"/>
  <c r="F121" i="38"/>
  <c r="H121" i="38" s="1"/>
  <c r="I121" i="38" s="1"/>
  <c r="F122" i="38"/>
  <c r="H122" i="38" s="1"/>
  <c r="I122" i="38" s="1"/>
  <c r="F123" i="38"/>
  <c r="H123" i="38" s="1"/>
  <c r="I123" i="38" s="1"/>
  <c r="F124" i="38"/>
  <c r="H124" i="38" s="1"/>
  <c r="I124" i="38" s="1"/>
  <c r="F125" i="38"/>
  <c r="H125" i="38" s="1"/>
  <c r="I125" i="38" s="1"/>
  <c r="F126" i="38"/>
  <c r="H126" i="38" s="1"/>
  <c r="I126" i="38" s="1"/>
  <c r="F127" i="38"/>
  <c r="H127" i="38" s="1"/>
  <c r="I127" i="38" s="1"/>
  <c r="F128" i="38"/>
  <c r="H128" i="38" s="1"/>
  <c r="I128" i="38" s="1"/>
  <c r="F129" i="38"/>
  <c r="H129" i="38" s="1"/>
  <c r="I129" i="38" s="1"/>
  <c r="F130" i="38"/>
  <c r="H130" i="38" s="1"/>
  <c r="I130" i="38" s="1"/>
  <c r="F131" i="38"/>
  <c r="H131" i="38" s="1"/>
  <c r="I131" i="38" s="1"/>
  <c r="F132" i="38"/>
  <c r="H132" i="38" s="1"/>
  <c r="I132" i="38" s="1"/>
  <c r="F133" i="38"/>
  <c r="H133" i="38" s="1"/>
  <c r="I133" i="38" s="1"/>
  <c r="F134" i="38"/>
  <c r="H134" i="38" s="1"/>
  <c r="I134" i="38" s="1"/>
  <c r="B96" i="38"/>
  <c r="B97" i="38"/>
  <c r="B98" i="38"/>
  <c r="B99" i="38"/>
  <c r="B100" i="38"/>
  <c r="B101" i="38"/>
  <c r="B102" i="38"/>
  <c r="B103" i="38"/>
  <c r="B104" i="38"/>
  <c r="B105" i="38"/>
  <c r="B106" i="38"/>
  <c r="B107" i="38"/>
  <c r="B108" i="38"/>
  <c r="B109" i="38"/>
  <c r="B110" i="38"/>
  <c r="B111" i="38"/>
  <c r="B112" i="38"/>
  <c r="B113" i="38"/>
  <c r="B114" i="38"/>
  <c r="B115" i="38"/>
  <c r="D96" i="38"/>
  <c r="D97" i="38"/>
  <c r="D98" i="38"/>
  <c r="D99" i="38"/>
  <c r="D100" i="38"/>
  <c r="D101" i="38"/>
  <c r="D102" i="38"/>
  <c r="D103" i="38"/>
  <c r="D104" i="38"/>
  <c r="D105" i="38"/>
  <c r="D106" i="38"/>
  <c r="D107" i="38"/>
  <c r="D108" i="38"/>
  <c r="D109" i="38"/>
  <c r="D110" i="38"/>
  <c r="D111" i="38"/>
  <c r="D112" i="38"/>
  <c r="D113" i="38"/>
  <c r="D114" i="38"/>
  <c r="D115" i="38"/>
  <c r="F96" i="38"/>
  <c r="H96" i="38" s="1"/>
  <c r="I96" i="38" s="1"/>
  <c r="F97" i="38"/>
  <c r="H97" i="38" s="1"/>
  <c r="I97" i="38" s="1"/>
  <c r="F98" i="38"/>
  <c r="H98" i="38" s="1"/>
  <c r="I98" i="38" s="1"/>
  <c r="F99" i="38"/>
  <c r="H99" i="38" s="1"/>
  <c r="I99" i="38" s="1"/>
  <c r="F100" i="38"/>
  <c r="H100" i="38" s="1"/>
  <c r="I100" i="38" s="1"/>
  <c r="F101" i="38"/>
  <c r="H101" i="38" s="1"/>
  <c r="I101" i="38" s="1"/>
  <c r="F102" i="38"/>
  <c r="H102" i="38" s="1"/>
  <c r="I102" i="38" s="1"/>
  <c r="F103" i="38"/>
  <c r="H103" i="38" s="1"/>
  <c r="I103" i="38" s="1"/>
  <c r="F104" i="38"/>
  <c r="H104" i="38" s="1"/>
  <c r="I104" i="38" s="1"/>
  <c r="F105" i="38"/>
  <c r="H105" i="38" s="1"/>
  <c r="I105" i="38" s="1"/>
  <c r="F106" i="38"/>
  <c r="H106" i="38" s="1"/>
  <c r="I106" i="38" s="1"/>
  <c r="F107" i="38"/>
  <c r="H107" i="38" s="1"/>
  <c r="I107" i="38" s="1"/>
  <c r="F108" i="38"/>
  <c r="H108" i="38" s="1"/>
  <c r="I108" i="38" s="1"/>
  <c r="F109" i="38"/>
  <c r="H109" i="38" s="1"/>
  <c r="I109" i="38" s="1"/>
  <c r="F110" i="38"/>
  <c r="H110" i="38" s="1"/>
  <c r="I110" i="38" s="1"/>
  <c r="F111" i="38"/>
  <c r="H111" i="38" s="1"/>
  <c r="I111" i="38" s="1"/>
  <c r="F112" i="38"/>
  <c r="H112" i="38" s="1"/>
  <c r="I112" i="38" s="1"/>
  <c r="F113" i="38"/>
  <c r="H113" i="38" s="1"/>
  <c r="I113" i="38" s="1"/>
  <c r="F114" i="38"/>
  <c r="H114" i="38" s="1"/>
  <c r="I114" i="38" s="1"/>
  <c r="F115" i="38"/>
  <c r="H115" i="38" s="1"/>
  <c r="I115" i="38" s="1"/>
  <c r="B75" i="38"/>
  <c r="B76" i="38"/>
  <c r="B77" i="38"/>
  <c r="B78" i="38"/>
  <c r="B79" i="38"/>
  <c r="B80" i="38"/>
  <c r="B81" i="38"/>
  <c r="B82" i="38"/>
  <c r="B83" i="38"/>
  <c r="B84" i="38"/>
  <c r="B85" i="38"/>
  <c r="B86" i="38"/>
  <c r="B87" i="38"/>
  <c r="B88" i="38"/>
  <c r="B89" i="38"/>
  <c r="B90" i="38"/>
  <c r="B91" i="38"/>
  <c r="B92" i="38"/>
  <c r="B93" i="38"/>
  <c r="B94" i="38"/>
  <c r="B95" i="38"/>
  <c r="D75" i="38"/>
  <c r="D76" i="38"/>
  <c r="D77" i="38"/>
  <c r="D78" i="38"/>
  <c r="D79" i="38"/>
  <c r="D80" i="38"/>
  <c r="D81" i="38"/>
  <c r="D82" i="38"/>
  <c r="D83" i="38"/>
  <c r="D84" i="38"/>
  <c r="D85" i="38"/>
  <c r="D86" i="38"/>
  <c r="D87" i="38"/>
  <c r="D88" i="38"/>
  <c r="D89" i="38"/>
  <c r="D90" i="38"/>
  <c r="D91" i="38"/>
  <c r="D92" i="38"/>
  <c r="D93" i="38"/>
  <c r="D94" i="38"/>
  <c r="D95" i="38"/>
  <c r="F75" i="38"/>
  <c r="H75" i="38" s="1"/>
  <c r="I75" i="38" s="1"/>
  <c r="F76" i="38"/>
  <c r="H76" i="38" s="1"/>
  <c r="I76" i="38" s="1"/>
  <c r="F77" i="38"/>
  <c r="H77" i="38" s="1"/>
  <c r="I77" i="38" s="1"/>
  <c r="F78" i="38"/>
  <c r="H78" i="38" s="1"/>
  <c r="I78" i="38" s="1"/>
  <c r="F79" i="38"/>
  <c r="H79" i="38" s="1"/>
  <c r="I79" i="38" s="1"/>
  <c r="F80" i="38"/>
  <c r="H80" i="38" s="1"/>
  <c r="I80" i="38" s="1"/>
  <c r="F81" i="38"/>
  <c r="H81" i="38" s="1"/>
  <c r="I81" i="38" s="1"/>
  <c r="F82" i="38"/>
  <c r="H82" i="38" s="1"/>
  <c r="I82" i="38" s="1"/>
  <c r="F83" i="38"/>
  <c r="H83" i="38" s="1"/>
  <c r="I83" i="38" s="1"/>
  <c r="F84" i="38"/>
  <c r="H84" i="38" s="1"/>
  <c r="I84" i="38" s="1"/>
  <c r="F85" i="38"/>
  <c r="H85" i="38" s="1"/>
  <c r="I85" i="38" s="1"/>
  <c r="F86" i="38"/>
  <c r="H86" i="38" s="1"/>
  <c r="I86" i="38" s="1"/>
  <c r="F87" i="38"/>
  <c r="H87" i="38" s="1"/>
  <c r="I87" i="38" s="1"/>
  <c r="F88" i="38"/>
  <c r="H88" i="38" s="1"/>
  <c r="I88" i="38" s="1"/>
  <c r="F89" i="38"/>
  <c r="H89" i="38" s="1"/>
  <c r="I89" i="38" s="1"/>
  <c r="F90" i="38"/>
  <c r="H90" i="38" s="1"/>
  <c r="I90" i="38" s="1"/>
  <c r="F91" i="38"/>
  <c r="H91" i="38" s="1"/>
  <c r="I91" i="38" s="1"/>
  <c r="F92" i="38"/>
  <c r="H92" i="38" s="1"/>
  <c r="I92" i="38" s="1"/>
  <c r="F93" i="38"/>
  <c r="H93" i="38" s="1"/>
  <c r="I93" i="38" s="1"/>
  <c r="F94" i="38"/>
  <c r="H94" i="38" s="1"/>
  <c r="I94" i="38" s="1"/>
  <c r="F95" i="38"/>
  <c r="H95" i="38" s="1"/>
  <c r="I95" i="38" s="1"/>
  <c r="B47" i="38"/>
  <c r="B48" i="38"/>
  <c r="B49" i="38"/>
  <c r="B50" i="38"/>
  <c r="B51" i="38"/>
  <c r="B52" i="38"/>
  <c r="B53" i="38"/>
  <c r="B54" i="38"/>
  <c r="B55" i="38"/>
  <c r="B56" i="38"/>
  <c r="B57" i="38"/>
  <c r="B58" i="38"/>
  <c r="B59" i="38"/>
  <c r="B60" i="38"/>
  <c r="B61" i="38"/>
  <c r="B62" i="38"/>
  <c r="B63" i="38"/>
  <c r="B64" i="38"/>
  <c r="B65" i="38"/>
  <c r="B66" i="38"/>
  <c r="B67" i="38"/>
  <c r="B68" i="38"/>
  <c r="B69" i="38"/>
  <c r="B70" i="38"/>
  <c r="B71" i="38"/>
  <c r="B72" i="38"/>
  <c r="B73" i="38"/>
  <c r="D47"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F47" i="38"/>
  <c r="H47" i="38" s="1"/>
  <c r="I47" i="38" s="1"/>
  <c r="F48" i="38"/>
  <c r="H48" i="38" s="1"/>
  <c r="I48" i="38" s="1"/>
  <c r="F49" i="38"/>
  <c r="H49" i="38" s="1"/>
  <c r="I49" i="38" s="1"/>
  <c r="F50" i="38"/>
  <c r="H50" i="38" s="1"/>
  <c r="I50" i="38" s="1"/>
  <c r="F51" i="38"/>
  <c r="H51" i="38" s="1"/>
  <c r="I51" i="38" s="1"/>
  <c r="F52" i="38"/>
  <c r="H52" i="38" s="1"/>
  <c r="I52" i="38" s="1"/>
  <c r="F53" i="38"/>
  <c r="H53" i="38" s="1"/>
  <c r="I53" i="38" s="1"/>
  <c r="F54" i="38"/>
  <c r="H54" i="38" s="1"/>
  <c r="I54" i="38" s="1"/>
  <c r="F55" i="38"/>
  <c r="H55" i="38" s="1"/>
  <c r="I55" i="38" s="1"/>
  <c r="F56" i="38"/>
  <c r="H56" i="38" s="1"/>
  <c r="I56" i="38" s="1"/>
  <c r="F57" i="38"/>
  <c r="H57" i="38" s="1"/>
  <c r="I57" i="38" s="1"/>
  <c r="F58" i="38"/>
  <c r="H58" i="38" s="1"/>
  <c r="I58" i="38" s="1"/>
  <c r="F59" i="38"/>
  <c r="H59" i="38" s="1"/>
  <c r="I59" i="38" s="1"/>
  <c r="F60" i="38"/>
  <c r="H60" i="38" s="1"/>
  <c r="I60" i="38" s="1"/>
  <c r="F61" i="38"/>
  <c r="H61" i="38" s="1"/>
  <c r="I61" i="38" s="1"/>
  <c r="F62" i="38"/>
  <c r="H62" i="38" s="1"/>
  <c r="I62" i="38" s="1"/>
  <c r="F63" i="38"/>
  <c r="H63" i="38" s="1"/>
  <c r="I63" i="38" s="1"/>
  <c r="F64" i="38"/>
  <c r="H64" i="38" s="1"/>
  <c r="I64" i="38" s="1"/>
  <c r="F65" i="38"/>
  <c r="H65" i="38" s="1"/>
  <c r="I65" i="38" s="1"/>
  <c r="F66" i="38"/>
  <c r="H66" i="38" s="1"/>
  <c r="I66" i="38" s="1"/>
  <c r="F67" i="38"/>
  <c r="H67" i="38" s="1"/>
  <c r="I67" i="38" s="1"/>
  <c r="F68" i="38"/>
  <c r="H68" i="38" s="1"/>
  <c r="I68" i="38" s="1"/>
  <c r="F69" i="38"/>
  <c r="H69" i="38" s="1"/>
  <c r="I69" i="38" s="1"/>
  <c r="F70" i="38"/>
  <c r="H70" i="38" s="1"/>
  <c r="I70" i="38" s="1"/>
  <c r="F71" i="38"/>
  <c r="H71" i="38" s="1"/>
  <c r="I71" i="38" s="1"/>
  <c r="F72" i="38"/>
  <c r="H72" i="38" s="1"/>
  <c r="I72" i="38" s="1"/>
  <c r="F73" i="38"/>
  <c r="H73" i="38" s="1"/>
  <c r="I73" i="38" s="1"/>
  <c r="X437" i="13" l="1"/>
  <c r="X435" i="13"/>
  <c r="D46" i="38"/>
  <c r="D45" i="38"/>
  <c r="D36" i="38"/>
  <c r="D31" i="38"/>
  <c r="D30" i="38"/>
  <c r="D25" i="38"/>
  <c r="D41" i="38"/>
  <c r="D42" i="38"/>
  <c r="D43" i="38"/>
  <c r="D44" i="38"/>
  <c r="D26" i="38"/>
  <c r="D27" i="38"/>
  <c r="D28" i="38"/>
  <c r="D29" i="38"/>
  <c r="D32" i="38"/>
  <c r="D33" i="38"/>
  <c r="D34" i="38"/>
  <c r="D35" i="38"/>
  <c r="D37" i="38"/>
  <c r="D38" i="38"/>
  <c r="D39" i="38"/>
  <c r="D40" i="38"/>
  <c r="D24" i="38"/>
  <c r="D23" i="38"/>
  <c r="D22" i="38"/>
  <c r="D21" i="38"/>
  <c r="D115" i="22" l="1"/>
  <c r="G115" i="22"/>
  <c r="H115" i="22" s="1"/>
  <c r="D116" i="22"/>
  <c r="G116" i="22"/>
  <c r="H116" i="22" s="1"/>
  <c r="D88" i="22"/>
  <c r="G88" i="22"/>
  <c r="H88" i="22" s="1"/>
  <c r="D82" i="22"/>
  <c r="G82" i="22"/>
  <c r="H82" i="22" s="1"/>
  <c r="D52" i="22"/>
  <c r="G52" i="22"/>
  <c r="H52" i="22" s="1"/>
  <c r="D46" i="22"/>
  <c r="G46" i="22"/>
  <c r="H46" i="22" s="1"/>
  <c r="D30" i="22"/>
  <c r="G30" i="22"/>
  <c r="H30" i="22" s="1"/>
  <c r="D139" i="22"/>
  <c r="D140" i="22"/>
  <c r="D141" i="22"/>
  <c r="D142" i="22"/>
  <c r="D143" i="22"/>
  <c r="G139" i="22"/>
  <c r="H139" i="22" s="1"/>
  <c r="G140" i="22"/>
  <c r="H140" i="22" s="1"/>
  <c r="G141" i="22"/>
  <c r="H141" i="22" s="1"/>
  <c r="G142" i="22"/>
  <c r="H142" i="22" s="1"/>
  <c r="G143" i="22"/>
  <c r="H143" i="22" s="1"/>
  <c r="D129" i="22"/>
  <c r="D130" i="22"/>
  <c r="D131" i="22"/>
  <c r="D132" i="22"/>
  <c r="D133" i="22"/>
  <c r="D134" i="22"/>
  <c r="D135" i="22"/>
  <c r="D136" i="22"/>
  <c r="D137" i="22"/>
  <c r="D138" i="22"/>
  <c r="G129" i="22"/>
  <c r="H129" i="22" s="1"/>
  <c r="G130" i="22"/>
  <c r="H130" i="22" s="1"/>
  <c r="G131" i="22"/>
  <c r="H131" i="22" s="1"/>
  <c r="G132" i="22"/>
  <c r="H132" i="22" s="1"/>
  <c r="G133" i="22"/>
  <c r="H133" i="22" s="1"/>
  <c r="G134" i="22"/>
  <c r="H134" i="22" s="1"/>
  <c r="G135" i="22"/>
  <c r="H135" i="22" s="1"/>
  <c r="G136" i="22"/>
  <c r="H136" i="22" s="1"/>
  <c r="G137" i="22"/>
  <c r="H137" i="22" s="1"/>
  <c r="G138" i="22"/>
  <c r="H138" i="22" s="1"/>
  <c r="D119" i="22"/>
  <c r="D120" i="22"/>
  <c r="D121" i="22"/>
  <c r="D122" i="22"/>
  <c r="D123" i="22"/>
  <c r="D124" i="22"/>
  <c r="D125" i="22"/>
  <c r="D126" i="22"/>
  <c r="D127" i="22"/>
  <c r="D128" i="22"/>
  <c r="G119" i="22"/>
  <c r="H119" i="22" s="1"/>
  <c r="G120" i="22"/>
  <c r="H120" i="22" s="1"/>
  <c r="G121" i="22"/>
  <c r="H121" i="22" s="1"/>
  <c r="G122" i="22"/>
  <c r="H122" i="22" s="1"/>
  <c r="G123" i="22"/>
  <c r="H123" i="22" s="1"/>
  <c r="G124" i="22"/>
  <c r="H124" i="22" s="1"/>
  <c r="G125" i="22"/>
  <c r="H125" i="22" s="1"/>
  <c r="G126" i="22"/>
  <c r="H126" i="22" s="1"/>
  <c r="G127" i="22"/>
  <c r="H127" i="22" s="1"/>
  <c r="G128" i="22"/>
  <c r="H128" i="22" s="1"/>
  <c r="D102" i="22"/>
  <c r="D103" i="22"/>
  <c r="D104" i="22"/>
  <c r="D105" i="22"/>
  <c r="D106" i="22"/>
  <c r="D107" i="22"/>
  <c r="D108" i="22"/>
  <c r="D109" i="22"/>
  <c r="D110" i="22"/>
  <c r="D111" i="22"/>
  <c r="D112" i="22"/>
  <c r="D113" i="22"/>
  <c r="D114" i="22"/>
  <c r="D117" i="22"/>
  <c r="D118" i="22"/>
  <c r="G102" i="22"/>
  <c r="H102" i="22" s="1"/>
  <c r="G103" i="22"/>
  <c r="H103" i="22" s="1"/>
  <c r="G104" i="22"/>
  <c r="H104" i="22" s="1"/>
  <c r="G105" i="22"/>
  <c r="H105" i="22" s="1"/>
  <c r="G106" i="22"/>
  <c r="H106" i="22" s="1"/>
  <c r="G107" i="22"/>
  <c r="H107" i="22" s="1"/>
  <c r="G108" i="22"/>
  <c r="H108" i="22" s="1"/>
  <c r="G109" i="22"/>
  <c r="H109" i="22" s="1"/>
  <c r="G110" i="22"/>
  <c r="H110" i="22" s="1"/>
  <c r="G111" i="22"/>
  <c r="H111" i="22" s="1"/>
  <c r="G112" i="22"/>
  <c r="H112" i="22" s="1"/>
  <c r="G113" i="22"/>
  <c r="H113" i="22" s="1"/>
  <c r="G114" i="22"/>
  <c r="H114" i="22" s="1"/>
  <c r="G117" i="22"/>
  <c r="H117" i="22" s="1"/>
  <c r="G118" i="22"/>
  <c r="H118" i="22" s="1"/>
  <c r="D86" i="22"/>
  <c r="D87" i="22"/>
  <c r="D89" i="22"/>
  <c r="D90" i="22"/>
  <c r="D91" i="22"/>
  <c r="D92" i="22"/>
  <c r="D93" i="22"/>
  <c r="D94" i="22"/>
  <c r="D95" i="22"/>
  <c r="D96" i="22"/>
  <c r="D97" i="22"/>
  <c r="D98" i="22"/>
  <c r="D99" i="22"/>
  <c r="D100" i="22"/>
  <c r="D101" i="22"/>
  <c r="G86" i="22"/>
  <c r="H86" i="22" s="1"/>
  <c r="G87" i="22"/>
  <c r="H87" i="22" s="1"/>
  <c r="G89" i="22"/>
  <c r="H89" i="22" s="1"/>
  <c r="G90" i="22"/>
  <c r="H90" i="22" s="1"/>
  <c r="G91" i="22"/>
  <c r="H91" i="22" s="1"/>
  <c r="G92" i="22"/>
  <c r="H92" i="22" s="1"/>
  <c r="G93" i="22"/>
  <c r="H93" i="22" s="1"/>
  <c r="G94" i="22"/>
  <c r="H94" i="22" s="1"/>
  <c r="G95" i="22"/>
  <c r="H95" i="22" s="1"/>
  <c r="G96" i="22"/>
  <c r="H96" i="22" s="1"/>
  <c r="G97" i="22"/>
  <c r="H97" i="22" s="1"/>
  <c r="G98" i="22"/>
  <c r="H98" i="22" s="1"/>
  <c r="G99" i="22"/>
  <c r="H99" i="22" s="1"/>
  <c r="G100" i="22"/>
  <c r="H100" i="22" s="1"/>
  <c r="G101" i="22"/>
  <c r="H101" i="22" s="1"/>
  <c r="D70" i="22"/>
  <c r="D71" i="22"/>
  <c r="D72" i="22"/>
  <c r="D73" i="22"/>
  <c r="D74" i="22"/>
  <c r="D75" i="22"/>
  <c r="D76" i="22"/>
  <c r="D77" i="22"/>
  <c r="D78" i="22"/>
  <c r="D79" i="22"/>
  <c r="D80" i="22"/>
  <c r="D81" i="22"/>
  <c r="D83" i="22"/>
  <c r="D84" i="22"/>
  <c r="D85" i="22"/>
  <c r="G70" i="22"/>
  <c r="H70" i="22" s="1"/>
  <c r="G71" i="22"/>
  <c r="H71" i="22" s="1"/>
  <c r="G72" i="22"/>
  <c r="H72" i="22" s="1"/>
  <c r="G73" i="22"/>
  <c r="H73" i="22" s="1"/>
  <c r="G74" i="22"/>
  <c r="H74" i="22" s="1"/>
  <c r="G75" i="22"/>
  <c r="H75" i="22" s="1"/>
  <c r="G76" i="22"/>
  <c r="H76" i="22" s="1"/>
  <c r="G77" i="22"/>
  <c r="H77" i="22" s="1"/>
  <c r="G78" i="22"/>
  <c r="H78" i="22" s="1"/>
  <c r="G79" i="22"/>
  <c r="H79" i="22" s="1"/>
  <c r="G80" i="22"/>
  <c r="H80" i="22" s="1"/>
  <c r="G81" i="22"/>
  <c r="H81" i="22" s="1"/>
  <c r="G83" i="22"/>
  <c r="H83" i="22" s="1"/>
  <c r="G84" i="22"/>
  <c r="H84" i="22" s="1"/>
  <c r="G85" i="22"/>
  <c r="H85" i="22" s="1"/>
  <c r="D55" i="22"/>
  <c r="D56" i="22"/>
  <c r="D57" i="22"/>
  <c r="D58" i="22"/>
  <c r="D59" i="22"/>
  <c r="D60" i="22"/>
  <c r="D61" i="22"/>
  <c r="D62" i="22"/>
  <c r="D63" i="22"/>
  <c r="D64" i="22"/>
  <c r="D65" i="22"/>
  <c r="D66" i="22"/>
  <c r="D67" i="22"/>
  <c r="D68" i="22"/>
  <c r="D69" i="22"/>
  <c r="G55" i="22"/>
  <c r="H55" i="22" s="1"/>
  <c r="G56" i="22"/>
  <c r="H56" i="22" s="1"/>
  <c r="G57" i="22"/>
  <c r="H57" i="22" s="1"/>
  <c r="G58" i="22"/>
  <c r="H58" i="22" s="1"/>
  <c r="G59" i="22"/>
  <c r="H59" i="22" s="1"/>
  <c r="G60" i="22"/>
  <c r="H60" i="22" s="1"/>
  <c r="G61" i="22"/>
  <c r="H61" i="22" s="1"/>
  <c r="G62" i="22"/>
  <c r="H62" i="22" s="1"/>
  <c r="G63" i="22"/>
  <c r="H63" i="22" s="1"/>
  <c r="G64" i="22"/>
  <c r="H64" i="22" s="1"/>
  <c r="G65" i="22"/>
  <c r="H65" i="22" s="1"/>
  <c r="G66" i="22"/>
  <c r="H66" i="22" s="1"/>
  <c r="G67" i="22"/>
  <c r="H67" i="22" s="1"/>
  <c r="G68" i="22"/>
  <c r="H68" i="22" s="1"/>
  <c r="G69" i="22"/>
  <c r="H69" i="22" s="1"/>
  <c r="D38" i="22"/>
  <c r="D39" i="22"/>
  <c r="D40" i="22"/>
  <c r="D41" i="22"/>
  <c r="D42" i="22"/>
  <c r="D43" i="22"/>
  <c r="D44" i="22"/>
  <c r="D45" i="22"/>
  <c r="D47" i="22"/>
  <c r="D48" i="22"/>
  <c r="D49" i="22"/>
  <c r="D50" i="22"/>
  <c r="D51" i="22"/>
  <c r="D53" i="22"/>
  <c r="D54" i="22"/>
  <c r="G38" i="22"/>
  <c r="H38" i="22" s="1"/>
  <c r="G39" i="22"/>
  <c r="H39" i="22" s="1"/>
  <c r="G40" i="22"/>
  <c r="H40" i="22" s="1"/>
  <c r="G41" i="22"/>
  <c r="H41" i="22" s="1"/>
  <c r="G42" i="22"/>
  <c r="H42" i="22" s="1"/>
  <c r="G43" i="22"/>
  <c r="H43" i="22" s="1"/>
  <c r="G44" i="22"/>
  <c r="H44" i="22" s="1"/>
  <c r="G45" i="22"/>
  <c r="H45" i="22" s="1"/>
  <c r="G47" i="22"/>
  <c r="H47" i="22" s="1"/>
  <c r="G48" i="22"/>
  <c r="H48" i="22" s="1"/>
  <c r="G49" i="22"/>
  <c r="H49" i="22" s="1"/>
  <c r="G50" i="22"/>
  <c r="H50" i="22" s="1"/>
  <c r="G51" i="22"/>
  <c r="H51" i="22" s="1"/>
  <c r="G53" i="22"/>
  <c r="H53" i="22" s="1"/>
  <c r="G54" i="22"/>
  <c r="H54" i="22" s="1"/>
  <c r="D33" i="22"/>
  <c r="D34" i="22"/>
  <c r="D35" i="22"/>
  <c r="D36" i="22"/>
  <c r="D37" i="22"/>
  <c r="G33" i="22"/>
  <c r="H33" i="22" s="1"/>
  <c r="G34" i="22"/>
  <c r="H34" i="22" s="1"/>
  <c r="G35" i="22"/>
  <c r="H35" i="22" s="1"/>
  <c r="G36" i="22"/>
  <c r="H36" i="22" s="1"/>
  <c r="G37" i="22"/>
  <c r="H37" i="22" s="1"/>
  <c r="D27" i="22"/>
  <c r="D28" i="22"/>
  <c r="D29" i="22"/>
  <c r="D31" i="22"/>
  <c r="D32" i="22"/>
  <c r="G27" i="22"/>
  <c r="H27" i="22" s="1"/>
  <c r="G28" i="22"/>
  <c r="H28" i="22" s="1"/>
  <c r="G29" i="22"/>
  <c r="H29" i="22" s="1"/>
  <c r="G31" i="22"/>
  <c r="H31" i="22" s="1"/>
  <c r="G32" i="22"/>
  <c r="H32" i="22" s="1"/>
  <c r="D26" i="32"/>
  <c r="B26" i="32"/>
  <c r="D7" i="19" l="1"/>
  <c r="D8" i="19"/>
  <c r="D9" i="19"/>
  <c r="D10" i="19"/>
  <c r="D11" i="19"/>
  <c r="D12" i="19"/>
  <c r="D13" i="19"/>
  <c r="D14" i="19"/>
  <c r="D15" i="19"/>
  <c r="D16" i="19"/>
  <c r="D17" i="19"/>
  <c r="D18" i="19"/>
  <c r="D19" i="19"/>
  <c r="D20" i="19"/>
  <c r="D21" i="19"/>
  <c r="D22" i="19"/>
  <c r="D23" i="19"/>
  <c r="D24" i="19"/>
  <c r="D25" i="19"/>
  <c r="D26" i="19"/>
  <c r="D27" i="19"/>
  <c r="D28" i="19"/>
  <c r="D29" i="19"/>
  <c r="D30" i="19"/>
  <c r="D31" i="19"/>
  <c r="E7" i="19"/>
  <c r="E8" i="19"/>
  <c r="E9" i="19"/>
  <c r="E10" i="19"/>
  <c r="E11" i="19"/>
  <c r="E12" i="19"/>
  <c r="E13" i="19"/>
  <c r="E14" i="19"/>
  <c r="E15" i="19"/>
  <c r="E16" i="19"/>
  <c r="E17" i="19"/>
  <c r="E18" i="19"/>
  <c r="E19" i="19"/>
  <c r="E20" i="19"/>
  <c r="E21" i="19"/>
  <c r="E22" i="19"/>
  <c r="E23" i="19"/>
  <c r="E24" i="19"/>
  <c r="E25" i="19"/>
  <c r="E26" i="19"/>
  <c r="E27" i="19"/>
  <c r="E28" i="19"/>
  <c r="E29" i="19"/>
  <c r="E30" i="19"/>
  <c r="E31" i="19"/>
  <c r="B946" i="13" l="1"/>
  <c r="B945" i="13"/>
  <c r="B944" i="13"/>
  <c r="B943" i="13"/>
  <c r="B942" i="13"/>
  <c r="B941" i="13"/>
  <c r="B940" i="13"/>
  <c r="B939" i="13"/>
  <c r="B938" i="13"/>
  <c r="B937" i="13"/>
  <c r="B936" i="13"/>
  <c r="B935" i="13"/>
  <c r="B934" i="13"/>
  <c r="B933" i="13"/>
  <c r="B932" i="13"/>
  <c r="B931" i="13"/>
  <c r="B930" i="13"/>
  <c r="B929" i="13"/>
  <c r="B928" i="13"/>
  <c r="C928" i="13"/>
  <c r="C929" i="13"/>
  <c r="C930" i="13"/>
  <c r="C931" i="13"/>
  <c r="C932" i="13"/>
  <c r="C933" i="13"/>
  <c r="C934" i="13"/>
  <c r="C935" i="13"/>
  <c r="C936" i="13"/>
  <c r="C937" i="13"/>
  <c r="C938" i="13"/>
  <c r="C939" i="13"/>
  <c r="C940" i="13"/>
  <c r="C941" i="13"/>
  <c r="C942" i="13"/>
  <c r="C943" i="13"/>
  <c r="C944" i="13"/>
  <c r="C945" i="13"/>
  <c r="C946" i="13"/>
  <c r="D928" i="13"/>
  <c r="D929" i="13"/>
  <c r="D930" i="13"/>
  <c r="D931" i="13"/>
  <c r="D932" i="13"/>
  <c r="D933" i="13"/>
  <c r="D934" i="13"/>
  <c r="D935" i="13"/>
  <c r="D936" i="13"/>
  <c r="D937" i="13"/>
  <c r="D938" i="13"/>
  <c r="D939" i="13"/>
  <c r="D940" i="13"/>
  <c r="D941" i="13"/>
  <c r="D942" i="13"/>
  <c r="D943" i="13"/>
  <c r="D944" i="13"/>
  <c r="D945" i="13"/>
  <c r="D946" i="13"/>
  <c r="E928" i="13"/>
  <c r="E929" i="13"/>
  <c r="E930" i="13"/>
  <c r="E931" i="13"/>
  <c r="E932" i="13"/>
  <c r="E933" i="13"/>
  <c r="E934" i="13"/>
  <c r="E935" i="13"/>
  <c r="E936" i="13"/>
  <c r="E937" i="13"/>
  <c r="E938" i="13"/>
  <c r="E939" i="13"/>
  <c r="E940" i="13"/>
  <c r="E941" i="13"/>
  <c r="E942" i="13"/>
  <c r="E943" i="13"/>
  <c r="E944" i="13"/>
  <c r="E945" i="13"/>
  <c r="E946" i="13"/>
  <c r="K928" i="13"/>
  <c r="K929" i="13"/>
  <c r="K930" i="13"/>
  <c r="K931" i="13"/>
  <c r="K932" i="13"/>
  <c r="K933" i="13"/>
  <c r="K934" i="13"/>
  <c r="K935" i="13"/>
  <c r="K936" i="13"/>
  <c r="K937" i="13"/>
  <c r="K938" i="13"/>
  <c r="K939" i="13"/>
  <c r="K940" i="13"/>
  <c r="K941" i="13"/>
  <c r="K942" i="13"/>
  <c r="K943" i="13"/>
  <c r="K944" i="13"/>
  <c r="K945" i="13"/>
  <c r="K946" i="13"/>
  <c r="R928" i="13"/>
  <c r="R929" i="13"/>
  <c r="R930" i="13"/>
  <c r="R931" i="13"/>
  <c r="R932" i="13"/>
  <c r="R933" i="13"/>
  <c r="R934" i="13"/>
  <c r="R935" i="13"/>
  <c r="R936" i="13"/>
  <c r="R937" i="13"/>
  <c r="R938" i="13"/>
  <c r="R939" i="13"/>
  <c r="R940" i="13"/>
  <c r="R941" i="13"/>
  <c r="R942" i="13"/>
  <c r="R943" i="13"/>
  <c r="R944" i="13"/>
  <c r="R945" i="13"/>
  <c r="R946" i="13"/>
  <c r="U928" i="13"/>
  <c r="U929" i="13"/>
  <c r="U930" i="13"/>
  <c r="U931" i="13"/>
  <c r="U932" i="13"/>
  <c r="U933" i="13"/>
  <c r="U934" i="13"/>
  <c r="U935" i="13"/>
  <c r="U936" i="13"/>
  <c r="U937" i="13"/>
  <c r="U938" i="13"/>
  <c r="U939" i="13"/>
  <c r="U940" i="13"/>
  <c r="U941" i="13"/>
  <c r="U942" i="13"/>
  <c r="U943" i="13"/>
  <c r="U944" i="13"/>
  <c r="U945" i="13"/>
  <c r="U946" i="13"/>
  <c r="AG928" i="13"/>
  <c r="AI928" i="13" s="1"/>
  <c r="AG929" i="13"/>
  <c r="AG930" i="13"/>
  <c r="AI930" i="13" s="1"/>
  <c r="AG931" i="13"/>
  <c r="AH931" i="13" s="1"/>
  <c r="AJ931" i="13" s="1"/>
  <c r="AG932" i="13"/>
  <c r="AI932" i="13" s="1"/>
  <c r="AG933" i="13"/>
  <c r="AH933" i="13" s="1"/>
  <c r="AJ933" i="13" s="1"/>
  <c r="AG934" i="13"/>
  <c r="AG935" i="13"/>
  <c r="AG936" i="13"/>
  <c r="AH936" i="13" s="1"/>
  <c r="AJ936" i="13" s="1"/>
  <c r="AG937" i="13"/>
  <c r="AH937" i="13" s="1"/>
  <c r="AJ937" i="13" s="1"/>
  <c r="AG938" i="13"/>
  <c r="AH938" i="13" s="1"/>
  <c r="AJ938" i="13" s="1"/>
  <c r="AG939" i="13"/>
  <c r="AH939" i="13" s="1"/>
  <c r="AJ939" i="13" s="1"/>
  <c r="AG940" i="13"/>
  <c r="AI940" i="13" s="1"/>
  <c r="AG941" i="13"/>
  <c r="AG942" i="13"/>
  <c r="AI942" i="13" s="1"/>
  <c r="AG943" i="13"/>
  <c r="AG944" i="13"/>
  <c r="AH944" i="13" s="1"/>
  <c r="AJ944" i="13" s="1"/>
  <c r="AG945" i="13"/>
  <c r="AI945" i="13" s="1"/>
  <c r="AG946" i="13"/>
  <c r="AP928" i="13"/>
  <c r="AP929" i="13"/>
  <c r="AP930" i="13"/>
  <c r="AP931" i="13"/>
  <c r="AP932" i="13"/>
  <c r="AP933" i="13"/>
  <c r="AP934" i="13"/>
  <c r="AP935" i="13"/>
  <c r="AP936" i="13"/>
  <c r="AP937" i="13"/>
  <c r="AP938" i="13"/>
  <c r="AP939" i="13"/>
  <c r="AP940" i="13"/>
  <c r="AP941" i="13"/>
  <c r="AP942" i="13"/>
  <c r="AP943" i="13"/>
  <c r="AP944" i="13"/>
  <c r="AP945" i="13"/>
  <c r="AP946" i="13"/>
  <c r="BK928" i="13"/>
  <c r="BK929" i="13"/>
  <c r="BK930" i="13"/>
  <c r="BK931" i="13"/>
  <c r="BK932" i="13"/>
  <c r="BK933" i="13"/>
  <c r="BK934" i="13"/>
  <c r="BK935" i="13"/>
  <c r="BK936" i="13"/>
  <c r="BK937" i="13"/>
  <c r="BK938" i="13"/>
  <c r="BK939" i="13"/>
  <c r="BK940" i="13"/>
  <c r="BK941" i="13"/>
  <c r="BK942" i="13"/>
  <c r="BK943" i="13"/>
  <c r="BK944" i="13"/>
  <c r="BK945" i="13"/>
  <c r="BK946" i="13"/>
  <c r="C870" i="13"/>
  <c r="C871" i="13"/>
  <c r="C872" i="13"/>
  <c r="C873" i="13"/>
  <c r="C874" i="13"/>
  <c r="C875" i="13"/>
  <c r="C876" i="13"/>
  <c r="C877" i="13"/>
  <c r="C878" i="13"/>
  <c r="C879" i="13"/>
  <c r="C880" i="13"/>
  <c r="C881" i="13"/>
  <c r="C882" i="13"/>
  <c r="C883" i="13"/>
  <c r="C884" i="13"/>
  <c r="C885" i="13"/>
  <c r="C886" i="13"/>
  <c r="C887" i="13"/>
  <c r="C888" i="13"/>
  <c r="C889" i="13"/>
  <c r="C890" i="13"/>
  <c r="C891" i="13"/>
  <c r="C892" i="13"/>
  <c r="C893" i="13"/>
  <c r="C894" i="13"/>
  <c r="C895" i="13"/>
  <c r="C896" i="13"/>
  <c r="C897" i="13"/>
  <c r="C898" i="13"/>
  <c r="C899" i="13"/>
  <c r="C900" i="13"/>
  <c r="C901" i="13"/>
  <c r="C902" i="13"/>
  <c r="C903" i="13"/>
  <c r="C904" i="13"/>
  <c r="C905" i="13"/>
  <c r="C906" i="13"/>
  <c r="C907" i="13"/>
  <c r="C908" i="13"/>
  <c r="C909" i="13"/>
  <c r="C910" i="13"/>
  <c r="C911" i="13"/>
  <c r="C912" i="13"/>
  <c r="C913" i="13"/>
  <c r="C914" i="13"/>
  <c r="C915" i="13"/>
  <c r="C916" i="13"/>
  <c r="C917" i="13"/>
  <c r="C918" i="13"/>
  <c r="C919" i="13"/>
  <c r="C920" i="13"/>
  <c r="C921" i="13"/>
  <c r="C922" i="13"/>
  <c r="C923" i="13"/>
  <c r="C924" i="13"/>
  <c r="C925" i="13"/>
  <c r="C926" i="13"/>
  <c r="C927" i="13"/>
  <c r="D870" i="13"/>
  <c r="D871" i="13"/>
  <c r="D872" i="13"/>
  <c r="D873" i="13"/>
  <c r="D874" i="13"/>
  <c r="D875" i="13"/>
  <c r="D876" i="13"/>
  <c r="D877" i="13"/>
  <c r="D878" i="13"/>
  <c r="D879" i="13"/>
  <c r="D880" i="13"/>
  <c r="D881" i="13"/>
  <c r="D882" i="13"/>
  <c r="D883" i="13"/>
  <c r="D884" i="13"/>
  <c r="D885" i="13"/>
  <c r="D886" i="13"/>
  <c r="D887" i="13"/>
  <c r="D888" i="13"/>
  <c r="D889" i="13"/>
  <c r="D890" i="13"/>
  <c r="D891" i="13"/>
  <c r="D892" i="13"/>
  <c r="D893" i="13"/>
  <c r="D894" i="13"/>
  <c r="D895" i="13"/>
  <c r="D896" i="13"/>
  <c r="D897" i="13"/>
  <c r="D898" i="13"/>
  <c r="D899" i="13"/>
  <c r="D900" i="13"/>
  <c r="D901" i="13"/>
  <c r="D902" i="13"/>
  <c r="D903" i="13"/>
  <c r="D904" i="13"/>
  <c r="D905" i="13"/>
  <c r="D906" i="13"/>
  <c r="D907" i="13"/>
  <c r="D908" i="13"/>
  <c r="D909" i="13"/>
  <c r="D910" i="13"/>
  <c r="D911" i="13"/>
  <c r="D912" i="13"/>
  <c r="D913" i="13"/>
  <c r="D914" i="13"/>
  <c r="D915" i="13"/>
  <c r="D916" i="13"/>
  <c r="D917" i="13"/>
  <c r="D918" i="13"/>
  <c r="D919" i="13"/>
  <c r="D920" i="13"/>
  <c r="D921" i="13"/>
  <c r="D922" i="13"/>
  <c r="D923" i="13"/>
  <c r="D924" i="13"/>
  <c r="D925" i="13"/>
  <c r="D926" i="13"/>
  <c r="D927" i="13"/>
  <c r="E870" i="13"/>
  <c r="E871" i="13"/>
  <c r="E872" i="13"/>
  <c r="E873" i="13"/>
  <c r="E874" i="13"/>
  <c r="E875" i="13"/>
  <c r="E876" i="13"/>
  <c r="E877" i="13"/>
  <c r="E878" i="13"/>
  <c r="E879" i="13"/>
  <c r="E880" i="13"/>
  <c r="E881" i="13"/>
  <c r="E882" i="13"/>
  <c r="E883" i="13"/>
  <c r="E884" i="13"/>
  <c r="E885" i="13"/>
  <c r="E886" i="13"/>
  <c r="E887" i="13"/>
  <c r="E888" i="13"/>
  <c r="E889" i="13"/>
  <c r="E890" i="13"/>
  <c r="E891" i="13"/>
  <c r="E892" i="13"/>
  <c r="E893" i="13"/>
  <c r="E894" i="13"/>
  <c r="E895" i="13"/>
  <c r="E896" i="13"/>
  <c r="E897" i="13"/>
  <c r="E898" i="13"/>
  <c r="E899" i="13"/>
  <c r="E900" i="13"/>
  <c r="E901" i="13"/>
  <c r="E902" i="13"/>
  <c r="E903" i="13"/>
  <c r="E904" i="13"/>
  <c r="E905" i="13"/>
  <c r="E906" i="13"/>
  <c r="E907" i="13"/>
  <c r="E908" i="13"/>
  <c r="E909" i="13"/>
  <c r="E910" i="13"/>
  <c r="E911" i="13"/>
  <c r="E912" i="13"/>
  <c r="E913" i="13"/>
  <c r="E914" i="13"/>
  <c r="E915" i="13"/>
  <c r="E916" i="13"/>
  <c r="E917" i="13"/>
  <c r="E918" i="13"/>
  <c r="E919" i="13"/>
  <c r="E920" i="13"/>
  <c r="E921" i="13"/>
  <c r="E922" i="13"/>
  <c r="E923" i="13"/>
  <c r="E924" i="13"/>
  <c r="E925" i="13"/>
  <c r="E926" i="13"/>
  <c r="E927" i="13"/>
  <c r="K870" i="13"/>
  <c r="K871" i="13"/>
  <c r="K872" i="13"/>
  <c r="K873" i="13"/>
  <c r="K874" i="13"/>
  <c r="K875" i="13"/>
  <c r="K876" i="13"/>
  <c r="K877" i="13"/>
  <c r="K878" i="13"/>
  <c r="K879" i="13"/>
  <c r="K880" i="13"/>
  <c r="K881" i="13"/>
  <c r="K882" i="13"/>
  <c r="K883" i="13"/>
  <c r="K884" i="13"/>
  <c r="K885" i="13"/>
  <c r="K886" i="13"/>
  <c r="K887" i="13"/>
  <c r="K888" i="13"/>
  <c r="K889" i="13"/>
  <c r="K890" i="13"/>
  <c r="K891" i="13"/>
  <c r="K892" i="13"/>
  <c r="K893" i="13"/>
  <c r="K894" i="13"/>
  <c r="K895" i="13"/>
  <c r="K896" i="13"/>
  <c r="K897" i="13"/>
  <c r="K898" i="13"/>
  <c r="K899" i="13"/>
  <c r="K900" i="13"/>
  <c r="K901" i="13"/>
  <c r="K902" i="13"/>
  <c r="K903" i="13"/>
  <c r="K904" i="13"/>
  <c r="K905" i="13"/>
  <c r="K906" i="13"/>
  <c r="K907" i="13"/>
  <c r="K908" i="13"/>
  <c r="K909" i="13"/>
  <c r="K910" i="13"/>
  <c r="K911" i="13"/>
  <c r="K912" i="13"/>
  <c r="K913" i="13"/>
  <c r="K914" i="13"/>
  <c r="K915" i="13"/>
  <c r="K916" i="13"/>
  <c r="K917" i="13"/>
  <c r="K918" i="13"/>
  <c r="K919" i="13"/>
  <c r="K920" i="13"/>
  <c r="K921" i="13"/>
  <c r="K922" i="13"/>
  <c r="K923" i="13"/>
  <c r="K924" i="13"/>
  <c r="K925" i="13"/>
  <c r="K926" i="13"/>
  <c r="K927" i="13"/>
  <c r="R870" i="13"/>
  <c r="R871" i="13"/>
  <c r="R872" i="13"/>
  <c r="R873" i="13"/>
  <c r="R874" i="13"/>
  <c r="R875" i="13"/>
  <c r="R876" i="13"/>
  <c r="R877" i="13"/>
  <c r="R878" i="13"/>
  <c r="R879" i="13"/>
  <c r="R880" i="13"/>
  <c r="R881" i="13"/>
  <c r="R882" i="13"/>
  <c r="R883" i="13"/>
  <c r="R884" i="13"/>
  <c r="R885" i="13"/>
  <c r="R886" i="13"/>
  <c r="R887" i="13"/>
  <c r="R888" i="13"/>
  <c r="R889" i="13"/>
  <c r="R890" i="13"/>
  <c r="R891" i="13"/>
  <c r="R892" i="13"/>
  <c r="R893" i="13"/>
  <c r="R894" i="13"/>
  <c r="R895" i="13"/>
  <c r="R896" i="13"/>
  <c r="R897" i="13"/>
  <c r="R898" i="13"/>
  <c r="R899" i="13"/>
  <c r="R900" i="13"/>
  <c r="R901" i="13"/>
  <c r="R902" i="13"/>
  <c r="R903" i="13"/>
  <c r="R904" i="13"/>
  <c r="R905" i="13"/>
  <c r="R906" i="13"/>
  <c r="R907" i="13"/>
  <c r="R908" i="13"/>
  <c r="R909" i="13"/>
  <c r="R910" i="13"/>
  <c r="R911" i="13"/>
  <c r="R912" i="13"/>
  <c r="R913" i="13"/>
  <c r="R914" i="13"/>
  <c r="R915" i="13"/>
  <c r="R916" i="13"/>
  <c r="R917" i="13"/>
  <c r="R918" i="13"/>
  <c r="R919" i="13"/>
  <c r="R920" i="13"/>
  <c r="R921" i="13"/>
  <c r="R922" i="13"/>
  <c r="R923" i="13"/>
  <c r="R924" i="13"/>
  <c r="R925" i="13"/>
  <c r="R926" i="13"/>
  <c r="R927" i="13"/>
  <c r="U870" i="13"/>
  <c r="U871" i="13"/>
  <c r="U872" i="13"/>
  <c r="U873" i="13"/>
  <c r="U874" i="13"/>
  <c r="U875" i="13"/>
  <c r="U876" i="13"/>
  <c r="U877" i="13"/>
  <c r="U878" i="13"/>
  <c r="U879" i="13"/>
  <c r="U880" i="13"/>
  <c r="U881" i="13"/>
  <c r="U882" i="13"/>
  <c r="U883" i="13"/>
  <c r="U884" i="13"/>
  <c r="U885" i="13"/>
  <c r="U886" i="13"/>
  <c r="U887" i="13"/>
  <c r="U888" i="13"/>
  <c r="U889" i="13"/>
  <c r="U890" i="13"/>
  <c r="U891" i="13"/>
  <c r="U892" i="13"/>
  <c r="U893" i="13"/>
  <c r="U894" i="13"/>
  <c r="U895" i="13"/>
  <c r="U896" i="13"/>
  <c r="U897" i="13"/>
  <c r="U898" i="13"/>
  <c r="U899" i="13"/>
  <c r="U900" i="13"/>
  <c r="U901" i="13"/>
  <c r="U902" i="13"/>
  <c r="U903" i="13"/>
  <c r="U904" i="13"/>
  <c r="U905" i="13"/>
  <c r="U906" i="13"/>
  <c r="U907" i="13"/>
  <c r="U908" i="13"/>
  <c r="U909" i="13"/>
  <c r="U910" i="13"/>
  <c r="U911" i="13"/>
  <c r="U912" i="13"/>
  <c r="U913" i="13"/>
  <c r="U914" i="13"/>
  <c r="U915" i="13"/>
  <c r="U916" i="13"/>
  <c r="U917" i="13"/>
  <c r="U918" i="13"/>
  <c r="U919" i="13"/>
  <c r="U920" i="13"/>
  <c r="U921" i="13"/>
  <c r="U922" i="13"/>
  <c r="U923" i="13"/>
  <c r="U924" i="13"/>
  <c r="U925" i="13"/>
  <c r="U926" i="13"/>
  <c r="U927" i="13"/>
  <c r="AG870" i="13"/>
  <c r="AH870" i="13" s="1"/>
  <c r="AJ870" i="13" s="1"/>
  <c r="AG871" i="13"/>
  <c r="AH871" i="13" s="1"/>
  <c r="AJ871" i="13" s="1"/>
  <c r="AG872" i="13"/>
  <c r="AI872" i="13" s="1"/>
  <c r="AG873" i="13"/>
  <c r="AH873" i="13" s="1"/>
  <c r="AJ873" i="13" s="1"/>
  <c r="AG874" i="13"/>
  <c r="AI874" i="13" s="1"/>
  <c r="AG875" i="13"/>
  <c r="AH875" i="13" s="1"/>
  <c r="AJ875" i="13" s="1"/>
  <c r="AG876" i="13"/>
  <c r="AI876" i="13" s="1"/>
  <c r="AG877" i="13"/>
  <c r="AG878" i="13"/>
  <c r="AI878" i="13" s="1"/>
  <c r="AG879" i="13"/>
  <c r="AG880" i="13"/>
  <c r="AG881" i="13"/>
  <c r="AH881" i="13" s="1"/>
  <c r="AJ881" i="13" s="1"/>
  <c r="AG882" i="13"/>
  <c r="AI882" i="13" s="1"/>
  <c r="AG883" i="13"/>
  <c r="AH883" i="13" s="1"/>
  <c r="AJ883" i="13" s="1"/>
  <c r="AG884" i="13"/>
  <c r="AH884" i="13" s="1"/>
  <c r="AJ884" i="13" s="1"/>
  <c r="AG885" i="13"/>
  <c r="AI885" i="13" s="1"/>
  <c r="AG886" i="13"/>
  <c r="AI886" i="13" s="1"/>
  <c r="AG887" i="13"/>
  <c r="AI887" i="13" s="1"/>
  <c r="AG888" i="13"/>
  <c r="AI888" i="13" s="1"/>
  <c r="AG889" i="13"/>
  <c r="AG890" i="13"/>
  <c r="AG891" i="13"/>
  <c r="AG892" i="13"/>
  <c r="AG893" i="13"/>
  <c r="AH893" i="13" s="1"/>
  <c r="AJ893" i="13" s="1"/>
  <c r="AG894" i="13"/>
  <c r="AI894" i="13" s="1"/>
  <c r="AG895" i="13"/>
  <c r="AI895" i="13" s="1"/>
  <c r="AG896" i="13"/>
  <c r="AG897" i="13"/>
  <c r="AH897" i="13" s="1"/>
  <c r="AJ897" i="13" s="1"/>
  <c r="AG898" i="13"/>
  <c r="AI898" i="13" s="1"/>
  <c r="AG899" i="13"/>
  <c r="AH899" i="13" s="1"/>
  <c r="AJ899" i="13" s="1"/>
  <c r="AG900" i="13"/>
  <c r="AI900" i="13" s="1"/>
  <c r="AG901" i="13"/>
  <c r="AG902" i="13"/>
  <c r="AI902" i="13" s="1"/>
  <c r="AG903" i="13"/>
  <c r="AG904" i="13"/>
  <c r="AG905" i="13"/>
  <c r="AI905" i="13" s="1"/>
  <c r="AG906" i="13"/>
  <c r="AI906" i="13" s="1"/>
  <c r="AG907" i="13"/>
  <c r="AH907" i="13" s="1"/>
  <c r="AJ907" i="13" s="1"/>
  <c r="AG908" i="13"/>
  <c r="AG909" i="13"/>
  <c r="AI909" i="13" s="1"/>
  <c r="AG910" i="13"/>
  <c r="AI910" i="13" s="1"/>
  <c r="AG911" i="13"/>
  <c r="AH911" i="13" s="1"/>
  <c r="AJ911" i="13" s="1"/>
  <c r="AG912" i="13"/>
  <c r="AI912" i="13" s="1"/>
  <c r="AG913" i="13"/>
  <c r="AG914" i="13"/>
  <c r="AG915" i="13"/>
  <c r="AG916" i="13"/>
  <c r="AG917" i="13"/>
  <c r="AH917" i="13" s="1"/>
  <c r="AJ917" i="13" s="1"/>
  <c r="AG918" i="13"/>
  <c r="AH918" i="13" s="1"/>
  <c r="AJ918" i="13" s="1"/>
  <c r="AG919" i="13"/>
  <c r="AI919" i="13" s="1"/>
  <c r="AG920" i="13"/>
  <c r="AI920" i="13" s="1"/>
  <c r="AG921" i="13"/>
  <c r="AH921" i="13" s="1"/>
  <c r="AJ921" i="13" s="1"/>
  <c r="AG922" i="13"/>
  <c r="AG923" i="13"/>
  <c r="AH923" i="13" s="1"/>
  <c r="AJ923" i="13" s="1"/>
  <c r="AG924" i="13"/>
  <c r="AI924" i="13" s="1"/>
  <c r="AG925" i="13"/>
  <c r="AG926" i="13"/>
  <c r="AG927" i="13"/>
  <c r="AP870" i="13"/>
  <c r="AP871" i="13"/>
  <c r="AP872" i="13"/>
  <c r="AP873" i="13"/>
  <c r="AP874" i="13"/>
  <c r="AP875" i="13"/>
  <c r="AP876" i="13"/>
  <c r="AP877" i="13"/>
  <c r="AP878" i="13"/>
  <c r="AP879" i="13"/>
  <c r="AP880" i="13"/>
  <c r="AP881" i="13"/>
  <c r="AP882" i="13"/>
  <c r="AP883" i="13"/>
  <c r="AP884" i="13"/>
  <c r="AP885" i="13"/>
  <c r="AP886" i="13"/>
  <c r="AP887" i="13"/>
  <c r="AP888" i="13"/>
  <c r="AP889" i="13"/>
  <c r="AP890" i="13"/>
  <c r="AP891" i="13"/>
  <c r="AP892" i="13"/>
  <c r="AP893" i="13"/>
  <c r="AP894" i="13"/>
  <c r="AP895" i="13"/>
  <c r="AP896" i="13"/>
  <c r="AP897" i="13"/>
  <c r="AP898" i="13"/>
  <c r="AP899" i="13"/>
  <c r="AP900" i="13"/>
  <c r="AP901" i="13"/>
  <c r="AP902" i="13"/>
  <c r="AP903" i="13"/>
  <c r="AP904" i="13"/>
  <c r="AP905" i="13"/>
  <c r="AP906" i="13"/>
  <c r="AP907" i="13"/>
  <c r="AP908" i="13"/>
  <c r="AP909" i="13"/>
  <c r="AP910" i="13"/>
  <c r="AP911" i="13"/>
  <c r="AP912" i="13"/>
  <c r="AP913" i="13"/>
  <c r="AP914" i="13"/>
  <c r="AP915" i="13"/>
  <c r="AP916" i="13"/>
  <c r="AP917" i="13"/>
  <c r="AP918" i="13"/>
  <c r="AP919" i="13"/>
  <c r="AP920" i="13"/>
  <c r="AP921" i="13"/>
  <c r="AP922" i="13"/>
  <c r="AP923" i="13"/>
  <c r="AP924" i="13"/>
  <c r="AP925" i="13"/>
  <c r="AP926" i="13"/>
  <c r="AP927" i="13"/>
  <c r="BK870" i="13"/>
  <c r="BK871" i="13"/>
  <c r="BK872" i="13"/>
  <c r="BK873" i="13"/>
  <c r="BK874" i="13"/>
  <c r="BK875" i="13"/>
  <c r="BK876" i="13"/>
  <c r="BK877" i="13"/>
  <c r="BK878" i="13"/>
  <c r="BK879" i="13"/>
  <c r="BK880" i="13"/>
  <c r="BK881" i="13"/>
  <c r="BK882" i="13"/>
  <c r="BK883" i="13"/>
  <c r="BK884" i="13"/>
  <c r="BK885" i="13"/>
  <c r="BK886" i="13"/>
  <c r="BK887" i="13"/>
  <c r="BK888" i="13"/>
  <c r="BK889" i="13"/>
  <c r="BK890" i="13"/>
  <c r="BK891" i="13"/>
  <c r="BK892" i="13"/>
  <c r="BK893" i="13"/>
  <c r="BK894" i="13"/>
  <c r="BK895" i="13"/>
  <c r="BK896" i="13"/>
  <c r="BK897" i="13"/>
  <c r="BK898" i="13"/>
  <c r="BK899" i="13"/>
  <c r="BK900" i="13"/>
  <c r="BK901" i="13"/>
  <c r="BK902" i="13"/>
  <c r="BK903" i="13"/>
  <c r="BK904" i="13"/>
  <c r="BK905" i="13"/>
  <c r="BK906" i="13"/>
  <c r="BK907" i="13"/>
  <c r="BK908" i="13"/>
  <c r="BK909" i="13"/>
  <c r="BK910" i="13"/>
  <c r="BK911" i="13"/>
  <c r="BK912" i="13"/>
  <c r="BK913" i="13"/>
  <c r="BK914" i="13"/>
  <c r="BK915" i="13"/>
  <c r="BK916" i="13"/>
  <c r="BK917" i="13"/>
  <c r="BK918" i="13"/>
  <c r="BK919" i="13"/>
  <c r="BK920" i="13"/>
  <c r="BK921" i="13"/>
  <c r="BK922" i="13"/>
  <c r="BK923" i="13"/>
  <c r="BK924" i="13"/>
  <c r="BK925" i="13"/>
  <c r="BK926" i="13"/>
  <c r="BK927" i="13"/>
  <c r="B927" i="13"/>
  <c r="B926" i="13"/>
  <c r="B925" i="13"/>
  <c r="B924" i="13"/>
  <c r="B923" i="13"/>
  <c r="B922" i="13"/>
  <c r="B921" i="13"/>
  <c r="B920" i="13"/>
  <c r="B919" i="13"/>
  <c r="B918" i="13"/>
  <c r="B917" i="13"/>
  <c r="B916" i="13"/>
  <c r="B915" i="13"/>
  <c r="B914" i="13"/>
  <c r="B913" i="13"/>
  <c r="B912" i="13"/>
  <c r="B911" i="13"/>
  <c r="B910" i="13"/>
  <c r="B909" i="13"/>
  <c r="B908" i="13"/>
  <c r="B907" i="13"/>
  <c r="B906" i="13"/>
  <c r="B905" i="13"/>
  <c r="B904" i="13"/>
  <c r="B903" i="13"/>
  <c r="B902" i="13"/>
  <c r="B901" i="13"/>
  <c r="B900" i="13"/>
  <c r="B899" i="13"/>
  <c r="B898" i="13"/>
  <c r="B897" i="13"/>
  <c r="B896" i="13"/>
  <c r="B895" i="13"/>
  <c r="B894" i="13"/>
  <c r="B893" i="13"/>
  <c r="B892" i="13"/>
  <c r="B891" i="13"/>
  <c r="B890" i="13"/>
  <c r="B889" i="13"/>
  <c r="B888" i="13"/>
  <c r="B887" i="13"/>
  <c r="B886" i="13"/>
  <c r="B885" i="13"/>
  <c r="B884" i="13"/>
  <c r="B883" i="13"/>
  <c r="B882" i="13"/>
  <c r="B881" i="13"/>
  <c r="B880" i="13"/>
  <c r="B879" i="13"/>
  <c r="B878" i="13"/>
  <c r="B877" i="13"/>
  <c r="B876" i="13"/>
  <c r="B875" i="13"/>
  <c r="B874" i="13"/>
  <c r="B873" i="13"/>
  <c r="B872" i="13"/>
  <c r="B871" i="13"/>
  <c r="B870" i="13"/>
  <c r="B869" i="13"/>
  <c r="B868" i="13"/>
  <c r="B867" i="13"/>
  <c r="B866" i="13"/>
  <c r="B865" i="13"/>
  <c r="B864" i="13"/>
  <c r="B863" i="13"/>
  <c r="B862" i="13"/>
  <c r="B861" i="13"/>
  <c r="B860" i="13"/>
  <c r="B859" i="13"/>
  <c r="B858" i="13"/>
  <c r="B857" i="13"/>
  <c r="B856" i="13"/>
  <c r="B855" i="13"/>
  <c r="B854" i="13"/>
  <c r="B853" i="13"/>
  <c r="B852" i="13"/>
  <c r="B851" i="13"/>
  <c r="B850" i="13"/>
  <c r="B849" i="13"/>
  <c r="B848" i="13"/>
  <c r="B847" i="13"/>
  <c r="B846" i="13"/>
  <c r="B845" i="13"/>
  <c r="B844" i="13"/>
  <c r="B843" i="13"/>
  <c r="B842" i="13"/>
  <c r="B841" i="13"/>
  <c r="B840" i="13"/>
  <c r="B839" i="13"/>
  <c r="B838" i="13"/>
  <c r="B837" i="13"/>
  <c r="B836" i="13"/>
  <c r="B835" i="13"/>
  <c r="B834" i="13"/>
  <c r="B833" i="13"/>
  <c r="B832" i="13"/>
  <c r="B831" i="13"/>
  <c r="B830" i="13"/>
  <c r="B829" i="13"/>
  <c r="B828" i="13"/>
  <c r="B827" i="13"/>
  <c r="B826" i="13"/>
  <c r="B825" i="13"/>
  <c r="B824" i="13"/>
  <c r="B823" i="13"/>
  <c r="B822" i="13"/>
  <c r="B821" i="13"/>
  <c r="B820" i="13"/>
  <c r="B819" i="13"/>
  <c r="B818" i="13"/>
  <c r="B817" i="13"/>
  <c r="B816" i="13"/>
  <c r="B815" i="13"/>
  <c r="B814" i="13"/>
  <c r="B813" i="13"/>
  <c r="B812" i="13"/>
  <c r="B811" i="13"/>
  <c r="B810" i="13"/>
  <c r="B809" i="13"/>
  <c r="B808" i="13"/>
  <c r="B807" i="13"/>
  <c r="B806" i="13"/>
  <c r="B805" i="13"/>
  <c r="B804" i="13"/>
  <c r="C813" i="13"/>
  <c r="C814" i="13"/>
  <c r="C815" i="13"/>
  <c r="C816" i="13"/>
  <c r="C817" i="13"/>
  <c r="C818" i="13"/>
  <c r="C819" i="13"/>
  <c r="C820" i="13"/>
  <c r="C821" i="13"/>
  <c r="C822" i="13"/>
  <c r="C823" i="13"/>
  <c r="C824" i="13"/>
  <c r="C825" i="13"/>
  <c r="C826" i="13"/>
  <c r="C827" i="13"/>
  <c r="C828" i="13"/>
  <c r="C829" i="13"/>
  <c r="C830" i="13"/>
  <c r="C831" i="13"/>
  <c r="C832" i="13"/>
  <c r="C833" i="13"/>
  <c r="C834" i="13"/>
  <c r="C835" i="13"/>
  <c r="C836" i="13"/>
  <c r="C837" i="13"/>
  <c r="C838" i="13"/>
  <c r="C839" i="13"/>
  <c r="C840" i="13"/>
  <c r="C841" i="13"/>
  <c r="C842" i="13"/>
  <c r="C843" i="13"/>
  <c r="C844" i="13"/>
  <c r="C845" i="13"/>
  <c r="C846" i="13"/>
  <c r="C847" i="13"/>
  <c r="C848" i="13"/>
  <c r="C849" i="13"/>
  <c r="C850" i="13"/>
  <c r="C851" i="13"/>
  <c r="C852" i="13"/>
  <c r="C853" i="13"/>
  <c r="C854" i="13"/>
  <c r="C855" i="13"/>
  <c r="C856" i="13"/>
  <c r="C857" i="13"/>
  <c r="C858" i="13"/>
  <c r="C859" i="13"/>
  <c r="C860" i="13"/>
  <c r="C861" i="13"/>
  <c r="C862" i="13"/>
  <c r="C863" i="13"/>
  <c r="C864" i="13"/>
  <c r="C865" i="13"/>
  <c r="C866" i="13"/>
  <c r="C867" i="13"/>
  <c r="C868" i="13"/>
  <c r="C869" i="13"/>
  <c r="D813" i="13"/>
  <c r="D814" i="13"/>
  <c r="D815" i="13"/>
  <c r="D816" i="13"/>
  <c r="D817" i="13"/>
  <c r="D818" i="13"/>
  <c r="D819" i="13"/>
  <c r="D820" i="13"/>
  <c r="D821" i="13"/>
  <c r="D822" i="13"/>
  <c r="D823" i="13"/>
  <c r="D824" i="13"/>
  <c r="D825" i="13"/>
  <c r="D826" i="13"/>
  <c r="D827" i="13"/>
  <c r="D828" i="13"/>
  <c r="D829" i="13"/>
  <c r="D830" i="13"/>
  <c r="D831" i="13"/>
  <c r="D832" i="13"/>
  <c r="D833" i="13"/>
  <c r="D834" i="13"/>
  <c r="D835" i="13"/>
  <c r="D836" i="13"/>
  <c r="D837" i="13"/>
  <c r="D838" i="13"/>
  <c r="D839" i="13"/>
  <c r="D840" i="13"/>
  <c r="D841" i="13"/>
  <c r="D842" i="13"/>
  <c r="D843" i="13"/>
  <c r="D844" i="13"/>
  <c r="D845" i="13"/>
  <c r="D846" i="13"/>
  <c r="D847" i="13"/>
  <c r="D848" i="13"/>
  <c r="D849" i="13"/>
  <c r="D850" i="13"/>
  <c r="D851" i="13"/>
  <c r="D852" i="13"/>
  <c r="D853" i="13"/>
  <c r="D854" i="13"/>
  <c r="D855" i="13"/>
  <c r="D856" i="13"/>
  <c r="D857" i="13"/>
  <c r="D858" i="13"/>
  <c r="D859" i="13"/>
  <c r="D860" i="13"/>
  <c r="D861" i="13"/>
  <c r="D862" i="13"/>
  <c r="D863" i="13"/>
  <c r="D864" i="13"/>
  <c r="D865" i="13"/>
  <c r="D866" i="13"/>
  <c r="D867" i="13"/>
  <c r="D868" i="13"/>
  <c r="D869" i="13"/>
  <c r="E813" i="13"/>
  <c r="E814" i="13"/>
  <c r="E815" i="13"/>
  <c r="E816" i="13"/>
  <c r="E817" i="13"/>
  <c r="E818" i="13"/>
  <c r="E819" i="13"/>
  <c r="E820" i="13"/>
  <c r="E821" i="13"/>
  <c r="E822" i="13"/>
  <c r="E823" i="13"/>
  <c r="E824" i="13"/>
  <c r="E825" i="13"/>
  <c r="E826" i="13"/>
  <c r="E827" i="13"/>
  <c r="E828" i="13"/>
  <c r="E829" i="13"/>
  <c r="E830" i="13"/>
  <c r="E831" i="13"/>
  <c r="E832" i="13"/>
  <c r="E833" i="13"/>
  <c r="E834" i="13"/>
  <c r="E835" i="13"/>
  <c r="E836" i="13"/>
  <c r="E837" i="13"/>
  <c r="E838" i="13"/>
  <c r="E839" i="13"/>
  <c r="E840" i="13"/>
  <c r="E841" i="13"/>
  <c r="E842" i="13"/>
  <c r="E843" i="13"/>
  <c r="E844" i="13"/>
  <c r="E845" i="13"/>
  <c r="E846" i="13"/>
  <c r="E847" i="13"/>
  <c r="E848" i="13"/>
  <c r="E849" i="13"/>
  <c r="E850" i="13"/>
  <c r="E851" i="13"/>
  <c r="E852" i="13"/>
  <c r="E853" i="13"/>
  <c r="E854" i="13"/>
  <c r="E855" i="13"/>
  <c r="E856" i="13"/>
  <c r="E857" i="13"/>
  <c r="E858" i="13"/>
  <c r="E859" i="13"/>
  <c r="E860" i="13"/>
  <c r="E861" i="13"/>
  <c r="E862" i="13"/>
  <c r="E863" i="13"/>
  <c r="E864" i="13"/>
  <c r="E865" i="13"/>
  <c r="E866" i="13"/>
  <c r="E867" i="13"/>
  <c r="E868" i="13"/>
  <c r="E869" i="13"/>
  <c r="K813" i="13"/>
  <c r="K814" i="13"/>
  <c r="K815" i="13"/>
  <c r="K816" i="13"/>
  <c r="K817" i="13"/>
  <c r="K818" i="13"/>
  <c r="K819" i="13"/>
  <c r="K820" i="13"/>
  <c r="K821" i="13"/>
  <c r="K822" i="13"/>
  <c r="K823" i="13"/>
  <c r="K824" i="13"/>
  <c r="K825" i="13"/>
  <c r="K826" i="13"/>
  <c r="K827" i="13"/>
  <c r="K828" i="13"/>
  <c r="K829" i="13"/>
  <c r="K830" i="13"/>
  <c r="K831" i="13"/>
  <c r="K832" i="13"/>
  <c r="K833" i="13"/>
  <c r="K834" i="13"/>
  <c r="K835" i="13"/>
  <c r="K836" i="13"/>
  <c r="K837" i="13"/>
  <c r="K838" i="13"/>
  <c r="K839" i="13"/>
  <c r="K840" i="13"/>
  <c r="K841" i="13"/>
  <c r="K842" i="13"/>
  <c r="K843" i="13"/>
  <c r="K844" i="13"/>
  <c r="K845" i="13"/>
  <c r="K846" i="13"/>
  <c r="K847" i="13"/>
  <c r="K848" i="13"/>
  <c r="K849" i="13"/>
  <c r="K850" i="13"/>
  <c r="K851" i="13"/>
  <c r="K852" i="13"/>
  <c r="K853" i="13"/>
  <c r="K854" i="13"/>
  <c r="K855" i="13"/>
  <c r="K856" i="13"/>
  <c r="K857" i="13"/>
  <c r="K858" i="13"/>
  <c r="K859" i="13"/>
  <c r="K860" i="13"/>
  <c r="K861" i="13"/>
  <c r="K862" i="13"/>
  <c r="K863" i="13"/>
  <c r="K864" i="13"/>
  <c r="K865" i="13"/>
  <c r="K866" i="13"/>
  <c r="K867" i="13"/>
  <c r="K868" i="13"/>
  <c r="K869" i="13"/>
  <c r="R813" i="13"/>
  <c r="R814" i="13"/>
  <c r="R815" i="13"/>
  <c r="R816" i="13"/>
  <c r="R817" i="13"/>
  <c r="R818" i="13"/>
  <c r="R819" i="13"/>
  <c r="R820" i="13"/>
  <c r="R821" i="13"/>
  <c r="R822" i="13"/>
  <c r="R823" i="13"/>
  <c r="R824" i="13"/>
  <c r="R825" i="13"/>
  <c r="R826" i="13"/>
  <c r="R827" i="13"/>
  <c r="R828" i="13"/>
  <c r="R829" i="13"/>
  <c r="R830" i="13"/>
  <c r="R831" i="13"/>
  <c r="R832" i="13"/>
  <c r="R833" i="13"/>
  <c r="R834" i="13"/>
  <c r="R835" i="13"/>
  <c r="R836" i="13"/>
  <c r="R837" i="13"/>
  <c r="R838" i="13"/>
  <c r="R839" i="13"/>
  <c r="R840" i="13"/>
  <c r="R841" i="13"/>
  <c r="R842" i="13"/>
  <c r="R843" i="13"/>
  <c r="R844" i="13"/>
  <c r="R845" i="13"/>
  <c r="R846" i="13"/>
  <c r="R847" i="13"/>
  <c r="R848" i="13"/>
  <c r="R849" i="13"/>
  <c r="R850" i="13"/>
  <c r="R851" i="13"/>
  <c r="R852" i="13"/>
  <c r="R853" i="13"/>
  <c r="R854" i="13"/>
  <c r="R855" i="13"/>
  <c r="R856" i="13"/>
  <c r="R857" i="13"/>
  <c r="R858" i="13"/>
  <c r="R859" i="13"/>
  <c r="R860" i="13"/>
  <c r="R861" i="13"/>
  <c r="R862" i="13"/>
  <c r="R863" i="13"/>
  <c r="R864" i="13"/>
  <c r="R865" i="13"/>
  <c r="R866" i="13"/>
  <c r="R867" i="13"/>
  <c r="R868" i="13"/>
  <c r="R869" i="13"/>
  <c r="U813" i="13"/>
  <c r="U814" i="13"/>
  <c r="U815" i="13"/>
  <c r="U816" i="13"/>
  <c r="U817" i="13"/>
  <c r="U818" i="13"/>
  <c r="U819" i="13"/>
  <c r="U820" i="13"/>
  <c r="U821" i="13"/>
  <c r="U822" i="13"/>
  <c r="U823" i="13"/>
  <c r="U824" i="13"/>
  <c r="U825" i="13"/>
  <c r="U826" i="13"/>
  <c r="U827" i="13"/>
  <c r="U828" i="13"/>
  <c r="U829" i="13"/>
  <c r="U830" i="13"/>
  <c r="U831" i="13"/>
  <c r="U832" i="13"/>
  <c r="U833" i="13"/>
  <c r="U834" i="13"/>
  <c r="U835" i="13"/>
  <c r="U836" i="13"/>
  <c r="U837" i="13"/>
  <c r="U838" i="13"/>
  <c r="U839" i="13"/>
  <c r="U840" i="13"/>
  <c r="U841" i="13"/>
  <c r="U842" i="13"/>
  <c r="U843" i="13"/>
  <c r="U844" i="13"/>
  <c r="U845" i="13"/>
  <c r="U846" i="13"/>
  <c r="U847" i="13"/>
  <c r="U848" i="13"/>
  <c r="U849" i="13"/>
  <c r="U850" i="13"/>
  <c r="U851" i="13"/>
  <c r="U852" i="13"/>
  <c r="U853" i="13"/>
  <c r="U854" i="13"/>
  <c r="U855" i="13"/>
  <c r="U856" i="13"/>
  <c r="U857" i="13"/>
  <c r="U858" i="13"/>
  <c r="U859" i="13"/>
  <c r="U860" i="13"/>
  <c r="U861" i="13"/>
  <c r="U862" i="13"/>
  <c r="U863" i="13"/>
  <c r="U864" i="13"/>
  <c r="U865" i="13"/>
  <c r="U866" i="13"/>
  <c r="U867" i="13"/>
  <c r="U868" i="13"/>
  <c r="U869" i="13"/>
  <c r="AG813" i="13"/>
  <c r="AI813" i="13" s="1"/>
  <c r="AG814" i="13"/>
  <c r="AI814" i="13" s="1"/>
  <c r="AG815" i="13"/>
  <c r="AI815" i="13" s="1"/>
  <c r="AG816" i="13"/>
  <c r="AG817" i="13"/>
  <c r="AG818" i="13"/>
  <c r="AG819" i="13"/>
  <c r="AH819" i="13" s="1"/>
  <c r="AJ819" i="13" s="1"/>
  <c r="AG820" i="13"/>
  <c r="AH820" i="13" s="1"/>
  <c r="AJ820" i="13" s="1"/>
  <c r="AG821" i="13"/>
  <c r="AG822" i="13"/>
  <c r="AI822" i="13" s="1"/>
  <c r="AG823" i="13"/>
  <c r="AI823" i="13" s="1"/>
  <c r="AG824" i="13"/>
  <c r="AI824" i="13" s="1"/>
  <c r="AG825" i="13"/>
  <c r="AI825" i="13" s="1"/>
  <c r="AG826" i="13"/>
  <c r="AI826" i="13" s="1"/>
  <c r="AG827" i="13"/>
  <c r="AI827" i="13" s="1"/>
  <c r="AG828" i="13"/>
  <c r="AG829" i="13"/>
  <c r="AG830" i="13"/>
  <c r="AG831" i="13"/>
  <c r="AH831" i="13" s="1"/>
  <c r="AJ831" i="13" s="1"/>
  <c r="AG832" i="13"/>
  <c r="AH832" i="13" s="1"/>
  <c r="AJ832" i="13" s="1"/>
  <c r="AG833" i="13"/>
  <c r="AG834" i="13"/>
  <c r="AI834" i="13" s="1"/>
  <c r="AG835" i="13"/>
  <c r="AH835" i="13" s="1"/>
  <c r="AJ835" i="13" s="1"/>
  <c r="AG836" i="13"/>
  <c r="AG837" i="13"/>
  <c r="AI837" i="13" s="1"/>
  <c r="AG838" i="13"/>
  <c r="AI838" i="13" s="1"/>
  <c r="AG839" i="13"/>
  <c r="AG840" i="13"/>
  <c r="AI840" i="13" s="1"/>
  <c r="AG841" i="13"/>
  <c r="AG842" i="13"/>
  <c r="AG843" i="13"/>
  <c r="AI843" i="13" s="1"/>
  <c r="AG844" i="13"/>
  <c r="AI844" i="13" s="1"/>
  <c r="AG845" i="13"/>
  <c r="AI845" i="13" s="1"/>
  <c r="AG846" i="13"/>
  <c r="AG847" i="13"/>
  <c r="AH847" i="13" s="1"/>
  <c r="AJ847" i="13" s="1"/>
  <c r="AG848" i="13"/>
  <c r="AG849" i="13"/>
  <c r="AI849" i="13" s="1"/>
  <c r="AG850" i="13"/>
  <c r="AI850" i="13" s="1"/>
  <c r="AG851" i="13"/>
  <c r="AH851" i="13" s="1"/>
  <c r="AJ851" i="13" s="1"/>
  <c r="AG852" i="13"/>
  <c r="AI852" i="13" s="1"/>
  <c r="AG853" i="13"/>
  <c r="AG854" i="13"/>
  <c r="AG855" i="13"/>
  <c r="AH855" i="13" s="1"/>
  <c r="AJ855" i="13" s="1"/>
  <c r="AG856" i="13"/>
  <c r="AI856" i="13" s="1"/>
  <c r="AG857" i="13"/>
  <c r="AG858" i="13"/>
  <c r="AG859" i="13"/>
  <c r="AI859" i="13" s="1"/>
  <c r="AG860" i="13"/>
  <c r="AG861" i="13"/>
  <c r="AI861" i="13" s="1"/>
  <c r="AG862" i="13"/>
  <c r="AI862" i="13" s="1"/>
  <c r="AG863" i="13"/>
  <c r="AH863" i="13" s="1"/>
  <c r="AJ863" i="13" s="1"/>
  <c r="AG864" i="13"/>
  <c r="AI864" i="13" s="1"/>
  <c r="AG865" i="13"/>
  <c r="AG866" i="13"/>
  <c r="AG867" i="13"/>
  <c r="AG868" i="13"/>
  <c r="AH868" i="13" s="1"/>
  <c r="AJ868" i="13" s="1"/>
  <c r="AG869" i="13"/>
  <c r="AP813" i="13"/>
  <c r="AP814" i="13"/>
  <c r="AP815" i="13"/>
  <c r="AP816" i="13"/>
  <c r="AP817" i="13"/>
  <c r="AP818" i="13"/>
  <c r="AP819" i="13"/>
  <c r="AP820" i="13"/>
  <c r="AP821" i="13"/>
  <c r="AP822" i="13"/>
  <c r="AP823" i="13"/>
  <c r="AP824" i="13"/>
  <c r="AP825" i="13"/>
  <c r="AP826" i="13"/>
  <c r="AP827" i="13"/>
  <c r="AP828" i="13"/>
  <c r="AP829" i="13"/>
  <c r="AP830" i="13"/>
  <c r="AP831" i="13"/>
  <c r="AP832" i="13"/>
  <c r="AP833" i="13"/>
  <c r="AP834" i="13"/>
  <c r="AP835" i="13"/>
  <c r="AP836" i="13"/>
  <c r="AP837" i="13"/>
  <c r="AP838" i="13"/>
  <c r="AP839" i="13"/>
  <c r="AP840" i="13"/>
  <c r="AP841" i="13"/>
  <c r="AP842" i="13"/>
  <c r="AP843" i="13"/>
  <c r="AP844" i="13"/>
  <c r="AP845" i="13"/>
  <c r="AP846" i="13"/>
  <c r="AP847" i="13"/>
  <c r="AP848" i="13"/>
  <c r="AP849" i="13"/>
  <c r="AP850" i="13"/>
  <c r="AP851" i="13"/>
  <c r="AP852" i="13"/>
  <c r="AP853" i="13"/>
  <c r="AP854" i="13"/>
  <c r="AP855" i="13"/>
  <c r="AP856" i="13"/>
  <c r="AP857" i="13"/>
  <c r="AP858" i="13"/>
  <c r="AP859" i="13"/>
  <c r="AP860" i="13"/>
  <c r="AP861" i="13"/>
  <c r="AP862" i="13"/>
  <c r="AP863" i="13"/>
  <c r="AP864" i="13"/>
  <c r="AP865" i="13"/>
  <c r="AP866" i="13"/>
  <c r="AP867" i="13"/>
  <c r="AP868" i="13"/>
  <c r="AP869" i="13"/>
  <c r="BK813" i="13"/>
  <c r="BK814" i="13"/>
  <c r="BK815" i="13"/>
  <c r="BK816" i="13"/>
  <c r="BK817" i="13"/>
  <c r="BK818" i="13"/>
  <c r="BK819" i="13"/>
  <c r="BK820" i="13"/>
  <c r="BK821" i="13"/>
  <c r="BK822" i="13"/>
  <c r="BK823" i="13"/>
  <c r="BK824" i="13"/>
  <c r="BK825" i="13"/>
  <c r="BK826" i="13"/>
  <c r="BK827" i="13"/>
  <c r="BK828" i="13"/>
  <c r="BK829" i="13"/>
  <c r="BK830" i="13"/>
  <c r="BK831" i="13"/>
  <c r="BK832" i="13"/>
  <c r="BK833" i="13"/>
  <c r="BK834" i="13"/>
  <c r="BK835" i="13"/>
  <c r="BK836" i="13"/>
  <c r="BK837" i="13"/>
  <c r="BK838" i="13"/>
  <c r="BK839" i="13"/>
  <c r="BK840" i="13"/>
  <c r="BK841" i="13"/>
  <c r="BK842" i="13"/>
  <c r="BK843" i="13"/>
  <c r="BK844" i="13"/>
  <c r="BK845" i="13"/>
  <c r="BK846" i="13"/>
  <c r="BK847" i="13"/>
  <c r="BK848" i="13"/>
  <c r="BK849" i="13"/>
  <c r="BK850" i="13"/>
  <c r="BK851" i="13"/>
  <c r="BK852" i="13"/>
  <c r="BK853" i="13"/>
  <c r="BK854" i="13"/>
  <c r="BK855" i="13"/>
  <c r="BK856" i="13"/>
  <c r="BK857" i="13"/>
  <c r="BK858" i="13"/>
  <c r="BK859" i="13"/>
  <c r="BK860" i="13"/>
  <c r="BK861" i="13"/>
  <c r="BK862" i="13"/>
  <c r="BK863" i="13"/>
  <c r="BK864" i="13"/>
  <c r="BK865" i="13"/>
  <c r="BK866" i="13"/>
  <c r="BK867" i="13"/>
  <c r="BK868" i="13"/>
  <c r="BK869" i="13"/>
  <c r="C773" i="13"/>
  <c r="C774" i="13"/>
  <c r="C775" i="13"/>
  <c r="C776" i="13"/>
  <c r="C777" i="13"/>
  <c r="C778" i="13"/>
  <c r="C779" i="13"/>
  <c r="C780" i="13"/>
  <c r="C781" i="13"/>
  <c r="C782" i="13"/>
  <c r="C783" i="13"/>
  <c r="C784" i="13"/>
  <c r="C785" i="13"/>
  <c r="C786" i="13"/>
  <c r="C787" i="13"/>
  <c r="C788" i="13"/>
  <c r="C789" i="13"/>
  <c r="C790" i="13"/>
  <c r="C791" i="13"/>
  <c r="C792" i="13"/>
  <c r="C793" i="13"/>
  <c r="C794" i="13"/>
  <c r="C795" i="13"/>
  <c r="C796" i="13"/>
  <c r="C797" i="13"/>
  <c r="C798" i="13"/>
  <c r="C799" i="13"/>
  <c r="C800" i="13"/>
  <c r="C801" i="13"/>
  <c r="C802" i="13"/>
  <c r="C803" i="13"/>
  <c r="C804" i="13"/>
  <c r="C805" i="13"/>
  <c r="C806" i="13"/>
  <c r="C807" i="13"/>
  <c r="C808" i="13"/>
  <c r="C809" i="13"/>
  <c r="C810" i="13"/>
  <c r="C811" i="13"/>
  <c r="C812" i="13"/>
  <c r="D773" i="13"/>
  <c r="D774" i="13"/>
  <c r="D775" i="13"/>
  <c r="D776" i="13"/>
  <c r="D777" i="13"/>
  <c r="D778" i="13"/>
  <c r="D779" i="13"/>
  <c r="D780" i="13"/>
  <c r="D781" i="13"/>
  <c r="D782" i="13"/>
  <c r="D783" i="13"/>
  <c r="D784" i="13"/>
  <c r="D785" i="13"/>
  <c r="D786" i="13"/>
  <c r="D787" i="13"/>
  <c r="D788" i="13"/>
  <c r="D789" i="13"/>
  <c r="D790" i="13"/>
  <c r="D791" i="13"/>
  <c r="D792" i="13"/>
  <c r="D793" i="13"/>
  <c r="D794" i="13"/>
  <c r="D795" i="13"/>
  <c r="D796" i="13"/>
  <c r="D797" i="13"/>
  <c r="D798" i="13"/>
  <c r="D799" i="13"/>
  <c r="D800" i="13"/>
  <c r="D801" i="13"/>
  <c r="D802" i="13"/>
  <c r="D803" i="13"/>
  <c r="D804" i="13"/>
  <c r="D805" i="13"/>
  <c r="D806" i="13"/>
  <c r="D807" i="13"/>
  <c r="D808" i="13"/>
  <c r="D809" i="13"/>
  <c r="D810" i="13"/>
  <c r="D811" i="13"/>
  <c r="D812" i="13"/>
  <c r="E773" i="13"/>
  <c r="E774" i="13"/>
  <c r="E775" i="13"/>
  <c r="E776" i="13"/>
  <c r="E777" i="13"/>
  <c r="E778" i="13"/>
  <c r="E779" i="13"/>
  <c r="E780" i="13"/>
  <c r="E781" i="13"/>
  <c r="E782" i="13"/>
  <c r="E783" i="13"/>
  <c r="E784" i="13"/>
  <c r="E785" i="13"/>
  <c r="E786" i="13"/>
  <c r="E787" i="13"/>
  <c r="E788" i="13"/>
  <c r="E789" i="13"/>
  <c r="E790" i="13"/>
  <c r="E791" i="13"/>
  <c r="E792" i="13"/>
  <c r="E793" i="13"/>
  <c r="E794" i="13"/>
  <c r="E795" i="13"/>
  <c r="E796" i="13"/>
  <c r="E797" i="13"/>
  <c r="E798" i="13"/>
  <c r="E799" i="13"/>
  <c r="E800" i="13"/>
  <c r="E801" i="13"/>
  <c r="E802" i="13"/>
  <c r="E803" i="13"/>
  <c r="E804" i="13"/>
  <c r="E805" i="13"/>
  <c r="E806" i="13"/>
  <c r="E807" i="13"/>
  <c r="E808" i="13"/>
  <c r="E809" i="13"/>
  <c r="E810" i="13"/>
  <c r="E811" i="13"/>
  <c r="E812" i="13"/>
  <c r="K773" i="13"/>
  <c r="K774" i="13"/>
  <c r="K775" i="13"/>
  <c r="K776" i="13"/>
  <c r="K777" i="13"/>
  <c r="K778" i="13"/>
  <c r="K779" i="13"/>
  <c r="K780" i="13"/>
  <c r="K781" i="13"/>
  <c r="K782" i="13"/>
  <c r="K783" i="13"/>
  <c r="K784" i="13"/>
  <c r="K785" i="13"/>
  <c r="K786" i="13"/>
  <c r="K787" i="13"/>
  <c r="K788" i="13"/>
  <c r="K789" i="13"/>
  <c r="K790" i="13"/>
  <c r="K791" i="13"/>
  <c r="K792" i="13"/>
  <c r="K793" i="13"/>
  <c r="K794" i="13"/>
  <c r="K795" i="13"/>
  <c r="K796" i="13"/>
  <c r="K797" i="13"/>
  <c r="K798" i="13"/>
  <c r="K799" i="13"/>
  <c r="K800" i="13"/>
  <c r="K801" i="13"/>
  <c r="K802" i="13"/>
  <c r="K803" i="13"/>
  <c r="K804" i="13"/>
  <c r="K805" i="13"/>
  <c r="K806" i="13"/>
  <c r="K807" i="13"/>
  <c r="K808" i="13"/>
  <c r="K809" i="13"/>
  <c r="K810" i="13"/>
  <c r="K811" i="13"/>
  <c r="K812" i="13"/>
  <c r="R773" i="13"/>
  <c r="R774" i="13"/>
  <c r="R775" i="13"/>
  <c r="R776" i="13"/>
  <c r="R777" i="13"/>
  <c r="R778" i="13"/>
  <c r="R779" i="13"/>
  <c r="R780" i="13"/>
  <c r="R781" i="13"/>
  <c r="R782" i="13"/>
  <c r="R783" i="13"/>
  <c r="R784" i="13"/>
  <c r="R785" i="13"/>
  <c r="R786" i="13"/>
  <c r="R787" i="13"/>
  <c r="R788" i="13"/>
  <c r="R789" i="13"/>
  <c r="R790" i="13"/>
  <c r="R791" i="13"/>
  <c r="R792" i="13"/>
  <c r="R793" i="13"/>
  <c r="R794" i="13"/>
  <c r="R795" i="13"/>
  <c r="R796" i="13"/>
  <c r="R797" i="13"/>
  <c r="R798" i="13"/>
  <c r="R799" i="13"/>
  <c r="R800" i="13"/>
  <c r="R801" i="13"/>
  <c r="R802" i="13"/>
  <c r="R803" i="13"/>
  <c r="R804" i="13"/>
  <c r="R805" i="13"/>
  <c r="R806" i="13"/>
  <c r="R807" i="13"/>
  <c r="R808" i="13"/>
  <c r="R809" i="13"/>
  <c r="R810" i="13"/>
  <c r="R811" i="13"/>
  <c r="R812" i="13"/>
  <c r="U773" i="13"/>
  <c r="U774" i="13"/>
  <c r="U775" i="13"/>
  <c r="U776" i="13"/>
  <c r="U777" i="13"/>
  <c r="U778" i="13"/>
  <c r="U779" i="13"/>
  <c r="U780" i="13"/>
  <c r="U781" i="13"/>
  <c r="U782" i="13"/>
  <c r="U783" i="13"/>
  <c r="U784" i="13"/>
  <c r="U785" i="13"/>
  <c r="U786" i="13"/>
  <c r="U787" i="13"/>
  <c r="U788" i="13"/>
  <c r="U789" i="13"/>
  <c r="U790" i="13"/>
  <c r="U791" i="13"/>
  <c r="U792" i="13"/>
  <c r="U793" i="13"/>
  <c r="U794" i="13"/>
  <c r="U795" i="13"/>
  <c r="U796" i="13"/>
  <c r="U797" i="13"/>
  <c r="U798" i="13"/>
  <c r="U799" i="13"/>
  <c r="U800" i="13"/>
  <c r="U801" i="13"/>
  <c r="U802" i="13"/>
  <c r="U803" i="13"/>
  <c r="U804" i="13"/>
  <c r="U805" i="13"/>
  <c r="U806" i="13"/>
  <c r="U807" i="13"/>
  <c r="U808" i="13"/>
  <c r="U809" i="13"/>
  <c r="U810" i="13"/>
  <c r="U811" i="13"/>
  <c r="U812" i="13"/>
  <c r="AG773" i="13"/>
  <c r="AG774" i="13"/>
  <c r="AI774" i="13" s="1"/>
  <c r="AG775" i="13"/>
  <c r="AH775" i="13" s="1"/>
  <c r="AJ775" i="13" s="1"/>
  <c r="AG776" i="13"/>
  <c r="AI776" i="13" s="1"/>
  <c r="AG777" i="13"/>
  <c r="AH777" i="13" s="1"/>
  <c r="AJ777" i="13" s="1"/>
  <c r="AG778" i="13"/>
  <c r="AH778" i="13" s="1"/>
  <c r="AJ778" i="13" s="1"/>
  <c r="AG779" i="13"/>
  <c r="AI779" i="13" s="1"/>
  <c r="AG780" i="13"/>
  <c r="AG781" i="13"/>
  <c r="AG782" i="13"/>
  <c r="AG783" i="13"/>
  <c r="AH783" i="13" s="1"/>
  <c r="AJ783" i="13" s="1"/>
  <c r="AG784" i="13"/>
  <c r="AH784" i="13" s="1"/>
  <c r="AJ784" i="13" s="1"/>
  <c r="AG785" i="13"/>
  <c r="AG786" i="13"/>
  <c r="AI786" i="13" s="1"/>
  <c r="AG787" i="13"/>
  <c r="AG788" i="13"/>
  <c r="AG789" i="13"/>
  <c r="AH789" i="13" s="1"/>
  <c r="AJ789" i="13" s="1"/>
  <c r="AG790" i="13"/>
  <c r="AH790" i="13" s="1"/>
  <c r="AJ790" i="13" s="1"/>
  <c r="AG791" i="13"/>
  <c r="AI791" i="13" s="1"/>
  <c r="AG792" i="13"/>
  <c r="AG793" i="13"/>
  <c r="AH793" i="13" s="1"/>
  <c r="AJ793" i="13" s="1"/>
  <c r="AG794" i="13"/>
  <c r="AI794" i="13" s="1"/>
  <c r="AG795" i="13"/>
  <c r="AH795" i="13" s="1"/>
  <c r="AJ795" i="13" s="1"/>
  <c r="AG796" i="13"/>
  <c r="AI796" i="13" s="1"/>
  <c r="AG797" i="13"/>
  <c r="AI797" i="13" s="1"/>
  <c r="AG798" i="13"/>
  <c r="AI798" i="13" s="1"/>
  <c r="AG799" i="13"/>
  <c r="AH799" i="13" s="1"/>
  <c r="AJ799" i="13" s="1"/>
  <c r="AG800" i="13"/>
  <c r="AG801" i="13"/>
  <c r="AH801" i="13" s="1"/>
  <c r="AJ801" i="13" s="1"/>
  <c r="AG802" i="13"/>
  <c r="AH802" i="13" s="1"/>
  <c r="AJ802" i="13" s="1"/>
  <c r="AG803" i="13"/>
  <c r="AG804" i="13"/>
  <c r="AG805" i="13"/>
  <c r="AG806" i="13"/>
  <c r="AH806" i="13" s="1"/>
  <c r="AJ806" i="13" s="1"/>
  <c r="AG807" i="13"/>
  <c r="AH807" i="13" s="1"/>
  <c r="AJ807" i="13" s="1"/>
  <c r="AG808" i="13"/>
  <c r="AI808" i="13" s="1"/>
  <c r="AG809" i="13"/>
  <c r="AG810" i="13"/>
  <c r="AI810" i="13" s="1"/>
  <c r="AG811" i="13"/>
  <c r="AG812" i="13"/>
  <c r="AP773" i="13"/>
  <c r="AP774" i="13"/>
  <c r="AP775" i="13"/>
  <c r="AP776" i="13"/>
  <c r="AP777" i="13"/>
  <c r="AP778" i="13"/>
  <c r="AP779" i="13"/>
  <c r="AP780" i="13"/>
  <c r="AP781" i="13"/>
  <c r="AP782" i="13"/>
  <c r="AP783" i="13"/>
  <c r="AP784" i="13"/>
  <c r="AP785" i="13"/>
  <c r="AP786" i="13"/>
  <c r="AP787" i="13"/>
  <c r="AP788" i="13"/>
  <c r="AP789" i="13"/>
  <c r="AP790" i="13"/>
  <c r="AP791" i="13"/>
  <c r="AP792" i="13"/>
  <c r="AP793" i="13"/>
  <c r="AP794" i="13"/>
  <c r="AP795" i="13"/>
  <c r="AP796" i="13"/>
  <c r="AP797" i="13"/>
  <c r="AP798" i="13"/>
  <c r="AP799" i="13"/>
  <c r="AP800" i="13"/>
  <c r="AP801" i="13"/>
  <c r="AP802" i="13"/>
  <c r="AP803" i="13"/>
  <c r="AP804" i="13"/>
  <c r="AP805" i="13"/>
  <c r="AP806" i="13"/>
  <c r="AP807" i="13"/>
  <c r="AP808" i="13"/>
  <c r="AP809" i="13"/>
  <c r="AP810" i="13"/>
  <c r="AP811" i="13"/>
  <c r="AP812" i="13"/>
  <c r="BK773" i="13"/>
  <c r="BK774" i="13"/>
  <c r="BK775" i="13"/>
  <c r="BK776" i="13"/>
  <c r="BK777" i="13"/>
  <c r="BK778" i="13"/>
  <c r="BK779" i="13"/>
  <c r="BK780" i="13"/>
  <c r="BK781" i="13"/>
  <c r="BK782" i="13"/>
  <c r="BK783" i="13"/>
  <c r="BK784" i="13"/>
  <c r="BK785" i="13"/>
  <c r="BK786" i="13"/>
  <c r="BK787" i="13"/>
  <c r="BK788" i="13"/>
  <c r="BK789" i="13"/>
  <c r="BK790" i="13"/>
  <c r="BK791" i="13"/>
  <c r="BK792" i="13"/>
  <c r="BK793" i="13"/>
  <c r="BK794" i="13"/>
  <c r="BK795" i="13"/>
  <c r="BK796" i="13"/>
  <c r="BK797" i="13"/>
  <c r="BK798" i="13"/>
  <c r="BK799" i="13"/>
  <c r="BK800" i="13"/>
  <c r="BK801" i="13"/>
  <c r="BK802" i="13"/>
  <c r="BK803" i="13"/>
  <c r="BK804" i="13"/>
  <c r="BK805" i="13"/>
  <c r="BK806" i="13"/>
  <c r="BK807" i="13"/>
  <c r="BK808" i="13"/>
  <c r="BK809" i="13"/>
  <c r="BK810" i="13"/>
  <c r="BK811" i="13"/>
  <c r="BK812" i="13"/>
  <c r="B803" i="13"/>
  <c r="B802" i="13"/>
  <c r="B801" i="13"/>
  <c r="B800" i="13"/>
  <c r="B799" i="13"/>
  <c r="B798" i="13"/>
  <c r="B797" i="13"/>
  <c r="B796" i="13"/>
  <c r="B795" i="13"/>
  <c r="B794" i="13"/>
  <c r="B793" i="13"/>
  <c r="B792" i="13"/>
  <c r="B791" i="13"/>
  <c r="B790" i="13"/>
  <c r="B789" i="13"/>
  <c r="B788" i="13"/>
  <c r="B787" i="13"/>
  <c r="B786" i="13"/>
  <c r="B785" i="13"/>
  <c r="B784" i="13"/>
  <c r="B783" i="13"/>
  <c r="B782" i="13"/>
  <c r="B781" i="13"/>
  <c r="B780" i="13"/>
  <c r="B779" i="13"/>
  <c r="B778" i="13"/>
  <c r="B777" i="13"/>
  <c r="B776" i="13"/>
  <c r="B775" i="13"/>
  <c r="B774" i="13"/>
  <c r="B773" i="13"/>
  <c r="B772" i="13"/>
  <c r="B771" i="13"/>
  <c r="B770" i="13"/>
  <c r="B769" i="13"/>
  <c r="B768" i="13"/>
  <c r="B767" i="13"/>
  <c r="B766" i="13"/>
  <c r="B765" i="13"/>
  <c r="B764" i="13"/>
  <c r="B763" i="13"/>
  <c r="B762" i="13"/>
  <c r="B761" i="13"/>
  <c r="B760" i="13"/>
  <c r="B759" i="13"/>
  <c r="B758" i="13"/>
  <c r="B757" i="13"/>
  <c r="B756" i="13"/>
  <c r="B755" i="13"/>
  <c r="B754" i="13"/>
  <c r="B753" i="13"/>
  <c r="B752" i="13"/>
  <c r="B751" i="13"/>
  <c r="B750" i="13"/>
  <c r="B749" i="13"/>
  <c r="B748" i="13"/>
  <c r="B747" i="13"/>
  <c r="B746" i="13"/>
  <c r="B745" i="13"/>
  <c r="B744" i="13"/>
  <c r="B743" i="13"/>
  <c r="B742" i="13"/>
  <c r="B741" i="13"/>
  <c r="B740" i="13"/>
  <c r="B739" i="13"/>
  <c r="B738" i="13"/>
  <c r="B737" i="13"/>
  <c r="B736" i="13"/>
  <c r="B735" i="13"/>
  <c r="B734" i="13"/>
  <c r="B733" i="13"/>
  <c r="B732" i="13"/>
  <c r="B731" i="13"/>
  <c r="B730" i="13"/>
  <c r="B729" i="13"/>
  <c r="B728" i="13"/>
  <c r="B727" i="13"/>
  <c r="B726" i="13"/>
  <c r="B725" i="13"/>
  <c r="B724" i="13"/>
  <c r="B723" i="13"/>
  <c r="B722" i="13"/>
  <c r="B721" i="13"/>
  <c r="B720" i="13"/>
  <c r="B719" i="13"/>
  <c r="B718" i="13"/>
  <c r="B717" i="13"/>
  <c r="B716" i="13"/>
  <c r="B715" i="13"/>
  <c r="B714" i="13"/>
  <c r="B713" i="13"/>
  <c r="B712" i="13"/>
  <c r="B711" i="13"/>
  <c r="B710" i="13"/>
  <c r="B709" i="13"/>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B680" i="13"/>
  <c r="B679" i="13"/>
  <c r="B678" i="13"/>
  <c r="B677" i="13"/>
  <c r="B676" i="13"/>
  <c r="B675" i="13"/>
  <c r="B674" i="13"/>
  <c r="B673" i="13"/>
  <c r="B672" i="13"/>
  <c r="B671" i="13"/>
  <c r="B670" i="13"/>
  <c r="B669" i="13"/>
  <c r="B668" i="13"/>
  <c r="B667" i="13"/>
  <c r="B666" i="13"/>
  <c r="B665" i="13"/>
  <c r="B664" i="13"/>
  <c r="B663" i="13"/>
  <c r="B662" i="13"/>
  <c r="B661" i="13"/>
  <c r="B660" i="13"/>
  <c r="B659" i="13"/>
  <c r="B658" i="13"/>
  <c r="C668" i="13"/>
  <c r="C669" i="13"/>
  <c r="C670" i="13"/>
  <c r="C671" i="13"/>
  <c r="C672" i="13"/>
  <c r="C673" i="13"/>
  <c r="C674" i="13"/>
  <c r="C675" i="13"/>
  <c r="C676" i="13"/>
  <c r="C677" i="13"/>
  <c r="C678" i="13"/>
  <c r="C679" i="13"/>
  <c r="C680" i="13"/>
  <c r="C681" i="13"/>
  <c r="C682" i="13"/>
  <c r="C683" i="13"/>
  <c r="C684" i="13"/>
  <c r="C685" i="13"/>
  <c r="C686" i="13"/>
  <c r="C687" i="13"/>
  <c r="C688" i="13"/>
  <c r="C689" i="13"/>
  <c r="C690" i="13"/>
  <c r="C691" i="13"/>
  <c r="C692" i="13"/>
  <c r="C693" i="13"/>
  <c r="C694" i="13"/>
  <c r="C695" i="13"/>
  <c r="C696" i="13"/>
  <c r="C697" i="13"/>
  <c r="C698" i="13"/>
  <c r="C699" i="13"/>
  <c r="C700" i="13"/>
  <c r="C701" i="13"/>
  <c r="C702" i="13"/>
  <c r="C703" i="13"/>
  <c r="C704" i="13"/>
  <c r="C705" i="13"/>
  <c r="C706" i="13"/>
  <c r="C707" i="13"/>
  <c r="C708" i="13"/>
  <c r="C709" i="13"/>
  <c r="C710" i="13"/>
  <c r="C711" i="13"/>
  <c r="C712" i="13"/>
  <c r="C713" i="13"/>
  <c r="C714" i="13"/>
  <c r="C715" i="13"/>
  <c r="C716" i="13"/>
  <c r="C717" i="13"/>
  <c r="C718" i="13"/>
  <c r="C719" i="13"/>
  <c r="C720" i="13"/>
  <c r="C721" i="13"/>
  <c r="C722" i="13"/>
  <c r="C723" i="13"/>
  <c r="C724" i="13"/>
  <c r="C725" i="13"/>
  <c r="C726" i="13"/>
  <c r="C727" i="13"/>
  <c r="C728" i="13"/>
  <c r="C729" i="13"/>
  <c r="C730" i="13"/>
  <c r="C731" i="13"/>
  <c r="C732" i="13"/>
  <c r="C733" i="13"/>
  <c r="C734" i="13"/>
  <c r="C735" i="13"/>
  <c r="C736" i="13"/>
  <c r="C737" i="13"/>
  <c r="C738" i="13"/>
  <c r="C739" i="13"/>
  <c r="C740" i="13"/>
  <c r="C741" i="13"/>
  <c r="C742" i="13"/>
  <c r="C743" i="13"/>
  <c r="C744" i="13"/>
  <c r="C745" i="13"/>
  <c r="C746" i="13"/>
  <c r="C747" i="13"/>
  <c r="C748" i="13"/>
  <c r="C749" i="13"/>
  <c r="C750" i="13"/>
  <c r="C751" i="13"/>
  <c r="C752" i="13"/>
  <c r="C753" i="13"/>
  <c r="C754" i="13"/>
  <c r="C755" i="13"/>
  <c r="C756" i="13"/>
  <c r="C757" i="13"/>
  <c r="C758" i="13"/>
  <c r="C759" i="13"/>
  <c r="C760" i="13"/>
  <c r="C761" i="13"/>
  <c r="C762" i="13"/>
  <c r="C763" i="13"/>
  <c r="C764" i="13"/>
  <c r="C765" i="13"/>
  <c r="C766" i="13"/>
  <c r="C767" i="13"/>
  <c r="C768" i="13"/>
  <c r="C769" i="13"/>
  <c r="C770" i="13"/>
  <c r="C771" i="13"/>
  <c r="C772" i="13"/>
  <c r="D668" i="13"/>
  <c r="D669" i="13"/>
  <c r="D670" i="13"/>
  <c r="D671" i="13"/>
  <c r="D672" i="13"/>
  <c r="D673" i="13"/>
  <c r="D674" i="13"/>
  <c r="D675" i="13"/>
  <c r="D676" i="13"/>
  <c r="D677" i="13"/>
  <c r="D678" i="13"/>
  <c r="D679" i="13"/>
  <c r="D680" i="13"/>
  <c r="D681" i="13"/>
  <c r="D682" i="13"/>
  <c r="D683" i="13"/>
  <c r="D684" i="13"/>
  <c r="D685" i="13"/>
  <c r="D686" i="13"/>
  <c r="D687" i="13"/>
  <c r="D688" i="13"/>
  <c r="D689" i="13"/>
  <c r="D690" i="13"/>
  <c r="D691" i="13"/>
  <c r="D692" i="13"/>
  <c r="D693" i="13"/>
  <c r="D694" i="13"/>
  <c r="D695" i="13"/>
  <c r="D696" i="13"/>
  <c r="D697" i="13"/>
  <c r="D698" i="13"/>
  <c r="D699" i="13"/>
  <c r="D700" i="13"/>
  <c r="D701" i="13"/>
  <c r="D702" i="13"/>
  <c r="D703" i="13"/>
  <c r="D704" i="13"/>
  <c r="D705" i="13"/>
  <c r="D706" i="13"/>
  <c r="D707" i="13"/>
  <c r="D708" i="13"/>
  <c r="D709" i="13"/>
  <c r="D710" i="13"/>
  <c r="D711" i="13"/>
  <c r="D712" i="13"/>
  <c r="D713" i="13"/>
  <c r="D714" i="13"/>
  <c r="D715" i="13"/>
  <c r="D716" i="13"/>
  <c r="D717" i="13"/>
  <c r="D718" i="13"/>
  <c r="D719" i="13"/>
  <c r="D720" i="13"/>
  <c r="D721" i="13"/>
  <c r="D722" i="13"/>
  <c r="D723" i="13"/>
  <c r="D724" i="13"/>
  <c r="D725" i="13"/>
  <c r="D726" i="13"/>
  <c r="D727" i="13"/>
  <c r="D728" i="13"/>
  <c r="D729" i="13"/>
  <c r="D730" i="13"/>
  <c r="D731" i="13"/>
  <c r="D732" i="13"/>
  <c r="D733" i="13"/>
  <c r="D734" i="13"/>
  <c r="D735" i="13"/>
  <c r="D736" i="13"/>
  <c r="D737" i="13"/>
  <c r="D738" i="13"/>
  <c r="D739" i="13"/>
  <c r="D740" i="13"/>
  <c r="D741" i="13"/>
  <c r="D742" i="13"/>
  <c r="D743" i="13"/>
  <c r="D744" i="13"/>
  <c r="D745" i="13"/>
  <c r="D746" i="13"/>
  <c r="D747" i="13"/>
  <c r="D748" i="13"/>
  <c r="D749" i="13"/>
  <c r="D750" i="13"/>
  <c r="D751" i="13"/>
  <c r="D752" i="13"/>
  <c r="D753" i="13"/>
  <c r="D754" i="13"/>
  <c r="D755" i="13"/>
  <c r="D756" i="13"/>
  <c r="D757" i="13"/>
  <c r="D758" i="13"/>
  <c r="D759" i="13"/>
  <c r="D760" i="13"/>
  <c r="D761" i="13"/>
  <c r="D762" i="13"/>
  <c r="D763" i="13"/>
  <c r="D764" i="13"/>
  <c r="D765" i="13"/>
  <c r="D766" i="13"/>
  <c r="D767" i="13"/>
  <c r="D768" i="13"/>
  <c r="D769" i="13"/>
  <c r="D770" i="13"/>
  <c r="D771" i="13"/>
  <c r="D772" i="13"/>
  <c r="E668" i="13"/>
  <c r="E669" i="13"/>
  <c r="E670" i="13"/>
  <c r="E671" i="13"/>
  <c r="E672" i="13"/>
  <c r="E673" i="13"/>
  <c r="E674" i="13"/>
  <c r="E675" i="13"/>
  <c r="E676" i="13"/>
  <c r="E677" i="13"/>
  <c r="E678" i="13"/>
  <c r="E679" i="13"/>
  <c r="E680" i="13"/>
  <c r="E681" i="13"/>
  <c r="E682" i="13"/>
  <c r="E683" i="13"/>
  <c r="E684" i="13"/>
  <c r="E685" i="13"/>
  <c r="E686" i="13"/>
  <c r="E687" i="13"/>
  <c r="E688" i="13"/>
  <c r="E689" i="13"/>
  <c r="E690" i="13"/>
  <c r="E691" i="13"/>
  <c r="E692" i="13"/>
  <c r="E693" i="13"/>
  <c r="E694" i="13"/>
  <c r="E695" i="13"/>
  <c r="E696" i="13"/>
  <c r="E697" i="13"/>
  <c r="E698" i="13"/>
  <c r="E699" i="13"/>
  <c r="E700" i="13"/>
  <c r="E701" i="13"/>
  <c r="E702" i="13"/>
  <c r="E703" i="13"/>
  <c r="E704" i="13"/>
  <c r="E705" i="13"/>
  <c r="E706" i="13"/>
  <c r="E707" i="13"/>
  <c r="E708" i="13"/>
  <c r="E709" i="13"/>
  <c r="E710" i="13"/>
  <c r="E711" i="13"/>
  <c r="E712" i="13"/>
  <c r="E713" i="13"/>
  <c r="E714" i="13"/>
  <c r="E715" i="13"/>
  <c r="E716" i="13"/>
  <c r="E717" i="13"/>
  <c r="E718" i="13"/>
  <c r="E719" i="13"/>
  <c r="E720" i="13"/>
  <c r="E721" i="13"/>
  <c r="E722" i="13"/>
  <c r="E723" i="13"/>
  <c r="E724" i="13"/>
  <c r="E725" i="13"/>
  <c r="E726" i="13"/>
  <c r="E727" i="13"/>
  <c r="E728" i="13"/>
  <c r="E729" i="13"/>
  <c r="E730" i="13"/>
  <c r="E731" i="13"/>
  <c r="E732" i="13"/>
  <c r="E733" i="13"/>
  <c r="E734" i="13"/>
  <c r="E735" i="13"/>
  <c r="E736" i="13"/>
  <c r="E737" i="13"/>
  <c r="E738" i="13"/>
  <c r="E739" i="13"/>
  <c r="E740" i="13"/>
  <c r="E741" i="13"/>
  <c r="E742" i="13"/>
  <c r="E743" i="13"/>
  <c r="E744" i="13"/>
  <c r="E745" i="13"/>
  <c r="E746" i="13"/>
  <c r="E747" i="13"/>
  <c r="E748" i="13"/>
  <c r="E749" i="13"/>
  <c r="E750" i="13"/>
  <c r="E751" i="13"/>
  <c r="E752" i="13"/>
  <c r="E753" i="13"/>
  <c r="E754" i="13"/>
  <c r="E755" i="13"/>
  <c r="E756" i="13"/>
  <c r="E757" i="13"/>
  <c r="E758" i="13"/>
  <c r="E759" i="13"/>
  <c r="E760" i="13"/>
  <c r="E761" i="13"/>
  <c r="E762" i="13"/>
  <c r="E763" i="13"/>
  <c r="E764" i="13"/>
  <c r="E765" i="13"/>
  <c r="E766" i="13"/>
  <c r="E767" i="13"/>
  <c r="E768" i="13"/>
  <c r="E769" i="13"/>
  <c r="E770" i="13"/>
  <c r="E771" i="13"/>
  <c r="E772" i="13"/>
  <c r="K668" i="13"/>
  <c r="K669" i="13"/>
  <c r="K670" i="13"/>
  <c r="K671" i="13"/>
  <c r="K672" i="13"/>
  <c r="K673" i="13"/>
  <c r="K674" i="13"/>
  <c r="K675" i="13"/>
  <c r="K676" i="13"/>
  <c r="K677" i="13"/>
  <c r="K678" i="13"/>
  <c r="K679" i="13"/>
  <c r="K680" i="13"/>
  <c r="K681" i="13"/>
  <c r="K682" i="13"/>
  <c r="K683" i="13"/>
  <c r="K684" i="13"/>
  <c r="K685" i="13"/>
  <c r="K686" i="13"/>
  <c r="K687" i="13"/>
  <c r="K688" i="13"/>
  <c r="K689" i="13"/>
  <c r="K690" i="13"/>
  <c r="K691" i="13"/>
  <c r="K692" i="13"/>
  <c r="K693" i="13"/>
  <c r="K694" i="13"/>
  <c r="K695" i="13"/>
  <c r="K696" i="13"/>
  <c r="K697" i="13"/>
  <c r="K698" i="13"/>
  <c r="K699" i="13"/>
  <c r="K700" i="13"/>
  <c r="K701" i="13"/>
  <c r="K702" i="13"/>
  <c r="K703" i="13"/>
  <c r="K704" i="13"/>
  <c r="K705" i="13"/>
  <c r="K706" i="13"/>
  <c r="K707" i="13"/>
  <c r="K708" i="13"/>
  <c r="K709" i="13"/>
  <c r="K710" i="13"/>
  <c r="K711" i="13"/>
  <c r="K712" i="13"/>
  <c r="K713" i="13"/>
  <c r="K714" i="13"/>
  <c r="K715" i="13"/>
  <c r="K716" i="13"/>
  <c r="K717" i="13"/>
  <c r="K718" i="13"/>
  <c r="K719" i="13"/>
  <c r="K720" i="13"/>
  <c r="K721" i="13"/>
  <c r="K722" i="13"/>
  <c r="K723" i="13"/>
  <c r="K724" i="13"/>
  <c r="K725" i="13"/>
  <c r="K726" i="13"/>
  <c r="K727" i="13"/>
  <c r="K728" i="13"/>
  <c r="K729" i="13"/>
  <c r="K730" i="13"/>
  <c r="K731" i="13"/>
  <c r="K732" i="13"/>
  <c r="K733" i="13"/>
  <c r="K734" i="13"/>
  <c r="K735" i="13"/>
  <c r="K736" i="13"/>
  <c r="K737" i="13"/>
  <c r="K738" i="13"/>
  <c r="K739" i="13"/>
  <c r="K740" i="13"/>
  <c r="K741" i="13"/>
  <c r="K742" i="13"/>
  <c r="K743" i="13"/>
  <c r="K744" i="13"/>
  <c r="K745" i="13"/>
  <c r="K746" i="13"/>
  <c r="K747" i="13"/>
  <c r="K748" i="13"/>
  <c r="K749" i="13"/>
  <c r="K750" i="13"/>
  <c r="K751" i="13"/>
  <c r="K752" i="13"/>
  <c r="K753" i="13"/>
  <c r="K754" i="13"/>
  <c r="K755" i="13"/>
  <c r="K756" i="13"/>
  <c r="K757" i="13"/>
  <c r="K758" i="13"/>
  <c r="K759" i="13"/>
  <c r="K760" i="13"/>
  <c r="K761" i="13"/>
  <c r="K762" i="13"/>
  <c r="K763" i="13"/>
  <c r="K764" i="13"/>
  <c r="K765" i="13"/>
  <c r="K766" i="13"/>
  <c r="K767" i="13"/>
  <c r="K768" i="13"/>
  <c r="K769" i="13"/>
  <c r="K770" i="13"/>
  <c r="K771" i="13"/>
  <c r="K772" i="13"/>
  <c r="R668" i="13"/>
  <c r="R669" i="13"/>
  <c r="R670" i="13"/>
  <c r="R671" i="13"/>
  <c r="R672" i="13"/>
  <c r="R673" i="13"/>
  <c r="R674" i="13"/>
  <c r="R675" i="13"/>
  <c r="R676" i="13"/>
  <c r="R677" i="13"/>
  <c r="R678" i="13"/>
  <c r="R679" i="13"/>
  <c r="R680" i="13"/>
  <c r="R681" i="13"/>
  <c r="R682" i="13"/>
  <c r="R683" i="13"/>
  <c r="R684" i="13"/>
  <c r="R685" i="13"/>
  <c r="R686" i="13"/>
  <c r="R687" i="13"/>
  <c r="R688" i="13"/>
  <c r="R689" i="13"/>
  <c r="R690" i="13"/>
  <c r="R691" i="13"/>
  <c r="R692" i="13"/>
  <c r="R693" i="13"/>
  <c r="R694" i="13"/>
  <c r="R695" i="13"/>
  <c r="R696" i="13"/>
  <c r="R697" i="13"/>
  <c r="R698" i="13"/>
  <c r="R699" i="13"/>
  <c r="R700" i="13"/>
  <c r="R701" i="13"/>
  <c r="R702" i="13"/>
  <c r="R703" i="13"/>
  <c r="R704" i="13"/>
  <c r="R705" i="13"/>
  <c r="R706" i="13"/>
  <c r="R707" i="13"/>
  <c r="R708" i="13"/>
  <c r="R709" i="13"/>
  <c r="R710" i="13"/>
  <c r="R711" i="13"/>
  <c r="R712" i="13"/>
  <c r="R713" i="13"/>
  <c r="R714" i="13"/>
  <c r="R715" i="13"/>
  <c r="R716" i="13"/>
  <c r="R717" i="13"/>
  <c r="R718" i="13"/>
  <c r="R719" i="13"/>
  <c r="R720" i="13"/>
  <c r="R721" i="13"/>
  <c r="R722" i="13"/>
  <c r="R723" i="13"/>
  <c r="R724" i="13"/>
  <c r="R725" i="13"/>
  <c r="R726" i="13"/>
  <c r="R727" i="13"/>
  <c r="R728" i="13"/>
  <c r="R729" i="13"/>
  <c r="R730" i="13"/>
  <c r="R731" i="13"/>
  <c r="R732" i="13"/>
  <c r="R733" i="13"/>
  <c r="R734" i="13"/>
  <c r="R735" i="13"/>
  <c r="R736" i="13"/>
  <c r="R737" i="13"/>
  <c r="R738" i="13"/>
  <c r="R739" i="13"/>
  <c r="R740" i="13"/>
  <c r="R741" i="13"/>
  <c r="R742" i="13"/>
  <c r="R743" i="13"/>
  <c r="R744" i="13"/>
  <c r="R745" i="13"/>
  <c r="R746" i="13"/>
  <c r="R747" i="13"/>
  <c r="R748" i="13"/>
  <c r="R749" i="13"/>
  <c r="R750" i="13"/>
  <c r="R751" i="13"/>
  <c r="R752" i="13"/>
  <c r="R753" i="13"/>
  <c r="R754" i="13"/>
  <c r="R755" i="13"/>
  <c r="R756" i="13"/>
  <c r="R757" i="13"/>
  <c r="R758" i="13"/>
  <c r="R759" i="13"/>
  <c r="R760" i="13"/>
  <c r="R761" i="13"/>
  <c r="R762" i="13"/>
  <c r="R763" i="13"/>
  <c r="R764" i="13"/>
  <c r="R765" i="13"/>
  <c r="R766" i="13"/>
  <c r="R767" i="13"/>
  <c r="R768" i="13"/>
  <c r="R769" i="13"/>
  <c r="R770" i="13"/>
  <c r="R771" i="13"/>
  <c r="R772" i="13"/>
  <c r="U668" i="13"/>
  <c r="U669" i="13"/>
  <c r="U670" i="13"/>
  <c r="U671" i="13"/>
  <c r="U672" i="13"/>
  <c r="U673" i="13"/>
  <c r="U674" i="13"/>
  <c r="U675" i="13"/>
  <c r="U676" i="13"/>
  <c r="U677" i="13"/>
  <c r="U678" i="13"/>
  <c r="U679" i="13"/>
  <c r="U680" i="13"/>
  <c r="U681" i="13"/>
  <c r="U682" i="13"/>
  <c r="U683" i="13"/>
  <c r="U684" i="13"/>
  <c r="U685" i="13"/>
  <c r="U686" i="13"/>
  <c r="U687" i="13"/>
  <c r="U688" i="13"/>
  <c r="U689" i="13"/>
  <c r="U690" i="13"/>
  <c r="U691" i="13"/>
  <c r="U692" i="13"/>
  <c r="U693" i="13"/>
  <c r="U694" i="13"/>
  <c r="U695" i="13"/>
  <c r="U696" i="13"/>
  <c r="U697" i="13"/>
  <c r="U698" i="13"/>
  <c r="U699" i="13"/>
  <c r="U700" i="13"/>
  <c r="U701" i="13"/>
  <c r="U702" i="13"/>
  <c r="U703" i="13"/>
  <c r="U704" i="13"/>
  <c r="U705" i="13"/>
  <c r="U706" i="13"/>
  <c r="U707" i="13"/>
  <c r="U708" i="13"/>
  <c r="U709" i="13"/>
  <c r="U710" i="13"/>
  <c r="U711" i="13"/>
  <c r="U712" i="13"/>
  <c r="U713" i="13"/>
  <c r="U714" i="13"/>
  <c r="U715" i="13"/>
  <c r="U716" i="13"/>
  <c r="U717" i="13"/>
  <c r="U718" i="13"/>
  <c r="U719" i="13"/>
  <c r="U720" i="13"/>
  <c r="U721" i="13"/>
  <c r="U722" i="13"/>
  <c r="U723" i="13"/>
  <c r="U724" i="13"/>
  <c r="U725" i="13"/>
  <c r="U726" i="13"/>
  <c r="U727" i="13"/>
  <c r="U728" i="13"/>
  <c r="U729" i="13"/>
  <c r="U730" i="13"/>
  <c r="U731" i="13"/>
  <c r="U732" i="13"/>
  <c r="U733" i="13"/>
  <c r="U734" i="13"/>
  <c r="U735" i="13"/>
  <c r="U736" i="13"/>
  <c r="U737" i="13"/>
  <c r="U738" i="13"/>
  <c r="U739" i="13"/>
  <c r="U740" i="13"/>
  <c r="U741" i="13"/>
  <c r="U742" i="13"/>
  <c r="U743" i="13"/>
  <c r="U744" i="13"/>
  <c r="U745" i="13"/>
  <c r="U746" i="13"/>
  <c r="U747" i="13"/>
  <c r="U748" i="13"/>
  <c r="U749" i="13"/>
  <c r="U750" i="13"/>
  <c r="U751" i="13"/>
  <c r="U752" i="13"/>
  <c r="U753" i="13"/>
  <c r="U754" i="13"/>
  <c r="U755" i="13"/>
  <c r="U756" i="13"/>
  <c r="U757" i="13"/>
  <c r="U758" i="13"/>
  <c r="U759" i="13"/>
  <c r="U760" i="13"/>
  <c r="U761" i="13"/>
  <c r="U762" i="13"/>
  <c r="U763" i="13"/>
  <c r="U764" i="13"/>
  <c r="U765" i="13"/>
  <c r="U766" i="13"/>
  <c r="U767" i="13"/>
  <c r="U768" i="13"/>
  <c r="U769" i="13"/>
  <c r="U770" i="13"/>
  <c r="U771" i="13"/>
  <c r="U772" i="13"/>
  <c r="AG668" i="13"/>
  <c r="AG669" i="13"/>
  <c r="AG670" i="13"/>
  <c r="AG671" i="13"/>
  <c r="AG672" i="13"/>
  <c r="AI672" i="13" s="1"/>
  <c r="AG673" i="13"/>
  <c r="AG674" i="13"/>
  <c r="AI674" i="13" s="1"/>
  <c r="AG675" i="13"/>
  <c r="AI675" i="13" s="1"/>
  <c r="AG676" i="13"/>
  <c r="AG677" i="13"/>
  <c r="AG678" i="13"/>
  <c r="AG679" i="13"/>
  <c r="AH679" i="13" s="1"/>
  <c r="AJ679" i="13" s="1"/>
  <c r="AG680" i="13"/>
  <c r="AG681" i="13"/>
  <c r="AG682" i="13"/>
  <c r="AG683" i="13"/>
  <c r="AG684" i="13"/>
  <c r="AI684" i="13" s="1"/>
  <c r="AG685" i="13"/>
  <c r="AG686" i="13"/>
  <c r="AG687" i="13"/>
  <c r="AH687" i="13" s="1"/>
  <c r="AJ687" i="13" s="1"/>
  <c r="AG688" i="13"/>
  <c r="AH688" i="13" s="1"/>
  <c r="AJ688" i="13" s="1"/>
  <c r="AG689" i="13"/>
  <c r="AG690" i="13"/>
  <c r="AI690" i="13" s="1"/>
  <c r="AG691" i="13"/>
  <c r="AG692" i="13"/>
  <c r="AG693" i="13"/>
  <c r="AG694" i="13"/>
  <c r="AI694" i="13" s="1"/>
  <c r="AG695" i="13"/>
  <c r="AG696" i="13"/>
  <c r="AI696" i="13" s="1"/>
  <c r="AG697" i="13"/>
  <c r="AG698" i="13"/>
  <c r="AH698" i="13" s="1"/>
  <c r="AJ698" i="13" s="1"/>
  <c r="AG699" i="13"/>
  <c r="AH699" i="13" s="1"/>
  <c r="AJ699" i="13" s="1"/>
  <c r="AG700" i="13"/>
  <c r="AH700" i="13" s="1"/>
  <c r="AJ700" i="13" s="1"/>
  <c r="AG701" i="13"/>
  <c r="AH701" i="13" s="1"/>
  <c r="AJ701" i="13" s="1"/>
  <c r="AG702" i="13"/>
  <c r="AH702" i="13" s="1"/>
  <c r="AJ702" i="13" s="1"/>
  <c r="AG703" i="13"/>
  <c r="AG704" i="13"/>
  <c r="AG705" i="13"/>
  <c r="AI705" i="13" s="1"/>
  <c r="AG706" i="13"/>
  <c r="AG707" i="13"/>
  <c r="AH707" i="13" s="1"/>
  <c r="AJ707" i="13" s="1"/>
  <c r="AG708" i="13"/>
  <c r="AI708" i="13" s="1"/>
  <c r="AG709" i="13"/>
  <c r="AG710" i="13"/>
  <c r="AI710" i="13" s="1"/>
  <c r="AG711" i="13"/>
  <c r="AI711" i="13" s="1"/>
  <c r="AG712" i="13"/>
  <c r="AI712" i="13" s="1"/>
  <c r="AG713" i="13"/>
  <c r="AG714" i="13"/>
  <c r="AI714" i="13" s="1"/>
  <c r="AG715" i="13"/>
  <c r="AH715" i="13" s="1"/>
  <c r="AJ715" i="13" s="1"/>
  <c r="AG716" i="13"/>
  <c r="AG717" i="13"/>
  <c r="AG718" i="13"/>
  <c r="AG719" i="13"/>
  <c r="AG720" i="13"/>
  <c r="AI720" i="13" s="1"/>
  <c r="AG721" i="13"/>
  <c r="AG722" i="13"/>
  <c r="AH722" i="13" s="1"/>
  <c r="AJ722" i="13" s="1"/>
  <c r="AG723" i="13"/>
  <c r="AH723" i="13" s="1"/>
  <c r="AJ723" i="13" s="1"/>
  <c r="AG724" i="13"/>
  <c r="AI724" i="13" s="1"/>
  <c r="AG725" i="13"/>
  <c r="AG726" i="13"/>
  <c r="AG727" i="13"/>
  <c r="AG728" i="13"/>
  <c r="AH728" i="13" s="1"/>
  <c r="AJ728" i="13" s="1"/>
  <c r="AG729" i="13"/>
  <c r="AG730" i="13"/>
  <c r="AH730" i="13" s="1"/>
  <c r="AJ730" i="13" s="1"/>
  <c r="AG731" i="13"/>
  <c r="AG732" i="13"/>
  <c r="AI732" i="13" s="1"/>
  <c r="AG733" i="13"/>
  <c r="AG734" i="13"/>
  <c r="AH734" i="13" s="1"/>
  <c r="AJ734" i="13" s="1"/>
  <c r="AG735" i="13"/>
  <c r="AG736" i="13"/>
  <c r="AG737" i="13"/>
  <c r="AH737" i="13" s="1"/>
  <c r="AJ737" i="13" s="1"/>
  <c r="AG738" i="13"/>
  <c r="AH738" i="13" s="1"/>
  <c r="AJ738" i="13" s="1"/>
  <c r="AG739" i="13"/>
  <c r="AG740" i="13"/>
  <c r="AG741" i="13"/>
  <c r="AG742" i="13"/>
  <c r="AG743" i="13"/>
  <c r="AG744" i="13"/>
  <c r="AI744" i="13" s="1"/>
  <c r="AG745" i="13"/>
  <c r="AG746" i="13"/>
  <c r="AH746" i="13" s="1"/>
  <c r="AJ746" i="13" s="1"/>
  <c r="AG747" i="13"/>
  <c r="AG748" i="13"/>
  <c r="AG749" i="13"/>
  <c r="AG750" i="13"/>
  <c r="AH750" i="13" s="1"/>
  <c r="AJ750" i="13" s="1"/>
  <c r="AG751" i="13"/>
  <c r="AG752" i="13"/>
  <c r="AI752" i="13" s="1"/>
  <c r="AG753" i="13"/>
  <c r="AG754" i="13"/>
  <c r="AI754" i="13" s="1"/>
  <c r="AG755" i="13"/>
  <c r="AG756" i="13"/>
  <c r="AI756" i="13" s="1"/>
  <c r="AG757" i="13"/>
  <c r="AG758" i="13"/>
  <c r="AG759" i="13"/>
  <c r="AH759" i="13" s="1"/>
  <c r="AJ759" i="13" s="1"/>
  <c r="AG760" i="13"/>
  <c r="AH760" i="13" s="1"/>
  <c r="AJ760" i="13" s="1"/>
  <c r="AG761" i="13"/>
  <c r="AG762" i="13"/>
  <c r="AH762" i="13" s="1"/>
  <c r="AJ762" i="13" s="1"/>
  <c r="AG763" i="13"/>
  <c r="AG764" i="13"/>
  <c r="AG765" i="13"/>
  <c r="AG766" i="13"/>
  <c r="AI766" i="13" s="1"/>
  <c r="AG767" i="13"/>
  <c r="AG768" i="13"/>
  <c r="AI768" i="13" s="1"/>
  <c r="AG769" i="13"/>
  <c r="AG770" i="13"/>
  <c r="AI770" i="13" s="1"/>
  <c r="AG771" i="13"/>
  <c r="AH771" i="13" s="1"/>
  <c r="AJ771" i="13" s="1"/>
  <c r="AG772" i="13"/>
  <c r="AH772" i="13" s="1"/>
  <c r="AJ772" i="13" s="1"/>
  <c r="AP668" i="13"/>
  <c r="AP669" i="13"/>
  <c r="AP670" i="13"/>
  <c r="AP671" i="13"/>
  <c r="AP672" i="13"/>
  <c r="AP673" i="13"/>
  <c r="AP674" i="13"/>
  <c r="AP675" i="13"/>
  <c r="AP676" i="13"/>
  <c r="AP677" i="13"/>
  <c r="AP678" i="13"/>
  <c r="AP679" i="13"/>
  <c r="AP680" i="13"/>
  <c r="AP681" i="13"/>
  <c r="AP682" i="13"/>
  <c r="AP683" i="13"/>
  <c r="AP684" i="13"/>
  <c r="AP685" i="13"/>
  <c r="AP686" i="13"/>
  <c r="AP687" i="13"/>
  <c r="AP688" i="13"/>
  <c r="AP689" i="13"/>
  <c r="AP690" i="13"/>
  <c r="AP691" i="13"/>
  <c r="AP692" i="13"/>
  <c r="AP693" i="13"/>
  <c r="AP694" i="13"/>
  <c r="AP695" i="13"/>
  <c r="AP696" i="13"/>
  <c r="AP697" i="13"/>
  <c r="AP698" i="13"/>
  <c r="AP699" i="13"/>
  <c r="AP700" i="13"/>
  <c r="AP701" i="13"/>
  <c r="AP702" i="13"/>
  <c r="AP703" i="13"/>
  <c r="AP704" i="13"/>
  <c r="AP705" i="13"/>
  <c r="AP706" i="13"/>
  <c r="AP707" i="13"/>
  <c r="AP708" i="13"/>
  <c r="AP709" i="13"/>
  <c r="AP710" i="13"/>
  <c r="AP711" i="13"/>
  <c r="AP712" i="13"/>
  <c r="AP713" i="13"/>
  <c r="AP714" i="13"/>
  <c r="AP715" i="13"/>
  <c r="AP716" i="13"/>
  <c r="AP717" i="13"/>
  <c r="AP718" i="13"/>
  <c r="AP719" i="13"/>
  <c r="AP720" i="13"/>
  <c r="AP721" i="13"/>
  <c r="AP722" i="13"/>
  <c r="AP723" i="13"/>
  <c r="AP724" i="13"/>
  <c r="AP725" i="13"/>
  <c r="AP726" i="13"/>
  <c r="AP727" i="13"/>
  <c r="AP728" i="13"/>
  <c r="AP729" i="13"/>
  <c r="AP730" i="13"/>
  <c r="AP731" i="13"/>
  <c r="AP732" i="13"/>
  <c r="AP733" i="13"/>
  <c r="AP734" i="13"/>
  <c r="AP735" i="13"/>
  <c r="AP736" i="13"/>
  <c r="AP737" i="13"/>
  <c r="AP738" i="13"/>
  <c r="AP739" i="13"/>
  <c r="AP740" i="13"/>
  <c r="AP741" i="13"/>
  <c r="AP742" i="13"/>
  <c r="AP743" i="13"/>
  <c r="AP744" i="13"/>
  <c r="AP745" i="13"/>
  <c r="AP746" i="13"/>
  <c r="AP747" i="13"/>
  <c r="AP748" i="13"/>
  <c r="AP749" i="13"/>
  <c r="AP750" i="13"/>
  <c r="AP751" i="13"/>
  <c r="AP752" i="13"/>
  <c r="AP753" i="13"/>
  <c r="AP754" i="13"/>
  <c r="AP755" i="13"/>
  <c r="AP756" i="13"/>
  <c r="AP757" i="13"/>
  <c r="AP758" i="13"/>
  <c r="AP759" i="13"/>
  <c r="AP760" i="13"/>
  <c r="AP761" i="13"/>
  <c r="AP762" i="13"/>
  <c r="AP763" i="13"/>
  <c r="AP764" i="13"/>
  <c r="AP765" i="13"/>
  <c r="AP766" i="13"/>
  <c r="AP767" i="13"/>
  <c r="AP768" i="13"/>
  <c r="AP769" i="13"/>
  <c r="AP770" i="13"/>
  <c r="AP771" i="13"/>
  <c r="AP772" i="13"/>
  <c r="BK668" i="13"/>
  <c r="BK669" i="13"/>
  <c r="BK670" i="13"/>
  <c r="BK671" i="13"/>
  <c r="BK672" i="13"/>
  <c r="BK673" i="13"/>
  <c r="BK674" i="13"/>
  <c r="BK675" i="13"/>
  <c r="BK676" i="13"/>
  <c r="BK677" i="13"/>
  <c r="BK678" i="13"/>
  <c r="BK679" i="13"/>
  <c r="BK680" i="13"/>
  <c r="BK681" i="13"/>
  <c r="BK682" i="13"/>
  <c r="BK683" i="13"/>
  <c r="BK684" i="13"/>
  <c r="BK685" i="13"/>
  <c r="BK686" i="13"/>
  <c r="BK687" i="13"/>
  <c r="BK688" i="13"/>
  <c r="BK689" i="13"/>
  <c r="BK690" i="13"/>
  <c r="BK691" i="13"/>
  <c r="BK692" i="13"/>
  <c r="BK693" i="13"/>
  <c r="BK694" i="13"/>
  <c r="BK695" i="13"/>
  <c r="BK696" i="13"/>
  <c r="BK697" i="13"/>
  <c r="BK698" i="13"/>
  <c r="BK699" i="13"/>
  <c r="BK700" i="13"/>
  <c r="BK701" i="13"/>
  <c r="BK702" i="13"/>
  <c r="BK703" i="13"/>
  <c r="BK704" i="13"/>
  <c r="BK705" i="13"/>
  <c r="BK706" i="13"/>
  <c r="BK707" i="13"/>
  <c r="BK708" i="13"/>
  <c r="BK709" i="13"/>
  <c r="BK710" i="13"/>
  <c r="BK711" i="13"/>
  <c r="BK712" i="13"/>
  <c r="BK713" i="13"/>
  <c r="BK714" i="13"/>
  <c r="BK715" i="13"/>
  <c r="BK716" i="13"/>
  <c r="BK717" i="13"/>
  <c r="BK718" i="13"/>
  <c r="BK719" i="13"/>
  <c r="BK720" i="13"/>
  <c r="BK721" i="13"/>
  <c r="BK722" i="13"/>
  <c r="BK723" i="13"/>
  <c r="BK724" i="13"/>
  <c r="BK725" i="13"/>
  <c r="BK726" i="13"/>
  <c r="BK727" i="13"/>
  <c r="BK728" i="13"/>
  <c r="BK729" i="13"/>
  <c r="BK730" i="13"/>
  <c r="BK731" i="13"/>
  <c r="BK732" i="13"/>
  <c r="BK733" i="13"/>
  <c r="BK734" i="13"/>
  <c r="BK735" i="13"/>
  <c r="BK736" i="13"/>
  <c r="BK737" i="13"/>
  <c r="BK738" i="13"/>
  <c r="BK739" i="13"/>
  <c r="BK740" i="13"/>
  <c r="BK741" i="13"/>
  <c r="BK742" i="13"/>
  <c r="BK743" i="13"/>
  <c r="BK744" i="13"/>
  <c r="BK745" i="13"/>
  <c r="BK746" i="13"/>
  <c r="BK747" i="13"/>
  <c r="BK748" i="13"/>
  <c r="BK749" i="13"/>
  <c r="BK750" i="13"/>
  <c r="BK751" i="13"/>
  <c r="BK752" i="13"/>
  <c r="BK753" i="13"/>
  <c r="BK754" i="13"/>
  <c r="BK755" i="13"/>
  <c r="BK756" i="13"/>
  <c r="BK757" i="13"/>
  <c r="BK758" i="13"/>
  <c r="BK759" i="13"/>
  <c r="BK760" i="13"/>
  <c r="BK761" i="13"/>
  <c r="BK762" i="13"/>
  <c r="BK763" i="13"/>
  <c r="BK764" i="13"/>
  <c r="BK765" i="13"/>
  <c r="BK766" i="13"/>
  <c r="BK767" i="13"/>
  <c r="BK768" i="13"/>
  <c r="BK769" i="13"/>
  <c r="BK770" i="13"/>
  <c r="BK771" i="13"/>
  <c r="BK772" i="13"/>
  <c r="C584" i="13"/>
  <c r="C585" i="13"/>
  <c r="C586" i="13"/>
  <c r="C587" i="13"/>
  <c r="C588" i="13"/>
  <c r="C589" i="13"/>
  <c r="C590" i="13"/>
  <c r="C591" i="13"/>
  <c r="C592" i="13"/>
  <c r="C593" i="13"/>
  <c r="C594" i="13"/>
  <c r="C595" i="13"/>
  <c r="C596" i="13"/>
  <c r="C597" i="13"/>
  <c r="C598" i="13"/>
  <c r="C599" i="13"/>
  <c r="C600" i="13"/>
  <c r="C601" i="13"/>
  <c r="C602" i="13"/>
  <c r="C603" i="13"/>
  <c r="C604" i="13"/>
  <c r="C605" i="13"/>
  <c r="C606" i="13"/>
  <c r="C607" i="13"/>
  <c r="C608" i="13"/>
  <c r="C609" i="13"/>
  <c r="C610" i="13"/>
  <c r="C611" i="13"/>
  <c r="C612" i="13"/>
  <c r="C613" i="13"/>
  <c r="C614" i="13"/>
  <c r="C615" i="13"/>
  <c r="C616" i="13"/>
  <c r="C617" i="13"/>
  <c r="C618" i="13"/>
  <c r="C619" i="13"/>
  <c r="C620" i="13"/>
  <c r="C621" i="13"/>
  <c r="C622" i="13"/>
  <c r="C623" i="13"/>
  <c r="C624" i="13"/>
  <c r="C625" i="13"/>
  <c r="C626" i="13"/>
  <c r="C627" i="13"/>
  <c r="C628" i="13"/>
  <c r="C629" i="13"/>
  <c r="C630" i="13"/>
  <c r="C631" i="13"/>
  <c r="C632" i="13"/>
  <c r="C633" i="13"/>
  <c r="C634" i="13"/>
  <c r="C635" i="13"/>
  <c r="C636" i="13"/>
  <c r="C637" i="13"/>
  <c r="C638" i="13"/>
  <c r="C639" i="13"/>
  <c r="C640" i="13"/>
  <c r="C641" i="13"/>
  <c r="C642" i="13"/>
  <c r="C643" i="13"/>
  <c r="C644" i="13"/>
  <c r="C645" i="13"/>
  <c r="C646" i="13"/>
  <c r="C647" i="13"/>
  <c r="C648" i="13"/>
  <c r="C649" i="13"/>
  <c r="C650" i="13"/>
  <c r="C651" i="13"/>
  <c r="C652" i="13"/>
  <c r="C653" i="13"/>
  <c r="C654" i="13"/>
  <c r="C655" i="13"/>
  <c r="C656" i="13"/>
  <c r="C657" i="13"/>
  <c r="C658" i="13"/>
  <c r="C659" i="13"/>
  <c r="C660" i="13"/>
  <c r="C661" i="13"/>
  <c r="C662" i="13"/>
  <c r="C663" i="13"/>
  <c r="C664" i="13"/>
  <c r="C665" i="13"/>
  <c r="C666" i="13"/>
  <c r="C667" i="13"/>
  <c r="D584" i="13"/>
  <c r="D585" i="13"/>
  <c r="D586" i="13"/>
  <c r="D587" i="13"/>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619" i="13"/>
  <c r="D620" i="13"/>
  <c r="D621" i="13"/>
  <c r="D622" i="13"/>
  <c r="D623" i="13"/>
  <c r="D624" i="13"/>
  <c r="D625" i="13"/>
  <c r="D626" i="13"/>
  <c r="D627" i="13"/>
  <c r="D628" i="13"/>
  <c r="D629" i="13"/>
  <c r="D630" i="13"/>
  <c r="D631" i="13"/>
  <c r="D632" i="13"/>
  <c r="D633" i="13"/>
  <c r="D634" i="13"/>
  <c r="D635" i="13"/>
  <c r="D636" i="13"/>
  <c r="D637" i="13"/>
  <c r="D638" i="13"/>
  <c r="D639" i="13"/>
  <c r="D640" i="13"/>
  <c r="D641" i="13"/>
  <c r="D642" i="13"/>
  <c r="D643" i="13"/>
  <c r="D644" i="13"/>
  <c r="D645" i="13"/>
  <c r="D646" i="13"/>
  <c r="D647" i="13"/>
  <c r="D648" i="13"/>
  <c r="D649" i="13"/>
  <c r="D650" i="13"/>
  <c r="D651" i="13"/>
  <c r="D652" i="13"/>
  <c r="D653" i="13"/>
  <c r="D654" i="13"/>
  <c r="D655" i="13"/>
  <c r="D656" i="13"/>
  <c r="D657" i="13"/>
  <c r="D658" i="13"/>
  <c r="D659" i="13"/>
  <c r="D660" i="13"/>
  <c r="D661" i="13"/>
  <c r="D662" i="13"/>
  <c r="D663" i="13"/>
  <c r="D664" i="13"/>
  <c r="D665" i="13"/>
  <c r="D666" i="13"/>
  <c r="D667" i="13"/>
  <c r="E584" i="13"/>
  <c r="E585" i="13"/>
  <c r="E586" i="13"/>
  <c r="E587" i="13"/>
  <c r="E588" i="13"/>
  <c r="E589" i="13"/>
  <c r="E590" i="13"/>
  <c r="E591" i="13"/>
  <c r="E592" i="13"/>
  <c r="E593" i="13"/>
  <c r="E594" i="13"/>
  <c r="E595" i="13"/>
  <c r="E596" i="13"/>
  <c r="E597" i="13"/>
  <c r="E598" i="13"/>
  <c r="E599" i="13"/>
  <c r="E600" i="13"/>
  <c r="E601" i="13"/>
  <c r="E602" i="13"/>
  <c r="E603" i="13"/>
  <c r="E604" i="13"/>
  <c r="E605" i="13"/>
  <c r="E606" i="13"/>
  <c r="E607" i="13"/>
  <c r="E608" i="13"/>
  <c r="E609" i="13"/>
  <c r="E610" i="13"/>
  <c r="E611" i="13"/>
  <c r="E612" i="13"/>
  <c r="E613" i="13"/>
  <c r="E614" i="13"/>
  <c r="E615" i="13"/>
  <c r="E616" i="13"/>
  <c r="E617" i="13"/>
  <c r="E618" i="13"/>
  <c r="E619" i="13"/>
  <c r="E620" i="13"/>
  <c r="E621" i="13"/>
  <c r="E622" i="13"/>
  <c r="E623" i="13"/>
  <c r="E624" i="13"/>
  <c r="E625" i="13"/>
  <c r="E626" i="13"/>
  <c r="E627" i="13"/>
  <c r="E628" i="13"/>
  <c r="E629" i="13"/>
  <c r="E630" i="13"/>
  <c r="E631" i="13"/>
  <c r="E632" i="13"/>
  <c r="E633" i="13"/>
  <c r="E634" i="13"/>
  <c r="E635" i="13"/>
  <c r="E636" i="13"/>
  <c r="E637" i="13"/>
  <c r="E638" i="13"/>
  <c r="E639" i="13"/>
  <c r="E640" i="13"/>
  <c r="E641" i="13"/>
  <c r="E642" i="13"/>
  <c r="E643" i="13"/>
  <c r="E644" i="13"/>
  <c r="E645" i="13"/>
  <c r="E646" i="13"/>
  <c r="E647" i="13"/>
  <c r="E648" i="13"/>
  <c r="E649" i="13"/>
  <c r="E650" i="13"/>
  <c r="E651" i="13"/>
  <c r="E652" i="13"/>
  <c r="E653" i="13"/>
  <c r="E654" i="13"/>
  <c r="E655" i="13"/>
  <c r="E656" i="13"/>
  <c r="E657" i="13"/>
  <c r="E658" i="13"/>
  <c r="E659" i="13"/>
  <c r="E660" i="13"/>
  <c r="E661" i="13"/>
  <c r="E662" i="13"/>
  <c r="E663" i="13"/>
  <c r="E664" i="13"/>
  <c r="E665" i="13"/>
  <c r="E666" i="13"/>
  <c r="E667" i="13"/>
  <c r="K584" i="13"/>
  <c r="K585" i="13"/>
  <c r="K586" i="13"/>
  <c r="K587" i="13"/>
  <c r="K588" i="13"/>
  <c r="K589" i="13"/>
  <c r="K590" i="13"/>
  <c r="K591" i="13"/>
  <c r="K592" i="13"/>
  <c r="K593" i="13"/>
  <c r="K594" i="13"/>
  <c r="K595" i="13"/>
  <c r="K596" i="13"/>
  <c r="K597" i="13"/>
  <c r="K598" i="13"/>
  <c r="K599" i="13"/>
  <c r="K600" i="13"/>
  <c r="K601" i="13"/>
  <c r="K602" i="13"/>
  <c r="K603" i="13"/>
  <c r="K604" i="13"/>
  <c r="K605" i="13"/>
  <c r="K606" i="13"/>
  <c r="K607" i="13"/>
  <c r="K608" i="13"/>
  <c r="K609" i="13"/>
  <c r="K610" i="13"/>
  <c r="K611" i="13"/>
  <c r="K612" i="13"/>
  <c r="K613" i="13"/>
  <c r="K614" i="13"/>
  <c r="K615" i="13"/>
  <c r="K616" i="13"/>
  <c r="K617" i="13"/>
  <c r="K618" i="13"/>
  <c r="K619" i="13"/>
  <c r="K620" i="13"/>
  <c r="K621" i="13"/>
  <c r="K622" i="13"/>
  <c r="K623" i="13"/>
  <c r="K624" i="13"/>
  <c r="K625" i="13"/>
  <c r="K626" i="13"/>
  <c r="K627" i="13"/>
  <c r="K628" i="13"/>
  <c r="K629" i="13"/>
  <c r="K630" i="13"/>
  <c r="K631" i="13"/>
  <c r="K632" i="13"/>
  <c r="K633" i="13"/>
  <c r="K634" i="13"/>
  <c r="K635" i="13"/>
  <c r="K636" i="13"/>
  <c r="K637" i="13"/>
  <c r="K638" i="13"/>
  <c r="K639" i="13"/>
  <c r="K640" i="13"/>
  <c r="K641" i="13"/>
  <c r="K642" i="13"/>
  <c r="K643" i="13"/>
  <c r="K644" i="13"/>
  <c r="K645" i="13"/>
  <c r="K646" i="13"/>
  <c r="K647" i="13"/>
  <c r="K648" i="13"/>
  <c r="K649" i="13"/>
  <c r="K650" i="13"/>
  <c r="K651" i="13"/>
  <c r="K652" i="13"/>
  <c r="K653" i="13"/>
  <c r="K654" i="13"/>
  <c r="K655" i="13"/>
  <c r="K656" i="13"/>
  <c r="K657" i="13"/>
  <c r="K658" i="13"/>
  <c r="K659" i="13"/>
  <c r="K660" i="13"/>
  <c r="K661" i="13"/>
  <c r="K662" i="13"/>
  <c r="K663" i="13"/>
  <c r="K664" i="13"/>
  <c r="K665" i="13"/>
  <c r="K666" i="13"/>
  <c r="K667" i="13"/>
  <c r="R584" i="13"/>
  <c r="R585" i="13"/>
  <c r="R586" i="13"/>
  <c r="R587" i="13"/>
  <c r="R588" i="13"/>
  <c r="R589" i="13"/>
  <c r="R590" i="13"/>
  <c r="R591" i="13"/>
  <c r="R592" i="13"/>
  <c r="R593" i="13"/>
  <c r="R594" i="13"/>
  <c r="R595" i="13"/>
  <c r="R596" i="13"/>
  <c r="R597" i="13"/>
  <c r="R598" i="13"/>
  <c r="R599" i="13"/>
  <c r="R600" i="13"/>
  <c r="R601" i="13"/>
  <c r="R602" i="13"/>
  <c r="R603" i="13"/>
  <c r="R604" i="13"/>
  <c r="R605" i="13"/>
  <c r="R606" i="13"/>
  <c r="R607" i="13"/>
  <c r="R608" i="13"/>
  <c r="R609" i="13"/>
  <c r="R610" i="13"/>
  <c r="R611" i="13"/>
  <c r="R612" i="13"/>
  <c r="R613" i="13"/>
  <c r="R614" i="13"/>
  <c r="R615" i="13"/>
  <c r="R616" i="13"/>
  <c r="R617" i="13"/>
  <c r="R618" i="13"/>
  <c r="R619" i="13"/>
  <c r="R620" i="13"/>
  <c r="R621" i="13"/>
  <c r="R622" i="13"/>
  <c r="R623" i="13"/>
  <c r="R624" i="13"/>
  <c r="R625" i="13"/>
  <c r="R626" i="13"/>
  <c r="R627" i="13"/>
  <c r="R628" i="13"/>
  <c r="R629" i="13"/>
  <c r="R630" i="13"/>
  <c r="R631" i="13"/>
  <c r="R632" i="13"/>
  <c r="R633" i="13"/>
  <c r="R634" i="13"/>
  <c r="R635" i="13"/>
  <c r="R636" i="13"/>
  <c r="R637" i="13"/>
  <c r="R638" i="13"/>
  <c r="R639" i="13"/>
  <c r="R640" i="13"/>
  <c r="R641" i="13"/>
  <c r="R642" i="13"/>
  <c r="R643" i="13"/>
  <c r="R644" i="13"/>
  <c r="R645" i="13"/>
  <c r="R646" i="13"/>
  <c r="R647" i="13"/>
  <c r="R648" i="13"/>
  <c r="R649" i="13"/>
  <c r="R650" i="13"/>
  <c r="R651" i="13"/>
  <c r="R652" i="13"/>
  <c r="R653" i="13"/>
  <c r="R654" i="13"/>
  <c r="R655" i="13"/>
  <c r="R656" i="13"/>
  <c r="R657" i="13"/>
  <c r="R658" i="13"/>
  <c r="R659" i="13"/>
  <c r="R660" i="13"/>
  <c r="R661" i="13"/>
  <c r="R662" i="13"/>
  <c r="R663" i="13"/>
  <c r="R664" i="13"/>
  <c r="R665" i="13"/>
  <c r="R666" i="13"/>
  <c r="R667" i="13"/>
  <c r="U584" i="13"/>
  <c r="U585" i="13"/>
  <c r="U586" i="13"/>
  <c r="U587" i="13"/>
  <c r="U588" i="13"/>
  <c r="U589" i="13"/>
  <c r="U590" i="13"/>
  <c r="U591" i="13"/>
  <c r="U592" i="13"/>
  <c r="U593" i="13"/>
  <c r="U594" i="13"/>
  <c r="U595" i="13"/>
  <c r="U596" i="13"/>
  <c r="U597" i="13"/>
  <c r="U598" i="13"/>
  <c r="U599" i="13"/>
  <c r="U600" i="13"/>
  <c r="U601" i="13"/>
  <c r="U602" i="13"/>
  <c r="U603" i="13"/>
  <c r="U604" i="13"/>
  <c r="U605" i="13"/>
  <c r="U606" i="13"/>
  <c r="U607" i="13"/>
  <c r="U608" i="13"/>
  <c r="U609" i="13"/>
  <c r="U610" i="13"/>
  <c r="U611" i="13"/>
  <c r="U612" i="13"/>
  <c r="U613" i="13"/>
  <c r="U614" i="13"/>
  <c r="U615" i="13"/>
  <c r="U616" i="13"/>
  <c r="U617" i="13"/>
  <c r="U618" i="13"/>
  <c r="U619" i="13"/>
  <c r="U620" i="13"/>
  <c r="U621" i="13"/>
  <c r="U622" i="13"/>
  <c r="U623" i="13"/>
  <c r="U624" i="13"/>
  <c r="U625" i="13"/>
  <c r="U626" i="13"/>
  <c r="U627" i="13"/>
  <c r="U628" i="13"/>
  <c r="U629" i="13"/>
  <c r="U630" i="13"/>
  <c r="U631" i="13"/>
  <c r="U632" i="13"/>
  <c r="U633" i="13"/>
  <c r="U634" i="13"/>
  <c r="U635" i="13"/>
  <c r="U636" i="13"/>
  <c r="U637" i="13"/>
  <c r="U638" i="13"/>
  <c r="U639" i="13"/>
  <c r="U640" i="13"/>
  <c r="U641" i="13"/>
  <c r="U642" i="13"/>
  <c r="U643" i="13"/>
  <c r="U644" i="13"/>
  <c r="U645" i="13"/>
  <c r="U646" i="13"/>
  <c r="U647" i="13"/>
  <c r="U648" i="13"/>
  <c r="U649" i="13"/>
  <c r="U650" i="13"/>
  <c r="U651" i="13"/>
  <c r="U652" i="13"/>
  <c r="U653" i="13"/>
  <c r="U654" i="13"/>
  <c r="U655" i="13"/>
  <c r="U656" i="13"/>
  <c r="U657" i="13"/>
  <c r="U658" i="13"/>
  <c r="U659" i="13"/>
  <c r="U660" i="13"/>
  <c r="U661" i="13"/>
  <c r="U662" i="13"/>
  <c r="U663" i="13"/>
  <c r="U664" i="13"/>
  <c r="U665" i="13"/>
  <c r="U666" i="13"/>
  <c r="U667" i="13"/>
  <c r="AG584" i="13"/>
  <c r="AH584" i="13" s="1"/>
  <c r="AJ584" i="13" s="1"/>
  <c r="AG585" i="13"/>
  <c r="AI585" i="13" s="1"/>
  <c r="AG586" i="13"/>
  <c r="AG587" i="13"/>
  <c r="AH587" i="13" s="1"/>
  <c r="AJ587" i="13" s="1"/>
  <c r="AG588" i="13"/>
  <c r="AH588" i="13" s="1"/>
  <c r="AJ588" i="13" s="1"/>
  <c r="AG589" i="13"/>
  <c r="AH589" i="13" s="1"/>
  <c r="AJ589" i="13" s="1"/>
  <c r="AG590" i="13"/>
  <c r="AG591" i="13"/>
  <c r="AH591" i="13" s="1"/>
  <c r="AJ591" i="13" s="1"/>
  <c r="AG592" i="13"/>
  <c r="AH592" i="13" s="1"/>
  <c r="AJ592" i="13" s="1"/>
  <c r="AG593" i="13"/>
  <c r="AH593" i="13" s="1"/>
  <c r="AJ593" i="13" s="1"/>
  <c r="AG594" i="13"/>
  <c r="AH594" i="13" s="1"/>
  <c r="AJ594" i="13" s="1"/>
  <c r="AG595" i="13"/>
  <c r="AI595" i="13" s="1"/>
  <c r="AG596" i="13"/>
  <c r="AG597" i="13"/>
  <c r="AH597" i="13" s="1"/>
  <c r="AJ597" i="13" s="1"/>
  <c r="AG598" i="13"/>
  <c r="AG599" i="13"/>
  <c r="AH599" i="13" s="1"/>
  <c r="AJ599" i="13" s="1"/>
  <c r="AG600" i="13"/>
  <c r="AH600" i="13" s="1"/>
  <c r="AJ600" i="13" s="1"/>
  <c r="AG601" i="13"/>
  <c r="AH601" i="13" s="1"/>
  <c r="AJ601" i="13" s="1"/>
  <c r="AG602" i="13"/>
  <c r="AH602" i="13" s="1"/>
  <c r="AJ602" i="13" s="1"/>
  <c r="AG603" i="13"/>
  <c r="AH603" i="13" s="1"/>
  <c r="AJ603" i="13" s="1"/>
  <c r="AG604" i="13"/>
  <c r="AH604" i="13" s="1"/>
  <c r="AJ604" i="13" s="1"/>
  <c r="AG605" i="13"/>
  <c r="AH605" i="13" s="1"/>
  <c r="AJ605" i="13" s="1"/>
  <c r="AG606" i="13"/>
  <c r="AH606" i="13" s="1"/>
  <c r="AJ606" i="13" s="1"/>
  <c r="AG607" i="13"/>
  <c r="AH607" i="13" s="1"/>
  <c r="AJ607" i="13" s="1"/>
  <c r="AG608" i="13"/>
  <c r="AH608" i="13" s="1"/>
  <c r="AJ608" i="13" s="1"/>
  <c r="AG609" i="13"/>
  <c r="AH609" i="13" s="1"/>
  <c r="AJ609" i="13" s="1"/>
  <c r="AG610" i="13"/>
  <c r="AI610" i="13" s="1"/>
  <c r="AG611" i="13"/>
  <c r="AH611" i="13" s="1"/>
  <c r="AJ611" i="13" s="1"/>
  <c r="AG612" i="13"/>
  <c r="AH612" i="13" s="1"/>
  <c r="AJ612" i="13" s="1"/>
  <c r="AG613" i="13"/>
  <c r="AH613" i="13" s="1"/>
  <c r="AJ613" i="13" s="1"/>
  <c r="AG614" i="13"/>
  <c r="AG615" i="13"/>
  <c r="AH615" i="13" s="1"/>
  <c r="AJ615" i="13" s="1"/>
  <c r="AG616" i="13"/>
  <c r="AH616" i="13" s="1"/>
  <c r="AJ616" i="13" s="1"/>
  <c r="AG617" i="13"/>
  <c r="AH617" i="13" s="1"/>
  <c r="AJ617" i="13" s="1"/>
  <c r="AG618" i="13"/>
  <c r="AH618" i="13" s="1"/>
  <c r="AJ618" i="13" s="1"/>
  <c r="AG619" i="13"/>
  <c r="AH619" i="13" s="1"/>
  <c r="AJ619" i="13" s="1"/>
  <c r="AG620" i="13"/>
  <c r="AH620" i="13" s="1"/>
  <c r="AJ620" i="13" s="1"/>
  <c r="AG621" i="13"/>
  <c r="AH621" i="13" s="1"/>
  <c r="AJ621" i="13" s="1"/>
  <c r="AG622" i="13"/>
  <c r="AI622" i="13" s="1"/>
  <c r="AG623" i="13"/>
  <c r="AH623" i="13" s="1"/>
  <c r="AJ623" i="13" s="1"/>
  <c r="AG624" i="13"/>
  <c r="AH624" i="13" s="1"/>
  <c r="AJ624" i="13" s="1"/>
  <c r="AG625" i="13"/>
  <c r="AI625" i="13" s="1"/>
  <c r="AG626" i="13"/>
  <c r="AH626" i="13" s="1"/>
  <c r="AJ626" i="13" s="1"/>
  <c r="AG627" i="13"/>
  <c r="AI627" i="13" s="1"/>
  <c r="AG628" i="13"/>
  <c r="AG629" i="13"/>
  <c r="AH629" i="13" s="1"/>
  <c r="AJ629" i="13" s="1"/>
  <c r="AG630" i="13"/>
  <c r="AI630" i="13" s="1"/>
  <c r="AG631" i="13"/>
  <c r="AI631" i="13" s="1"/>
  <c r="AG632" i="13"/>
  <c r="AI632" i="13" s="1"/>
  <c r="AG633" i="13"/>
  <c r="AI633" i="13" s="1"/>
  <c r="AG634" i="13"/>
  <c r="AG635" i="13"/>
  <c r="AH635" i="13" s="1"/>
  <c r="AJ635" i="13" s="1"/>
  <c r="AG636" i="13"/>
  <c r="AH636" i="13" s="1"/>
  <c r="AJ636" i="13" s="1"/>
  <c r="AG637" i="13"/>
  <c r="AI637" i="13" s="1"/>
  <c r="AG638" i="13"/>
  <c r="AG639" i="13"/>
  <c r="AH639" i="13" s="1"/>
  <c r="AJ639" i="13" s="1"/>
  <c r="AG640" i="13"/>
  <c r="AI640" i="13" s="1"/>
  <c r="AG641" i="13"/>
  <c r="AI641" i="13" s="1"/>
  <c r="AG642" i="13"/>
  <c r="AH642" i="13" s="1"/>
  <c r="AJ642" i="13" s="1"/>
  <c r="AG643" i="13"/>
  <c r="AI643" i="13" s="1"/>
  <c r="AG644" i="13"/>
  <c r="AG645" i="13"/>
  <c r="AH645" i="13" s="1"/>
  <c r="AJ645" i="13" s="1"/>
  <c r="AG646" i="13"/>
  <c r="AI646" i="13" s="1"/>
  <c r="AG647" i="13"/>
  <c r="AG648" i="13"/>
  <c r="AG649" i="13"/>
  <c r="AI649" i="13" s="1"/>
  <c r="AG650" i="13"/>
  <c r="AG651" i="13"/>
  <c r="AH651" i="13" s="1"/>
  <c r="AJ651" i="13" s="1"/>
  <c r="AG652" i="13"/>
  <c r="AI652" i="13" s="1"/>
  <c r="AG653" i="13"/>
  <c r="AH653" i="13" s="1"/>
  <c r="AJ653" i="13" s="1"/>
  <c r="AG654" i="13"/>
  <c r="AH654" i="13" s="1"/>
  <c r="AJ654" i="13" s="1"/>
  <c r="AG655" i="13"/>
  <c r="AH655" i="13" s="1"/>
  <c r="AJ655" i="13" s="1"/>
  <c r="AG656" i="13"/>
  <c r="AH656" i="13" s="1"/>
  <c r="AJ656" i="13" s="1"/>
  <c r="AG657" i="13"/>
  <c r="AH657" i="13" s="1"/>
  <c r="AJ657" i="13" s="1"/>
  <c r="AG658" i="13"/>
  <c r="AI658" i="13" s="1"/>
  <c r="AG659" i="13"/>
  <c r="AG660" i="13"/>
  <c r="AG661" i="13"/>
  <c r="AH661" i="13" s="1"/>
  <c r="AJ661" i="13" s="1"/>
  <c r="AG662" i="13"/>
  <c r="AG663" i="13"/>
  <c r="AH663" i="13" s="1"/>
  <c r="AJ663" i="13" s="1"/>
  <c r="AG664" i="13"/>
  <c r="AI664" i="13" s="1"/>
  <c r="AG665" i="13"/>
  <c r="AH665" i="13" s="1"/>
  <c r="AJ665" i="13" s="1"/>
  <c r="AG666" i="13"/>
  <c r="AG667" i="13"/>
  <c r="AH667" i="13" s="1"/>
  <c r="AJ667" i="13" s="1"/>
  <c r="AP584" i="13"/>
  <c r="AP585" i="13"/>
  <c r="AP586" i="13"/>
  <c r="AP587" i="13"/>
  <c r="AP588" i="13"/>
  <c r="AP589" i="13"/>
  <c r="AP590" i="13"/>
  <c r="AP591" i="13"/>
  <c r="AP592" i="13"/>
  <c r="AP593" i="13"/>
  <c r="AP594" i="13"/>
  <c r="AP595" i="13"/>
  <c r="AP596" i="13"/>
  <c r="AP597" i="13"/>
  <c r="AP598" i="13"/>
  <c r="AP599" i="13"/>
  <c r="AP600" i="13"/>
  <c r="AP601" i="13"/>
  <c r="AP602" i="13"/>
  <c r="AP603" i="13"/>
  <c r="AP604" i="13"/>
  <c r="AP605" i="13"/>
  <c r="AP606" i="13"/>
  <c r="AP607" i="13"/>
  <c r="AP608" i="13"/>
  <c r="AP609" i="13"/>
  <c r="AP610" i="13"/>
  <c r="AP611" i="13"/>
  <c r="AP612" i="13"/>
  <c r="AP613" i="13"/>
  <c r="AP614" i="13"/>
  <c r="AP615" i="13"/>
  <c r="AP616" i="13"/>
  <c r="AP617" i="13"/>
  <c r="AP618" i="13"/>
  <c r="AP619" i="13"/>
  <c r="AP620" i="13"/>
  <c r="AP621" i="13"/>
  <c r="AP622" i="13"/>
  <c r="AP623" i="13"/>
  <c r="AP624" i="13"/>
  <c r="AP625" i="13"/>
  <c r="AP626" i="13"/>
  <c r="AP627" i="13"/>
  <c r="AP628" i="13"/>
  <c r="AP629" i="13"/>
  <c r="AP630" i="13"/>
  <c r="AP631" i="13"/>
  <c r="AP632" i="13"/>
  <c r="AP633" i="13"/>
  <c r="AP634" i="13"/>
  <c r="AP635" i="13"/>
  <c r="AP636" i="13"/>
  <c r="AP637" i="13"/>
  <c r="AP638" i="13"/>
  <c r="AP639" i="13"/>
  <c r="AP640" i="13"/>
  <c r="AP641" i="13"/>
  <c r="AP642" i="13"/>
  <c r="AP643" i="13"/>
  <c r="AP644" i="13"/>
  <c r="AP645" i="13"/>
  <c r="AP646" i="13"/>
  <c r="AP647" i="13"/>
  <c r="AP648" i="13"/>
  <c r="AP649" i="13"/>
  <c r="AP650" i="13"/>
  <c r="AP651" i="13"/>
  <c r="AP652" i="13"/>
  <c r="AP653" i="13"/>
  <c r="AP654" i="13"/>
  <c r="AP655" i="13"/>
  <c r="AP656" i="13"/>
  <c r="AP657" i="13"/>
  <c r="AP658" i="13"/>
  <c r="AP659" i="13"/>
  <c r="AP660" i="13"/>
  <c r="AP661" i="13"/>
  <c r="AP662" i="13"/>
  <c r="AP663" i="13"/>
  <c r="AP664" i="13"/>
  <c r="AP665" i="13"/>
  <c r="AP666" i="13"/>
  <c r="AP667" i="13"/>
  <c r="BK584" i="13"/>
  <c r="BK585" i="13"/>
  <c r="BK586" i="13"/>
  <c r="BK587" i="13"/>
  <c r="BK588" i="13"/>
  <c r="BK589" i="13"/>
  <c r="BK590" i="13"/>
  <c r="BK591" i="13"/>
  <c r="BK592" i="13"/>
  <c r="BK593" i="13"/>
  <c r="BK594" i="13"/>
  <c r="BK595" i="13"/>
  <c r="BK596" i="13"/>
  <c r="BK597" i="13"/>
  <c r="BK598" i="13"/>
  <c r="BK599" i="13"/>
  <c r="BK600" i="13"/>
  <c r="BK601" i="13"/>
  <c r="BK602" i="13"/>
  <c r="BK603" i="13"/>
  <c r="BK604" i="13"/>
  <c r="BK605" i="13"/>
  <c r="BK606" i="13"/>
  <c r="BK607" i="13"/>
  <c r="BK608" i="13"/>
  <c r="BK609" i="13"/>
  <c r="BK610" i="13"/>
  <c r="BK611" i="13"/>
  <c r="BK612" i="13"/>
  <c r="BK613" i="13"/>
  <c r="BK614" i="13"/>
  <c r="BK615" i="13"/>
  <c r="BK616" i="13"/>
  <c r="BK617" i="13"/>
  <c r="BK618" i="13"/>
  <c r="BK619" i="13"/>
  <c r="BK620" i="13"/>
  <c r="BK621" i="13"/>
  <c r="BK622" i="13"/>
  <c r="BK623" i="13"/>
  <c r="BK624" i="13"/>
  <c r="BK625" i="13"/>
  <c r="BK626" i="13"/>
  <c r="BK627" i="13"/>
  <c r="BK628" i="13"/>
  <c r="BK629" i="13"/>
  <c r="BK630" i="13"/>
  <c r="BK631" i="13"/>
  <c r="BK632" i="13"/>
  <c r="BK633" i="13"/>
  <c r="BK634" i="13"/>
  <c r="BK635" i="13"/>
  <c r="BK636" i="13"/>
  <c r="BK637" i="13"/>
  <c r="BK638" i="13"/>
  <c r="BK639" i="13"/>
  <c r="BK640" i="13"/>
  <c r="BK641" i="13"/>
  <c r="BK642" i="13"/>
  <c r="BK643" i="13"/>
  <c r="BK644" i="13"/>
  <c r="BK645" i="13"/>
  <c r="BK646" i="13"/>
  <c r="BK647" i="13"/>
  <c r="BK648" i="13"/>
  <c r="BK649" i="13"/>
  <c r="BK650" i="13"/>
  <c r="BK651" i="13"/>
  <c r="BK652" i="13"/>
  <c r="BK653" i="13"/>
  <c r="BK654" i="13"/>
  <c r="BK655" i="13"/>
  <c r="BK656" i="13"/>
  <c r="BK657" i="13"/>
  <c r="BK658" i="13"/>
  <c r="BK659" i="13"/>
  <c r="BK660" i="13"/>
  <c r="BK661" i="13"/>
  <c r="BK662" i="13"/>
  <c r="BK663" i="13"/>
  <c r="BK664" i="13"/>
  <c r="BK665" i="13"/>
  <c r="BK666" i="13"/>
  <c r="BK667"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C580" i="13"/>
  <c r="C581" i="13"/>
  <c r="C582" i="13"/>
  <c r="C583" i="13"/>
  <c r="D580" i="13"/>
  <c r="D581" i="13"/>
  <c r="D582" i="13"/>
  <c r="D583" i="13"/>
  <c r="E580" i="13"/>
  <c r="E581" i="13"/>
  <c r="E582" i="13"/>
  <c r="E583" i="13"/>
  <c r="K580" i="13"/>
  <c r="K581" i="13"/>
  <c r="K582" i="13"/>
  <c r="K583" i="13"/>
  <c r="R580" i="13"/>
  <c r="R581" i="13"/>
  <c r="R582" i="13"/>
  <c r="R583" i="13"/>
  <c r="U580" i="13"/>
  <c r="U581" i="13"/>
  <c r="U582" i="13"/>
  <c r="U583" i="13"/>
  <c r="AG580" i="13"/>
  <c r="AI580" i="13" s="1"/>
  <c r="AG581" i="13"/>
  <c r="AI581" i="13" s="1"/>
  <c r="AG582" i="13"/>
  <c r="AI582" i="13" s="1"/>
  <c r="AG583" i="13"/>
  <c r="AI583" i="13" s="1"/>
  <c r="AP580" i="13"/>
  <c r="AP581" i="13"/>
  <c r="AP582" i="13"/>
  <c r="AP583" i="13"/>
  <c r="BK580" i="13"/>
  <c r="BK581" i="13"/>
  <c r="BK582" i="13"/>
  <c r="BK583" i="13"/>
  <c r="AB928" i="13" l="1"/>
  <c r="AC928" i="13" s="1"/>
  <c r="Y929" i="13"/>
  <c r="AB929" i="13"/>
  <c r="AC929" i="13" s="1"/>
  <c r="AB930" i="13"/>
  <c r="AC930" i="13"/>
  <c r="Y931" i="13"/>
  <c r="AB931" i="13"/>
  <c r="AC931" i="13"/>
  <c r="Y932" i="13"/>
  <c r="AB932" i="13"/>
  <c r="AC932" i="13" s="1"/>
  <c r="Y933" i="13"/>
  <c r="AB933" i="13"/>
  <c r="AC933" i="13" s="1"/>
  <c r="AC934" i="13"/>
  <c r="AB934" i="13"/>
  <c r="Y935" i="13"/>
  <c r="AB935" i="13"/>
  <c r="AC935" i="13" s="1"/>
  <c r="Y936" i="13"/>
  <c r="AB936" i="13"/>
  <c r="AC936" i="13"/>
  <c r="Y937" i="13"/>
  <c r="AB937" i="13"/>
  <c r="AC937" i="13"/>
  <c r="AC938" i="13"/>
  <c r="AB938" i="13"/>
  <c r="AC939" i="13"/>
  <c r="AB939" i="13"/>
  <c r="AB940" i="13"/>
  <c r="AC940" i="13" s="1"/>
  <c r="Y941" i="13"/>
  <c r="AB941" i="13"/>
  <c r="AC941" i="13" s="1"/>
  <c r="Y942" i="13"/>
  <c r="AB942" i="13"/>
  <c r="AC942" i="13" s="1"/>
  <c r="Y943" i="13"/>
  <c r="AB943" i="13"/>
  <c r="AC943" i="13" s="1"/>
  <c r="Y944" i="13"/>
  <c r="AB944" i="13"/>
  <c r="AC944" i="13" s="1"/>
  <c r="AB945" i="13"/>
  <c r="AC945" i="13"/>
  <c r="AB946" i="13"/>
  <c r="AC946" i="13" s="1"/>
  <c r="Y870" i="13"/>
  <c r="AB870" i="13"/>
  <c r="AC870" i="13" s="1"/>
  <c r="Y871" i="13"/>
  <c r="AB871" i="13"/>
  <c r="AC871" i="13" s="1"/>
  <c r="Y872" i="13"/>
  <c r="AB872" i="13"/>
  <c r="AC872" i="13" s="1"/>
  <c r="Y873" i="13"/>
  <c r="AB873" i="13"/>
  <c r="AC873" i="13" s="1"/>
  <c r="AB874" i="13"/>
  <c r="AC874" i="13" s="1"/>
  <c r="Y875" i="13"/>
  <c r="AB875" i="13"/>
  <c r="AC875" i="13" s="1"/>
  <c r="AB876" i="13"/>
  <c r="AC876" i="13"/>
  <c r="AB877" i="13"/>
  <c r="AC877" i="13" s="1"/>
  <c r="Y878" i="13"/>
  <c r="AB878" i="13"/>
  <c r="AB879" i="13"/>
  <c r="Y880" i="13"/>
  <c r="AB880" i="13"/>
  <c r="AC880" i="13"/>
  <c r="Y881" i="13"/>
  <c r="AB881" i="13"/>
  <c r="AC881" i="13"/>
  <c r="Y882" i="13"/>
  <c r="AB882" i="13"/>
  <c r="AC882" i="13"/>
  <c r="AB883" i="13"/>
  <c r="AC883" i="13"/>
  <c r="Y884" i="13"/>
  <c r="AB884" i="13"/>
  <c r="AC884" i="13"/>
  <c r="AB885" i="13"/>
  <c r="AC885" i="13"/>
  <c r="Y886" i="13"/>
  <c r="AB886" i="13"/>
  <c r="Y887" i="13"/>
  <c r="AB887" i="13"/>
  <c r="AC887" i="13"/>
  <c r="AB888" i="13"/>
  <c r="AC888" i="13"/>
  <c r="Y889" i="13"/>
  <c r="AB889" i="13"/>
  <c r="AC889" i="13"/>
  <c r="Y890" i="13"/>
  <c r="AB890" i="13"/>
  <c r="AB891" i="13"/>
  <c r="AC891" i="13" s="1"/>
  <c r="Y892" i="13"/>
  <c r="AB892" i="13"/>
  <c r="AC892" i="13" s="1"/>
  <c r="Y893" i="13"/>
  <c r="AB893" i="13"/>
  <c r="AC893" i="13" s="1"/>
  <c r="Y894" i="13"/>
  <c r="AB894" i="13"/>
  <c r="AC894" i="13" s="1"/>
  <c r="Y895" i="13"/>
  <c r="AB895" i="13"/>
  <c r="AC895" i="13" s="1"/>
  <c r="Y896" i="13"/>
  <c r="AB896" i="13"/>
  <c r="AC896" i="13" s="1"/>
  <c r="Y897" i="13"/>
  <c r="AB897" i="13"/>
  <c r="AC897" i="13"/>
  <c r="Y898" i="13"/>
  <c r="AB898" i="13"/>
  <c r="AC898" i="13" s="1"/>
  <c r="Y899" i="13"/>
  <c r="AB899" i="13"/>
  <c r="AC899" i="13" s="1"/>
  <c r="AB900" i="13"/>
  <c r="AC900" i="13" s="1"/>
  <c r="Y901" i="13"/>
  <c r="AB901" i="13"/>
  <c r="AC901" i="13" s="1"/>
  <c r="Y902" i="13"/>
  <c r="AB902" i="13"/>
  <c r="AC902" i="13" s="1"/>
  <c r="AB903" i="13"/>
  <c r="AB904" i="13"/>
  <c r="AC904" i="13" s="1"/>
  <c r="Y905" i="13"/>
  <c r="AB905" i="13"/>
  <c r="AC905" i="13" s="1"/>
  <c r="Y906" i="13"/>
  <c r="AB906" i="13"/>
  <c r="AC906" i="13"/>
  <c r="AB907" i="13"/>
  <c r="AC907" i="13"/>
  <c r="AB908" i="13"/>
  <c r="Y909" i="13"/>
  <c r="AB909" i="13"/>
  <c r="AC909" i="13" s="1"/>
  <c r="Y910" i="13"/>
  <c r="AB910" i="13"/>
  <c r="AC910" i="13" s="1"/>
  <c r="Y911" i="13"/>
  <c r="AB911" i="13"/>
  <c r="AC911" i="13" s="1"/>
  <c r="AB912" i="13"/>
  <c r="AC912" i="13" s="1"/>
  <c r="AB913" i="13"/>
  <c r="AC913" i="13"/>
  <c r="Y914" i="13"/>
  <c r="AC914" i="13"/>
  <c r="AB914" i="13"/>
  <c r="AC915" i="13"/>
  <c r="AB915" i="13"/>
  <c r="Y916" i="13"/>
  <c r="AC916" i="13"/>
  <c r="AB916" i="13"/>
  <c r="Y917" i="13"/>
  <c r="AB917" i="13"/>
  <c r="AC917" i="13"/>
  <c r="AC918" i="13"/>
  <c r="AB918" i="13"/>
  <c r="Y919" i="13"/>
  <c r="AC919" i="13"/>
  <c r="AB919" i="13"/>
  <c r="Y920" i="13"/>
  <c r="AB920" i="13"/>
  <c r="AC920" i="13"/>
  <c r="Y921" i="13"/>
  <c r="AB921" i="13"/>
  <c r="AC921" i="13"/>
  <c r="Y922" i="13"/>
  <c r="AB922" i="13"/>
  <c r="AC922" i="13"/>
  <c r="Y923" i="13"/>
  <c r="AB923" i="13"/>
  <c r="AC923" i="13" s="1"/>
  <c r="AB924" i="13"/>
  <c r="AC924" i="13"/>
  <c r="Y925" i="13"/>
  <c r="AB925" i="13"/>
  <c r="AC925" i="13"/>
  <c r="Y926" i="13"/>
  <c r="AB926" i="13"/>
  <c r="AB927" i="13"/>
  <c r="AB813" i="13"/>
  <c r="AB814" i="13"/>
  <c r="AC814" i="13"/>
  <c r="AB815" i="13"/>
  <c r="AC815" i="13" s="1"/>
  <c r="AB816" i="13"/>
  <c r="AC816" i="13" s="1"/>
  <c r="Y817" i="13"/>
  <c r="AB817" i="13"/>
  <c r="AC817" i="13" s="1"/>
  <c r="Y818" i="13"/>
  <c r="AB818" i="13"/>
  <c r="AC818" i="13" s="1"/>
  <c r="Y819" i="13"/>
  <c r="AB819" i="13"/>
  <c r="AC819" i="13" s="1"/>
  <c r="Y820" i="13"/>
  <c r="AB820" i="13"/>
  <c r="AC820" i="13" s="1"/>
  <c r="AB821" i="13"/>
  <c r="AC821" i="13" s="1"/>
  <c r="Y822" i="13"/>
  <c r="AB822" i="13"/>
  <c r="Y823" i="13"/>
  <c r="AB823" i="13"/>
  <c r="AC823" i="13" s="1"/>
  <c r="Y824" i="13"/>
  <c r="AB824" i="13"/>
  <c r="AC824" i="13" s="1"/>
  <c r="AB825" i="13"/>
  <c r="AC825" i="13" s="1"/>
  <c r="AB826" i="13"/>
  <c r="AB827" i="13"/>
  <c r="AB828" i="13"/>
  <c r="AC828" i="13"/>
  <c r="AB829" i="13"/>
  <c r="AC829" i="13" s="1"/>
  <c r="Y830" i="13"/>
  <c r="AB830" i="13"/>
  <c r="AC830" i="13" s="1"/>
  <c r="Y831" i="13"/>
  <c r="AB831" i="13"/>
  <c r="AC831" i="13" s="1"/>
  <c r="AB832" i="13"/>
  <c r="AC832" i="13" s="1"/>
  <c r="Y833" i="13"/>
  <c r="AB833" i="13"/>
  <c r="AC833" i="13" s="1"/>
  <c r="Y834" i="13"/>
  <c r="AB834" i="13"/>
  <c r="Y835" i="13"/>
  <c r="AB835" i="13"/>
  <c r="AB836" i="13"/>
  <c r="AC836" i="13" s="1"/>
  <c r="Y837" i="13"/>
  <c r="AB837" i="13"/>
  <c r="AC837" i="13" s="1"/>
  <c r="AB838" i="13"/>
  <c r="AC838" i="13" s="1"/>
  <c r="AC839" i="13"/>
  <c r="AB839" i="13"/>
  <c r="AB840" i="13"/>
  <c r="AC840" i="13" s="1"/>
  <c r="AC841" i="13"/>
  <c r="AB841" i="13"/>
  <c r="AB842" i="13"/>
  <c r="AC842" i="13" s="1"/>
  <c r="Y843" i="13"/>
  <c r="AB843" i="13"/>
  <c r="Y844" i="13"/>
  <c r="AB844" i="13"/>
  <c r="AC844" i="13"/>
  <c r="Y845" i="13"/>
  <c r="AB845" i="13"/>
  <c r="Y846" i="13"/>
  <c r="AB846" i="13"/>
  <c r="AC846" i="13" s="1"/>
  <c r="Y847" i="13"/>
  <c r="AB847" i="13"/>
  <c r="AB848" i="13"/>
  <c r="AB849" i="13"/>
  <c r="AB850" i="13"/>
  <c r="AB851" i="13"/>
  <c r="AC851" i="13" s="1"/>
  <c r="AB852" i="13"/>
  <c r="AB853" i="13"/>
  <c r="Y854" i="13"/>
  <c r="AB854" i="13"/>
  <c r="AC854" i="13"/>
  <c r="Y855" i="13"/>
  <c r="AB855" i="13"/>
  <c r="AC855" i="13"/>
  <c r="AB856" i="13"/>
  <c r="AC856" i="13"/>
  <c r="Y857" i="13"/>
  <c r="AB857" i="13"/>
  <c r="AC857" i="13" s="1"/>
  <c r="Y858" i="13"/>
  <c r="AB858" i="13"/>
  <c r="Y859" i="13"/>
  <c r="AB859" i="13"/>
  <c r="AC859" i="13" s="1"/>
  <c r="AB860" i="13"/>
  <c r="AC860" i="13" s="1"/>
  <c r="AB861" i="13"/>
  <c r="AC861" i="13" s="1"/>
  <c r="AB862" i="13"/>
  <c r="AB863" i="13"/>
  <c r="AB864" i="13"/>
  <c r="AC864" i="13" s="1"/>
  <c r="AB865" i="13"/>
  <c r="AB866" i="13"/>
  <c r="AC866" i="13"/>
  <c r="Y867" i="13"/>
  <c r="AB867" i="13"/>
  <c r="AC867" i="13" s="1"/>
  <c r="Y868" i="13"/>
  <c r="AB868" i="13"/>
  <c r="AC868" i="13" s="1"/>
  <c r="Y869" i="13"/>
  <c r="AB869" i="13"/>
  <c r="AC869" i="13" s="1"/>
  <c r="Y773" i="13"/>
  <c r="AB773" i="13"/>
  <c r="AC773" i="13" s="1"/>
  <c r="AB774" i="13"/>
  <c r="AC774" i="13"/>
  <c r="Y775" i="13"/>
  <c r="AB775" i="13"/>
  <c r="AC775" i="13" s="1"/>
  <c r="AB776" i="13"/>
  <c r="AC776" i="13" s="1"/>
  <c r="Y777" i="13"/>
  <c r="AB777" i="13"/>
  <c r="AC777" i="13"/>
  <c r="Y778" i="13"/>
  <c r="AB778" i="13"/>
  <c r="AC778" i="13" s="1"/>
  <c r="AB779" i="13"/>
  <c r="AC779" i="13"/>
  <c r="AB780" i="13"/>
  <c r="AC780" i="13"/>
  <c r="AB781" i="13"/>
  <c r="Y782" i="13"/>
  <c r="AB782" i="13"/>
  <c r="Y783" i="13"/>
  <c r="AB783" i="13"/>
  <c r="AC783" i="13"/>
  <c r="AB784" i="13"/>
  <c r="Y785" i="13"/>
  <c r="AB785" i="13"/>
  <c r="AC785" i="13"/>
  <c r="AB786" i="13"/>
  <c r="AC786" i="13"/>
  <c r="Y787" i="13"/>
  <c r="AB787" i="13"/>
  <c r="AC787" i="13" s="1"/>
  <c r="AB788" i="13"/>
  <c r="AC788" i="13"/>
  <c r="AB789" i="13"/>
  <c r="AC789" i="13"/>
  <c r="AB790" i="13"/>
  <c r="AC790" i="13" s="1"/>
  <c r="Y791" i="13"/>
  <c r="AB791" i="13"/>
  <c r="AC791" i="13"/>
  <c r="AB792" i="13"/>
  <c r="AC792" i="13"/>
  <c r="AB793" i="13"/>
  <c r="AC793" i="13"/>
  <c r="Y794" i="13"/>
  <c r="AB794" i="13"/>
  <c r="AB795" i="13"/>
  <c r="AC795" i="13"/>
  <c r="AB796" i="13"/>
  <c r="AC796" i="13" s="1"/>
  <c r="Y797" i="13"/>
  <c r="AB797" i="13"/>
  <c r="AC797" i="13"/>
  <c r="Y798" i="13"/>
  <c r="AB798" i="13"/>
  <c r="AC798" i="13" s="1"/>
  <c r="Y799" i="13"/>
  <c r="AB799" i="13"/>
  <c r="AC799" i="13"/>
  <c r="AB800" i="13"/>
  <c r="AC800" i="13"/>
  <c r="AB801" i="13"/>
  <c r="AC801" i="13" s="1"/>
  <c r="Y802" i="13"/>
  <c r="AB802" i="13"/>
  <c r="AC802" i="13"/>
  <c r="Y803" i="13"/>
  <c r="AB803" i="13"/>
  <c r="AC803" i="13" s="1"/>
  <c r="Y804" i="13"/>
  <c r="AB804" i="13"/>
  <c r="AC804" i="13" s="1"/>
  <c r="AB805" i="13"/>
  <c r="AC805" i="13" s="1"/>
  <c r="AB806" i="13"/>
  <c r="AC806" i="13" s="1"/>
  <c r="Y807" i="13"/>
  <c r="AB807" i="13"/>
  <c r="AC807" i="13" s="1"/>
  <c r="AB808" i="13"/>
  <c r="AC808" i="13" s="1"/>
  <c r="Y809" i="13"/>
  <c r="AB809" i="13"/>
  <c r="AC809" i="13"/>
  <c r="Y810" i="13"/>
  <c r="AB810" i="13"/>
  <c r="AC810" i="13" s="1"/>
  <c r="Y811" i="13"/>
  <c r="AB811" i="13"/>
  <c r="AC811" i="13" s="1"/>
  <c r="AB812" i="13"/>
  <c r="AC812" i="13"/>
  <c r="AB668" i="13"/>
  <c r="AC668" i="13"/>
  <c r="AB669" i="13"/>
  <c r="AC669" i="13"/>
  <c r="AB670" i="13"/>
  <c r="AC670" i="13"/>
  <c r="AB671" i="13"/>
  <c r="AC671" i="13"/>
  <c r="AB672" i="13"/>
  <c r="AC672" i="13"/>
  <c r="AB673" i="13"/>
  <c r="AC673" i="13"/>
  <c r="AB674" i="13"/>
  <c r="AC674" i="13"/>
  <c r="AB675" i="13"/>
  <c r="AC675" i="13"/>
  <c r="AB676" i="13"/>
  <c r="AC676" i="13"/>
  <c r="AB677" i="13"/>
  <c r="AC677" i="13"/>
  <c r="AB678" i="13"/>
  <c r="AC678" i="13"/>
  <c r="AB679" i="13"/>
  <c r="AC679" i="13"/>
  <c r="AB680" i="13"/>
  <c r="AC680" i="13"/>
  <c r="AB681" i="13"/>
  <c r="AC681" i="13"/>
  <c r="AB682" i="13"/>
  <c r="AC682" i="13"/>
  <c r="AB683" i="13"/>
  <c r="AC683" i="13"/>
  <c r="AB684" i="13"/>
  <c r="AC684" i="13"/>
  <c r="AB685" i="13"/>
  <c r="AC685" i="13"/>
  <c r="AB686" i="13"/>
  <c r="AC686" i="13"/>
  <c r="AB687" i="13"/>
  <c r="AC687" i="13"/>
  <c r="AB688" i="13"/>
  <c r="AC688" i="13"/>
  <c r="AB689" i="13"/>
  <c r="AC689" i="13"/>
  <c r="Y690" i="13"/>
  <c r="AB690" i="13"/>
  <c r="AC690" i="13" s="1"/>
  <c r="AB691" i="13"/>
  <c r="AC691" i="13" s="1"/>
  <c r="AB692" i="13"/>
  <c r="AC692" i="13" s="1"/>
  <c r="Y693" i="13"/>
  <c r="AB693" i="13"/>
  <c r="AC693" i="13" s="1"/>
  <c r="AB694" i="13"/>
  <c r="AB695" i="13"/>
  <c r="AC695" i="13" s="1"/>
  <c r="AB696" i="13"/>
  <c r="AC696" i="13" s="1"/>
  <c r="AB697" i="13"/>
  <c r="AC697" i="13" s="1"/>
  <c r="Y698" i="13"/>
  <c r="AB698" i="13"/>
  <c r="AC698" i="13" s="1"/>
  <c r="AC699" i="13"/>
  <c r="AB699" i="13"/>
  <c r="AB700" i="13"/>
  <c r="AC700" i="13"/>
  <c r="AC701" i="13"/>
  <c r="AB701" i="13"/>
  <c r="AB702" i="13"/>
  <c r="AC702" i="13"/>
  <c r="AB703" i="13"/>
  <c r="AC703" i="13"/>
  <c r="AB704" i="13"/>
  <c r="AC704" i="13"/>
  <c r="Y705" i="13"/>
  <c r="AB705" i="13"/>
  <c r="AC705" i="13" s="1"/>
  <c r="AC706" i="13"/>
  <c r="AB706" i="13"/>
  <c r="AC707" i="13"/>
  <c r="AB707" i="13"/>
  <c r="AC708" i="13"/>
  <c r="AB708" i="13"/>
  <c r="AB709" i="13"/>
  <c r="AC709" i="13" s="1"/>
  <c r="AC710" i="13"/>
  <c r="AB710" i="13"/>
  <c r="AC711" i="13"/>
  <c r="AB711" i="13"/>
  <c r="AC712" i="13"/>
  <c r="AB712" i="13"/>
  <c r="AC713" i="13"/>
  <c r="AB713" i="13"/>
  <c r="AC714" i="13"/>
  <c r="AB714" i="13"/>
  <c r="AC715" i="13"/>
  <c r="AB715" i="13"/>
  <c r="AB716" i="13"/>
  <c r="AC716" i="13"/>
  <c r="AC717" i="13"/>
  <c r="AB717" i="13"/>
  <c r="AB718" i="13"/>
  <c r="AC718" i="13"/>
  <c r="AB719" i="13"/>
  <c r="AC719" i="13"/>
  <c r="AC720" i="13"/>
  <c r="AB720" i="13"/>
  <c r="AC721" i="13"/>
  <c r="AB721" i="13"/>
  <c r="AC722" i="13"/>
  <c r="AB722" i="13"/>
  <c r="AC723" i="13"/>
  <c r="AB723" i="13"/>
  <c r="AC724" i="13"/>
  <c r="AB724" i="13"/>
  <c r="AC725" i="13"/>
  <c r="AB725" i="13"/>
  <c r="AC726" i="13"/>
  <c r="AB726" i="13"/>
  <c r="AC727" i="13"/>
  <c r="AB727" i="13"/>
  <c r="AC728" i="13"/>
  <c r="AB728" i="13"/>
  <c r="AB729" i="13"/>
  <c r="AC729" i="13"/>
  <c r="AB730" i="13"/>
  <c r="AC730" i="13"/>
  <c r="AB731" i="13"/>
  <c r="AC731" i="13"/>
  <c r="AC732" i="13"/>
  <c r="AB732" i="13"/>
  <c r="AC733" i="13"/>
  <c r="AB733" i="13"/>
  <c r="AC734" i="13"/>
  <c r="AB734" i="13"/>
  <c r="AC735" i="13"/>
  <c r="AB735" i="13"/>
  <c r="AB736" i="13"/>
  <c r="AC736" i="13"/>
  <c r="AC737" i="13"/>
  <c r="AB737" i="13"/>
  <c r="AC738" i="13"/>
  <c r="AB738" i="13"/>
  <c r="AC739" i="13"/>
  <c r="AB739" i="13"/>
  <c r="AC740" i="13"/>
  <c r="AB740" i="13"/>
  <c r="AB741" i="13"/>
  <c r="AC741" i="13"/>
  <c r="AC742" i="13"/>
  <c r="AB742" i="13"/>
  <c r="AC743" i="13"/>
  <c r="AB743" i="13"/>
  <c r="AB744" i="13"/>
  <c r="AC744" i="13"/>
  <c r="AC745" i="13"/>
  <c r="AB745" i="13"/>
  <c r="AB746" i="13"/>
  <c r="AC746" i="13"/>
  <c r="AC747" i="13"/>
  <c r="AB747" i="13"/>
  <c r="AB748" i="13"/>
  <c r="AB749" i="13"/>
  <c r="AB750" i="13"/>
  <c r="AC750" i="13"/>
  <c r="AC751" i="13"/>
  <c r="AB751" i="13"/>
  <c r="AC752" i="13"/>
  <c r="AB752" i="13"/>
  <c r="AC753" i="13"/>
  <c r="AB753" i="13"/>
  <c r="AB754" i="13"/>
  <c r="Y755" i="13"/>
  <c r="AB755" i="13"/>
  <c r="AC755" i="13"/>
  <c r="AB756" i="13"/>
  <c r="AC756" i="13"/>
  <c r="AB757" i="13"/>
  <c r="AC757" i="13"/>
  <c r="Y758" i="13"/>
  <c r="AB758" i="13"/>
  <c r="AC758" i="13" s="1"/>
  <c r="Y759" i="13"/>
  <c r="AB759" i="13"/>
  <c r="AC759" i="13" s="1"/>
  <c r="AB760" i="13"/>
  <c r="AC760" i="13" s="1"/>
  <c r="AB761" i="13"/>
  <c r="AC761" i="13" s="1"/>
  <c r="Y762" i="13"/>
  <c r="AB762" i="13"/>
  <c r="AC762" i="13"/>
  <c r="Y763" i="13"/>
  <c r="AB763" i="13"/>
  <c r="AC763" i="13"/>
  <c r="AB764" i="13"/>
  <c r="AC764" i="13"/>
  <c r="AB765" i="13"/>
  <c r="AC765" i="13"/>
  <c r="AB766" i="13"/>
  <c r="AB767" i="13"/>
  <c r="AB768" i="13"/>
  <c r="AC768" i="13"/>
  <c r="AB769" i="13"/>
  <c r="AC769" i="13"/>
  <c r="AB770" i="13"/>
  <c r="AC770" i="13"/>
  <c r="AB771" i="13"/>
  <c r="AC771" i="13"/>
  <c r="AB772" i="13"/>
  <c r="AC772" i="13"/>
  <c r="Y584" i="13"/>
  <c r="AB584" i="13"/>
  <c r="AC584" i="13" s="1"/>
  <c r="Y585" i="13"/>
  <c r="AB585" i="13"/>
  <c r="AB586" i="13"/>
  <c r="AC586" i="13"/>
  <c r="AB587" i="13"/>
  <c r="AC587" i="13"/>
  <c r="AB588" i="13"/>
  <c r="AC588" i="13"/>
  <c r="AC589" i="13"/>
  <c r="AB589" i="13"/>
  <c r="AB590" i="13"/>
  <c r="AC590" i="13"/>
  <c r="AB591" i="13"/>
  <c r="AC591" i="13"/>
  <c r="Y592" i="13"/>
  <c r="AB592" i="13"/>
  <c r="AC592" i="13" s="1"/>
  <c r="AB593" i="13"/>
  <c r="AC593" i="13"/>
  <c r="AC594" i="13"/>
  <c r="AB594" i="13"/>
  <c r="AC595" i="13"/>
  <c r="AB595" i="13"/>
  <c r="AC596" i="13"/>
  <c r="AB596" i="13"/>
  <c r="AB597" i="13"/>
  <c r="AC597" i="13"/>
  <c r="AB598" i="13"/>
  <c r="AC598" i="13"/>
  <c r="AB599" i="13"/>
  <c r="AC599" i="13"/>
  <c r="AB600" i="13"/>
  <c r="AC600" i="13"/>
  <c r="AC601" i="13"/>
  <c r="AB601" i="13"/>
  <c r="AB602" i="13"/>
  <c r="AC602" i="13" s="1"/>
  <c r="AC603" i="13"/>
  <c r="AB603" i="13"/>
  <c r="AB604" i="13"/>
  <c r="AC604" i="13"/>
  <c r="AB605" i="13"/>
  <c r="AC605" i="13"/>
  <c r="AB606" i="13"/>
  <c r="AC606" i="13"/>
  <c r="AB607" i="13"/>
  <c r="AC607" i="13"/>
  <c r="AB608" i="13"/>
  <c r="AC608" i="13"/>
  <c r="AB609" i="13"/>
  <c r="AC609" i="13"/>
  <c r="AB610" i="13"/>
  <c r="AC610" i="13"/>
  <c r="AB611" i="13"/>
  <c r="AC611" i="13"/>
  <c r="Y612" i="13"/>
  <c r="AB612" i="13"/>
  <c r="AC612" i="13"/>
  <c r="AC613" i="13"/>
  <c r="AB613" i="13"/>
  <c r="Y614" i="13"/>
  <c r="AB614" i="13"/>
  <c r="AC614" i="13"/>
  <c r="AC615" i="13"/>
  <c r="AB615" i="13"/>
  <c r="AC616" i="13"/>
  <c r="AB616" i="13"/>
  <c r="AC617" i="13"/>
  <c r="AB617" i="13"/>
  <c r="AB618" i="13"/>
  <c r="AC618" i="13"/>
  <c r="AC619" i="13"/>
  <c r="AB619" i="13"/>
  <c r="AC620" i="13"/>
  <c r="AB620" i="13"/>
  <c r="AB621" i="13"/>
  <c r="AC621" i="13"/>
  <c r="AC622" i="13"/>
  <c r="AB622" i="13"/>
  <c r="AB623" i="13"/>
  <c r="AC623" i="13" s="1"/>
  <c r="AB624" i="13"/>
  <c r="AC624" i="13"/>
  <c r="AB625" i="13"/>
  <c r="AC625" i="13"/>
  <c r="AC626" i="13"/>
  <c r="AB626" i="13"/>
  <c r="Y627" i="13"/>
  <c r="AB627" i="13"/>
  <c r="AC627" i="13" s="1"/>
  <c r="Y628" i="13"/>
  <c r="AB628" i="13"/>
  <c r="AC628" i="13"/>
  <c r="Y629" i="13"/>
  <c r="AB629" i="13"/>
  <c r="AC629" i="13"/>
  <c r="Y630" i="13"/>
  <c r="AB630" i="13"/>
  <c r="AC630" i="13" s="1"/>
  <c r="Y631" i="13"/>
  <c r="AB631" i="13"/>
  <c r="AC631" i="13"/>
  <c r="Y632" i="13"/>
  <c r="AB632" i="13"/>
  <c r="AC632" i="13" s="1"/>
  <c r="Y633" i="13"/>
  <c r="AB633" i="13"/>
  <c r="AC633" i="13" s="1"/>
  <c r="AB634" i="13"/>
  <c r="AC634" i="13" s="1"/>
  <c r="AB635" i="13"/>
  <c r="AC635" i="13"/>
  <c r="Y636" i="13"/>
  <c r="AB636" i="13"/>
  <c r="AC636" i="13" s="1"/>
  <c r="AC637" i="13"/>
  <c r="AB637" i="13"/>
  <c r="AC638" i="13"/>
  <c r="AB638" i="13"/>
  <c r="AC639" i="13"/>
  <c r="AB639" i="13"/>
  <c r="AC640" i="13"/>
  <c r="AB640" i="13"/>
  <c r="AC641" i="13"/>
  <c r="AB641" i="13"/>
  <c r="AB642" i="13"/>
  <c r="AC642" i="13"/>
  <c r="AB643" i="13"/>
  <c r="AC643" i="13"/>
  <c r="AB644" i="13"/>
  <c r="AC644" i="13"/>
  <c r="AC645" i="13"/>
  <c r="AB645" i="13"/>
  <c r="AB646" i="13"/>
  <c r="AC646" i="13"/>
  <c r="AC647" i="13"/>
  <c r="AB647" i="13"/>
  <c r="AB648" i="13"/>
  <c r="AC648" i="13"/>
  <c r="AB649" i="13"/>
  <c r="AC649" i="13"/>
  <c r="Y650" i="13"/>
  <c r="AB650" i="13"/>
  <c r="AC650" i="13"/>
  <c r="Y651" i="13"/>
  <c r="AB651" i="13"/>
  <c r="AC651" i="13" s="1"/>
  <c r="Y652" i="13"/>
  <c r="AB652" i="13"/>
  <c r="AC652" i="13"/>
  <c r="AB653" i="13"/>
  <c r="AB654" i="13"/>
  <c r="AC654" i="13"/>
  <c r="AB655" i="13"/>
  <c r="AC655" i="13"/>
  <c r="AB656" i="13"/>
  <c r="AC656" i="13"/>
  <c r="AB657" i="13"/>
  <c r="AC657" i="13"/>
  <c r="AC658" i="13"/>
  <c r="AB658" i="13"/>
  <c r="AC659" i="13"/>
  <c r="AB659" i="13"/>
  <c r="AC660" i="13"/>
  <c r="AB660" i="13"/>
  <c r="AC661" i="13"/>
  <c r="AB661" i="13"/>
  <c r="AC662" i="13"/>
  <c r="AB662" i="13"/>
  <c r="Y663" i="13"/>
  <c r="AB663" i="13"/>
  <c r="AC663" i="13"/>
  <c r="Y664" i="13"/>
  <c r="AB664" i="13"/>
  <c r="AC664" i="13" s="1"/>
  <c r="AC665" i="13"/>
  <c r="AB665" i="13"/>
  <c r="AC666" i="13"/>
  <c r="AB666" i="13"/>
  <c r="AC667" i="13"/>
  <c r="AB667" i="13"/>
  <c r="Y580" i="13"/>
  <c r="AB580" i="13"/>
  <c r="AC580" i="13"/>
  <c r="Y581" i="13"/>
  <c r="AC581" i="13"/>
  <c r="AB581" i="13"/>
  <c r="Y582" i="13"/>
  <c r="AB582" i="13"/>
  <c r="AC582" i="13" s="1"/>
  <c r="Y583" i="13"/>
  <c r="AB583" i="13"/>
  <c r="AC583" i="13" s="1"/>
  <c r="Y928" i="13"/>
  <c r="Y930" i="13"/>
  <c r="Z930" i="13"/>
  <c r="Z934" i="13"/>
  <c r="Y934" i="13"/>
  <c r="Y938" i="13"/>
  <c r="Z938" i="13"/>
  <c r="Y939" i="13"/>
  <c r="Z939" i="13"/>
  <c r="Y940" i="13"/>
  <c r="Z945" i="13"/>
  <c r="Y945" i="13"/>
  <c r="Y946" i="13"/>
  <c r="Y874" i="13"/>
  <c r="Y876" i="13"/>
  <c r="Y877" i="13"/>
  <c r="Y879" i="13"/>
  <c r="Y883" i="13"/>
  <c r="Z883" i="13"/>
  <c r="Z885" i="13"/>
  <c r="Y885" i="13"/>
  <c r="Y888" i="13"/>
  <c r="Y891" i="13"/>
  <c r="Y900" i="13"/>
  <c r="Y903" i="13"/>
  <c r="Y904" i="13"/>
  <c r="Z907" i="13"/>
  <c r="Y907" i="13"/>
  <c r="Y908" i="13"/>
  <c r="Y912" i="13"/>
  <c r="Y913" i="13"/>
  <c r="Y915" i="13"/>
  <c r="Y918" i="13"/>
  <c r="Y924" i="13"/>
  <c r="Y927" i="13"/>
  <c r="Y813" i="13"/>
  <c r="Z814" i="13"/>
  <c r="Y814" i="13"/>
  <c r="Y815" i="13"/>
  <c r="Y816" i="13"/>
  <c r="Y821" i="13"/>
  <c r="Y825" i="13"/>
  <c r="Y826" i="13"/>
  <c r="Y827" i="13"/>
  <c r="Y828" i="13"/>
  <c r="Z828" i="13"/>
  <c r="Y829" i="13"/>
  <c r="Y832" i="13"/>
  <c r="Y836" i="13"/>
  <c r="Y838" i="13"/>
  <c r="Z839" i="13"/>
  <c r="Y839" i="13"/>
  <c r="Y840" i="13"/>
  <c r="Z841" i="13"/>
  <c r="Y841" i="13"/>
  <c r="Y842" i="13"/>
  <c r="Y848" i="13"/>
  <c r="Y849" i="13"/>
  <c r="Y850" i="13"/>
  <c r="Y851" i="13"/>
  <c r="Y852" i="13"/>
  <c r="Y853" i="13"/>
  <c r="Y856" i="13"/>
  <c r="Y860" i="13"/>
  <c r="Y861" i="13"/>
  <c r="Y862" i="13"/>
  <c r="Y863" i="13"/>
  <c r="Y864" i="13"/>
  <c r="Y865" i="13"/>
  <c r="Y866" i="13"/>
  <c r="Y774" i="13"/>
  <c r="Z774" i="13"/>
  <c r="Y776" i="13"/>
  <c r="Y779" i="13"/>
  <c r="Z779" i="13"/>
  <c r="Y780" i="13"/>
  <c r="Y781" i="13"/>
  <c r="Y784" i="13"/>
  <c r="Y786" i="13"/>
  <c r="Z786" i="13"/>
  <c r="Y788" i="13"/>
  <c r="Y789" i="13"/>
  <c r="Z789" i="13"/>
  <c r="Y790" i="13"/>
  <c r="Z792" i="13"/>
  <c r="Y792" i="13"/>
  <c r="Y793" i="13"/>
  <c r="Z793" i="13"/>
  <c r="Y795" i="13"/>
  <c r="Y796" i="13"/>
  <c r="Y800" i="13"/>
  <c r="Y801" i="13"/>
  <c r="Y805" i="13"/>
  <c r="Y806" i="13"/>
  <c r="Y808" i="13"/>
  <c r="Y812" i="13"/>
  <c r="Y668" i="13"/>
  <c r="Z668" i="13"/>
  <c r="Y669" i="13"/>
  <c r="Z669" i="13"/>
  <c r="Z670" i="13"/>
  <c r="Y670" i="13"/>
  <c r="Z671" i="13"/>
  <c r="Y671" i="13"/>
  <c r="Z672" i="13"/>
  <c r="Y672" i="13"/>
  <c r="Y673" i="13"/>
  <c r="Z673" i="13"/>
  <c r="Z674" i="13"/>
  <c r="Y674" i="13"/>
  <c r="Y675" i="13"/>
  <c r="Z675" i="13"/>
  <c r="Y676" i="13"/>
  <c r="Z676" i="13"/>
  <c r="Z677" i="13"/>
  <c r="Y677" i="13"/>
  <c r="Y678" i="13"/>
  <c r="Z678" i="13"/>
  <c r="Y679" i="13"/>
  <c r="Z679" i="13"/>
  <c r="Z680" i="13"/>
  <c r="Y680" i="13"/>
  <c r="Z681" i="13"/>
  <c r="Y681" i="13"/>
  <c r="Y682" i="13"/>
  <c r="Z682" i="13"/>
  <c r="Y683" i="13"/>
  <c r="Z683" i="13"/>
  <c r="Z684" i="13"/>
  <c r="Y684" i="13"/>
  <c r="Z685" i="13"/>
  <c r="Y685" i="13"/>
  <c r="Y686" i="13"/>
  <c r="Z686" i="13"/>
  <c r="Y687" i="13"/>
  <c r="Z687" i="13"/>
  <c r="Y688" i="13"/>
  <c r="Z688" i="13"/>
  <c r="Z689" i="13"/>
  <c r="Y689" i="13"/>
  <c r="Y691" i="13"/>
  <c r="Y692" i="13"/>
  <c r="Y694" i="13"/>
  <c r="Y695" i="13"/>
  <c r="Y696" i="13"/>
  <c r="Y697" i="13"/>
  <c r="Z699" i="13"/>
  <c r="Y699" i="13"/>
  <c r="Y700" i="13"/>
  <c r="Z700" i="13"/>
  <c r="Z701" i="13"/>
  <c r="Y701" i="13"/>
  <c r="Y702" i="13"/>
  <c r="Z702" i="13"/>
  <c r="Z703" i="13"/>
  <c r="Y703" i="13"/>
  <c r="Y704" i="13"/>
  <c r="Z704" i="13"/>
  <c r="Z706" i="13"/>
  <c r="Y706" i="13"/>
  <c r="Y707" i="13"/>
  <c r="Z707" i="13"/>
  <c r="Y708" i="13"/>
  <c r="Z708" i="13"/>
  <c r="Y709" i="13"/>
  <c r="Y710" i="13"/>
  <c r="Z710" i="13"/>
  <c r="Y711" i="13"/>
  <c r="Z711" i="13"/>
  <c r="Z712" i="13"/>
  <c r="Y712" i="13"/>
  <c r="Y713" i="13"/>
  <c r="Z713" i="13"/>
  <c r="Z714" i="13"/>
  <c r="Y714" i="13"/>
  <c r="Y715" i="13"/>
  <c r="Z715" i="13"/>
  <c r="Z716" i="13"/>
  <c r="Y716" i="13"/>
  <c r="Y717" i="13"/>
  <c r="Z717" i="13"/>
  <c r="Y718" i="13"/>
  <c r="Z718" i="13"/>
  <c r="Y719" i="13"/>
  <c r="Z719" i="13"/>
  <c r="Z720" i="13"/>
  <c r="Y720" i="13"/>
  <c r="Y721" i="13"/>
  <c r="Z721" i="13"/>
  <c r="Z722" i="13"/>
  <c r="Y722" i="13"/>
  <c r="Y723" i="13"/>
  <c r="Z723" i="13"/>
  <c r="Z724" i="13"/>
  <c r="Y724" i="13"/>
  <c r="Y725" i="13"/>
  <c r="Z725" i="13"/>
  <c r="Z726" i="13"/>
  <c r="Y726" i="13"/>
  <c r="Z727" i="13"/>
  <c r="Y727" i="13"/>
  <c r="Y728" i="13"/>
  <c r="Z728" i="13"/>
  <c r="Z729" i="13"/>
  <c r="Y729" i="13"/>
  <c r="Y730" i="13"/>
  <c r="Z730" i="13"/>
  <c r="Y731" i="13"/>
  <c r="Z731" i="13"/>
  <c r="Y732" i="13"/>
  <c r="Z732" i="13"/>
  <c r="Y733" i="13"/>
  <c r="Z733" i="13"/>
  <c r="Y734" i="13"/>
  <c r="Z734" i="13"/>
  <c r="Y735" i="13"/>
  <c r="Z735" i="13"/>
  <c r="Y736" i="13"/>
  <c r="Z736" i="13"/>
  <c r="Z737" i="13"/>
  <c r="Y737" i="13"/>
  <c r="Y738" i="13"/>
  <c r="Z738" i="13"/>
  <c r="Y739" i="13"/>
  <c r="Z739" i="13"/>
  <c r="Z740" i="13"/>
  <c r="Y740" i="13"/>
  <c r="Z741" i="13"/>
  <c r="Y741" i="13"/>
  <c r="Y742" i="13"/>
  <c r="Z742" i="13"/>
  <c r="Y743" i="13"/>
  <c r="Z743" i="13"/>
  <c r="Z744" i="13"/>
  <c r="Y744" i="13"/>
  <c r="Y745" i="13"/>
  <c r="Z745" i="13"/>
  <c r="Y746" i="13"/>
  <c r="Z746" i="13"/>
  <c r="Z747" i="13"/>
  <c r="Y747" i="13"/>
  <c r="Y748" i="13"/>
  <c r="Y749" i="13"/>
  <c r="Z750" i="13"/>
  <c r="Y750" i="13"/>
  <c r="Z751" i="13"/>
  <c r="Y751" i="13"/>
  <c r="Z752" i="13"/>
  <c r="Y752" i="13"/>
  <c r="Y753" i="13"/>
  <c r="Z753" i="13"/>
  <c r="Y754" i="13"/>
  <c r="Z756" i="13"/>
  <c r="Y756" i="13"/>
  <c r="Z757" i="13"/>
  <c r="Y757" i="13"/>
  <c r="Y760" i="13"/>
  <c r="Y761" i="13"/>
  <c r="Y764" i="13"/>
  <c r="Y765" i="13"/>
  <c r="Z765" i="13"/>
  <c r="Y766" i="13"/>
  <c r="Y767" i="13"/>
  <c r="Y768" i="13"/>
  <c r="Y769" i="13"/>
  <c r="Z769" i="13"/>
  <c r="Z770" i="13"/>
  <c r="Y770" i="13"/>
  <c r="Z771" i="13"/>
  <c r="Y771" i="13"/>
  <c r="Y772" i="13"/>
  <c r="Z772" i="13"/>
  <c r="Y586" i="13"/>
  <c r="Y587" i="13"/>
  <c r="Y588" i="13"/>
  <c r="Z588" i="13"/>
  <c r="Y589" i="13"/>
  <c r="Z589" i="13"/>
  <c r="Y590" i="13"/>
  <c r="Z590" i="13"/>
  <c r="Y591" i="13"/>
  <c r="Z591" i="13"/>
  <c r="Y593" i="13"/>
  <c r="Z593" i="13"/>
  <c r="Y594" i="13"/>
  <c r="Z594" i="13"/>
  <c r="Y595" i="13"/>
  <c r="Z595" i="13"/>
  <c r="Y596" i="13"/>
  <c r="Z596" i="13"/>
  <c r="Y597" i="13"/>
  <c r="Z597" i="13"/>
  <c r="Y598" i="13"/>
  <c r="Z598" i="13"/>
  <c r="Y599" i="13"/>
  <c r="Z599" i="13"/>
  <c r="Y600" i="13"/>
  <c r="Z600" i="13"/>
  <c r="Z601" i="13"/>
  <c r="Y601" i="13"/>
  <c r="Y602" i="13"/>
  <c r="Z603" i="13"/>
  <c r="Y603" i="13"/>
  <c r="Z604" i="13"/>
  <c r="Y604" i="13"/>
  <c r="Z605" i="13"/>
  <c r="Y605" i="13"/>
  <c r="Z606" i="13"/>
  <c r="Y606" i="13"/>
  <c r="Z607" i="13"/>
  <c r="Y607" i="13"/>
  <c r="Z608" i="13"/>
  <c r="Y608" i="13"/>
  <c r="Z609" i="13"/>
  <c r="Y609" i="13"/>
  <c r="Y610" i="13"/>
  <c r="Y611" i="13"/>
  <c r="Z613" i="13"/>
  <c r="Y613" i="13"/>
  <c r="Z615" i="13"/>
  <c r="Y615" i="13"/>
  <c r="Z616" i="13"/>
  <c r="Y616" i="13"/>
  <c r="Y617" i="13"/>
  <c r="Z617" i="13"/>
  <c r="Y618" i="13"/>
  <c r="Z618" i="13"/>
  <c r="Y619" i="13"/>
  <c r="Z619" i="13"/>
  <c r="Y620" i="13"/>
  <c r="Z620" i="13"/>
  <c r="Y621" i="13"/>
  <c r="Z621" i="13"/>
  <c r="Y622" i="13"/>
  <c r="Z622" i="13"/>
  <c r="Y623" i="13"/>
  <c r="Y624" i="13"/>
  <c r="Z624" i="13"/>
  <c r="Z625" i="13"/>
  <c r="Y625" i="13"/>
  <c r="Y626" i="13"/>
  <c r="Z626" i="13"/>
  <c r="Y634" i="13"/>
  <c r="Y635" i="13"/>
  <c r="Y637" i="13"/>
  <c r="Z637" i="13"/>
  <c r="Z638" i="13"/>
  <c r="Y638" i="13"/>
  <c r="Z639" i="13"/>
  <c r="Y639" i="13"/>
  <c r="Z640" i="13"/>
  <c r="Y640" i="13"/>
  <c r="Z641" i="13"/>
  <c r="Y641" i="13"/>
  <c r="Z642" i="13"/>
  <c r="Y642" i="13"/>
  <c r="Z643" i="13"/>
  <c r="Y643" i="13"/>
  <c r="Z644" i="13"/>
  <c r="Y644" i="13"/>
  <c r="Y645" i="13"/>
  <c r="Z645" i="13"/>
  <c r="Y646" i="13"/>
  <c r="Z646" i="13"/>
  <c r="Y647" i="13"/>
  <c r="Z647" i="13"/>
  <c r="Y648" i="13"/>
  <c r="Z648" i="13"/>
  <c r="Z649" i="13"/>
  <c r="Y649" i="13"/>
  <c r="Y653" i="13"/>
  <c r="Z654" i="13"/>
  <c r="Y654" i="13"/>
  <c r="Y655" i="13"/>
  <c r="Z655" i="13"/>
  <c r="Y656" i="13"/>
  <c r="Z656" i="13"/>
  <c r="Z657" i="13"/>
  <c r="Y657" i="13"/>
  <c r="Z658" i="13"/>
  <c r="Y658" i="13"/>
  <c r="Z659" i="13"/>
  <c r="Y659" i="13"/>
  <c r="Z660" i="13"/>
  <c r="Y660" i="13"/>
  <c r="Y661" i="13"/>
  <c r="Z661" i="13"/>
  <c r="Z662" i="13"/>
  <c r="Y662" i="13"/>
  <c r="Z665" i="13"/>
  <c r="Y665" i="13"/>
  <c r="Y666" i="13"/>
  <c r="Z666" i="13"/>
  <c r="Y667" i="13"/>
  <c r="Z667" i="13"/>
  <c r="AH822" i="13"/>
  <c r="AJ822" i="13" s="1"/>
  <c r="Z917" i="13"/>
  <c r="Z916" i="13"/>
  <c r="Z892" i="13"/>
  <c r="Z944" i="13"/>
  <c r="Z932" i="13"/>
  <c r="AL794" i="13"/>
  <c r="AL843" i="13"/>
  <c r="Z582" i="13"/>
  <c r="Z817" i="13"/>
  <c r="Z931" i="13"/>
  <c r="Z755" i="13"/>
  <c r="Z803" i="13"/>
  <c r="Z791" i="13"/>
  <c r="AL878" i="13"/>
  <c r="AL942" i="13"/>
  <c r="AL930" i="13"/>
  <c r="Z650" i="13"/>
  <c r="Z819" i="13"/>
  <c r="AL625" i="13"/>
  <c r="Z580" i="13"/>
  <c r="Z802" i="13"/>
  <c r="Z778" i="13"/>
  <c r="Z889" i="13"/>
  <c r="Z867" i="13"/>
  <c r="Z633" i="13"/>
  <c r="AL585" i="13"/>
  <c r="Z905" i="13"/>
  <c r="AL945" i="13"/>
  <c r="Z583" i="13"/>
  <c r="AL637" i="13"/>
  <c r="Z818" i="13"/>
  <c r="Z581" i="13"/>
  <c r="AL632" i="13"/>
  <c r="AL752" i="13"/>
  <c r="AL837" i="13"/>
  <c r="Z911" i="13"/>
  <c r="Z887" i="13"/>
  <c r="Z875" i="13"/>
  <c r="Z922" i="13"/>
  <c r="AL910" i="13"/>
  <c r="AL898" i="13"/>
  <c r="AL886" i="13"/>
  <c r="Z921" i="13"/>
  <c r="Z909" i="13"/>
  <c r="Z897" i="13"/>
  <c r="Z873" i="13"/>
  <c r="AL824" i="13"/>
  <c r="AL690" i="13"/>
  <c r="AL859" i="13"/>
  <c r="AL823" i="13"/>
  <c r="AL834" i="13"/>
  <c r="AL822" i="13"/>
  <c r="AL920" i="13"/>
  <c r="Z896" i="13"/>
  <c r="Z872" i="13"/>
  <c r="Z936" i="13"/>
  <c r="Z631" i="13"/>
  <c r="Z763" i="13"/>
  <c r="Z810" i="13"/>
  <c r="Z809" i="13"/>
  <c r="Z797" i="13"/>
  <c r="Z785" i="13"/>
  <c r="Z773" i="13"/>
  <c r="Z664" i="13"/>
  <c r="Z652" i="13"/>
  <c r="Z869" i="13"/>
  <c r="AL845" i="13"/>
  <c r="Z833" i="13"/>
  <c r="AL919" i="13"/>
  <c r="Z895" i="13"/>
  <c r="Z935" i="13"/>
  <c r="AL595" i="13"/>
  <c r="Z630" i="13"/>
  <c r="Z762" i="13"/>
  <c r="Z798" i="13"/>
  <c r="Z663" i="13"/>
  <c r="Z651" i="13"/>
  <c r="AL627" i="13"/>
  <c r="AL711" i="13"/>
  <c r="AL675" i="13"/>
  <c r="Z783" i="13"/>
  <c r="Z868" i="13"/>
  <c r="Z844" i="13"/>
  <c r="Z820" i="13"/>
  <c r="Z906" i="13"/>
  <c r="Z894" i="13"/>
  <c r="Z882" i="13"/>
  <c r="Z804" i="13"/>
  <c r="AI938" i="13"/>
  <c r="Z937" i="13"/>
  <c r="Z929" i="13"/>
  <c r="AL909" i="13"/>
  <c r="AL885" i="13"/>
  <c r="AI832" i="13"/>
  <c r="Z870" i="13"/>
  <c r="AH714" i="13"/>
  <c r="AJ714" i="13" s="1"/>
  <c r="AI899" i="13"/>
  <c r="AI873" i="13"/>
  <c r="AH919" i="13"/>
  <c r="AJ919" i="13" s="1"/>
  <c r="AH906" i="13"/>
  <c r="AJ906" i="13" s="1"/>
  <c r="AH882" i="13"/>
  <c r="AJ882" i="13" s="1"/>
  <c r="AL631" i="13"/>
  <c r="AH796" i="13"/>
  <c r="AJ796" i="13" s="1"/>
  <c r="AL887" i="13"/>
  <c r="Z943" i="13"/>
  <c r="AI923" i="13"/>
  <c r="Z919" i="13"/>
  <c r="Z614" i="13"/>
  <c r="AI918" i="13"/>
  <c r="Z871" i="13"/>
  <c r="Z777" i="13"/>
  <c r="AH633" i="13"/>
  <c r="AJ633" i="13" s="1"/>
  <c r="Z592" i="13"/>
  <c r="Z629" i="13"/>
  <c r="Z811" i="13"/>
  <c r="AH704" i="13"/>
  <c r="AJ704" i="13" s="1"/>
  <c r="AI704" i="13"/>
  <c r="AI790" i="13"/>
  <c r="AH867" i="13"/>
  <c r="AJ867" i="13" s="1"/>
  <c r="AI867" i="13"/>
  <c r="Z799" i="13"/>
  <c r="AI831" i="13"/>
  <c r="AI897" i="13"/>
  <c r="AL906" i="13"/>
  <c r="AI875" i="13"/>
  <c r="AL905" i="13"/>
  <c r="AL932" i="13"/>
  <c r="AI871" i="13"/>
  <c r="Z942" i="13"/>
  <c r="AH885" i="13"/>
  <c r="AJ885" i="13" s="1"/>
  <c r="Z923" i="13"/>
  <c r="Z898" i="13"/>
  <c r="Z586" i="13"/>
  <c r="AI908" i="13"/>
  <c r="AH908" i="13"/>
  <c r="AJ908" i="13" s="1"/>
  <c r="AH896" i="13"/>
  <c r="AJ896" i="13" s="1"/>
  <c r="AI896" i="13"/>
  <c r="AI620" i="13"/>
  <c r="Z761" i="13"/>
  <c r="AH858" i="13"/>
  <c r="AJ858" i="13" s="1"/>
  <c r="AI858" i="13"/>
  <c r="AH846" i="13"/>
  <c r="AJ846" i="13" s="1"/>
  <c r="AI846" i="13"/>
  <c r="Z821" i="13"/>
  <c r="Z842" i="13"/>
  <c r="AI715" i="13"/>
  <c r="AH770" i="13"/>
  <c r="AJ770" i="13" s="1"/>
  <c r="AI863" i="13"/>
  <c r="AI883" i="13"/>
  <c r="AL882" i="13"/>
  <c r="AH808" i="13"/>
  <c r="AJ808" i="13" s="1"/>
  <c r="Z824" i="13"/>
  <c r="AI944" i="13"/>
  <c r="AH910" i="13"/>
  <c r="AJ910" i="13" s="1"/>
  <c r="Z899" i="13"/>
  <c r="AH945" i="13"/>
  <c r="AJ945" i="13" s="1"/>
  <c r="AH887" i="13"/>
  <c r="AJ887" i="13" s="1"/>
  <c r="AH932" i="13"/>
  <c r="AJ932" i="13" s="1"/>
  <c r="AH928" i="13"/>
  <c r="AJ928" i="13" s="1"/>
  <c r="AL900" i="13"/>
  <c r="Z623" i="13"/>
  <c r="AL622" i="13"/>
  <c r="AL610" i="13"/>
  <c r="Z610" i="13"/>
  <c r="AH753" i="13"/>
  <c r="AJ753" i="13" s="1"/>
  <c r="AI753" i="13"/>
  <c r="AI702" i="13"/>
  <c r="AH649" i="13"/>
  <c r="AJ649" i="13" s="1"/>
  <c r="AI701" i="13"/>
  <c r="AH726" i="13"/>
  <c r="AJ726" i="13" s="1"/>
  <c r="AI726" i="13"/>
  <c r="AH678" i="13"/>
  <c r="AJ678" i="13" s="1"/>
  <c r="AI678" i="13"/>
  <c r="Z901" i="13"/>
  <c r="Z698" i="13"/>
  <c r="AL779" i="13"/>
  <c r="Z829" i="13"/>
  <c r="AL864" i="13"/>
  <c r="Z864" i="13"/>
  <c r="AL852" i="13"/>
  <c r="AL840" i="13"/>
  <c r="Z840" i="13"/>
  <c r="Z816" i="13"/>
  <c r="AI927" i="13"/>
  <c r="AH927" i="13"/>
  <c r="AJ927" i="13" s="1"/>
  <c r="AI915" i="13"/>
  <c r="AH915" i="13"/>
  <c r="AJ915" i="13" s="1"/>
  <c r="AH903" i="13"/>
  <c r="AJ903" i="13" s="1"/>
  <c r="AI903" i="13"/>
  <c r="AI891" i="13"/>
  <c r="AH891" i="13"/>
  <c r="AJ891" i="13" s="1"/>
  <c r="AH879" i="13"/>
  <c r="AJ879" i="13" s="1"/>
  <c r="AI879" i="13"/>
  <c r="AI926" i="13"/>
  <c r="AH926" i="13"/>
  <c r="AJ926" i="13" s="1"/>
  <c r="AH914" i="13"/>
  <c r="AJ914" i="13" s="1"/>
  <c r="AI914" i="13"/>
  <c r="AI890" i="13"/>
  <c r="AH890" i="13"/>
  <c r="AJ890" i="13" s="1"/>
  <c r="AI698" i="13"/>
  <c r="Z913" i="13"/>
  <c r="Z877" i="13"/>
  <c r="AI870" i="13"/>
  <c r="AH905" i="13"/>
  <c r="AJ905" i="13" s="1"/>
  <c r="AH840" i="13"/>
  <c r="AJ840" i="13" s="1"/>
  <c r="AI907" i="13"/>
  <c r="AH895" i="13"/>
  <c r="AJ895" i="13" s="1"/>
  <c r="AH824" i="13"/>
  <c r="AJ824" i="13" s="1"/>
  <c r="AH894" i="13"/>
  <c r="AJ894" i="13" s="1"/>
  <c r="AH920" i="13"/>
  <c r="AJ920" i="13" s="1"/>
  <c r="AI943" i="13"/>
  <c r="AH943" i="13"/>
  <c r="AJ943" i="13" s="1"/>
  <c r="Z880" i="13"/>
  <c r="AI921" i="13"/>
  <c r="AH909" i="13"/>
  <c r="AJ909" i="13" s="1"/>
  <c r="Z910" i="13"/>
  <c r="AI937" i="13"/>
  <c r="Z941" i="13"/>
  <c r="AH930" i="13"/>
  <c r="AJ930" i="13" s="1"/>
  <c r="AI911" i="13"/>
  <c r="Z933" i="13"/>
  <c r="AH878" i="13"/>
  <c r="AJ878" i="13" s="1"/>
  <c r="AL872" i="13"/>
  <c r="AI936" i="13"/>
  <c r="Z893" i="13"/>
  <c r="AI884" i="13"/>
  <c r="AH902" i="13"/>
  <c r="AJ902" i="13" s="1"/>
  <c r="AH874" i="13"/>
  <c r="AJ874" i="13" s="1"/>
  <c r="AL895" i="13"/>
  <c r="Z884" i="13"/>
  <c r="AH898" i="13"/>
  <c r="AJ898" i="13" s="1"/>
  <c r="AL894" i="13"/>
  <c r="AI931" i="13"/>
  <c r="Z925" i="13"/>
  <c r="Z881" i="13"/>
  <c r="Z920" i="13"/>
  <c r="AH942" i="13"/>
  <c r="AJ942" i="13" s="1"/>
  <c r="AH886" i="13"/>
  <c r="AJ886" i="13" s="1"/>
  <c r="AI747" i="13"/>
  <c r="AH747" i="13"/>
  <c r="AJ747" i="13" s="1"/>
  <c r="AI663" i="13"/>
  <c r="AI642" i="13"/>
  <c r="Z584" i="13"/>
  <c r="AI639" i="13"/>
  <c r="AL633" i="13"/>
  <c r="AL940" i="13"/>
  <c r="AL928" i="13"/>
  <c r="AH869" i="13"/>
  <c r="AJ869" i="13" s="1"/>
  <c r="AI869" i="13"/>
  <c r="AH857" i="13"/>
  <c r="AJ857" i="13" s="1"/>
  <c r="AI857" i="13"/>
  <c r="AH833" i="13"/>
  <c r="AJ833" i="13" s="1"/>
  <c r="AI833" i="13"/>
  <c r="AH821" i="13"/>
  <c r="AJ821" i="13" s="1"/>
  <c r="AI821" i="13"/>
  <c r="Z690" i="13"/>
  <c r="AH810" i="13"/>
  <c r="AJ810" i="13" s="1"/>
  <c r="AI762" i="13"/>
  <c r="AH786" i="13"/>
  <c r="AJ786" i="13" s="1"/>
  <c r="AI750" i="13"/>
  <c r="AI746" i="13"/>
  <c r="AH916" i="13"/>
  <c r="AJ916" i="13" s="1"/>
  <c r="AI916" i="13"/>
  <c r="AI904" i="13"/>
  <c r="AH904" i="13"/>
  <c r="AJ904" i="13" s="1"/>
  <c r="AH892" i="13"/>
  <c r="AJ892" i="13" s="1"/>
  <c r="AI892" i="13"/>
  <c r="AI880" i="13"/>
  <c r="AH880" i="13"/>
  <c r="AJ880" i="13" s="1"/>
  <c r="AL924" i="13"/>
  <c r="AL912" i="13"/>
  <c r="AL888" i="13"/>
  <c r="AL876" i="13"/>
  <c r="AI734" i="13"/>
  <c r="AH845" i="13"/>
  <c r="AJ845" i="13" s="1"/>
  <c r="AH827" i="13"/>
  <c r="AJ827" i="13" s="1"/>
  <c r="AI917" i="13"/>
  <c r="AI881" i="13"/>
  <c r="AL874" i="13"/>
  <c r="AH935" i="13"/>
  <c r="AJ935" i="13" s="1"/>
  <c r="AI935" i="13"/>
  <c r="AI847" i="13"/>
  <c r="AI946" i="13"/>
  <c r="AH946" i="13"/>
  <c r="AJ946" i="13" s="1"/>
  <c r="AI934" i="13"/>
  <c r="AH934" i="13"/>
  <c r="AJ934" i="13" s="1"/>
  <c r="AI893" i="13"/>
  <c r="AH922" i="13"/>
  <c r="AJ922" i="13" s="1"/>
  <c r="AI922" i="13"/>
  <c r="Z918" i="13"/>
  <c r="Z904" i="13"/>
  <c r="AH872" i="13"/>
  <c r="AJ872" i="13" s="1"/>
  <c r="AI868" i="13"/>
  <c r="AL902" i="13"/>
  <c r="AI939" i="13"/>
  <c r="AH940" i="13"/>
  <c r="AJ940" i="13" s="1"/>
  <c r="AI941" i="13"/>
  <c r="AH941" i="13"/>
  <c r="AJ941" i="13" s="1"/>
  <c r="AI929" i="13"/>
  <c r="AL929" i="13" s="1"/>
  <c r="AH929" i="13"/>
  <c r="AJ929" i="13" s="1"/>
  <c r="Z946" i="13"/>
  <c r="AI933" i="13"/>
  <c r="AH844" i="13"/>
  <c r="AJ844" i="13" s="1"/>
  <c r="AH843" i="13"/>
  <c r="AJ843" i="13" s="1"/>
  <c r="AI802" i="13"/>
  <c r="AI820" i="13"/>
  <c r="AL844" i="13"/>
  <c r="AI793" i="13"/>
  <c r="AL793" i="13" s="1"/>
  <c r="AI855" i="13"/>
  <c r="AL855" i="13" s="1"/>
  <c r="AI819" i="13"/>
  <c r="AL791" i="13"/>
  <c r="AH856" i="13"/>
  <c r="AJ856" i="13" s="1"/>
  <c r="AH791" i="13"/>
  <c r="AJ791" i="13" s="1"/>
  <c r="Z627" i="13"/>
  <c r="AL674" i="13"/>
  <c r="AI651" i="13"/>
  <c r="AH632" i="13"/>
  <c r="AJ632" i="13" s="1"/>
  <c r="AH729" i="13"/>
  <c r="AJ729" i="13" s="1"/>
  <c r="AI729" i="13"/>
  <c r="AH693" i="13"/>
  <c r="AJ693" i="13" s="1"/>
  <c r="AI693" i="13"/>
  <c r="AH681" i="13"/>
  <c r="AJ681" i="13" s="1"/>
  <c r="AI681" i="13"/>
  <c r="AH631" i="13"/>
  <c r="AJ631" i="13" s="1"/>
  <c r="AH711" i="13"/>
  <c r="AJ711" i="13" s="1"/>
  <c r="AH625" i="13"/>
  <c r="AJ625" i="13" s="1"/>
  <c r="AH710" i="13"/>
  <c r="AJ710" i="13" s="1"/>
  <c r="AH637" i="13"/>
  <c r="AJ637" i="13" s="1"/>
  <c r="AH675" i="13"/>
  <c r="AJ675" i="13" s="1"/>
  <c r="AH735" i="13"/>
  <c r="AJ735" i="13" s="1"/>
  <c r="AI735" i="13"/>
  <c r="AL720" i="13"/>
  <c r="Z628" i="13"/>
  <c r="AI589" i="13"/>
  <c r="AI759" i="13"/>
  <c r="AI758" i="13"/>
  <c r="AH758" i="13"/>
  <c r="AJ758" i="13" s="1"/>
  <c r="AI686" i="13"/>
  <c r="AH686" i="13"/>
  <c r="AJ686" i="13" s="1"/>
  <c r="AI584" i="13"/>
  <c r="AI800" i="13"/>
  <c r="AH800" i="13"/>
  <c r="AJ800" i="13" s="1"/>
  <c r="Z805" i="13"/>
  <c r="Z790" i="13"/>
  <c r="AI738" i="13"/>
  <c r="AH690" i="13"/>
  <c r="AJ690" i="13" s="1"/>
  <c r="AI737" i="13"/>
  <c r="AI805" i="13"/>
  <c r="AH805" i="13"/>
  <c r="AJ805" i="13" s="1"/>
  <c r="AH781" i="13"/>
  <c r="AJ781" i="13" s="1"/>
  <c r="AI781" i="13"/>
  <c r="AI803" i="13"/>
  <c r="AH803" i="13"/>
  <c r="AJ803" i="13" s="1"/>
  <c r="Z915" i="13"/>
  <c r="Z891" i="13"/>
  <c r="AI828" i="13"/>
  <c r="AH828" i="13"/>
  <c r="AJ828" i="13" s="1"/>
  <c r="AI816" i="13"/>
  <c r="AH816" i="13"/>
  <c r="AJ816" i="13" s="1"/>
  <c r="AL861" i="13"/>
  <c r="Z861" i="13"/>
  <c r="AL849" i="13"/>
  <c r="AL825" i="13"/>
  <c r="Z825" i="13"/>
  <c r="AL813" i="13"/>
  <c r="Z860" i="13"/>
  <c r="Z836" i="13"/>
  <c r="AH864" i="13"/>
  <c r="AJ864" i="13" s="1"/>
  <c r="AH798" i="13"/>
  <c r="AJ798" i="13" s="1"/>
  <c r="AL810" i="13"/>
  <c r="AI860" i="13"/>
  <c r="AH860" i="13"/>
  <c r="AJ860" i="13" s="1"/>
  <c r="AH848" i="13"/>
  <c r="AJ848" i="13" s="1"/>
  <c r="AI848" i="13"/>
  <c r="AI836" i="13"/>
  <c r="AH836" i="13"/>
  <c r="AJ836" i="13" s="1"/>
  <c r="AI799" i="13"/>
  <c r="AH797" i="13"/>
  <c r="AJ797" i="13" s="1"/>
  <c r="AL856" i="13"/>
  <c r="AH852" i="13"/>
  <c r="AJ852" i="13" s="1"/>
  <c r="AI784" i="13"/>
  <c r="AL798" i="13"/>
  <c r="Z837" i="13"/>
  <c r="AH774" i="13"/>
  <c r="AJ774" i="13" s="1"/>
  <c r="AH823" i="13"/>
  <c r="AJ823" i="13" s="1"/>
  <c r="AH839" i="13"/>
  <c r="AJ839" i="13" s="1"/>
  <c r="AI839" i="13"/>
  <c r="AI835" i="13"/>
  <c r="AH815" i="13"/>
  <c r="AJ815" i="13" s="1"/>
  <c r="AH859" i="13"/>
  <c r="AJ859" i="13" s="1"/>
  <c r="AH834" i="13"/>
  <c r="AJ834" i="13" s="1"/>
  <c r="Z857" i="13"/>
  <c r="Z831" i="13"/>
  <c r="AI851" i="13"/>
  <c r="Z855" i="13"/>
  <c r="Z830" i="13"/>
  <c r="Z854" i="13"/>
  <c r="AI925" i="13"/>
  <c r="AL925" i="13" s="1"/>
  <c r="AH925" i="13"/>
  <c r="AJ925" i="13" s="1"/>
  <c r="AI913" i="13"/>
  <c r="AH913" i="13"/>
  <c r="AJ913" i="13" s="1"/>
  <c r="AI901" i="13"/>
  <c r="AL901" i="13" s="1"/>
  <c r="AH901" i="13"/>
  <c r="AJ901" i="13" s="1"/>
  <c r="AI889" i="13"/>
  <c r="AH889" i="13"/>
  <c r="AJ889" i="13" s="1"/>
  <c r="AI877" i="13"/>
  <c r="AH877" i="13"/>
  <c r="AJ877" i="13" s="1"/>
  <c r="AH924" i="13"/>
  <c r="AJ924" i="13" s="1"/>
  <c r="AH912" i="13"/>
  <c r="AJ912" i="13" s="1"/>
  <c r="AH900" i="13"/>
  <c r="AJ900" i="13" s="1"/>
  <c r="AH888" i="13"/>
  <c r="AJ888" i="13" s="1"/>
  <c r="AH876" i="13"/>
  <c r="AJ876" i="13" s="1"/>
  <c r="Z914" i="13"/>
  <c r="Z902" i="13"/>
  <c r="AH630" i="13"/>
  <c r="AJ630" i="13" s="1"/>
  <c r="Z634" i="13"/>
  <c r="Z612" i="13"/>
  <c r="AI667" i="13"/>
  <c r="AI619" i="13"/>
  <c r="AI665" i="13"/>
  <c r="AI613" i="13"/>
  <c r="AL808" i="13"/>
  <c r="AC863" i="13"/>
  <c r="AL827" i="13"/>
  <c r="AL862" i="13"/>
  <c r="AC862" i="13"/>
  <c r="AL826" i="13"/>
  <c r="AI607" i="13"/>
  <c r="AI647" i="13"/>
  <c r="AH647" i="13"/>
  <c r="AJ647" i="13" s="1"/>
  <c r="Z851" i="13"/>
  <c r="AL815" i="13"/>
  <c r="Z815" i="13"/>
  <c r="AL850" i="13"/>
  <c r="AL814" i="13"/>
  <c r="AI657" i="13"/>
  <c r="AI601" i="13"/>
  <c r="AI654" i="13"/>
  <c r="AH595" i="13"/>
  <c r="AJ595" i="13" s="1"/>
  <c r="AI596" i="13"/>
  <c r="AH596" i="13"/>
  <c r="AJ596" i="13" s="1"/>
  <c r="AL796" i="13"/>
  <c r="AL838" i="13"/>
  <c r="AI666" i="13"/>
  <c r="AH666" i="13"/>
  <c r="AJ666" i="13" s="1"/>
  <c r="Z764" i="13"/>
  <c r="AI748" i="13"/>
  <c r="AH748" i="13"/>
  <c r="AJ748" i="13" s="1"/>
  <c r="AI676" i="13"/>
  <c r="AH676" i="13"/>
  <c r="AJ676" i="13" s="1"/>
  <c r="AL714" i="13"/>
  <c r="Z632" i="13"/>
  <c r="AH712" i="13"/>
  <c r="AJ712" i="13" s="1"/>
  <c r="AH743" i="13"/>
  <c r="AJ743" i="13" s="1"/>
  <c r="AI743" i="13"/>
  <c r="AH671" i="13"/>
  <c r="AJ671" i="13" s="1"/>
  <c r="AI671" i="13"/>
  <c r="AH705" i="13"/>
  <c r="AJ705" i="13" s="1"/>
  <c r="AI717" i="13"/>
  <c r="AH717" i="13"/>
  <c r="AJ717" i="13" s="1"/>
  <c r="AI669" i="13"/>
  <c r="AH669" i="13"/>
  <c r="AJ669" i="13" s="1"/>
  <c r="AH754" i="13"/>
  <c r="AJ754" i="13" s="1"/>
  <c r="AH751" i="13"/>
  <c r="AJ751" i="13" s="1"/>
  <c r="AI751" i="13"/>
  <c r="AI739" i="13"/>
  <c r="AH739" i="13"/>
  <c r="AJ739" i="13" s="1"/>
  <c r="AH727" i="13"/>
  <c r="AJ727" i="13" s="1"/>
  <c r="AI727" i="13"/>
  <c r="AI812" i="13"/>
  <c r="AH812" i="13"/>
  <c r="AJ812" i="13" s="1"/>
  <c r="AI788" i="13"/>
  <c r="AH788" i="13"/>
  <c r="AJ788" i="13" s="1"/>
  <c r="AI811" i="13"/>
  <c r="AH811" i="13"/>
  <c r="AJ811" i="13" s="1"/>
  <c r="AI787" i="13"/>
  <c r="AH787" i="13"/>
  <c r="AJ787" i="13" s="1"/>
  <c r="AH809" i="13"/>
  <c r="AJ809" i="13" s="1"/>
  <c r="AI809" i="13"/>
  <c r="AH785" i="13"/>
  <c r="AJ785" i="13" s="1"/>
  <c r="AI785" i="13"/>
  <c r="AI773" i="13"/>
  <c r="AH773" i="13"/>
  <c r="AJ773" i="13" s="1"/>
  <c r="AH794" i="13"/>
  <c r="AJ794" i="13" s="1"/>
  <c r="AI687" i="13"/>
  <c r="AI782" i="13"/>
  <c r="AH782" i="13"/>
  <c r="AJ782" i="13" s="1"/>
  <c r="AI723" i="13"/>
  <c r="AH674" i="13"/>
  <c r="AJ674" i="13" s="1"/>
  <c r="AI722" i="13"/>
  <c r="Z807" i="13"/>
  <c r="AI806" i="13"/>
  <c r="AI866" i="13"/>
  <c r="AH866" i="13"/>
  <c r="AJ866" i="13" s="1"/>
  <c r="AI854" i="13"/>
  <c r="AL854" i="13" s="1"/>
  <c r="AH854" i="13"/>
  <c r="AJ854" i="13" s="1"/>
  <c r="AI842" i="13"/>
  <c r="AH842" i="13"/>
  <c r="AJ842" i="13" s="1"/>
  <c r="AI830" i="13"/>
  <c r="AH830" i="13"/>
  <c r="AJ830" i="13" s="1"/>
  <c r="AI818" i="13"/>
  <c r="AH818" i="13"/>
  <c r="AJ818" i="13" s="1"/>
  <c r="AI865" i="13"/>
  <c r="AH865" i="13"/>
  <c r="AJ865" i="13" s="1"/>
  <c r="AI853" i="13"/>
  <c r="AH853" i="13"/>
  <c r="AJ853" i="13" s="1"/>
  <c r="AI841" i="13"/>
  <c r="AH841" i="13"/>
  <c r="AJ841" i="13" s="1"/>
  <c r="AI829" i="13"/>
  <c r="AH829" i="13"/>
  <c r="AJ829" i="13" s="1"/>
  <c r="AI817" i="13"/>
  <c r="AH817" i="13"/>
  <c r="AJ817" i="13" s="1"/>
  <c r="AH862" i="13"/>
  <c r="AJ862" i="13" s="1"/>
  <c r="AH850" i="13"/>
  <c r="AJ850" i="13" s="1"/>
  <c r="AH838" i="13"/>
  <c r="AJ838" i="13" s="1"/>
  <c r="AH826" i="13"/>
  <c r="AJ826" i="13" s="1"/>
  <c r="AH814" i="13"/>
  <c r="AJ814" i="13" s="1"/>
  <c r="Z859" i="13"/>
  <c r="Z823" i="13"/>
  <c r="AH861" i="13"/>
  <c r="AJ861" i="13" s="1"/>
  <c r="AH849" i="13"/>
  <c r="AJ849" i="13" s="1"/>
  <c r="AH837" i="13"/>
  <c r="AJ837" i="13" s="1"/>
  <c r="AH825" i="13"/>
  <c r="AJ825" i="13" s="1"/>
  <c r="AH813" i="13"/>
  <c r="AJ813" i="13" s="1"/>
  <c r="Z846" i="13"/>
  <c r="Z787" i="13"/>
  <c r="AL786" i="13"/>
  <c r="AI775" i="13"/>
  <c r="AH779" i="13"/>
  <c r="AJ779" i="13" s="1"/>
  <c r="AH776" i="13"/>
  <c r="AJ776" i="13" s="1"/>
  <c r="AL774" i="13"/>
  <c r="Z775" i="13"/>
  <c r="AL776" i="13"/>
  <c r="AI660" i="13"/>
  <c r="AH660" i="13"/>
  <c r="AJ660" i="13" s="1"/>
  <c r="AI648" i="13"/>
  <c r="AL648" i="13" s="1"/>
  <c r="AH648" i="13"/>
  <c r="AJ648" i="13" s="1"/>
  <c r="AI634" i="13"/>
  <c r="AH634" i="13"/>
  <c r="AJ634" i="13" s="1"/>
  <c r="AH598" i="13"/>
  <c r="AJ598" i="13" s="1"/>
  <c r="AI598" i="13"/>
  <c r="AI586" i="13"/>
  <c r="AH586" i="13"/>
  <c r="AJ586" i="13" s="1"/>
  <c r="AL658" i="13"/>
  <c r="AI587" i="13"/>
  <c r="Z635" i="13"/>
  <c r="AL646" i="13"/>
  <c r="AI629" i="13"/>
  <c r="AI659" i="13"/>
  <c r="AH659" i="13"/>
  <c r="AJ659" i="13" s="1"/>
  <c r="Z768" i="13"/>
  <c r="AL768" i="13"/>
  <c r="AL756" i="13"/>
  <c r="AL744" i="13"/>
  <c r="AL732" i="13"/>
  <c r="AL696" i="13"/>
  <c r="AL672" i="13"/>
  <c r="AH752" i="13"/>
  <c r="AJ752" i="13" s="1"/>
  <c r="AI728" i="13"/>
  <c r="AH742" i="13"/>
  <c r="AJ742" i="13" s="1"/>
  <c r="AI742" i="13"/>
  <c r="AI718" i="13"/>
  <c r="AH718" i="13"/>
  <c r="AJ718" i="13" s="1"/>
  <c r="AH706" i="13"/>
  <c r="AJ706" i="13" s="1"/>
  <c r="AI706" i="13"/>
  <c r="AI682" i="13"/>
  <c r="AH682" i="13"/>
  <c r="AJ682" i="13" s="1"/>
  <c r="AH670" i="13"/>
  <c r="AJ670" i="13" s="1"/>
  <c r="AI670" i="13"/>
  <c r="AH764" i="13"/>
  <c r="AJ764" i="13" s="1"/>
  <c r="AI764" i="13"/>
  <c r="AI740" i="13"/>
  <c r="AH740" i="13"/>
  <c r="AJ740" i="13" s="1"/>
  <c r="AH716" i="13"/>
  <c r="AJ716" i="13" s="1"/>
  <c r="AI716" i="13"/>
  <c r="AH692" i="13"/>
  <c r="AJ692" i="13" s="1"/>
  <c r="AI692" i="13"/>
  <c r="AI680" i="13"/>
  <c r="AH680" i="13"/>
  <c r="AJ680" i="13" s="1"/>
  <c r="AH668" i="13"/>
  <c r="AJ668" i="13" s="1"/>
  <c r="AI668" i="13"/>
  <c r="AI608" i="13"/>
  <c r="AL608" i="13" s="1"/>
  <c r="AH627" i="13"/>
  <c r="AJ627" i="13" s="1"/>
  <c r="AL708" i="13"/>
  <c r="AL684" i="13"/>
  <c r="Z758" i="13"/>
  <c r="AI645" i="13"/>
  <c r="AL770" i="13"/>
  <c r="AL710" i="13"/>
  <c r="AI679" i="13"/>
  <c r="AH804" i="13"/>
  <c r="AJ804" i="13" s="1"/>
  <c r="AI804" i="13"/>
  <c r="AH792" i="13"/>
  <c r="AJ792" i="13" s="1"/>
  <c r="AI792" i="13"/>
  <c r="AH780" i="13"/>
  <c r="AJ780" i="13" s="1"/>
  <c r="AI780" i="13"/>
  <c r="AH765" i="13"/>
  <c r="AJ765" i="13" s="1"/>
  <c r="AI765" i="13"/>
  <c r="AH741" i="13"/>
  <c r="AJ741" i="13" s="1"/>
  <c r="AI741" i="13"/>
  <c r="AH763" i="13"/>
  <c r="AJ763" i="13" s="1"/>
  <c r="AI763" i="13"/>
  <c r="AI703" i="13"/>
  <c r="AH703" i="13"/>
  <c r="AJ703" i="13" s="1"/>
  <c r="AH691" i="13"/>
  <c r="AJ691" i="13" s="1"/>
  <c r="AI691" i="13"/>
  <c r="Z695" i="13"/>
  <c r="AL705" i="13"/>
  <c r="AH736" i="13"/>
  <c r="AJ736" i="13" s="1"/>
  <c r="AI736" i="13"/>
  <c r="AI807" i="13"/>
  <c r="AI795" i="13"/>
  <c r="AI783" i="13"/>
  <c r="AI778" i="13"/>
  <c r="AI801" i="13"/>
  <c r="AI789" i="13"/>
  <c r="AI777" i="13"/>
  <c r="AL797" i="13"/>
  <c r="AI767" i="13"/>
  <c r="AH767" i="13"/>
  <c r="AJ767" i="13" s="1"/>
  <c r="AH643" i="13"/>
  <c r="AJ643" i="13" s="1"/>
  <c r="AI661" i="13"/>
  <c r="AL649" i="13"/>
  <c r="AH641" i="13"/>
  <c r="AJ641" i="13" s="1"/>
  <c r="AL640" i="13"/>
  <c r="AC748" i="13"/>
  <c r="AL724" i="13"/>
  <c r="AL712" i="13"/>
  <c r="AI656" i="13"/>
  <c r="AH644" i="13"/>
  <c r="AJ644" i="13" s="1"/>
  <c r="AI644" i="13"/>
  <c r="AL664" i="13"/>
  <c r="AH755" i="13"/>
  <c r="AJ755" i="13" s="1"/>
  <c r="AI755" i="13"/>
  <c r="AH731" i="13"/>
  <c r="AJ731" i="13" s="1"/>
  <c r="AI731" i="13"/>
  <c r="AH683" i="13"/>
  <c r="AJ683" i="13" s="1"/>
  <c r="AI683" i="13"/>
  <c r="AI655" i="13"/>
  <c r="AI707" i="13"/>
  <c r="AH761" i="13"/>
  <c r="AJ761" i="13" s="1"/>
  <c r="AI761" i="13"/>
  <c r="AH749" i="13"/>
  <c r="AJ749" i="13" s="1"/>
  <c r="AI749" i="13"/>
  <c r="AI725" i="13"/>
  <c r="AH725" i="13"/>
  <c r="AJ725" i="13" s="1"/>
  <c r="AH713" i="13"/>
  <c r="AJ713" i="13" s="1"/>
  <c r="AI713" i="13"/>
  <c r="AH689" i="13"/>
  <c r="AJ689" i="13" s="1"/>
  <c r="AI689" i="13"/>
  <c r="AH677" i="13"/>
  <c r="AJ677" i="13" s="1"/>
  <c r="AI677" i="13"/>
  <c r="AH719" i="13"/>
  <c r="AJ719" i="13" s="1"/>
  <c r="AI719" i="13"/>
  <c r="AI695" i="13"/>
  <c r="AH695" i="13"/>
  <c r="AJ695" i="13" s="1"/>
  <c r="AI653" i="13"/>
  <c r="AL652" i="13"/>
  <c r="AH766" i="13"/>
  <c r="AJ766" i="13" s="1"/>
  <c r="AH724" i="13"/>
  <c r="AJ724" i="13" s="1"/>
  <c r="AH694" i="13"/>
  <c r="AJ694" i="13" s="1"/>
  <c r="Z759" i="13"/>
  <c r="AI760" i="13"/>
  <c r="AI730" i="13"/>
  <c r="AI688" i="13"/>
  <c r="AI772" i="13"/>
  <c r="AI700" i="13"/>
  <c r="AI771" i="13"/>
  <c r="AI699" i="13"/>
  <c r="AL754" i="13"/>
  <c r="AH640" i="13"/>
  <c r="AJ640" i="13" s="1"/>
  <c r="AI662" i="13"/>
  <c r="AH662" i="13"/>
  <c r="AJ662" i="13" s="1"/>
  <c r="AI650" i="13"/>
  <c r="AH650" i="13"/>
  <c r="AJ650" i="13" s="1"/>
  <c r="AI638" i="13"/>
  <c r="AH638" i="13"/>
  <c r="AJ638" i="13" s="1"/>
  <c r="AI614" i="13"/>
  <c r="AH614" i="13"/>
  <c r="AJ614" i="13" s="1"/>
  <c r="AI590" i="13"/>
  <c r="AH590" i="13"/>
  <c r="AJ590" i="13" s="1"/>
  <c r="AL766" i="13"/>
  <c r="AC766" i="13"/>
  <c r="AI626" i="13"/>
  <c r="AH628" i="13"/>
  <c r="AJ628" i="13" s="1"/>
  <c r="AI628" i="13"/>
  <c r="AL694" i="13"/>
  <c r="AC694" i="13"/>
  <c r="AC653" i="13"/>
  <c r="AL641" i="13"/>
  <c r="AH652" i="13"/>
  <c r="AJ652" i="13" s="1"/>
  <c r="AL643" i="13"/>
  <c r="AH664" i="13"/>
  <c r="AJ664" i="13" s="1"/>
  <c r="AI602" i="13"/>
  <c r="AH622" i="13"/>
  <c r="AJ622" i="13" s="1"/>
  <c r="AH658" i="13"/>
  <c r="AJ658" i="13" s="1"/>
  <c r="AH646" i="13"/>
  <c r="AJ646" i="13" s="1"/>
  <c r="AH610" i="13"/>
  <c r="AJ610" i="13" s="1"/>
  <c r="AH585" i="13"/>
  <c r="AJ585" i="13" s="1"/>
  <c r="Z636" i="13"/>
  <c r="AI769" i="13"/>
  <c r="AL769" i="13" s="1"/>
  <c r="AH769" i="13"/>
  <c r="AJ769" i="13" s="1"/>
  <c r="AI757" i="13"/>
  <c r="AL757" i="13" s="1"/>
  <c r="AH757" i="13"/>
  <c r="AJ757" i="13" s="1"/>
  <c r="AI745" i="13"/>
  <c r="AH745" i="13"/>
  <c r="AJ745" i="13" s="1"/>
  <c r="AI733" i="13"/>
  <c r="AH733" i="13"/>
  <c r="AJ733" i="13" s="1"/>
  <c r="AI721" i="13"/>
  <c r="AH721" i="13"/>
  <c r="AJ721" i="13" s="1"/>
  <c r="AI709" i="13"/>
  <c r="AH709" i="13"/>
  <c r="AJ709" i="13" s="1"/>
  <c r="AI697" i="13"/>
  <c r="AH697" i="13"/>
  <c r="AJ697" i="13" s="1"/>
  <c r="AI685" i="13"/>
  <c r="AH685" i="13"/>
  <c r="AJ685" i="13" s="1"/>
  <c r="AI673" i="13"/>
  <c r="AH673" i="13"/>
  <c r="AJ673" i="13" s="1"/>
  <c r="AH768" i="13"/>
  <c r="AJ768" i="13" s="1"/>
  <c r="AH756" i="13"/>
  <c r="AJ756" i="13" s="1"/>
  <c r="AH744" i="13"/>
  <c r="AJ744" i="13" s="1"/>
  <c r="AH732" i="13"/>
  <c r="AJ732" i="13" s="1"/>
  <c r="AH720" i="13"/>
  <c r="AJ720" i="13" s="1"/>
  <c r="AH708" i="13"/>
  <c r="AJ708" i="13" s="1"/>
  <c r="AH696" i="13"/>
  <c r="AJ696" i="13" s="1"/>
  <c r="AH684" i="13"/>
  <c r="AJ684" i="13" s="1"/>
  <c r="AH672" i="13"/>
  <c r="AJ672" i="13" s="1"/>
  <c r="Z705" i="13"/>
  <c r="Z693" i="13"/>
  <c r="AL630" i="13"/>
  <c r="AI636" i="13"/>
  <c r="AI635" i="13"/>
  <c r="AI618" i="13"/>
  <c r="AI606" i="13"/>
  <c r="AI594" i="13"/>
  <c r="AI617" i="13"/>
  <c r="AI605" i="13"/>
  <c r="AI593" i="13"/>
  <c r="AI616" i="13"/>
  <c r="AI604" i="13"/>
  <c r="AI592" i="13"/>
  <c r="AI615" i="13"/>
  <c r="AL615" i="13" s="1"/>
  <c r="AI603" i="13"/>
  <c r="AI591" i="13"/>
  <c r="AL591" i="13" s="1"/>
  <c r="AI624" i="13"/>
  <c r="AI612" i="13"/>
  <c r="AI600" i="13"/>
  <c r="AL600" i="13" s="1"/>
  <c r="AI588" i="13"/>
  <c r="AL588" i="13" s="1"/>
  <c r="AI623" i="13"/>
  <c r="AI611" i="13"/>
  <c r="AI599" i="13"/>
  <c r="AI621" i="13"/>
  <c r="AI609" i="13"/>
  <c r="AI597" i="13"/>
  <c r="AH583" i="13"/>
  <c r="AJ583" i="13" s="1"/>
  <c r="AH582" i="13"/>
  <c r="AJ582" i="13" s="1"/>
  <c r="AL581" i="13"/>
  <c r="AL580" i="13"/>
  <c r="AH581" i="13"/>
  <c r="AJ581" i="13" s="1"/>
  <c r="AH580" i="13"/>
  <c r="AJ580" i="13" s="1"/>
  <c r="AL583" i="13"/>
  <c r="AL582" i="13"/>
  <c r="H27" i="19" l="1"/>
  <c r="H28" i="19"/>
  <c r="G27" i="19"/>
  <c r="G28" i="19"/>
  <c r="Z780" i="13"/>
  <c r="Z900" i="13"/>
  <c r="Z709" i="13"/>
  <c r="Z940" i="13"/>
  <c r="Z928" i="13"/>
  <c r="Z924" i="13"/>
  <c r="Z912" i="13"/>
  <c r="Z888" i="13"/>
  <c r="Z876" i="13"/>
  <c r="Z874" i="13"/>
  <c r="Z806" i="13"/>
  <c r="Z856" i="13"/>
  <c r="Z832" i="13"/>
  <c r="Z808" i="13"/>
  <c r="Z863" i="13"/>
  <c r="Z862" i="13"/>
  <c r="Z796" i="13"/>
  <c r="Z838" i="13"/>
  <c r="Z692" i="13"/>
  <c r="Z691" i="13"/>
  <c r="Z800" i="13"/>
  <c r="Z776" i="13"/>
  <c r="Z812" i="13"/>
  <c r="Z788" i="13"/>
  <c r="Z696" i="13"/>
  <c r="Z749" i="13"/>
  <c r="AC749" i="13"/>
  <c r="Z845" i="13"/>
  <c r="AC845" i="13"/>
  <c r="Z908" i="13"/>
  <c r="AC908" i="13"/>
  <c r="Z767" i="13"/>
  <c r="AC767" i="13"/>
  <c r="Z865" i="13"/>
  <c r="AC865" i="13"/>
  <c r="Z853" i="13"/>
  <c r="AC853" i="13"/>
  <c r="Z852" i="13"/>
  <c r="AC852" i="13"/>
  <c r="Z585" i="13"/>
  <c r="AC585" i="13"/>
  <c r="Z843" i="13"/>
  <c r="AC843" i="13"/>
  <c r="Z886" i="13"/>
  <c r="AC886" i="13"/>
  <c r="Z781" i="13"/>
  <c r="AC781" i="13"/>
  <c r="Z927" i="13"/>
  <c r="AC927" i="13"/>
  <c r="Z903" i="13"/>
  <c r="AC903" i="13"/>
  <c r="Z879" i="13"/>
  <c r="AC879" i="13"/>
  <c r="Z849" i="13"/>
  <c r="AC849" i="13"/>
  <c r="Z813" i="13"/>
  <c r="AC813" i="13"/>
  <c r="Z848" i="13"/>
  <c r="AC848" i="13"/>
  <c r="Z926" i="13"/>
  <c r="AC926" i="13"/>
  <c r="Z890" i="13"/>
  <c r="AC890" i="13"/>
  <c r="Z878" i="13"/>
  <c r="AC878" i="13"/>
  <c r="Z827" i="13"/>
  <c r="AC827" i="13"/>
  <c r="Z826" i="13"/>
  <c r="AC826" i="13"/>
  <c r="Z784" i="13"/>
  <c r="AC784" i="13"/>
  <c r="Z850" i="13"/>
  <c r="AC850" i="13"/>
  <c r="Z794" i="13"/>
  <c r="AC794" i="13"/>
  <c r="Z847" i="13"/>
  <c r="AC847" i="13"/>
  <c r="Z835" i="13"/>
  <c r="AC835" i="13"/>
  <c r="Z858" i="13"/>
  <c r="AC858" i="13"/>
  <c r="Z834" i="13"/>
  <c r="AC834" i="13"/>
  <c r="Z822" i="13"/>
  <c r="AC822" i="13"/>
  <c r="Z782" i="13"/>
  <c r="AC782" i="13"/>
  <c r="Z754" i="13"/>
  <c r="AC754" i="13"/>
  <c r="Z602" i="13"/>
  <c r="Z611" i="13"/>
  <c r="Z587" i="13"/>
  <c r="Z795" i="13"/>
  <c r="AL628" i="13"/>
  <c r="Z694" i="13"/>
  <c r="Z653" i="13"/>
  <c r="AL607" i="13"/>
  <c r="AL596" i="13"/>
  <c r="Z801" i="13"/>
  <c r="Z866" i="13"/>
  <c r="AL881" i="13"/>
  <c r="Z697" i="13"/>
  <c r="AL589" i="13"/>
  <c r="AL717" i="13"/>
  <c r="AL777" i="13"/>
  <c r="AL661" i="13"/>
  <c r="Z760" i="13"/>
  <c r="Z748" i="13"/>
  <c r="AL614" i="13"/>
  <c r="Z766" i="13"/>
  <c r="AL830" i="13"/>
  <c r="AL835" i="13"/>
  <c r="AL642" i="13"/>
  <c r="AM921" i="13"/>
  <c r="AM846" i="13"/>
  <c r="AM613" i="13"/>
  <c r="AM592" i="13"/>
  <c r="AM608" i="13"/>
  <c r="AM607" i="13"/>
  <c r="AM619" i="13"/>
  <c r="AM722" i="13"/>
  <c r="AM588" i="13"/>
  <c r="AM897" i="13"/>
  <c r="AM904" i="13"/>
  <c r="AM793" i="13"/>
  <c r="AM701" i="13"/>
  <c r="AM606" i="13"/>
  <c r="AM835" i="13"/>
  <c r="AM589" i="13"/>
  <c r="AL831" i="13"/>
  <c r="AL914" i="13"/>
  <c r="AL870" i="13"/>
  <c r="AL787" i="13"/>
  <c r="AL686" i="13"/>
  <c r="AL590" i="13"/>
  <c r="AL681" i="13"/>
  <c r="AL599" i="13"/>
  <c r="AL617" i="13"/>
  <c r="AL775" i="13"/>
  <c r="AL804" i="13"/>
  <c r="AL943" i="13"/>
  <c r="AL687" i="13"/>
  <c r="AL847" i="13"/>
  <c r="AL899" i="13"/>
  <c r="AL782" i="13"/>
  <c r="AL741" i="13"/>
  <c r="AL698" i="13"/>
  <c r="AL594" i="13"/>
  <c r="AL807" i="13"/>
  <c r="AL629" i="13"/>
  <c r="AL605" i="13"/>
  <c r="AM797" i="13"/>
  <c r="AL893" i="13"/>
  <c r="AL937" i="13"/>
  <c r="AL593" i="13"/>
  <c r="AL618" i="13"/>
  <c r="AL612" i="13"/>
  <c r="AL645" i="13"/>
  <c r="AL933" i="13"/>
  <c r="AL701" i="13"/>
  <c r="AL715" i="13"/>
  <c r="AL846" i="13"/>
  <c r="AL890" i="13"/>
  <c r="AL923" i="13"/>
  <c r="AL753" i="13"/>
  <c r="AL880" i="13"/>
  <c r="AL601" i="13"/>
  <c r="AL926" i="13"/>
  <c r="AL606" i="13"/>
  <c r="AL792" i="13"/>
  <c r="AL758" i="13"/>
  <c r="AL858" i="13"/>
  <c r="AL620" i="13"/>
  <c r="AL759" i="13"/>
  <c r="AL693" i="13"/>
  <c r="AL613" i="13"/>
  <c r="AL799" i="13"/>
  <c r="AL636" i="13"/>
  <c r="AL765" i="13"/>
  <c r="AL584" i="13"/>
  <c r="AL729" i="13"/>
  <c r="AL941" i="13"/>
  <c r="AL871" i="13"/>
  <c r="AL811" i="13"/>
  <c r="AL619" i="13"/>
  <c r="AL857" i="13"/>
  <c r="AL884" i="13"/>
  <c r="AL592" i="13"/>
  <c r="AL669" i="13"/>
  <c r="AL604" i="13"/>
  <c r="AL680" i="13"/>
  <c r="AL660" i="13"/>
  <c r="AM773" i="13"/>
  <c r="AL678" i="13"/>
  <c r="AL746" i="13"/>
  <c r="AL938" i="13"/>
  <c r="AL647" i="13"/>
  <c r="AL709" i="13"/>
  <c r="AL639" i="13"/>
  <c r="AL603" i="13"/>
  <c r="AL626" i="13"/>
  <c r="AL842" i="13"/>
  <c r="AL944" i="13"/>
  <c r="AL586" i="13"/>
  <c r="AL922" i="13"/>
  <c r="AL913" i="13"/>
  <c r="AL702" i="13"/>
  <c r="AL780" i="13"/>
  <c r="AL867" i="13"/>
  <c r="AL883" i="13"/>
  <c r="AL921" i="13"/>
  <c r="AL736" i="13"/>
  <c r="AL795" i="13"/>
  <c r="AL767" i="13"/>
  <c r="AL931" i="13"/>
  <c r="AL896" i="13"/>
  <c r="AL597" i="13"/>
  <c r="AL734" i="13"/>
  <c r="AL764" i="13"/>
  <c r="AL749" i="13"/>
  <c r="AL907" i="13"/>
  <c r="AL873" i="13"/>
  <c r="AL821" i="13"/>
  <c r="AL692" i="13"/>
  <c r="AL621" i="13"/>
  <c r="AL832" i="13"/>
  <c r="AL918" i="13"/>
  <c r="AL663" i="13"/>
  <c r="AL737" i="13"/>
  <c r="AL801" i="13"/>
  <c r="AL609" i="13"/>
  <c r="AL865" i="13"/>
  <c r="AL891" i="13"/>
  <c r="AL773" i="13"/>
  <c r="AL800" i="13"/>
  <c r="AL761" i="13"/>
  <c r="AL707" i="13"/>
  <c r="AL723" i="13"/>
  <c r="AL903" i="13"/>
  <c r="AL616" i="13"/>
  <c r="AL897" i="13"/>
  <c r="AL762" i="13"/>
  <c r="AL635" i="13"/>
  <c r="AL721" i="13"/>
  <c r="AL611" i="13"/>
  <c r="AL666" i="13"/>
  <c r="AL935" i="13"/>
  <c r="AL679" i="13"/>
  <c r="AL623" i="13"/>
  <c r="AL828" i="13"/>
  <c r="AL745" i="13"/>
  <c r="AL700" i="13"/>
  <c r="AL751" i="13"/>
  <c r="AL863" i="13"/>
  <c r="AL665" i="13"/>
  <c r="AL598" i="13"/>
  <c r="AL763" i="13"/>
  <c r="AL829" i="13"/>
  <c r="AL833" i="13"/>
  <c r="AL908" i="13"/>
  <c r="AL875" i="13"/>
  <c r="AL719" i="13"/>
  <c r="AL671" i="13"/>
  <c r="AL726" i="13"/>
  <c r="AL602" i="13"/>
  <c r="AL725" i="13"/>
  <c r="AL731" i="13"/>
  <c r="AL841" i="13"/>
  <c r="AL748" i="13"/>
  <c r="AL802" i="13"/>
  <c r="AL653" i="13"/>
  <c r="AL704" i="13"/>
  <c r="AL735" i="13"/>
  <c r="AL866" i="13"/>
  <c r="AL911" i="13"/>
  <c r="AL869" i="13"/>
  <c r="AL697" i="13"/>
  <c r="AL634" i="13"/>
  <c r="AL638" i="13"/>
  <c r="AL691" i="13"/>
  <c r="AL915" i="13"/>
  <c r="AL790" i="13"/>
  <c r="AL917" i="13"/>
  <c r="AL877" i="13"/>
  <c r="AL670" i="13"/>
  <c r="AL587" i="13"/>
  <c r="AL747" i="13"/>
  <c r="AL936" i="13"/>
  <c r="AL668" i="13"/>
  <c r="AL853" i="13"/>
  <c r="AL927" i="13"/>
  <c r="AL651" i="13"/>
  <c r="AL713" i="13"/>
  <c r="AL656" i="13"/>
  <c r="AL676" i="13"/>
  <c r="AL806" i="13"/>
  <c r="AL727" i="13"/>
  <c r="AL868" i="13"/>
  <c r="AL682" i="13"/>
  <c r="AL781" i="13"/>
  <c r="AL755" i="13"/>
  <c r="AL743" i="13"/>
  <c r="AL739" i="13"/>
  <c r="AL728" i="13"/>
  <c r="AL750" i="13"/>
  <c r="AL788" i="13"/>
  <c r="AL817" i="13"/>
  <c r="AL879" i="13"/>
  <c r="AL654" i="13"/>
  <c r="AL644" i="13"/>
  <c r="AL820" i="13"/>
  <c r="AL789" i="13"/>
  <c r="AL673" i="13"/>
  <c r="AL740" i="13"/>
  <c r="AL738" i="13"/>
  <c r="AL784" i="13"/>
  <c r="AL818" i="13"/>
  <c r="AL706" i="13"/>
  <c r="AL695" i="13"/>
  <c r="AL783" i="13"/>
  <c r="AL722" i="13"/>
  <c r="AL624" i="13"/>
  <c r="AL667" i="13"/>
  <c r="AL689" i="13"/>
  <c r="AL892" i="13"/>
  <c r="AL819" i="13"/>
  <c r="AL816" i="13"/>
  <c r="AL939" i="13"/>
  <c r="AL916" i="13"/>
  <c r="AL889" i="13"/>
  <c r="AL785" i="13"/>
  <c r="AL716" i="13"/>
  <c r="AL934" i="13"/>
  <c r="AL946" i="13"/>
  <c r="AL904" i="13"/>
  <c r="AL683" i="13"/>
  <c r="AL650" i="13"/>
  <c r="AL772" i="13"/>
  <c r="AL812" i="13"/>
  <c r="AL685" i="13"/>
  <c r="AL699" i="13"/>
  <c r="AL659" i="13"/>
  <c r="AL805" i="13"/>
  <c r="AL839" i="13"/>
  <c r="AL851" i="13"/>
  <c r="AL809" i="13"/>
  <c r="AL836" i="13"/>
  <c r="AL803" i="13"/>
  <c r="AL848" i="13"/>
  <c r="AL860" i="13"/>
  <c r="AL771" i="13"/>
  <c r="AL677" i="13"/>
  <c r="AL742" i="13"/>
  <c r="AL703" i="13"/>
  <c r="AL657" i="13"/>
  <c r="AL718" i="13"/>
  <c r="AL778" i="13"/>
  <c r="AM614" i="13"/>
  <c r="AL688" i="13"/>
  <c r="AL733" i="13"/>
  <c r="AL655" i="13"/>
  <c r="AL730" i="13"/>
  <c r="AL760" i="13"/>
  <c r="AL662" i="13"/>
  <c r="G29" i="19" l="1"/>
  <c r="G30" i="19"/>
  <c r="H29" i="19"/>
  <c r="G31" i="19"/>
  <c r="H31" i="19"/>
  <c r="H30" i="19"/>
  <c r="AM924" i="13"/>
  <c r="AM595" i="13"/>
  <c r="AM744" i="13"/>
  <c r="AM625" i="13"/>
  <c r="AM594" i="13"/>
  <c r="AM695" i="13"/>
  <c r="AM715" i="13"/>
  <c r="AM891" i="13"/>
  <c r="AM838" i="13"/>
  <c r="AM670" i="13"/>
  <c r="AM945" i="13"/>
  <c r="AM693" i="13"/>
  <c r="AM780" i="13"/>
  <c r="AM635" i="13"/>
  <c r="AM688" i="13"/>
  <c r="AM825" i="13"/>
  <c r="AM913" i="13"/>
  <c r="AM690" i="13"/>
  <c r="AM581" i="13"/>
  <c r="AM885" i="13"/>
  <c r="AM935" i="13"/>
  <c r="AM767" i="13"/>
  <c r="AM850" i="13"/>
  <c r="AM683" i="13"/>
  <c r="AM662" i="13"/>
  <c r="AM623" i="13"/>
  <c r="AM774" i="13"/>
  <c r="AM738" i="13"/>
  <c r="AM874" i="13"/>
  <c r="AM789" i="13"/>
  <c r="AM681" i="13"/>
  <c r="AM830" i="13"/>
  <c r="AM590" i="13"/>
  <c r="AM704" i="13"/>
  <c r="AM871" i="13"/>
  <c r="AM694" i="13"/>
  <c r="AM675" i="13"/>
  <c r="AM927" i="13"/>
  <c r="AM803" i="13"/>
  <c r="AM779" i="13"/>
  <c r="AM752" i="13"/>
  <c r="AM643" i="13"/>
  <c r="AM747" i="13"/>
  <c r="AM816" i="13"/>
  <c r="AM821" i="13"/>
  <c r="AM915" i="13"/>
  <c r="AM923" i="13"/>
  <c r="AM804" i="13"/>
  <c r="AM735" i="13"/>
  <c r="AM647" i="13"/>
  <c r="AM674" i="13"/>
  <c r="AM679" i="13"/>
  <c r="AM875" i="13"/>
  <c r="AM754" i="13"/>
  <c r="AM742" i="13"/>
  <c r="AM717" i="13"/>
  <c r="AM609" i="13"/>
  <c r="AM618" i="13"/>
  <c r="AM808" i="13"/>
  <c r="AM698" i="13"/>
  <c r="AM903" i="13"/>
  <c r="AM884" i="13"/>
  <c r="AM837" i="13"/>
  <c r="AM761" i="13"/>
  <c r="AM877" i="13"/>
  <c r="AM653" i="13"/>
  <c r="AM810" i="13"/>
  <c r="AM654" i="13"/>
  <c r="AM730" i="13"/>
  <c r="AM691" i="13"/>
  <c r="AM628" i="13"/>
  <c r="AM718" i="13"/>
  <c r="AM759" i="13"/>
  <c r="AM853" i="13"/>
  <c r="AM934" i="13"/>
  <c r="AM770" i="13"/>
  <c r="AM862" i="13"/>
  <c r="AM795" i="13"/>
  <c r="AM599" i="13"/>
  <c r="AM906" i="13"/>
  <c r="AM651" i="13"/>
  <c r="AM827" i="13"/>
  <c r="AM787" i="13"/>
  <c r="AM918" i="13"/>
  <c r="AM769" i="13"/>
  <c r="AM703" i="13"/>
  <c r="AM843" i="13"/>
  <c r="AM671" i="13"/>
  <c r="AM914" i="13"/>
  <c r="AM689" i="13"/>
  <c r="AM865" i="13"/>
  <c r="AM930" i="13"/>
  <c r="AM611" i="13"/>
  <c r="AM899" i="13"/>
  <c r="AM684" i="13"/>
  <c r="AM721" i="13"/>
  <c r="AM847" i="13"/>
  <c r="AM922" i="13"/>
  <c r="AM637" i="13"/>
  <c r="AM658" i="13"/>
  <c r="AM894" i="13"/>
  <c r="AM814" i="13"/>
  <c r="AM845" i="13"/>
  <c r="AM942" i="13"/>
  <c r="AM644" i="13"/>
  <c r="AM597" i="13"/>
  <c r="AM732" i="13"/>
  <c r="AM911" i="13"/>
  <c r="AM792" i="13"/>
  <c r="AM866" i="13"/>
  <c r="AM872" i="13"/>
  <c r="AM655" i="13"/>
  <c r="AM819" i="13"/>
  <c r="AM631" i="13"/>
  <c r="AM928" i="13"/>
  <c r="AM834" i="13"/>
  <c r="AM836" i="13"/>
  <c r="AM832" i="13"/>
  <c r="AM809" i="13"/>
  <c r="AM638" i="13"/>
  <c r="AM900" i="13"/>
  <c r="AM672" i="13"/>
  <c r="AM750" i="13"/>
  <c r="AM892" i="13"/>
  <c r="AM802" i="13"/>
  <c r="AM805" i="13"/>
  <c r="AM600" i="13"/>
  <c r="AM753" i="13"/>
  <c r="AM692" i="13"/>
  <c r="AM898" i="13"/>
  <c r="AM726" i="13"/>
  <c r="AM650" i="13"/>
  <c r="AM912" i="13"/>
  <c r="AM790" i="13"/>
  <c r="AM615" i="13"/>
  <c r="AM663" i="13"/>
  <c r="AM697" i="13"/>
  <c r="AM627" i="13"/>
  <c r="AM855" i="13"/>
  <c r="AM580" i="13"/>
  <c r="AM645" i="13"/>
  <c r="AM593" i="13"/>
  <c r="AM943" i="13"/>
  <c r="AM587" i="13"/>
  <c r="AM617" i="13"/>
  <c r="AM696" i="13"/>
  <c r="AM585" i="13"/>
  <c r="AM758" i="13"/>
  <c r="AM848" i="13"/>
  <c r="AM636" i="13"/>
  <c r="AM844" i="13"/>
  <c r="AM917" i="13"/>
  <c r="AM664" i="13"/>
  <c r="AM841" i="13"/>
  <c r="AM685" i="13"/>
  <c r="AM640" i="13"/>
  <c r="AM932" i="13"/>
  <c r="AM620" i="13"/>
  <c r="AM700" i="13"/>
  <c r="AM828" i="13"/>
  <c r="AM601" i="13"/>
  <c r="AM926" i="13"/>
  <c r="AM598" i="13"/>
  <c r="AM860" i="13"/>
  <c r="AM856" i="13"/>
  <c r="AM941" i="13"/>
  <c r="AM852" i="13"/>
  <c r="AM723" i="13"/>
  <c r="AM826" i="13"/>
  <c r="AM811" i="13"/>
  <c r="AM936" i="13"/>
  <c r="AM646" i="13"/>
  <c r="AM823" i="13"/>
  <c r="AM938" i="13"/>
  <c r="AM820" i="13"/>
  <c r="AM660" i="13"/>
  <c r="AM812" i="13"/>
  <c r="AM831" i="13"/>
  <c r="AM859" i="13"/>
  <c r="AM798" i="13"/>
  <c r="AM925" i="13"/>
  <c r="AM857" i="13"/>
  <c r="AM586" i="13"/>
  <c r="AM939" i="13"/>
  <c r="AM596" i="13"/>
  <c r="AM919" i="13"/>
  <c r="AM896" i="13"/>
  <c r="AM746" i="13"/>
  <c r="AM584" i="13"/>
  <c r="AM705" i="13"/>
  <c r="AM720" i="13"/>
  <c r="AM642" i="13"/>
  <c r="AM782" i="13"/>
  <c r="AM815" i="13"/>
  <c r="AM788" i="13"/>
  <c r="AM743" i="13"/>
  <c r="AM728" i="13"/>
  <c r="AM937" i="13"/>
  <c r="AM868" i="13"/>
  <c r="AM882" i="13"/>
  <c r="AM648" i="13"/>
  <c r="AM768" i="13"/>
  <c r="AM822" i="13"/>
  <c r="AM858" i="13"/>
  <c r="AM895" i="13"/>
  <c r="AM916" i="13"/>
  <c r="AM771" i="13"/>
  <c r="AM778" i="13"/>
  <c r="AM652" i="13"/>
  <c r="AM708" i="13"/>
  <c r="AM760" i="13"/>
  <c r="AM842" i="13"/>
  <c r="AM807" i="13"/>
  <c r="AM940" i="13"/>
  <c r="AM946" i="13"/>
  <c r="AM634" i="13"/>
  <c r="AM591" i="13"/>
  <c r="AM622" i="13"/>
  <c r="AM887" i="13"/>
  <c r="AM867" i="13"/>
  <c r="AM785" i="13"/>
  <c r="AM757" i="13"/>
  <c r="AM686" i="13"/>
  <c r="AM729" i="13"/>
  <c r="AM665" i="13"/>
  <c r="AM776" i="13"/>
  <c r="AM829" i="13"/>
  <c r="AM839" i="13"/>
  <c r="AM910" i="13"/>
  <c r="AM944" i="13"/>
  <c r="AM740" i="13"/>
  <c r="AM908" i="13"/>
  <c r="AM756" i="13"/>
  <c r="AM610" i="13"/>
  <c r="AM687" i="13"/>
  <c r="AM889" i="13"/>
  <c r="AM881" i="13"/>
  <c r="AM869" i="13"/>
  <c r="AM801" i="13"/>
  <c r="AM783" i="13"/>
  <c r="AM772" i="13"/>
  <c r="AM709" i="13"/>
  <c r="AM749" i="13"/>
  <c r="AM748" i="13"/>
  <c r="AM583" i="13"/>
  <c r="AM902" i="13"/>
  <c r="AM929" i="13"/>
  <c r="AM863" i="13"/>
  <c r="AM781" i="13"/>
  <c r="AM909" i="13"/>
  <c r="AM737" i="13"/>
  <c r="AM656" i="13"/>
  <c r="AM879" i="13"/>
  <c r="AM764" i="13"/>
  <c r="AM724" i="13"/>
  <c r="AM668" i="13"/>
  <c r="AM582" i="13"/>
  <c r="AM710" i="13"/>
  <c r="AM677" i="13"/>
  <c r="AM880" i="13"/>
  <c r="AM791" i="13"/>
  <c r="AM799" i="13"/>
  <c r="AM680" i="13"/>
  <c r="AM605" i="13"/>
  <c r="AM907" i="13"/>
  <c r="AM667" i="13"/>
  <c r="AM736" i="13"/>
  <c r="AM731" i="13"/>
  <c r="AM751" i="13"/>
  <c r="AM678" i="13"/>
  <c r="AM840" i="13"/>
  <c r="AM854" i="13"/>
  <c r="AM813" i="13"/>
  <c r="AM673" i="13"/>
  <c r="AM733" i="13"/>
  <c r="AM712" i="13"/>
  <c r="AM876" i="13"/>
  <c r="AM800" i="13"/>
  <c r="AM784" i="13"/>
  <c r="AM714" i="13"/>
  <c r="AM719" i="13"/>
  <c r="AM824" i="13"/>
  <c r="AM713" i="13"/>
  <c r="AM716" i="13"/>
  <c r="AM707" i="13"/>
  <c r="AM699" i="13"/>
  <c r="AM626" i="13"/>
  <c r="AM741" i="13"/>
  <c r="AM676" i="13"/>
  <c r="AM657" i="13"/>
  <c r="AM745" i="13"/>
  <c r="AM682" i="13"/>
  <c r="AM806" i="13"/>
  <c r="AM920" i="13"/>
  <c r="AM624" i="13"/>
  <c r="AM661" i="13"/>
  <c r="AM765" i="13"/>
  <c r="AM766" i="13"/>
  <c r="AM861" i="13"/>
  <c r="AM711" i="13"/>
  <c r="AM888" i="13"/>
  <c r="AM727" i="13"/>
  <c r="AM933" i="13"/>
  <c r="AM633" i="13"/>
  <c r="AM786" i="13"/>
  <c r="AM630" i="13"/>
  <c r="AM629" i="13"/>
  <c r="AM762" i="13"/>
  <c r="AM616" i="13"/>
  <c r="AM873" i="13"/>
  <c r="AM833" i="13"/>
  <c r="AM777" i="13"/>
  <c r="AM669" i="13"/>
  <c r="AM890" i="13"/>
  <c r="AM931" i="13"/>
  <c r="AM755" i="13"/>
  <c r="AM641" i="13"/>
  <c r="AM817" i="13"/>
  <c r="AM818" i="13"/>
  <c r="AM739" i="13"/>
  <c r="AM878" i="13"/>
  <c r="AM864" i="13"/>
  <c r="AM725" i="13"/>
  <c r="AM602" i="13"/>
  <c r="AM870" i="13"/>
  <c r="AM639" i="13"/>
  <c r="AM883" i="13"/>
  <c r="AM621" i="13"/>
  <c r="AM612" i="13"/>
  <c r="AM666" i="13"/>
  <c r="AM893" i="13"/>
  <c r="AM649" i="13"/>
  <c r="AM734" i="13"/>
  <c r="AM849" i="13"/>
  <c r="AM659" i="13"/>
  <c r="AM851" i="13"/>
  <c r="AM886" i="13"/>
  <c r="AM775" i="13"/>
  <c r="AM604" i="13"/>
  <c r="AM794" i="13"/>
  <c r="AM706" i="13"/>
  <c r="AM901" i="13"/>
  <c r="AM702" i="13"/>
  <c r="AM632" i="13"/>
  <c r="AM763" i="13"/>
  <c r="AM905" i="13"/>
  <c r="AM796" i="13"/>
  <c r="AM603" i="13"/>
  <c r="C497" i="13"/>
  <c r="C498" i="13"/>
  <c r="C499" i="13"/>
  <c r="C500" i="13"/>
  <c r="C501" i="13"/>
  <c r="C502" i="13"/>
  <c r="C503" i="13"/>
  <c r="C504" i="13"/>
  <c r="C505" i="13"/>
  <c r="C506" i="13"/>
  <c r="C507" i="13"/>
  <c r="C508" i="13"/>
  <c r="C509" i="13"/>
  <c r="C510" i="13"/>
  <c r="C511" i="13"/>
  <c r="C512" i="13"/>
  <c r="C513" i="13"/>
  <c r="C514" i="13"/>
  <c r="C515" i="13"/>
  <c r="C516" i="13"/>
  <c r="C517" i="13"/>
  <c r="C518" i="13"/>
  <c r="C519" i="13"/>
  <c r="C520" i="13"/>
  <c r="C521" i="13"/>
  <c r="C522" i="13"/>
  <c r="C523" i="13"/>
  <c r="C524" i="13"/>
  <c r="C525" i="13"/>
  <c r="C526" i="13"/>
  <c r="C527" i="13"/>
  <c r="C528" i="13"/>
  <c r="C529" i="13"/>
  <c r="C530" i="13"/>
  <c r="C531" i="13"/>
  <c r="C532" i="13"/>
  <c r="C533" i="13"/>
  <c r="C534" i="13"/>
  <c r="C535" i="13"/>
  <c r="C536" i="13"/>
  <c r="C537" i="13"/>
  <c r="C538" i="13"/>
  <c r="C539" i="13"/>
  <c r="C540" i="13"/>
  <c r="C541" i="13"/>
  <c r="C542" i="13"/>
  <c r="C543" i="13"/>
  <c r="C544" i="13"/>
  <c r="C545" i="13"/>
  <c r="C546" i="13"/>
  <c r="C547" i="13"/>
  <c r="C548" i="13"/>
  <c r="C549" i="13"/>
  <c r="C550" i="13"/>
  <c r="C551" i="13"/>
  <c r="C552" i="13"/>
  <c r="C553" i="13"/>
  <c r="C554" i="13"/>
  <c r="C555" i="13"/>
  <c r="C556" i="13"/>
  <c r="C557" i="13"/>
  <c r="C558" i="13"/>
  <c r="C559" i="13"/>
  <c r="C560" i="13"/>
  <c r="C561" i="13"/>
  <c r="C562" i="13"/>
  <c r="C563" i="13"/>
  <c r="C564" i="13"/>
  <c r="C565" i="13"/>
  <c r="C566" i="13"/>
  <c r="C567" i="13"/>
  <c r="C568" i="13"/>
  <c r="C569" i="13"/>
  <c r="C570" i="13"/>
  <c r="C571" i="13"/>
  <c r="C572" i="13"/>
  <c r="C573" i="13"/>
  <c r="C574" i="13"/>
  <c r="C575" i="13"/>
  <c r="C576" i="13"/>
  <c r="C577" i="13"/>
  <c r="C578" i="13"/>
  <c r="C579"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D568" i="13"/>
  <c r="D569" i="13"/>
  <c r="D570" i="13"/>
  <c r="D571" i="13"/>
  <c r="D572" i="13"/>
  <c r="D573" i="13"/>
  <c r="D574" i="13"/>
  <c r="D575" i="13"/>
  <c r="D576" i="13"/>
  <c r="D577" i="13"/>
  <c r="D578" i="13"/>
  <c r="D579"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E568" i="13"/>
  <c r="E569" i="13"/>
  <c r="E570" i="13"/>
  <c r="E571" i="13"/>
  <c r="E572" i="13"/>
  <c r="E573" i="13"/>
  <c r="E574" i="13"/>
  <c r="E575" i="13"/>
  <c r="E576" i="13"/>
  <c r="E577" i="13"/>
  <c r="E578" i="13"/>
  <c r="E579" i="13"/>
  <c r="K497" i="13"/>
  <c r="K498" i="13"/>
  <c r="K499" i="13"/>
  <c r="K500" i="13"/>
  <c r="K501" i="13"/>
  <c r="K502" i="13"/>
  <c r="K503" i="13"/>
  <c r="K504" i="13"/>
  <c r="K505" i="13"/>
  <c r="K506" i="13"/>
  <c r="K507" i="13"/>
  <c r="K508" i="13"/>
  <c r="K509" i="13"/>
  <c r="K510" i="13"/>
  <c r="K511" i="13"/>
  <c r="K512" i="13"/>
  <c r="K513" i="13"/>
  <c r="K514" i="13"/>
  <c r="K515" i="13"/>
  <c r="K516" i="13"/>
  <c r="K517" i="13"/>
  <c r="K518" i="13"/>
  <c r="K519" i="13"/>
  <c r="K520" i="13"/>
  <c r="K521" i="13"/>
  <c r="K522" i="13"/>
  <c r="K523" i="13"/>
  <c r="K524" i="13"/>
  <c r="K525" i="13"/>
  <c r="K526" i="13"/>
  <c r="K527" i="13"/>
  <c r="K528" i="13"/>
  <c r="K529" i="13"/>
  <c r="K530" i="13"/>
  <c r="K531" i="13"/>
  <c r="K532" i="13"/>
  <c r="K533" i="13"/>
  <c r="K534" i="13"/>
  <c r="K535" i="13"/>
  <c r="K536" i="13"/>
  <c r="K537" i="13"/>
  <c r="K538" i="13"/>
  <c r="K539" i="13"/>
  <c r="K540" i="13"/>
  <c r="K541" i="13"/>
  <c r="K542" i="13"/>
  <c r="K543" i="13"/>
  <c r="K544" i="13"/>
  <c r="K545" i="13"/>
  <c r="K546" i="13"/>
  <c r="K547" i="13"/>
  <c r="K548" i="13"/>
  <c r="K549" i="13"/>
  <c r="K550" i="13"/>
  <c r="K551" i="13"/>
  <c r="K552" i="13"/>
  <c r="K553" i="13"/>
  <c r="K554" i="13"/>
  <c r="K555" i="13"/>
  <c r="K556" i="13"/>
  <c r="K557" i="13"/>
  <c r="K558" i="13"/>
  <c r="K559" i="13"/>
  <c r="K560" i="13"/>
  <c r="K561" i="13"/>
  <c r="K562" i="13"/>
  <c r="K563" i="13"/>
  <c r="K564" i="13"/>
  <c r="K565" i="13"/>
  <c r="K566" i="13"/>
  <c r="K567" i="13"/>
  <c r="K568" i="13"/>
  <c r="K569" i="13"/>
  <c r="K570" i="13"/>
  <c r="K571" i="13"/>
  <c r="K572" i="13"/>
  <c r="K573" i="13"/>
  <c r="K574" i="13"/>
  <c r="K575" i="13"/>
  <c r="K576" i="13"/>
  <c r="K577" i="13"/>
  <c r="K578" i="13"/>
  <c r="K579" i="13"/>
  <c r="R497" i="13"/>
  <c r="R498" i="13"/>
  <c r="R499" i="13"/>
  <c r="R500" i="13"/>
  <c r="R501" i="13"/>
  <c r="R502" i="13"/>
  <c r="R503" i="13"/>
  <c r="R504" i="13"/>
  <c r="R505" i="13"/>
  <c r="R506" i="13"/>
  <c r="R507" i="13"/>
  <c r="R508" i="13"/>
  <c r="R509" i="13"/>
  <c r="R510" i="13"/>
  <c r="R511" i="13"/>
  <c r="R512" i="13"/>
  <c r="R513" i="13"/>
  <c r="R514" i="13"/>
  <c r="R515" i="13"/>
  <c r="R516" i="13"/>
  <c r="R517" i="13"/>
  <c r="R518" i="13"/>
  <c r="R519" i="13"/>
  <c r="R520" i="13"/>
  <c r="R521" i="13"/>
  <c r="R522" i="13"/>
  <c r="R523" i="13"/>
  <c r="R524" i="13"/>
  <c r="R525" i="13"/>
  <c r="R526" i="13"/>
  <c r="R527" i="13"/>
  <c r="R528" i="13"/>
  <c r="R529" i="13"/>
  <c r="R530" i="13"/>
  <c r="R531" i="13"/>
  <c r="R532" i="13"/>
  <c r="R533" i="13"/>
  <c r="R534" i="13"/>
  <c r="R535" i="13"/>
  <c r="R536" i="13"/>
  <c r="R537" i="13"/>
  <c r="R538" i="13"/>
  <c r="R539" i="13"/>
  <c r="R540" i="13"/>
  <c r="R541" i="13"/>
  <c r="R542" i="13"/>
  <c r="R543" i="13"/>
  <c r="R544" i="13"/>
  <c r="R545" i="13"/>
  <c r="R546" i="13"/>
  <c r="R547" i="13"/>
  <c r="R548" i="13"/>
  <c r="R549" i="13"/>
  <c r="R550" i="13"/>
  <c r="R551" i="13"/>
  <c r="R552" i="13"/>
  <c r="R553" i="13"/>
  <c r="R554" i="13"/>
  <c r="R555" i="13"/>
  <c r="R556" i="13"/>
  <c r="R557" i="13"/>
  <c r="R558" i="13"/>
  <c r="R559" i="13"/>
  <c r="R560" i="13"/>
  <c r="R561" i="13"/>
  <c r="R562" i="13"/>
  <c r="R563" i="13"/>
  <c r="R564" i="13"/>
  <c r="R565" i="13"/>
  <c r="R566" i="13"/>
  <c r="R567" i="13"/>
  <c r="R568" i="13"/>
  <c r="R569" i="13"/>
  <c r="R570" i="13"/>
  <c r="R571" i="13"/>
  <c r="R572" i="13"/>
  <c r="R573" i="13"/>
  <c r="R574" i="13"/>
  <c r="R575" i="13"/>
  <c r="R576" i="13"/>
  <c r="R577" i="13"/>
  <c r="R578" i="13"/>
  <c r="R579" i="13"/>
  <c r="U497" i="13"/>
  <c r="U498" i="13"/>
  <c r="U499" i="13"/>
  <c r="U500" i="13"/>
  <c r="U501" i="13"/>
  <c r="U502" i="13"/>
  <c r="U503" i="13"/>
  <c r="U504" i="13"/>
  <c r="U505" i="13"/>
  <c r="U506" i="13"/>
  <c r="U507" i="13"/>
  <c r="U508" i="13"/>
  <c r="U509" i="13"/>
  <c r="U510" i="13"/>
  <c r="U511" i="13"/>
  <c r="U512" i="13"/>
  <c r="U513" i="13"/>
  <c r="U514" i="13"/>
  <c r="U515" i="13"/>
  <c r="U516" i="13"/>
  <c r="U517" i="13"/>
  <c r="U518" i="13"/>
  <c r="U519" i="13"/>
  <c r="U520" i="13"/>
  <c r="U521" i="13"/>
  <c r="U522" i="13"/>
  <c r="U523" i="13"/>
  <c r="U524" i="13"/>
  <c r="U525" i="13"/>
  <c r="U526" i="13"/>
  <c r="U527" i="13"/>
  <c r="U528" i="13"/>
  <c r="U529" i="13"/>
  <c r="U530" i="13"/>
  <c r="U531" i="13"/>
  <c r="U532" i="13"/>
  <c r="U533" i="13"/>
  <c r="U534" i="13"/>
  <c r="U535" i="13"/>
  <c r="U536" i="13"/>
  <c r="U537" i="13"/>
  <c r="U538" i="13"/>
  <c r="U539" i="13"/>
  <c r="U540" i="13"/>
  <c r="U541" i="13"/>
  <c r="U542" i="13"/>
  <c r="U543" i="13"/>
  <c r="U544" i="13"/>
  <c r="U545" i="13"/>
  <c r="U546" i="13"/>
  <c r="U547" i="13"/>
  <c r="U548" i="13"/>
  <c r="U549" i="13"/>
  <c r="U550" i="13"/>
  <c r="U551" i="13"/>
  <c r="U552" i="13"/>
  <c r="U553" i="13"/>
  <c r="U554" i="13"/>
  <c r="U555" i="13"/>
  <c r="U556" i="13"/>
  <c r="U557" i="13"/>
  <c r="U558" i="13"/>
  <c r="U559" i="13"/>
  <c r="U560" i="13"/>
  <c r="U561" i="13"/>
  <c r="U562" i="13"/>
  <c r="U563" i="13"/>
  <c r="U564" i="13"/>
  <c r="U565" i="13"/>
  <c r="U566" i="13"/>
  <c r="U567" i="13"/>
  <c r="U568" i="13"/>
  <c r="U569" i="13"/>
  <c r="U570" i="13"/>
  <c r="U571" i="13"/>
  <c r="U572" i="13"/>
  <c r="U573" i="13"/>
  <c r="U574" i="13"/>
  <c r="U575" i="13"/>
  <c r="U576" i="13"/>
  <c r="U577" i="13"/>
  <c r="U578" i="13"/>
  <c r="U579" i="13"/>
  <c r="AG497" i="13"/>
  <c r="AH497" i="13" s="1"/>
  <c r="AJ497" i="13" s="1"/>
  <c r="AG498" i="13"/>
  <c r="AI498" i="13" s="1"/>
  <c r="AG499" i="13"/>
  <c r="AH499" i="13" s="1"/>
  <c r="AJ499" i="13" s="1"/>
  <c r="AG500" i="13"/>
  <c r="AI500" i="13" s="1"/>
  <c r="AG501" i="13"/>
  <c r="AH501" i="13" s="1"/>
  <c r="AJ501" i="13" s="1"/>
  <c r="AG502" i="13"/>
  <c r="AI502" i="13" s="1"/>
  <c r="AG503" i="13"/>
  <c r="AI503" i="13" s="1"/>
  <c r="AG504" i="13"/>
  <c r="AH504" i="13" s="1"/>
  <c r="AJ504" i="13" s="1"/>
  <c r="AG505" i="13"/>
  <c r="AI505" i="13" s="1"/>
  <c r="AG506" i="13"/>
  <c r="AG507" i="13"/>
  <c r="AI507" i="13" s="1"/>
  <c r="AG508" i="13"/>
  <c r="AI508" i="13" s="1"/>
  <c r="AG509" i="13"/>
  <c r="AH509" i="13" s="1"/>
  <c r="AJ509" i="13" s="1"/>
  <c r="AG510" i="13"/>
  <c r="AH510" i="13" s="1"/>
  <c r="AJ510" i="13" s="1"/>
  <c r="AG511" i="13"/>
  <c r="AH511" i="13" s="1"/>
  <c r="AJ511" i="13" s="1"/>
  <c r="AG512" i="13"/>
  <c r="AI512" i="13" s="1"/>
  <c r="AG513" i="13"/>
  <c r="AH513" i="13" s="1"/>
  <c r="AJ513" i="13" s="1"/>
  <c r="AG514" i="13"/>
  <c r="AI514" i="13" s="1"/>
  <c r="AG515" i="13"/>
  <c r="AI515" i="13" s="1"/>
  <c r="AG516" i="13"/>
  <c r="AI516" i="13" s="1"/>
  <c r="AG517" i="13"/>
  <c r="AI517" i="13" s="1"/>
  <c r="AG518" i="13"/>
  <c r="AG519" i="13"/>
  <c r="AI519" i="13" s="1"/>
  <c r="AG520" i="13"/>
  <c r="AI520" i="13" s="1"/>
  <c r="AG521" i="13"/>
  <c r="AH521" i="13" s="1"/>
  <c r="AJ521" i="13" s="1"/>
  <c r="AG522" i="13"/>
  <c r="AH522" i="13" s="1"/>
  <c r="AJ522" i="13" s="1"/>
  <c r="AG523" i="13"/>
  <c r="AH523" i="13" s="1"/>
  <c r="AJ523" i="13" s="1"/>
  <c r="AG524" i="13"/>
  <c r="AH524" i="13" s="1"/>
  <c r="AJ524" i="13" s="1"/>
  <c r="AG525" i="13"/>
  <c r="AH525" i="13" s="1"/>
  <c r="AJ525" i="13" s="1"/>
  <c r="AG526" i="13"/>
  <c r="AI526" i="13" s="1"/>
  <c r="AG527" i="13"/>
  <c r="AH527" i="13" s="1"/>
  <c r="AJ527" i="13" s="1"/>
  <c r="AG528" i="13"/>
  <c r="AH528" i="13" s="1"/>
  <c r="AJ528" i="13" s="1"/>
  <c r="AG529" i="13"/>
  <c r="AI529" i="13" s="1"/>
  <c r="AG530" i="13"/>
  <c r="AG531" i="13"/>
  <c r="AH531" i="13" s="1"/>
  <c r="AJ531" i="13" s="1"/>
  <c r="AG532" i="13"/>
  <c r="AH532" i="13" s="1"/>
  <c r="AJ532" i="13" s="1"/>
  <c r="AG533" i="13"/>
  <c r="AH533" i="13" s="1"/>
  <c r="AJ533" i="13" s="1"/>
  <c r="AG534" i="13"/>
  <c r="AI534" i="13" s="1"/>
  <c r="AG535" i="13"/>
  <c r="AH535" i="13" s="1"/>
  <c r="AJ535" i="13" s="1"/>
  <c r="AG536" i="13"/>
  <c r="AI536" i="13" s="1"/>
  <c r="AG537" i="13"/>
  <c r="AH537" i="13" s="1"/>
  <c r="AJ537" i="13" s="1"/>
  <c r="AG538" i="13"/>
  <c r="AH538" i="13" s="1"/>
  <c r="AJ538" i="13" s="1"/>
  <c r="AG539" i="13"/>
  <c r="AH539" i="13" s="1"/>
  <c r="AJ539" i="13" s="1"/>
  <c r="AG540" i="13"/>
  <c r="AI540" i="13" s="1"/>
  <c r="AG541" i="13"/>
  <c r="AI541" i="13" s="1"/>
  <c r="AG542" i="13"/>
  <c r="AG543" i="13"/>
  <c r="AI543" i="13" s="1"/>
  <c r="AG544" i="13"/>
  <c r="AI544" i="13" s="1"/>
  <c r="AG545" i="13"/>
  <c r="AH545" i="13" s="1"/>
  <c r="AJ545" i="13" s="1"/>
  <c r="AG546" i="13"/>
  <c r="AH546" i="13" s="1"/>
  <c r="AJ546" i="13" s="1"/>
  <c r="AG547" i="13"/>
  <c r="AH547" i="13" s="1"/>
  <c r="AJ547" i="13" s="1"/>
  <c r="AG548" i="13"/>
  <c r="AH548" i="13" s="1"/>
  <c r="AJ548" i="13" s="1"/>
  <c r="AG549" i="13"/>
  <c r="AH549" i="13" s="1"/>
  <c r="AJ549" i="13" s="1"/>
  <c r="AG550" i="13"/>
  <c r="AH550" i="13" s="1"/>
  <c r="AJ550" i="13" s="1"/>
  <c r="AG551" i="13"/>
  <c r="AH551" i="13" s="1"/>
  <c r="AJ551" i="13" s="1"/>
  <c r="AG552" i="13"/>
  <c r="AH552" i="13" s="1"/>
  <c r="AJ552" i="13" s="1"/>
  <c r="AG553" i="13"/>
  <c r="AI553" i="13" s="1"/>
  <c r="AG554" i="13"/>
  <c r="AG555" i="13"/>
  <c r="AH555" i="13" s="1"/>
  <c r="AJ555" i="13" s="1"/>
  <c r="AG556" i="13"/>
  <c r="AI556" i="13" s="1"/>
  <c r="AG557" i="13"/>
  <c r="AH557" i="13" s="1"/>
  <c r="AJ557" i="13" s="1"/>
  <c r="AG558" i="13"/>
  <c r="AH558" i="13" s="1"/>
  <c r="AJ558" i="13" s="1"/>
  <c r="AG559" i="13"/>
  <c r="AH559" i="13" s="1"/>
  <c r="AJ559" i="13" s="1"/>
  <c r="AG560" i="13"/>
  <c r="AH560" i="13" s="1"/>
  <c r="AJ560" i="13" s="1"/>
  <c r="AG561" i="13"/>
  <c r="AH561" i="13" s="1"/>
  <c r="AJ561" i="13" s="1"/>
  <c r="AG562" i="13"/>
  <c r="AI562" i="13" s="1"/>
  <c r="AG563" i="13"/>
  <c r="AH563" i="13" s="1"/>
  <c r="AJ563" i="13" s="1"/>
  <c r="AG564" i="13"/>
  <c r="AI564" i="13" s="1"/>
  <c r="AG565" i="13"/>
  <c r="AI565" i="13" s="1"/>
  <c r="AG566" i="13"/>
  <c r="AG567" i="13"/>
  <c r="AH567" i="13" s="1"/>
  <c r="AJ567" i="13" s="1"/>
  <c r="AG568" i="13"/>
  <c r="AI568" i="13" s="1"/>
  <c r="AG569" i="13"/>
  <c r="AH569" i="13" s="1"/>
  <c r="AJ569" i="13" s="1"/>
  <c r="AG570" i="13"/>
  <c r="AH570" i="13" s="1"/>
  <c r="AJ570" i="13" s="1"/>
  <c r="AG571" i="13"/>
  <c r="AI571" i="13" s="1"/>
  <c r="AG572" i="13"/>
  <c r="AH572" i="13" s="1"/>
  <c r="AJ572" i="13" s="1"/>
  <c r="AG573" i="13"/>
  <c r="AH573" i="13" s="1"/>
  <c r="AJ573" i="13" s="1"/>
  <c r="AG574" i="13"/>
  <c r="AH574" i="13" s="1"/>
  <c r="AJ574" i="13" s="1"/>
  <c r="AG575" i="13"/>
  <c r="AI575" i="13" s="1"/>
  <c r="AG576" i="13"/>
  <c r="AH576" i="13" s="1"/>
  <c r="AJ576" i="13" s="1"/>
  <c r="AG577" i="13"/>
  <c r="AI577" i="13" s="1"/>
  <c r="AG578" i="13"/>
  <c r="AG579" i="13"/>
  <c r="AI579" i="13" s="1"/>
  <c r="AP497" i="13"/>
  <c r="AP498" i="13"/>
  <c r="AP499" i="13"/>
  <c r="AP500" i="13"/>
  <c r="AP501" i="13"/>
  <c r="AP502" i="13"/>
  <c r="AP503" i="13"/>
  <c r="AP504" i="13"/>
  <c r="AP505" i="13"/>
  <c r="AP506" i="13"/>
  <c r="AP507" i="13"/>
  <c r="AP508" i="13"/>
  <c r="AP509" i="13"/>
  <c r="AP510" i="13"/>
  <c r="AP511" i="13"/>
  <c r="AP512" i="13"/>
  <c r="AP513" i="13"/>
  <c r="AP514" i="13"/>
  <c r="AP515" i="13"/>
  <c r="AP516" i="13"/>
  <c r="AP517" i="13"/>
  <c r="AP518" i="13"/>
  <c r="AP519" i="13"/>
  <c r="AP520" i="13"/>
  <c r="AP521" i="13"/>
  <c r="AP522" i="13"/>
  <c r="AP523" i="13"/>
  <c r="AP524" i="13"/>
  <c r="AP525" i="13"/>
  <c r="AP526" i="13"/>
  <c r="AP527" i="13"/>
  <c r="AP528" i="13"/>
  <c r="AP529" i="13"/>
  <c r="AP530" i="13"/>
  <c r="AP531" i="13"/>
  <c r="AP532" i="13"/>
  <c r="AP533" i="13"/>
  <c r="AP534" i="13"/>
  <c r="AP535" i="13"/>
  <c r="AP536" i="13"/>
  <c r="AP537" i="13"/>
  <c r="AP538" i="13"/>
  <c r="AP539" i="13"/>
  <c r="AP540" i="13"/>
  <c r="AP541" i="13"/>
  <c r="AP542" i="13"/>
  <c r="AP543" i="13"/>
  <c r="AP544" i="13"/>
  <c r="AP545" i="13"/>
  <c r="AP546" i="13"/>
  <c r="AP547" i="13"/>
  <c r="AP548" i="13"/>
  <c r="AP549" i="13"/>
  <c r="AP550" i="13"/>
  <c r="AP551" i="13"/>
  <c r="AP552" i="13"/>
  <c r="AP553" i="13"/>
  <c r="AP554" i="13"/>
  <c r="AP555" i="13"/>
  <c r="AP556" i="13"/>
  <c r="AP557" i="13"/>
  <c r="AP558" i="13"/>
  <c r="AP559" i="13"/>
  <c r="AP560" i="13"/>
  <c r="AP561" i="13"/>
  <c r="AP562" i="13"/>
  <c r="AP563" i="13"/>
  <c r="AP564" i="13"/>
  <c r="AP565" i="13"/>
  <c r="AP566" i="13"/>
  <c r="AP567" i="13"/>
  <c r="AP568" i="13"/>
  <c r="AP569" i="13"/>
  <c r="AP570" i="13"/>
  <c r="AP571" i="13"/>
  <c r="AP572" i="13"/>
  <c r="AP573" i="13"/>
  <c r="AP574" i="13"/>
  <c r="AP575" i="13"/>
  <c r="AP576" i="13"/>
  <c r="AP577" i="13"/>
  <c r="AP578" i="13"/>
  <c r="AP579" i="13"/>
  <c r="BK497" i="13"/>
  <c r="BK498" i="13"/>
  <c r="BK499" i="13"/>
  <c r="BK500" i="13"/>
  <c r="BK501" i="13"/>
  <c r="BK502" i="13"/>
  <c r="BK503" i="13"/>
  <c r="BK504" i="13"/>
  <c r="BK505" i="13"/>
  <c r="BK506" i="13"/>
  <c r="BK507" i="13"/>
  <c r="BK508" i="13"/>
  <c r="BK509" i="13"/>
  <c r="BK510" i="13"/>
  <c r="BK511" i="13"/>
  <c r="BK512" i="13"/>
  <c r="BK513" i="13"/>
  <c r="BK514" i="13"/>
  <c r="BK515" i="13"/>
  <c r="BK516" i="13"/>
  <c r="BK517" i="13"/>
  <c r="BK518" i="13"/>
  <c r="BK519" i="13"/>
  <c r="BK520" i="13"/>
  <c r="BK521" i="13"/>
  <c r="BK522" i="13"/>
  <c r="BK523" i="13"/>
  <c r="BK524" i="13"/>
  <c r="BK525" i="13"/>
  <c r="BK526" i="13"/>
  <c r="BK527" i="13"/>
  <c r="BK528" i="13"/>
  <c r="BK529" i="13"/>
  <c r="BK530" i="13"/>
  <c r="BK531" i="13"/>
  <c r="BK532" i="13"/>
  <c r="BK533" i="13"/>
  <c r="BK534" i="13"/>
  <c r="BK535" i="13"/>
  <c r="BK536" i="13"/>
  <c r="BK537" i="13"/>
  <c r="BK538" i="13"/>
  <c r="BK539" i="13"/>
  <c r="BK540" i="13"/>
  <c r="BK541" i="13"/>
  <c r="BK542" i="13"/>
  <c r="BK543" i="13"/>
  <c r="BK544" i="13"/>
  <c r="BK545" i="13"/>
  <c r="BK546" i="13"/>
  <c r="BK547" i="13"/>
  <c r="BK548" i="13"/>
  <c r="BK549" i="13"/>
  <c r="BK550" i="13"/>
  <c r="BK551" i="13"/>
  <c r="BK552" i="13"/>
  <c r="BK553" i="13"/>
  <c r="BK554" i="13"/>
  <c r="BK555" i="13"/>
  <c r="BK556" i="13"/>
  <c r="BK557" i="13"/>
  <c r="BK558" i="13"/>
  <c r="BK559" i="13"/>
  <c r="BK560" i="13"/>
  <c r="BK561" i="13"/>
  <c r="BK562" i="13"/>
  <c r="BK563" i="13"/>
  <c r="BK564" i="13"/>
  <c r="BK565" i="13"/>
  <c r="BK566" i="13"/>
  <c r="BK567" i="13"/>
  <c r="BK568" i="13"/>
  <c r="BK569" i="13"/>
  <c r="BK570" i="13"/>
  <c r="BK571" i="13"/>
  <c r="BK572" i="13"/>
  <c r="BK573" i="13"/>
  <c r="BK574" i="13"/>
  <c r="BK575" i="13"/>
  <c r="BK576" i="13"/>
  <c r="BK577" i="13"/>
  <c r="BK578" i="13"/>
  <c r="BK579"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B541" i="13"/>
  <c r="B540" i="13"/>
  <c r="B539" i="13"/>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C456" i="13"/>
  <c r="C457" i="13"/>
  <c r="C458" i="13"/>
  <c r="C459" i="13"/>
  <c r="C460" i="13"/>
  <c r="C461" i="13"/>
  <c r="C462" i="13"/>
  <c r="C463" i="13"/>
  <c r="C464" i="13"/>
  <c r="C465" i="13"/>
  <c r="C466" i="13"/>
  <c r="C467" i="13"/>
  <c r="C468" i="13"/>
  <c r="C469" i="13"/>
  <c r="C470" i="13"/>
  <c r="C471" i="13"/>
  <c r="C472" i="13"/>
  <c r="C473" i="13"/>
  <c r="C474" i="13"/>
  <c r="C475" i="13"/>
  <c r="C476" i="13"/>
  <c r="C477" i="13"/>
  <c r="C478" i="13"/>
  <c r="C479" i="13"/>
  <c r="C480" i="13"/>
  <c r="C481" i="13"/>
  <c r="C482" i="13"/>
  <c r="C483" i="13"/>
  <c r="C484" i="13"/>
  <c r="C485" i="13"/>
  <c r="C486" i="13"/>
  <c r="C487" i="13"/>
  <c r="C488" i="13"/>
  <c r="C489" i="13"/>
  <c r="C490" i="13"/>
  <c r="C491" i="13"/>
  <c r="C492" i="13"/>
  <c r="C493" i="13"/>
  <c r="C494" i="13"/>
  <c r="C495" i="13"/>
  <c r="C496"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D496" i="13"/>
  <c r="E456" i="13"/>
  <c r="E457" i="13"/>
  <c r="E458" i="13"/>
  <c r="E459" i="13"/>
  <c r="E460" i="13"/>
  <c r="E461" i="13"/>
  <c r="E462" i="13"/>
  <c r="E463" i="13"/>
  <c r="E464" i="13"/>
  <c r="E465"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E489" i="13"/>
  <c r="E490" i="13"/>
  <c r="E491" i="13"/>
  <c r="E492" i="13"/>
  <c r="E493" i="13"/>
  <c r="E494" i="13"/>
  <c r="E495" i="13"/>
  <c r="E496" i="13"/>
  <c r="K456" i="13"/>
  <c r="K457" i="13"/>
  <c r="K458" i="13"/>
  <c r="K459" i="13"/>
  <c r="K460" i="13"/>
  <c r="K461" i="13"/>
  <c r="K462" i="13"/>
  <c r="K463" i="13"/>
  <c r="K464" i="13"/>
  <c r="K465"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K496" i="13"/>
  <c r="R456" i="13"/>
  <c r="R457" i="13"/>
  <c r="R458" i="13"/>
  <c r="R459" i="13"/>
  <c r="R460" i="13"/>
  <c r="R461" i="13"/>
  <c r="R462" i="13"/>
  <c r="R463" i="13"/>
  <c r="R464" i="13"/>
  <c r="R465" i="13"/>
  <c r="R466" i="13"/>
  <c r="R467" i="13"/>
  <c r="R468" i="13"/>
  <c r="R469" i="13"/>
  <c r="R470" i="13"/>
  <c r="R471" i="13"/>
  <c r="R472" i="13"/>
  <c r="R473" i="13"/>
  <c r="R474" i="13"/>
  <c r="R475" i="13"/>
  <c r="R476" i="13"/>
  <c r="R477" i="13"/>
  <c r="R478" i="13"/>
  <c r="R479" i="13"/>
  <c r="R480" i="13"/>
  <c r="R481" i="13"/>
  <c r="R482" i="13"/>
  <c r="R483" i="13"/>
  <c r="R484" i="13"/>
  <c r="R485" i="13"/>
  <c r="R486" i="13"/>
  <c r="R487" i="13"/>
  <c r="R488" i="13"/>
  <c r="R489" i="13"/>
  <c r="R490" i="13"/>
  <c r="R491" i="13"/>
  <c r="R492" i="13"/>
  <c r="R493" i="13"/>
  <c r="R494" i="13"/>
  <c r="R495" i="13"/>
  <c r="R496" i="13"/>
  <c r="U493" i="13"/>
  <c r="U494" i="13"/>
  <c r="U495" i="13"/>
  <c r="U496" i="13"/>
  <c r="AG456" i="13"/>
  <c r="AI456" i="13" s="1"/>
  <c r="AG457" i="13"/>
  <c r="AI457" i="13" s="1"/>
  <c r="AG458" i="13"/>
  <c r="AG459" i="13"/>
  <c r="AG460" i="13"/>
  <c r="AI460" i="13" s="1"/>
  <c r="AG461" i="13"/>
  <c r="AG462" i="13"/>
  <c r="AG463" i="13"/>
  <c r="AH463" i="13" s="1"/>
  <c r="AJ463" i="13" s="1"/>
  <c r="AG464" i="13"/>
  <c r="AI464" i="13" s="1"/>
  <c r="AG465" i="13"/>
  <c r="AH465" i="13" s="1"/>
  <c r="AJ465" i="13" s="1"/>
  <c r="AG466" i="13"/>
  <c r="AI466" i="13" s="1"/>
  <c r="AG467" i="13"/>
  <c r="AI467" i="13" s="1"/>
  <c r="AG468" i="13"/>
  <c r="AI468" i="13" s="1"/>
  <c r="AG469" i="13"/>
  <c r="AI469" i="13" s="1"/>
  <c r="AG470" i="13"/>
  <c r="AI470" i="13" s="1"/>
  <c r="AG471" i="13"/>
  <c r="AG472" i="13"/>
  <c r="AH472" i="13" s="1"/>
  <c r="AJ472" i="13" s="1"/>
  <c r="AG473" i="13"/>
  <c r="AG474" i="13"/>
  <c r="AG475" i="13"/>
  <c r="AH475" i="13" s="1"/>
  <c r="AJ475" i="13" s="1"/>
  <c r="AG476" i="13"/>
  <c r="AH476" i="13" s="1"/>
  <c r="AJ476" i="13" s="1"/>
  <c r="AG477" i="13"/>
  <c r="AH477" i="13" s="1"/>
  <c r="AJ477" i="13" s="1"/>
  <c r="AG478" i="13"/>
  <c r="AH478" i="13" s="1"/>
  <c r="AJ478" i="13" s="1"/>
  <c r="AG479" i="13"/>
  <c r="AG480" i="13"/>
  <c r="AI480" i="13" s="1"/>
  <c r="AG481" i="13"/>
  <c r="AH481" i="13" s="1"/>
  <c r="AJ481" i="13" s="1"/>
  <c r="AG482" i="13"/>
  <c r="AH482" i="13" s="1"/>
  <c r="AJ482" i="13" s="1"/>
  <c r="AG483" i="13"/>
  <c r="AI483" i="13" s="1"/>
  <c r="AG484" i="13"/>
  <c r="AH484" i="13" s="1"/>
  <c r="AJ484" i="13" s="1"/>
  <c r="AG485" i="13"/>
  <c r="AG486" i="13"/>
  <c r="AH486" i="13" s="1"/>
  <c r="AJ486" i="13" s="1"/>
  <c r="AG487" i="13"/>
  <c r="AG488" i="13"/>
  <c r="AI488" i="13" s="1"/>
  <c r="AG489" i="13"/>
  <c r="AH489" i="13" s="1"/>
  <c r="AJ489" i="13" s="1"/>
  <c r="AG490" i="13"/>
  <c r="AI490" i="13" s="1"/>
  <c r="AG491" i="13"/>
  <c r="AI491" i="13" s="1"/>
  <c r="AG492" i="13"/>
  <c r="AI492" i="13" s="1"/>
  <c r="AG493" i="13"/>
  <c r="AG494" i="13"/>
  <c r="AG495" i="13"/>
  <c r="AI495" i="13" s="1"/>
  <c r="AG496" i="13"/>
  <c r="AI496" i="13" s="1"/>
  <c r="AP456" i="13"/>
  <c r="AP457" i="13"/>
  <c r="AP458" i="13"/>
  <c r="AP459" i="13"/>
  <c r="AP460" i="13"/>
  <c r="AP461" i="13"/>
  <c r="AP462" i="13"/>
  <c r="AP463" i="13"/>
  <c r="AP464" i="13"/>
  <c r="AP465" i="13"/>
  <c r="AP466" i="13"/>
  <c r="AP467" i="13"/>
  <c r="AP468" i="13"/>
  <c r="AP469" i="13"/>
  <c r="AP470" i="13"/>
  <c r="AP471" i="13"/>
  <c r="AP472" i="13"/>
  <c r="AP473" i="13"/>
  <c r="AP474" i="13"/>
  <c r="AP475" i="13"/>
  <c r="AP476" i="13"/>
  <c r="AP477" i="13"/>
  <c r="AP478" i="13"/>
  <c r="AP479" i="13"/>
  <c r="AP480" i="13"/>
  <c r="AP481" i="13"/>
  <c r="AP482" i="13"/>
  <c r="AP483" i="13"/>
  <c r="AP484" i="13"/>
  <c r="AP485" i="13"/>
  <c r="AP486" i="13"/>
  <c r="AP487" i="13"/>
  <c r="AP488" i="13"/>
  <c r="AP489" i="13"/>
  <c r="AP490" i="13"/>
  <c r="AP491" i="13"/>
  <c r="AP492" i="13"/>
  <c r="AP493" i="13"/>
  <c r="AP494" i="13"/>
  <c r="AP495" i="13"/>
  <c r="AP496" i="13"/>
  <c r="BK456" i="13"/>
  <c r="BK457" i="13"/>
  <c r="BK458" i="13"/>
  <c r="BK459" i="13"/>
  <c r="BK460" i="13"/>
  <c r="BK461" i="13"/>
  <c r="BK462" i="13"/>
  <c r="BK463" i="13"/>
  <c r="BK464" i="13"/>
  <c r="BK465" i="13"/>
  <c r="BK466" i="13"/>
  <c r="BK467" i="13"/>
  <c r="BK468" i="13"/>
  <c r="BK469" i="13"/>
  <c r="BK470" i="13"/>
  <c r="BK471" i="13"/>
  <c r="BK472" i="13"/>
  <c r="BK473" i="13"/>
  <c r="BK474" i="13"/>
  <c r="BK475" i="13"/>
  <c r="BK476" i="13"/>
  <c r="BK477" i="13"/>
  <c r="BK478" i="13"/>
  <c r="BK479" i="13"/>
  <c r="BK480" i="13"/>
  <c r="BK481" i="13"/>
  <c r="BK482" i="13"/>
  <c r="BK483" i="13"/>
  <c r="BK484" i="13"/>
  <c r="BK485" i="13"/>
  <c r="BK486" i="13"/>
  <c r="BK487" i="13"/>
  <c r="BK488" i="13"/>
  <c r="BK489" i="13"/>
  <c r="BK490" i="13"/>
  <c r="BK491" i="13"/>
  <c r="BK492" i="13"/>
  <c r="BK493" i="13"/>
  <c r="BK494" i="13"/>
  <c r="BK495" i="13"/>
  <c r="BK496" i="13"/>
  <c r="B56" i="19"/>
  <c r="B57" i="19"/>
  <c r="B58" i="19"/>
  <c r="B59" i="19"/>
  <c r="B41" i="19"/>
  <c r="B42" i="19"/>
  <c r="B43" i="19"/>
  <c r="B44" i="19"/>
  <c r="B45" i="19"/>
  <c r="B46" i="19"/>
  <c r="B47" i="19"/>
  <c r="B48" i="19"/>
  <c r="B49" i="19"/>
  <c r="B50" i="19"/>
  <c r="B51" i="19"/>
  <c r="B52" i="19"/>
  <c r="B53" i="19"/>
  <c r="B54" i="19"/>
  <c r="B55" i="19"/>
  <c r="B60" i="19"/>
  <c r="B12" i="19"/>
  <c r="C12" i="19"/>
  <c r="B13" i="19"/>
  <c r="C13" i="19"/>
  <c r="B14" i="19"/>
  <c r="C14" i="19"/>
  <c r="B15" i="19"/>
  <c r="C15" i="19"/>
  <c r="B16" i="19"/>
  <c r="C16" i="19"/>
  <c r="B17" i="19"/>
  <c r="C17" i="19"/>
  <c r="B18" i="19"/>
  <c r="C18" i="19"/>
  <c r="B19" i="19"/>
  <c r="C19" i="19"/>
  <c r="B20" i="19"/>
  <c r="C20" i="19"/>
  <c r="B21" i="19"/>
  <c r="C21" i="19"/>
  <c r="B22" i="19"/>
  <c r="C22" i="19"/>
  <c r="B23" i="19"/>
  <c r="C23" i="19"/>
  <c r="B24" i="19"/>
  <c r="C24" i="19"/>
  <c r="B25" i="19"/>
  <c r="C25" i="19"/>
  <c r="B26" i="19"/>
  <c r="C26" i="19"/>
  <c r="B27" i="19"/>
  <c r="C27" i="19"/>
  <c r="B28" i="19"/>
  <c r="C28" i="19"/>
  <c r="B29" i="19"/>
  <c r="C29" i="19"/>
  <c r="B30" i="19"/>
  <c r="C30" i="19"/>
  <c r="B31" i="19"/>
  <c r="C31" i="19"/>
  <c r="Y497" i="13" l="1"/>
  <c r="AB497" i="13"/>
  <c r="Y498" i="13"/>
  <c r="AB498" i="13"/>
  <c r="AC498" i="13" s="1"/>
  <c r="Y499" i="13"/>
  <c r="AB499" i="13"/>
  <c r="AC499" i="13" s="1"/>
  <c r="Y500" i="13"/>
  <c r="AB500" i="13"/>
  <c r="AC500" i="13" s="1"/>
  <c r="AB501" i="13"/>
  <c r="AC501" i="13" s="1"/>
  <c r="Y502" i="13"/>
  <c r="AB502" i="13"/>
  <c r="Y503" i="13"/>
  <c r="AB503" i="13"/>
  <c r="AC503" i="13" s="1"/>
  <c r="Y504" i="13"/>
  <c r="AB504" i="13"/>
  <c r="AC504" i="13" s="1"/>
  <c r="Y505" i="13"/>
  <c r="AB505" i="13"/>
  <c r="AC505" i="13" s="1"/>
  <c r="AB506" i="13"/>
  <c r="AC506" i="13"/>
  <c r="Y507" i="13"/>
  <c r="AB507" i="13"/>
  <c r="Y508" i="13"/>
  <c r="AB508" i="13"/>
  <c r="Y509" i="13"/>
  <c r="AB509" i="13"/>
  <c r="Y510" i="13"/>
  <c r="AB510" i="13"/>
  <c r="AC510" i="13" s="1"/>
  <c r="AC511" i="13"/>
  <c r="AB511" i="13"/>
  <c r="Y512" i="13"/>
  <c r="AB512" i="13"/>
  <c r="AC512" i="13" s="1"/>
  <c r="AB513" i="13"/>
  <c r="AC513" i="13" s="1"/>
  <c r="Y514" i="13"/>
  <c r="AB514" i="13"/>
  <c r="AC514" i="13" s="1"/>
  <c r="AC515" i="13"/>
  <c r="AB515" i="13"/>
  <c r="AC516" i="13"/>
  <c r="AB516" i="13"/>
  <c r="AC517" i="13"/>
  <c r="AB517" i="13"/>
  <c r="Y518" i="13"/>
  <c r="AB518" i="13"/>
  <c r="AC518" i="13" s="1"/>
  <c r="Y519" i="13"/>
  <c r="AB519" i="13"/>
  <c r="AC519" i="13" s="1"/>
  <c r="Y520" i="13"/>
  <c r="AB520" i="13"/>
  <c r="AC520" i="13" s="1"/>
  <c r="Y521" i="13"/>
  <c r="AB521" i="13"/>
  <c r="AC521" i="13"/>
  <c r="Y522" i="13"/>
  <c r="AB522" i="13"/>
  <c r="AC522" i="13" s="1"/>
  <c r="Y523" i="13"/>
  <c r="AB523" i="13"/>
  <c r="AC523" i="13" s="1"/>
  <c r="Y524" i="13"/>
  <c r="AB524" i="13"/>
  <c r="AC524" i="13" s="1"/>
  <c r="AB525" i="13"/>
  <c r="Y526" i="13"/>
  <c r="AB526" i="13"/>
  <c r="AC526" i="13" s="1"/>
  <c r="Y527" i="13"/>
  <c r="AB527" i="13"/>
  <c r="AC527" i="13" s="1"/>
  <c r="Y528" i="13"/>
  <c r="AB528" i="13"/>
  <c r="AB529" i="13"/>
  <c r="AC529" i="13"/>
  <c r="AB530" i="13"/>
  <c r="AC530" i="13"/>
  <c r="AB531" i="13"/>
  <c r="AC531" i="13"/>
  <c r="AB532" i="13"/>
  <c r="AC532" i="13"/>
  <c r="AB533" i="13"/>
  <c r="AC533" i="13"/>
  <c r="AC534" i="13"/>
  <c r="AB534" i="13"/>
  <c r="AC535" i="13"/>
  <c r="AB535" i="13"/>
  <c r="Y536" i="13"/>
  <c r="AB536" i="13"/>
  <c r="AC536" i="13" s="1"/>
  <c r="AC537" i="13"/>
  <c r="AB537" i="13"/>
  <c r="AC538" i="13"/>
  <c r="AB538" i="13"/>
  <c r="AB539" i="13"/>
  <c r="AC539" i="13"/>
  <c r="AC540" i="13"/>
  <c r="AB540" i="13"/>
  <c r="AC541" i="13"/>
  <c r="AB541" i="13"/>
  <c r="AC542" i="13"/>
  <c r="AB542" i="13"/>
  <c r="Y543" i="13"/>
  <c r="AB543" i="13"/>
  <c r="AC543" i="13" s="1"/>
  <c r="Y544" i="13"/>
  <c r="AB544" i="13"/>
  <c r="AC544" i="13" s="1"/>
  <c r="Y545" i="13"/>
  <c r="AB545" i="13"/>
  <c r="AC545" i="13" s="1"/>
  <c r="Y546" i="13"/>
  <c r="AB546" i="13"/>
  <c r="AC546" i="13" s="1"/>
  <c r="AC547" i="13"/>
  <c r="AB547" i="13"/>
  <c r="Y548" i="13"/>
  <c r="AB548" i="13"/>
  <c r="AC548" i="13" s="1"/>
  <c r="AB549" i="13"/>
  <c r="Y550" i="13"/>
  <c r="AB550" i="13"/>
  <c r="Y551" i="13"/>
  <c r="AB551" i="13"/>
  <c r="Y552" i="13"/>
  <c r="AB552" i="13"/>
  <c r="Y553" i="13"/>
  <c r="AB553" i="13"/>
  <c r="AB554" i="13"/>
  <c r="AC554" i="13"/>
  <c r="Y555" i="13"/>
  <c r="AB555" i="13"/>
  <c r="Y556" i="13"/>
  <c r="AB556" i="13"/>
  <c r="Y557" i="13"/>
  <c r="AB557" i="13"/>
  <c r="AC557" i="13" s="1"/>
  <c r="Y558" i="13"/>
  <c r="AB558" i="13"/>
  <c r="AC558" i="13" s="1"/>
  <c r="Y559" i="13"/>
  <c r="AB559" i="13"/>
  <c r="AC559" i="13"/>
  <c r="Y560" i="13"/>
  <c r="AB560" i="13"/>
  <c r="AC560" i="13" s="1"/>
  <c r="AB561" i="13"/>
  <c r="AC561" i="13" s="1"/>
  <c r="Y562" i="13"/>
  <c r="AB562" i="13"/>
  <c r="AC563" i="13"/>
  <c r="AB563" i="13"/>
  <c r="AB564" i="13"/>
  <c r="AC564" i="13"/>
  <c r="AC565" i="13"/>
  <c r="AB565" i="13"/>
  <c r="Y566" i="13"/>
  <c r="AB566" i="13"/>
  <c r="AC566" i="13" s="1"/>
  <c r="Y567" i="13"/>
  <c r="AB567" i="13"/>
  <c r="AC567" i="13" s="1"/>
  <c r="Y568" i="13"/>
  <c r="AB568" i="13"/>
  <c r="AC568" i="13" s="1"/>
  <c r="AB569" i="13"/>
  <c r="AC569" i="13"/>
  <c r="AB570" i="13"/>
  <c r="AC570" i="13"/>
  <c r="AB571" i="13"/>
  <c r="AC571" i="13"/>
  <c r="AB572" i="13"/>
  <c r="AC572" i="13"/>
  <c r="AB573" i="13"/>
  <c r="AC573" i="13" s="1"/>
  <c r="Y574" i="13"/>
  <c r="AB574" i="13"/>
  <c r="AC574" i="13" s="1"/>
  <c r="Y575" i="13"/>
  <c r="AB575" i="13"/>
  <c r="AC575" i="13" s="1"/>
  <c r="AC576" i="13"/>
  <c r="AB576" i="13"/>
  <c r="Y577" i="13"/>
  <c r="AB577" i="13"/>
  <c r="Y578" i="13"/>
  <c r="AB578" i="13"/>
  <c r="Y579" i="13"/>
  <c r="AB579" i="13"/>
  <c r="AC579" i="13"/>
  <c r="Y456" i="13"/>
  <c r="AB456" i="13"/>
  <c r="AC456" i="13" s="1"/>
  <c r="AC457" i="13"/>
  <c r="AB457" i="13"/>
  <c r="Y458" i="13"/>
  <c r="AB458" i="13"/>
  <c r="AC458" i="13" s="1"/>
  <c r="AC459" i="13"/>
  <c r="AB459" i="13"/>
  <c r="AC460" i="13"/>
  <c r="AB460" i="13"/>
  <c r="AB461" i="13"/>
  <c r="AC461" i="13" s="1"/>
  <c r="Y462" i="13"/>
  <c r="AB462" i="13"/>
  <c r="AC462" i="13" s="1"/>
  <c r="AB463" i="13"/>
  <c r="AC463" i="13" s="1"/>
  <c r="AB464" i="13"/>
  <c r="AC464" i="13" s="1"/>
  <c r="AB465" i="13"/>
  <c r="AC465" i="13" s="1"/>
  <c r="Y466" i="13"/>
  <c r="AB466" i="13"/>
  <c r="AC466" i="13" s="1"/>
  <c r="Y467" i="13"/>
  <c r="AB467" i="13"/>
  <c r="AC467" i="13" s="1"/>
  <c r="AC468" i="13"/>
  <c r="AB468" i="13"/>
  <c r="Y469" i="13"/>
  <c r="AB469" i="13"/>
  <c r="AC469" i="13" s="1"/>
  <c r="Y470" i="13"/>
  <c r="AB470" i="13"/>
  <c r="AC470" i="13" s="1"/>
  <c r="Y471" i="13"/>
  <c r="AB471" i="13"/>
  <c r="Y472" i="13"/>
  <c r="AB472" i="13"/>
  <c r="AC472" i="13" s="1"/>
  <c r="Y473" i="13"/>
  <c r="AB473" i="13"/>
  <c r="AC473" i="13" s="1"/>
  <c r="Y474" i="13"/>
  <c r="AB474" i="13"/>
  <c r="AB475" i="13"/>
  <c r="AC475" i="13"/>
  <c r="Y476" i="13"/>
  <c r="AB476" i="13"/>
  <c r="AC476" i="13" s="1"/>
  <c r="AB477" i="13"/>
  <c r="Y478" i="13"/>
  <c r="AB478" i="13"/>
  <c r="AC479" i="13"/>
  <c r="AB479" i="13"/>
  <c r="AB480" i="13"/>
  <c r="AB481" i="13"/>
  <c r="AC481" i="13"/>
  <c r="AC482" i="13"/>
  <c r="AB482" i="13"/>
  <c r="Y483" i="13"/>
  <c r="AB483" i="13"/>
  <c r="AC483" i="13" s="1"/>
  <c r="AB484" i="13"/>
  <c r="AC484" i="13" s="1"/>
  <c r="Y485" i="13"/>
  <c r="AB485" i="13"/>
  <c r="AC485" i="13" s="1"/>
  <c r="Y486" i="13"/>
  <c r="AB486" i="13"/>
  <c r="AC486" i="13" s="1"/>
  <c r="AB487" i="13"/>
  <c r="AC487" i="13" s="1"/>
  <c r="Y488" i="13"/>
  <c r="AB488" i="13"/>
  <c r="AC488" i="13" s="1"/>
  <c r="AB489" i="13"/>
  <c r="AC490" i="13"/>
  <c r="AB490" i="13"/>
  <c r="AC491" i="13"/>
  <c r="AB491" i="13"/>
  <c r="AC492" i="13"/>
  <c r="AB492" i="13"/>
  <c r="Y493" i="13"/>
  <c r="AB493" i="13"/>
  <c r="AC493" i="13" s="1"/>
  <c r="Y494" i="13"/>
  <c r="AB494" i="13"/>
  <c r="AC494" i="13" s="1"/>
  <c r="Y495" i="13"/>
  <c r="AB495" i="13"/>
  <c r="AB496" i="13"/>
  <c r="Y501" i="13"/>
  <c r="Z506" i="13"/>
  <c r="Y506" i="13"/>
  <c r="Z511" i="13"/>
  <c r="Y511" i="13"/>
  <c r="Y513" i="13"/>
  <c r="Y515" i="13"/>
  <c r="Z515" i="13"/>
  <c r="Z516" i="13"/>
  <c r="Y516" i="13"/>
  <c r="Y517" i="13"/>
  <c r="Z517" i="13"/>
  <c r="Y525" i="13"/>
  <c r="Z529" i="13"/>
  <c r="Y529" i="13"/>
  <c r="Y530" i="13"/>
  <c r="Z530" i="13"/>
  <c r="Z531" i="13"/>
  <c r="Y531" i="13"/>
  <c r="Y532" i="13"/>
  <c r="Z532" i="13"/>
  <c r="Y533" i="13"/>
  <c r="Z533" i="13"/>
  <c r="Y534" i="13"/>
  <c r="Z534" i="13"/>
  <c r="Y535" i="13"/>
  <c r="Z535" i="13"/>
  <c r="Y537" i="13"/>
  <c r="Z537" i="13"/>
  <c r="Y538" i="13"/>
  <c r="Z538" i="13"/>
  <c r="Y539" i="13"/>
  <c r="Z539" i="13"/>
  <c r="Y540" i="13"/>
  <c r="Z540" i="13"/>
  <c r="Y541" i="13"/>
  <c r="Z541" i="13"/>
  <c r="Y542" i="13"/>
  <c r="Z542" i="13"/>
  <c r="Z547" i="13"/>
  <c r="Y547" i="13"/>
  <c r="Y549" i="13"/>
  <c r="Z554" i="13"/>
  <c r="Y554" i="13"/>
  <c r="Y561" i="13"/>
  <c r="Y563" i="13"/>
  <c r="Z563" i="13"/>
  <c r="Y564" i="13"/>
  <c r="Z564" i="13"/>
  <c r="Y565" i="13"/>
  <c r="Z565" i="13"/>
  <c r="Z569" i="13"/>
  <c r="Y569" i="13"/>
  <c r="Y570" i="13"/>
  <c r="Z570" i="13"/>
  <c r="Z571" i="13"/>
  <c r="Y571" i="13"/>
  <c r="Z572" i="13"/>
  <c r="Y572" i="13"/>
  <c r="Y573" i="13"/>
  <c r="Z576" i="13"/>
  <c r="Y576" i="13"/>
  <c r="Y457" i="13"/>
  <c r="Z457" i="13"/>
  <c r="Y459" i="13"/>
  <c r="Z459" i="13"/>
  <c r="Z460" i="13"/>
  <c r="Y460" i="13"/>
  <c r="Y461" i="13"/>
  <c r="Y463" i="13"/>
  <c r="Y464" i="13"/>
  <c r="Y465" i="13"/>
  <c r="Y468" i="13"/>
  <c r="Z475" i="13"/>
  <c r="Y475" i="13"/>
  <c r="Y477" i="13"/>
  <c r="Y479" i="13"/>
  <c r="Y480" i="13"/>
  <c r="Y481" i="13"/>
  <c r="Z481" i="13"/>
  <c r="Y482" i="13"/>
  <c r="Z482" i="13"/>
  <c r="Y484" i="13"/>
  <c r="Y487" i="13"/>
  <c r="Y489" i="13"/>
  <c r="Y490" i="13"/>
  <c r="Z490" i="13"/>
  <c r="Y491" i="13"/>
  <c r="Z491" i="13"/>
  <c r="Y492" i="13"/>
  <c r="Z492" i="13"/>
  <c r="Y496" i="13"/>
  <c r="F27" i="19"/>
  <c r="F28" i="19"/>
  <c r="F31" i="19"/>
  <c r="F30" i="19"/>
  <c r="F29" i="19"/>
  <c r="B115" i="22"/>
  <c r="B117" i="22"/>
  <c r="B118" i="22"/>
  <c r="B116" i="22"/>
  <c r="B112" i="22"/>
  <c r="B113" i="22"/>
  <c r="B114" i="22"/>
  <c r="B73" i="22"/>
  <c r="B74" i="22"/>
  <c r="B72" i="22"/>
  <c r="B70" i="22"/>
  <c r="B71" i="22"/>
  <c r="B49" i="22"/>
  <c r="B53" i="22"/>
  <c r="B50" i="22"/>
  <c r="B51" i="22"/>
  <c r="B52" i="22"/>
  <c r="B54" i="22"/>
  <c r="B95" i="22"/>
  <c r="B96" i="22"/>
  <c r="B94" i="22"/>
  <c r="B92" i="22"/>
  <c r="B93" i="22"/>
  <c r="B139" i="22"/>
  <c r="B140" i="22"/>
  <c r="B141" i="22"/>
  <c r="B142" i="22"/>
  <c r="B143" i="22"/>
  <c r="B131" i="22"/>
  <c r="B132" i="22"/>
  <c r="B133" i="22"/>
  <c r="B129" i="22"/>
  <c r="B130" i="22"/>
  <c r="B124" i="22"/>
  <c r="B125" i="22"/>
  <c r="B126" i="22"/>
  <c r="B127" i="22"/>
  <c r="B128" i="22"/>
  <c r="B107" i="22"/>
  <c r="B108" i="22"/>
  <c r="B109" i="22"/>
  <c r="B110" i="22"/>
  <c r="B111" i="22"/>
  <c r="B86" i="22"/>
  <c r="B87" i="22"/>
  <c r="B89" i="22"/>
  <c r="B90" i="22"/>
  <c r="B91" i="22"/>
  <c r="B88" i="22"/>
  <c r="B69" i="22"/>
  <c r="B65" i="22"/>
  <c r="B66" i="22"/>
  <c r="B67" i="22"/>
  <c r="B68" i="22"/>
  <c r="B102" i="22"/>
  <c r="B106" i="22"/>
  <c r="B103" i="22"/>
  <c r="B104" i="22"/>
  <c r="B105" i="22"/>
  <c r="B61" i="22"/>
  <c r="B62" i="22"/>
  <c r="B63" i="22"/>
  <c r="B64" i="22"/>
  <c r="B60" i="22"/>
  <c r="B81" i="22"/>
  <c r="B83" i="22"/>
  <c r="B82" i="22"/>
  <c r="B84" i="22"/>
  <c r="B80" i="22"/>
  <c r="B85" i="22"/>
  <c r="B134" i="22"/>
  <c r="B135" i="22"/>
  <c r="B138" i="22"/>
  <c r="B136" i="22"/>
  <c r="B137" i="22"/>
  <c r="B121" i="22"/>
  <c r="B122" i="22"/>
  <c r="B123" i="22"/>
  <c r="B120" i="22"/>
  <c r="B119" i="22"/>
  <c r="B97" i="22"/>
  <c r="B98" i="22"/>
  <c r="B99" i="22"/>
  <c r="B100" i="22"/>
  <c r="B101" i="22"/>
  <c r="B75" i="22"/>
  <c r="B76" i="22"/>
  <c r="B77" i="22"/>
  <c r="B78" i="22"/>
  <c r="B79" i="22"/>
  <c r="B55" i="22"/>
  <c r="B56" i="22"/>
  <c r="B57" i="22"/>
  <c r="B58" i="22"/>
  <c r="B59" i="22"/>
  <c r="Z483" i="13"/>
  <c r="Z494" i="13"/>
  <c r="Z470" i="13"/>
  <c r="AL536" i="13"/>
  <c r="AL512" i="13"/>
  <c r="AL500" i="13"/>
  <c r="AL469" i="13"/>
  <c r="Z493" i="13"/>
  <c r="AL456" i="13"/>
  <c r="Z546" i="13"/>
  <c r="AL534" i="13"/>
  <c r="Z498" i="13"/>
  <c r="AL491" i="13"/>
  <c r="Z467" i="13"/>
  <c r="Z466" i="13"/>
  <c r="AL568" i="13"/>
  <c r="AL556" i="13"/>
  <c r="AL544" i="13"/>
  <c r="AL520" i="13"/>
  <c r="AL508" i="13"/>
  <c r="AL579" i="13"/>
  <c r="Z567" i="13"/>
  <c r="AL543" i="13"/>
  <c r="AL519" i="13"/>
  <c r="AL507" i="13"/>
  <c r="Z488" i="13"/>
  <c r="AL565" i="13"/>
  <c r="AL529" i="13"/>
  <c r="AL517" i="13"/>
  <c r="AL505" i="13"/>
  <c r="Z462" i="13"/>
  <c r="AL564" i="13"/>
  <c r="AL540" i="13"/>
  <c r="AL516" i="13"/>
  <c r="Z575" i="13"/>
  <c r="Z527" i="13"/>
  <c r="AL503" i="13"/>
  <c r="Z473" i="13"/>
  <c r="AL460" i="13"/>
  <c r="AL562" i="13"/>
  <c r="AL526" i="13"/>
  <c r="AL514" i="13"/>
  <c r="AL502" i="13"/>
  <c r="Z526" i="13"/>
  <c r="Z519" i="13"/>
  <c r="Z503" i="13"/>
  <c r="Z514" i="13"/>
  <c r="AH508" i="13"/>
  <c r="AJ508" i="13" s="1"/>
  <c r="Z574" i="13"/>
  <c r="Z543" i="13"/>
  <c r="Z579" i="13"/>
  <c r="Z545" i="13"/>
  <c r="AI463" i="13"/>
  <c r="Z566" i="13"/>
  <c r="AI525" i="13"/>
  <c r="AI501" i="13"/>
  <c r="AH543" i="13"/>
  <c r="AJ543" i="13" s="1"/>
  <c r="AI552" i="13"/>
  <c r="AI547" i="13"/>
  <c r="Z499" i="13"/>
  <c r="Z523" i="13"/>
  <c r="AL457" i="13"/>
  <c r="Z458" i="13"/>
  <c r="AI513" i="13"/>
  <c r="Z505" i="13"/>
  <c r="AI509" i="13"/>
  <c r="AI476" i="13"/>
  <c r="Z472" i="13"/>
  <c r="AH575" i="13"/>
  <c r="AJ575" i="13" s="1"/>
  <c r="AH466" i="13"/>
  <c r="AJ466" i="13" s="1"/>
  <c r="AL553" i="13"/>
  <c r="AL515" i="13"/>
  <c r="AI549" i="13"/>
  <c r="AH507" i="13"/>
  <c r="AJ507" i="13" s="1"/>
  <c r="Z521" i="13"/>
  <c r="AI539" i="13"/>
  <c r="AL541" i="13"/>
  <c r="AI531" i="13"/>
  <c r="AH488" i="13"/>
  <c r="AJ488" i="13" s="1"/>
  <c r="Z486" i="13"/>
  <c r="AL495" i="13"/>
  <c r="AI533" i="13"/>
  <c r="AL483" i="13"/>
  <c r="AI475" i="13"/>
  <c r="AH568" i="13"/>
  <c r="AJ568" i="13" s="1"/>
  <c r="AL488" i="13"/>
  <c r="AH544" i="13"/>
  <c r="AJ544" i="13" s="1"/>
  <c r="AH483" i="13"/>
  <c r="AJ483" i="13" s="1"/>
  <c r="AI532" i="13"/>
  <c r="AH464" i="13"/>
  <c r="AJ464" i="13" s="1"/>
  <c r="AI510" i="13"/>
  <c r="Z476" i="13"/>
  <c r="AL498" i="13"/>
  <c r="AI570" i="13"/>
  <c r="AI569" i="13"/>
  <c r="AH571" i="13"/>
  <c r="AJ571" i="13" s="1"/>
  <c r="AL577" i="13"/>
  <c r="AL575" i="13"/>
  <c r="AH579" i="13"/>
  <c r="AJ579" i="13" s="1"/>
  <c r="AI573" i="13"/>
  <c r="AI504" i="13"/>
  <c r="AI484" i="13"/>
  <c r="AI576" i="13"/>
  <c r="AH540" i="13"/>
  <c r="AJ540" i="13" s="1"/>
  <c r="AI478" i="13"/>
  <c r="AI574" i="13"/>
  <c r="AI538" i="13"/>
  <c r="AH526" i="13"/>
  <c r="AJ526" i="13" s="1"/>
  <c r="AH516" i="13"/>
  <c r="AJ516" i="13" s="1"/>
  <c r="AI472" i="13"/>
  <c r="Z522" i="13"/>
  <c r="AI528" i="13"/>
  <c r="AI486" i="13"/>
  <c r="AH490" i="13"/>
  <c r="AJ490" i="13" s="1"/>
  <c r="AI567" i="13"/>
  <c r="AI555" i="13"/>
  <c r="AH564" i="13"/>
  <c r="AJ564" i="13" s="1"/>
  <c r="AL470" i="13"/>
  <c r="AH473" i="13"/>
  <c r="AJ473" i="13" s="1"/>
  <c r="AI473" i="13"/>
  <c r="AC477" i="13"/>
  <c r="AH495" i="13"/>
  <c r="AJ495" i="13" s="1"/>
  <c r="AC496" i="13"/>
  <c r="AL496" i="13"/>
  <c r="AH470" i="13"/>
  <c r="AJ470" i="13" s="1"/>
  <c r="AH496" i="13"/>
  <c r="AJ496" i="13" s="1"/>
  <c r="AI548" i="13"/>
  <c r="AI546" i="13"/>
  <c r="AH536" i="13"/>
  <c r="AJ536" i="13" s="1"/>
  <c r="AH500" i="13"/>
  <c r="AJ500" i="13" s="1"/>
  <c r="AL571" i="13"/>
  <c r="AI545" i="13"/>
  <c r="AH534" i="13"/>
  <c r="AJ534" i="13" s="1"/>
  <c r="AH498" i="13"/>
  <c r="AJ498" i="13" s="1"/>
  <c r="Z559" i="13"/>
  <c r="AI524" i="13"/>
  <c r="AI499" i="13"/>
  <c r="AH562" i="13"/>
  <c r="AJ562" i="13" s="1"/>
  <c r="Z558" i="13"/>
  <c r="AI560" i="13"/>
  <c r="AI523" i="13"/>
  <c r="AI497" i="13"/>
  <c r="Z557" i="13"/>
  <c r="AI559" i="13"/>
  <c r="AI522" i="13"/>
  <c r="AI558" i="13"/>
  <c r="AI537" i="13"/>
  <c r="AI521" i="13"/>
  <c r="Z510" i="13"/>
  <c r="AI557" i="13"/>
  <c r="AI535" i="13"/>
  <c r="AI572" i="13"/>
  <c r="AI511" i="13"/>
  <c r="AH512" i="13"/>
  <c r="AJ512" i="13" s="1"/>
  <c r="AI551" i="13"/>
  <c r="AI550" i="13"/>
  <c r="AH503" i="13"/>
  <c r="AJ503" i="13" s="1"/>
  <c r="Z518" i="13"/>
  <c r="AI563" i="13"/>
  <c r="AH556" i="13"/>
  <c r="AJ556" i="13" s="1"/>
  <c r="AH520" i="13"/>
  <c r="AJ520" i="13" s="1"/>
  <c r="AH502" i="13"/>
  <c r="AJ502" i="13" s="1"/>
  <c r="AH519" i="13"/>
  <c r="AJ519" i="13" s="1"/>
  <c r="AI561" i="13"/>
  <c r="AH515" i="13"/>
  <c r="AJ515" i="13" s="1"/>
  <c r="AH514" i="13"/>
  <c r="AJ514" i="13" s="1"/>
  <c r="AI527" i="13"/>
  <c r="AH469" i="13"/>
  <c r="AJ469" i="13" s="1"/>
  <c r="AH492" i="13"/>
  <c r="AJ492" i="13" s="1"/>
  <c r="AH468" i="13"/>
  <c r="AJ468" i="13" s="1"/>
  <c r="AH491" i="13"/>
  <c r="AJ491" i="13" s="1"/>
  <c r="AH467" i="13"/>
  <c r="AJ467" i="13" s="1"/>
  <c r="Z469" i="13"/>
  <c r="AH460" i="13"/>
  <c r="AJ460" i="13" s="1"/>
  <c r="AH457" i="13"/>
  <c r="AJ457" i="13" s="1"/>
  <c r="AH480" i="13"/>
  <c r="AJ480" i="13" s="1"/>
  <c r="AH456" i="13"/>
  <c r="AJ456" i="13" s="1"/>
  <c r="Z456" i="13"/>
  <c r="AI482" i="13"/>
  <c r="AH474" i="13"/>
  <c r="AJ474" i="13" s="1"/>
  <c r="AI474" i="13"/>
  <c r="AI481" i="13"/>
  <c r="AI471" i="13"/>
  <c r="AH471" i="13"/>
  <c r="AJ471" i="13" s="1"/>
  <c r="AH459" i="13"/>
  <c r="AJ459" i="13" s="1"/>
  <c r="AI459" i="13"/>
  <c r="AH494" i="13"/>
  <c r="AJ494" i="13" s="1"/>
  <c r="AI494" i="13"/>
  <c r="AI458" i="13"/>
  <c r="AH458" i="13"/>
  <c r="AJ458" i="13" s="1"/>
  <c r="AH493" i="13"/>
  <c r="AJ493" i="13" s="1"/>
  <c r="AI493" i="13"/>
  <c r="AL492" i="13"/>
  <c r="AC480" i="13"/>
  <c r="AL480" i="13"/>
  <c r="Z468" i="13"/>
  <c r="AL468" i="13"/>
  <c r="AC525" i="13"/>
  <c r="AI479" i="13"/>
  <c r="AH479" i="13"/>
  <c r="AJ479" i="13" s="1"/>
  <c r="Z573" i="13"/>
  <c r="AH462" i="13"/>
  <c r="AJ462" i="13" s="1"/>
  <c r="AI462" i="13"/>
  <c r="Z461" i="13"/>
  <c r="Z485" i="13"/>
  <c r="AC489" i="13"/>
  <c r="AL464" i="13"/>
  <c r="AC549" i="13"/>
  <c r="Z463" i="13"/>
  <c r="AL467" i="13"/>
  <c r="AH487" i="13"/>
  <c r="AJ487" i="13" s="1"/>
  <c r="AI487" i="13"/>
  <c r="AH485" i="13"/>
  <c r="AJ485" i="13" s="1"/>
  <c r="AI485" i="13"/>
  <c r="AH461" i="13"/>
  <c r="AJ461" i="13" s="1"/>
  <c r="AI461" i="13"/>
  <c r="Z479" i="13"/>
  <c r="AI578" i="13"/>
  <c r="AH578" i="13"/>
  <c r="AJ578" i="13" s="1"/>
  <c r="AI566" i="13"/>
  <c r="AH566" i="13"/>
  <c r="AJ566" i="13" s="1"/>
  <c r="AI554" i="13"/>
  <c r="AH554" i="13"/>
  <c r="AJ554" i="13" s="1"/>
  <c r="AI542" i="13"/>
  <c r="AH542" i="13"/>
  <c r="AJ542" i="13" s="1"/>
  <c r="AI530" i="13"/>
  <c r="AH530" i="13"/>
  <c r="AJ530" i="13" s="1"/>
  <c r="AI518" i="13"/>
  <c r="AH518" i="13"/>
  <c r="AJ518" i="13" s="1"/>
  <c r="AI506" i="13"/>
  <c r="AH506" i="13"/>
  <c r="AJ506" i="13" s="1"/>
  <c r="AH577" i="13"/>
  <c r="AJ577" i="13" s="1"/>
  <c r="AH565" i="13"/>
  <c r="AJ565" i="13" s="1"/>
  <c r="AH553" i="13"/>
  <c r="AJ553" i="13" s="1"/>
  <c r="AH541" i="13"/>
  <c r="AJ541" i="13" s="1"/>
  <c r="AH529" i="13"/>
  <c r="AJ529" i="13" s="1"/>
  <c r="AH517" i="13"/>
  <c r="AJ517" i="13" s="1"/>
  <c r="AH505" i="13"/>
  <c r="AJ505" i="13" s="1"/>
  <c r="Z560" i="13"/>
  <c r="Z548" i="13"/>
  <c r="Z536" i="13"/>
  <c r="Z524" i="13"/>
  <c r="Z512" i="13"/>
  <c r="Z500" i="13"/>
  <c r="Z568" i="13"/>
  <c r="Z544" i="13"/>
  <c r="Z520" i="13"/>
  <c r="Z504" i="13"/>
  <c r="AI489" i="13"/>
  <c r="AI477" i="13"/>
  <c r="AI465" i="13"/>
  <c r="AL490" i="13"/>
  <c r="AL466" i="13"/>
  <c r="Z495" i="13" l="1"/>
  <c r="AC495" i="13"/>
  <c r="Z471" i="13"/>
  <c r="AC471" i="13"/>
  <c r="Z478" i="13"/>
  <c r="AC478" i="13"/>
  <c r="Z555" i="13"/>
  <c r="AC555" i="13"/>
  <c r="Z578" i="13"/>
  <c r="AC578" i="13"/>
  <c r="Z577" i="13"/>
  <c r="AC577" i="13"/>
  <c r="Z553" i="13"/>
  <c r="AC553" i="13"/>
  <c r="Z474" i="13"/>
  <c r="AC474" i="13"/>
  <c r="Z551" i="13"/>
  <c r="AC551" i="13"/>
  <c r="Z502" i="13"/>
  <c r="AC502" i="13"/>
  <c r="Z507" i="13"/>
  <c r="AC507" i="13"/>
  <c r="Z562" i="13"/>
  <c r="AC562" i="13"/>
  <c r="Z550" i="13"/>
  <c r="AC550" i="13"/>
  <c r="Z497" i="13"/>
  <c r="AC497" i="13"/>
  <c r="Z509" i="13"/>
  <c r="AC509" i="13"/>
  <c r="Z556" i="13"/>
  <c r="AC556" i="13"/>
  <c r="Z508" i="13"/>
  <c r="AC508" i="13"/>
  <c r="Z552" i="13"/>
  <c r="AC552" i="13"/>
  <c r="Z528" i="13"/>
  <c r="AC528" i="13"/>
  <c r="Z561" i="13"/>
  <c r="Z480" i="13"/>
  <c r="Z525" i="13"/>
  <c r="Z501" i="13"/>
  <c r="Z487" i="13"/>
  <c r="AL486" i="13"/>
  <c r="Z496" i="13"/>
  <c r="Z484" i="13"/>
  <c r="Z489" i="13"/>
  <c r="Z465" i="13"/>
  <c r="Z464" i="13"/>
  <c r="Z549" i="13"/>
  <c r="Z513" i="13"/>
  <c r="AL511" i="13"/>
  <c r="Z477" i="13"/>
  <c r="AM512" i="13"/>
  <c r="AM576" i="13"/>
  <c r="AM528" i="13"/>
  <c r="AM570" i="13"/>
  <c r="AM552" i="13"/>
  <c r="AM463" i="13"/>
  <c r="AM475" i="13"/>
  <c r="AM524" i="13"/>
  <c r="AM492" i="13"/>
  <c r="AM540" i="13"/>
  <c r="AM560" i="13"/>
  <c r="AL458" i="13"/>
  <c r="AL521" i="13"/>
  <c r="AL560" i="13"/>
  <c r="AL558" i="13"/>
  <c r="AL548" i="13"/>
  <c r="AL524" i="13"/>
  <c r="AL522" i="13"/>
  <c r="AL557" i="13"/>
  <c r="AL504" i="13"/>
  <c r="AL566" i="13"/>
  <c r="AL574" i="13"/>
  <c r="AL532" i="13"/>
  <c r="AL530" i="13"/>
  <c r="AL545" i="13"/>
  <c r="AL535" i="13"/>
  <c r="AL528" i="13"/>
  <c r="AL499" i="13"/>
  <c r="AL555" i="13"/>
  <c r="AL510" i="13"/>
  <c r="AL475" i="13"/>
  <c r="AL533" i="13"/>
  <c r="AL523" i="13"/>
  <c r="AL485" i="13"/>
  <c r="AL550" i="13"/>
  <c r="AL572" i="13"/>
  <c r="AL539" i="13"/>
  <c r="AL559" i="13"/>
  <c r="AL482" i="13"/>
  <c r="AL497" i="13"/>
  <c r="AL472" i="13"/>
  <c r="AL569" i="13"/>
  <c r="AL476" i="13"/>
  <c r="AL509" i="13"/>
  <c r="AL518" i="13"/>
  <c r="AL552" i="13"/>
  <c r="AL531" i="13"/>
  <c r="AL494" i="13"/>
  <c r="AL538" i="13"/>
  <c r="AL551" i="13"/>
  <c r="AL527" i="13"/>
  <c r="AL463" i="13"/>
  <c r="AL542" i="13"/>
  <c r="AL567" i="13"/>
  <c r="AL478" i="13"/>
  <c r="AL547" i="13"/>
  <c r="AL501" i="13"/>
  <c r="AL465" i="13"/>
  <c r="AL578" i="13"/>
  <c r="AL477" i="13"/>
  <c r="AL554" i="13"/>
  <c r="AL474" i="13"/>
  <c r="AL576" i="13"/>
  <c r="AL459" i="13"/>
  <c r="AL525" i="13"/>
  <c r="AL462" i="13"/>
  <c r="AL563" i="13"/>
  <c r="AL484" i="13"/>
  <c r="AL573" i="13"/>
  <c r="AL513" i="13"/>
  <c r="AL549" i="13"/>
  <c r="AL471" i="13"/>
  <c r="AL493" i="13"/>
  <c r="AL570" i="13"/>
  <c r="AL473" i="13"/>
  <c r="AL546" i="13"/>
  <c r="AL506" i="13"/>
  <c r="AL561" i="13"/>
  <c r="AL537" i="13"/>
  <c r="AL487" i="13"/>
  <c r="AL461" i="13"/>
  <c r="AL479" i="13"/>
  <c r="AL489" i="13"/>
  <c r="AL481" i="13"/>
  <c r="G26" i="19" l="1"/>
  <c r="H26" i="19"/>
  <c r="G25" i="19"/>
  <c r="H25" i="19"/>
  <c r="AM546" i="13"/>
  <c r="AM478" i="13"/>
  <c r="AM472" i="13"/>
  <c r="AM516" i="13"/>
  <c r="AM529" i="13"/>
  <c r="AM484" i="13"/>
  <c r="AM548" i="13"/>
  <c r="AM520" i="13"/>
  <c r="AM458" i="13"/>
  <c r="AM480" i="13"/>
  <c r="AM522" i="13"/>
  <c r="AM479" i="13"/>
  <c r="AM470" i="13"/>
  <c r="AM567" i="13"/>
  <c r="AM533" i="13"/>
  <c r="AM509" i="13"/>
  <c r="AM468" i="13"/>
  <c r="AM545" i="13"/>
  <c r="AM498" i="13"/>
  <c r="AM504" i="13"/>
  <c r="AM566" i="13"/>
  <c r="AM488" i="13"/>
  <c r="AM494" i="13"/>
  <c r="AM471" i="13"/>
  <c r="AM575" i="13"/>
  <c r="AM506" i="13"/>
  <c r="AM460" i="13"/>
  <c r="AM564" i="13"/>
  <c r="AM505" i="13"/>
  <c r="AM474" i="13"/>
  <c r="AM473" i="13"/>
  <c r="AM572" i="13"/>
  <c r="AM456" i="13"/>
  <c r="AM558" i="13"/>
  <c r="AM469" i="13"/>
  <c r="AM523" i="13"/>
  <c r="AM493" i="13"/>
  <c r="AM568" i="13"/>
  <c r="AM491" i="13"/>
  <c r="AM534" i="13"/>
  <c r="AM537" i="13"/>
  <c r="AM507" i="13"/>
  <c r="AM518" i="13"/>
  <c r="AM571" i="13"/>
  <c r="AM476" i="13"/>
  <c r="AM482" i="13"/>
  <c r="AM574" i="13"/>
  <c r="AM519" i="13"/>
  <c r="AM550" i="13"/>
  <c r="AM559" i="13"/>
  <c r="AM541" i="13"/>
  <c r="AM538" i="13"/>
  <c r="AM489" i="13"/>
  <c r="AM481" i="13"/>
  <c r="AM517" i="13"/>
  <c r="AM503" i="13"/>
  <c r="AM496" i="13"/>
  <c r="AM554" i="13"/>
  <c r="AM536" i="13"/>
  <c r="AM499" i="13"/>
  <c r="AM466" i="13"/>
  <c r="AM547" i="13"/>
  <c r="AM527" i="13"/>
  <c r="AM525" i="13"/>
  <c r="AM535" i="13"/>
  <c r="AM557" i="13"/>
  <c r="AM487" i="13"/>
  <c r="AM549" i="13"/>
  <c r="AM477" i="13"/>
  <c r="AM562" i="13"/>
  <c r="AM539" i="13"/>
  <c r="AM462" i="13"/>
  <c r="AM467" i="13"/>
  <c r="AM551" i="13"/>
  <c r="AM573" i="13"/>
  <c r="AM465" i="13"/>
  <c r="AM501" i="13"/>
  <c r="AM459" i="13"/>
  <c r="AM495" i="13"/>
  <c r="AM531" i="13"/>
  <c r="AM556" i="13"/>
  <c r="AM544" i="13"/>
  <c r="AM513" i="13"/>
  <c r="AM543" i="13"/>
  <c r="AM542" i="13"/>
  <c r="AM464" i="13"/>
  <c r="AM500" i="13"/>
  <c r="AM578" i="13"/>
  <c r="AM457" i="13"/>
  <c r="AM561" i="13"/>
  <c r="AM569" i="13"/>
  <c r="AM526" i="13"/>
  <c r="AM486" i="13"/>
  <c r="AM508" i="13"/>
  <c r="AM553" i="13"/>
  <c r="AM485" i="13"/>
  <c r="AM490" i="13"/>
  <c r="AM511" i="13"/>
  <c r="AM483" i="13"/>
  <c r="AM515" i="13"/>
  <c r="AM461" i="13"/>
  <c r="AM555" i="13"/>
  <c r="AM565" i="13"/>
  <c r="AM497" i="13"/>
  <c r="AM530" i="13"/>
  <c r="AM577" i="13"/>
  <c r="AM514" i="13"/>
  <c r="AM502" i="13"/>
  <c r="AM510" i="13"/>
  <c r="AM521" i="13"/>
  <c r="AM579" i="13"/>
  <c r="AM532" i="13"/>
  <c r="AM563" i="13"/>
  <c r="F46" i="38"/>
  <c r="H46" i="38" s="1"/>
  <c r="I46" i="38" s="1"/>
  <c r="B46" i="38"/>
  <c r="F45" i="38"/>
  <c r="H45" i="38" s="1"/>
  <c r="I45" i="38" s="1"/>
  <c r="B45" i="38"/>
  <c r="F36" i="38"/>
  <c r="H36" i="38" s="1"/>
  <c r="I36" i="38" s="1"/>
  <c r="B36" i="38"/>
  <c r="F31" i="38"/>
  <c r="H31" i="38" s="1"/>
  <c r="I31" i="38" s="1"/>
  <c r="B31" i="38"/>
  <c r="F30" i="38"/>
  <c r="H30" i="38" s="1"/>
  <c r="I30" i="38" s="1"/>
  <c r="B30" i="38"/>
  <c r="F25" i="38"/>
  <c r="H25" i="38" s="1"/>
  <c r="I25" i="38" s="1"/>
  <c r="B25" i="38"/>
  <c r="D23" i="32"/>
  <c r="B23" i="32"/>
  <c r="D21" i="32"/>
  <c r="B21" i="32"/>
  <c r="D20" i="32"/>
  <c r="B20" i="32"/>
  <c r="D18" i="32"/>
  <c r="B18" i="32"/>
  <c r="D15" i="32"/>
  <c r="B15" i="32"/>
  <c r="D12" i="32"/>
  <c r="B12" i="32"/>
  <c r="R5" i="13"/>
  <c r="R6" i="13"/>
  <c r="R7" i="13"/>
  <c r="R8" i="13"/>
  <c r="R9" i="13"/>
  <c r="R10" i="13"/>
  <c r="R11" i="13"/>
  <c r="R12" i="13"/>
  <c r="R13" i="13"/>
  <c r="R14" i="13"/>
  <c r="R15" i="13"/>
  <c r="R16" i="13"/>
  <c r="R17" i="13"/>
  <c r="R18" i="13"/>
  <c r="R19" i="13"/>
  <c r="R20" i="13"/>
  <c r="R21" i="13"/>
  <c r="R22" i="13"/>
  <c r="R23" i="13"/>
  <c r="R24" i="13"/>
  <c r="R25" i="13"/>
  <c r="R26" i="13"/>
  <c r="R27" i="13"/>
  <c r="R28" i="13"/>
  <c r="R29" i="13"/>
  <c r="R30" i="13"/>
  <c r="R31" i="13"/>
  <c r="R32" i="13"/>
  <c r="R33" i="13"/>
  <c r="R34" i="13"/>
  <c r="R35" i="13"/>
  <c r="R36" i="13"/>
  <c r="R37" i="13"/>
  <c r="R38" i="13"/>
  <c r="R39" i="13"/>
  <c r="R40" i="13"/>
  <c r="R41" i="13"/>
  <c r="R42" i="13"/>
  <c r="R43" i="13"/>
  <c r="R44" i="13"/>
  <c r="R45" i="13"/>
  <c r="R46" i="13"/>
  <c r="R47" i="13"/>
  <c r="R48" i="13"/>
  <c r="R49" i="13"/>
  <c r="R50" i="13"/>
  <c r="R51" i="13"/>
  <c r="R52" i="13"/>
  <c r="R53" i="13"/>
  <c r="R54" i="13"/>
  <c r="R55" i="13"/>
  <c r="R56" i="13"/>
  <c r="R57" i="13"/>
  <c r="R58" i="13"/>
  <c r="R59" i="13"/>
  <c r="R60" i="13"/>
  <c r="R61" i="13"/>
  <c r="R62" i="13"/>
  <c r="R63" i="13"/>
  <c r="R64" i="13"/>
  <c r="R65" i="13"/>
  <c r="R66" i="13"/>
  <c r="R67" i="13"/>
  <c r="R68" i="13"/>
  <c r="R69" i="13"/>
  <c r="R70" i="13"/>
  <c r="R71" i="13"/>
  <c r="R72" i="13"/>
  <c r="R73" i="13"/>
  <c r="R74" i="13"/>
  <c r="R75" i="13"/>
  <c r="R76" i="13"/>
  <c r="R77" i="13"/>
  <c r="R78" i="13"/>
  <c r="R79" i="13"/>
  <c r="R80" i="13"/>
  <c r="R81" i="13"/>
  <c r="R82" i="13"/>
  <c r="R83" i="13"/>
  <c r="R84" i="13"/>
  <c r="R85" i="13"/>
  <c r="R86" i="13"/>
  <c r="R87" i="13"/>
  <c r="R88" i="13"/>
  <c r="R89" i="13"/>
  <c r="R90" i="13"/>
  <c r="R91" i="13"/>
  <c r="R92" i="13"/>
  <c r="R93" i="13"/>
  <c r="R94" i="13"/>
  <c r="R95" i="13"/>
  <c r="R96" i="13"/>
  <c r="R97" i="13"/>
  <c r="R98" i="13"/>
  <c r="R99" i="13"/>
  <c r="R100" i="13"/>
  <c r="R101" i="13"/>
  <c r="R102" i="13"/>
  <c r="R103" i="13"/>
  <c r="R104" i="13"/>
  <c r="R105" i="13"/>
  <c r="R106" i="13"/>
  <c r="R107" i="13"/>
  <c r="R108" i="13"/>
  <c r="R109" i="13"/>
  <c r="R110" i="13"/>
  <c r="R111" i="13"/>
  <c r="R112" i="13"/>
  <c r="R113" i="13"/>
  <c r="R114" i="13"/>
  <c r="R115" i="13"/>
  <c r="R116" i="13"/>
  <c r="R117" i="13"/>
  <c r="R118" i="13"/>
  <c r="R119" i="13"/>
  <c r="R120" i="13"/>
  <c r="R121" i="13"/>
  <c r="R122" i="13"/>
  <c r="R123" i="13"/>
  <c r="R124" i="13"/>
  <c r="R125" i="13"/>
  <c r="R126" i="13"/>
  <c r="R127" i="13"/>
  <c r="R128" i="13"/>
  <c r="R129" i="13"/>
  <c r="R130" i="13"/>
  <c r="R131" i="13"/>
  <c r="R132" i="13"/>
  <c r="R133" i="13"/>
  <c r="R134" i="13"/>
  <c r="R135" i="13"/>
  <c r="R136" i="13"/>
  <c r="R137" i="13"/>
  <c r="R138" i="13"/>
  <c r="R139" i="13"/>
  <c r="R140" i="13"/>
  <c r="R141" i="13"/>
  <c r="R142" i="13"/>
  <c r="R143" i="13"/>
  <c r="R144" i="13"/>
  <c r="R145" i="13"/>
  <c r="R146" i="13"/>
  <c r="R147" i="13"/>
  <c r="R148" i="13"/>
  <c r="R149" i="13"/>
  <c r="R150" i="13"/>
  <c r="R151" i="13"/>
  <c r="R152" i="13"/>
  <c r="R153" i="13"/>
  <c r="R154" i="13"/>
  <c r="R155" i="13"/>
  <c r="R156" i="13"/>
  <c r="R157" i="13"/>
  <c r="R158" i="13"/>
  <c r="R159" i="13"/>
  <c r="R160" i="13"/>
  <c r="R161" i="13"/>
  <c r="R162" i="13"/>
  <c r="R163" i="13"/>
  <c r="R164" i="13"/>
  <c r="R165" i="13"/>
  <c r="R166" i="13"/>
  <c r="R167" i="13"/>
  <c r="R168" i="13"/>
  <c r="R169" i="13"/>
  <c r="R170" i="13"/>
  <c r="R171" i="13"/>
  <c r="R172" i="13"/>
  <c r="R173" i="13"/>
  <c r="R174" i="13"/>
  <c r="R175" i="13"/>
  <c r="R176" i="13"/>
  <c r="R177" i="13"/>
  <c r="R178" i="13"/>
  <c r="R179" i="13"/>
  <c r="R180" i="13"/>
  <c r="R181" i="13"/>
  <c r="R182" i="13"/>
  <c r="R183" i="13"/>
  <c r="R184" i="13"/>
  <c r="R185" i="13"/>
  <c r="R186" i="13"/>
  <c r="R187" i="13"/>
  <c r="R188" i="13"/>
  <c r="R189" i="13"/>
  <c r="R190" i="13"/>
  <c r="R191" i="13"/>
  <c r="R192" i="13"/>
  <c r="R193" i="13"/>
  <c r="R194" i="13"/>
  <c r="R195" i="13"/>
  <c r="R196" i="13"/>
  <c r="R197" i="13"/>
  <c r="R198" i="13"/>
  <c r="R199" i="13"/>
  <c r="R200" i="13"/>
  <c r="R201" i="13"/>
  <c r="R202" i="13"/>
  <c r="R203" i="13"/>
  <c r="R204" i="13"/>
  <c r="R205" i="13"/>
  <c r="R206" i="13"/>
  <c r="R207" i="13"/>
  <c r="R208" i="13"/>
  <c r="R209" i="13"/>
  <c r="R210" i="13"/>
  <c r="R211" i="13"/>
  <c r="R212" i="13"/>
  <c r="R213" i="13"/>
  <c r="R214" i="13"/>
  <c r="R215" i="13"/>
  <c r="R216" i="13"/>
  <c r="R217" i="13"/>
  <c r="R218" i="13"/>
  <c r="R219" i="13"/>
  <c r="R220" i="13"/>
  <c r="R221" i="13"/>
  <c r="R222" i="13"/>
  <c r="R223" i="13"/>
  <c r="R224" i="13"/>
  <c r="R225" i="13"/>
  <c r="R226" i="13"/>
  <c r="R227" i="13"/>
  <c r="R228" i="13"/>
  <c r="R229" i="13"/>
  <c r="R230" i="13"/>
  <c r="R231" i="13"/>
  <c r="R232" i="13"/>
  <c r="R233" i="13"/>
  <c r="R234" i="13"/>
  <c r="R235" i="13"/>
  <c r="R236" i="13"/>
  <c r="R237" i="13"/>
  <c r="R238" i="13"/>
  <c r="R239" i="13"/>
  <c r="R240" i="13"/>
  <c r="R241" i="13"/>
  <c r="R242" i="13"/>
  <c r="R243" i="13"/>
  <c r="R244" i="13"/>
  <c r="R245" i="13"/>
  <c r="R246" i="13"/>
  <c r="R247" i="13"/>
  <c r="R248" i="13"/>
  <c r="R249" i="13"/>
  <c r="R250" i="13"/>
  <c r="R251" i="13"/>
  <c r="R252" i="13"/>
  <c r="R253" i="13"/>
  <c r="R254" i="13"/>
  <c r="R255" i="13"/>
  <c r="R256" i="13"/>
  <c r="R257" i="13"/>
  <c r="R258" i="13"/>
  <c r="R259" i="13"/>
  <c r="R260" i="13"/>
  <c r="R261" i="13"/>
  <c r="R262" i="13"/>
  <c r="R263" i="13"/>
  <c r="R264" i="13"/>
  <c r="R265" i="13"/>
  <c r="R266" i="13"/>
  <c r="R267" i="13"/>
  <c r="R268" i="13"/>
  <c r="R269" i="13"/>
  <c r="R270" i="13"/>
  <c r="R271" i="13"/>
  <c r="R272" i="13"/>
  <c r="R273" i="13"/>
  <c r="R274" i="13"/>
  <c r="R275" i="13"/>
  <c r="R276" i="13"/>
  <c r="R277" i="13"/>
  <c r="R278" i="13"/>
  <c r="R279" i="13"/>
  <c r="R280" i="13"/>
  <c r="R281" i="13"/>
  <c r="R282" i="13"/>
  <c r="R283" i="13"/>
  <c r="R284" i="13"/>
  <c r="R285" i="13"/>
  <c r="R286" i="13"/>
  <c r="R287" i="13"/>
  <c r="R288" i="13"/>
  <c r="R289" i="13"/>
  <c r="R290" i="13"/>
  <c r="R291" i="13"/>
  <c r="R292" i="13"/>
  <c r="R293" i="13"/>
  <c r="R294" i="13"/>
  <c r="R295" i="13"/>
  <c r="R296" i="13"/>
  <c r="R297" i="13"/>
  <c r="R298" i="13"/>
  <c r="R299" i="13"/>
  <c r="R300" i="13"/>
  <c r="R301" i="13"/>
  <c r="R302" i="13"/>
  <c r="R303" i="13"/>
  <c r="R304" i="13"/>
  <c r="R305" i="13"/>
  <c r="R306" i="13"/>
  <c r="R307" i="13"/>
  <c r="R308" i="13"/>
  <c r="R309" i="13"/>
  <c r="R310" i="13"/>
  <c r="R311" i="13"/>
  <c r="R312" i="13"/>
  <c r="R313" i="13"/>
  <c r="R314" i="13"/>
  <c r="R315" i="13"/>
  <c r="R316" i="13"/>
  <c r="R317" i="13"/>
  <c r="R318" i="13"/>
  <c r="R319" i="13"/>
  <c r="R320" i="13"/>
  <c r="R321" i="13"/>
  <c r="R322" i="13"/>
  <c r="R323" i="13"/>
  <c r="R324" i="13"/>
  <c r="R325" i="13"/>
  <c r="R326" i="13"/>
  <c r="R327" i="13"/>
  <c r="R328" i="13"/>
  <c r="R329" i="13"/>
  <c r="R330" i="13"/>
  <c r="R331" i="13"/>
  <c r="R332" i="13"/>
  <c r="R333" i="13"/>
  <c r="R334" i="13"/>
  <c r="R335" i="13"/>
  <c r="R336" i="13"/>
  <c r="R337" i="13"/>
  <c r="R338" i="13"/>
  <c r="R339" i="13"/>
  <c r="R340" i="13"/>
  <c r="R341" i="13"/>
  <c r="R342" i="13"/>
  <c r="R343" i="13"/>
  <c r="R344" i="13"/>
  <c r="R345" i="13"/>
  <c r="R346" i="13"/>
  <c r="R347" i="13"/>
  <c r="R348" i="13"/>
  <c r="R349" i="13"/>
  <c r="R350" i="13"/>
  <c r="R351" i="13"/>
  <c r="R352" i="13"/>
  <c r="R353" i="13"/>
  <c r="AG455" i="13"/>
  <c r="AH455" i="13" s="1"/>
  <c r="AJ455" i="13" s="1"/>
  <c r="AG454" i="13"/>
  <c r="AG453" i="13"/>
  <c r="AI453" i="13" s="1"/>
  <c r="AG452" i="13"/>
  <c r="AI452" i="13" s="1"/>
  <c r="AG451" i="13"/>
  <c r="AG450" i="13"/>
  <c r="AI450" i="13" s="1"/>
  <c r="AG449" i="13"/>
  <c r="AH449" i="13" s="1"/>
  <c r="AJ449" i="13" s="1"/>
  <c r="AG448" i="13"/>
  <c r="AG447" i="13"/>
  <c r="AI447" i="13" s="1"/>
  <c r="AG446" i="13"/>
  <c r="AH446" i="13" s="1"/>
  <c r="AJ446" i="13" s="1"/>
  <c r="AG445" i="13"/>
  <c r="AG444" i="13"/>
  <c r="AI444" i="13" s="1"/>
  <c r="AG443" i="13"/>
  <c r="AH443" i="13" s="1"/>
  <c r="AJ443" i="13" s="1"/>
  <c r="AG442" i="13"/>
  <c r="AI442" i="13" s="1"/>
  <c r="AG441" i="13"/>
  <c r="AI441" i="13" s="1"/>
  <c r="AG440" i="13"/>
  <c r="AH440" i="13" s="1"/>
  <c r="AJ440" i="13" s="1"/>
  <c r="AG439" i="13"/>
  <c r="AG438" i="13"/>
  <c r="AI438" i="13" s="1"/>
  <c r="AG437" i="13"/>
  <c r="AH437" i="13" s="1"/>
  <c r="AJ437" i="13" s="1"/>
  <c r="AG436" i="13"/>
  <c r="AG435" i="13"/>
  <c r="AI435" i="13" s="1"/>
  <c r="AG434" i="13"/>
  <c r="AH434" i="13" s="1"/>
  <c r="AJ434" i="13" s="1"/>
  <c r="AG433" i="13"/>
  <c r="AG432" i="13"/>
  <c r="AI432" i="13" s="1"/>
  <c r="AG431" i="13"/>
  <c r="AH431" i="13" s="1"/>
  <c r="AJ431" i="13" s="1"/>
  <c r="AG430" i="13"/>
  <c r="AI430" i="13" s="1"/>
  <c r="AG429" i="13"/>
  <c r="AH429" i="13" s="1"/>
  <c r="AJ429" i="13" s="1"/>
  <c r="AG428" i="13"/>
  <c r="AH428" i="13" s="1"/>
  <c r="AJ428" i="13" s="1"/>
  <c r="AG427" i="13"/>
  <c r="AG426" i="13"/>
  <c r="AI426" i="13" s="1"/>
  <c r="U426" i="13"/>
  <c r="AG425" i="13"/>
  <c r="U425" i="13"/>
  <c r="AG424" i="13"/>
  <c r="AI424" i="13" s="1"/>
  <c r="U424" i="13"/>
  <c r="AG423" i="13"/>
  <c r="AI423" i="13" s="1"/>
  <c r="U423" i="13"/>
  <c r="AG422" i="13"/>
  <c r="AH422" i="13" s="1"/>
  <c r="AJ422" i="13" s="1"/>
  <c r="U422" i="13"/>
  <c r="AG421" i="13"/>
  <c r="U421" i="13"/>
  <c r="AG420" i="13"/>
  <c r="AI420" i="13" s="1"/>
  <c r="U420" i="13"/>
  <c r="AG419" i="13"/>
  <c r="AH419" i="13" s="1"/>
  <c r="AJ419" i="13" s="1"/>
  <c r="U419" i="13"/>
  <c r="AG418" i="13"/>
  <c r="AI418" i="13" s="1"/>
  <c r="U418" i="13"/>
  <c r="AG417" i="13"/>
  <c r="AI417" i="13" s="1"/>
  <c r="U417" i="13"/>
  <c r="AG416" i="13"/>
  <c r="AH416" i="13" s="1"/>
  <c r="AJ416" i="13" s="1"/>
  <c r="U416" i="13"/>
  <c r="AG415" i="13"/>
  <c r="U415" i="13"/>
  <c r="AG414" i="13"/>
  <c r="AI414" i="13" s="1"/>
  <c r="U414" i="13"/>
  <c r="AG413" i="13"/>
  <c r="AI413" i="13" s="1"/>
  <c r="U413" i="13"/>
  <c r="AG412" i="13"/>
  <c r="AI412" i="13" s="1"/>
  <c r="U412" i="13"/>
  <c r="AG411" i="13"/>
  <c r="AI411" i="13" s="1"/>
  <c r="U411" i="13"/>
  <c r="AG410" i="13"/>
  <c r="AH410" i="13" s="1"/>
  <c r="AJ410" i="13" s="1"/>
  <c r="U410" i="13"/>
  <c r="AG409" i="13"/>
  <c r="AI409" i="13" s="1"/>
  <c r="U409" i="13"/>
  <c r="AG408" i="13"/>
  <c r="U408" i="13"/>
  <c r="AG407" i="13"/>
  <c r="AI407" i="13" s="1"/>
  <c r="U407" i="13"/>
  <c r="AG406" i="13"/>
  <c r="AH406" i="13" s="1"/>
  <c r="AJ406" i="13" s="1"/>
  <c r="U406" i="13"/>
  <c r="AG405" i="13"/>
  <c r="AI405" i="13" s="1"/>
  <c r="U405" i="13"/>
  <c r="AG404" i="13"/>
  <c r="U404" i="13"/>
  <c r="AG403" i="13"/>
  <c r="U403" i="13"/>
  <c r="AG402" i="13"/>
  <c r="AI402" i="13" s="1"/>
  <c r="U402" i="13"/>
  <c r="AG401" i="13"/>
  <c r="AI401" i="13" s="1"/>
  <c r="U401" i="13"/>
  <c r="AG400" i="13"/>
  <c r="AI400" i="13" s="1"/>
  <c r="U400" i="13"/>
  <c r="AG399" i="13"/>
  <c r="AI399" i="13" s="1"/>
  <c r="U399" i="13"/>
  <c r="AG398" i="13"/>
  <c r="U398" i="13"/>
  <c r="AG397" i="13"/>
  <c r="U397" i="13"/>
  <c r="AG396" i="13"/>
  <c r="AI396" i="13" s="1"/>
  <c r="U396" i="13"/>
  <c r="AG395" i="13"/>
  <c r="AH395" i="13" s="1"/>
  <c r="AJ395" i="13" s="1"/>
  <c r="U395" i="13"/>
  <c r="AG394" i="13"/>
  <c r="AI394" i="13" s="1"/>
  <c r="U394" i="13"/>
  <c r="AG393" i="13"/>
  <c r="AI393" i="13" s="1"/>
  <c r="U393" i="13"/>
  <c r="AG392" i="13"/>
  <c r="U392" i="13"/>
  <c r="AG391" i="13"/>
  <c r="AI391" i="13" s="1"/>
  <c r="U391" i="13"/>
  <c r="AG390" i="13"/>
  <c r="U390" i="13"/>
  <c r="AG389" i="13"/>
  <c r="AI389" i="13" s="1"/>
  <c r="U389" i="13"/>
  <c r="AG388" i="13"/>
  <c r="AH388" i="13" s="1"/>
  <c r="AJ388" i="13" s="1"/>
  <c r="U388" i="13"/>
  <c r="AG387" i="13"/>
  <c r="AH387" i="13" s="1"/>
  <c r="AJ387" i="13" s="1"/>
  <c r="U387" i="13"/>
  <c r="AG386" i="13"/>
  <c r="U386" i="13"/>
  <c r="AG385" i="13"/>
  <c r="AI385" i="13" s="1"/>
  <c r="U385" i="13"/>
  <c r="AG384" i="13"/>
  <c r="AI384" i="13" s="1"/>
  <c r="U384" i="13"/>
  <c r="AG383" i="13"/>
  <c r="AH383" i="13" s="1"/>
  <c r="AJ383" i="13" s="1"/>
  <c r="U383" i="13"/>
  <c r="AG382" i="13"/>
  <c r="AI382" i="13" s="1"/>
  <c r="U382" i="13"/>
  <c r="AG381" i="13"/>
  <c r="AH381" i="13" s="1"/>
  <c r="AJ381" i="13" s="1"/>
  <c r="U381" i="13"/>
  <c r="AG380" i="13"/>
  <c r="U380" i="13"/>
  <c r="AG379" i="13"/>
  <c r="AI379" i="13" s="1"/>
  <c r="U379" i="13"/>
  <c r="AG378" i="13"/>
  <c r="AH378" i="13" s="1"/>
  <c r="AJ378" i="13" s="1"/>
  <c r="U378" i="13"/>
  <c r="AG377" i="13"/>
  <c r="U377" i="13"/>
  <c r="AG376" i="13"/>
  <c r="AI376" i="13" s="1"/>
  <c r="U376" i="13"/>
  <c r="AG375" i="13"/>
  <c r="AH375" i="13" s="1"/>
  <c r="AJ375" i="13" s="1"/>
  <c r="U375" i="13"/>
  <c r="AG374" i="13"/>
  <c r="U374" i="13"/>
  <c r="AG373" i="13"/>
  <c r="U373" i="13"/>
  <c r="AG372" i="13"/>
  <c r="AI372" i="13" s="1"/>
  <c r="U372" i="13"/>
  <c r="AG371" i="13"/>
  <c r="AH371" i="13" s="1"/>
  <c r="AJ371" i="13" s="1"/>
  <c r="U371" i="13"/>
  <c r="AG370" i="13"/>
  <c r="AI370" i="13" s="1"/>
  <c r="U370" i="13"/>
  <c r="AG369" i="13"/>
  <c r="AH369" i="13" s="1"/>
  <c r="AJ369" i="13" s="1"/>
  <c r="U369" i="13"/>
  <c r="AG368" i="13"/>
  <c r="U368" i="13"/>
  <c r="AG367" i="13"/>
  <c r="AI367" i="13" s="1"/>
  <c r="U367" i="13"/>
  <c r="AG366" i="13"/>
  <c r="AH366" i="13" s="1"/>
  <c r="AJ366" i="13" s="1"/>
  <c r="U366" i="13"/>
  <c r="AG365" i="13"/>
  <c r="AH365" i="13" s="1"/>
  <c r="AJ365" i="13" s="1"/>
  <c r="U365" i="13"/>
  <c r="AG364" i="13"/>
  <c r="AI364" i="13" s="1"/>
  <c r="U364" i="13"/>
  <c r="AG363" i="13"/>
  <c r="AH363" i="13" s="1"/>
  <c r="AJ363" i="13" s="1"/>
  <c r="U363" i="13"/>
  <c r="AG362" i="13"/>
  <c r="U362" i="13"/>
  <c r="AG361" i="13"/>
  <c r="AI361" i="13" s="1"/>
  <c r="U361" i="13"/>
  <c r="AG360" i="13"/>
  <c r="AI360" i="13" s="1"/>
  <c r="U360" i="13"/>
  <c r="AG359" i="13"/>
  <c r="U359" i="13"/>
  <c r="AG358" i="13"/>
  <c r="U358" i="13"/>
  <c r="AG357" i="13"/>
  <c r="AI357" i="13" s="1"/>
  <c r="U357" i="13"/>
  <c r="AG356" i="13"/>
  <c r="AI356" i="13" s="1"/>
  <c r="U356" i="13"/>
  <c r="AG355" i="13"/>
  <c r="AH355" i="13" s="1"/>
  <c r="AJ355" i="13" s="1"/>
  <c r="U355" i="13"/>
  <c r="AG354" i="13"/>
  <c r="AI354" i="13" s="1"/>
  <c r="U354" i="13"/>
  <c r="AG353" i="13"/>
  <c r="U353" i="13"/>
  <c r="AG352" i="13"/>
  <c r="AI352" i="13" s="1"/>
  <c r="U352" i="13"/>
  <c r="AG351" i="13"/>
  <c r="AH351" i="13" s="1"/>
  <c r="AJ351" i="13" s="1"/>
  <c r="U351" i="13"/>
  <c r="AG350" i="13"/>
  <c r="AI350" i="13" s="1"/>
  <c r="U350" i="13"/>
  <c r="AG349" i="13"/>
  <c r="U349" i="13"/>
  <c r="AG348" i="13"/>
  <c r="AH348" i="13" s="1"/>
  <c r="AJ348" i="13" s="1"/>
  <c r="U348" i="13"/>
  <c r="AG347" i="13"/>
  <c r="AH347" i="13" s="1"/>
  <c r="AJ347" i="13" s="1"/>
  <c r="U347" i="13"/>
  <c r="AG346" i="13"/>
  <c r="AI346" i="13" s="1"/>
  <c r="U346" i="13"/>
  <c r="AG345" i="13"/>
  <c r="U345" i="13"/>
  <c r="AG344" i="13"/>
  <c r="AH344" i="13" s="1"/>
  <c r="AJ344" i="13" s="1"/>
  <c r="U344" i="13"/>
  <c r="AG343" i="13"/>
  <c r="U343" i="13"/>
  <c r="AG342" i="13"/>
  <c r="AI342" i="13" s="1"/>
  <c r="U342" i="13"/>
  <c r="AG341" i="13"/>
  <c r="U341" i="13"/>
  <c r="AG340" i="13"/>
  <c r="AI340" i="13" s="1"/>
  <c r="U340" i="13"/>
  <c r="AG339" i="13"/>
  <c r="AI339" i="13" s="1"/>
  <c r="U339" i="13"/>
  <c r="AG338" i="13"/>
  <c r="AI338" i="13" s="1"/>
  <c r="U338" i="13"/>
  <c r="AG337" i="13"/>
  <c r="AH337" i="13" s="1"/>
  <c r="AJ337" i="13" s="1"/>
  <c r="U337" i="13"/>
  <c r="AG336" i="13"/>
  <c r="AI336" i="13" s="1"/>
  <c r="U336" i="13"/>
  <c r="AG335" i="13"/>
  <c r="U335" i="13"/>
  <c r="AG334" i="13"/>
  <c r="AI334" i="13" s="1"/>
  <c r="U334" i="13"/>
  <c r="AG333" i="13"/>
  <c r="U333" i="13"/>
  <c r="AG332" i="13"/>
  <c r="AH332" i="13" s="1"/>
  <c r="AJ332" i="13" s="1"/>
  <c r="U332" i="13"/>
  <c r="AG331" i="13"/>
  <c r="U331" i="13"/>
  <c r="AG330" i="13"/>
  <c r="AI330" i="13" s="1"/>
  <c r="U330" i="13"/>
  <c r="AG329" i="13"/>
  <c r="AH329" i="13" s="1"/>
  <c r="AJ329" i="13" s="1"/>
  <c r="U329" i="13"/>
  <c r="AG328" i="13"/>
  <c r="AI328" i="13" s="1"/>
  <c r="U328" i="13"/>
  <c r="AG327" i="13"/>
  <c r="AI327" i="13" s="1"/>
  <c r="U327" i="13"/>
  <c r="AG326" i="13"/>
  <c r="AH326" i="13" s="1"/>
  <c r="AJ326" i="13" s="1"/>
  <c r="U326" i="13"/>
  <c r="AG325" i="13"/>
  <c r="AH325" i="13" s="1"/>
  <c r="AJ325" i="13" s="1"/>
  <c r="U325" i="13"/>
  <c r="AG324" i="13"/>
  <c r="AI324" i="13" s="1"/>
  <c r="U324" i="13"/>
  <c r="AG323" i="13"/>
  <c r="AH323" i="13" s="1"/>
  <c r="AJ323" i="13" s="1"/>
  <c r="U323" i="13"/>
  <c r="AG322" i="13"/>
  <c r="U322" i="13"/>
  <c r="AG321" i="13"/>
  <c r="AH321" i="13" s="1"/>
  <c r="AJ321" i="13" s="1"/>
  <c r="U321" i="13"/>
  <c r="AG320" i="13"/>
  <c r="AI320" i="13" s="1"/>
  <c r="U320" i="13"/>
  <c r="AG319" i="13"/>
  <c r="AH319" i="13" s="1"/>
  <c r="AJ319" i="13" s="1"/>
  <c r="U319" i="13"/>
  <c r="AG318" i="13"/>
  <c r="AI318" i="13" s="1"/>
  <c r="U318" i="13"/>
  <c r="AG317" i="13"/>
  <c r="AH317" i="13" s="1"/>
  <c r="AJ317" i="13" s="1"/>
  <c r="U317" i="13"/>
  <c r="AG316" i="13"/>
  <c r="AI316" i="13" s="1"/>
  <c r="U316" i="13"/>
  <c r="AG315" i="13"/>
  <c r="U315" i="13"/>
  <c r="AG314" i="13"/>
  <c r="AH314" i="13" s="1"/>
  <c r="AJ314" i="13" s="1"/>
  <c r="U314" i="13"/>
  <c r="AG313" i="13"/>
  <c r="AI313" i="13" s="1"/>
  <c r="U313" i="13"/>
  <c r="AG312" i="13"/>
  <c r="AI312" i="13" s="1"/>
  <c r="U312" i="13"/>
  <c r="AG311" i="13"/>
  <c r="AH311" i="13" s="1"/>
  <c r="AJ311" i="13" s="1"/>
  <c r="U311" i="13"/>
  <c r="AG310" i="13"/>
  <c r="AI310" i="13" s="1"/>
  <c r="U310" i="13"/>
  <c r="AG309" i="13"/>
  <c r="AI309" i="13" s="1"/>
  <c r="U309" i="13"/>
  <c r="AG308" i="13"/>
  <c r="AH308" i="13" s="1"/>
  <c r="AJ308" i="13" s="1"/>
  <c r="U308" i="13"/>
  <c r="AG307" i="13"/>
  <c r="AI307" i="13" s="1"/>
  <c r="U307" i="13"/>
  <c r="AG306" i="13"/>
  <c r="AI306" i="13" s="1"/>
  <c r="U306" i="13"/>
  <c r="AG305" i="13"/>
  <c r="U305" i="13"/>
  <c r="AG304" i="13"/>
  <c r="U304" i="13"/>
  <c r="AG303" i="13"/>
  <c r="AI303" i="13" s="1"/>
  <c r="U303" i="13"/>
  <c r="AG302" i="13"/>
  <c r="AI302" i="13" s="1"/>
  <c r="U302" i="13"/>
  <c r="AG301" i="13"/>
  <c r="AH301" i="13" s="1"/>
  <c r="AJ301" i="13" s="1"/>
  <c r="U301" i="13"/>
  <c r="AG300" i="13"/>
  <c r="AI300" i="13" s="1"/>
  <c r="U300" i="13"/>
  <c r="AG299" i="13"/>
  <c r="AH299" i="13" s="1"/>
  <c r="AJ299" i="13" s="1"/>
  <c r="U299" i="13"/>
  <c r="AG298" i="13"/>
  <c r="AI298" i="13" s="1"/>
  <c r="U298" i="13"/>
  <c r="AG297" i="13"/>
  <c r="U297" i="13"/>
  <c r="AG296" i="13"/>
  <c r="AI296" i="13" s="1"/>
  <c r="U296" i="13"/>
  <c r="AG295" i="13"/>
  <c r="AI295" i="13" s="1"/>
  <c r="U295" i="13"/>
  <c r="AG294" i="13"/>
  <c r="AH294" i="13" s="1"/>
  <c r="AJ294" i="13" s="1"/>
  <c r="U294" i="13"/>
  <c r="AG293" i="13"/>
  <c r="AH293" i="13" s="1"/>
  <c r="AJ293" i="13" s="1"/>
  <c r="U293" i="13"/>
  <c r="AG292" i="13"/>
  <c r="AI292" i="13" s="1"/>
  <c r="U292" i="13"/>
  <c r="AG291" i="13"/>
  <c r="U291" i="13"/>
  <c r="AG290" i="13"/>
  <c r="U290" i="13"/>
  <c r="AG289" i="13"/>
  <c r="AI289" i="13" s="1"/>
  <c r="U289" i="13"/>
  <c r="AG288" i="13"/>
  <c r="AI288" i="13" s="1"/>
  <c r="U288" i="13"/>
  <c r="AG287" i="13"/>
  <c r="AI287" i="13" s="1"/>
  <c r="U287" i="13"/>
  <c r="AG286" i="13"/>
  <c r="U286" i="13"/>
  <c r="AG285" i="13"/>
  <c r="AH285" i="13" s="1"/>
  <c r="AJ285" i="13" s="1"/>
  <c r="U285" i="13"/>
  <c r="AG284" i="13"/>
  <c r="U284" i="13"/>
  <c r="AG283" i="13"/>
  <c r="AH283" i="13" s="1"/>
  <c r="AJ283" i="13" s="1"/>
  <c r="U283" i="13"/>
  <c r="AG282" i="13"/>
  <c r="AH282" i="13" s="1"/>
  <c r="AJ282" i="13" s="1"/>
  <c r="U282" i="13"/>
  <c r="AG281" i="13"/>
  <c r="U281" i="13"/>
  <c r="AG280" i="13"/>
  <c r="AI280" i="13" s="1"/>
  <c r="U280" i="13"/>
  <c r="AG279" i="13"/>
  <c r="AI279" i="13" s="1"/>
  <c r="U279" i="13"/>
  <c r="AG278" i="13"/>
  <c r="AI278" i="13" s="1"/>
  <c r="U278" i="13"/>
  <c r="AG277" i="13"/>
  <c r="AI277" i="13" s="1"/>
  <c r="U277" i="13"/>
  <c r="AG276" i="13"/>
  <c r="AI276" i="13" s="1"/>
  <c r="U276" i="13"/>
  <c r="AG275" i="13"/>
  <c r="AH275" i="13" s="1"/>
  <c r="AJ275" i="13" s="1"/>
  <c r="U275" i="13"/>
  <c r="AG274" i="13"/>
  <c r="AI274" i="13" s="1"/>
  <c r="U274" i="13"/>
  <c r="AG273" i="13"/>
  <c r="AI273" i="13" s="1"/>
  <c r="U273" i="13"/>
  <c r="AG272" i="13"/>
  <c r="AI272" i="13" s="1"/>
  <c r="U272" i="13"/>
  <c r="AG271" i="13"/>
  <c r="U271" i="13"/>
  <c r="AG270" i="13"/>
  <c r="AI270" i="13" s="1"/>
  <c r="U270" i="13"/>
  <c r="AG269" i="13"/>
  <c r="AH269" i="13" s="1"/>
  <c r="AJ269" i="13" s="1"/>
  <c r="U269" i="13"/>
  <c r="AG268" i="13"/>
  <c r="AH268" i="13" s="1"/>
  <c r="AJ268" i="13" s="1"/>
  <c r="U268" i="13"/>
  <c r="AG267" i="13"/>
  <c r="AI267" i="13" s="1"/>
  <c r="U267" i="13"/>
  <c r="AG266" i="13"/>
  <c r="AI266" i="13" s="1"/>
  <c r="U266" i="13"/>
  <c r="AG265" i="13"/>
  <c r="U265" i="13"/>
  <c r="AG264" i="13"/>
  <c r="AI264" i="13" s="1"/>
  <c r="U264" i="13"/>
  <c r="AG263" i="13"/>
  <c r="AI263" i="13" s="1"/>
  <c r="U263" i="13"/>
  <c r="AG262" i="13"/>
  <c r="AH262" i="13" s="1"/>
  <c r="AJ262" i="13" s="1"/>
  <c r="U262" i="13"/>
  <c r="AG261" i="13"/>
  <c r="AI261" i="13" s="1"/>
  <c r="U261" i="13"/>
  <c r="AG260" i="13"/>
  <c r="AI260" i="13" s="1"/>
  <c r="U260" i="13"/>
  <c r="AG259" i="13"/>
  <c r="U259" i="13"/>
  <c r="AG258" i="13"/>
  <c r="AI258" i="13" s="1"/>
  <c r="U258" i="13"/>
  <c r="AG257" i="13"/>
  <c r="AI257" i="13" s="1"/>
  <c r="U257" i="13"/>
  <c r="AG256" i="13"/>
  <c r="AH256" i="13" s="1"/>
  <c r="AJ256" i="13" s="1"/>
  <c r="U256" i="13"/>
  <c r="AG255" i="13"/>
  <c r="U255" i="13"/>
  <c r="AG254" i="13"/>
  <c r="AI254" i="13" s="1"/>
  <c r="U254" i="13"/>
  <c r="AG253" i="13"/>
  <c r="AI253" i="13" s="1"/>
  <c r="U253" i="13"/>
  <c r="AG252" i="13"/>
  <c r="AH252" i="13" s="1"/>
  <c r="AJ252" i="13" s="1"/>
  <c r="U252" i="13"/>
  <c r="AG251" i="13"/>
  <c r="AI251" i="13" s="1"/>
  <c r="U251" i="13"/>
  <c r="AG250" i="13"/>
  <c r="AH250" i="13" s="1"/>
  <c r="AJ250" i="13" s="1"/>
  <c r="U250" i="13"/>
  <c r="AG249" i="13"/>
  <c r="U249" i="13"/>
  <c r="AG248" i="13"/>
  <c r="U248" i="13"/>
  <c r="AG247" i="13"/>
  <c r="U247" i="13"/>
  <c r="AG246" i="13"/>
  <c r="U246" i="13"/>
  <c r="AG245" i="13"/>
  <c r="AH245" i="13" s="1"/>
  <c r="AJ245" i="13" s="1"/>
  <c r="U245" i="13"/>
  <c r="AG244" i="13"/>
  <c r="AH244" i="13" s="1"/>
  <c r="AJ244" i="13" s="1"/>
  <c r="U244" i="13"/>
  <c r="AG243" i="13"/>
  <c r="U243" i="13"/>
  <c r="AG242" i="13"/>
  <c r="AI242" i="13" s="1"/>
  <c r="U242" i="13"/>
  <c r="AG241" i="13"/>
  <c r="AH241" i="13" s="1"/>
  <c r="AJ241" i="13" s="1"/>
  <c r="U241" i="13"/>
  <c r="AG240" i="13"/>
  <c r="AI240" i="13" s="1"/>
  <c r="U240" i="13"/>
  <c r="AG239" i="13"/>
  <c r="AH239" i="13" s="1"/>
  <c r="AJ239" i="13" s="1"/>
  <c r="U239" i="13"/>
  <c r="AG238" i="13"/>
  <c r="U238" i="13"/>
  <c r="AG237" i="13"/>
  <c r="U237" i="13"/>
  <c r="AG236" i="13"/>
  <c r="AH236" i="13" s="1"/>
  <c r="AJ236" i="13" s="1"/>
  <c r="U236" i="13"/>
  <c r="AG235" i="13"/>
  <c r="AI235" i="13" s="1"/>
  <c r="U235" i="13"/>
  <c r="AG234" i="13"/>
  <c r="U234" i="13"/>
  <c r="AG233" i="13"/>
  <c r="AI233" i="13" s="1"/>
  <c r="U233" i="13"/>
  <c r="AG232" i="13"/>
  <c r="AH232" i="13" s="1"/>
  <c r="AJ232" i="13" s="1"/>
  <c r="U232" i="13"/>
  <c r="AG231" i="13"/>
  <c r="AI231" i="13" s="1"/>
  <c r="U231" i="13"/>
  <c r="AG230" i="13"/>
  <c r="U230" i="13"/>
  <c r="AG229" i="13"/>
  <c r="AH229" i="13" s="1"/>
  <c r="AJ229" i="13" s="1"/>
  <c r="U229" i="13"/>
  <c r="AG228" i="13"/>
  <c r="AH228" i="13" s="1"/>
  <c r="AJ228" i="13" s="1"/>
  <c r="U228" i="13"/>
  <c r="AG227" i="13"/>
  <c r="AH227" i="13" s="1"/>
  <c r="AJ227" i="13" s="1"/>
  <c r="U227" i="13"/>
  <c r="AG226" i="13"/>
  <c r="AH226" i="13" s="1"/>
  <c r="AJ226" i="13" s="1"/>
  <c r="U226" i="13"/>
  <c r="AG225" i="13"/>
  <c r="AI225" i="13" s="1"/>
  <c r="U225" i="13"/>
  <c r="AG224" i="13"/>
  <c r="AI224" i="13" s="1"/>
  <c r="U224" i="13"/>
  <c r="AG223" i="13"/>
  <c r="U223" i="13"/>
  <c r="AG222" i="13"/>
  <c r="AH222" i="13" s="1"/>
  <c r="AJ222" i="13" s="1"/>
  <c r="U222" i="13"/>
  <c r="AG221" i="13"/>
  <c r="AH221" i="13" s="1"/>
  <c r="AJ221" i="13" s="1"/>
  <c r="U221" i="13"/>
  <c r="AG220" i="13"/>
  <c r="U220" i="13"/>
  <c r="AG219" i="13"/>
  <c r="U219" i="13"/>
  <c r="AG218" i="13"/>
  <c r="AI218" i="13" s="1"/>
  <c r="U218" i="13"/>
  <c r="AG217" i="13"/>
  <c r="AI217" i="13" s="1"/>
  <c r="U217" i="13"/>
  <c r="AG216" i="13"/>
  <c r="U216" i="13"/>
  <c r="AG215" i="13"/>
  <c r="AH215" i="13" s="1"/>
  <c r="AJ215" i="13" s="1"/>
  <c r="U215" i="13"/>
  <c r="AG214" i="13"/>
  <c r="AH214" i="13" s="1"/>
  <c r="AJ214" i="13" s="1"/>
  <c r="U214" i="13"/>
  <c r="AG213" i="13"/>
  <c r="AI213" i="13" s="1"/>
  <c r="U213" i="13"/>
  <c r="AG212" i="13"/>
  <c r="AH212" i="13" s="1"/>
  <c r="AJ212" i="13" s="1"/>
  <c r="U212" i="13"/>
  <c r="AG211" i="13"/>
  <c r="AI211" i="13" s="1"/>
  <c r="U211" i="13"/>
  <c r="AG210" i="13"/>
  <c r="AI210" i="13" s="1"/>
  <c r="U210" i="13"/>
  <c r="AG209" i="13"/>
  <c r="AH209" i="13" s="1"/>
  <c r="AJ209" i="13" s="1"/>
  <c r="U209" i="13"/>
  <c r="AG208" i="13"/>
  <c r="AH208" i="13" s="1"/>
  <c r="AJ208" i="13" s="1"/>
  <c r="U208" i="13"/>
  <c r="AG207" i="13"/>
  <c r="AI207" i="13" s="1"/>
  <c r="U207" i="13"/>
  <c r="AG206" i="13"/>
  <c r="AI206" i="13" s="1"/>
  <c r="U206" i="13"/>
  <c r="AG205" i="13"/>
  <c r="AH205" i="13" s="1"/>
  <c r="AJ205" i="13" s="1"/>
  <c r="U205" i="13"/>
  <c r="AG204" i="13"/>
  <c r="AI204" i="13" s="1"/>
  <c r="U204" i="13"/>
  <c r="AG203" i="13"/>
  <c r="AH203" i="13" s="1"/>
  <c r="AJ203" i="13" s="1"/>
  <c r="U203" i="13"/>
  <c r="AG202" i="13"/>
  <c r="U202" i="13"/>
  <c r="AG201" i="13"/>
  <c r="U201" i="13"/>
  <c r="AG200" i="13"/>
  <c r="AH200" i="13" s="1"/>
  <c r="AJ200" i="13" s="1"/>
  <c r="U200" i="13"/>
  <c r="AG199" i="13"/>
  <c r="AI199" i="13" s="1"/>
  <c r="U199" i="13"/>
  <c r="AG198" i="13"/>
  <c r="AH198" i="13" s="1"/>
  <c r="AJ198" i="13" s="1"/>
  <c r="U198" i="13"/>
  <c r="AG197" i="13"/>
  <c r="AI197" i="13" s="1"/>
  <c r="U197" i="13"/>
  <c r="AG196" i="13"/>
  <c r="AH196" i="13" s="1"/>
  <c r="AJ196" i="13" s="1"/>
  <c r="U196" i="13"/>
  <c r="AG195" i="13"/>
  <c r="U195" i="13"/>
  <c r="AG194" i="13"/>
  <c r="U194" i="13"/>
  <c r="AG193" i="13"/>
  <c r="AI193" i="13" s="1"/>
  <c r="U193" i="13"/>
  <c r="AG192" i="13"/>
  <c r="AH192" i="13" s="1"/>
  <c r="AJ192" i="13" s="1"/>
  <c r="U192" i="13"/>
  <c r="AG191" i="13"/>
  <c r="AI191" i="13" s="1"/>
  <c r="U191" i="13"/>
  <c r="AG190" i="13"/>
  <c r="AH190" i="13" s="1"/>
  <c r="AJ190" i="13" s="1"/>
  <c r="U190" i="13"/>
  <c r="AG189" i="13"/>
  <c r="U189" i="13"/>
  <c r="AG188" i="13"/>
  <c r="AI188" i="13" s="1"/>
  <c r="U188" i="13"/>
  <c r="AG187" i="13"/>
  <c r="AI187" i="13" s="1"/>
  <c r="U187" i="13"/>
  <c r="AG186" i="13"/>
  <c r="AH186" i="13" s="1"/>
  <c r="AJ186" i="13" s="1"/>
  <c r="U186" i="13"/>
  <c r="AG185" i="13"/>
  <c r="AI185" i="13" s="1"/>
  <c r="U185" i="13"/>
  <c r="AG184" i="13"/>
  <c r="AH184" i="13" s="1"/>
  <c r="AJ184" i="13" s="1"/>
  <c r="U184" i="13"/>
  <c r="AG183" i="13"/>
  <c r="U183" i="13"/>
  <c r="AG182" i="13"/>
  <c r="AI182" i="13" s="1"/>
  <c r="U182" i="13"/>
  <c r="AG181" i="13"/>
  <c r="AI181" i="13" s="1"/>
  <c r="U181" i="13"/>
  <c r="AG180" i="13"/>
  <c r="U180" i="13"/>
  <c r="AG179" i="13"/>
  <c r="AI179" i="13" s="1"/>
  <c r="U179" i="13"/>
  <c r="AG178" i="13"/>
  <c r="AH178" i="13" s="1"/>
  <c r="AJ178" i="13" s="1"/>
  <c r="U178" i="13"/>
  <c r="AG177" i="13"/>
  <c r="U177" i="13"/>
  <c r="AG176" i="13"/>
  <c r="AI176" i="13" s="1"/>
  <c r="U176" i="13"/>
  <c r="AG175" i="13"/>
  <c r="AI175" i="13" s="1"/>
  <c r="U175" i="13"/>
  <c r="AG174" i="13"/>
  <c r="AI174" i="13" s="1"/>
  <c r="U174" i="13"/>
  <c r="AG173" i="13"/>
  <c r="AI173" i="13" s="1"/>
  <c r="U173" i="13"/>
  <c r="AG172" i="13"/>
  <c r="AH172" i="13" s="1"/>
  <c r="AJ172" i="13" s="1"/>
  <c r="U172" i="13"/>
  <c r="AG171" i="13"/>
  <c r="U171" i="13"/>
  <c r="AG170" i="13"/>
  <c r="AI170" i="13" s="1"/>
  <c r="U170" i="13"/>
  <c r="AG169" i="13"/>
  <c r="AH169" i="13" s="1"/>
  <c r="AJ169" i="13" s="1"/>
  <c r="U169" i="13"/>
  <c r="AG168" i="13"/>
  <c r="AI168" i="13" s="1"/>
  <c r="U168" i="13"/>
  <c r="AG167" i="13"/>
  <c r="AI167" i="13" s="1"/>
  <c r="U167" i="13"/>
  <c r="AG166" i="13"/>
  <c r="AH166" i="13" s="1"/>
  <c r="AJ166" i="13" s="1"/>
  <c r="U166" i="13"/>
  <c r="AG165" i="13"/>
  <c r="AI165" i="13" s="1"/>
  <c r="U165" i="13"/>
  <c r="AG164" i="13"/>
  <c r="AI164" i="13" s="1"/>
  <c r="U164" i="13"/>
  <c r="AG163" i="13"/>
  <c r="AH163" i="13" s="1"/>
  <c r="AJ163" i="13" s="1"/>
  <c r="U163" i="13"/>
  <c r="AG162" i="13"/>
  <c r="AH162" i="13" s="1"/>
  <c r="AJ162" i="13" s="1"/>
  <c r="U162" i="13"/>
  <c r="AG161" i="13"/>
  <c r="AI161" i="13" s="1"/>
  <c r="U161" i="13"/>
  <c r="AG160" i="13"/>
  <c r="AH160" i="13" s="1"/>
  <c r="AJ160" i="13" s="1"/>
  <c r="U160" i="13"/>
  <c r="AG159" i="13"/>
  <c r="U159" i="13"/>
  <c r="AG158" i="13"/>
  <c r="AI158" i="13" s="1"/>
  <c r="U158" i="13"/>
  <c r="AG157" i="13"/>
  <c r="AI157" i="13" s="1"/>
  <c r="U157" i="13"/>
  <c r="AG156" i="13"/>
  <c r="AH156" i="13" s="1"/>
  <c r="AJ156" i="13" s="1"/>
  <c r="U156" i="13"/>
  <c r="AG155" i="13"/>
  <c r="AH155" i="13" s="1"/>
  <c r="AJ155" i="13" s="1"/>
  <c r="U155" i="13"/>
  <c r="AG154" i="13"/>
  <c r="AH154" i="13" s="1"/>
  <c r="AJ154" i="13" s="1"/>
  <c r="U154" i="13"/>
  <c r="AG153" i="13"/>
  <c r="U153" i="13"/>
  <c r="AG152" i="13"/>
  <c r="AI152" i="13" s="1"/>
  <c r="U152" i="13"/>
  <c r="AG151" i="13"/>
  <c r="AI151" i="13" s="1"/>
  <c r="U151" i="13"/>
  <c r="AG150" i="13"/>
  <c r="AI150" i="13" s="1"/>
  <c r="U150" i="13"/>
  <c r="AG149" i="13"/>
  <c r="AI149" i="13" s="1"/>
  <c r="U149" i="13"/>
  <c r="AG148" i="13"/>
  <c r="AH148" i="13" s="1"/>
  <c r="AJ148" i="13" s="1"/>
  <c r="U148" i="13"/>
  <c r="AG147" i="13"/>
  <c r="U147" i="13"/>
  <c r="AG146" i="13"/>
  <c r="AI146" i="13" s="1"/>
  <c r="U146" i="13"/>
  <c r="AG145" i="13"/>
  <c r="AH145" i="13" s="1"/>
  <c r="AJ145" i="13" s="1"/>
  <c r="U145" i="13"/>
  <c r="AG144" i="13"/>
  <c r="AI144" i="13" s="1"/>
  <c r="U144" i="13"/>
  <c r="AG143" i="13"/>
  <c r="AI143" i="13" s="1"/>
  <c r="U143" i="13"/>
  <c r="AG142" i="13"/>
  <c r="AH142" i="13" s="1"/>
  <c r="AJ142" i="13" s="1"/>
  <c r="U142" i="13"/>
  <c r="AG141" i="13"/>
  <c r="U141" i="13"/>
  <c r="AG140" i="13"/>
  <c r="AI140" i="13" s="1"/>
  <c r="U140" i="13"/>
  <c r="AG139" i="13"/>
  <c r="AI139" i="13" s="1"/>
  <c r="U139" i="13"/>
  <c r="AG138" i="13"/>
  <c r="AH138" i="13" s="1"/>
  <c r="AJ138" i="13" s="1"/>
  <c r="U138" i="13"/>
  <c r="AG137" i="13"/>
  <c r="AH137" i="13" s="1"/>
  <c r="AJ137" i="13" s="1"/>
  <c r="U137" i="13"/>
  <c r="AG136" i="13"/>
  <c r="AH136" i="13" s="1"/>
  <c r="AJ136" i="13" s="1"/>
  <c r="U136" i="13"/>
  <c r="AG135" i="13"/>
  <c r="U135" i="13"/>
  <c r="AG134" i="13"/>
  <c r="AI134" i="13" s="1"/>
  <c r="U134" i="13"/>
  <c r="AG133" i="13"/>
  <c r="AI133" i="13" s="1"/>
  <c r="U133" i="13"/>
  <c r="AG132" i="13"/>
  <c r="AI132" i="13" s="1"/>
  <c r="U132" i="13"/>
  <c r="AG131" i="13"/>
  <c r="AH131" i="13" s="1"/>
  <c r="AJ131" i="13" s="1"/>
  <c r="U131" i="13"/>
  <c r="AG130" i="13"/>
  <c r="AH130" i="13" s="1"/>
  <c r="AJ130" i="13" s="1"/>
  <c r="U130" i="13"/>
  <c r="AG129" i="13"/>
  <c r="U129" i="13"/>
  <c r="AG128" i="13"/>
  <c r="AI128" i="13" s="1"/>
  <c r="U128" i="13"/>
  <c r="AG127" i="13"/>
  <c r="AH127" i="13" s="1"/>
  <c r="AJ127" i="13" s="1"/>
  <c r="U127" i="13"/>
  <c r="AG126" i="13"/>
  <c r="AI126" i="13" s="1"/>
  <c r="U126" i="13"/>
  <c r="AG125" i="13"/>
  <c r="AI125" i="13" s="1"/>
  <c r="U125" i="13"/>
  <c r="AG124" i="13"/>
  <c r="AH124" i="13" s="1"/>
  <c r="AJ124" i="13" s="1"/>
  <c r="U124" i="13"/>
  <c r="AG123" i="13"/>
  <c r="U123" i="13"/>
  <c r="AG122" i="13"/>
  <c r="AI122" i="13" s="1"/>
  <c r="U122" i="13"/>
  <c r="AG121" i="13"/>
  <c r="AI121" i="13" s="1"/>
  <c r="U121" i="13"/>
  <c r="AG120" i="13"/>
  <c r="AH120" i="13" s="1"/>
  <c r="AJ120" i="13" s="1"/>
  <c r="U120" i="13"/>
  <c r="AG119" i="13"/>
  <c r="AH119" i="13" s="1"/>
  <c r="AJ119" i="13" s="1"/>
  <c r="U119" i="13"/>
  <c r="AG118" i="13"/>
  <c r="AH118" i="13" s="1"/>
  <c r="AJ118" i="13" s="1"/>
  <c r="U118" i="13"/>
  <c r="AG117" i="13"/>
  <c r="U117" i="13"/>
  <c r="AG116" i="13"/>
  <c r="AI116" i="13" s="1"/>
  <c r="U116" i="13"/>
  <c r="AG115" i="13"/>
  <c r="AI115" i="13" s="1"/>
  <c r="U115" i="13"/>
  <c r="AG114" i="13"/>
  <c r="AH114" i="13" s="1"/>
  <c r="AJ114" i="13" s="1"/>
  <c r="U114" i="13"/>
  <c r="AG113" i="13"/>
  <c r="AI113" i="13" s="1"/>
  <c r="U113" i="13"/>
  <c r="AG112" i="13"/>
  <c r="AH112" i="13" s="1"/>
  <c r="AJ112" i="13" s="1"/>
  <c r="U112" i="13"/>
  <c r="AG111" i="13"/>
  <c r="U111" i="13"/>
  <c r="AG110" i="13"/>
  <c r="AI110" i="13" s="1"/>
  <c r="U110" i="13"/>
  <c r="AG109" i="13"/>
  <c r="AH109" i="13" s="1"/>
  <c r="AJ109" i="13" s="1"/>
  <c r="U109" i="13"/>
  <c r="AG108" i="13"/>
  <c r="AI108" i="13" s="1"/>
  <c r="U108" i="13"/>
  <c r="AG107" i="13"/>
  <c r="AI107" i="13" s="1"/>
  <c r="U107" i="13"/>
  <c r="AG106" i="13"/>
  <c r="AH106" i="13" s="1"/>
  <c r="AJ106" i="13" s="1"/>
  <c r="U106" i="13"/>
  <c r="AG105" i="13"/>
  <c r="U105" i="13"/>
  <c r="AG104" i="13"/>
  <c r="AI104" i="13" s="1"/>
  <c r="U104" i="13"/>
  <c r="AG103" i="13"/>
  <c r="AH103" i="13" s="1"/>
  <c r="AJ103" i="13" s="1"/>
  <c r="U103" i="13"/>
  <c r="AG102" i="13"/>
  <c r="AI102" i="13" s="1"/>
  <c r="U102" i="13"/>
  <c r="AG101" i="13"/>
  <c r="AH101" i="13" s="1"/>
  <c r="AJ101" i="13" s="1"/>
  <c r="U101" i="13"/>
  <c r="AG100" i="13"/>
  <c r="AI100" i="13" s="1"/>
  <c r="U100" i="13"/>
  <c r="AG99" i="13"/>
  <c r="U99" i="13"/>
  <c r="AG98" i="13"/>
  <c r="AI98" i="13" s="1"/>
  <c r="U98" i="13"/>
  <c r="AG97" i="13"/>
  <c r="AI97" i="13" s="1"/>
  <c r="U97" i="13"/>
  <c r="AG96" i="13"/>
  <c r="AI96" i="13" s="1"/>
  <c r="U96" i="13"/>
  <c r="AG95" i="13"/>
  <c r="AI95" i="13" s="1"/>
  <c r="U95" i="13"/>
  <c r="AG94" i="13"/>
  <c r="AI94" i="13" s="1"/>
  <c r="U94" i="13"/>
  <c r="AG93" i="13"/>
  <c r="U93" i="13"/>
  <c r="AG92" i="13"/>
  <c r="AI92" i="13" s="1"/>
  <c r="U92" i="13"/>
  <c r="AG91" i="13"/>
  <c r="AH91" i="13" s="1"/>
  <c r="AJ91" i="13" s="1"/>
  <c r="U91" i="13"/>
  <c r="AG90" i="13"/>
  <c r="AI90" i="13" s="1"/>
  <c r="U90" i="13"/>
  <c r="AG89" i="13"/>
  <c r="AH89" i="13" s="1"/>
  <c r="AJ89" i="13" s="1"/>
  <c r="U89" i="13"/>
  <c r="AG88" i="13"/>
  <c r="AI88" i="13" s="1"/>
  <c r="U88" i="13"/>
  <c r="AG87" i="13"/>
  <c r="U87" i="13"/>
  <c r="AG86" i="13"/>
  <c r="AI86" i="13" s="1"/>
  <c r="U86" i="13"/>
  <c r="AG85" i="13"/>
  <c r="AH85" i="13" s="1"/>
  <c r="AJ85" i="13" s="1"/>
  <c r="U85" i="13"/>
  <c r="AG84" i="13"/>
  <c r="AI84" i="13" s="1"/>
  <c r="U84" i="13"/>
  <c r="AG83" i="13"/>
  <c r="AI83" i="13" s="1"/>
  <c r="U83" i="13"/>
  <c r="AG82" i="13"/>
  <c r="AI82" i="13" s="1"/>
  <c r="U82" i="13"/>
  <c r="AG81" i="13"/>
  <c r="U81" i="13"/>
  <c r="AG80" i="13"/>
  <c r="AI80" i="13" s="1"/>
  <c r="U80" i="13"/>
  <c r="AG79" i="13"/>
  <c r="AI79" i="13" s="1"/>
  <c r="U79" i="13"/>
  <c r="AG78" i="13"/>
  <c r="AH78" i="13" s="1"/>
  <c r="AJ78" i="13" s="1"/>
  <c r="U78" i="13"/>
  <c r="AG77" i="13"/>
  <c r="AH77" i="13" s="1"/>
  <c r="AJ77" i="13" s="1"/>
  <c r="U77" i="13"/>
  <c r="AG76" i="13"/>
  <c r="AI76" i="13" s="1"/>
  <c r="U76" i="13"/>
  <c r="AG75" i="13"/>
  <c r="U75" i="13"/>
  <c r="AG74" i="13"/>
  <c r="AI74" i="13" s="1"/>
  <c r="U74" i="13"/>
  <c r="AG73" i="13"/>
  <c r="AI73" i="13" s="1"/>
  <c r="U73" i="13"/>
  <c r="AG72" i="13"/>
  <c r="AH72" i="13" s="1"/>
  <c r="AJ72" i="13" s="1"/>
  <c r="U72" i="13"/>
  <c r="AG71" i="13"/>
  <c r="AI71" i="13" s="1"/>
  <c r="U71" i="13"/>
  <c r="AG70" i="13"/>
  <c r="AI70" i="13" s="1"/>
  <c r="U70" i="13"/>
  <c r="AG69" i="13"/>
  <c r="U69" i="13"/>
  <c r="AG68" i="13"/>
  <c r="AI68" i="13" s="1"/>
  <c r="U68" i="13"/>
  <c r="AG67" i="13"/>
  <c r="AI67" i="13" s="1"/>
  <c r="U67" i="13"/>
  <c r="AG66" i="13"/>
  <c r="AH66" i="13" s="1"/>
  <c r="AJ66" i="13" s="1"/>
  <c r="U66" i="13"/>
  <c r="AG65" i="13"/>
  <c r="AI65" i="13" s="1"/>
  <c r="U65" i="13"/>
  <c r="AG64" i="13"/>
  <c r="AH64" i="13" s="1"/>
  <c r="AJ64" i="13" s="1"/>
  <c r="U64" i="13"/>
  <c r="AG63" i="13"/>
  <c r="AI63" i="13" s="1"/>
  <c r="U63" i="13"/>
  <c r="AG62" i="13"/>
  <c r="AI62" i="13" s="1"/>
  <c r="U62" i="13"/>
  <c r="AG61" i="13"/>
  <c r="AI61" i="13" s="1"/>
  <c r="U61" i="13"/>
  <c r="AG60" i="13"/>
  <c r="AI60" i="13" s="1"/>
  <c r="U60" i="13"/>
  <c r="AG59" i="13"/>
  <c r="AI59" i="13" s="1"/>
  <c r="U59" i="13"/>
  <c r="AG58" i="13"/>
  <c r="AH58" i="13" s="1"/>
  <c r="AJ58" i="13" s="1"/>
  <c r="U58" i="13"/>
  <c r="AG57" i="13"/>
  <c r="AI57" i="13" s="1"/>
  <c r="U57" i="13"/>
  <c r="AG56" i="13"/>
  <c r="AH56" i="13" s="1"/>
  <c r="AJ56" i="13" s="1"/>
  <c r="U56" i="13"/>
  <c r="AG55" i="13"/>
  <c r="AI55" i="13" s="1"/>
  <c r="U55" i="13"/>
  <c r="AG54" i="13"/>
  <c r="AI54" i="13" s="1"/>
  <c r="U54" i="13"/>
  <c r="AG53" i="13"/>
  <c r="AI53" i="13" s="1"/>
  <c r="U53" i="13"/>
  <c r="AG52" i="13"/>
  <c r="AH52" i="13" s="1"/>
  <c r="AJ52" i="13" s="1"/>
  <c r="U52" i="13"/>
  <c r="AG51" i="13"/>
  <c r="AI51" i="13" s="1"/>
  <c r="U51" i="13"/>
  <c r="AG50" i="13"/>
  <c r="AI50" i="13" s="1"/>
  <c r="U50" i="13"/>
  <c r="AG49" i="13"/>
  <c r="AH49" i="13" s="1"/>
  <c r="AJ49" i="13" s="1"/>
  <c r="U49" i="13"/>
  <c r="AG48" i="13"/>
  <c r="AH48" i="13" s="1"/>
  <c r="AJ48" i="13" s="1"/>
  <c r="U48" i="13"/>
  <c r="AG47" i="13"/>
  <c r="AI47" i="13" s="1"/>
  <c r="U47" i="13"/>
  <c r="AG46" i="13"/>
  <c r="AH46" i="13" s="1"/>
  <c r="AJ46" i="13" s="1"/>
  <c r="U46" i="13"/>
  <c r="AG45" i="13"/>
  <c r="AI45" i="13" s="1"/>
  <c r="U45" i="13"/>
  <c r="AG44" i="13"/>
  <c r="AI44" i="13" s="1"/>
  <c r="U44" i="13"/>
  <c r="AG43" i="13"/>
  <c r="AI43" i="13" s="1"/>
  <c r="U43" i="13"/>
  <c r="AG42" i="13"/>
  <c r="AH42" i="13" s="1"/>
  <c r="AJ42" i="13" s="1"/>
  <c r="U42" i="13"/>
  <c r="AG41" i="13"/>
  <c r="AI41" i="13" s="1"/>
  <c r="U41" i="13"/>
  <c r="AG40" i="13"/>
  <c r="AH40" i="13" s="1"/>
  <c r="AJ40" i="13" s="1"/>
  <c r="U40" i="13"/>
  <c r="AG39" i="13"/>
  <c r="AI39" i="13" s="1"/>
  <c r="U39" i="13"/>
  <c r="AG38" i="13"/>
  <c r="AI38" i="13" s="1"/>
  <c r="U38" i="13"/>
  <c r="AG37" i="13"/>
  <c r="AI37" i="13" s="1"/>
  <c r="U37" i="13"/>
  <c r="AG36" i="13"/>
  <c r="AI36" i="13" s="1"/>
  <c r="U36" i="13"/>
  <c r="AG35" i="13"/>
  <c r="AI35" i="13" s="1"/>
  <c r="U35" i="13"/>
  <c r="AG34" i="13"/>
  <c r="AH34" i="13" s="1"/>
  <c r="AJ34" i="13" s="1"/>
  <c r="U34" i="13"/>
  <c r="AG33" i="13"/>
  <c r="AI33" i="13" s="1"/>
  <c r="U33" i="13"/>
  <c r="AG32" i="13"/>
  <c r="AI32" i="13" s="1"/>
  <c r="U32" i="13"/>
  <c r="AG31" i="13"/>
  <c r="AH31" i="13" s="1"/>
  <c r="AJ31" i="13" s="1"/>
  <c r="U31" i="13"/>
  <c r="AG30" i="13"/>
  <c r="AH30" i="13" s="1"/>
  <c r="AJ30" i="13" s="1"/>
  <c r="U30" i="13"/>
  <c r="AG29" i="13"/>
  <c r="AI29" i="13" s="1"/>
  <c r="U29" i="13"/>
  <c r="AG28" i="13"/>
  <c r="AI28" i="13" s="1"/>
  <c r="U28" i="13"/>
  <c r="AG27" i="13"/>
  <c r="AI27" i="13" s="1"/>
  <c r="U27" i="13"/>
  <c r="AG26" i="13"/>
  <c r="AI26" i="13" s="1"/>
  <c r="U26" i="13"/>
  <c r="AG25" i="13"/>
  <c r="AH25" i="13" s="1"/>
  <c r="AJ25" i="13" s="1"/>
  <c r="U25" i="13"/>
  <c r="AG24" i="13"/>
  <c r="AH24" i="13" s="1"/>
  <c r="AJ24" i="13" s="1"/>
  <c r="U24" i="13"/>
  <c r="AG23" i="13"/>
  <c r="AI23" i="13" s="1"/>
  <c r="U23" i="13"/>
  <c r="AG22" i="13"/>
  <c r="AI22" i="13" s="1"/>
  <c r="U22" i="13"/>
  <c r="AG21" i="13"/>
  <c r="AI21" i="13" s="1"/>
  <c r="U21" i="13"/>
  <c r="AG20" i="13"/>
  <c r="AI20" i="13" s="1"/>
  <c r="U20" i="13"/>
  <c r="AG19" i="13"/>
  <c r="AH19" i="13" s="1"/>
  <c r="AJ19" i="13" s="1"/>
  <c r="U19" i="13"/>
  <c r="AG18" i="13"/>
  <c r="AH18" i="13" s="1"/>
  <c r="AJ18" i="13" s="1"/>
  <c r="U18" i="13"/>
  <c r="AG17" i="13"/>
  <c r="AI17" i="13" s="1"/>
  <c r="U17" i="13"/>
  <c r="AG16" i="13"/>
  <c r="AI16" i="13" s="1"/>
  <c r="U16" i="13"/>
  <c r="AG15" i="13"/>
  <c r="AI15" i="13" s="1"/>
  <c r="U15" i="13"/>
  <c r="AG14" i="13"/>
  <c r="AI14" i="13" s="1"/>
  <c r="U14" i="13"/>
  <c r="AG13" i="13"/>
  <c r="AH13" i="13" s="1"/>
  <c r="AJ13" i="13" s="1"/>
  <c r="U13" i="13"/>
  <c r="AG12" i="13"/>
  <c r="AH12" i="13" s="1"/>
  <c r="AJ12" i="13" s="1"/>
  <c r="U12" i="13"/>
  <c r="AG11" i="13"/>
  <c r="AI11" i="13" s="1"/>
  <c r="U11" i="13"/>
  <c r="AG10" i="13"/>
  <c r="AH10" i="13" s="1"/>
  <c r="AJ10" i="13" s="1"/>
  <c r="U10" i="13"/>
  <c r="AG9" i="13"/>
  <c r="AI9" i="13" s="1"/>
  <c r="U9" i="13"/>
  <c r="AG8" i="13"/>
  <c r="AI8" i="13" s="1"/>
  <c r="U8" i="13"/>
  <c r="AG7" i="13"/>
  <c r="AI7" i="13" s="1"/>
  <c r="U7" i="13"/>
  <c r="AG6" i="13"/>
  <c r="AH6" i="13" s="1"/>
  <c r="AJ6" i="13" s="1"/>
  <c r="U6" i="13"/>
  <c r="B32" i="40"/>
  <c r="B33" i="40"/>
  <c r="G32" i="40"/>
  <c r="H32" i="40" s="1"/>
  <c r="G33" i="40"/>
  <c r="H33" i="40" s="1"/>
  <c r="B28" i="40"/>
  <c r="B29" i="40"/>
  <c r="B30" i="40"/>
  <c r="B31" i="40"/>
  <c r="G29" i="40"/>
  <c r="H29" i="40" s="1"/>
  <c r="G31" i="40"/>
  <c r="H31" i="40" s="1"/>
  <c r="G28" i="40"/>
  <c r="H28" i="40" s="1"/>
  <c r="G30" i="40"/>
  <c r="H30" i="40" s="1"/>
  <c r="B41" i="38"/>
  <c r="F41" i="38"/>
  <c r="H41" i="38" s="1"/>
  <c r="I41" i="38" s="1"/>
  <c r="B42" i="38"/>
  <c r="B43" i="38"/>
  <c r="F42" i="38"/>
  <c r="H42" i="38" s="1"/>
  <c r="I42" i="38" s="1"/>
  <c r="F43" i="38"/>
  <c r="H43" i="38" s="1"/>
  <c r="I43" i="38" s="1"/>
  <c r="B44" i="38"/>
  <c r="F44" i="38"/>
  <c r="H44" i="38" s="1"/>
  <c r="I44" i="38" s="1"/>
  <c r="B26" i="38"/>
  <c r="B27" i="38"/>
  <c r="B28" i="38"/>
  <c r="B29" i="38"/>
  <c r="B32" i="38"/>
  <c r="B33" i="38"/>
  <c r="F26" i="38"/>
  <c r="H26" i="38" s="1"/>
  <c r="I26" i="38" s="1"/>
  <c r="F27" i="38"/>
  <c r="H27" i="38" s="1"/>
  <c r="I27" i="38" s="1"/>
  <c r="F28" i="38"/>
  <c r="H28" i="38" s="1"/>
  <c r="I28" i="38" s="1"/>
  <c r="F29" i="38"/>
  <c r="H29" i="38" s="1"/>
  <c r="I29" i="38" s="1"/>
  <c r="F32" i="38"/>
  <c r="H32" i="38" s="1"/>
  <c r="I32" i="38" s="1"/>
  <c r="F33" i="38"/>
  <c r="H33" i="38" s="1"/>
  <c r="I33" i="38" s="1"/>
  <c r="B34" i="38"/>
  <c r="B35" i="38"/>
  <c r="B37" i="38"/>
  <c r="F34" i="38"/>
  <c r="H34" i="38" s="1"/>
  <c r="I34" i="38" s="1"/>
  <c r="F35" i="38"/>
  <c r="H35" i="38" s="1"/>
  <c r="I35" i="38" s="1"/>
  <c r="F37" i="38"/>
  <c r="H37" i="38" s="1"/>
  <c r="I37" i="38" s="1"/>
  <c r="B38" i="38"/>
  <c r="B39" i="38"/>
  <c r="F38" i="38"/>
  <c r="H38" i="38" s="1"/>
  <c r="I38" i="38" s="1"/>
  <c r="F39" i="38"/>
  <c r="H39" i="38" s="1"/>
  <c r="I39" i="38" s="1"/>
  <c r="B40" i="38"/>
  <c r="F40" i="38"/>
  <c r="H40" i="38" s="1"/>
  <c r="I40" i="38" s="1"/>
  <c r="B40" i="19"/>
  <c r="B39" i="19"/>
  <c r="B38" i="19"/>
  <c r="B37" i="19"/>
  <c r="C10" i="19"/>
  <c r="B10" i="19"/>
  <c r="C9" i="19"/>
  <c r="B9" i="19"/>
  <c r="C8" i="19"/>
  <c r="B8" i="19"/>
  <c r="C7" i="19"/>
  <c r="B7" i="19"/>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R354" i="13"/>
  <c r="R355" i="13"/>
  <c r="R356" i="13"/>
  <c r="R357" i="13"/>
  <c r="R358" i="13"/>
  <c r="R359" i="13"/>
  <c r="R360" i="13"/>
  <c r="R361" i="13"/>
  <c r="R362" i="13"/>
  <c r="R363" i="13"/>
  <c r="R364" i="13"/>
  <c r="R365" i="13"/>
  <c r="R366" i="13"/>
  <c r="R367" i="13"/>
  <c r="R368" i="13"/>
  <c r="R369" i="13"/>
  <c r="R370" i="13"/>
  <c r="R371" i="13"/>
  <c r="AP336" i="13"/>
  <c r="AQ336" i="13" s="1"/>
  <c r="AP337" i="13"/>
  <c r="AQ337" i="13" s="1"/>
  <c r="AP338" i="13"/>
  <c r="BG338" i="13" s="1"/>
  <c r="AP339" i="13"/>
  <c r="AU339" i="13" s="1"/>
  <c r="AP340" i="13"/>
  <c r="AQ340" i="13" s="1"/>
  <c r="AP341" i="13"/>
  <c r="AQ341" i="13" s="1"/>
  <c r="AP342" i="13"/>
  <c r="AV342" i="13" s="1"/>
  <c r="AP343" i="13"/>
  <c r="AV343" i="13" s="1"/>
  <c r="AP344" i="13"/>
  <c r="AQ344" i="13" s="1"/>
  <c r="AP345" i="13"/>
  <c r="AQ345" i="13" s="1"/>
  <c r="AP346" i="13"/>
  <c r="BB346" i="13" s="1"/>
  <c r="AP347" i="13"/>
  <c r="AV347" i="13" s="1"/>
  <c r="AP348" i="13"/>
  <c r="AQ348" i="13" s="1"/>
  <c r="AP349" i="13"/>
  <c r="AQ349" i="13" s="1"/>
  <c r="AP350" i="13"/>
  <c r="AY350" i="13" s="1"/>
  <c r="AP351" i="13"/>
  <c r="BD351" i="13" s="1"/>
  <c r="AP352" i="13"/>
  <c r="AR352" i="13" s="1"/>
  <c r="AP353" i="13"/>
  <c r="AS353" i="13" s="1"/>
  <c r="AP354" i="13"/>
  <c r="AY354" i="13" s="1"/>
  <c r="AP355" i="13"/>
  <c r="AU355" i="13" s="1"/>
  <c r="AP356" i="13"/>
  <c r="AQ356" i="13" s="1"/>
  <c r="AP357" i="13"/>
  <c r="AQ357" i="13" s="1"/>
  <c r="AP358" i="13"/>
  <c r="AY358" i="13" s="1"/>
  <c r="AP359" i="13"/>
  <c r="AR359" i="13" s="1"/>
  <c r="AP360" i="13"/>
  <c r="AQ360" i="13" s="1"/>
  <c r="AP361" i="13"/>
  <c r="AP362" i="13"/>
  <c r="AP363" i="13"/>
  <c r="AQ363" i="13" s="1"/>
  <c r="AP364" i="13"/>
  <c r="AR364" i="13" s="1"/>
  <c r="AP365" i="13"/>
  <c r="BI365" i="13" s="1"/>
  <c r="AP366" i="13"/>
  <c r="BF366" i="13" s="1"/>
  <c r="AP367" i="13"/>
  <c r="AQ367" i="13" s="1"/>
  <c r="AP368" i="13"/>
  <c r="AQ368" i="13" s="1"/>
  <c r="AP369" i="13"/>
  <c r="AV369" i="13" s="1"/>
  <c r="AP370" i="13"/>
  <c r="BA370" i="13" s="1"/>
  <c r="AP371" i="13"/>
  <c r="AQ371" i="13" s="1"/>
  <c r="BK336" i="13"/>
  <c r="BO336" i="13" s="1"/>
  <c r="BK337" i="13"/>
  <c r="BY337" i="13" s="1"/>
  <c r="BK338" i="13"/>
  <c r="CC338" i="13" s="1"/>
  <c r="BK339" i="13"/>
  <c r="CD339" i="13" s="1"/>
  <c r="BK340" i="13"/>
  <c r="BK341" i="13"/>
  <c r="BK342" i="13"/>
  <c r="BK343" i="13"/>
  <c r="BK344" i="13"/>
  <c r="BY344" i="13" s="1"/>
  <c r="BK345" i="13"/>
  <c r="BL345" i="13" s="1"/>
  <c r="BK346" i="13"/>
  <c r="BS346" i="13" s="1"/>
  <c r="BK347" i="13"/>
  <c r="BV347" i="13" s="1"/>
  <c r="BK348" i="13"/>
  <c r="CA348" i="13" s="1"/>
  <c r="BK349" i="13"/>
  <c r="BK350" i="13"/>
  <c r="BW350" i="13" s="1"/>
  <c r="BK351" i="13"/>
  <c r="BU351" i="13" s="1"/>
  <c r="BK352" i="13"/>
  <c r="BK353" i="13"/>
  <c r="BP353" i="13" s="1"/>
  <c r="BK354" i="13"/>
  <c r="BU354" i="13" s="1"/>
  <c r="BK355" i="13"/>
  <c r="BW355" i="13" s="1"/>
  <c r="BK356" i="13"/>
  <c r="BK357" i="13"/>
  <c r="CB357" i="13" s="1"/>
  <c r="BK358" i="13"/>
  <c r="BO358" i="13" s="1"/>
  <c r="BK359" i="13"/>
  <c r="BK360" i="13"/>
  <c r="BZ360" i="13" s="1"/>
  <c r="BK361" i="13"/>
  <c r="CA361" i="13" s="1"/>
  <c r="BK362" i="13"/>
  <c r="BK363" i="13"/>
  <c r="BK364" i="13"/>
  <c r="BR364" i="13" s="1"/>
  <c r="BK365" i="13"/>
  <c r="BQ365" i="13" s="1"/>
  <c r="BK366" i="13"/>
  <c r="BO366" i="13" s="1"/>
  <c r="BK367" i="13"/>
  <c r="BY367" i="13" s="1"/>
  <c r="BK368" i="13"/>
  <c r="BK369" i="13"/>
  <c r="BZ369" i="13" s="1"/>
  <c r="BK370" i="13"/>
  <c r="BK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R372" i="13"/>
  <c r="R373" i="13"/>
  <c r="R374" i="13"/>
  <c r="R375" i="13"/>
  <c r="R376" i="13"/>
  <c r="R377" i="13"/>
  <c r="R378" i="13"/>
  <c r="R379" i="13"/>
  <c r="R380" i="13"/>
  <c r="R381" i="13"/>
  <c r="R382" i="13"/>
  <c r="R383" i="13"/>
  <c r="R384" i="13"/>
  <c r="R385" i="13"/>
  <c r="R386" i="13"/>
  <c r="R387" i="13"/>
  <c r="R388" i="13"/>
  <c r="R389" i="13"/>
  <c r="R390" i="13"/>
  <c r="R391" i="13"/>
  <c r="R392" i="13"/>
  <c r="R393" i="13"/>
  <c r="R394" i="13"/>
  <c r="R395" i="13"/>
  <c r="R396" i="13"/>
  <c r="R397" i="13"/>
  <c r="R398" i="13"/>
  <c r="R399" i="13"/>
  <c r="R400" i="13"/>
  <c r="R401" i="13"/>
  <c r="R402" i="13"/>
  <c r="R403" i="13"/>
  <c r="R404" i="13"/>
  <c r="R405" i="13"/>
  <c r="R406" i="13"/>
  <c r="R407" i="13"/>
  <c r="R408" i="13"/>
  <c r="R409" i="13"/>
  <c r="R410" i="13"/>
  <c r="R411" i="13"/>
  <c r="R412" i="13"/>
  <c r="R413" i="13"/>
  <c r="AP372" i="13"/>
  <c r="BF372" i="13" s="1"/>
  <c r="AP373" i="13"/>
  <c r="BD373" i="13" s="1"/>
  <c r="AP374" i="13"/>
  <c r="BC374" i="13" s="1"/>
  <c r="AP375" i="13"/>
  <c r="BA375" i="13" s="1"/>
  <c r="AP376" i="13"/>
  <c r="BH376" i="13" s="1"/>
  <c r="AP377" i="13"/>
  <c r="BC377" i="13" s="1"/>
  <c r="AP378" i="13"/>
  <c r="AR378" i="13" s="1"/>
  <c r="AP379" i="13"/>
  <c r="AS379" i="13" s="1"/>
  <c r="AP380" i="13"/>
  <c r="BD380" i="13" s="1"/>
  <c r="AP381" i="13"/>
  <c r="BC381" i="13" s="1"/>
  <c r="AP382" i="13"/>
  <c r="AT382" i="13" s="1"/>
  <c r="AP383" i="13"/>
  <c r="AX383" i="13" s="1"/>
  <c r="AP384" i="13"/>
  <c r="AP385" i="13"/>
  <c r="AY385" i="13" s="1"/>
  <c r="AP386" i="13"/>
  <c r="BG386" i="13" s="1"/>
  <c r="AP387" i="13"/>
  <c r="BA387" i="13" s="1"/>
  <c r="AP388" i="13"/>
  <c r="AP389" i="13"/>
  <c r="BB389" i="13" s="1"/>
  <c r="AP390" i="13"/>
  <c r="AP391" i="13"/>
  <c r="BG391" i="13" s="1"/>
  <c r="AP392" i="13"/>
  <c r="BH392" i="13" s="1"/>
  <c r="AP393" i="13"/>
  <c r="AX393" i="13" s="1"/>
  <c r="AP394" i="13"/>
  <c r="BH394" i="13" s="1"/>
  <c r="AP395" i="13"/>
  <c r="BB395" i="13" s="1"/>
  <c r="AP396" i="13"/>
  <c r="BD396" i="13" s="1"/>
  <c r="AP397" i="13"/>
  <c r="AW397" i="13" s="1"/>
  <c r="AP398" i="13"/>
  <c r="BE398" i="13" s="1"/>
  <c r="AP399" i="13"/>
  <c r="BI399" i="13" s="1"/>
  <c r="AP400" i="13"/>
  <c r="BD400" i="13" s="1"/>
  <c r="AP401" i="13"/>
  <c r="AX401" i="13" s="1"/>
  <c r="AP402" i="13"/>
  <c r="AS402" i="13" s="1"/>
  <c r="AP403" i="13"/>
  <c r="AY403" i="13" s="1"/>
  <c r="AP404" i="13"/>
  <c r="BF404" i="13" s="1"/>
  <c r="AP405" i="13"/>
  <c r="AT405" i="13" s="1"/>
  <c r="AP406" i="13"/>
  <c r="AX406" i="13" s="1"/>
  <c r="AP407" i="13"/>
  <c r="BH407" i="13" s="1"/>
  <c r="AP408" i="13"/>
  <c r="BF408" i="13" s="1"/>
  <c r="AP409" i="13"/>
  <c r="BB409" i="13" s="1"/>
  <c r="AP410" i="13"/>
  <c r="BE410" i="13" s="1"/>
  <c r="AP411" i="13"/>
  <c r="AV411" i="13" s="1"/>
  <c r="AP412" i="13"/>
  <c r="BH412" i="13" s="1"/>
  <c r="AP413" i="13"/>
  <c r="BK372" i="13"/>
  <c r="BX372" i="13" s="1"/>
  <c r="BK373" i="13"/>
  <c r="BQ373" i="13" s="1"/>
  <c r="BK374" i="13"/>
  <c r="BS374" i="13" s="1"/>
  <c r="BK375" i="13"/>
  <c r="BX375" i="13" s="1"/>
  <c r="BK376" i="13"/>
  <c r="BV376" i="13" s="1"/>
  <c r="BK377" i="13"/>
  <c r="BS377" i="13" s="1"/>
  <c r="BK378" i="13"/>
  <c r="BQ378" i="13" s="1"/>
  <c r="BK379" i="13"/>
  <c r="BQ379" i="13" s="1"/>
  <c r="BK380" i="13"/>
  <c r="BN380" i="13" s="1"/>
  <c r="BK381" i="13"/>
  <c r="BU381" i="13" s="1"/>
  <c r="BK382" i="13"/>
  <c r="BS382" i="13" s="1"/>
  <c r="BK383" i="13"/>
  <c r="BK384" i="13"/>
  <c r="BM384" i="13" s="1"/>
  <c r="BK385" i="13"/>
  <c r="BY385" i="13" s="1"/>
  <c r="BK386" i="13"/>
  <c r="BW386" i="13" s="1"/>
  <c r="BK387" i="13"/>
  <c r="BQ387" i="13" s="1"/>
  <c r="BK388" i="13"/>
  <c r="BK389" i="13"/>
  <c r="BL389" i="13" s="1"/>
  <c r="BK390" i="13"/>
  <c r="BS390" i="13" s="1"/>
  <c r="BK391" i="13"/>
  <c r="BK392" i="13"/>
  <c r="BQ392" i="13" s="1"/>
  <c r="BK393" i="13"/>
  <c r="BP393" i="13" s="1"/>
  <c r="BK394" i="13"/>
  <c r="BM394" i="13" s="1"/>
  <c r="BK395" i="13"/>
  <c r="BK396" i="13"/>
  <c r="BT396" i="13" s="1"/>
  <c r="BK397" i="13"/>
  <c r="BM397" i="13" s="1"/>
  <c r="BK398" i="13"/>
  <c r="BS398" i="13" s="1"/>
  <c r="BK399" i="13"/>
  <c r="BQ399" i="13" s="1"/>
  <c r="BK400" i="13"/>
  <c r="BR400" i="13" s="1"/>
  <c r="BK401" i="13"/>
  <c r="BQ401" i="13" s="1"/>
  <c r="BK402" i="13"/>
  <c r="BW402" i="13" s="1"/>
  <c r="BK403" i="13"/>
  <c r="BQ403" i="13" s="1"/>
  <c r="BK404" i="13"/>
  <c r="BK405" i="13"/>
  <c r="BS405" i="13" s="1"/>
  <c r="BK406" i="13"/>
  <c r="BS406" i="13" s="1"/>
  <c r="BK407" i="13"/>
  <c r="BK408" i="13"/>
  <c r="BM408" i="13" s="1"/>
  <c r="BK409" i="13"/>
  <c r="CB409" i="13" s="1"/>
  <c r="BK410" i="13"/>
  <c r="BQ410" i="13" s="1"/>
  <c r="BK411" i="13"/>
  <c r="BK412" i="13"/>
  <c r="BQ412" i="13" s="1"/>
  <c r="BK413" i="13"/>
  <c r="BO413" i="13" s="1"/>
  <c r="C414" i="13"/>
  <c r="C415" i="13"/>
  <c r="C416" i="13"/>
  <c r="C417" i="13"/>
  <c r="C418" i="13"/>
  <c r="C419" i="13"/>
  <c r="C420" i="13"/>
  <c r="C421" i="13"/>
  <c r="C422" i="13"/>
  <c r="C423" i="13"/>
  <c r="C424" i="13"/>
  <c r="C425" i="13"/>
  <c r="C426" i="13"/>
  <c r="C427" i="13"/>
  <c r="C428" i="13"/>
  <c r="C429" i="13"/>
  <c r="C430" i="13"/>
  <c r="C431" i="13"/>
  <c r="C432" i="13"/>
  <c r="C433" i="13"/>
  <c r="C434" i="13"/>
  <c r="D414" i="13"/>
  <c r="D415" i="13"/>
  <c r="D416" i="13"/>
  <c r="D417" i="13"/>
  <c r="D418" i="13"/>
  <c r="D419" i="13"/>
  <c r="D420" i="13"/>
  <c r="D421" i="13"/>
  <c r="D422" i="13"/>
  <c r="D423" i="13"/>
  <c r="D424" i="13"/>
  <c r="D425" i="13"/>
  <c r="D426" i="13"/>
  <c r="D427" i="13"/>
  <c r="D428" i="13"/>
  <c r="D429" i="13"/>
  <c r="D430" i="13"/>
  <c r="D431" i="13"/>
  <c r="D432" i="13"/>
  <c r="D433" i="13"/>
  <c r="D434" i="13"/>
  <c r="E414" i="13"/>
  <c r="E415" i="13"/>
  <c r="E416" i="13"/>
  <c r="E417" i="13"/>
  <c r="E418" i="13"/>
  <c r="E419" i="13"/>
  <c r="E420" i="13"/>
  <c r="E421" i="13"/>
  <c r="E422" i="13"/>
  <c r="E423" i="13"/>
  <c r="E424" i="13"/>
  <c r="E425" i="13"/>
  <c r="E426" i="13"/>
  <c r="E427" i="13"/>
  <c r="E428" i="13"/>
  <c r="E429" i="13"/>
  <c r="E430" i="13"/>
  <c r="E431" i="13"/>
  <c r="E432" i="13"/>
  <c r="E433" i="13"/>
  <c r="E434" i="13"/>
  <c r="K414" i="13"/>
  <c r="K415" i="13"/>
  <c r="K416" i="13"/>
  <c r="K417" i="13"/>
  <c r="K418" i="13"/>
  <c r="K419" i="13"/>
  <c r="K420" i="13"/>
  <c r="K421" i="13"/>
  <c r="K422" i="13"/>
  <c r="K423" i="13"/>
  <c r="K424" i="13"/>
  <c r="K425" i="13"/>
  <c r="K426" i="13"/>
  <c r="K427" i="13"/>
  <c r="K428" i="13"/>
  <c r="K429" i="13"/>
  <c r="K430" i="13"/>
  <c r="K431" i="13"/>
  <c r="K432" i="13"/>
  <c r="K433" i="13"/>
  <c r="K434" i="13"/>
  <c r="R414" i="13"/>
  <c r="R415" i="13"/>
  <c r="R416" i="13"/>
  <c r="R417" i="13"/>
  <c r="R418" i="13"/>
  <c r="R419" i="13"/>
  <c r="R420" i="13"/>
  <c r="R421" i="13"/>
  <c r="R422" i="13"/>
  <c r="R423" i="13"/>
  <c r="R424" i="13"/>
  <c r="R425" i="13"/>
  <c r="R426" i="13"/>
  <c r="R427" i="13"/>
  <c r="R428" i="13"/>
  <c r="R429" i="13"/>
  <c r="R430" i="13"/>
  <c r="R431" i="13"/>
  <c r="R432" i="13"/>
  <c r="R433" i="13"/>
  <c r="R434" i="13"/>
  <c r="AP414" i="13"/>
  <c r="AV414" i="13" s="1"/>
  <c r="AP415" i="13"/>
  <c r="AQ415" i="13" s="1"/>
  <c r="AP416" i="13"/>
  <c r="AZ416" i="13" s="1"/>
  <c r="AP417" i="13"/>
  <c r="AS417" i="13" s="1"/>
  <c r="AP418" i="13"/>
  <c r="BD418" i="13" s="1"/>
  <c r="AP419" i="13"/>
  <c r="AQ419" i="13" s="1"/>
  <c r="AP420" i="13"/>
  <c r="AZ420" i="13" s="1"/>
  <c r="AP421" i="13"/>
  <c r="AS421" i="13" s="1"/>
  <c r="AP422" i="13"/>
  <c r="AU422" i="13" s="1"/>
  <c r="AP423" i="13"/>
  <c r="AQ423" i="13" s="1"/>
  <c r="AP424" i="13"/>
  <c r="AY424" i="13" s="1"/>
  <c r="AP425" i="13"/>
  <c r="AR425" i="13" s="1"/>
  <c r="AP426" i="13"/>
  <c r="AU426" i="13" s="1"/>
  <c r="AP427" i="13"/>
  <c r="AQ427" i="13" s="1"/>
  <c r="AP428" i="13"/>
  <c r="AZ428" i="13" s="1"/>
  <c r="AP429" i="13"/>
  <c r="AS429" i="13" s="1"/>
  <c r="AP430" i="13"/>
  <c r="AV430" i="13" s="1"/>
  <c r="AP431" i="13"/>
  <c r="AQ431" i="13" s="1"/>
  <c r="AP432" i="13"/>
  <c r="AZ432" i="13" s="1"/>
  <c r="AP433" i="13"/>
  <c r="AP434" i="13"/>
  <c r="BH434" i="13" s="1"/>
  <c r="BK414" i="13"/>
  <c r="BW414" i="13" s="1"/>
  <c r="BK415" i="13"/>
  <c r="BS415" i="13" s="1"/>
  <c r="BK416" i="13"/>
  <c r="BU416" i="13" s="1"/>
  <c r="BK417" i="13"/>
  <c r="BU417" i="13" s="1"/>
  <c r="BK418" i="13"/>
  <c r="BS418" i="13" s="1"/>
  <c r="BK419" i="13"/>
  <c r="BM419" i="13" s="1"/>
  <c r="BK420" i="13"/>
  <c r="BO420" i="13" s="1"/>
  <c r="BK421" i="13"/>
  <c r="CB421" i="13" s="1"/>
  <c r="BK422" i="13"/>
  <c r="BQ422" i="13" s="1"/>
  <c r="BK423" i="13"/>
  <c r="BM423" i="13" s="1"/>
  <c r="BK424" i="13"/>
  <c r="BQ424" i="13" s="1"/>
  <c r="BK425" i="13"/>
  <c r="BU425" i="13" s="1"/>
  <c r="BK426" i="13"/>
  <c r="BY426" i="13" s="1"/>
  <c r="BK427" i="13"/>
  <c r="BM427" i="13" s="1"/>
  <c r="BK428" i="13"/>
  <c r="BS428" i="13" s="1"/>
  <c r="BK429" i="13"/>
  <c r="BX429" i="13" s="1"/>
  <c r="BK430" i="13"/>
  <c r="BR430" i="13" s="1"/>
  <c r="BK431" i="13"/>
  <c r="BM431" i="13" s="1"/>
  <c r="BK432" i="13"/>
  <c r="BM432" i="13" s="1"/>
  <c r="BK433" i="13"/>
  <c r="BU433" i="13" s="1"/>
  <c r="BK434" i="13"/>
  <c r="BZ434" i="13" s="1"/>
  <c r="B4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P282" i="13"/>
  <c r="AZ282" i="13" s="1"/>
  <c r="AP283" i="13"/>
  <c r="AQ283" i="13" s="1"/>
  <c r="AP284" i="13"/>
  <c r="AX284" i="13" s="1"/>
  <c r="AP285" i="13"/>
  <c r="BE285" i="13" s="1"/>
  <c r="AP286" i="13"/>
  <c r="AP287" i="13"/>
  <c r="AV287" i="13" s="1"/>
  <c r="AP288" i="13"/>
  <c r="AV288" i="13" s="1"/>
  <c r="AP289" i="13"/>
  <c r="BD289" i="13" s="1"/>
  <c r="AP290" i="13"/>
  <c r="BH290" i="13" s="1"/>
  <c r="AP291" i="13"/>
  <c r="AQ291" i="13" s="1"/>
  <c r="AP292" i="13"/>
  <c r="BE292" i="13" s="1"/>
  <c r="AP293" i="13"/>
  <c r="AX293" i="13" s="1"/>
  <c r="AP294" i="13"/>
  <c r="AP295" i="13"/>
  <c r="AQ295" i="13" s="1"/>
  <c r="AP296" i="13"/>
  <c r="BG296" i="13" s="1"/>
  <c r="AP297" i="13"/>
  <c r="AR297" i="13" s="1"/>
  <c r="AP298" i="13"/>
  <c r="AQ298" i="13" s="1"/>
  <c r="AP299" i="13"/>
  <c r="AQ299" i="13" s="1"/>
  <c r="AP300" i="13"/>
  <c r="AX300" i="13" s="1"/>
  <c r="AP301" i="13"/>
  <c r="AQ301" i="13" s="1"/>
  <c r="AP302" i="13"/>
  <c r="AP303" i="13"/>
  <c r="AQ303" i="13" s="1"/>
  <c r="AP304" i="13"/>
  <c r="BF304" i="13" s="1"/>
  <c r="AP305" i="13"/>
  <c r="AS305" i="13" s="1"/>
  <c r="AP306" i="13"/>
  <c r="AS306" i="13" s="1"/>
  <c r="AP307" i="13"/>
  <c r="AU307" i="13" s="1"/>
  <c r="AP308" i="13"/>
  <c r="AY308" i="13" s="1"/>
  <c r="AP309" i="13"/>
  <c r="BF309" i="13" s="1"/>
  <c r="AP310" i="13"/>
  <c r="AP311" i="13"/>
  <c r="AR311" i="13" s="1"/>
  <c r="AP312" i="13"/>
  <c r="AP313" i="13"/>
  <c r="AW313" i="13" s="1"/>
  <c r="AP314" i="13"/>
  <c r="AP315" i="13"/>
  <c r="AX315" i="13" s="1"/>
  <c r="AP316" i="13"/>
  <c r="AR316" i="13" s="1"/>
  <c r="AP317" i="13"/>
  <c r="AX317" i="13" s="1"/>
  <c r="AP318" i="13"/>
  <c r="BI318" i="13" s="1"/>
  <c r="BK282" i="13"/>
  <c r="BY282" i="13" s="1"/>
  <c r="BK283" i="13"/>
  <c r="CB283" i="13" s="1"/>
  <c r="BK284" i="13"/>
  <c r="BN284" i="13" s="1"/>
  <c r="BK285" i="13"/>
  <c r="BK286" i="13"/>
  <c r="BK287" i="13"/>
  <c r="BK288" i="13"/>
  <c r="BV288" i="13" s="1"/>
  <c r="BK289" i="13"/>
  <c r="BK290" i="13"/>
  <c r="CC290" i="13" s="1"/>
  <c r="BK291" i="13"/>
  <c r="BU291" i="13" s="1"/>
  <c r="BK292" i="13"/>
  <c r="BK293" i="13"/>
  <c r="BN293" i="13" s="1"/>
  <c r="BK294" i="13"/>
  <c r="BN294" i="13" s="1"/>
  <c r="BK295" i="13"/>
  <c r="BK296" i="13"/>
  <c r="BM296" i="13" s="1"/>
  <c r="BK297" i="13"/>
  <c r="BV297" i="13" s="1"/>
  <c r="BK298" i="13"/>
  <c r="BQ298" i="13" s="1"/>
  <c r="BK299" i="13"/>
  <c r="BR299" i="13" s="1"/>
  <c r="BK300" i="13"/>
  <c r="BK301" i="13"/>
  <c r="BX301" i="13" s="1"/>
  <c r="BK302" i="13"/>
  <c r="CA302" i="13" s="1"/>
  <c r="BK303" i="13"/>
  <c r="CD303" i="13" s="1"/>
  <c r="BK304" i="13"/>
  <c r="BK305" i="13"/>
  <c r="BK306" i="13"/>
  <c r="BU306" i="13" s="1"/>
  <c r="BK307" i="13"/>
  <c r="BR307" i="13" s="1"/>
  <c r="BK308" i="13"/>
  <c r="BV308" i="13" s="1"/>
  <c r="BK309" i="13"/>
  <c r="CD309" i="13" s="1"/>
  <c r="BK310" i="13"/>
  <c r="BR310" i="13" s="1"/>
  <c r="BK311" i="13"/>
  <c r="BP311" i="13" s="1"/>
  <c r="BK312" i="13"/>
  <c r="BM312" i="13" s="1"/>
  <c r="BK313" i="13"/>
  <c r="BQ313" i="13" s="1"/>
  <c r="BK314" i="13"/>
  <c r="BQ314" i="13" s="1"/>
  <c r="BK315" i="13"/>
  <c r="BK316" i="13"/>
  <c r="BP316" i="13" s="1"/>
  <c r="BK317" i="13"/>
  <c r="BK318" i="13"/>
  <c r="BR318" i="13" s="1"/>
  <c r="C319" i="13"/>
  <c r="C320" i="13"/>
  <c r="C321" i="13"/>
  <c r="C322" i="13"/>
  <c r="C323" i="13"/>
  <c r="C324" i="13"/>
  <c r="C325" i="13"/>
  <c r="C326" i="13"/>
  <c r="C327" i="13"/>
  <c r="C328" i="13"/>
  <c r="C329" i="13"/>
  <c r="C330" i="13"/>
  <c r="C331" i="13"/>
  <c r="C332" i="13"/>
  <c r="C333" i="13"/>
  <c r="C334" i="13"/>
  <c r="C335" i="13"/>
  <c r="C435" i="13"/>
  <c r="C436" i="13"/>
  <c r="D319" i="13"/>
  <c r="D320" i="13"/>
  <c r="D321" i="13"/>
  <c r="D322" i="13"/>
  <c r="D323" i="13"/>
  <c r="D324" i="13"/>
  <c r="D325" i="13"/>
  <c r="D326" i="13"/>
  <c r="D327" i="13"/>
  <c r="D328" i="13"/>
  <c r="D329" i="13"/>
  <c r="D330" i="13"/>
  <c r="D331" i="13"/>
  <c r="D332" i="13"/>
  <c r="D333" i="13"/>
  <c r="D334" i="13"/>
  <c r="D335" i="13"/>
  <c r="D435" i="13"/>
  <c r="D436" i="13"/>
  <c r="E319" i="13"/>
  <c r="E320" i="13"/>
  <c r="E321" i="13"/>
  <c r="E322" i="13"/>
  <c r="E323" i="13"/>
  <c r="E324" i="13"/>
  <c r="E325" i="13"/>
  <c r="E326" i="13"/>
  <c r="E327" i="13"/>
  <c r="E328" i="13"/>
  <c r="E329" i="13"/>
  <c r="E330" i="13"/>
  <c r="E331" i="13"/>
  <c r="E332" i="13"/>
  <c r="E333" i="13"/>
  <c r="E334" i="13"/>
  <c r="E335" i="13"/>
  <c r="E435" i="13"/>
  <c r="E436" i="13"/>
  <c r="K319" i="13"/>
  <c r="K320" i="13"/>
  <c r="K321" i="13"/>
  <c r="K322" i="13"/>
  <c r="K323" i="13"/>
  <c r="K324" i="13"/>
  <c r="K325" i="13"/>
  <c r="K326" i="13"/>
  <c r="K327" i="13"/>
  <c r="K328" i="13"/>
  <c r="K329" i="13"/>
  <c r="K330" i="13"/>
  <c r="K331" i="13"/>
  <c r="K332" i="13"/>
  <c r="K333" i="13"/>
  <c r="K334" i="13"/>
  <c r="K335" i="13"/>
  <c r="K435" i="13"/>
  <c r="K436" i="13"/>
  <c r="R435" i="13"/>
  <c r="R436" i="13"/>
  <c r="AP319" i="13"/>
  <c r="AP320" i="13"/>
  <c r="AS320" i="13" s="1"/>
  <c r="AP321" i="13"/>
  <c r="AQ321" i="13" s="1"/>
  <c r="AP322" i="13"/>
  <c r="AS322" i="13" s="1"/>
  <c r="AP323" i="13"/>
  <c r="AP324" i="13"/>
  <c r="AS324" i="13" s="1"/>
  <c r="AP325" i="13"/>
  <c r="BE325" i="13" s="1"/>
  <c r="AP326" i="13"/>
  <c r="AQ326" i="13" s="1"/>
  <c r="AP327" i="13"/>
  <c r="AP328" i="13"/>
  <c r="AP329" i="13"/>
  <c r="AP330" i="13"/>
  <c r="AX330" i="13" s="1"/>
  <c r="AP331" i="13"/>
  <c r="AP332" i="13"/>
  <c r="BE332" i="13" s="1"/>
  <c r="AP333" i="13"/>
  <c r="AP334" i="13"/>
  <c r="AV334" i="13" s="1"/>
  <c r="AP335" i="13"/>
  <c r="AP435" i="13"/>
  <c r="BE435" i="13" s="1"/>
  <c r="AP436" i="13"/>
  <c r="AS436" i="13" s="1"/>
  <c r="BK319" i="13"/>
  <c r="BV319" i="13" s="1"/>
  <c r="BK320" i="13"/>
  <c r="BU320" i="13" s="1"/>
  <c r="BK321" i="13"/>
  <c r="CC321" i="13" s="1"/>
  <c r="BK322" i="13"/>
  <c r="BQ322" i="13" s="1"/>
  <c r="BK323" i="13"/>
  <c r="BR323" i="13" s="1"/>
  <c r="BK324" i="13"/>
  <c r="BO324" i="13" s="1"/>
  <c r="BK325" i="13"/>
  <c r="CB325" i="13" s="1"/>
  <c r="BK326" i="13"/>
  <c r="BP326" i="13" s="1"/>
  <c r="BK327" i="13"/>
  <c r="BO327" i="13" s="1"/>
  <c r="BK328" i="13"/>
  <c r="BU328" i="13" s="1"/>
  <c r="BK329" i="13"/>
  <c r="BR329" i="13" s="1"/>
  <c r="BK330" i="13"/>
  <c r="BK331" i="13"/>
  <c r="BK332" i="13"/>
  <c r="BZ332" i="13" s="1"/>
  <c r="BK333" i="13"/>
  <c r="BN333" i="13" s="1"/>
  <c r="BK334" i="13"/>
  <c r="BV334" i="13" s="1"/>
  <c r="BK335" i="13"/>
  <c r="CB335" i="13" s="1"/>
  <c r="BK435" i="13"/>
  <c r="BS435" i="13" s="1"/>
  <c r="BK436" i="13"/>
  <c r="BQ436" i="13" s="1"/>
  <c r="AP240" i="13"/>
  <c r="AR240" i="13" s="1"/>
  <c r="B210" i="13"/>
  <c r="C210" i="13"/>
  <c r="D210" i="13"/>
  <c r="E210" i="13"/>
  <c r="K210" i="13"/>
  <c r="AP210" i="13"/>
  <c r="BB210" i="13" s="1"/>
  <c r="BK210" i="13"/>
  <c r="BW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P215" i="13"/>
  <c r="AP216" i="13"/>
  <c r="AS216" i="13" s="1"/>
  <c r="AP217" i="13"/>
  <c r="AW217" i="13" s="1"/>
  <c r="AP218" i="13"/>
  <c r="AV218" i="13" s="1"/>
  <c r="AP219" i="13"/>
  <c r="AP220" i="13"/>
  <c r="AS220" i="13" s="1"/>
  <c r="AP221" i="13"/>
  <c r="BK215" i="13"/>
  <c r="BS215" i="13" s="1"/>
  <c r="BK216" i="13"/>
  <c r="CA216" i="13" s="1"/>
  <c r="BK217" i="13"/>
  <c r="BK218" i="13"/>
  <c r="BO218" i="13" s="1"/>
  <c r="BK219" i="13"/>
  <c r="BK220" i="13"/>
  <c r="BU220" i="13" s="1"/>
  <c r="BK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P207" i="13"/>
  <c r="AP208" i="13"/>
  <c r="BC208" i="13" s="1"/>
  <c r="AP209" i="13"/>
  <c r="BG209" i="13" s="1"/>
  <c r="AP211" i="13"/>
  <c r="BH211" i="13" s="1"/>
  <c r="AP212" i="13"/>
  <c r="AS212" i="13" s="1"/>
  <c r="AP213" i="13"/>
  <c r="AP214" i="13"/>
  <c r="AW214" i="13" s="1"/>
  <c r="BK207" i="13"/>
  <c r="BS207" i="13" s="1"/>
  <c r="BK208" i="13"/>
  <c r="CA208" i="13" s="1"/>
  <c r="BK209" i="13"/>
  <c r="BK211" i="13"/>
  <c r="BQ211" i="13" s="1"/>
  <c r="BK212" i="13"/>
  <c r="BS212" i="13" s="1"/>
  <c r="BK213" i="13"/>
  <c r="BV213" i="13" s="1"/>
  <c r="BK214" i="13"/>
  <c r="BW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P176" i="13"/>
  <c r="AQ176" i="13" s="1"/>
  <c r="AP177" i="13"/>
  <c r="AP178" i="13"/>
  <c r="BF178" i="13" s="1"/>
  <c r="AP179" i="13"/>
  <c r="AZ179" i="13" s="1"/>
  <c r="AP180" i="13"/>
  <c r="AW180" i="13" s="1"/>
  <c r="AP181" i="13"/>
  <c r="AP182" i="13"/>
  <c r="BC182" i="13" s="1"/>
  <c r="AP183" i="13"/>
  <c r="AP184" i="13"/>
  <c r="AP185" i="13"/>
  <c r="AR185" i="13" s="1"/>
  <c r="BK176" i="13"/>
  <c r="BQ176" i="13" s="1"/>
  <c r="BK177" i="13"/>
  <c r="BS177" i="13" s="1"/>
  <c r="BK178" i="13"/>
  <c r="BV178" i="13" s="1"/>
  <c r="BK179" i="13"/>
  <c r="BK180" i="13"/>
  <c r="BK181" i="13"/>
  <c r="BO181" i="13" s="1"/>
  <c r="BK182" i="13"/>
  <c r="BL182" i="13" s="1"/>
  <c r="BK183" i="13"/>
  <c r="BW183" i="13" s="1"/>
  <c r="BK184" i="13"/>
  <c r="BP184" i="13" s="1"/>
  <c r="BK185" i="13"/>
  <c r="BX185" i="13" s="1"/>
  <c r="C186" i="13"/>
  <c r="C187" i="13"/>
  <c r="C188" i="13"/>
  <c r="C189" i="13"/>
  <c r="C190" i="13"/>
  <c r="D186" i="13"/>
  <c r="D187" i="13"/>
  <c r="D188" i="13"/>
  <c r="D189" i="13"/>
  <c r="D190" i="13"/>
  <c r="E186" i="13"/>
  <c r="E187" i="13"/>
  <c r="E188" i="13"/>
  <c r="E189" i="13"/>
  <c r="E190" i="13"/>
  <c r="K186" i="13"/>
  <c r="K187" i="13"/>
  <c r="K188" i="13"/>
  <c r="K189" i="13"/>
  <c r="K190" i="13"/>
  <c r="AP186" i="13"/>
  <c r="AP187" i="13"/>
  <c r="AP188" i="13"/>
  <c r="AQ188" i="13" s="1"/>
  <c r="AP189" i="13"/>
  <c r="AT189" i="13" s="1"/>
  <c r="AP190" i="13"/>
  <c r="BK186" i="13"/>
  <c r="BR186" i="13" s="1"/>
  <c r="BK187" i="13"/>
  <c r="BW187" i="13" s="1"/>
  <c r="BK188" i="13"/>
  <c r="BK189" i="13"/>
  <c r="BR189" i="13" s="1"/>
  <c r="BK190" i="13"/>
  <c r="C191" i="13"/>
  <c r="C192" i="13"/>
  <c r="D191" i="13"/>
  <c r="D192" i="13"/>
  <c r="E191" i="13"/>
  <c r="E192" i="13"/>
  <c r="K191" i="13"/>
  <c r="K192" i="13"/>
  <c r="AP191" i="13"/>
  <c r="BC191" i="13" s="1"/>
  <c r="AP192" i="13"/>
  <c r="AQ192" i="13" s="1"/>
  <c r="BK191" i="13"/>
  <c r="BN191" i="13" s="1"/>
  <c r="BK192" i="13"/>
  <c r="CA192" i="13" s="1"/>
  <c r="B153" i="13"/>
  <c r="B152" i="13"/>
  <c r="B151" i="13"/>
  <c r="C152" i="13"/>
  <c r="D152" i="13"/>
  <c r="E152" i="13"/>
  <c r="K152" i="13"/>
  <c r="AP152" i="13"/>
  <c r="AR152" i="13" s="1"/>
  <c r="BK152" i="13"/>
  <c r="C151" i="13"/>
  <c r="D151" i="13"/>
  <c r="E151" i="13"/>
  <c r="K151" i="13"/>
  <c r="AP151" i="13"/>
  <c r="BK151" i="13"/>
  <c r="BM151" i="13" s="1"/>
  <c r="C153" i="13"/>
  <c r="D153" i="13"/>
  <c r="E153" i="13"/>
  <c r="K153" i="13"/>
  <c r="AP153" i="13"/>
  <c r="AS153" i="13" s="1"/>
  <c r="BK153" i="13"/>
  <c r="BN153" i="13" s="1"/>
  <c r="B164" i="13"/>
  <c r="C164" i="13"/>
  <c r="D164" i="13"/>
  <c r="E164" i="13"/>
  <c r="K164" i="13"/>
  <c r="AP164" i="13"/>
  <c r="AS164" i="13" s="1"/>
  <c r="BK164" i="13"/>
  <c r="BN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P156" i="13"/>
  <c r="AR156" i="13" s="1"/>
  <c r="AP157" i="13"/>
  <c r="AQ157" i="13" s="1"/>
  <c r="AP158" i="13"/>
  <c r="AS158" i="13" s="1"/>
  <c r="AP159" i="13"/>
  <c r="AS159" i="13" s="1"/>
  <c r="AP160" i="13"/>
  <c r="AR160" i="13" s="1"/>
  <c r="BK156" i="13"/>
  <c r="BM156" i="13" s="1"/>
  <c r="BK157" i="13"/>
  <c r="BL157" i="13" s="1"/>
  <c r="BK158" i="13"/>
  <c r="BM158" i="13" s="1"/>
  <c r="BK159" i="13"/>
  <c r="BN159" i="13" s="1"/>
  <c r="BK160" i="13"/>
  <c r="BM160" i="13" s="1"/>
  <c r="C155" i="13"/>
  <c r="C161" i="13"/>
  <c r="C162" i="13"/>
  <c r="D155" i="13"/>
  <c r="D161" i="13"/>
  <c r="D162" i="13"/>
  <c r="E155" i="13"/>
  <c r="E161" i="13"/>
  <c r="E162" i="13"/>
  <c r="K155" i="13"/>
  <c r="K161" i="13"/>
  <c r="K162" i="13"/>
  <c r="AP155" i="13"/>
  <c r="AQ155" i="13" s="1"/>
  <c r="AP161" i="13"/>
  <c r="AS161" i="13" s="1"/>
  <c r="AP162" i="13"/>
  <c r="AR162" i="13" s="1"/>
  <c r="BK155" i="13"/>
  <c r="BL155" i="13" s="1"/>
  <c r="BK161" i="13"/>
  <c r="BN161" i="13" s="1"/>
  <c r="BK162" i="13"/>
  <c r="BN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P139" i="13"/>
  <c r="BD139" i="13" s="1"/>
  <c r="AP140" i="13"/>
  <c r="BC140" i="13" s="1"/>
  <c r="AP141" i="13"/>
  <c r="AQ141" i="13" s="1"/>
  <c r="AP142" i="13"/>
  <c r="AQ142" i="13" s="1"/>
  <c r="AP143" i="13"/>
  <c r="AP144" i="13"/>
  <c r="AY144" i="13" s="1"/>
  <c r="AP145" i="13"/>
  <c r="AY145" i="13" s="1"/>
  <c r="AP146" i="13"/>
  <c r="AQ146" i="13" s="1"/>
  <c r="BK139" i="13"/>
  <c r="BN139" i="13" s="1"/>
  <c r="BK140" i="13"/>
  <c r="BS140" i="13" s="1"/>
  <c r="BK141" i="13"/>
  <c r="CB141" i="13" s="1"/>
  <c r="BK142" i="13"/>
  <c r="BQ142" i="13" s="1"/>
  <c r="BK143" i="13"/>
  <c r="BV143" i="13" s="1"/>
  <c r="BK144" i="13"/>
  <c r="BP144" i="13" s="1"/>
  <c r="BK145" i="13"/>
  <c r="BM145" i="13" s="1"/>
  <c r="BK146" i="13"/>
  <c r="BQ146" i="13" s="1"/>
  <c r="C147" i="13"/>
  <c r="C148" i="13"/>
  <c r="C149" i="13"/>
  <c r="C150" i="13"/>
  <c r="D147" i="13"/>
  <c r="D148" i="13"/>
  <c r="D149" i="13"/>
  <c r="D150" i="13"/>
  <c r="E147" i="13"/>
  <c r="E148" i="13"/>
  <c r="E149" i="13"/>
  <c r="E150" i="13"/>
  <c r="K147" i="13"/>
  <c r="K148" i="13"/>
  <c r="K149" i="13"/>
  <c r="K150" i="13"/>
  <c r="AP147" i="13"/>
  <c r="AR147" i="13" s="1"/>
  <c r="AP148" i="13"/>
  <c r="AP149" i="13"/>
  <c r="AS149" i="13" s="1"/>
  <c r="AP150" i="13"/>
  <c r="AR150" i="13" s="1"/>
  <c r="BK147" i="13"/>
  <c r="BM147" i="13" s="1"/>
  <c r="BK148" i="13"/>
  <c r="BY148" i="13" s="1"/>
  <c r="BK149" i="13"/>
  <c r="BM149" i="13" s="1"/>
  <c r="BK150" i="13"/>
  <c r="BL150" i="13" s="1"/>
  <c r="C154" i="13"/>
  <c r="C163" i="13"/>
  <c r="D154" i="13"/>
  <c r="D163" i="13"/>
  <c r="E154" i="13"/>
  <c r="E163" i="13"/>
  <c r="K154" i="13"/>
  <c r="K163" i="13"/>
  <c r="AP154" i="13"/>
  <c r="AQ154" i="13" s="1"/>
  <c r="AP163" i="13"/>
  <c r="AQ163" i="13" s="1"/>
  <c r="BK154" i="13"/>
  <c r="BL154" i="13" s="1"/>
  <c r="BK163" i="13"/>
  <c r="BM163" i="13" s="1"/>
  <c r="B127" i="13"/>
  <c r="B126" i="13"/>
  <c r="B128" i="13"/>
  <c r="B125" i="13"/>
  <c r="C125" i="13"/>
  <c r="D125" i="13"/>
  <c r="E125" i="13"/>
  <c r="K125" i="13"/>
  <c r="AP125" i="13"/>
  <c r="AR125" i="13" s="1"/>
  <c r="BK125" i="13"/>
  <c r="BM125" i="13" s="1"/>
  <c r="C126" i="13"/>
  <c r="D126" i="13"/>
  <c r="E126" i="13"/>
  <c r="K126" i="13"/>
  <c r="AP126" i="13"/>
  <c r="AR126" i="13" s="1"/>
  <c r="BK126" i="13"/>
  <c r="BM126" i="13" s="1"/>
  <c r="C127" i="13"/>
  <c r="D127" i="13"/>
  <c r="E127" i="13"/>
  <c r="K127" i="13"/>
  <c r="AP127" i="13"/>
  <c r="AR127" i="13" s="1"/>
  <c r="BK127" i="13"/>
  <c r="BN127" i="13" s="1"/>
  <c r="B124" i="13"/>
  <c r="B123" i="13"/>
  <c r="B122" i="13"/>
  <c r="B121" i="13"/>
  <c r="B120" i="13"/>
  <c r="C124" i="13"/>
  <c r="D124" i="13"/>
  <c r="E124" i="13"/>
  <c r="K124" i="13"/>
  <c r="AP124" i="13"/>
  <c r="AW124" i="13" s="1"/>
  <c r="BK124" i="13"/>
  <c r="BP124" i="13" s="1"/>
  <c r="C120" i="13"/>
  <c r="C121" i="13"/>
  <c r="D120" i="13"/>
  <c r="D121" i="13"/>
  <c r="E120" i="13"/>
  <c r="E121" i="13"/>
  <c r="K120" i="13"/>
  <c r="K121" i="13"/>
  <c r="AP120" i="13"/>
  <c r="AV120" i="13" s="1"/>
  <c r="AP121" i="13"/>
  <c r="AQ121" i="13" s="1"/>
  <c r="BK120" i="13"/>
  <c r="BM120" i="13" s="1"/>
  <c r="BK121" i="13"/>
  <c r="BQ121" i="13" s="1"/>
  <c r="C122" i="13"/>
  <c r="D122" i="13"/>
  <c r="E122" i="13"/>
  <c r="K122" i="13"/>
  <c r="AP122" i="13"/>
  <c r="BK122" i="13"/>
  <c r="BP122" i="13" s="1"/>
  <c r="C123" i="13"/>
  <c r="D123" i="13"/>
  <c r="E123" i="13"/>
  <c r="K123" i="13"/>
  <c r="AP123" i="13"/>
  <c r="AT123" i="13" s="1"/>
  <c r="BK123" i="13"/>
  <c r="BP123" i="13" s="1"/>
  <c r="B437"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P229" i="13"/>
  <c r="BI229" i="13" s="1"/>
  <c r="AP230" i="13"/>
  <c r="AS230" i="13" s="1"/>
  <c r="AP231" i="13"/>
  <c r="AY231" i="13" s="1"/>
  <c r="AP232" i="13"/>
  <c r="AR232" i="13" s="1"/>
  <c r="AP233" i="13"/>
  <c r="AT233" i="13" s="1"/>
  <c r="AP234" i="13"/>
  <c r="BH234" i="13" s="1"/>
  <c r="AP235" i="13"/>
  <c r="AT235" i="13" s="1"/>
  <c r="AP236" i="13"/>
  <c r="AP237" i="13"/>
  <c r="AZ237" i="13" s="1"/>
  <c r="AP238" i="13"/>
  <c r="BG238" i="13" s="1"/>
  <c r="AP239" i="13"/>
  <c r="AX239" i="13" s="1"/>
  <c r="AP241" i="13"/>
  <c r="BC241" i="13" s="1"/>
  <c r="AP242" i="13"/>
  <c r="BF242" i="13" s="1"/>
  <c r="AP243" i="13"/>
  <c r="BD243" i="13" s="1"/>
  <c r="AP244" i="13"/>
  <c r="BE244" i="13" s="1"/>
  <c r="AP245" i="13"/>
  <c r="BC245" i="13" s="1"/>
  <c r="AP246" i="13"/>
  <c r="BB246" i="13" s="1"/>
  <c r="AP247" i="13"/>
  <c r="BC247" i="13" s="1"/>
  <c r="AP248" i="13"/>
  <c r="BE248" i="13" s="1"/>
  <c r="AP249" i="13"/>
  <c r="BI249" i="13" s="1"/>
  <c r="AP250" i="13"/>
  <c r="AX250" i="13" s="1"/>
  <c r="AP251" i="13"/>
  <c r="BI251" i="13" s="1"/>
  <c r="AP252" i="13"/>
  <c r="AQ252" i="13" s="1"/>
  <c r="AP253" i="13"/>
  <c r="AT253" i="13" s="1"/>
  <c r="AP254" i="13"/>
  <c r="BE254" i="13" s="1"/>
  <c r="AP255" i="13"/>
  <c r="BA255" i="13" s="1"/>
  <c r="AP256" i="13"/>
  <c r="AU256" i="13" s="1"/>
  <c r="AP257" i="13"/>
  <c r="AQ257" i="13" s="1"/>
  <c r="AP258" i="13"/>
  <c r="AU258" i="13" s="1"/>
  <c r="AP259" i="13"/>
  <c r="AR259" i="13" s="1"/>
  <c r="AP260" i="13"/>
  <c r="BF260" i="13" s="1"/>
  <c r="AP261" i="13"/>
  <c r="BD261" i="13" s="1"/>
  <c r="AP262" i="13"/>
  <c r="AT262" i="13" s="1"/>
  <c r="AP263" i="13"/>
  <c r="AW263" i="13" s="1"/>
  <c r="AP264" i="13"/>
  <c r="BG264" i="13" s="1"/>
  <c r="BK229" i="13"/>
  <c r="BL229" i="13" s="1"/>
  <c r="BK230" i="13"/>
  <c r="BO230" i="13" s="1"/>
  <c r="BK231" i="13"/>
  <c r="BL231" i="13" s="1"/>
  <c r="BK232" i="13"/>
  <c r="CD232" i="13" s="1"/>
  <c r="BK233" i="13"/>
  <c r="BM233" i="13" s="1"/>
  <c r="BK234" i="13"/>
  <c r="CC234" i="13" s="1"/>
  <c r="BK235" i="13"/>
  <c r="BU235" i="13" s="1"/>
  <c r="BK236" i="13"/>
  <c r="CD236" i="13" s="1"/>
  <c r="BK237" i="13"/>
  <c r="BO237" i="13" s="1"/>
  <c r="BK238" i="13"/>
  <c r="BO238" i="13" s="1"/>
  <c r="BK239" i="13"/>
  <c r="BK240" i="13"/>
  <c r="BK241" i="13"/>
  <c r="BL241" i="13" s="1"/>
  <c r="BK242" i="13"/>
  <c r="CC242" i="13" s="1"/>
  <c r="BK243" i="13"/>
  <c r="BS243" i="13" s="1"/>
  <c r="BK244" i="13"/>
  <c r="BL244" i="13" s="1"/>
  <c r="BK245" i="13"/>
  <c r="BO245" i="13" s="1"/>
  <c r="BK246" i="13"/>
  <c r="BS246" i="13" s="1"/>
  <c r="BK247" i="13"/>
  <c r="BK248" i="13"/>
  <c r="BM248" i="13" s="1"/>
  <c r="BK249" i="13"/>
  <c r="BW249" i="13" s="1"/>
  <c r="BK250" i="13"/>
  <c r="BL250" i="13" s="1"/>
  <c r="BK251" i="13"/>
  <c r="BR251" i="13" s="1"/>
  <c r="BK252" i="13"/>
  <c r="BL252" i="13" s="1"/>
  <c r="BK253" i="13"/>
  <c r="BL253" i="13" s="1"/>
  <c r="BK254" i="13"/>
  <c r="BL254" i="13" s="1"/>
  <c r="BK255" i="13"/>
  <c r="BW255" i="13" s="1"/>
  <c r="BK256" i="13"/>
  <c r="BQ256" i="13" s="1"/>
  <c r="BK257" i="13"/>
  <c r="BL257" i="13" s="1"/>
  <c r="BK258" i="13"/>
  <c r="BK259" i="13"/>
  <c r="BM259" i="13" s="1"/>
  <c r="BK260" i="13"/>
  <c r="BL260" i="13" s="1"/>
  <c r="BK261" i="13"/>
  <c r="BO261" i="13" s="1"/>
  <c r="BK262" i="13"/>
  <c r="BQ262" i="13" s="1"/>
  <c r="BK263" i="13"/>
  <c r="BN263" i="13" s="1"/>
  <c r="BK264" i="13"/>
  <c r="BL264" i="13" s="1"/>
  <c r="C265" i="13"/>
  <c r="C266" i="13"/>
  <c r="C267" i="13"/>
  <c r="C268" i="13"/>
  <c r="C269" i="13"/>
  <c r="C270" i="13"/>
  <c r="C271" i="13"/>
  <c r="C272" i="13"/>
  <c r="C273" i="13"/>
  <c r="C274" i="13"/>
  <c r="C275" i="13"/>
  <c r="C276" i="13"/>
  <c r="C277" i="13"/>
  <c r="C278" i="13"/>
  <c r="C279" i="13"/>
  <c r="C280" i="13"/>
  <c r="C281" i="13"/>
  <c r="C437" i="13"/>
  <c r="D265" i="13"/>
  <c r="D266" i="13"/>
  <c r="D267" i="13"/>
  <c r="D268" i="13"/>
  <c r="D269" i="13"/>
  <c r="D270" i="13"/>
  <c r="D271" i="13"/>
  <c r="D272" i="13"/>
  <c r="D273" i="13"/>
  <c r="D274" i="13"/>
  <c r="D275" i="13"/>
  <c r="D276" i="13"/>
  <c r="D277" i="13"/>
  <c r="D278" i="13"/>
  <c r="D279" i="13"/>
  <c r="D280" i="13"/>
  <c r="D281" i="13"/>
  <c r="D437" i="13"/>
  <c r="E265" i="13"/>
  <c r="E266" i="13"/>
  <c r="E267" i="13"/>
  <c r="E268" i="13"/>
  <c r="E269" i="13"/>
  <c r="E270" i="13"/>
  <c r="E271" i="13"/>
  <c r="E272" i="13"/>
  <c r="E273" i="13"/>
  <c r="E274" i="13"/>
  <c r="E275" i="13"/>
  <c r="E276" i="13"/>
  <c r="E277" i="13"/>
  <c r="E278" i="13"/>
  <c r="E279" i="13"/>
  <c r="E280" i="13"/>
  <c r="E281" i="13"/>
  <c r="E437" i="13"/>
  <c r="K265" i="13"/>
  <c r="K266" i="13"/>
  <c r="K267" i="13"/>
  <c r="K268" i="13"/>
  <c r="K269" i="13"/>
  <c r="K270" i="13"/>
  <c r="K271" i="13"/>
  <c r="K272" i="13"/>
  <c r="K273" i="13"/>
  <c r="K274" i="13"/>
  <c r="K275" i="13"/>
  <c r="K276" i="13"/>
  <c r="K277" i="13"/>
  <c r="K278" i="13"/>
  <c r="K279" i="13"/>
  <c r="K280" i="13"/>
  <c r="K281" i="13"/>
  <c r="K437" i="13"/>
  <c r="R437" i="13"/>
  <c r="AP265" i="13"/>
  <c r="AP266" i="13"/>
  <c r="BH266" i="13" s="1"/>
  <c r="AP267" i="13"/>
  <c r="AY267" i="13" s="1"/>
  <c r="AP268" i="13"/>
  <c r="AR268" i="13" s="1"/>
  <c r="AP269" i="13"/>
  <c r="AY269" i="13" s="1"/>
  <c r="AP270" i="13"/>
  <c r="BB270" i="13" s="1"/>
  <c r="AP271" i="13"/>
  <c r="AT271" i="13" s="1"/>
  <c r="AP272" i="13"/>
  <c r="BC272" i="13" s="1"/>
  <c r="AP273" i="13"/>
  <c r="AX273" i="13" s="1"/>
  <c r="AP274" i="13"/>
  <c r="BF274" i="13" s="1"/>
  <c r="AP275" i="13"/>
  <c r="AT275" i="13" s="1"/>
  <c r="AP276" i="13"/>
  <c r="AR276" i="13" s="1"/>
  <c r="AP277" i="13"/>
  <c r="BC277" i="13" s="1"/>
  <c r="AP278" i="13"/>
  <c r="AQ278" i="13" s="1"/>
  <c r="AP279" i="13"/>
  <c r="BA279" i="13" s="1"/>
  <c r="AP280" i="13"/>
  <c r="AP281" i="13"/>
  <c r="AP437" i="13"/>
  <c r="BH437" i="13" s="1"/>
  <c r="BK265" i="13"/>
  <c r="BL265" i="13" s="1"/>
  <c r="BK266" i="13"/>
  <c r="BM266" i="13" s="1"/>
  <c r="BK267" i="13"/>
  <c r="BN267" i="13" s="1"/>
  <c r="BK268" i="13"/>
  <c r="BU268" i="13" s="1"/>
  <c r="BK269" i="13"/>
  <c r="BN269" i="13" s="1"/>
  <c r="BK270" i="13"/>
  <c r="BW270" i="13" s="1"/>
  <c r="BK271" i="13"/>
  <c r="BM271" i="13" s="1"/>
  <c r="BK272" i="13"/>
  <c r="BQ272" i="13" s="1"/>
  <c r="BK273" i="13"/>
  <c r="BQ273" i="13" s="1"/>
  <c r="BK274" i="13"/>
  <c r="BM274" i="13" s="1"/>
  <c r="BK275" i="13"/>
  <c r="BK276" i="13"/>
  <c r="BW276" i="13" s="1"/>
  <c r="BK277" i="13"/>
  <c r="BP277" i="13" s="1"/>
  <c r="BK278" i="13"/>
  <c r="CA278" i="13" s="1"/>
  <c r="BK279" i="13"/>
  <c r="BS279" i="13" s="1"/>
  <c r="BK280" i="13"/>
  <c r="BQ280" i="13" s="1"/>
  <c r="BK281" i="13"/>
  <c r="BO281" i="13" s="1"/>
  <c r="BK437" i="13"/>
  <c r="BP437" i="13" s="1"/>
  <c r="Y455" i="13" l="1"/>
  <c r="Z455" i="13" s="1"/>
  <c r="AB455" i="13"/>
  <c r="AC455" i="13" s="1"/>
  <c r="Y454" i="13"/>
  <c r="AB454" i="13"/>
  <c r="Y453" i="13"/>
  <c r="AB453" i="13"/>
  <c r="Y452" i="13"/>
  <c r="AB452" i="13"/>
  <c r="Y451" i="13"/>
  <c r="AB451" i="13"/>
  <c r="AC450" i="13"/>
  <c r="AB450" i="13"/>
  <c r="AC449" i="13"/>
  <c r="AB449" i="13"/>
  <c r="Y448" i="13"/>
  <c r="Z448" i="13" s="1"/>
  <c r="AB448" i="13"/>
  <c r="AC448" i="13" s="1"/>
  <c r="Y447" i="13"/>
  <c r="AB447" i="13"/>
  <c r="AC447" i="13" s="1"/>
  <c r="Y446" i="13"/>
  <c r="AB446" i="13"/>
  <c r="Y445" i="13"/>
  <c r="Z445" i="13" s="1"/>
  <c r="AB445" i="13"/>
  <c r="AC445" i="13" s="1"/>
  <c r="AB444" i="13"/>
  <c r="AC444" i="13" s="1"/>
  <c r="Y443" i="13"/>
  <c r="AB443" i="13"/>
  <c r="Y442" i="13"/>
  <c r="Z442" i="13" s="1"/>
  <c r="AB442" i="13"/>
  <c r="AC442" i="13" s="1"/>
  <c r="Y441" i="13"/>
  <c r="Z441" i="13" s="1"/>
  <c r="AB441" i="13"/>
  <c r="AC441" i="13" s="1"/>
  <c r="Y440" i="13"/>
  <c r="AB440" i="13"/>
  <c r="Y439" i="13"/>
  <c r="Z439" i="13" s="1"/>
  <c r="AB439" i="13"/>
  <c r="AC439" i="13" s="1"/>
  <c r="AB438" i="13"/>
  <c r="AC438" i="13" s="1"/>
  <c r="Y437" i="13"/>
  <c r="Z437" i="13" s="1"/>
  <c r="AB437" i="13"/>
  <c r="AC437" i="13" s="1"/>
  <c r="AB436" i="13"/>
  <c r="AC436" i="13" s="1"/>
  <c r="Y435" i="13"/>
  <c r="AB435" i="13"/>
  <c r="Y434" i="13"/>
  <c r="Z434" i="13" s="1"/>
  <c r="AB434" i="13"/>
  <c r="AC434" i="13" s="1"/>
  <c r="Y433" i="13"/>
  <c r="Z433" i="13" s="1"/>
  <c r="AB433" i="13"/>
  <c r="AC433" i="13" s="1"/>
  <c r="AB432" i="13"/>
  <c r="AC432" i="13" s="1"/>
  <c r="Y431" i="13"/>
  <c r="Z431" i="13" s="1"/>
  <c r="AB431" i="13"/>
  <c r="AC431" i="13" s="1"/>
  <c r="Y430" i="13"/>
  <c r="Z430" i="13" s="1"/>
  <c r="AB430" i="13"/>
  <c r="AC430" i="13" s="1"/>
  <c r="Y429" i="13"/>
  <c r="AB429" i="13"/>
  <c r="Y428" i="13"/>
  <c r="Z428" i="13" s="1"/>
  <c r="AB428" i="13"/>
  <c r="AC428" i="13" s="1"/>
  <c r="Y427" i="13"/>
  <c r="Z427" i="13" s="1"/>
  <c r="AB427" i="13"/>
  <c r="AC427" i="13" s="1"/>
  <c r="AB426" i="13"/>
  <c r="Y425" i="13"/>
  <c r="AB425" i="13"/>
  <c r="AB424" i="13"/>
  <c r="Y423" i="13"/>
  <c r="AB423" i="13"/>
  <c r="Y422" i="13"/>
  <c r="AB422" i="13"/>
  <c r="Y421" i="13"/>
  <c r="AB421" i="13"/>
  <c r="AB420" i="13"/>
  <c r="Y419" i="13"/>
  <c r="AB419" i="13"/>
  <c r="AB418" i="13"/>
  <c r="AB417" i="13"/>
  <c r="Y416" i="13"/>
  <c r="AB416" i="13"/>
  <c r="Y415" i="13"/>
  <c r="AB415" i="13"/>
  <c r="AB414" i="13"/>
  <c r="Y413" i="13"/>
  <c r="AB413" i="13"/>
  <c r="Y412" i="13"/>
  <c r="AB412" i="13"/>
  <c r="Y411" i="13"/>
  <c r="AB411" i="13"/>
  <c r="Y410" i="13"/>
  <c r="AB410" i="13"/>
  <c r="AB409" i="13"/>
  <c r="Y408" i="13"/>
  <c r="AB408" i="13"/>
  <c r="AB407" i="13"/>
  <c r="Y406" i="13"/>
  <c r="AB406" i="13"/>
  <c r="Y405" i="13"/>
  <c r="AB405" i="13"/>
  <c r="AB404" i="13"/>
  <c r="AC404" i="13"/>
  <c r="AB403" i="13"/>
  <c r="Y402" i="13"/>
  <c r="AB402" i="13"/>
  <c r="AB401" i="13"/>
  <c r="Y400" i="13"/>
  <c r="AB400" i="13"/>
  <c r="Y399" i="13"/>
  <c r="AB399" i="13"/>
  <c r="Y398" i="13"/>
  <c r="AB398" i="13"/>
  <c r="AB397" i="13"/>
  <c r="AB396" i="13"/>
  <c r="Y395" i="13"/>
  <c r="AB395" i="13"/>
  <c r="Y394" i="13"/>
  <c r="AB394" i="13"/>
  <c r="Y393" i="13"/>
  <c r="AB393" i="13"/>
  <c r="Y392" i="13"/>
  <c r="AB392" i="13"/>
  <c r="AB391" i="13"/>
  <c r="Y390" i="13"/>
  <c r="AB390" i="13"/>
  <c r="Y389" i="13"/>
  <c r="AB389" i="13"/>
  <c r="Y388" i="13"/>
  <c r="AB388" i="13"/>
  <c r="Y387" i="13"/>
  <c r="AB387" i="13"/>
  <c r="Y386" i="13"/>
  <c r="AB386" i="13"/>
  <c r="AB385" i="13"/>
  <c r="Y384" i="13"/>
  <c r="AB384" i="13"/>
  <c r="Y383" i="13"/>
  <c r="AB383" i="13"/>
  <c r="Y382" i="13"/>
  <c r="AB382" i="13"/>
  <c r="Y381" i="13"/>
  <c r="AB381" i="13"/>
  <c r="Y380" i="13"/>
  <c r="AB380" i="13"/>
  <c r="AB379" i="13"/>
  <c r="AB378" i="13"/>
  <c r="AC378" i="13"/>
  <c r="Y377" i="13"/>
  <c r="AB377" i="13"/>
  <c r="AC377" i="13"/>
  <c r="Y376" i="13"/>
  <c r="AB376" i="13"/>
  <c r="AC376" i="13"/>
  <c r="Y375" i="13"/>
  <c r="AB375" i="13"/>
  <c r="Y374" i="13"/>
  <c r="AB374" i="13"/>
  <c r="AB373" i="13"/>
  <c r="Y372" i="13"/>
  <c r="AB372" i="13"/>
  <c r="Y371" i="13"/>
  <c r="AB371" i="13"/>
  <c r="Y370" i="13"/>
  <c r="AB370" i="13"/>
  <c r="Y369" i="13"/>
  <c r="AB369" i="13"/>
  <c r="Y368" i="13"/>
  <c r="AB368" i="13"/>
  <c r="AB367" i="13"/>
  <c r="Y366" i="13"/>
  <c r="AB366" i="13"/>
  <c r="Y365" i="13"/>
  <c r="AB365" i="13"/>
  <c r="AB364" i="13"/>
  <c r="Y363" i="13"/>
  <c r="AB363" i="13"/>
  <c r="Y362" i="13"/>
  <c r="AB362" i="13"/>
  <c r="Y361" i="13"/>
  <c r="AB361" i="13"/>
  <c r="Y360" i="13"/>
  <c r="AB360" i="13"/>
  <c r="Y359" i="13"/>
  <c r="AB359" i="13"/>
  <c r="AB358" i="13"/>
  <c r="Y357" i="13"/>
  <c r="AB357" i="13"/>
  <c r="Y356" i="13"/>
  <c r="AB356" i="13"/>
  <c r="Y355" i="13"/>
  <c r="AB355" i="13"/>
  <c r="Y354" i="13"/>
  <c r="AB354" i="13"/>
  <c r="Y353" i="13"/>
  <c r="AB353" i="13"/>
  <c r="AB352" i="13"/>
  <c r="Y351" i="13"/>
  <c r="AB351" i="13"/>
  <c r="Y350" i="13"/>
  <c r="AB350" i="13"/>
  <c r="Y349" i="13"/>
  <c r="AB349" i="13"/>
  <c r="Y348" i="13"/>
  <c r="AB348" i="13"/>
  <c r="Y347" i="13"/>
  <c r="AB347" i="13"/>
  <c r="AB346" i="13"/>
  <c r="Y345" i="13"/>
  <c r="AB345" i="13"/>
  <c r="Y344" i="13"/>
  <c r="AB344" i="13"/>
  <c r="Y343" i="13"/>
  <c r="AB343" i="13"/>
  <c r="Y342" i="13"/>
  <c r="AB342" i="13"/>
  <c r="Y341" i="13"/>
  <c r="AB341" i="13"/>
  <c r="Y340" i="13"/>
  <c r="AB340" i="13"/>
  <c r="Y339" i="13"/>
  <c r="AB339" i="13"/>
  <c r="Y338" i="13"/>
  <c r="AB338" i="13"/>
  <c r="Y337" i="13"/>
  <c r="AB337" i="13"/>
  <c r="Y336" i="13"/>
  <c r="AB336" i="13"/>
  <c r="Y335" i="13"/>
  <c r="AB335" i="13"/>
  <c r="AB334" i="13"/>
  <c r="AB333" i="13"/>
  <c r="Y332" i="13"/>
  <c r="AB332" i="13"/>
  <c r="Y331" i="13"/>
  <c r="AB331" i="13"/>
  <c r="Y330" i="13"/>
  <c r="AB330" i="13"/>
  <c r="Y329" i="13"/>
  <c r="AB329" i="13"/>
  <c r="AB328" i="13"/>
  <c r="Y327" i="13"/>
  <c r="AB327" i="13"/>
  <c r="AB326" i="13"/>
  <c r="Y325" i="13"/>
  <c r="AB325" i="13"/>
  <c r="Y324" i="13"/>
  <c r="AB324" i="13"/>
  <c r="Y323" i="13"/>
  <c r="AB323" i="13"/>
  <c r="Y322" i="13"/>
  <c r="AB322" i="13"/>
  <c r="AB321" i="13"/>
  <c r="Y320" i="13"/>
  <c r="AB320" i="13"/>
  <c r="Y319" i="13"/>
  <c r="AB319" i="13"/>
  <c r="Y318" i="13"/>
  <c r="AB318" i="13"/>
  <c r="Y317" i="13"/>
  <c r="AB317" i="13"/>
  <c r="Y316" i="13"/>
  <c r="AB316" i="13"/>
  <c r="Y315" i="13"/>
  <c r="AB315" i="13"/>
  <c r="AB314" i="13"/>
  <c r="Y313" i="13"/>
  <c r="AB313" i="13"/>
  <c r="Y312" i="13"/>
  <c r="AB312" i="13"/>
  <c r="Y311" i="13"/>
  <c r="AB311" i="13"/>
  <c r="AB310" i="13"/>
  <c r="Y309" i="13"/>
  <c r="AB309" i="13"/>
  <c r="Y308" i="13"/>
  <c r="AB308" i="13"/>
  <c r="AB307" i="13"/>
  <c r="Y306" i="13"/>
  <c r="AB306" i="13"/>
  <c r="Y305" i="13"/>
  <c r="AB305" i="13"/>
  <c r="Y304" i="13"/>
  <c r="AB304" i="13"/>
  <c r="Y303" i="13"/>
  <c r="AB303" i="13"/>
  <c r="Y302" i="13"/>
  <c r="AB302" i="13"/>
  <c r="Y301" i="13"/>
  <c r="AB301" i="13"/>
  <c r="AB300" i="13"/>
  <c r="Y299" i="13"/>
  <c r="AB299" i="13"/>
  <c r="Y298" i="13"/>
  <c r="AB298" i="13"/>
  <c r="Y297" i="13"/>
  <c r="AB297" i="13"/>
  <c r="Y296" i="13"/>
  <c r="AB296" i="13"/>
  <c r="Y295" i="13"/>
  <c r="AB295" i="13"/>
  <c r="Y294" i="13"/>
  <c r="AB294" i="13"/>
  <c r="Y293" i="13"/>
  <c r="AB293" i="13"/>
  <c r="AB292" i="13"/>
  <c r="Y291" i="13"/>
  <c r="AB291" i="13"/>
  <c r="Y290" i="13"/>
  <c r="AB290" i="13"/>
  <c r="Y289" i="13"/>
  <c r="AB289" i="13"/>
  <c r="Y288" i="13"/>
  <c r="AB288" i="13"/>
  <c r="Y287" i="13"/>
  <c r="AB287" i="13"/>
  <c r="AB286" i="13"/>
  <c r="AB285" i="13"/>
  <c r="Y284" i="13"/>
  <c r="AB284" i="13"/>
  <c r="Y283" i="13"/>
  <c r="AB283" i="13"/>
  <c r="Y282" i="13"/>
  <c r="AB282" i="13"/>
  <c r="Y281" i="13"/>
  <c r="AB281" i="13"/>
  <c r="AB280" i="13"/>
  <c r="Y279" i="13"/>
  <c r="AB279" i="13"/>
  <c r="Y278" i="13"/>
  <c r="AB278" i="13"/>
  <c r="Y277" i="13"/>
  <c r="AB277" i="13"/>
  <c r="Y276" i="13"/>
  <c r="AB276" i="13"/>
  <c r="Y275" i="13"/>
  <c r="AB275" i="13"/>
  <c r="Y274" i="13"/>
  <c r="AB274" i="13"/>
  <c r="Y273" i="13"/>
  <c r="AB273" i="13"/>
  <c r="Y272" i="13"/>
  <c r="AB272" i="13"/>
  <c r="Y271" i="13"/>
  <c r="AB271" i="13"/>
  <c r="AB270" i="13"/>
  <c r="AB269" i="13"/>
  <c r="Y268" i="13"/>
  <c r="AB268" i="13"/>
  <c r="Y267" i="13"/>
  <c r="AB267" i="13"/>
  <c r="Y266" i="13"/>
  <c r="AB266" i="13"/>
  <c r="Y265" i="13"/>
  <c r="AB265" i="13"/>
  <c r="AB264" i="13"/>
  <c r="Y263" i="13"/>
  <c r="AB263" i="13"/>
  <c r="Y262" i="13"/>
  <c r="AB262" i="13"/>
  <c r="Y261" i="13"/>
  <c r="AB261" i="13"/>
  <c r="Y260" i="13"/>
  <c r="AB260" i="13"/>
  <c r="AB259" i="13"/>
  <c r="Y258" i="13"/>
  <c r="AB258" i="13"/>
  <c r="Y257" i="13"/>
  <c r="AB257" i="13"/>
  <c r="Y256" i="13"/>
  <c r="AB256" i="13"/>
  <c r="Y255" i="13"/>
  <c r="AB255" i="13"/>
  <c r="AB254" i="13"/>
  <c r="Y253" i="13"/>
  <c r="AB253" i="13"/>
  <c r="Y252" i="13"/>
  <c r="AB252" i="13"/>
  <c r="Y251" i="13"/>
  <c r="AB251" i="13"/>
  <c r="Y250" i="13"/>
  <c r="AB250" i="13"/>
  <c r="Y249" i="13"/>
  <c r="AB249" i="13"/>
  <c r="AB248" i="13"/>
  <c r="AB247" i="13"/>
  <c r="AB246" i="13"/>
  <c r="Y245" i="13"/>
  <c r="AB245" i="13"/>
  <c r="Y244" i="13"/>
  <c r="AB244" i="13"/>
  <c r="Y243" i="13"/>
  <c r="AB243" i="13"/>
  <c r="AB242" i="13"/>
  <c r="Y241" i="13"/>
  <c r="AB241" i="13"/>
  <c r="AB240" i="13"/>
  <c r="AB239" i="13"/>
  <c r="Y238" i="13"/>
  <c r="AB238" i="13"/>
  <c r="Y237" i="13"/>
  <c r="AB237" i="13"/>
  <c r="AB236" i="13"/>
  <c r="Y235" i="13"/>
  <c r="AB235" i="13"/>
  <c r="Y234" i="13"/>
  <c r="AB234" i="13"/>
  <c r="Y233" i="13"/>
  <c r="AB233" i="13"/>
  <c r="Y232" i="13"/>
  <c r="AB232" i="13"/>
  <c r="Y231" i="13"/>
  <c r="AB231" i="13"/>
  <c r="Y230" i="13"/>
  <c r="AB230" i="13"/>
  <c r="AB229" i="13"/>
  <c r="Y228" i="13"/>
  <c r="AB228" i="13"/>
  <c r="Y227" i="13"/>
  <c r="AB227" i="13"/>
  <c r="Y226" i="13"/>
  <c r="AB226" i="13"/>
  <c r="AB225" i="13"/>
  <c r="Y224" i="13"/>
  <c r="AB224" i="13"/>
  <c r="Y223" i="13"/>
  <c r="AB223" i="13"/>
  <c r="AB222" i="13"/>
  <c r="AB221" i="13"/>
  <c r="Y220" i="13"/>
  <c r="AB220" i="13"/>
  <c r="Y219" i="13"/>
  <c r="AB219" i="13"/>
  <c r="AB218" i="13"/>
  <c r="Y217" i="13"/>
  <c r="AB217" i="13"/>
  <c r="Y216" i="13"/>
  <c r="AB216" i="13"/>
  <c r="Y215" i="13"/>
  <c r="AB215" i="13"/>
  <c r="Y214" i="13"/>
  <c r="AB214" i="13"/>
  <c r="Y213" i="13"/>
  <c r="AB213" i="13"/>
  <c r="AB212" i="13"/>
  <c r="AB211" i="13"/>
  <c r="Y210" i="13"/>
  <c r="AB210" i="13"/>
  <c r="Y209" i="13"/>
  <c r="AB209" i="13"/>
  <c r="Y208" i="13"/>
  <c r="AB208" i="13"/>
  <c r="AB207" i="13"/>
  <c r="Y206" i="13"/>
  <c r="AB206" i="13"/>
  <c r="Y205" i="13"/>
  <c r="AB205" i="13"/>
  <c r="AB204" i="13"/>
  <c r="AB203" i="13"/>
  <c r="Y202" i="13"/>
  <c r="AB202" i="13"/>
  <c r="Y201" i="13"/>
  <c r="AB201" i="13"/>
  <c r="AB200" i="13"/>
  <c r="Y199" i="13"/>
  <c r="AB199" i="13"/>
  <c r="Y198" i="13"/>
  <c r="AB198" i="13"/>
  <c r="Y197" i="13"/>
  <c r="AB197" i="13"/>
  <c r="Y196" i="13"/>
  <c r="AB196" i="13"/>
  <c r="Y195" i="13"/>
  <c r="AB195" i="13"/>
  <c r="AB194" i="13"/>
  <c r="Y193" i="13"/>
  <c r="AB193" i="13"/>
  <c r="Y192" i="13"/>
  <c r="AB192" i="13"/>
  <c r="Y191" i="13"/>
  <c r="AB191" i="13"/>
  <c r="Y190" i="13"/>
  <c r="AB190" i="13"/>
  <c r="Y189" i="13"/>
  <c r="AB189" i="13"/>
  <c r="AB188" i="13"/>
  <c r="Y187" i="13"/>
  <c r="AB187" i="13"/>
  <c r="Y186" i="13"/>
  <c r="AB186" i="13"/>
  <c r="Y185" i="13"/>
  <c r="AB185" i="13"/>
  <c r="Y184" i="13"/>
  <c r="AB184" i="13"/>
  <c r="Y183" i="13"/>
  <c r="AB183" i="13"/>
  <c r="AB182" i="13"/>
  <c r="Y181" i="13"/>
  <c r="AB181" i="13"/>
  <c r="Y180" i="13"/>
  <c r="AB180" i="13"/>
  <c r="AB179" i="13"/>
  <c r="Y178" i="13"/>
  <c r="AB178" i="13"/>
  <c r="Y177" i="13"/>
  <c r="AB177" i="13"/>
  <c r="AB176" i="13"/>
  <c r="Y175" i="13"/>
  <c r="AB175" i="13"/>
  <c r="Y174" i="13"/>
  <c r="AB174" i="13"/>
  <c r="Y173" i="13"/>
  <c r="AB173" i="13"/>
  <c r="Y172" i="13"/>
  <c r="AB172" i="13"/>
  <c r="Y171" i="13"/>
  <c r="AB171" i="13"/>
  <c r="Y170" i="13"/>
  <c r="AB170" i="13"/>
  <c r="AB169" i="13"/>
  <c r="Y168" i="13"/>
  <c r="AB168" i="13"/>
  <c r="Y167" i="13"/>
  <c r="AB167" i="13"/>
  <c r="Y166" i="13"/>
  <c r="AB166" i="13"/>
  <c r="Y165" i="13"/>
  <c r="AB165" i="13"/>
  <c r="Y164" i="13"/>
  <c r="AB164" i="13"/>
  <c r="Y163" i="13"/>
  <c r="AB163" i="13"/>
  <c r="Y162" i="13"/>
  <c r="AB162" i="13"/>
  <c r="Y161" i="13"/>
  <c r="AB161" i="13"/>
  <c r="Y160" i="13"/>
  <c r="AB160" i="13"/>
  <c r="Y159" i="13"/>
  <c r="AB159" i="13"/>
  <c r="AB158" i="13"/>
  <c r="Y157" i="13"/>
  <c r="AB157" i="13"/>
  <c r="Y156" i="13"/>
  <c r="AB156" i="13"/>
  <c r="Y155" i="13"/>
  <c r="AC155" i="13"/>
  <c r="AB155" i="13"/>
  <c r="Y154" i="13"/>
  <c r="AB154" i="13"/>
  <c r="Y153" i="13"/>
  <c r="AB153" i="13"/>
  <c r="AB152" i="13"/>
  <c r="Y151" i="13"/>
  <c r="AB151" i="13"/>
  <c r="Y150" i="13"/>
  <c r="AB150" i="13"/>
  <c r="Y149" i="13"/>
  <c r="AB149" i="13"/>
  <c r="Y148" i="13"/>
  <c r="AB148" i="13"/>
  <c r="Y147" i="13"/>
  <c r="AB147" i="13"/>
  <c r="AB146" i="13"/>
  <c r="Y145" i="13"/>
  <c r="AB145" i="13"/>
  <c r="Y144" i="13"/>
  <c r="AB144" i="13"/>
  <c r="Y143" i="13"/>
  <c r="AB143" i="13"/>
  <c r="Y142" i="13"/>
  <c r="AB142" i="13"/>
  <c r="Y141" i="13"/>
  <c r="AB141" i="13"/>
  <c r="AB140" i="13"/>
  <c r="Y139" i="13"/>
  <c r="AB139" i="13"/>
  <c r="Y138" i="13"/>
  <c r="AB138" i="13"/>
  <c r="Y137" i="13"/>
  <c r="AB137" i="13"/>
  <c r="Y136" i="13"/>
  <c r="AB136" i="13"/>
  <c r="Y135" i="13"/>
  <c r="AB135" i="13"/>
  <c r="AB134" i="13"/>
  <c r="Y133" i="13"/>
  <c r="AB133" i="13"/>
  <c r="Y132" i="13"/>
  <c r="AB132" i="13"/>
  <c r="Y131" i="13"/>
  <c r="AB131" i="13"/>
  <c r="Y130" i="13"/>
  <c r="AB130" i="13"/>
  <c r="Y129" i="13"/>
  <c r="AB129" i="13"/>
  <c r="AB128" i="13"/>
  <c r="Y127" i="13"/>
  <c r="AB127" i="13"/>
  <c r="Y126" i="13"/>
  <c r="AB126" i="13"/>
  <c r="Y125" i="13"/>
  <c r="AB125" i="13"/>
  <c r="Y124" i="13"/>
  <c r="AB124" i="13"/>
  <c r="Y123" i="13"/>
  <c r="AB123" i="13"/>
  <c r="AB122" i="13"/>
  <c r="Y121" i="13"/>
  <c r="AB121" i="13"/>
  <c r="Y120" i="13"/>
  <c r="AB120" i="13"/>
  <c r="Y119" i="13"/>
  <c r="AB119" i="13"/>
  <c r="Y118" i="13"/>
  <c r="AB118" i="13"/>
  <c r="Y117" i="13"/>
  <c r="AB117" i="13"/>
  <c r="AB116" i="13"/>
  <c r="Y115" i="13"/>
  <c r="AB115" i="13"/>
  <c r="Y114" i="13"/>
  <c r="AB114" i="13"/>
  <c r="Y113" i="13"/>
  <c r="AB113" i="13"/>
  <c r="Y112" i="13"/>
  <c r="AB112" i="13"/>
  <c r="Y111" i="13"/>
  <c r="AB111" i="13"/>
  <c r="AB110" i="13"/>
  <c r="Y109" i="13"/>
  <c r="AB109" i="13"/>
  <c r="Y108" i="13"/>
  <c r="AB108" i="13"/>
  <c r="Y107" i="13"/>
  <c r="AB107" i="13"/>
  <c r="Y106" i="13"/>
  <c r="AB106" i="13"/>
  <c r="Y105" i="13"/>
  <c r="AB105" i="13"/>
  <c r="AB104" i="13"/>
  <c r="Y103" i="13"/>
  <c r="AB103" i="13"/>
  <c r="Y102" i="13"/>
  <c r="AB102" i="13"/>
  <c r="Y101" i="13"/>
  <c r="AB101" i="13"/>
  <c r="Y100" i="13"/>
  <c r="AB100" i="13"/>
  <c r="Y99" i="13"/>
  <c r="AB99" i="13"/>
  <c r="AB98" i="13"/>
  <c r="Y97" i="13"/>
  <c r="AB97" i="13"/>
  <c r="Y96" i="13"/>
  <c r="AB96" i="13"/>
  <c r="Y95" i="13"/>
  <c r="AB95" i="13"/>
  <c r="Y94" i="13"/>
  <c r="AB94" i="13"/>
  <c r="Y93" i="13"/>
  <c r="AB93" i="13"/>
  <c r="AB92" i="13"/>
  <c r="Y91" i="13"/>
  <c r="AB91" i="13"/>
  <c r="Y90" i="13"/>
  <c r="AB90" i="13"/>
  <c r="Y89" i="13"/>
  <c r="AB89" i="13"/>
  <c r="Y88" i="13"/>
  <c r="AB88" i="13"/>
  <c r="Y87" i="13"/>
  <c r="AB87" i="13"/>
  <c r="AC86" i="13"/>
  <c r="AB86" i="13"/>
  <c r="Y85" i="13"/>
  <c r="AB85" i="13"/>
  <c r="Y84" i="13"/>
  <c r="AB84" i="13"/>
  <c r="Y83" i="13"/>
  <c r="AB83" i="13"/>
  <c r="Y82" i="13"/>
  <c r="AB82" i="13"/>
  <c r="Y81" i="13"/>
  <c r="AB81" i="13"/>
  <c r="AB80" i="13"/>
  <c r="Y79" i="13"/>
  <c r="AB79" i="13"/>
  <c r="Y78" i="13"/>
  <c r="AC78" i="13"/>
  <c r="AB78" i="13"/>
  <c r="Y77" i="13"/>
  <c r="AB77" i="13"/>
  <c r="Y76" i="13"/>
  <c r="AC76" i="13"/>
  <c r="AB76" i="13"/>
  <c r="Y75" i="13"/>
  <c r="AC75" i="13"/>
  <c r="AB75" i="13"/>
  <c r="AB74" i="13"/>
  <c r="Y73" i="13"/>
  <c r="AB73" i="13"/>
  <c r="Y72" i="13"/>
  <c r="AB72" i="13"/>
  <c r="Y71" i="13"/>
  <c r="AB71" i="13"/>
  <c r="Y70" i="13"/>
  <c r="AB70" i="13"/>
  <c r="Y69" i="13"/>
  <c r="AB69" i="13"/>
  <c r="AB68" i="13"/>
  <c r="Y67" i="13"/>
  <c r="AC67" i="13"/>
  <c r="AB67" i="13"/>
  <c r="Y66" i="13"/>
  <c r="AB66" i="13"/>
  <c r="AC66" i="13"/>
  <c r="Y65" i="13"/>
  <c r="AB65" i="13"/>
  <c r="Y64" i="13"/>
  <c r="AC64" i="13"/>
  <c r="AB64" i="13"/>
  <c r="Y63" i="13"/>
  <c r="AB63" i="13"/>
  <c r="Y62" i="13"/>
  <c r="AB62" i="13"/>
  <c r="Y61" i="13"/>
  <c r="AB61" i="13"/>
  <c r="Y60" i="13"/>
  <c r="AB60" i="13"/>
  <c r="Y59" i="13"/>
  <c r="AB59" i="13"/>
  <c r="Y58" i="13"/>
  <c r="AB58" i="13"/>
  <c r="Y57" i="13"/>
  <c r="AB57" i="13"/>
  <c r="Y56" i="13"/>
  <c r="AB56" i="13"/>
  <c r="Y55" i="13"/>
  <c r="AB55" i="13"/>
  <c r="Y54" i="13"/>
  <c r="AB54" i="13"/>
  <c r="Y53" i="13"/>
  <c r="AB53" i="13"/>
  <c r="Y52" i="13"/>
  <c r="AB52" i="13"/>
  <c r="Y51" i="13"/>
  <c r="AB51" i="13"/>
  <c r="Y50" i="13"/>
  <c r="AB50" i="13"/>
  <c r="Y49" i="13"/>
  <c r="AB49" i="13"/>
  <c r="Y48" i="13"/>
  <c r="AB48" i="13"/>
  <c r="Y47" i="13"/>
  <c r="AB47" i="13"/>
  <c r="Y46" i="13"/>
  <c r="AB46" i="13"/>
  <c r="Y45" i="13"/>
  <c r="AB45" i="13"/>
  <c r="Y44" i="13"/>
  <c r="AB44" i="13"/>
  <c r="Y43" i="13"/>
  <c r="AB43" i="13"/>
  <c r="Y42" i="13"/>
  <c r="AB42" i="13"/>
  <c r="Y41" i="13"/>
  <c r="AB41" i="13"/>
  <c r="Y40" i="13"/>
  <c r="AB40" i="13"/>
  <c r="Y39" i="13"/>
  <c r="AB39" i="13"/>
  <c r="Y38" i="13"/>
  <c r="AB38" i="13"/>
  <c r="Y37" i="13"/>
  <c r="AB37" i="13"/>
  <c r="Y36" i="13"/>
  <c r="AB36" i="13"/>
  <c r="Y35" i="13"/>
  <c r="AB35" i="13"/>
  <c r="Y34" i="13"/>
  <c r="AB34" i="13"/>
  <c r="Y33" i="13"/>
  <c r="AB33" i="13"/>
  <c r="Y32" i="13"/>
  <c r="AB32" i="13"/>
  <c r="Y31" i="13"/>
  <c r="AB31" i="13"/>
  <c r="Y30" i="13"/>
  <c r="AB30" i="13"/>
  <c r="Y29" i="13"/>
  <c r="AB29" i="13"/>
  <c r="Y28" i="13"/>
  <c r="AB28" i="13"/>
  <c r="Y27" i="13"/>
  <c r="AB27" i="13"/>
  <c r="Y26" i="13"/>
  <c r="AB26" i="13"/>
  <c r="Y25" i="13"/>
  <c r="AB25" i="13"/>
  <c r="Y24" i="13"/>
  <c r="AB24" i="13"/>
  <c r="Y23" i="13"/>
  <c r="AB23" i="13"/>
  <c r="Y22" i="13"/>
  <c r="AB22" i="13"/>
  <c r="Y21" i="13"/>
  <c r="AB21" i="13"/>
  <c r="Y20" i="13"/>
  <c r="AB20" i="13"/>
  <c r="Y19" i="13"/>
  <c r="AB19" i="13"/>
  <c r="Y18" i="13"/>
  <c r="AB18" i="13"/>
  <c r="Y17" i="13"/>
  <c r="AB17" i="13"/>
  <c r="Y16" i="13"/>
  <c r="AB16" i="13"/>
  <c r="Y15" i="13"/>
  <c r="AB15" i="13"/>
  <c r="Y14" i="13"/>
  <c r="AB14" i="13"/>
  <c r="Y13" i="13"/>
  <c r="AB13" i="13"/>
  <c r="Y12" i="13"/>
  <c r="AB12" i="13"/>
  <c r="Y11" i="13"/>
  <c r="AB11" i="13"/>
  <c r="Y10" i="13"/>
  <c r="AB10" i="13"/>
  <c r="Y9" i="13"/>
  <c r="AB9" i="13"/>
  <c r="Y8" i="13"/>
  <c r="AB8" i="13"/>
  <c r="Y7" i="13"/>
  <c r="AB7" i="13"/>
  <c r="Y6" i="13"/>
  <c r="AB6" i="13"/>
  <c r="Y450" i="13"/>
  <c r="Z450" i="13"/>
  <c r="Z449" i="13"/>
  <c r="Y449" i="13"/>
  <c r="Y444" i="13"/>
  <c r="Y438" i="13"/>
  <c r="Y436" i="13"/>
  <c r="Y432" i="13"/>
  <c r="Y426" i="13"/>
  <c r="Y424" i="13"/>
  <c r="Y420" i="13"/>
  <c r="Y418" i="13"/>
  <c r="Y417" i="13"/>
  <c r="Y414" i="13"/>
  <c r="Y409" i="13"/>
  <c r="Y407" i="13"/>
  <c r="Y404" i="13"/>
  <c r="Z404" i="13"/>
  <c r="Y403" i="13"/>
  <c r="Y401" i="13"/>
  <c r="Y397" i="13"/>
  <c r="Y396" i="13"/>
  <c r="Y391" i="13"/>
  <c r="Y385" i="13"/>
  <c r="Y379" i="13"/>
  <c r="Y378" i="13"/>
  <c r="Y373" i="13"/>
  <c r="Y367" i="13"/>
  <c r="Y364" i="13"/>
  <c r="Y358" i="13"/>
  <c r="Y352" i="13"/>
  <c r="Y346" i="13"/>
  <c r="Y334" i="13"/>
  <c r="Y333" i="13"/>
  <c r="Y328" i="13"/>
  <c r="Y326" i="13"/>
  <c r="Y321" i="13"/>
  <c r="Y314" i="13"/>
  <c r="Y310" i="13"/>
  <c r="Y307" i="13"/>
  <c r="Y300" i="13"/>
  <c r="Y292" i="13"/>
  <c r="Y286" i="13"/>
  <c r="Y285" i="13"/>
  <c r="Y280" i="13"/>
  <c r="Y270" i="13"/>
  <c r="Y269" i="13"/>
  <c r="Y264" i="13"/>
  <c r="Y259" i="13"/>
  <c r="Y254" i="13"/>
  <c r="Y248" i="13"/>
  <c r="Y247" i="13"/>
  <c r="Y246" i="13"/>
  <c r="Y242" i="13"/>
  <c r="Y240" i="13"/>
  <c r="Y239" i="13"/>
  <c r="Y236" i="13"/>
  <c r="Y229" i="13"/>
  <c r="Y225" i="13"/>
  <c r="Y222" i="13"/>
  <c r="Y221" i="13"/>
  <c r="Y218" i="13"/>
  <c r="Y212" i="13"/>
  <c r="Y211" i="13"/>
  <c r="Y207" i="13"/>
  <c r="Y204" i="13"/>
  <c r="Y203" i="13"/>
  <c r="Y200" i="13"/>
  <c r="Y194" i="13"/>
  <c r="Y188" i="13"/>
  <c r="Y182" i="13"/>
  <c r="Y179" i="13"/>
  <c r="Y176" i="13"/>
  <c r="Y169" i="13"/>
  <c r="Y158" i="13"/>
  <c r="Y152" i="13"/>
  <c r="Y146" i="13"/>
  <c r="Y140" i="13"/>
  <c r="Y134" i="13"/>
  <c r="Y128" i="13"/>
  <c r="Y122" i="13"/>
  <c r="Y116" i="13"/>
  <c r="Y110" i="13"/>
  <c r="Y104" i="13"/>
  <c r="Y98" i="13"/>
  <c r="Y92" i="13"/>
  <c r="Y86" i="13"/>
  <c r="Y80" i="13"/>
  <c r="Y74" i="13"/>
  <c r="Y68" i="13"/>
  <c r="F25" i="19"/>
  <c r="F26" i="19"/>
  <c r="B30" i="22"/>
  <c r="B27" i="22"/>
  <c r="B28" i="22"/>
  <c r="B29" i="22"/>
  <c r="B32" i="22"/>
  <c r="B31" i="22"/>
  <c r="B37" i="22"/>
  <c r="B36" i="22"/>
  <c r="B33" i="22"/>
  <c r="B34" i="22"/>
  <c r="B35" i="22"/>
  <c r="B39" i="22"/>
  <c r="B40" i="22"/>
  <c r="B41" i="22"/>
  <c r="B42" i="22"/>
  <c r="B38" i="22"/>
  <c r="V9" i="13"/>
  <c r="Z9" i="13" s="1"/>
  <c r="V15" i="13"/>
  <c r="V21" i="13"/>
  <c r="Z21" i="13" s="1"/>
  <c r="W27" i="13"/>
  <c r="AL27" i="13" s="1"/>
  <c r="V33" i="13"/>
  <c r="V39" i="13"/>
  <c r="Z39" i="13" s="1"/>
  <c r="V45" i="13"/>
  <c r="V51" i="13"/>
  <c r="Z51" i="13" s="1"/>
  <c r="V57" i="13"/>
  <c r="V63" i="13"/>
  <c r="Z63" i="13" s="1"/>
  <c r="W69" i="13"/>
  <c r="W75" i="13"/>
  <c r="W81" i="13"/>
  <c r="W87" i="13"/>
  <c r="W93" i="13"/>
  <c r="W99" i="13"/>
  <c r="W105" i="13"/>
  <c r="V111" i="13"/>
  <c r="V117" i="13"/>
  <c r="V123" i="13"/>
  <c r="Z123" i="13" s="1"/>
  <c r="V129" i="13"/>
  <c r="V135" i="13"/>
  <c r="Z135" i="13" s="1"/>
  <c r="V141" i="13"/>
  <c r="Z141" i="13" s="1"/>
  <c r="V147" i="13"/>
  <c r="Z147" i="13" s="1"/>
  <c r="V153" i="13"/>
  <c r="Z153" i="13" s="1"/>
  <c r="V159" i="13"/>
  <c r="V165" i="13"/>
  <c r="Z165" i="13" s="1"/>
  <c r="V171" i="13"/>
  <c r="Z171" i="13" s="1"/>
  <c r="V177" i="13"/>
  <c r="Z177" i="13" s="1"/>
  <c r="V183" i="13"/>
  <c r="V189" i="13"/>
  <c r="V195" i="13"/>
  <c r="Z195" i="13" s="1"/>
  <c r="V201" i="13"/>
  <c r="V213" i="13"/>
  <c r="V219" i="13"/>
  <c r="V231" i="13"/>
  <c r="V237" i="13"/>
  <c r="V243" i="13"/>
  <c r="V249" i="13"/>
  <c r="Z249" i="13" s="1"/>
  <c r="V255" i="13"/>
  <c r="V261" i="13"/>
  <c r="V267" i="13"/>
  <c r="Z267" i="13" s="1"/>
  <c r="V273" i="13"/>
  <c r="W279" i="13"/>
  <c r="AL279" i="13" s="1"/>
  <c r="W291" i="13"/>
  <c r="W297" i="13"/>
  <c r="W303" i="13"/>
  <c r="AL303" i="13" s="1"/>
  <c r="W309" i="13"/>
  <c r="AL309" i="13" s="1"/>
  <c r="W315" i="13"/>
  <c r="W327" i="13"/>
  <c r="AL327" i="13" s="1"/>
  <c r="W339" i="13"/>
  <c r="AL339" i="13" s="1"/>
  <c r="W345" i="13"/>
  <c r="W351" i="13"/>
  <c r="W357" i="13"/>
  <c r="AL357" i="13" s="1"/>
  <c r="W363" i="13"/>
  <c r="W369" i="13"/>
  <c r="W375" i="13"/>
  <c r="W381" i="13"/>
  <c r="W387" i="13"/>
  <c r="W393" i="13"/>
  <c r="AL393" i="13" s="1"/>
  <c r="V399" i="13"/>
  <c r="W405" i="13"/>
  <c r="AL405" i="13" s="1"/>
  <c r="W411" i="13"/>
  <c r="AL411" i="13" s="1"/>
  <c r="W423" i="13"/>
  <c r="AL423" i="13" s="1"/>
  <c r="AL435" i="13"/>
  <c r="AL441" i="13"/>
  <c r="AL447" i="13"/>
  <c r="AL453" i="13"/>
  <c r="W10" i="13"/>
  <c r="W16" i="13"/>
  <c r="AL16" i="13" s="1"/>
  <c r="W22" i="13"/>
  <c r="AL22" i="13" s="1"/>
  <c r="W28" i="13"/>
  <c r="AL28" i="13" s="1"/>
  <c r="W34" i="13"/>
  <c r="W40" i="13"/>
  <c r="V46" i="13"/>
  <c r="W52" i="13"/>
  <c r="V58" i="13"/>
  <c r="W64" i="13"/>
  <c r="V70" i="13"/>
  <c r="Z70" i="13" s="1"/>
  <c r="W76" i="13"/>
  <c r="AL76" i="13" s="1"/>
  <c r="V82" i="13"/>
  <c r="W88" i="13"/>
  <c r="AL88" i="13" s="1"/>
  <c r="W94" i="13"/>
  <c r="AL94" i="13" s="1"/>
  <c r="W100" i="13"/>
  <c r="AL100" i="13" s="1"/>
  <c r="W106" i="13"/>
  <c r="W112" i="13"/>
  <c r="W118" i="13"/>
  <c r="V124" i="13"/>
  <c r="V130" i="13"/>
  <c r="W136" i="13"/>
  <c r="V142" i="13"/>
  <c r="W148" i="13"/>
  <c r="V154" i="13"/>
  <c r="Z154" i="13" s="1"/>
  <c r="V160" i="13"/>
  <c r="W166" i="13"/>
  <c r="W172" i="13"/>
  <c r="W178" i="13"/>
  <c r="W184" i="13"/>
  <c r="V190" i="13"/>
  <c r="W196" i="13"/>
  <c r="W202" i="13"/>
  <c r="V208" i="13"/>
  <c r="Z208" i="13" s="1"/>
  <c r="V214" i="13"/>
  <c r="W220" i="13"/>
  <c r="W226" i="13"/>
  <c r="V232" i="13"/>
  <c r="V238" i="13"/>
  <c r="Z238" i="13" s="1"/>
  <c r="W244" i="13"/>
  <c r="V250" i="13"/>
  <c r="V256" i="13"/>
  <c r="W262" i="13"/>
  <c r="W268" i="13"/>
  <c r="V274" i="13"/>
  <c r="V298" i="13"/>
  <c r="V304" i="13"/>
  <c r="V316" i="13"/>
  <c r="Z316" i="13" s="1"/>
  <c r="V322" i="13"/>
  <c r="Z322" i="13" s="1"/>
  <c r="V340" i="13"/>
  <c r="Z340" i="13" s="1"/>
  <c r="V370" i="13"/>
  <c r="V376" i="13"/>
  <c r="Z376" i="13" s="1"/>
  <c r="V382" i="13"/>
  <c r="Z382" i="13" s="1"/>
  <c r="W388" i="13"/>
  <c r="W394" i="13"/>
  <c r="AL394" i="13" s="1"/>
  <c r="W400" i="13"/>
  <c r="AL400" i="13" s="1"/>
  <c r="W406" i="13"/>
  <c r="W412" i="13"/>
  <c r="AL412" i="13" s="1"/>
  <c r="V11" i="13"/>
  <c r="V17" i="13"/>
  <c r="V23" i="13"/>
  <c r="Z23" i="13" s="1"/>
  <c r="V29" i="13"/>
  <c r="W35" i="13"/>
  <c r="AL35" i="13" s="1"/>
  <c r="W41" i="13"/>
  <c r="AL41" i="13" s="1"/>
  <c r="W47" i="13"/>
  <c r="AL47" i="13" s="1"/>
  <c r="W53" i="13"/>
  <c r="AL53" i="13" s="1"/>
  <c r="W59" i="13"/>
  <c r="AL59" i="13" s="1"/>
  <c r="V65" i="13"/>
  <c r="W71" i="13"/>
  <c r="AL71" i="13" s="1"/>
  <c r="V77" i="13"/>
  <c r="Z77" i="13" s="1"/>
  <c r="W83" i="13"/>
  <c r="AL83" i="13" s="1"/>
  <c r="V89" i="13"/>
  <c r="W95" i="13"/>
  <c r="AL95" i="13" s="1"/>
  <c r="V101" i="13"/>
  <c r="W107" i="13"/>
  <c r="AL107" i="13" s="1"/>
  <c r="W113" i="13"/>
  <c r="AL113" i="13" s="1"/>
  <c r="V119" i="13"/>
  <c r="W125" i="13"/>
  <c r="AL125" i="13" s="1"/>
  <c r="W131" i="13"/>
  <c r="V137" i="13"/>
  <c r="Z137" i="13" s="1"/>
  <c r="W143" i="13"/>
  <c r="AL143" i="13" s="1"/>
  <c r="W149" i="13"/>
  <c r="AL149" i="13" s="1"/>
  <c r="V155" i="13"/>
  <c r="Z155" i="13" s="1"/>
  <c r="W161" i="13"/>
  <c r="AL161" i="13" s="1"/>
  <c r="V167" i="13"/>
  <c r="Z167" i="13" s="1"/>
  <c r="W173" i="13"/>
  <c r="AL173" i="13" s="1"/>
  <c r="V185" i="13"/>
  <c r="V191" i="13"/>
  <c r="V197" i="13"/>
  <c r="V209" i="13"/>
  <c r="W215" i="13"/>
  <c r="V227" i="13"/>
  <c r="W233" i="13"/>
  <c r="AL233" i="13" s="1"/>
  <c r="W245" i="13"/>
  <c r="V251" i="13"/>
  <c r="Z251" i="13" s="1"/>
  <c r="V257" i="13"/>
  <c r="Z257" i="13" s="1"/>
  <c r="W263" i="13"/>
  <c r="AL263" i="13" s="1"/>
  <c r="W275" i="13"/>
  <c r="V281" i="13"/>
  <c r="Z281" i="13" s="1"/>
  <c r="V287" i="13"/>
  <c r="Z287" i="13" s="1"/>
  <c r="W293" i="13"/>
  <c r="V299" i="13"/>
  <c r="Z299" i="13" s="1"/>
  <c r="W305" i="13"/>
  <c r="V311" i="13"/>
  <c r="V317" i="13"/>
  <c r="W323" i="13"/>
  <c r="W329" i="13"/>
  <c r="V335" i="13"/>
  <c r="W341" i="13"/>
  <c r="V347" i="13"/>
  <c r="Z347" i="13" s="1"/>
  <c r="W353" i="13"/>
  <c r="V359" i="13"/>
  <c r="Z359" i="13" s="1"/>
  <c r="W365" i="13"/>
  <c r="W371" i="13"/>
  <c r="W377" i="13"/>
  <c r="V383" i="13"/>
  <c r="V389" i="13"/>
  <c r="Z389" i="13" s="1"/>
  <c r="V395" i="13"/>
  <c r="W413" i="13"/>
  <c r="AL413" i="13" s="1"/>
  <c r="W419" i="13"/>
  <c r="W425" i="13"/>
  <c r="W24" i="13"/>
  <c r="W60" i="13"/>
  <c r="AL60" i="13" s="1"/>
  <c r="W102" i="13"/>
  <c r="AL102" i="13" s="1"/>
  <c r="W132" i="13"/>
  <c r="AL132" i="13" s="1"/>
  <c r="V168" i="13"/>
  <c r="Z168" i="13" s="1"/>
  <c r="W234" i="13"/>
  <c r="V306" i="13"/>
  <c r="Z306" i="13" s="1"/>
  <c r="V342" i="13"/>
  <c r="Z342" i="13" s="1"/>
  <c r="W366" i="13"/>
  <c r="W30" i="13"/>
  <c r="V54" i="13"/>
  <c r="Z54" i="13" s="1"/>
  <c r="W84" i="13"/>
  <c r="AL84" i="13" s="1"/>
  <c r="V120" i="13"/>
  <c r="Z120" i="13" s="1"/>
  <c r="W150" i="13"/>
  <c r="AL150" i="13" s="1"/>
  <c r="V186" i="13"/>
  <c r="Z186" i="13" s="1"/>
  <c r="W252" i="13"/>
  <c r="V288" i="13"/>
  <c r="V312" i="13"/>
  <c r="Z312" i="13" s="1"/>
  <c r="V330" i="13"/>
  <c r="Z330" i="13" s="1"/>
  <c r="V354" i="13"/>
  <c r="Z354" i="13" s="1"/>
  <c r="W372" i="13"/>
  <c r="AL372" i="13" s="1"/>
  <c r="W402" i="13"/>
  <c r="AL402" i="13" s="1"/>
  <c r="W408" i="13"/>
  <c r="W12" i="13"/>
  <c r="W36" i="13"/>
  <c r="AL36" i="13" s="1"/>
  <c r="V66" i="13"/>
  <c r="Z66" i="13" s="1"/>
  <c r="V96" i="13"/>
  <c r="Z96" i="13" s="1"/>
  <c r="W126" i="13"/>
  <c r="AL126" i="13" s="1"/>
  <c r="W162" i="13"/>
  <c r="W192" i="13"/>
  <c r="W228" i="13"/>
  <c r="V336" i="13"/>
  <c r="W7" i="13"/>
  <c r="AL7" i="13" s="1"/>
  <c r="W13" i="13"/>
  <c r="W19" i="13"/>
  <c r="W25" i="13"/>
  <c r="W31" i="13"/>
  <c r="V37" i="13"/>
  <c r="V43" i="13"/>
  <c r="W49" i="13"/>
  <c r="W55" i="13"/>
  <c r="AL55" i="13" s="1"/>
  <c r="W61" i="13"/>
  <c r="AL61" i="13" s="1"/>
  <c r="W67" i="13"/>
  <c r="AL67" i="13" s="1"/>
  <c r="W73" i="13"/>
  <c r="AL73" i="13" s="1"/>
  <c r="W79" i="13"/>
  <c r="AL79" i="13" s="1"/>
  <c r="W85" i="13"/>
  <c r="W91" i="13"/>
  <c r="W97" i="13"/>
  <c r="AL97" i="13" s="1"/>
  <c r="W103" i="13"/>
  <c r="W109" i="13"/>
  <c r="W115" i="13"/>
  <c r="AL115" i="13" s="1"/>
  <c r="W121" i="13"/>
  <c r="AL121" i="13" s="1"/>
  <c r="W127" i="13"/>
  <c r="W133" i="13"/>
  <c r="AL133" i="13" s="1"/>
  <c r="W139" i="13"/>
  <c r="AL139" i="13" s="1"/>
  <c r="W145" i="13"/>
  <c r="W151" i="13"/>
  <c r="AL151" i="13" s="1"/>
  <c r="W157" i="13"/>
  <c r="AL157" i="13" s="1"/>
  <c r="W163" i="13"/>
  <c r="W175" i="13"/>
  <c r="AL175" i="13" s="1"/>
  <c r="W181" i="13"/>
  <c r="AL181" i="13" s="1"/>
  <c r="W187" i="13"/>
  <c r="AL187" i="13" s="1"/>
  <c r="W193" i="13"/>
  <c r="AL193" i="13" s="1"/>
  <c r="W199" i="13"/>
  <c r="AL199" i="13" s="1"/>
  <c r="W205" i="13"/>
  <c r="V217" i="13"/>
  <c r="V223" i="13"/>
  <c r="V235" i="13"/>
  <c r="Z235" i="13" s="1"/>
  <c r="W241" i="13"/>
  <c r="W253" i="13"/>
  <c r="AL253" i="13" s="1"/>
  <c r="W265" i="13"/>
  <c r="W271" i="13"/>
  <c r="V277" i="13"/>
  <c r="Z277" i="13" s="1"/>
  <c r="W283" i="13"/>
  <c r="V289" i="13"/>
  <c r="Z289" i="13" s="1"/>
  <c r="V295" i="13"/>
  <c r="Z295" i="13" s="1"/>
  <c r="W301" i="13"/>
  <c r="V313" i="13"/>
  <c r="Z313" i="13" s="1"/>
  <c r="W319" i="13"/>
  <c r="V325" i="13"/>
  <c r="V331" i="13"/>
  <c r="W337" i="13"/>
  <c r="W343" i="13"/>
  <c r="V349" i="13"/>
  <c r="W355" i="13"/>
  <c r="W361" i="13"/>
  <c r="AL361" i="13" s="1"/>
  <c r="V415" i="13"/>
  <c r="V421" i="13"/>
  <c r="W6" i="13"/>
  <c r="W42" i="13"/>
  <c r="W78" i="13"/>
  <c r="W108" i="13"/>
  <c r="AL108" i="13" s="1"/>
  <c r="W144" i="13"/>
  <c r="AL144" i="13" s="1"/>
  <c r="W174" i="13"/>
  <c r="AL174" i="13" s="1"/>
  <c r="V210" i="13"/>
  <c r="W282" i="13"/>
  <c r="V324" i="13"/>
  <c r="W384" i="13"/>
  <c r="AL384" i="13" s="1"/>
  <c r="W18" i="13"/>
  <c r="W48" i="13"/>
  <c r="W72" i="13"/>
  <c r="W90" i="13"/>
  <c r="AL90" i="13" s="1"/>
  <c r="W114" i="13"/>
  <c r="V138" i="13"/>
  <c r="V156" i="13"/>
  <c r="Z156" i="13" s="1"/>
  <c r="V180" i="13"/>
  <c r="Z180" i="13" s="1"/>
  <c r="W198" i="13"/>
  <c r="W216" i="13"/>
  <c r="W258" i="13"/>
  <c r="AL258" i="13" s="1"/>
  <c r="V276" i="13"/>
  <c r="W294" i="13"/>
  <c r="W318" i="13"/>
  <c r="AL318" i="13" s="1"/>
  <c r="V348" i="13"/>
  <c r="Z348" i="13" s="1"/>
  <c r="V360" i="13"/>
  <c r="W390" i="13"/>
  <c r="W8" i="13"/>
  <c r="AL8" i="13" s="1"/>
  <c r="W14" i="13"/>
  <c r="AL14" i="13" s="1"/>
  <c r="W20" i="13"/>
  <c r="AL20" i="13" s="1"/>
  <c r="W26" i="13"/>
  <c r="AL26" i="13" s="1"/>
  <c r="W32" i="13"/>
  <c r="AL32" i="13" s="1"/>
  <c r="W38" i="13"/>
  <c r="AL38" i="13" s="1"/>
  <c r="W44" i="13"/>
  <c r="AL44" i="13" s="1"/>
  <c r="W50" i="13"/>
  <c r="AL50" i="13" s="1"/>
  <c r="W56" i="13"/>
  <c r="W62" i="13"/>
  <c r="AL62" i="13" s="1"/>
  <c r="W164" i="13"/>
  <c r="AL164" i="13" s="1"/>
  <c r="W170" i="13"/>
  <c r="AL170" i="13" s="1"/>
  <c r="W206" i="13"/>
  <c r="AL206" i="13" s="1"/>
  <c r="W224" i="13"/>
  <c r="AL224" i="13" s="1"/>
  <c r="W230" i="13"/>
  <c r="W260" i="13"/>
  <c r="AL260" i="13" s="1"/>
  <c r="W266" i="13"/>
  <c r="AL266" i="13" s="1"/>
  <c r="W272" i="13"/>
  <c r="AL272" i="13" s="1"/>
  <c r="W278" i="13"/>
  <c r="AL278" i="13" s="1"/>
  <c r="V284" i="13"/>
  <c r="W290" i="13"/>
  <c r="V296" i="13"/>
  <c r="Z296" i="13" s="1"/>
  <c r="V302" i="13"/>
  <c r="Z302" i="13" s="1"/>
  <c r="W308" i="13"/>
  <c r="W320" i="13"/>
  <c r="AL320" i="13" s="1"/>
  <c r="V332" i="13"/>
  <c r="V338" i="13"/>
  <c r="Z338" i="13" s="1"/>
  <c r="W344" i="13"/>
  <c r="W350" i="13"/>
  <c r="AL350" i="13" s="1"/>
  <c r="V356" i="13"/>
  <c r="V362" i="13"/>
  <c r="Z362" i="13" s="1"/>
  <c r="V368" i="13"/>
  <c r="Z368" i="13" s="1"/>
  <c r="V374" i="13"/>
  <c r="Z374" i="13" s="1"/>
  <c r="V380" i="13"/>
  <c r="V386" i="13"/>
  <c r="W392" i="13"/>
  <c r="W398" i="13"/>
  <c r="W404" i="13"/>
  <c r="V410" i="13"/>
  <c r="W416" i="13"/>
  <c r="W422" i="13"/>
  <c r="W217" i="13"/>
  <c r="AL217" i="13" s="1"/>
  <c r="W54" i="13"/>
  <c r="AL54" i="13" s="1"/>
  <c r="AI77" i="13"/>
  <c r="AV346" i="13"/>
  <c r="AH191" i="13"/>
  <c r="AJ191" i="13" s="1"/>
  <c r="AI119" i="13"/>
  <c r="W340" i="13"/>
  <c r="AL340" i="13" s="1"/>
  <c r="CA373" i="13"/>
  <c r="AI395" i="13"/>
  <c r="V388" i="13"/>
  <c r="AS360" i="13"/>
  <c r="W362" i="13"/>
  <c r="BI368" i="13"/>
  <c r="BH369" i="13"/>
  <c r="BB370" i="13"/>
  <c r="V329" i="13"/>
  <c r="BE345" i="13"/>
  <c r="BF345" i="13"/>
  <c r="AV345" i="13"/>
  <c r="AH296" i="13"/>
  <c r="AJ296" i="13" s="1"/>
  <c r="AH307" i="13"/>
  <c r="AJ307" i="13" s="1"/>
  <c r="W311" i="13"/>
  <c r="W287" i="13"/>
  <c r="AL287" i="13" s="1"/>
  <c r="AH306" i="13"/>
  <c r="AJ306" i="13" s="1"/>
  <c r="W277" i="13"/>
  <c r="AL277" i="13" s="1"/>
  <c r="W256" i="13"/>
  <c r="W243" i="13"/>
  <c r="AH233" i="13"/>
  <c r="AJ233" i="13" s="1"/>
  <c r="AH199" i="13"/>
  <c r="AJ199" i="13" s="1"/>
  <c r="AI114" i="13"/>
  <c r="V113" i="13"/>
  <c r="Z113" i="13" s="1"/>
  <c r="W142" i="13"/>
  <c r="AH104" i="13"/>
  <c r="AJ104" i="13" s="1"/>
  <c r="AI118" i="13"/>
  <c r="W213" i="13"/>
  <c r="AL213" i="13" s="1"/>
  <c r="AH251" i="13"/>
  <c r="AJ251" i="13" s="1"/>
  <c r="W302" i="13"/>
  <c r="AL302" i="13" s="1"/>
  <c r="W124" i="13"/>
  <c r="AI355" i="13"/>
  <c r="AI366" i="13"/>
  <c r="AL452" i="13"/>
  <c r="W130" i="13"/>
  <c r="W209" i="13"/>
  <c r="V252" i="13"/>
  <c r="Z252" i="13" s="1"/>
  <c r="AH400" i="13"/>
  <c r="AJ400" i="13" s="1"/>
  <c r="AI429" i="13"/>
  <c r="Z447" i="13"/>
  <c r="W154" i="13"/>
  <c r="V199" i="13"/>
  <c r="AI209" i="13"/>
  <c r="W335" i="13"/>
  <c r="AI351" i="13"/>
  <c r="AH413" i="13"/>
  <c r="AJ413" i="13" s="1"/>
  <c r="BI338" i="13"/>
  <c r="W155" i="13"/>
  <c r="W190" i="13"/>
  <c r="W238" i="13"/>
  <c r="V305" i="13"/>
  <c r="W331" i="13"/>
  <c r="BL271" i="13"/>
  <c r="W96" i="13"/>
  <c r="AL96" i="13" s="1"/>
  <c r="AI101" i="13"/>
  <c r="W117" i="13"/>
  <c r="AH300" i="13"/>
  <c r="AJ300" i="13" s="1"/>
  <c r="AI326" i="13"/>
  <c r="V393" i="13"/>
  <c r="Z393" i="13" s="1"/>
  <c r="BD350" i="13"/>
  <c r="W186" i="13"/>
  <c r="W223" i="13"/>
  <c r="AI228" i="13"/>
  <c r="W349" i="13"/>
  <c r="V83" i="13"/>
  <c r="AI85" i="13"/>
  <c r="BE338" i="13"/>
  <c r="AI31" i="13"/>
  <c r="AI48" i="13"/>
  <c r="W58" i="13"/>
  <c r="V91" i="13"/>
  <c r="Z91" i="13" s="1"/>
  <c r="AH150" i="13"/>
  <c r="AJ150" i="13" s="1"/>
  <c r="W159" i="13"/>
  <c r="AH170" i="13"/>
  <c r="AJ170" i="13" s="1"/>
  <c r="AH372" i="13"/>
  <c r="AJ372" i="13" s="1"/>
  <c r="W383" i="13"/>
  <c r="AH430" i="13"/>
  <c r="AJ430" i="13" s="1"/>
  <c r="V205" i="13"/>
  <c r="AI229" i="13"/>
  <c r="V253" i="13"/>
  <c r="Z253" i="13" s="1"/>
  <c r="AI262" i="13"/>
  <c r="AI283" i="13"/>
  <c r="AI293" i="13"/>
  <c r="W389" i="13"/>
  <c r="AL389" i="13" s="1"/>
  <c r="AI78" i="13"/>
  <c r="AI155" i="13"/>
  <c r="AH187" i="13"/>
  <c r="AJ187" i="13" s="1"/>
  <c r="AI200" i="13"/>
  <c r="AI215" i="13"/>
  <c r="AH225" i="13"/>
  <c r="AJ225" i="13" s="1"/>
  <c r="AH302" i="13"/>
  <c r="AJ302" i="13" s="1"/>
  <c r="V50" i="13"/>
  <c r="Z50" i="13" s="1"/>
  <c r="AH83" i="13"/>
  <c r="AJ83" i="13" s="1"/>
  <c r="AI103" i="13"/>
  <c r="V118" i="13"/>
  <c r="Z118" i="13" s="1"/>
  <c r="AI131" i="13"/>
  <c r="W137" i="13"/>
  <c r="W235" i="13"/>
  <c r="AL235" i="13" s="1"/>
  <c r="W274" i="13"/>
  <c r="AL274" i="13" s="1"/>
  <c r="W289" i="13"/>
  <c r="AL289" i="13" s="1"/>
  <c r="V294" i="13"/>
  <c r="AH316" i="13"/>
  <c r="AJ316" i="13" s="1"/>
  <c r="W332" i="13"/>
  <c r="W395" i="13"/>
  <c r="AI416" i="13"/>
  <c r="BH354" i="13"/>
  <c r="AH55" i="13"/>
  <c r="AJ55" i="13" s="1"/>
  <c r="V60" i="13"/>
  <c r="Z60" i="13" s="1"/>
  <c r="W70" i="13"/>
  <c r="AL70" i="13" s="1"/>
  <c r="V198" i="13"/>
  <c r="Z198" i="13" s="1"/>
  <c r="AI221" i="13"/>
  <c r="W299" i="13"/>
  <c r="AI337" i="13"/>
  <c r="AI348" i="13"/>
  <c r="V353" i="13"/>
  <c r="Z353" i="13" s="1"/>
  <c r="V422" i="13"/>
  <c r="Z422" i="13" s="1"/>
  <c r="AI437" i="13"/>
  <c r="BH350" i="13"/>
  <c r="V40" i="13"/>
  <c r="AI137" i="13"/>
  <c r="AI156" i="13"/>
  <c r="AI226" i="13"/>
  <c r="AI250" i="13"/>
  <c r="AI269" i="13"/>
  <c r="AH312" i="13"/>
  <c r="AJ312" i="13" s="1"/>
  <c r="AI120" i="13"/>
  <c r="BV386" i="13"/>
  <c r="BH338" i="13"/>
  <c r="W89" i="13"/>
  <c r="AH179" i="13"/>
  <c r="AJ179" i="13" s="1"/>
  <c r="AI245" i="13"/>
  <c r="W255" i="13"/>
  <c r="AH280" i="13"/>
  <c r="AJ280" i="13" s="1"/>
  <c r="AI285" i="13"/>
  <c r="AI375" i="13"/>
  <c r="AH417" i="13"/>
  <c r="AJ417" i="13" s="1"/>
  <c r="AI449" i="13"/>
  <c r="V61" i="13"/>
  <c r="Z61" i="13" s="1"/>
  <c r="V71" i="13"/>
  <c r="Z71" i="13" s="1"/>
  <c r="W138" i="13"/>
  <c r="V149" i="13"/>
  <c r="AI236" i="13"/>
  <c r="V241" i="13"/>
  <c r="Z241" i="13" s="1"/>
  <c r="W313" i="13"/>
  <c r="AL313" i="13" s="1"/>
  <c r="AI381" i="13"/>
  <c r="V131" i="13"/>
  <c r="BF370" i="13"/>
  <c r="AI66" i="13"/>
  <c r="W119" i="13"/>
  <c r="W82" i="13"/>
  <c r="AL82" i="13" s="1"/>
  <c r="W180" i="13"/>
  <c r="W195" i="13"/>
  <c r="AI203" i="13"/>
  <c r="W261" i="13"/>
  <c r="AL261" i="13" s="1"/>
  <c r="V266" i="13"/>
  <c r="Z266" i="13" s="1"/>
  <c r="AH41" i="13"/>
  <c r="AJ41" i="13" s="1"/>
  <c r="W45" i="13"/>
  <c r="AL45" i="13" s="1"/>
  <c r="AI49" i="13"/>
  <c r="V53" i="13"/>
  <c r="Z53" i="13" s="1"/>
  <c r="W65" i="13"/>
  <c r="AL65" i="13" s="1"/>
  <c r="AH107" i="13"/>
  <c r="AJ107" i="13" s="1"/>
  <c r="AH115" i="13"/>
  <c r="AJ115" i="13" s="1"/>
  <c r="AH126" i="13"/>
  <c r="AJ126" i="13" s="1"/>
  <c r="W141" i="13"/>
  <c r="W153" i="13"/>
  <c r="W160" i="13"/>
  <c r="AI169" i="13"/>
  <c r="V192" i="13"/>
  <c r="Z192" i="13" s="1"/>
  <c r="AI196" i="13"/>
  <c r="W208" i="13"/>
  <c r="V220" i="13"/>
  <c r="V228" i="13"/>
  <c r="W232" i="13"/>
  <c r="V293" i="13"/>
  <c r="Z293" i="13" s="1"/>
  <c r="AH318" i="13"/>
  <c r="AJ318" i="13" s="1"/>
  <c r="V323" i="13"/>
  <c r="AH330" i="13"/>
  <c r="AJ330" i="13" s="1"/>
  <c r="V343" i="13"/>
  <c r="AH360" i="13"/>
  <c r="AJ360" i="13" s="1"/>
  <c r="AI369" i="13"/>
  <c r="AH382" i="13"/>
  <c r="AJ382" i="13" s="1"/>
  <c r="W386" i="13"/>
  <c r="AH394" i="13"/>
  <c r="AJ394" i="13" s="1"/>
  <c r="AH411" i="13"/>
  <c r="AJ411" i="13" s="1"/>
  <c r="AI419" i="13"/>
  <c r="AH423" i="13"/>
  <c r="AJ423" i="13" s="1"/>
  <c r="AI145" i="13"/>
  <c r="V150" i="13"/>
  <c r="Z150" i="13" s="1"/>
  <c r="W156" i="13"/>
  <c r="V174" i="13"/>
  <c r="Z174" i="13" s="1"/>
  <c r="AH181" i="13"/>
  <c r="AJ181" i="13" s="1"/>
  <c r="AH185" i="13"/>
  <c r="AJ185" i="13" s="1"/>
  <c r="AH235" i="13"/>
  <c r="AJ235" i="13" s="1"/>
  <c r="AI252" i="13"/>
  <c r="W284" i="13"/>
  <c r="AH288" i="13"/>
  <c r="AJ288" i="13" s="1"/>
  <c r="W296" i="13"/>
  <c r="AL296" i="13" s="1"/>
  <c r="V303" i="13"/>
  <c r="AI314" i="13"/>
  <c r="AH407" i="13"/>
  <c r="AJ407" i="13" s="1"/>
  <c r="V416" i="13"/>
  <c r="Z416" i="13" s="1"/>
  <c r="AI440" i="13"/>
  <c r="AH452" i="13"/>
  <c r="AJ452" i="13" s="1"/>
  <c r="AI160" i="13"/>
  <c r="W165" i="13"/>
  <c r="AL165" i="13" s="1"/>
  <c r="AI178" i="13"/>
  <c r="W197" i="13"/>
  <c r="AL197" i="13" s="1"/>
  <c r="AI232" i="13"/>
  <c r="AI239" i="13"/>
  <c r="AI311" i="13"/>
  <c r="W370" i="13"/>
  <c r="AL370" i="13" s="1"/>
  <c r="AI378" i="13"/>
  <c r="W399" i="13"/>
  <c r="AL399" i="13" s="1"/>
  <c r="BG363" i="13"/>
  <c r="AH28" i="13"/>
  <c r="AJ28" i="13" s="1"/>
  <c r="W46" i="13"/>
  <c r="AH57" i="13"/>
  <c r="AJ57" i="13" s="1"/>
  <c r="W101" i="13"/>
  <c r="W135" i="13"/>
  <c r="W39" i="13"/>
  <c r="AL39" i="13" s="1"/>
  <c r="AI42" i="13"/>
  <c r="AI127" i="13"/>
  <c r="AI138" i="13"/>
  <c r="V245" i="13"/>
  <c r="W250" i="13"/>
  <c r="V268" i="13"/>
  <c r="Z268" i="13" s="1"/>
  <c r="W312" i="13"/>
  <c r="AL312" i="13" s="1"/>
  <c r="AH324" i="13"/>
  <c r="AJ324" i="13" s="1"/>
  <c r="AI344" i="13"/>
  <c r="AH424" i="13"/>
  <c r="AJ424" i="13" s="1"/>
  <c r="AH441" i="13"/>
  <c r="AJ441" i="13" s="1"/>
  <c r="W214" i="13"/>
  <c r="BL326" i="13"/>
  <c r="BF363" i="13"/>
  <c r="AI34" i="13"/>
  <c r="W43" i="13"/>
  <c r="AL43" i="13" s="1"/>
  <c r="AH97" i="13"/>
  <c r="AJ97" i="13" s="1"/>
  <c r="AI109" i="13"/>
  <c r="V114" i="13"/>
  <c r="Z114" i="13" s="1"/>
  <c r="AI154" i="13"/>
  <c r="AH175" i="13"/>
  <c r="AJ175" i="13" s="1"/>
  <c r="W183" i="13"/>
  <c r="V52" i="13"/>
  <c r="AI58" i="13"/>
  <c r="V67" i="13"/>
  <c r="Z67" i="13" s="1"/>
  <c r="V102" i="13"/>
  <c r="Z102" i="13" s="1"/>
  <c r="W120" i="13"/>
  <c r="AI124" i="13"/>
  <c r="V132" i="13"/>
  <c r="Z132" i="13" s="1"/>
  <c r="AI136" i="13"/>
  <c r="AH139" i="13"/>
  <c r="AJ139" i="13" s="1"/>
  <c r="AH143" i="13"/>
  <c r="AJ143" i="13" s="1"/>
  <c r="AH151" i="13"/>
  <c r="AJ151" i="13" s="1"/>
  <c r="AI162" i="13"/>
  <c r="V172" i="13"/>
  <c r="Z172" i="13" s="1"/>
  <c r="V202" i="13"/>
  <c r="AH206" i="13"/>
  <c r="AJ206" i="13" s="1"/>
  <c r="W210" i="13"/>
  <c r="AL210" i="13" s="1"/>
  <c r="AI214" i="13"/>
  <c r="AH218" i="13"/>
  <c r="AJ218" i="13" s="1"/>
  <c r="AI268" i="13"/>
  <c r="W273" i="13"/>
  <c r="AL273" i="13" s="1"/>
  <c r="W298" i="13"/>
  <c r="AL298" i="13" s="1"/>
  <c r="AH336" i="13"/>
  <c r="AJ336" i="13" s="1"/>
  <c r="AH354" i="13"/>
  <c r="AJ354" i="13" s="1"/>
  <c r="W359" i="13"/>
  <c r="V372" i="13"/>
  <c r="Z372" i="13" s="1"/>
  <c r="W376" i="13"/>
  <c r="AL376" i="13" s="1"/>
  <c r="AH384" i="13"/>
  <c r="AJ384" i="13" s="1"/>
  <c r="AI388" i="13"/>
  <c r="V406" i="13"/>
  <c r="Z406" i="13" s="1"/>
  <c r="AI446" i="13"/>
  <c r="AT409" i="13"/>
  <c r="AH43" i="13"/>
  <c r="AJ43" i="13" s="1"/>
  <c r="W77" i="13"/>
  <c r="W227" i="13"/>
  <c r="V283" i="13"/>
  <c r="Z283" i="13" s="1"/>
  <c r="AI294" i="13"/>
  <c r="W317" i="13"/>
  <c r="AI321" i="13"/>
  <c r="AI325" i="13"/>
  <c r="AI329" i="13"/>
  <c r="AI332" i="13"/>
  <c r="V363" i="13"/>
  <c r="Z363" i="13" s="1"/>
  <c r="W410" i="13"/>
  <c r="AH438" i="13"/>
  <c r="AJ438" i="13" s="1"/>
  <c r="AI52" i="13"/>
  <c r="AI72" i="13"/>
  <c r="AI89" i="13"/>
  <c r="AH102" i="13"/>
  <c r="AJ102" i="13" s="1"/>
  <c r="AI163" i="13"/>
  <c r="W177" i="13"/>
  <c r="AI184" i="13"/>
  <c r="AI227" i="13"/>
  <c r="W295" i="13"/>
  <c r="AL295" i="13" s="1"/>
  <c r="W330" i="13"/>
  <c r="AL330" i="13" s="1"/>
  <c r="W347" i="13"/>
  <c r="W360" i="13"/>
  <c r="AL360" i="13" s="1"/>
  <c r="AI363" i="13"/>
  <c r="V377" i="13"/>
  <c r="Z377" i="13" s="1"/>
  <c r="V394" i="13"/>
  <c r="V402" i="13"/>
  <c r="AI406" i="13"/>
  <c r="V423" i="13"/>
  <c r="BI360" i="13"/>
  <c r="W15" i="13"/>
  <c r="AL15" i="13" s="1"/>
  <c r="AI19" i="13"/>
  <c r="V24" i="13"/>
  <c r="AH71" i="13"/>
  <c r="AJ71" i="13" s="1"/>
  <c r="AH74" i="13"/>
  <c r="AJ74" i="13" s="1"/>
  <c r="AH90" i="13"/>
  <c r="AJ90" i="13" s="1"/>
  <c r="V94" i="13"/>
  <c r="AH113" i="13"/>
  <c r="AJ113" i="13" s="1"/>
  <c r="AH121" i="13"/>
  <c r="AJ121" i="13" s="1"/>
  <c r="AH132" i="13"/>
  <c r="AJ132" i="13" s="1"/>
  <c r="V136" i="13"/>
  <c r="AH149" i="13"/>
  <c r="AJ149" i="13" s="1"/>
  <c r="AH157" i="13"/>
  <c r="AJ157" i="13" s="1"/>
  <c r="V178" i="13"/>
  <c r="Z178" i="13" s="1"/>
  <c r="V184" i="13"/>
  <c r="AI192" i="13"/>
  <c r="V196" i="13"/>
  <c r="W201" i="13"/>
  <c r="AH204" i="13"/>
  <c r="AJ204" i="13" s="1"/>
  <c r="AH213" i="13"/>
  <c r="AJ213" i="13" s="1"/>
  <c r="W219" i="13"/>
  <c r="AI222" i="13"/>
  <c r="V226" i="13"/>
  <c r="Z226" i="13" s="1"/>
  <c r="AH231" i="13"/>
  <c r="AJ231" i="13" s="1"/>
  <c r="V234" i="13"/>
  <c r="Z234" i="13" s="1"/>
  <c r="W237" i="13"/>
  <c r="AH240" i="13"/>
  <c r="AJ240" i="13" s="1"/>
  <c r="AI256" i="13"/>
  <c r="V260" i="13"/>
  <c r="W267" i="13"/>
  <c r="AL267" i="13" s="1"/>
  <c r="AH277" i="13"/>
  <c r="AJ277" i="13" s="1"/>
  <c r="V291" i="13"/>
  <c r="W325" i="13"/>
  <c r="V337" i="13"/>
  <c r="AH339" i="13"/>
  <c r="AJ339" i="13" s="1"/>
  <c r="AH342" i="13"/>
  <c r="AJ342" i="13" s="1"/>
  <c r="V355" i="13"/>
  <c r="Z355" i="13" s="1"/>
  <c r="AH357" i="13"/>
  <c r="AJ357" i="13" s="1"/>
  <c r="V400" i="13"/>
  <c r="AH402" i="13"/>
  <c r="AJ402" i="13" s="1"/>
  <c r="AH409" i="13"/>
  <c r="AJ409" i="13" s="1"/>
  <c r="V412" i="13"/>
  <c r="W415" i="13"/>
  <c r="AI434" i="13"/>
  <c r="AH450" i="13"/>
  <c r="AJ450" i="13" s="1"/>
  <c r="BI348" i="13"/>
  <c r="AH47" i="13"/>
  <c r="AJ47" i="13" s="1"/>
  <c r="AH50" i="13"/>
  <c r="AJ50" i="13" s="1"/>
  <c r="V59" i="13"/>
  <c r="Z59" i="13" s="1"/>
  <c r="AH65" i="13"/>
  <c r="AJ65" i="13" s="1"/>
  <c r="AH68" i="13"/>
  <c r="AJ68" i="13" s="1"/>
  <c r="AH84" i="13"/>
  <c r="AJ84" i="13" s="1"/>
  <c r="V88" i="13"/>
  <c r="AH96" i="13"/>
  <c r="AJ96" i="13" s="1"/>
  <c r="V100" i="13"/>
  <c r="Z100" i="13" s="1"/>
  <c r="V108" i="13"/>
  <c r="Z108" i="13" s="1"/>
  <c r="W111" i="13"/>
  <c r="V125" i="13"/>
  <c r="AI130" i="13"/>
  <c r="V144" i="13"/>
  <c r="Z144" i="13" s="1"/>
  <c r="W147" i="13"/>
  <c r="V161" i="13"/>
  <c r="Z161" i="13" s="1"/>
  <c r="V166" i="13"/>
  <c r="Z166" i="13" s="1"/>
  <c r="V181" i="13"/>
  <c r="Z181" i="13" s="1"/>
  <c r="V187" i="13"/>
  <c r="AI198" i="13"/>
  <c r="AH210" i="13"/>
  <c r="AJ210" i="13" s="1"/>
  <c r="V216" i="13"/>
  <c r="V244" i="13"/>
  <c r="Z244" i="13" s="1"/>
  <c r="W251" i="13"/>
  <c r="AL251" i="13" s="1"/>
  <c r="AH253" i="13"/>
  <c r="AJ253" i="13" s="1"/>
  <c r="AH263" i="13"/>
  <c r="AJ263" i="13" s="1"/>
  <c r="V275" i="13"/>
  <c r="W281" i="13"/>
  <c r="W288" i="13"/>
  <c r="AL288" i="13" s="1"/>
  <c r="AH303" i="13"/>
  <c r="AJ303" i="13" s="1"/>
  <c r="AH310" i="13"/>
  <c r="AJ310" i="13" s="1"/>
  <c r="W316" i="13"/>
  <c r="AL316" i="13" s="1"/>
  <c r="AH328" i="13"/>
  <c r="AJ328" i="13" s="1"/>
  <c r="AH370" i="13"/>
  <c r="AJ370" i="13" s="1"/>
  <c r="AH376" i="13"/>
  <c r="AJ376" i="13" s="1"/>
  <c r="W380" i="13"/>
  <c r="AH389" i="13"/>
  <c r="AJ389" i="13" s="1"/>
  <c r="AI422" i="13"/>
  <c r="V425" i="13"/>
  <c r="AI428" i="13"/>
  <c r="AI431" i="13"/>
  <c r="AH444" i="13"/>
  <c r="AJ444" i="13" s="1"/>
  <c r="AH447" i="13"/>
  <c r="AJ447" i="13" s="1"/>
  <c r="AH453" i="13"/>
  <c r="AJ453" i="13" s="1"/>
  <c r="AH33" i="13"/>
  <c r="AJ33" i="13" s="1"/>
  <c r="AH44" i="13"/>
  <c r="AJ44" i="13" s="1"/>
  <c r="AH53" i="13"/>
  <c r="AJ53" i="13" s="1"/>
  <c r="AI56" i="13"/>
  <c r="AH62" i="13"/>
  <c r="AJ62" i="13" s="1"/>
  <c r="V78" i="13"/>
  <c r="Z78" i="13" s="1"/>
  <c r="V106" i="13"/>
  <c r="Z106" i="13" s="1"/>
  <c r="AI172" i="13"/>
  <c r="AI190" i="13"/>
  <c r="V193" i="13"/>
  <c r="Z193" i="13" s="1"/>
  <c r="W257" i="13"/>
  <c r="AL257" i="13" s="1"/>
  <c r="V301" i="13"/>
  <c r="Z301" i="13" s="1"/>
  <c r="V361" i="13"/>
  <c r="AH364" i="13"/>
  <c r="AJ364" i="13" s="1"/>
  <c r="AH367" i="13"/>
  <c r="AJ367" i="13" s="1"/>
  <c r="AI383" i="13"/>
  <c r="V387" i="13"/>
  <c r="V6" i="13"/>
  <c r="V38" i="13"/>
  <c r="Z38" i="13" s="1"/>
  <c r="AH59" i="13"/>
  <c r="AJ59" i="13" s="1"/>
  <c r="V72" i="13"/>
  <c r="Z72" i="13" s="1"/>
  <c r="AH16" i="13"/>
  <c r="AJ16" i="13" s="1"/>
  <c r="W21" i="13"/>
  <c r="AL21" i="13" s="1"/>
  <c r="AI25" i="13"/>
  <c r="V30" i="13"/>
  <c r="Z30" i="13" s="1"/>
  <c r="AH51" i="13"/>
  <c r="AJ51" i="13" s="1"/>
  <c r="W57" i="13"/>
  <c r="AL57" i="13" s="1"/>
  <c r="W66" i="13"/>
  <c r="V76" i="13"/>
  <c r="Z76" i="13" s="1"/>
  <c r="V85" i="13"/>
  <c r="Z85" i="13" s="1"/>
  <c r="V95" i="13"/>
  <c r="Z95" i="13" s="1"/>
  <c r="V97" i="13"/>
  <c r="Z97" i="13" s="1"/>
  <c r="AH108" i="13"/>
  <c r="AJ108" i="13" s="1"/>
  <c r="V112" i="13"/>
  <c r="Z112" i="13" s="1"/>
  <c r="AH125" i="13"/>
  <c r="AJ125" i="13" s="1"/>
  <c r="AH133" i="13"/>
  <c r="AJ133" i="13" s="1"/>
  <c r="AH144" i="13"/>
  <c r="AJ144" i="13" s="1"/>
  <c r="V148" i="13"/>
  <c r="AH161" i="13"/>
  <c r="AJ161" i="13" s="1"/>
  <c r="V173" i="13"/>
  <c r="Z173" i="13" s="1"/>
  <c r="W191" i="13"/>
  <c r="AL191" i="13" s="1"/>
  <c r="AH193" i="13"/>
  <c r="AJ193" i="13" s="1"/>
  <c r="AH211" i="13"/>
  <c r="AJ211" i="13" s="1"/>
  <c r="AI244" i="13"/>
  <c r="AH254" i="13"/>
  <c r="AJ254" i="13" s="1"/>
  <c r="AH257" i="13"/>
  <c r="AJ257" i="13" s="1"/>
  <c r="AH278" i="13"/>
  <c r="AJ278" i="13" s="1"/>
  <c r="V282" i="13"/>
  <c r="Z282" i="13" s="1"/>
  <c r="AH292" i="13"/>
  <c r="AJ292" i="13" s="1"/>
  <c r="AI301" i="13"/>
  <c r="V320" i="13"/>
  <c r="AH361" i="13"/>
  <c r="AJ361" i="13" s="1"/>
  <c r="V365" i="13"/>
  <c r="W368" i="13"/>
  <c r="V371" i="13"/>
  <c r="Z371" i="13" s="1"/>
  <c r="W374" i="13"/>
  <c r="V381" i="13"/>
  <c r="Z381" i="13" s="1"/>
  <c r="V384" i="13"/>
  <c r="AI387" i="13"/>
  <c r="V390" i="13"/>
  <c r="V413" i="13"/>
  <c r="AH432" i="13"/>
  <c r="AJ432" i="13" s="1"/>
  <c r="AH435" i="13"/>
  <c r="AJ435" i="13" s="1"/>
  <c r="BH353" i="13"/>
  <c r="BC349" i="13"/>
  <c r="AI91" i="13"/>
  <c r="AI106" i="13"/>
  <c r="W123" i="13"/>
  <c r="AI142" i="13"/>
  <c r="V164" i="13"/>
  <c r="W167" i="13"/>
  <c r="AL167" i="13" s="1"/>
  <c r="AI205" i="13"/>
  <c r="AI241" i="13"/>
  <c r="W249" i="13"/>
  <c r="AH261" i="13"/>
  <c r="AJ261" i="13" s="1"/>
  <c r="AH264" i="13"/>
  <c r="AJ264" i="13" s="1"/>
  <c r="W276" i="13"/>
  <c r="AL276" i="13" s="1"/>
  <c r="AH313" i="13"/>
  <c r="AJ313" i="13" s="1"/>
  <c r="W338" i="13"/>
  <c r="AL338" i="13" s="1"/>
  <c r="AH340" i="13"/>
  <c r="AJ340" i="13" s="1"/>
  <c r="W356" i="13"/>
  <c r="AL356" i="13" s="1"/>
  <c r="AI410" i="13"/>
  <c r="AH426" i="13"/>
  <c r="AJ426" i="13" s="1"/>
  <c r="BA353" i="13"/>
  <c r="V35" i="13"/>
  <c r="Z35" i="13" s="1"/>
  <c r="V64" i="13"/>
  <c r="Z64" i="13" s="1"/>
  <c r="AH95" i="13"/>
  <c r="AJ95" i="13" s="1"/>
  <c r="V107" i="13"/>
  <c r="Z107" i="13" s="1"/>
  <c r="AI112" i="13"/>
  <c r="V126" i="13"/>
  <c r="W129" i="13"/>
  <c r="V143" i="13"/>
  <c r="Z143" i="13" s="1"/>
  <c r="AI148" i="13"/>
  <c r="V162" i="13"/>
  <c r="Z162" i="13" s="1"/>
  <c r="AH164" i="13"/>
  <c r="AJ164" i="13" s="1"/>
  <c r="AH167" i="13"/>
  <c r="AJ167" i="13" s="1"/>
  <c r="AH173" i="13"/>
  <c r="AJ173" i="13" s="1"/>
  <c r="AH176" i="13"/>
  <c r="AJ176" i="13" s="1"/>
  <c r="AH182" i="13"/>
  <c r="AJ182" i="13" s="1"/>
  <c r="AH197" i="13"/>
  <c r="AJ197" i="13" s="1"/>
  <c r="V206" i="13"/>
  <c r="Z206" i="13" s="1"/>
  <c r="V215" i="13"/>
  <c r="AH224" i="13"/>
  <c r="AJ224" i="13" s="1"/>
  <c r="V233" i="13"/>
  <c r="Z233" i="13" s="1"/>
  <c r="V262" i="13"/>
  <c r="AH276" i="13"/>
  <c r="AJ276" i="13" s="1"/>
  <c r="V279" i="13"/>
  <c r="Z279" i="13" s="1"/>
  <c r="AI282" i="13"/>
  <c r="AH320" i="13"/>
  <c r="AJ320" i="13" s="1"/>
  <c r="W324" i="13"/>
  <c r="AL324" i="13" s="1"/>
  <c r="W336" i="13"/>
  <c r="AL336" i="13" s="1"/>
  <c r="AH338" i="13"/>
  <c r="AJ338" i="13" s="1"/>
  <c r="V341" i="13"/>
  <c r="Z341" i="13" s="1"/>
  <c r="V344" i="13"/>
  <c r="AH350" i="13"/>
  <c r="AJ350" i="13" s="1"/>
  <c r="W354" i="13"/>
  <c r="AL354" i="13" s="1"/>
  <c r="AH356" i="13"/>
  <c r="AJ356" i="13" s="1"/>
  <c r="V369" i="13"/>
  <c r="AI371" i="13"/>
  <c r="V375" i="13"/>
  <c r="Z375" i="13" s="1"/>
  <c r="AH401" i="13"/>
  <c r="AJ401" i="13" s="1"/>
  <c r="V405" i="13"/>
  <c r="Z405" i="13" s="1"/>
  <c r="V411" i="13"/>
  <c r="W421" i="13"/>
  <c r="AH442" i="13"/>
  <c r="AJ442" i="13" s="1"/>
  <c r="AW371" i="13"/>
  <c r="AI13" i="13"/>
  <c r="V18" i="13"/>
  <c r="Z18" i="13" s="1"/>
  <c r="AH22" i="13"/>
  <c r="AJ22" i="13" s="1"/>
  <c r="V73" i="13"/>
  <c r="Z73" i="13" s="1"/>
  <c r="AH92" i="13"/>
  <c r="AJ92" i="13" s="1"/>
  <c r="W171" i="13"/>
  <c r="W189" i="13"/>
  <c r="AI212" i="13"/>
  <c r="V230" i="13"/>
  <c r="AH242" i="13"/>
  <c r="AJ242" i="13" s="1"/>
  <c r="AH258" i="13"/>
  <c r="AJ258" i="13" s="1"/>
  <c r="AH289" i="13"/>
  <c r="AJ289" i="13" s="1"/>
  <c r="V309" i="13"/>
  <c r="Z309" i="13" s="1"/>
  <c r="AI317" i="13"/>
  <c r="V327" i="13"/>
  <c r="AI347" i="13"/>
  <c r="V366" i="13"/>
  <c r="Z366" i="13" s="1"/>
  <c r="BL234" i="13"/>
  <c r="BL233" i="13"/>
  <c r="BG348" i="13"/>
  <c r="BL232" i="13"/>
  <c r="W168" i="13"/>
  <c r="AL168" i="13" s="1"/>
  <c r="AH309" i="13"/>
  <c r="AJ309" i="13" s="1"/>
  <c r="AH327" i="13"/>
  <c r="AJ327" i="13" s="1"/>
  <c r="V339" i="13"/>
  <c r="Z339" i="13" s="1"/>
  <c r="V357" i="13"/>
  <c r="Z357" i="13" s="1"/>
  <c r="W17" i="13"/>
  <c r="AL17" i="13" s="1"/>
  <c r="W23" i="13"/>
  <c r="AL23" i="13" s="1"/>
  <c r="W29" i="13"/>
  <c r="AL29" i="13" s="1"/>
  <c r="AH17" i="13"/>
  <c r="AJ17" i="13" s="1"/>
  <c r="AH23" i="13"/>
  <c r="AJ23" i="13" s="1"/>
  <c r="AH29" i="13"/>
  <c r="AJ29" i="13" s="1"/>
  <c r="AH35" i="13"/>
  <c r="AJ35" i="13" s="1"/>
  <c r="V27" i="13"/>
  <c r="Z27" i="13" s="1"/>
  <c r="V36" i="13"/>
  <c r="AH37" i="13"/>
  <c r="AJ37" i="13" s="1"/>
  <c r="V34" i="13"/>
  <c r="V16" i="13"/>
  <c r="AI18" i="13"/>
  <c r="V22" i="13"/>
  <c r="Z22" i="13" s="1"/>
  <c r="AI24" i="13"/>
  <c r="V28" i="13"/>
  <c r="Z28" i="13" s="1"/>
  <c r="AI30" i="13"/>
  <c r="AH36" i="13"/>
  <c r="AJ36" i="13" s="1"/>
  <c r="W37" i="13"/>
  <c r="AL37" i="13" s="1"/>
  <c r="AH7" i="13"/>
  <c r="AJ7" i="13" s="1"/>
  <c r="AH11" i="13"/>
  <c r="AJ11" i="13" s="1"/>
  <c r="W11" i="13"/>
  <c r="AL11" i="13" s="1"/>
  <c r="V12" i="13"/>
  <c r="W9" i="13"/>
  <c r="AL9" i="13" s="1"/>
  <c r="AI12" i="13"/>
  <c r="V10" i="13"/>
  <c r="Z10" i="13" s="1"/>
  <c r="AI6" i="13"/>
  <c r="AI10" i="13"/>
  <c r="E57" i="19"/>
  <c r="E46" i="19"/>
  <c r="E58" i="19"/>
  <c r="E43" i="19"/>
  <c r="E47" i="19"/>
  <c r="E55" i="19"/>
  <c r="E52" i="19"/>
  <c r="E56" i="19"/>
  <c r="B25" i="22"/>
  <c r="B22" i="22"/>
  <c r="B24" i="22"/>
  <c r="B23" i="22"/>
  <c r="B26" i="22"/>
  <c r="BW409" i="13"/>
  <c r="BL230" i="13"/>
  <c r="BL415" i="13"/>
  <c r="BL236" i="13"/>
  <c r="BL235" i="13"/>
  <c r="CC386" i="13"/>
  <c r="BI345" i="13"/>
  <c r="BH357" i="13"/>
  <c r="BG369" i="13"/>
  <c r="BG345" i="13"/>
  <c r="BF341" i="13"/>
  <c r="BE341" i="13"/>
  <c r="BD345" i="13"/>
  <c r="BC345" i="13"/>
  <c r="AZ353" i="13"/>
  <c r="AW345" i="13"/>
  <c r="BI357" i="13"/>
  <c r="BH356" i="13"/>
  <c r="BH345" i="13"/>
  <c r="BF353" i="13"/>
  <c r="BF337" i="13"/>
  <c r="BD341" i="13"/>
  <c r="AY337" i="13"/>
  <c r="BI356" i="13"/>
  <c r="BI337" i="13"/>
  <c r="BH341" i="13"/>
  <c r="BG349" i="13"/>
  <c r="BG337" i="13"/>
  <c r="BF349" i="13"/>
  <c r="BE365" i="13"/>
  <c r="BD353" i="13"/>
  <c r="BC363" i="13"/>
  <c r="BB345" i="13"/>
  <c r="AX359" i="13"/>
  <c r="CD389" i="13"/>
  <c r="BP413" i="13"/>
  <c r="BL366" i="13"/>
  <c r="AZ368" i="13"/>
  <c r="AX360" i="13"/>
  <c r="AW356" i="13"/>
  <c r="BH340" i="13"/>
  <c r="BG360" i="13"/>
  <c r="BF344" i="13"/>
  <c r="BE352" i="13"/>
  <c r="BB360" i="13"/>
  <c r="BG356" i="13"/>
  <c r="AZ352" i="13"/>
  <c r="AX344" i="13"/>
  <c r="AW340" i="13"/>
  <c r="AU356" i="13"/>
  <c r="BI336" i="13"/>
  <c r="BF352" i="13"/>
  <c r="BD352" i="13"/>
  <c r="BD340" i="13"/>
  <c r="BB353" i="13"/>
  <c r="BA352" i="13"/>
  <c r="AZ344" i="13"/>
  <c r="BI344" i="13"/>
  <c r="BH344" i="13"/>
  <c r="BG352" i="13"/>
  <c r="BG344" i="13"/>
  <c r="BC344" i="13"/>
  <c r="BB352" i="13"/>
  <c r="AY352" i="13"/>
  <c r="AV352" i="13"/>
  <c r="AU352" i="13"/>
  <c r="BI352" i="13"/>
  <c r="BH352" i="13"/>
  <c r="BG340" i="13"/>
  <c r="BC352" i="13"/>
  <c r="AY344" i="13"/>
  <c r="AX352" i="13"/>
  <c r="AU340" i="13"/>
  <c r="AU353" i="13"/>
  <c r="AQ353" i="13"/>
  <c r="BL140" i="13"/>
  <c r="AY353" i="13"/>
  <c r="AX348" i="13"/>
  <c r="AW352" i="13"/>
  <c r="AT352" i="13"/>
  <c r="AW347" i="13"/>
  <c r="AY351" i="13"/>
  <c r="W74" i="13"/>
  <c r="AL74" i="13" s="1"/>
  <c r="V74" i="13"/>
  <c r="AI93" i="13"/>
  <c r="AH93" i="13"/>
  <c r="AJ93" i="13" s="1"/>
  <c r="W110" i="13"/>
  <c r="AL110" i="13" s="1"/>
  <c r="V110" i="13"/>
  <c r="W116" i="13"/>
  <c r="AL116" i="13" s="1"/>
  <c r="V116" i="13"/>
  <c r="AC116" i="13" s="1"/>
  <c r="W122" i="13"/>
  <c r="AL122" i="13" s="1"/>
  <c r="V122" i="13"/>
  <c r="W128" i="13"/>
  <c r="AL128" i="13" s="1"/>
  <c r="V128" i="13"/>
  <c r="AC128" i="13" s="1"/>
  <c r="W134" i="13"/>
  <c r="AL134" i="13" s="1"/>
  <c r="V134" i="13"/>
  <c r="W140" i="13"/>
  <c r="AL140" i="13" s="1"/>
  <c r="V140" i="13"/>
  <c r="AC140" i="13" s="1"/>
  <c r="W146" i="13"/>
  <c r="AL146" i="13" s="1"/>
  <c r="V146" i="13"/>
  <c r="W152" i="13"/>
  <c r="AL152" i="13" s="1"/>
  <c r="V152" i="13"/>
  <c r="W158" i="13"/>
  <c r="AL158" i="13" s="1"/>
  <c r="V158" i="13"/>
  <c r="AC158" i="13" s="1"/>
  <c r="W188" i="13"/>
  <c r="AL188" i="13" s="1"/>
  <c r="V188" i="13"/>
  <c r="AC188" i="13" s="1"/>
  <c r="AI234" i="13"/>
  <c r="AH234" i="13"/>
  <c r="AJ234" i="13" s="1"/>
  <c r="AI255" i="13"/>
  <c r="AH255" i="13"/>
  <c r="AJ255" i="13" s="1"/>
  <c r="V7" i="13"/>
  <c r="AH8" i="13"/>
  <c r="AJ8" i="13" s="1"/>
  <c r="V13" i="13"/>
  <c r="AH14" i="13"/>
  <c r="AJ14" i="13" s="1"/>
  <c r="V19" i="13"/>
  <c r="Z19" i="13" s="1"/>
  <c r="AH20" i="13"/>
  <c r="AJ20" i="13" s="1"/>
  <c r="V25" i="13"/>
  <c r="AH26" i="13"/>
  <c r="AJ26" i="13" s="1"/>
  <c r="V31" i="13"/>
  <c r="AH32" i="13"/>
  <c r="AJ32" i="13" s="1"/>
  <c r="AH39" i="13"/>
  <c r="AJ39" i="13" s="1"/>
  <c r="AI40" i="13"/>
  <c r="V41" i="13"/>
  <c r="Z41" i="13" s="1"/>
  <c r="V42" i="13"/>
  <c r="V49" i="13"/>
  <c r="Z49" i="13" s="1"/>
  <c r="AH54" i="13"/>
  <c r="AJ54" i="13" s="1"/>
  <c r="V56" i="13"/>
  <c r="Z56" i="13" s="1"/>
  <c r="AH61" i="13"/>
  <c r="AJ61" i="13" s="1"/>
  <c r="W63" i="13"/>
  <c r="AL63" i="13" s="1"/>
  <c r="W68" i="13"/>
  <c r="AL68" i="13" s="1"/>
  <c r="V68" i="13"/>
  <c r="AH79" i="13"/>
  <c r="AJ79" i="13" s="1"/>
  <c r="AH86" i="13"/>
  <c r="AJ86" i="13" s="1"/>
  <c r="V90" i="13"/>
  <c r="W104" i="13"/>
  <c r="AL104" i="13" s="1"/>
  <c r="V104" i="13"/>
  <c r="V109" i="13"/>
  <c r="Z109" i="13" s="1"/>
  <c r="V115" i="13"/>
  <c r="V121" i="13"/>
  <c r="Z121" i="13" s="1"/>
  <c r="V127" i="13"/>
  <c r="V133" i="13"/>
  <c r="Z133" i="13" s="1"/>
  <c r="V139" i="13"/>
  <c r="V145" i="13"/>
  <c r="Z145" i="13" s="1"/>
  <c r="V151" i="13"/>
  <c r="Z151" i="13" s="1"/>
  <c r="V157" i="13"/>
  <c r="Z157" i="13" s="1"/>
  <c r="V163" i="13"/>
  <c r="AI177" i="13"/>
  <c r="AH177" i="13"/>
  <c r="AJ177" i="13" s="1"/>
  <c r="AH180" i="13"/>
  <c r="AJ180" i="13" s="1"/>
  <c r="AI180" i="13"/>
  <c r="W185" i="13"/>
  <c r="AL185" i="13" s="1"/>
  <c r="BZ366" i="13"/>
  <c r="V8" i="13"/>
  <c r="Z8" i="13" s="1"/>
  <c r="AH9" i="13"/>
  <c r="AJ9" i="13" s="1"/>
  <c r="V14" i="13"/>
  <c r="AH15" i="13"/>
  <c r="AJ15" i="13" s="1"/>
  <c r="V20" i="13"/>
  <c r="Z20" i="13" s="1"/>
  <c r="AH21" i="13"/>
  <c r="AJ21" i="13" s="1"/>
  <c r="V26" i="13"/>
  <c r="AH27" i="13"/>
  <c r="AJ27" i="13" s="1"/>
  <c r="V32" i="13"/>
  <c r="W33" i="13"/>
  <c r="AL33" i="13" s="1"/>
  <c r="AH38" i="13"/>
  <c r="AJ38" i="13" s="1"/>
  <c r="AH45" i="13"/>
  <c r="AJ45" i="13" s="1"/>
  <c r="AI46" i="13"/>
  <c r="V47" i="13"/>
  <c r="Z47" i="13" s="1"/>
  <c r="V48" i="13"/>
  <c r="V55" i="13"/>
  <c r="Z55" i="13" s="1"/>
  <c r="AH60" i="13"/>
  <c r="AJ60" i="13" s="1"/>
  <c r="V62" i="13"/>
  <c r="Z62" i="13" s="1"/>
  <c r="AH67" i="13"/>
  <c r="AJ67" i="13" s="1"/>
  <c r="AH73" i="13"/>
  <c r="AJ73" i="13" s="1"/>
  <c r="AH80" i="13"/>
  <c r="AJ80" i="13" s="1"/>
  <c r="V84" i="13"/>
  <c r="AI87" i="13"/>
  <c r="AH87" i="13"/>
  <c r="AJ87" i="13" s="1"/>
  <c r="V103" i="13"/>
  <c r="Z103" i="13" s="1"/>
  <c r="AI105" i="13"/>
  <c r="AH105" i="13"/>
  <c r="AJ105" i="13" s="1"/>
  <c r="AH110" i="13"/>
  <c r="AJ110" i="13" s="1"/>
  <c r="AI111" i="13"/>
  <c r="AH111" i="13"/>
  <c r="AJ111" i="13" s="1"/>
  <c r="AH116" i="13"/>
  <c r="AJ116" i="13" s="1"/>
  <c r="AI117" i="13"/>
  <c r="AH117" i="13"/>
  <c r="AJ117" i="13" s="1"/>
  <c r="AH122" i="13"/>
  <c r="AJ122" i="13" s="1"/>
  <c r="AI123" i="13"/>
  <c r="AH123" i="13"/>
  <c r="AJ123" i="13" s="1"/>
  <c r="AH128" i="13"/>
  <c r="AJ128" i="13" s="1"/>
  <c r="AI129" i="13"/>
  <c r="AH129" i="13"/>
  <c r="AJ129" i="13" s="1"/>
  <c r="AH134" i="13"/>
  <c r="AJ134" i="13" s="1"/>
  <c r="AI135" i="13"/>
  <c r="AH135" i="13"/>
  <c r="AJ135" i="13" s="1"/>
  <c r="AH140" i="13"/>
  <c r="AJ140" i="13" s="1"/>
  <c r="AI141" i="13"/>
  <c r="AH141" i="13"/>
  <c r="AJ141" i="13" s="1"/>
  <c r="AH146" i="13"/>
  <c r="AJ146" i="13" s="1"/>
  <c r="AI147" i="13"/>
  <c r="AH147" i="13"/>
  <c r="AJ147" i="13" s="1"/>
  <c r="AH152" i="13"/>
  <c r="AJ152" i="13" s="1"/>
  <c r="AI153" i="13"/>
  <c r="AH153" i="13"/>
  <c r="AJ153" i="13" s="1"/>
  <c r="AH158" i="13"/>
  <c r="AJ158" i="13" s="1"/>
  <c r="AI159" i="13"/>
  <c r="AH159" i="13"/>
  <c r="AJ159" i="13" s="1"/>
  <c r="AH168" i="13"/>
  <c r="AJ168" i="13" s="1"/>
  <c r="AH220" i="13"/>
  <c r="AJ220" i="13" s="1"/>
  <c r="AI220" i="13"/>
  <c r="BL148" i="13"/>
  <c r="BY335" i="13"/>
  <c r="BM364" i="13"/>
  <c r="AI81" i="13"/>
  <c r="AH81" i="13"/>
  <c r="AJ81" i="13" s="1"/>
  <c r="W92" i="13"/>
  <c r="AL92" i="13" s="1"/>
  <c r="V92" i="13"/>
  <c r="W98" i="13"/>
  <c r="AL98" i="13" s="1"/>
  <c r="V98" i="13"/>
  <c r="V170" i="13"/>
  <c r="Z170" i="13" s="1"/>
  <c r="AH174" i="13"/>
  <c r="AJ174" i="13" s="1"/>
  <c r="W182" i="13"/>
  <c r="AL182" i="13" s="1"/>
  <c r="V182" i="13"/>
  <c r="AC182" i="13" s="1"/>
  <c r="V207" i="13"/>
  <c r="W207" i="13"/>
  <c r="AL207" i="13" s="1"/>
  <c r="W212" i="13"/>
  <c r="V212" i="13"/>
  <c r="AC212" i="13" s="1"/>
  <c r="V225" i="13"/>
  <c r="AC225" i="13" s="1"/>
  <c r="W225" i="13"/>
  <c r="AL225" i="13" s="1"/>
  <c r="AI291" i="13"/>
  <c r="AH291" i="13"/>
  <c r="AJ291" i="13" s="1"/>
  <c r="BN323" i="13"/>
  <c r="AI75" i="13"/>
  <c r="AH75" i="13"/>
  <c r="AJ75" i="13" s="1"/>
  <c r="W86" i="13"/>
  <c r="AL86" i="13" s="1"/>
  <c r="V86" i="13"/>
  <c r="Z86" i="13" s="1"/>
  <c r="AI99" i="13"/>
  <c r="AH99" i="13"/>
  <c r="AJ99" i="13" s="1"/>
  <c r="W169" i="13"/>
  <c r="V169" i="13"/>
  <c r="AI194" i="13"/>
  <c r="AH194" i="13"/>
  <c r="AJ194" i="13" s="1"/>
  <c r="W211" i="13"/>
  <c r="AL211" i="13" s="1"/>
  <c r="V211" i="13"/>
  <c r="AI219" i="13"/>
  <c r="AH219" i="13"/>
  <c r="AJ219" i="13" s="1"/>
  <c r="W239" i="13"/>
  <c r="V239" i="13"/>
  <c r="W240" i="13"/>
  <c r="AL240" i="13" s="1"/>
  <c r="V240" i="13"/>
  <c r="AI247" i="13"/>
  <c r="AH247" i="13"/>
  <c r="AJ247" i="13" s="1"/>
  <c r="W270" i="13"/>
  <c r="AL270" i="13" s="1"/>
  <c r="V270" i="13"/>
  <c r="BL144" i="13"/>
  <c r="V44" i="13"/>
  <c r="Z44" i="13" s="1"/>
  <c r="W51" i="13"/>
  <c r="AL51" i="13" s="1"/>
  <c r="AH63" i="13"/>
  <c r="AJ63" i="13" s="1"/>
  <c r="AI64" i="13"/>
  <c r="AI69" i="13"/>
  <c r="AH69" i="13"/>
  <c r="AJ69" i="13" s="1"/>
  <c r="V79" i="13"/>
  <c r="Z79" i="13" s="1"/>
  <c r="W80" i="13"/>
  <c r="AL80" i="13" s="1"/>
  <c r="V80" i="13"/>
  <c r="AH98" i="13"/>
  <c r="AJ98" i="13" s="1"/>
  <c r="V175" i="13"/>
  <c r="Z175" i="13" s="1"/>
  <c r="V179" i="13"/>
  <c r="W179" i="13"/>
  <c r="AL179" i="13" s="1"/>
  <c r="AI186" i="13"/>
  <c r="AH202" i="13"/>
  <c r="AJ202" i="13" s="1"/>
  <c r="AI202" i="13"/>
  <c r="W229" i="13"/>
  <c r="V229" i="13"/>
  <c r="AI230" i="13"/>
  <c r="AH230" i="13"/>
  <c r="AJ230" i="13" s="1"/>
  <c r="AI171" i="13"/>
  <c r="AH171" i="13"/>
  <c r="AJ171" i="13" s="1"/>
  <c r="W176" i="13"/>
  <c r="AL176" i="13" s="1"/>
  <c r="V176" i="13"/>
  <c r="AI216" i="13"/>
  <c r="AH216" i="13"/>
  <c r="AJ216" i="13" s="1"/>
  <c r="AI237" i="13"/>
  <c r="AH237" i="13"/>
  <c r="AJ237" i="13" s="1"/>
  <c r="W246" i="13"/>
  <c r="V246" i="13"/>
  <c r="AC246" i="13" s="1"/>
  <c r="W248" i="13"/>
  <c r="V248" i="13"/>
  <c r="W269" i="13"/>
  <c r="V269" i="13"/>
  <c r="W300" i="13"/>
  <c r="AL300" i="13" s="1"/>
  <c r="V300" i="13"/>
  <c r="V69" i="13"/>
  <c r="Z69" i="13" s="1"/>
  <c r="AH70" i="13"/>
  <c r="AJ70" i="13" s="1"/>
  <c r="V75" i="13"/>
  <c r="Z75" i="13" s="1"/>
  <c r="AH76" i="13"/>
  <c r="AJ76" i="13" s="1"/>
  <c r="V81" i="13"/>
  <c r="AH82" i="13"/>
  <c r="AJ82" i="13" s="1"/>
  <c r="V87" i="13"/>
  <c r="Z87" i="13" s="1"/>
  <c r="AH88" i="13"/>
  <c r="AJ88" i="13" s="1"/>
  <c r="V93" i="13"/>
  <c r="Z93" i="13" s="1"/>
  <c r="AH94" i="13"/>
  <c r="AJ94" i="13" s="1"/>
  <c r="V99" i="13"/>
  <c r="Z99" i="13" s="1"/>
  <c r="AH100" i="13"/>
  <c r="AJ100" i="13" s="1"/>
  <c r="V105" i="13"/>
  <c r="AH165" i="13"/>
  <c r="AJ165" i="13" s="1"/>
  <c r="AI166" i="13"/>
  <c r="AH188" i="13"/>
  <c r="AJ188" i="13" s="1"/>
  <c r="AI195" i="13"/>
  <c r="AH195" i="13"/>
  <c r="AJ195" i="13" s="1"/>
  <c r="AI201" i="13"/>
  <c r="AH201" i="13"/>
  <c r="AJ201" i="13" s="1"/>
  <c r="W203" i="13"/>
  <c r="V203" i="13"/>
  <c r="AC203" i="13" s="1"/>
  <c r="AH217" i="13"/>
  <c r="AJ217" i="13" s="1"/>
  <c r="W221" i="13"/>
  <c r="V221" i="13"/>
  <c r="AC221" i="13" s="1"/>
  <c r="W222" i="13"/>
  <c r="V222" i="13"/>
  <c r="AC222" i="13" s="1"/>
  <c r="AI246" i="13"/>
  <c r="AH246" i="13"/>
  <c r="AJ246" i="13" s="1"/>
  <c r="AI248" i="13"/>
  <c r="AH248" i="13"/>
  <c r="AJ248" i="13" s="1"/>
  <c r="AI189" i="13"/>
  <c r="AH189" i="13"/>
  <c r="AJ189" i="13" s="1"/>
  <c r="W200" i="13"/>
  <c r="V200" i="13"/>
  <c r="AC200" i="13" s="1"/>
  <c r="W204" i="13"/>
  <c r="AL204" i="13" s="1"/>
  <c r="V204" i="13"/>
  <c r="AH238" i="13"/>
  <c r="AJ238" i="13" s="1"/>
  <c r="AI238" i="13"/>
  <c r="AI183" i="13"/>
  <c r="AH183" i="13"/>
  <c r="AJ183" i="13" s="1"/>
  <c r="W194" i="13"/>
  <c r="V194" i="13"/>
  <c r="W218" i="13"/>
  <c r="AL218" i="13" s="1"/>
  <c r="V218" i="13"/>
  <c r="AC218" i="13" s="1"/>
  <c r="AI223" i="13"/>
  <c r="AH223" i="13"/>
  <c r="AJ223" i="13" s="1"/>
  <c r="W236" i="13"/>
  <c r="V236" i="13"/>
  <c r="AC236" i="13" s="1"/>
  <c r="W247" i="13"/>
  <c r="V247" i="13"/>
  <c r="AI259" i="13"/>
  <c r="AH259" i="13"/>
  <c r="AJ259" i="13" s="1"/>
  <c r="AI284" i="13"/>
  <c r="AH284" i="13"/>
  <c r="AJ284" i="13" s="1"/>
  <c r="W242" i="13"/>
  <c r="AL242" i="13" s="1"/>
  <c r="V242" i="13"/>
  <c r="AC242" i="13" s="1"/>
  <c r="W264" i="13"/>
  <c r="AL264" i="13" s="1"/>
  <c r="V264" i="13"/>
  <c r="AC264" i="13" s="1"/>
  <c r="AI271" i="13"/>
  <c r="AH271" i="13"/>
  <c r="AJ271" i="13" s="1"/>
  <c r="AH305" i="13"/>
  <c r="AJ305" i="13" s="1"/>
  <c r="AI305" i="13"/>
  <c r="W407" i="13"/>
  <c r="AL407" i="13" s="1"/>
  <c r="V407" i="13"/>
  <c r="AI454" i="13"/>
  <c r="AH454" i="13"/>
  <c r="AJ454" i="13" s="1"/>
  <c r="AH207" i="13"/>
  <c r="AJ207" i="13" s="1"/>
  <c r="AI208" i="13"/>
  <c r="V224" i="13"/>
  <c r="W231" i="13"/>
  <c r="AL231" i="13" s="1"/>
  <c r="AI243" i="13"/>
  <c r="AH243" i="13"/>
  <c r="AJ243" i="13" s="1"/>
  <c r="V263" i="13"/>
  <c r="Z263" i="13" s="1"/>
  <c r="AI265" i="13"/>
  <c r="AH265" i="13"/>
  <c r="AJ265" i="13" s="1"/>
  <c r="AH270" i="13"/>
  <c r="AJ270" i="13" s="1"/>
  <c r="W285" i="13"/>
  <c r="V285" i="13"/>
  <c r="AI286" i="13"/>
  <c r="AH286" i="13"/>
  <c r="AJ286" i="13" s="1"/>
  <c r="AI290" i="13"/>
  <c r="AH290" i="13"/>
  <c r="AJ290" i="13" s="1"/>
  <c r="AH315" i="13"/>
  <c r="AJ315" i="13" s="1"/>
  <c r="AI315" i="13"/>
  <c r="AI249" i="13"/>
  <c r="AH249" i="13"/>
  <c r="AJ249" i="13" s="1"/>
  <c r="V258" i="13"/>
  <c r="Z258" i="13" s="1"/>
  <c r="W259" i="13"/>
  <c r="V259" i="13"/>
  <c r="AC259" i="13" s="1"/>
  <c r="V314" i="13"/>
  <c r="W314" i="13"/>
  <c r="W254" i="13"/>
  <c r="AL254" i="13" s="1"/>
  <c r="V254" i="13"/>
  <c r="W280" i="13"/>
  <c r="AL280" i="13" s="1"/>
  <c r="V280" i="13"/>
  <c r="V307" i="13"/>
  <c r="W307" i="13"/>
  <c r="AL307" i="13" s="1"/>
  <c r="AH333" i="13"/>
  <c r="AJ333" i="13" s="1"/>
  <c r="AI333" i="13"/>
  <c r="AI358" i="13"/>
  <c r="AH358" i="13"/>
  <c r="AJ358" i="13" s="1"/>
  <c r="AI403" i="13"/>
  <c r="AH403" i="13"/>
  <c r="AJ403" i="13" s="1"/>
  <c r="AH260" i="13"/>
  <c r="AJ260" i="13" s="1"/>
  <c r="V265" i="13"/>
  <c r="AH266" i="13"/>
  <c r="AJ266" i="13" s="1"/>
  <c r="V271" i="13"/>
  <c r="Z271" i="13" s="1"/>
  <c r="AH272" i="13"/>
  <c r="AJ272" i="13" s="1"/>
  <c r="V278" i="13"/>
  <c r="Z278" i="13" s="1"/>
  <c r="AH279" i="13"/>
  <c r="AJ279" i="13" s="1"/>
  <c r="AI281" i="13"/>
  <c r="AH281" i="13"/>
  <c r="AJ281" i="13" s="1"/>
  <c r="V292" i="13"/>
  <c r="AC292" i="13" s="1"/>
  <c r="W292" i="13"/>
  <c r="AL292" i="13" s="1"/>
  <c r="AI308" i="13"/>
  <c r="W322" i="13"/>
  <c r="AH267" i="13"/>
  <c r="AJ267" i="13" s="1"/>
  <c r="V272" i="13"/>
  <c r="AH273" i="13"/>
  <c r="AJ273" i="13" s="1"/>
  <c r="W286" i="13"/>
  <c r="V286" i="13"/>
  <c r="V310" i="13"/>
  <c r="AC310" i="13" s="1"/>
  <c r="W310" i="13"/>
  <c r="AL310" i="13" s="1"/>
  <c r="V319" i="13"/>
  <c r="Z319" i="13" s="1"/>
  <c r="W342" i="13"/>
  <c r="AL342" i="13" s="1"/>
  <c r="AH274" i="13"/>
  <c r="AJ274" i="13" s="1"/>
  <c r="AI275" i="13"/>
  <c r="AI297" i="13"/>
  <c r="AH297" i="13"/>
  <c r="AJ297" i="13" s="1"/>
  <c r="AH298" i="13"/>
  <c r="AJ298" i="13" s="1"/>
  <c r="AI299" i="13"/>
  <c r="W304" i="13"/>
  <c r="AH335" i="13"/>
  <c r="AJ335" i="13" s="1"/>
  <c r="AI335" i="13"/>
  <c r="V346" i="13"/>
  <c r="W346" i="13"/>
  <c r="AL346" i="13" s="1"/>
  <c r="AH349" i="13"/>
  <c r="AJ349" i="13" s="1"/>
  <c r="AI349" i="13"/>
  <c r="W418" i="13"/>
  <c r="AL418" i="13" s="1"/>
  <c r="V418" i="13"/>
  <c r="AC418" i="13" s="1"/>
  <c r="AI304" i="13"/>
  <c r="AH304" i="13"/>
  <c r="AJ304" i="13" s="1"/>
  <c r="AI322" i="13"/>
  <c r="AH322" i="13"/>
  <c r="AJ322" i="13" s="1"/>
  <c r="W326" i="13"/>
  <c r="V326" i="13"/>
  <c r="AC326" i="13" s="1"/>
  <c r="V328" i="13"/>
  <c r="W328" i="13"/>
  <c r="AL328" i="13" s="1"/>
  <c r="AH353" i="13"/>
  <c r="AJ353" i="13" s="1"/>
  <c r="AI353" i="13"/>
  <c r="AI373" i="13"/>
  <c r="AH373" i="13"/>
  <c r="AJ373" i="13" s="1"/>
  <c r="AH287" i="13"/>
  <c r="AJ287" i="13" s="1"/>
  <c r="V290" i="13"/>
  <c r="Z290" i="13" s="1"/>
  <c r="AH295" i="13"/>
  <c r="AJ295" i="13" s="1"/>
  <c r="V297" i="13"/>
  <c r="V308" i="13"/>
  <c r="V315" i="13"/>
  <c r="Z315" i="13" s="1"/>
  <c r="V318" i="13"/>
  <c r="Z318" i="13" s="1"/>
  <c r="AI319" i="13"/>
  <c r="W321" i="13"/>
  <c r="V321" i="13"/>
  <c r="AC321" i="13" s="1"/>
  <c r="V334" i="13"/>
  <c r="AC334" i="13" s="1"/>
  <c r="W334" i="13"/>
  <c r="AL334" i="13" s="1"/>
  <c r="AH341" i="13"/>
  <c r="AJ341" i="13" s="1"/>
  <c r="AI341" i="13"/>
  <c r="V345" i="13"/>
  <c r="AH346" i="13"/>
  <c r="AJ346" i="13" s="1"/>
  <c r="W306" i="13"/>
  <c r="AL306" i="13" s="1"/>
  <c r="AI331" i="13"/>
  <c r="AH331" i="13"/>
  <c r="AJ331" i="13" s="1"/>
  <c r="W333" i="13"/>
  <c r="V333" i="13"/>
  <c r="AH343" i="13"/>
  <c r="AJ343" i="13" s="1"/>
  <c r="AI343" i="13"/>
  <c r="AI345" i="13"/>
  <c r="AH345" i="13"/>
  <c r="AJ345" i="13" s="1"/>
  <c r="V350" i="13"/>
  <c r="V352" i="13"/>
  <c r="W352" i="13"/>
  <c r="AL352" i="13" s="1"/>
  <c r="AI365" i="13"/>
  <c r="W367" i="13"/>
  <c r="AL367" i="13" s="1"/>
  <c r="V367" i="13"/>
  <c r="W378" i="13"/>
  <c r="V378" i="13"/>
  <c r="Z378" i="13" s="1"/>
  <c r="W358" i="13"/>
  <c r="V358" i="13"/>
  <c r="AC358" i="13" s="1"/>
  <c r="AI359" i="13"/>
  <c r="AH359" i="13"/>
  <c r="AJ359" i="13" s="1"/>
  <c r="V364" i="13"/>
  <c r="AC364" i="13" s="1"/>
  <c r="W364" i="13"/>
  <c r="AL364" i="13" s="1"/>
  <c r="AI380" i="13"/>
  <c r="AH380" i="13"/>
  <c r="AJ380" i="13" s="1"/>
  <c r="W401" i="13"/>
  <c r="AL401" i="13" s="1"/>
  <c r="V401" i="13"/>
  <c r="AC401" i="13" s="1"/>
  <c r="AI323" i="13"/>
  <c r="AH334" i="13"/>
  <c r="AJ334" i="13" s="1"/>
  <c r="W348" i="13"/>
  <c r="V351" i="13"/>
  <c r="AH352" i="13"/>
  <c r="AJ352" i="13" s="1"/>
  <c r="AH377" i="13"/>
  <c r="AJ377" i="13" s="1"/>
  <c r="AI377" i="13"/>
  <c r="AH385" i="13"/>
  <c r="AJ385" i="13" s="1"/>
  <c r="AL450" i="13"/>
  <c r="AI448" i="13"/>
  <c r="AH448" i="13"/>
  <c r="AJ448" i="13" s="1"/>
  <c r="AI390" i="13"/>
  <c r="AH390" i="13"/>
  <c r="AJ390" i="13" s="1"/>
  <c r="AI439" i="13"/>
  <c r="AH439" i="13"/>
  <c r="AJ439" i="13" s="1"/>
  <c r="AI362" i="13"/>
  <c r="AH362" i="13"/>
  <c r="AJ362" i="13" s="1"/>
  <c r="W379" i="13"/>
  <c r="AL379" i="13" s="1"/>
  <c r="V379" i="13"/>
  <c r="AC379" i="13" s="1"/>
  <c r="W382" i="13"/>
  <c r="AL382" i="13" s="1"/>
  <c r="AH408" i="13"/>
  <c r="AJ408" i="13" s="1"/>
  <c r="AI408" i="13"/>
  <c r="AI374" i="13"/>
  <c r="AH374" i="13"/>
  <c r="AJ374" i="13" s="1"/>
  <c r="AI386" i="13"/>
  <c r="AH386" i="13"/>
  <c r="AJ386" i="13" s="1"/>
  <c r="W396" i="13"/>
  <c r="AL396" i="13" s="1"/>
  <c r="V396" i="13"/>
  <c r="AC396" i="13" s="1"/>
  <c r="AI397" i="13"/>
  <c r="AH397" i="13"/>
  <c r="AJ397" i="13" s="1"/>
  <c r="W391" i="13"/>
  <c r="AL391" i="13" s="1"/>
  <c r="V391" i="13"/>
  <c r="AC391" i="13" s="1"/>
  <c r="AI392" i="13"/>
  <c r="AH392" i="13"/>
  <c r="AJ392" i="13" s="1"/>
  <c r="AI368" i="13"/>
  <c r="AH368" i="13"/>
  <c r="AJ368" i="13" s="1"/>
  <c r="W373" i="13"/>
  <c r="V373" i="13"/>
  <c r="AC373" i="13" s="1"/>
  <c r="AH379" i="13"/>
  <c r="AJ379" i="13" s="1"/>
  <c r="W385" i="13"/>
  <c r="AL385" i="13" s="1"/>
  <c r="V385" i="13"/>
  <c r="AH396" i="13"/>
  <c r="AJ396" i="13" s="1"/>
  <c r="W403" i="13"/>
  <c r="V403" i="13"/>
  <c r="AC403" i="13" s="1"/>
  <c r="AI443" i="13"/>
  <c r="AI404" i="13"/>
  <c r="AH404" i="13"/>
  <c r="AJ404" i="13" s="1"/>
  <c r="W417" i="13"/>
  <c r="AL417" i="13" s="1"/>
  <c r="V417" i="13"/>
  <c r="W426" i="13"/>
  <c r="AL426" i="13" s="1"/>
  <c r="V426" i="13"/>
  <c r="AC426" i="13" s="1"/>
  <c r="AH391" i="13"/>
  <c r="AJ391" i="13" s="1"/>
  <c r="AI398" i="13"/>
  <c r="AH398" i="13"/>
  <c r="AJ398" i="13" s="1"/>
  <c r="V408" i="13"/>
  <c r="W409" i="13"/>
  <c r="AL409" i="13" s="1"/>
  <c r="V409" i="13"/>
  <c r="AC409" i="13" s="1"/>
  <c r="AH412" i="13"/>
  <c r="AJ412" i="13" s="1"/>
  <c r="AH414" i="13"/>
  <c r="AJ414" i="13" s="1"/>
  <c r="AI421" i="13"/>
  <c r="AH421" i="13"/>
  <c r="AJ421" i="13" s="1"/>
  <c r="W424" i="13"/>
  <c r="AL424" i="13" s="1"/>
  <c r="V424" i="13"/>
  <c r="AC424" i="13" s="1"/>
  <c r="AI436" i="13"/>
  <c r="AH436" i="13"/>
  <c r="AJ436" i="13" s="1"/>
  <c r="AI451" i="13"/>
  <c r="AH451" i="13"/>
  <c r="AJ451" i="13" s="1"/>
  <c r="W397" i="13"/>
  <c r="V397" i="13"/>
  <c r="AC397" i="13" s="1"/>
  <c r="W420" i="13"/>
  <c r="AL420" i="13" s="1"/>
  <c r="V420" i="13"/>
  <c r="AI425" i="13"/>
  <c r="AH425" i="13"/>
  <c r="AJ425" i="13" s="1"/>
  <c r="AL438" i="13"/>
  <c r="AI427" i="13"/>
  <c r="AH427" i="13"/>
  <c r="AJ427" i="13" s="1"/>
  <c r="V392" i="13"/>
  <c r="AH393" i="13"/>
  <c r="AJ393" i="13" s="1"/>
  <c r="V398" i="13"/>
  <c r="Z398" i="13" s="1"/>
  <c r="AH399" i="13"/>
  <c r="AJ399" i="13" s="1"/>
  <c r="V404" i="13"/>
  <c r="AH405" i="13"/>
  <c r="AJ405" i="13" s="1"/>
  <c r="W414" i="13"/>
  <c r="AL414" i="13" s="1"/>
  <c r="V414" i="13"/>
  <c r="AC414" i="13" s="1"/>
  <c r="AH418" i="13"/>
  <c r="AJ418" i="13" s="1"/>
  <c r="V419" i="13"/>
  <c r="AH420" i="13"/>
  <c r="AJ420" i="13" s="1"/>
  <c r="AL430" i="13"/>
  <c r="AI433" i="13"/>
  <c r="AH433" i="13"/>
  <c r="AJ433" i="13" s="1"/>
  <c r="AL442" i="13"/>
  <c r="AI445" i="13"/>
  <c r="AH445" i="13"/>
  <c r="AJ445" i="13" s="1"/>
  <c r="AI455" i="13"/>
  <c r="AI415" i="13"/>
  <c r="AH415" i="13"/>
  <c r="AJ415" i="13" s="1"/>
  <c r="AL432" i="13"/>
  <c r="AL444" i="13"/>
  <c r="BD337" i="13"/>
  <c r="BB343" i="13"/>
  <c r="BA349" i="13"/>
  <c r="AZ349" i="13"/>
  <c r="AU348" i="13"/>
  <c r="BI353" i="13"/>
  <c r="BI342" i="13"/>
  <c r="BH360" i="13"/>
  <c r="BF348" i="13"/>
  <c r="BE353" i="13"/>
  <c r="BE337" i="13"/>
  <c r="BD349" i="13"/>
  <c r="BC341" i="13"/>
  <c r="BB341" i="13"/>
  <c r="BA348" i="13"/>
  <c r="AZ348" i="13"/>
  <c r="AY348" i="13"/>
  <c r="AX354" i="13"/>
  <c r="AW360" i="13"/>
  <c r="AV337" i="13"/>
  <c r="BI341" i="13"/>
  <c r="BH349" i="13"/>
  <c r="BG354" i="13"/>
  <c r="BE336" i="13"/>
  <c r="BD348" i="13"/>
  <c r="BC353" i="13"/>
  <c r="BC337" i="13"/>
  <c r="BB349" i="13"/>
  <c r="BB337" i="13"/>
  <c r="BA337" i="13"/>
  <c r="AX353" i="13"/>
  <c r="AW337" i="13"/>
  <c r="AU360" i="13"/>
  <c r="AT353" i="13"/>
  <c r="AQ375" i="13"/>
  <c r="BI349" i="13"/>
  <c r="BH348" i="13"/>
  <c r="BH337" i="13"/>
  <c r="BG353" i="13"/>
  <c r="BG341" i="13"/>
  <c r="BF360" i="13"/>
  <c r="BE349" i="13"/>
  <c r="BD355" i="13"/>
  <c r="BC336" i="13"/>
  <c r="BB348" i="13"/>
  <c r="BA355" i="13"/>
  <c r="AZ341" i="13"/>
  <c r="AY341" i="13"/>
  <c r="AW353" i="13"/>
  <c r="AU405" i="13"/>
  <c r="BT242" i="13"/>
  <c r="BL141" i="13"/>
  <c r="AT287" i="13"/>
  <c r="AY349" i="13"/>
  <c r="AX337" i="13"/>
  <c r="AW349" i="13"/>
  <c r="AU337" i="13"/>
  <c r="AZ337" i="13"/>
  <c r="AV349" i="13"/>
  <c r="BL139" i="13"/>
  <c r="BL147" i="13"/>
  <c r="BY419" i="13"/>
  <c r="AZ430" i="13"/>
  <c r="BS401" i="13"/>
  <c r="AX349" i="13"/>
  <c r="AU349" i="13"/>
  <c r="AT337" i="13"/>
  <c r="BV429" i="13"/>
  <c r="BH418" i="13"/>
  <c r="CB373" i="13"/>
  <c r="BO409" i="13"/>
  <c r="BM182" i="13"/>
  <c r="BU409" i="13"/>
  <c r="BN409" i="13"/>
  <c r="AQ374" i="13"/>
  <c r="AX426" i="13"/>
  <c r="BZ389" i="13"/>
  <c r="BT389" i="13"/>
  <c r="BL409" i="13"/>
  <c r="BL143" i="13"/>
  <c r="BA218" i="13"/>
  <c r="AQ322" i="13"/>
  <c r="BY386" i="13"/>
  <c r="BS410" i="13"/>
  <c r="BG411" i="13"/>
  <c r="BL142" i="13"/>
  <c r="CC410" i="13"/>
  <c r="BY373" i="13"/>
  <c r="CB366" i="13"/>
  <c r="BL149" i="13"/>
  <c r="BF426" i="13"/>
  <c r="AV418" i="13"/>
  <c r="BY350" i="13"/>
  <c r="BL365" i="13"/>
  <c r="BB347" i="13"/>
  <c r="AY355" i="13"/>
  <c r="AW367" i="13"/>
  <c r="AV367" i="13"/>
  <c r="AU347" i="13"/>
  <c r="AS351" i="13"/>
  <c r="BN230" i="13"/>
  <c r="BC417" i="13"/>
  <c r="AU420" i="13"/>
  <c r="BA411" i="13"/>
  <c r="BS360" i="13"/>
  <c r="BF355" i="13"/>
  <c r="BF343" i="13"/>
  <c r="BE343" i="13"/>
  <c r="BD347" i="13"/>
  <c r="BD339" i="13"/>
  <c r="BB351" i="13"/>
  <c r="BA347" i="13"/>
  <c r="AT347" i="13"/>
  <c r="AR351" i="13"/>
  <c r="BI367" i="13"/>
  <c r="BI339" i="13"/>
  <c r="BF367" i="13"/>
  <c r="BF347" i="13"/>
  <c r="BD363" i="13"/>
  <c r="BB355" i="13"/>
  <c r="BA371" i="13"/>
  <c r="BA351" i="13"/>
  <c r="AZ339" i="13"/>
  <c r="AY347" i="13"/>
  <c r="AW359" i="13"/>
  <c r="CC428" i="13"/>
  <c r="CC402" i="13"/>
  <c r="CC374" i="13"/>
  <c r="CB365" i="13"/>
  <c r="CC262" i="13"/>
  <c r="BW216" i="13"/>
  <c r="CB424" i="13"/>
  <c r="BU427" i="13"/>
  <c r="BI426" i="13"/>
  <c r="BD430" i="13"/>
  <c r="AW418" i="13"/>
  <c r="CD382" i="13"/>
  <c r="CC401" i="13"/>
  <c r="CB387" i="13"/>
  <c r="BZ374" i="13"/>
  <c r="BX409" i="13"/>
  <c r="BT409" i="13"/>
  <c r="BQ413" i="13"/>
  <c r="BO389" i="13"/>
  <c r="CD360" i="13"/>
  <c r="CB358" i="13"/>
  <c r="BU364" i="13"/>
  <c r="BM360" i="13"/>
  <c r="BE299" i="13"/>
  <c r="CB423" i="13"/>
  <c r="BQ427" i="13"/>
  <c r="CD374" i="13"/>
  <c r="CC390" i="13"/>
  <c r="BY410" i="13"/>
  <c r="CA357" i="13"/>
  <c r="BU337" i="13"/>
  <c r="BC406" i="13"/>
  <c r="BF407" i="13"/>
  <c r="CA405" i="13"/>
  <c r="BZ405" i="13"/>
  <c r="BV405" i="13"/>
  <c r="BT405" i="13"/>
  <c r="BD403" i="13"/>
  <c r="BZ408" i="13"/>
  <c r="BH408" i="13"/>
  <c r="CD406" i="13"/>
  <c r="BZ406" i="13"/>
  <c r="CC406" i="13"/>
  <c r="BR405" i="13"/>
  <c r="BQ405" i="13"/>
  <c r="BD405" i="13"/>
  <c r="CB403" i="13"/>
  <c r="BX402" i="13"/>
  <c r="BP401" i="13"/>
  <c r="BM401" i="13"/>
  <c r="AW401" i="13"/>
  <c r="BY401" i="13"/>
  <c r="BA401" i="13"/>
  <c r="CD401" i="13"/>
  <c r="CB399" i="13"/>
  <c r="BW398" i="13"/>
  <c r="CC398" i="13"/>
  <c r="BO398" i="13"/>
  <c r="BZ398" i="13"/>
  <c r="CC394" i="13"/>
  <c r="BY394" i="13"/>
  <c r="BS394" i="13"/>
  <c r="CD390" i="13"/>
  <c r="CB389" i="13"/>
  <c r="BU389" i="13"/>
  <c r="BD389" i="13"/>
  <c r="BX389" i="13"/>
  <c r="AZ383" i="13"/>
  <c r="BZ382" i="13"/>
  <c r="BW382" i="13"/>
  <c r="BW381" i="13"/>
  <c r="BT381" i="13"/>
  <c r="CB381" i="13"/>
  <c r="BR381" i="13"/>
  <c r="CD381" i="13"/>
  <c r="BZ381" i="13"/>
  <c r="BN381" i="13"/>
  <c r="AX381" i="13"/>
  <c r="BV378" i="13"/>
  <c r="BY378" i="13"/>
  <c r="BP377" i="13"/>
  <c r="BU377" i="13"/>
  <c r="BT374" i="13"/>
  <c r="BH374" i="13"/>
  <c r="CD373" i="13"/>
  <c r="BV393" i="13"/>
  <c r="CA393" i="13"/>
  <c r="BE399" i="13"/>
  <c r="BC393" i="13"/>
  <c r="BI385" i="13"/>
  <c r="BH383" i="13"/>
  <c r="BF383" i="13"/>
  <c r="BB377" i="13"/>
  <c r="AY377" i="13"/>
  <c r="BE374" i="13"/>
  <c r="BH398" i="13"/>
  <c r="BG398" i="13"/>
  <c r="AZ398" i="13"/>
  <c r="AV398" i="13"/>
  <c r="BX397" i="13"/>
  <c r="BV397" i="13"/>
  <c r="BU397" i="13"/>
  <c r="BT397" i="13"/>
  <c r="BR397" i="13"/>
  <c r="BZ397" i="13"/>
  <c r="AY397" i="13"/>
  <c r="AV397" i="13"/>
  <c r="BV396" i="13"/>
  <c r="BX394" i="13"/>
  <c r="BE393" i="13"/>
  <c r="CD393" i="13"/>
  <c r="BX393" i="13"/>
  <c r="BQ393" i="13"/>
  <c r="BW390" i="13"/>
  <c r="BS389" i="13"/>
  <c r="BC387" i="13"/>
  <c r="BD387" i="13"/>
  <c r="BI386" i="13"/>
  <c r="AY386" i="13"/>
  <c r="CA385" i="13"/>
  <c r="BW385" i="13"/>
  <c r="BZ385" i="13"/>
  <c r="CC385" i="13"/>
  <c r="CC382" i="13"/>
  <c r="CB379" i="13"/>
  <c r="CC378" i="13"/>
  <c r="BM378" i="13"/>
  <c r="BS378" i="13"/>
  <c r="CB377" i="13"/>
  <c r="BX377" i="13"/>
  <c r="BQ377" i="13"/>
  <c r="BD375" i="13"/>
  <c r="BT373" i="13"/>
  <c r="BW373" i="13"/>
  <c r="BS373" i="13"/>
  <c r="BH371" i="13"/>
  <c r="BD371" i="13"/>
  <c r="BB371" i="13"/>
  <c r="AZ371" i="13"/>
  <c r="BG371" i="13"/>
  <c r="BF371" i="13"/>
  <c r="BE371" i="13"/>
  <c r="AX371" i="13"/>
  <c r="BI371" i="13"/>
  <c r="BC371" i="13"/>
  <c r="AY371" i="13"/>
  <c r="BD370" i="13"/>
  <c r="BG368" i="13"/>
  <c r="BF368" i="13"/>
  <c r="BE368" i="13"/>
  <c r="BC368" i="13"/>
  <c r="BB368" i="13"/>
  <c r="BA368" i="13"/>
  <c r="AY368" i="13"/>
  <c r="AX368" i="13"/>
  <c r="AR368" i="13"/>
  <c r="BH368" i="13"/>
  <c r="BD368" i="13"/>
  <c r="BD367" i="13"/>
  <c r="BG367" i="13"/>
  <c r="BH367" i="13"/>
  <c r="AZ367" i="13"/>
  <c r="BD364" i="13"/>
  <c r="BC364" i="13"/>
  <c r="AU364" i="13"/>
  <c r="BI364" i="13"/>
  <c r="BH364" i="13"/>
  <c r="BG364" i="13"/>
  <c r="BF364" i="13"/>
  <c r="BB364" i="13"/>
  <c r="AY364" i="13"/>
  <c r="BE364" i="13"/>
  <c r="BA364" i="13"/>
  <c r="AZ364" i="13"/>
  <c r="AX364" i="13"/>
  <c r="AV364" i="13"/>
  <c r="AT364" i="13"/>
  <c r="BE363" i="13"/>
  <c r="BB363" i="13"/>
  <c r="AV363" i="13"/>
  <c r="BI363" i="13"/>
  <c r="AT363" i="13"/>
  <c r="BH363" i="13"/>
  <c r="BA363" i="13"/>
  <c r="AY363" i="13"/>
  <c r="BE360" i="13"/>
  <c r="BD360" i="13"/>
  <c r="AV360" i="13"/>
  <c r="BC360" i="13"/>
  <c r="BA360" i="13"/>
  <c r="BA359" i="13"/>
  <c r="BF359" i="13"/>
  <c r="BD358" i="13"/>
  <c r="BB358" i="13"/>
  <c r="BG357" i="13"/>
  <c r="AZ357" i="13"/>
  <c r="AV357" i="13"/>
  <c r="AU357" i="13"/>
  <c r="BE356" i="13"/>
  <c r="BC356" i="13"/>
  <c r="BB356" i="13"/>
  <c r="BA356" i="13"/>
  <c r="BF356" i="13"/>
  <c r="BD356" i="13"/>
  <c r="AZ356" i="13"/>
  <c r="BC354" i="13"/>
  <c r="AZ354" i="13"/>
  <c r="BD354" i="13"/>
  <c r="BB354" i="13"/>
  <c r="BF351" i="13"/>
  <c r="AU351" i="13"/>
  <c r="BB350" i="13"/>
  <c r="AW350" i="13"/>
  <c r="AR350" i="13"/>
  <c r="AZ350" i="13"/>
  <c r="AS349" i="13"/>
  <c r="BE348" i="13"/>
  <c r="BC348" i="13"/>
  <c r="AZ345" i="13"/>
  <c r="AX345" i="13"/>
  <c r="BA345" i="13"/>
  <c r="AY345" i="13"/>
  <c r="BE344" i="13"/>
  <c r="AV344" i="13"/>
  <c r="BD343" i="13"/>
  <c r="BA343" i="13"/>
  <c r="AZ343" i="13"/>
  <c r="BC343" i="13"/>
  <c r="BB342" i="13"/>
  <c r="AW342" i="13"/>
  <c r="BA341" i="13"/>
  <c r="BA340" i="13"/>
  <c r="AY340" i="13"/>
  <c r="BE339" i="13"/>
  <c r="BA339" i="13"/>
  <c r="AV339" i="13"/>
  <c r="BC339" i="13"/>
  <c r="AX340" i="13"/>
  <c r="AV340" i="13"/>
  <c r="AU336" i="13"/>
  <c r="BG336" i="13"/>
  <c r="AY336" i="13"/>
  <c r="BH315" i="13"/>
  <c r="BG287" i="13"/>
  <c r="AT285" i="13"/>
  <c r="AQ267" i="13"/>
  <c r="BH247" i="13"/>
  <c r="AV243" i="13"/>
  <c r="BB238" i="13"/>
  <c r="BE216" i="13"/>
  <c r="AV371" i="13"/>
  <c r="AU371" i="13"/>
  <c r="AR371" i="13"/>
  <c r="AW368" i="13"/>
  <c r="AV368" i="13"/>
  <c r="AU368" i="13"/>
  <c r="AT368" i="13"/>
  <c r="AU367" i="13"/>
  <c r="AY367" i="13"/>
  <c r="AX367" i="13"/>
  <c r="BE367" i="13"/>
  <c r="BC367" i="13"/>
  <c r="BB367" i="13"/>
  <c r="BA367" i="13"/>
  <c r="CD364" i="13"/>
  <c r="BY364" i="13"/>
  <c r="AW364" i="13"/>
  <c r="AX363" i="13"/>
  <c r="AW363" i="13"/>
  <c r="AZ363" i="13"/>
  <c r="CC360" i="13"/>
  <c r="AZ360" i="13"/>
  <c r="AY360" i="13"/>
  <c r="BH359" i="13"/>
  <c r="BB359" i="13"/>
  <c r="AT359" i="13"/>
  <c r="BI359" i="13"/>
  <c r="BG359" i="13"/>
  <c r="BE359" i="13"/>
  <c r="AZ359" i="13"/>
  <c r="BD359" i="13"/>
  <c r="BC359" i="13"/>
  <c r="AY359" i="13"/>
  <c r="AV359" i="13"/>
  <c r="AU359" i="13"/>
  <c r="BF357" i="13"/>
  <c r="BB357" i="13"/>
  <c r="AX357" i="13"/>
  <c r="BD357" i="13"/>
  <c r="BC357" i="13"/>
  <c r="BA357" i="13"/>
  <c r="AY357" i="13"/>
  <c r="AS357" i="13"/>
  <c r="CC357" i="13"/>
  <c r="BE357" i="13"/>
  <c r="AS356" i="13"/>
  <c r="AY356" i="13"/>
  <c r="AX356" i="13"/>
  <c r="AV356" i="13"/>
  <c r="AQ434" i="13"/>
  <c r="AX434" i="13"/>
  <c r="BD434" i="13"/>
  <c r="AY370" i="13"/>
  <c r="AU370" i="13"/>
  <c r="BA366" i="13"/>
  <c r="BB366" i="13"/>
  <c r="BD366" i="13"/>
  <c r="AY366" i="13"/>
  <c r="AU362" i="13"/>
  <c r="BF362" i="13"/>
  <c r="BA362" i="13"/>
  <c r="BB362" i="13"/>
  <c r="BD362" i="13"/>
  <c r="AU358" i="13"/>
  <c r="BF358" i="13"/>
  <c r="AQ354" i="13"/>
  <c r="AT354" i="13"/>
  <c r="AU354" i="13"/>
  <c r="BF354" i="13"/>
  <c r="AQ350" i="13"/>
  <c r="AU350" i="13"/>
  <c r="AX350" i="13"/>
  <c r="BE350" i="13"/>
  <c r="BI350" i="13"/>
  <c r="BF350" i="13"/>
  <c r="AR346" i="13"/>
  <c r="AQ346" i="13"/>
  <c r="AW346" i="13"/>
  <c r="BG346" i="13"/>
  <c r="BH346" i="13"/>
  <c r="AS346" i="13"/>
  <c r="BF346" i="13"/>
  <c r="BI346" i="13"/>
  <c r="AQ342" i="13"/>
  <c r="AU342" i="13"/>
  <c r="BA342" i="13"/>
  <c r="BD342" i="13"/>
  <c r="AT342" i="13"/>
  <c r="AY342" i="13"/>
  <c r="AZ342" i="13"/>
  <c r="BC342" i="13"/>
  <c r="BF342" i="13"/>
  <c r="BG342" i="13"/>
  <c r="BH342" i="13"/>
  <c r="AR338" i="13"/>
  <c r="AU338" i="13"/>
  <c r="AV338" i="13"/>
  <c r="AW338" i="13"/>
  <c r="AX338" i="13"/>
  <c r="BF254" i="13"/>
  <c r="CC427" i="13"/>
  <c r="CB415" i="13"/>
  <c r="BX427" i="13"/>
  <c r="BU419" i="13"/>
  <c r="BP419" i="13"/>
  <c r="BI422" i="13"/>
  <c r="BH430" i="13"/>
  <c r="BH414" i="13"/>
  <c r="BF422" i="13"/>
  <c r="BD426" i="13"/>
  <c r="BA434" i="13"/>
  <c r="AZ422" i="13"/>
  <c r="AX418" i="13"/>
  <c r="AV434" i="13"/>
  <c r="AV433" i="13"/>
  <c r="AW433" i="13"/>
  <c r="BM412" i="13"/>
  <c r="CD412" i="13"/>
  <c r="BV388" i="13"/>
  <c r="BP388" i="13"/>
  <c r="BZ388" i="13"/>
  <c r="BQ384" i="13"/>
  <c r="CB384" i="13"/>
  <c r="AT400" i="13"/>
  <c r="BH400" i="13"/>
  <c r="BD392" i="13"/>
  <c r="BF392" i="13"/>
  <c r="BF388" i="13"/>
  <c r="BH388" i="13"/>
  <c r="BH384" i="13"/>
  <c r="BD384" i="13"/>
  <c r="AZ426" i="13"/>
  <c r="BA426" i="13"/>
  <c r="BF229" i="13"/>
  <c r="BG334" i="13"/>
  <c r="CA297" i="13"/>
  <c r="BH288" i="13"/>
  <c r="BC309" i="13"/>
  <c r="CD431" i="13"/>
  <c r="CC415" i="13"/>
  <c r="BZ423" i="13"/>
  <c r="BW422" i="13"/>
  <c r="BT423" i="13"/>
  <c r="BO419" i="13"/>
  <c r="BI434" i="13"/>
  <c r="BI418" i="13"/>
  <c r="BH426" i="13"/>
  <c r="BF434" i="13"/>
  <c r="BF418" i="13"/>
  <c r="BD422" i="13"/>
  <c r="BA418" i="13"/>
  <c r="AZ418" i="13"/>
  <c r="AW434" i="13"/>
  <c r="AV426" i="13"/>
  <c r="CD384" i="13"/>
  <c r="BQ411" i="13"/>
  <c r="CB411" i="13"/>
  <c r="BQ407" i="13"/>
  <c r="CB407" i="13"/>
  <c r="BQ395" i="13"/>
  <c r="CB395" i="13"/>
  <c r="BQ391" i="13"/>
  <c r="CB391" i="13"/>
  <c r="BQ383" i="13"/>
  <c r="CB383" i="13"/>
  <c r="BQ375" i="13"/>
  <c r="CB375" i="13"/>
  <c r="BH380" i="13"/>
  <c r="BF380" i="13"/>
  <c r="BD412" i="13"/>
  <c r="BB411" i="13"/>
  <c r="AY411" i="13"/>
  <c r="BD411" i="13"/>
  <c r="AZ407" i="13"/>
  <c r="BG407" i="13"/>
  <c r="BC399" i="13"/>
  <c r="BH399" i="13"/>
  <c r="BF399" i="13"/>
  <c r="AS395" i="13"/>
  <c r="BI395" i="13"/>
  <c r="BD391" i="13"/>
  <c r="BE391" i="13"/>
  <c r="BH391" i="13"/>
  <c r="BD383" i="13"/>
  <c r="BE383" i="13"/>
  <c r="AY379" i="13"/>
  <c r="BB379" i="13"/>
  <c r="BF379" i="13"/>
  <c r="BG379" i="13"/>
  <c r="BH379" i="13"/>
  <c r="BI379" i="13"/>
  <c r="BX364" i="13"/>
  <c r="BM357" i="13"/>
  <c r="BY357" i="13"/>
  <c r="CD357" i="13"/>
  <c r="BM349" i="13"/>
  <c r="CC349" i="13"/>
  <c r="BY345" i="13"/>
  <c r="BT345" i="13"/>
  <c r="BI354" i="13"/>
  <c r="BG350" i="13"/>
  <c r="BF338" i="13"/>
  <c r="BE354" i="13"/>
  <c r="BE342" i="13"/>
  <c r="BC350" i="13"/>
  <c r="BA358" i="13"/>
  <c r="BA354" i="13"/>
  <c r="BA350" i="13"/>
  <c r="AY362" i="13"/>
  <c r="AW354" i="13"/>
  <c r="AZ334" i="13"/>
  <c r="BG291" i="13"/>
  <c r="CD415" i="13"/>
  <c r="BY430" i="13"/>
  <c r="BR419" i="13"/>
  <c r="BN415" i="13"/>
  <c r="BI430" i="13"/>
  <c r="BI414" i="13"/>
  <c r="BH422" i="13"/>
  <c r="BF430" i="13"/>
  <c r="BF414" i="13"/>
  <c r="BD414" i="13"/>
  <c r="AZ434" i="13"/>
  <c r="AZ414" i="13"/>
  <c r="AW426" i="13"/>
  <c r="AV422" i="13"/>
  <c r="AS426" i="13"/>
  <c r="CD372" i="13"/>
  <c r="BR412" i="13"/>
  <c r="BF412" i="13"/>
  <c r="BV364" i="13"/>
  <c r="BZ364" i="13"/>
  <c r="CC364" i="13"/>
  <c r="BT364" i="13"/>
  <c r="CA364" i="13"/>
  <c r="CB364" i="13"/>
  <c r="BR360" i="13"/>
  <c r="CA360" i="13"/>
  <c r="CB360" i="13"/>
  <c r="BV360" i="13"/>
  <c r="BY360" i="13"/>
  <c r="AX342" i="13"/>
  <c r="AV350" i="13"/>
  <c r="AU366" i="13"/>
  <c r="AT346" i="13"/>
  <c r="AR367" i="13"/>
  <c r="BV402" i="13"/>
  <c r="BT406" i="13"/>
  <c r="BI394" i="13"/>
  <c r="BG402" i="13"/>
  <c r="BG374" i="13"/>
  <c r="AX398" i="13"/>
  <c r="AX374" i="13"/>
  <c r="AT374" i="13"/>
  <c r="AW357" i="13"/>
  <c r="AV353" i="13"/>
  <c r="AU363" i="13"/>
  <c r="AU345" i="13"/>
  <c r="AT367" i="13"/>
  <c r="AT357" i="13"/>
  <c r="AT349" i="13"/>
  <c r="AT341" i="13"/>
  <c r="AS345" i="13"/>
  <c r="AR357" i="13"/>
  <c r="BM238" i="13"/>
  <c r="CD233" i="13"/>
  <c r="BZ234" i="13"/>
  <c r="BQ250" i="13"/>
  <c r="AU330" i="13"/>
  <c r="BG284" i="13"/>
  <c r="AV299" i="13"/>
  <c r="BZ427" i="13"/>
  <c r="BY427" i="13"/>
  <c r="BX415" i="13"/>
  <c r="BV419" i="13"/>
  <c r="BT419" i="13"/>
  <c r="BR415" i="13"/>
  <c r="BO431" i="13"/>
  <c r="BL419" i="13"/>
  <c r="BG419" i="13"/>
  <c r="BE425" i="13"/>
  <c r="CD409" i="13"/>
  <c r="CD397" i="13"/>
  <c r="CD385" i="13"/>
  <c r="CC409" i="13"/>
  <c r="CC377" i="13"/>
  <c r="CB401" i="13"/>
  <c r="CA401" i="13"/>
  <c r="CA377" i="13"/>
  <c r="BZ396" i="13"/>
  <c r="BY413" i="13"/>
  <c r="BY397" i="13"/>
  <c r="BX412" i="13"/>
  <c r="BX401" i="13"/>
  <c r="BX392" i="13"/>
  <c r="BW401" i="13"/>
  <c r="BW389" i="13"/>
  <c r="BW377" i="13"/>
  <c r="BV377" i="13"/>
  <c r="BU405" i="13"/>
  <c r="BS393" i="13"/>
  <c r="BR380" i="13"/>
  <c r="BO397" i="13"/>
  <c r="BN389" i="13"/>
  <c r="AZ395" i="13"/>
  <c r="BS230" i="13"/>
  <c r="CD230" i="13"/>
  <c r="BY262" i="13"/>
  <c r="BN250" i="13"/>
  <c r="BG260" i="13"/>
  <c r="BR297" i="13"/>
  <c r="BS429" i="13"/>
  <c r="BH419" i="13"/>
  <c r="BA427" i="13"/>
  <c r="BL413" i="13"/>
  <c r="BM413" i="13"/>
  <c r="BR413" i="13"/>
  <c r="BN413" i="13"/>
  <c r="BT413" i="13"/>
  <c r="BV413" i="13"/>
  <c r="BX413" i="13"/>
  <c r="CA413" i="13"/>
  <c r="CC413" i="13"/>
  <c r="BM409" i="13"/>
  <c r="BP409" i="13"/>
  <c r="BQ409" i="13"/>
  <c r="BS409" i="13"/>
  <c r="BR409" i="13"/>
  <c r="BZ409" i="13"/>
  <c r="BL405" i="13"/>
  <c r="BW405" i="13"/>
  <c r="BY405" i="13"/>
  <c r="CC405" i="13"/>
  <c r="BL401" i="13"/>
  <c r="BN401" i="13"/>
  <c r="BO401" i="13"/>
  <c r="BR401" i="13"/>
  <c r="BU401" i="13"/>
  <c r="BV401" i="13"/>
  <c r="BZ401" i="13"/>
  <c r="BP397" i="13"/>
  <c r="BQ397" i="13"/>
  <c r="CA397" i="13"/>
  <c r="CC397" i="13"/>
  <c r="BR393" i="13"/>
  <c r="BT393" i="13"/>
  <c r="BW393" i="13"/>
  <c r="BY393" i="13"/>
  <c r="BZ393" i="13"/>
  <c r="CB393" i="13"/>
  <c r="BM389" i="13"/>
  <c r="BR389" i="13"/>
  <c r="BP389" i="13"/>
  <c r="BV389" i="13"/>
  <c r="CC389" i="13"/>
  <c r="BP385" i="13"/>
  <c r="BM385" i="13"/>
  <c r="BQ385" i="13"/>
  <c r="BU385" i="13"/>
  <c r="BX385" i="13"/>
  <c r="CB385" i="13"/>
  <c r="BO381" i="13"/>
  <c r="BQ381" i="13"/>
  <c r="BS381" i="13"/>
  <c r="BV381" i="13"/>
  <c r="BY381" i="13"/>
  <c r="CA381" i="13"/>
  <c r="CC381" i="13"/>
  <c r="BL377" i="13"/>
  <c r="BR377" i="13"/>
  <c r="BN377" i="13"/>
  <c r="BT377" i="13"/>
  <c r="CD377" i="13"/>
  <c r="BL373" i="13"/>
  <c r="BP373" i="13"/>
  <c r="BR373" i="13"/>
  <c r="BV373" i="13"/>
  <c r="BX373" i="13"/>
  <c r="BZ373" i="13"/>
  <c r="CC373" i="13"/>
  <c r="CD419" i="13"/>
  <c r="CC421" i="13"/>
  <c r="BY431" i="13"/>
  <c r="BV431" i="13"/>
  <c r="BU431" i="13"/>
  <c r="BR431" i="13"/>
  <c r="BQ423" i="13"/>
  <c r="BN431" i="13"/>
  <c r="BF433" i="13"/>
  <c r="AY423" i="13"/>
  <c r="CD413" i="13"/>
  <c r="CD405" i="13"/>
  <c r="CC393" i="13"/>
  <c r="CB413" i="13"/>
  <c r="CB405" i="13"/>
  <c r="CB397" i="13"/>
  <c r="CA409" i="13"/>
  <c r="CA389" i="13"/>
  <c r="BZ413" i="13"/>
  <c r="BZ377" i="13"/>
  <c r="BY409" i="13"/>
  <c r="BY389" i="13"/>
  <c r="BY377" i="13"/>
  <c r="BX405" i="13"/>
  <c r="BX381" i="13"/>
  <c r="BW413" i="13"/>
  <c r="BW397" i="13"/>
  <c r="BV409" i="13"/>
  <c r="BV385" i="13"/>
  <c r="BU413" i="13"/>
  <c r="BU393" i="13"/>
  <c r="BU373" i="13"/>
  <c r="BT401" i="13"/>
  <c r="BT385" i="13"/>
  <c r="BS413" i="13"/>
  <c r="BS397" i="13"/>
  <c r="BS385" i="13"/>
  <c r="BR385" i="13"/>
  <c r="BQ389" i="13"/>
  <c r="BP405" i="13"/>
  <c r="BP381" i="13"/>
  <c r="BO405" i="13"/>
  <c r="BO373" i="13"/>
  <c r="BQ408" i="13"/>
  <c r="BP408" i="13"/>
  <c r="BV404" i="13"/>
  <c r="BQ404" i="13"/>
  <c r="BT404" i="13"/>
  <c r="BX404" i="13"/>
  <c r="BM400" i="13"/>
  <c r="CB400" i="13"/>
  <c r="BL396" i="13"/>
  <c r="BM396" i="13"/>
  <c r="BN388" i="13"/>
  <c r="BT388" i="13"/>
  <c r="BM376" i="13"/>
  <c r="BP376" i="13"/>
  <c r="BP372" i="13"/>
  <c r="BM372" i="13"/>
  <c r="AX411" i="13"/>
  <c r="BH411" i="13"/>
  <c r="AZ411" i="13"/>
  <c r="BF411" i="13"/>
  <c r="BI411" i="13"/>
  <c r="BB407" i="13"/>
  <c r="AQ407" i="13"/>
  <c r="AV407" i="13"/>
  <c r="BC407" i="13"/>
  <c r="BD407" i="13"/>
  <c r="BI407" i="13"/>
  <c r="AS407" i="13"/>
  <c r="AY407" i="13"/>
  <c r="BE407" i="13"/>
  <c r="AX407" i="13"/>
  <c r="BA407" i="13"/>
  <c r="AS403" i="13"/>
  <c r="AZ403" i="13"/>
  <c r="BB403" i="13"/>
  <c r="BE403" i="13"/>
  <c r="BH403" i="13"/>
  <c r="BC403" i="13"/>
  <c r="BG403" i="13"/>
  <c r="BF403" i="13"/>
  <c r="AX399" i="13"/>
  <c r="BA399" i="13"/>
  <c r="BD399" i="13"/>
  <c r="AQ399" i="13"/>
  <c r="AY399" i="13"/>
  <c r="BC395" i="13"/>
  <c r="BG395" i="13"/>
  <c r="BA395" i="13"/>
  <c r="BF395" i="13"/>
  <c r="BH395" i="13"/>
  <c r="AX395" i="13"/>
  <c r="BD395" i="13"/>
  <c r="AX391" i="13"/>
  <c r="BI391" i="13"/>
  <c r="AY391" i="13"/>
  <c r="AZ391" i="13"/>
  <c r="BF391" i="13"/>
  <c r="AZ387" i="13"/>
  <c r="BE387" i="13"/>
  <c r="BF387" i="13"/>
  <c r="AX387" i="13"/>
  <c r="BG387" i="13"/>
  <c r="BH387" i="13"/>
  <c r="AS387" i="13"/>
  <c r="BB387" i="13"/>
  <c r="AY383" i="13"/>
  <c r="BI383" i="13"/>
  <c r="BC383" i="13"/>
  <c r="BA383" i="13"/>
  <c r="AX379" i="13"/>
  <c r="BA379" i="13"/>
  <c r="BD379" i="13"/>
  <c r="BE379" i="13"/>
  <c r="BE375" i="13"/>
  <c r="BG375" i="13"/>
  <c r="BH375" i="13"/>
  <c r="BI375" i="13"/>
  <c r="AZ375" i="13"/>
  <c r="BC375" i="13"/>
  <c r="BF375" i="13"/>
  <c r="BO370" i="13"/>
  <c r="BS370" i="13"/>
  <c r="CA370" i="13"/>
  <c r="BU370" i="13"/>
  <c r="BX370" i="13"/>
  <c r="BT362" i="13"/>
  <c r="BZ362" i="13"/>
  <c r="BN347" i="13"/>
  <c r="BM347" i="13"/>
  <c r="CA347" i="13"/>
  <c r="BY343" i="13"/>
  <c r="CD343" i="13"/>
  <c r="AQ369" i="13"/>
  <c r="AW369" i="13"/>
  <c r="AZ369" i="13"/>
  <c r="BA369" i="13"/>
  <c r="BB369" i="13"/>
  <c r="BC369" i="13"/>
  <c r="BD369" i="13"/>
  <c r="AX369" i="13"/>
  <c r="AY369" i="13"/>
  <c r="BE369" i="13"/>
  <c r="AR365" i="13"/>
  <c r="AT365" i="13"/>
  <c r="AV365" i="13"/>
  <c r="BA365" i="13"/>
  <c r="BB365" i="13"/>
  <c r="BD365" i="13"/>
  <c r="BG365" i="13"/>
  <c r="AW365" i="13"/>
  <c r="AY365" i="13"/>
  <c r="AZ365" i="13"/>
  <c r="BC365" i="13"/>
  <c r="AQ361" i="13"/>
  <c r="AR361" i="13"/>
  <c r="AT361" i="13"/>
  <c r="BA361" i="13"/>
  <c r="BB361" i="13"/>
  <c r="BD361" i="13"/>
  <c r="BH361" i="13"/>
  <c r="BI361" i="13"/>
  <c r="AV361" i="13"/>
  <c r="AY361" i="13"/>
  <c r="BG361" i="13"/>
  <c r="AR410" i="13"/>
  <c r="AY410" i="13"/>
  <c r="AV406" i="13"/>
  <c r="BG406" i="13"/>
  <c r="BC390" i="13"/>
  <c r="BH390" i="13"/>
  <c r="BC382" i="13"/>
  <c r="BH382" i="13"/>
  <c r="BR369" i="13"/>
  <c r="BY369" i="13"/>
  <c r="CA365" i="13"/>
  <c r="BZ365" i="13"/>
  <c r="BR342" i="13"/>
  <c r="CB342" i="13"/>
  <c r="BI369" i="13"/>
  <c r="BF369" i="13"/>
  <c r="BF365" i="13"/>
  <c r="BF361" i="13"/>
  <c r="AW361" i="13"/>
  <c r="AT369" i="13"/>
  <c r="AX361" i="13"/>
  <c r="AU369" i="13"/>
  <c r="AU365" i="13"/>
  <c r="AU361" i="13"/>
  <c r="BI390" i="13"/>
  <c r="BH406" i="13"/>
  <c r="BE386" i="13"/>
  <c r="AY378" i="13"/>
  <c r="BF396" i="13"/>
  <c r="BH396" i="13"/>
  <c r="AR376" i="13"/>
  <c r="BF376" i="13"/>
  <c r="BH365" i="13"/>
  <c r="BE361" i="13"/>
  <c r="BC361" i="13"/>
  <c r="AZ361" i="13"/>
  <c r="AX365" i="13"/>
  <c r="AR354" i="13"/>
  <c r="AQ364" i="13"/>
  <c r="AV354" i="13"/>
  <c r="AT371" i="13"/>
  <c r="AT360" i="13"/>
  <c r="AT356" i="13"/>
  <c r="AT350" i="13"/>
  <c r="AT345" i="13"/>
  <c r="AS368" i="13"/>
  <c r="AS342" i="13"/>
  <c r="AR353" i="13"/>
  <c r="AT413" i="13"/>
  <c r="AX413" i="13"/>
  <c r="BA413" i="13"/>
  <c r="BB413" i="13"/>
  <c r="BC413" i="13"/>
  <c r="BD413" i="13"/>
  <c r="BI413" i="13"/>
  <c r="AS413" i="13"/>
  <c r="AV413" i="13"/>
  <c r="AW413" i="13"/>
  <c r="AT381" i="13"/>
  <c r="BA381" i="13"/>
  <c r="BB381" i="13"/>
  <c r="BD381" i="13"/>
  <c r="BG381" i="13"/>
  <c r="BE381" i="13"/>
  <c r="BP352" i="13"/>
  <c r="CC352" i="13"/>
  <c r="CD352" i="13"/>
  <c r="AQ139" i="13"/>
  <c r="AS409" i="13"/>
  <c r="AU409" i="13"/>
  <c r="BF409" i="13"/>
  <c r="AR409" i="13"/>
  <c r="BD409" i="13"/>
  <c r="BE409" i="13"/>
  <c r="BG401" i="13"/>
  <c r="BI401" i="13"/>
  <c r="AS401" i="13"/>
  <c r="AV401" i="13"/>
  <c r="AY401" i="13"/>
  <c r="BA393" i="13"/>
  <c r="BB393" i="13"/>
  <c r="BF393" i="13"/>
  <c r="BG393" i="13"/>
  <c r="AU393" i="13"/>
  <c r="BD393" i="13"/>
  <c r="AS385" i="13"/>
  <c r="AW385" i="13"/>
  <c r="AX385" i="13"/>
  <c r="AR385" i="13"/>
  <c r="BB385" i="13"/>
  <c r="BG385" i="13"/>
  <c r="BA373" i="13"/>
  <c r="AU373" i="13"/>
  <c r="AV373" i="13"/>
  <c r="AY373" i="13"/>
  <c r="BB373" i="13"/>
  <c r="BF373" i="13"/>
  <c r="BU371" i="13"/>
  <c r="BY371" i="13"/>
  <c r="BH230" i="13"/>
  <c r="AY255" i="13"/>
  <c r="AS259" i="13"/>
  <c r="CA178" i="13"/>
  <c r="BE322" i="13"/>
  <c r="AZ330" i="13"/>
  <c r="AU322" i="13"/>
  <c r="BR314" i="13"/>
  <c r="BI295" i="13"/>
  <c r="BE309" i="13"/>
  <c r="BB317" i="13"/>
  <c r="AX313" i="13"/>
  <c r="AU317" i="13"/>
  <c r="AR309" i="13"/>
  <c r="CA434" i="13"/>
  <c r="BV422" i="13"/>
  <c r="BN416" i="13"/>
  <c r="BI427" i="13"/>
  <c r="BH427" i="13"/>
  <c r="BD429" i="13"/>
  <c r="BB431" i="13"/>
  <c r="AZ431" i="13"/>
  <c r="AZ419" i="13"/>
  <c r="AW419" i="13"/>
  <c r="AV427" i="13"/>
  <c r="CD404" i="13"/>
  <c r="CD396" i="13"/>
  <c r="CD376" i="13"/>
  <c r="CB404" i="13"/>
  <c r="CB388" i="13"/>
  <c r="CB372" i="13"/>
  <c r="BZ400" i="13"/>
  <c r="BZ380" i="13"/>
  <c r="BX396" i="13"/>
  <c r="BX384" i="13"/>
  <c r="BX376" i="13"/>
  <c r="BV408" i="13"/>
  <c r="BV380" i="13"/>
  <c r="BT408" i="13"/>
  <c r="BT380" i="13"/>
  <c r="BS386" i="13"/>
  <c r="BQ402" i="13"/>
  <c r="BQ396" i="13"/>
  <c r="BQ388" i="13"/>
  <c r="BQ380" i="13"/>
  <c r="BQ372" i="13"/>
  <c r="BO406" i="13"/>
  <c r="BM404" i="13"/>
  <c r="BM392" i="13"/>
  <c r="BM380" i="13"/>
  <c r="BL388" i="13"/>
  <c r="BI397" i="13"/>
  <c r="BI373" i="13"/>
  <c r="BG413" i="13"/>
  <c r="BG397" i="13"/>
  <c r="BF413" i="13"/>
  <c r="BF397" i="13"/>
  <c r="BF381" i="13"/>
  <c r="BE405" i="13"/>
  <c r="BC409" i="13"/>
  <c r="BC401" i="13"/>
  <c r="BC389" i="13"/>
  <c r="AZ401" i="13"/>
  <c r="AY413" i="13"/>
  <c r="AY405" i="13"/>
  <c r="AY393" i="13"/>
  <c r="AV393" i="13"/>
  <c r="AU401" i="13"/>
  <c r="AS373" i="13"/>
  <c r="AR408" i="13"/>
  <c r="BD408" i="13"/>
  <c r="BW367" i="13"/>
  <c r="AW405" i="13"/>
  <c r="AX405" i="13"/>
  <c r="AZ405" i="13"/>
  <c r="BA405" i="13"/>
  <c r="BB405" i="13"/>
  <c r="BF405" i="13"/>
  <c r="AS397" i="13"/>
  <c r="AT397" i="13"/>
  <c r="AZ397" i="13"/>
  <c r="BD397" i="13"/>
  <c r="BE397" i="13"/>
  <c r="BC397" i="13"/>
  <c r="AU389" i="13"/>
  <c r="AV389" i="13"/>
  <c r="AY389" i="13"/>
  <c r="AW389" i="13"/>
  <c r="AZ389" i="13"/>
  <c r="BE389" i="13"/>
  <c r="BF389" i="13"/>
  <c r="AX377" i="13"/>
  <c r="BF377" i="13"/>
  <c r="AZ377" i="13"/>
  <c r="BD377" i="13"/>
  <c r="CC363" i="13"/>
  <c r="BY363" i="13"/>
  <c r="BN363" i="13"/>
  <c r="BT363" i="13"/>
  <c r="BQ359" i="13"/>
  <c r="BO359" i="13"/>
  <c r="BX356" i="13"/>
  <c r="BM356" i="13"/>
  <c r="BY356" i="13"/>
  <c r="BW348" i="13"/>
  <c r="CC348" i="13"/>
  <c r="BW336" i="13"/>
  <c r="BS336" i="13"/>
  <c r="CA336" i="13"/>
  <c r="BP336" i="13"/>
  <c r="BU336" i="13"/>
  <c r="BT254" i="13"/>
  <c r="BP254" i="13"/>
  <c r="BL246" i="13"/>
  <c r="BD263" i="13"/>
  <c r="AX246" i="13"/>
  <c r="AR246" i="13"/>
  <c r="BH334" i="13"/>
  <c r="BB322" i="13"/>
  <c r="AZ322" i="13"/>
  <c r="AR330" i="13"/>
  <c r="CA314" i="13"/>
  <c r="BB285" i="13"/>
  <c r="AX289" i="13"/>
  <c r="AT309" i="13"/>
  <c r="AQ297" i="13"/>
  <c r="CA424" i="13"/>
  <c r="BY432" i="13"/>
  <c r="BB419" i="13"/>
  <c r="AV415" i="13"/>
  <c r="AT415" i="13"/>
  <c r="CD408" i="13"/>
  <c r="CD388" i="13"/>
  <c r="CB408" i="13"/>
  <c r="CB392" i="13"/>
  <c r="CB376" i="13"/>
  <c r="BZ412" i="13"/>
  <c r="BZ392" i="13"/>
  <c r="BZ384" i="13"/>
  <c r="BZ372" i="13"/>
  <c r="BX408" i="13"/>
  <c r="BX388" i="13"/>
  <c r="BV412" i="13"/>
  <c r="BV400" i="13"/>
  <c r="BV392" i="13"/>
  <c r="BV372" i="13"/>
  <c r="BT400" i="13"/>
  <c r="BT392" i="13"/>
  <c r="BT384" i="13"/>
  <c r="BT372" i="13"/>
  <c r="BR396" i="13"/>
  <c r="BR384" i="13"/>
  <c r="BP404" i="13"/>
  <c r="BP392" i="13"/>
  <c r="BM388" i="13"/>
  <c r="BI389" i="13"/>
  <c r="BI381" i="13"/>
  <c r="BG377" i="13"/>
  <c r="BE413" i="13"/>
  <c r="BE377" i="13"/>
  <c r="BD401" i="13"/>
  <c r="BD385" i="13"/>
  <c r="BB401" i="13"/>
  <c r="BA409" i="13"/>
  <c r="AZ409" i="13"/>
  <c r="AW381" i="13"/>
  <c r="AV405" i="13"/>
  <c r="AV381" i="13"/>
  <c r="AU385" i="13"/>
  <c r="AT393" i="13"/>
  <c r="AT373" i="13"/>
  <c r="AS389" i="13"/>
  <c r="AR405" i="13"/>
  <c r="BU344" i="13"/>
  <c r="BI263" i="13"/>
  <c r="BC243" i="13"/>
  <c r="BH330" i="13"/>
  <c r="BA330" i="13"/>
  <c r="AW322" i="13"/>
  <c r="AR322" i="13"/>
  <c r="BQ282" i="13"/>
  <c r="BH313" i="13"/>
  <c r="BE289" i="13"/>
  <c r="BA305" i="13"/>
  <c r="AW285" i="13"/>
  <c r="CB416" i="13"/>
  <c r="CA418" i="13"/>
  <c r="BL434" i="13"/>
  <c r="BI425" i="13"/>
  <c r="BG431" i="13"/>
  <c r="BF431" i="13"/>
  <c r="BF419" i="13"/>
  <c r="BD423" i="13"/>
  <c r="BC423" i="13"/>
  <c r="BA417" i="13"/>
  <c r="AX425" i="13"/>
  <c r="AW427" i="13"/>
  <c r="AV425" i="13"/>
  <c r="CD400" i="13"/>
  <c r="CD392" i="13"/>
  <c r="CD380" i="13"/>
  <c r="CB412" i="13"/>
  <c r="CB396" i="13"/>
  <c r="CB380" i="13"/>
  <c r="BZ404" i="13"/>
  <c r="BZ376" i="13"/>
  <c r="BY402" i="13"/>
  <c r="BX400" i="13"/>
  <c r="BX386" i="13"/>
  <c r="BX380" i="13"/>
  <c r="BW406" i="13"/>
  <c r="BW374" i="13"/>
  <c r="BV410" i="13"/>
  <c r="BV384" i="13"/>
  <c r="BT412" i="13"/>
  <c r="BT382" i="13"/>
  <c r="BT376" i="13"/>
  <c r="BS402" i="13"/>
  <c r="BQ400" i="13"/>
  <c r="BQ376" i="13"/>
  <c r="BO382" i="13"/>
  <c r="BN412" i="13"/>
  <c r="BL397" i="13"/>
  <c r="BN397" i="13"/>
  <c r="BL381" i="13"/>
  <c r="BM381" i="13"/>
  <c r="BN373" i="13"/>
  <c r="BM373" i="13"/>
  <c r="BI405" i="13"/>
  <c r="BG409" i="13"/>
  <c r="BF401" i="13"/>
  <c r="BF385" i="13"/>
  <c r="BB397" i="13"/>
  <c r="BA389" i="13"/>
  <c r="BA377" i="13"/>
  <c r="AZ381" i="13"/>
  <c r="AX373" i="13"/>
  <c r="AW373" i="13"/>
  <c r="AV377" i="13"/>
  <c r="AU377" i="13"/>
  <c r="AT385" i="13"/>
  <c r="AR397" i="13"/>
  <c r="BQ370" i="13"/>
  <c r="BN370" i="13"/>
  <c r="BT370" i="13"/>
  <c r="BN366" i="13"/>
  <c r="BM366" i="13"/>
  <c r="BV366" i="13"/>
  <c r="BY366" i="13"/>
  <c r="CA366" i="13"/>
  <c r="AQ370" i="13"/>
  <c r="AX370" i="13"/>
  <c r="AZ370" i="13"/>
  <c r="BC370" i="13"/>
  <c r="BE370" i="13"/>
  <c r="BG370" i="13"/>
  <c r="BH370" i="13"/>
  <c r="BI370" i="13"/>
  <c r="AQ366" i="13"/>
  <c r="AR366" i="13"/>
  <c r="AS366" i="13"/>
  <c r="AX366" i="13"/>
  <c r="AZ366" i="13"/>
  <c r="BC366" i="13"/>
  <c r="BE366" i="13"/>
  <c r="BG366" i="13"/>
  <c r="BH366" i="13"/>
  <c r="BI366" i="13"/>
  <c r="AQ362" i="13"/>
  <c r="AS362" i="13"/>
  <c r="AX362" i="13"/>
  <c r="AZ362" i="13"/>
  <c r="BC362" i="13"/>
  <c r="BE362" i="13"/>
  <c r="BG362" i="13"/>
  <c r="BH362" i="13"/>
  <c r="BI362" i="13"/>
  <c r="AQ358" i="13"/>
  <c r="AR358" i="13"/>
  <c r="AX358" i="13"/>
  <c r="AZ358" i="13"/>
  <c r="BC358" i="13"/>
  <c r="BE358" i="13"/>
  <c r="BG358" i="13"/>
  <c r="BH358" i="13"/>
  <c r="BI358" i="13"/>
  <c r="AQ355" i="13"/>
  <c r="AS355" i="13"/>
  <c r="AR355" i="13"/>
  <c r="AX355" i="13"/>
  <c r="AZ355" i="13"/>
  <c r="BC355" i="13"/>
  <c r="BE355" i="13"/>
  <c r="BG355" i="13"/>
  <c r="BH355" i="13"/>
  <c r="BI355" i="13"/>
  <c r="AQ351" i="13"/>
  <c r="AX351" i="13"/>
  <c r="AZ351" i="13"/>
  <c r="BC351" i="13"/>
  <c r="BE351" i="13"/>
  <c r="BG351" i="13"/>
  <c r="BH351" i="13"/>
  <c r="BI351" i="13"/>
  <c r="AR347" i="13"/>
  <c r="AS347" i="13"/>
  <c r="AX347" i="13"/>
  <c r="AZ347" i="13"/>
  <c r="BC347" i="13"/>
  <c r="BE347" i="13"/>
  <c r="BG347" i="13"/>
  <c r="BH347" i="13"/>
  <c r="BI347" i="13"/>
  <c r="AR343" i="13"/>
  <c r="AQ343" i="13"/>
  <c r="AT343" i="13"/>
  <c r="AS343" i="13"/>
  <c r="AW343" i="13"/>
  <c r="AY343" i="13"/>
  <c r="BG343" i="13"/>
  <c r="BH343" i="13"/>
  <c r="BI343" i="13"/>
  <c r="AQ339" i="13"/>
  <c r="AT339" i="13"/>
  <c r="AY339" i="13"/>
  <c r="BB339" i="13"/>
  <c r="BF339" i="13"/>
  <c r="BG339" i="13"/>
  <c r="BH339" i="13"/>
  <c r="BF400" i="13"/>
  <c r="BF384" i="13"/>
  <c r="BD404" i="13"/>
  <c r="BD388" i="13"/>
  <c r="BD372" i="13"/>
  <c r="AV392" i="13"/>
  <c r="CD370" i="13"/>
  <c r="CC370" i="13"/>
  <c r="CB343" i="13"/>
  <c r="CA343" i="13"/>
  <c r="BX360" i="13"/>
  <c r="BU366" i="13"/>
  <c r="BS357" i="13"/>
  <c r="BP360" i="13"/>
  <c r="BN357" i="13"/>
  <c r="AX339" i="13"/>
  <c r="AW370" i="13"/>
  <c r="AW366" i="13"/>
  <c r="AW362" i="13"/>
  <c r="AW358" i="13"/>
  <c r="AW355" i="13"/>
  <c r="AW351" i="13"/>
  <c r="AW339" i="13"/>
  <c r="AV370" i="13"/>
  <c r="AV366" i="13"/>
  <c r="AV362" i="13"/>
  <c r="AV358" i="13"/>
  <c r="AV355" i="13"/>
  <c r="AV351" i="13"/>
  <c r="AU343" i="13"/>
  <c r="AT370" i="13"/>
  <c r="AT366" i="13"/>
  <c r="AT362" i="13"/>
  <c r="AT358" i="13"/>
  <c r="AT355" i="13"/>
  <c r="AT351" i="13"/>
  <c r="AS358" i="13"/>
  <c r="AR362" i="13"/>
  <c r="AR339" i="13"/>
  <c r="AQ347" i="13"/>
  <c r="BH404" i="13"/>
  <c r="BH372" i="13"/>
  <c r="BD376" i="13"/>
  <c r="CD366" i="13"/>
  <c r="CC366" i="13"/>
  <c r="CB370" i="13"/>
  <c r="BZ370" i="13"/>
  <c r="BY370" i="13"/>
  <c r="BX343" i="13"/>
  <c r="BT366" i="13"/>
  <c r="BT343" i="13"/>
  <c r="BS347" i="13"/>
  <c r="BN364" i="13"/>
  <c r="BO364" i="13"/>
  <c r="BS364" i="13"/>
  <c r="BO357" i="13"/>
  <c r="BT357" i="13"/>
  <c r="BU357" i="13"/>
  <c r="BX357" i="13"/>
  <c r="BZ357" i="13"/>
  <c r="BN349" i="13"/>
  <c r="CA349" i="13"/>
  <c r="BW341" i="13"/>
  <c r="BV341" i="13"/>
  <c r="AX343" i="13"/>
  <c r="AS370" i="13"/>
  <c r="AR370" i="13"/>
  <c r="CC354" i="13"/>
  <c r="CC353" i="13"/>
  <c r="CB353" i="13"/>
  <c r="CA353" i="13"/>
  <c r="BO353" i="13"/>
  <c r="BL353" i="13"/>
  <c r="BY353" i="13"/>
  <c r="BU353" i="13"/>
  <c r="BN353" i="13"/>
  <c r="CD353" i="13"/>
  <c r="BZ353" i="13"/>
  <c r="BV353" i="13"/>
  <c r="CD349" i="13"/>
  <c r="BX349" i="13"/>
  <c r="BV349" i="13"/>
  <c r="BU349" i="13"/>
  <c r="BS349" i="13"/>
  <c r="BR349" i="13"/>
  <c r="BP349" i="13"/>
  <c r="BL349" i="13"/>
  <c r="BZ349" i="13"/>
  <c r="BT349" i="13"/>
  <c r="CB349" i="13"/>
  <c r="BY349" i="13"/>
  <c r="AW348" i="13"/>
  <c r="AV348" i="13"/>
  <c r="AT348" i="13"/>
  <c r="BD346" i="13"/>
  <c r="BC346" i="13"/>
  <c r="BA346" i="13"/>
  <c r="AZ346" i="13"/>
  <c r="AY346" i="13"/>
  <c r="AU346" i="13"/>
  <c r="BE346" i="13"/>
  <c r="AX346" i="13"/>
  <c r="BD344" i="13"/>
  <c r="AU344" i="13"/>
  <c r="CC344" i="13"/>
  <c r="BB344" i="13"/>
  <c r="BA344" i="13"/>
  <c r="AW344" i="13"/>
  <c r="AT344" i="13"/>
  <c r="CA144" i="13"/>
  <c r="BB220" i="13"/>
  <c r="CC420" i="13"/>
  <c r="CB432" i="13"/>
  <c r="BY424" i="13"/>
  <c r="BY416" i="13"/>
  <c r="BW428" i="13"/>
  <c r="BI429" i="13"/>
  <c r="BG421" i="13"/>
  <c r="BF425" i="13"/>
  <c r="BF417" i="13"/>
  <c r="BD421" i="13"/>
  <c r="BC433" i="13"/>
  <c r="AV429" i="13"/>
  <c r="AU417" i="13"/>
  <c r="AQ433" i="13"/>
  <c r="BQ394" i="13"/>
  <c r="BM390" i="13"/>
  <c r="BG258" i="13"/>
  <c r="AU250" i="13"/>
  <c r="BW140" i="13"/>
  <c r="BI325" i="13"/>
  <c r="BG306" i="13"/>
  <c r="BB303" i="13"/>
  <c r="AY299" i="13"/>
  <c r="AW311" i="13"/>
  <c r="AU299" i="13"/>
  <c r="AR295" i="13"/>
  <c r="CD427" i="13"/>
  <c r="CC432" i="13"/>
  <c r="CC424" i="13"/>
  <c r="CC419" i="13"/>
  <c r="CB431" i="13"/>
  <c r="CA416" i="13"/>
  <c r="BZ419" i="13"/>
  <c r="BY423" i="13"/>
  <c r="BY415" i="13"/>
  <c r="BX423" i="13"/>
  <c r="BV427" i="13"/>
  <c r="BV415" i="13"/>
  <c r="BU415" i="13"/>
  <c r="BT415" i="13"/>
  <c r="BR427" i="13"/>
  <c r="BQ431" i="13"/>
  <c r="BQ419" i="13"/>
  <c r="BO427" i="13"/>
  <c r="BN427" i="13"/>
  <c r="BD433" i="13"/>
  <c r="BD425" i="13"/>
  <c r="BC425" i="13"/>
  <c r="BB421" i="13"/>
  <c r="AY432" i="13"/>
  <c r="AX433" i="13"/>
  <c r="AX417" i="13"/>
  <c r="AU433" i="13"/>
  <c r="AT425" i="13"/>
  <c r="AQ425" i="13"/>
  <c r="BT398" i="13"/>
  <c r="BQ386" i="13"/>
  <c r="BO410" i="13"/>
  <c r="BO402" i="13"/>
  <c r="BO394" i="13"/>
  <c r="BO378" i="13"/>
  <c r="BM374" i="13"/>
  <c r="CC261" i="13"/>
  <c r="BG248" i="13"/>
  <c r="BC260" i="13"/>
  <c r="BT140" i="13"/>
  <c r="BV310" i="13"/>
  <c r="BI317" i="13"/>
  <c r="BH299" i="13"/>
  <c r="BG297" i="13"/>
  <c r="BF305" i="13"/>
  <c r="BD297" i="13"/>
  <c r="AY289" i="13"/>
  <c r="AU287" i="13"/>
  <c r="AT283" i="13"/>
  <c r="AQ315" i="13"/>
  <c r="CD423" i="13"/>
  <c r="CC431" i="13"/>
  <c r="CC423" i="13"/>
  <c r="CC416" i="13"/>
  <c r="CB427" i="13"/>
  <c r="CB419" i="13"/>
  <c r="CA432" i="13"/>
  <c r="BZ431" i="13"/>
  <c r="BZ415" i="13"/>
  <c r="BY428" i="13"/>
  <c r="BY420" i="13"/>
  <c r="BX431" i="13"/>
  <c r="BX419" i="13"/>
  <c r="BW420" i="13"/>
  <c r="BV423" i="13"/>
  <c r="BU423" i="13"/>
  <c r="BT427" i="13"/>
  <c r="BS432" i="13"/>
  <c r="BR426" i="13"/>
  <c r="BQ428" i="13"/>
  <c r="BP431" i="13"/>
  <c r="BO424" i="13"/>
  <c r="BN419" i="13"/>
  <c r="BL423" i="13"/>
  <c r="BF429" i="13"/>
  <c r="BE433" i="13"/>
  <c r="BD417" i="13"/>
  <c r="AW425" i="13"/>
  <c r="AV417" i="13"/>
  <c r="AT417" i="13"/>
  <c r="CD398" i="13"/>
  <c r="BZ390" i="13"/>
  <c r="BY406" i="13"/>
  <c r="BY398" i="13"/>
  <c r="BY390" i="13"/>
  <c r="BY382" i="13"/>
  <c r="BY374" i="13"/>
  <c r="BX410" i="13"/>
  <c r="BX378" i="13"/>
  <c r="BX374" i="13"/>
  <c r="BW410" i="13"/>
  <c r="BW394" i="13"/>
  <c r="BW378" i="13"/>
  <c r="BV394" i="13"/>
  <c r="BT390" i="13"/>
  <c r="BM410" i="13"/>
  <c r="BU410" i="13"/>
  <c r="CA410" i="13"/>
  <c r="CB410" i="13"/>
  <c r="BT410" i="13"/>
  <c r="BZ410" i="13"/>
  <c r="CD410" i="13"/>
  <c r="BL406" i="13"/>
  <c r="BV406" i="13"/>
  <c r="CB406" i="13"/>
  <c r="BM406" i="13"/>
  <c r="BQ406" i="13"/>
  <c r="BU406" i="13"/>
  <c r="BX406" i="13"/>
  <c r="CA406" i="13"/>
  <c r="BM402" i="13"/>
  <c r="BT402" i="13"/>
  <c r="BU402" i="13"/>
  <c r="BZ402" i="13"/>
  <c r="CA402" i="13"/>
  <c r="CB402" i="13"/>
  <c r="CD402" i="13"/>
  <c r="BL398" i="13"/>
  <c r="BQ398" i="13"/>
  <c r="BX398" i="13"/>
  <c r="CB398" i="13"/>
  <c r="BU398" i="13"/>
  <c r="BV398" i="13"/>
  <c r="CA398" i="13"/>
  <c r="BU394" i="13"/>
  <c r="CA394" i="13"/>
  <c r="CB394" i="13"/>
  <c r="BT394" i="13"/>
  <c r="BZ394" i="13"/>
  <c r="CD394" i="13"/>
  <c r="BL390" i="13"/>
  <c r="BO390" i="13"/>
  <c r="BV390" i="13"/>
  <c r="CB390" i="13"/>
  <c r="BQ390" i="13"/>
  <c r="BU390" i="13"/>
  <c r="BX390" i="13"/>
  <c r="CA390" i="13"/>
  <c r="BT386" i="13"/>
  <c r="BU386" i="13"/>
  <c r="BZ386" i="13"/>
  <c r="CA386" i="13"/>
  <c r="CB386" i="13"/>
  <c r="CD386" i="13"/>
  <c r="BM386" i="13"/>
  <c r="BO386" i="13"/>
  <c r="BL382" i="13"/>
  <c r="BM382" i="13"/>
  <c r="BQ382" i="13"/>
  <c r="BX382" i="13"/>
  <c r="CB382" i="13"/>
  <c r="BU382" i="13"/>
  <c r="BV382" i="13"/>
  <c r="CA382" i="13"/>
  <c r="BU378" i="13"/>
  <c r="CA378" i="13"/>
  <c r="CB378" i="13"/>
  <c r="BT378" i="13"/>
  <c r="BZ378" i="13"/>
  <c r="CD378" i="13"/>
  <c r="BL374" i="13"/>
  <c r="BV374" i="13"/>
  <c r="CB374" i="13"/>
  <c r="BO374" i="13"/>
  <c r="BQ374" i="13"/>
  <c r="BU374" i="13"/>
  <c r="CA374" i="13"/>
  <c r="BI406" i="13"/>
  <c r="BI378" i="13"/>
  <c r="BH402" i="13"/>
  <c r="BH386" i="13"/>
  <c r="BG390" i="13"/>
  <c r="BG382" i="13"/>
  <c r="BE402" i="13"/>
  <c r="BE394" i="13"/>
  <c r="BA402" i="13"/>
  <c r="BA394" i="13"/>
  <c r="BA386" i="13"/>
  <c r="AZ382" i="13"/>
  <c r="AZ374" i="13"/>
  <c r="AT402" i="13"/>
  <c r="AS378" i="13"/>
  <c r="AR386" i="13"/>
  <c r="AQ413" i="13"/>
  <c r="AU413" i="13"/>
  <c r="AZ413" i="13"/>
  <c r="BH413" i="13"/>
  <c r="AQ409" i="13"/>
  <c r="AV409" i="13"/>
  <c r="AW409" i="13"/>
  <c r="AX409" i="13"/>
  <c r="AY409" i="13"/>
  <c r="BH409" i="13"/>
  <c r="BI409" i="13"/>
  <c r="AQ405" i="13"/>
  <c r="AS405" i="13"/>
  <c r="BC405" i="13"/>
  <c r="BG405" i="13"/>
  <c r="BH405" i="13"/>
  <c r="AQ401" i="13"/>
  <c r="AT401" i="13"/>
  <c r="BE401" i="13"/>
  <c r="BH401" i="13"/>
  <c r="AQ397" i="13"/>
  <c r="AU397" i="13"/>
  <c r="AX397" i="13"/>
  <c r="BA397" i="13"/>
  <c r="BH397" i="13"/>
  <c r="AQ393" i="13"/>
  <c r="AR393" i="13"/>
  <c r="AW393" i="13"/>
  <c r="AZ393" i="13"/>
  <c r="BH393" i="13"/>
  <c r="BI393" i="13"/>
  <c r="AQ389" i="13"/>
  <c r="AR389" i="13"/>
  <c r="AT389" i="13"/>
  <c r="AX389" i="13"/>
  <c r="BG389" i="13"/>
  <c r="BH389" i="13"/>
  <c r="AQ385" i="13"/>
  <c r="AV385" i="13"/>
  <c r="AZ385" i="13"/>
  <c r="BA385" i="13"/>
  <c r="BC385" i="13"/>
  <c r="BE385" i="13"/>
  <c r="BH385" i="13"/>
  <c r="AQ381" i="13"/>
  <c r="AR381" i="13"/>
  <c r="AU381" i="13"/>
  <c r="AY381" i="13"/>
  <c r="BH381" i="13"/>
  <c r="AQ377" i="13"/>
  <c r="AR377" i="13"/>
  <c r="AS377" i="13"/>
  <c r="AT377" i="13"/>
  <c r="AW377" i="13"/>
  <c r="BH377" i="13"/>
  <c r="BI377" i="13"/>
  <c r="AQ373" i="13"/>
  <c r="AR373" i="13"/>
  <c r="AZ373" i="13"/>
  <c r="BC373" i="13"/>
  <c r="BE373" i="13"/>
  <c r="BG373" i="13"/>
  <c r="BH373" i="13"/>
  <c r="CC367" i="13"/>
  <c r="CC342" i="13"/>
  <c r="CA354" i="13"/>
  <c r="BZ336" i="13"/>
  <c r="BX342" i="13"/>
  <c r="BS369" i="13"/>
  <c r="BL336" i="13"/>
  <c r="BT368" i="13"/>
  <c r="CD368" i="13"/>
  <c r="BR358" i="13"/>
  <c r="CD358" i="13"/>
  <c r="BR347" i="13"/>
  <c r="BY347" i="13"/>
  <c r="CB347" i="13"/>
  <c r="CD347" i="13"/>
  <c r="BM343" i="13"/>
  <c r="BP343" i="13"/>
  <c r="BS343" i="13"/>
  <c r="BU343" i="13"/>
  <c r="BL343" i="13"/>
  <c r="BZ343" i="13"/>
  <c r="CC343" i="13"/>
  <c r="BS339" i="13"/>
  <c r="BL339" i="13"/>
  <c r="CB339" i="13"/>
  <c r="BM371" i="13"/>
  <c r="BW371" i="13"/>
  <c r="BM367" i="13"/>
  <c r="BS367" i="13"/>
  <c r="CA367" i="13"/>
  <c r="BM361" i="13"/>
  <c r="BY361" i="13"/>
  <c r="CC361" i="13"/>
  <c r="BM354" i="13"/>
  <c r="BW354" i="13"/>
  <c r="BY354" i="13"/>
  <c r="BM350" i="13"/>
  <c r="BU350" i="13"/>
  <c r="CA350" i="13"/>
  <c r="CC350" i="13"/>
  <c r="BS350" i="13"/>
  <c r="BX346" i="13"/>
  <c r="CA346" i="13"/>
  <c r="CC346" i="13"/>
  <c r="BO346" i="13"/>
  <c r="BP346" i="13"/>
  <c r="BN342" i="13"/>
  <c r="BQ342" i="13"/>
  <c r="BY342" i="13"/>
  <c r="BZ342" i="13"/>
  <c r="CA338" i="13"/>
  <c r="CB338" i="13"/>
  <c r="CD338" i="13"/>
  <c r="BT338" i="13"/>
  <c r="BY338" i="13"/>
  <c r="BN405" i="13"/>
  <c r="BM405" i="13"/>
  <c r="BL393" i="13"/>
  <c r="BM393" i="13"/>
  <c r="BN393" i="13"/>
  <c r="BO393" i="13"/>
  <c r="BN385" i="13"/>
  <c r="BL385" i="13"/>
  <c r="BO385" i="13"/>
  <c r="BM377" i="13"/>
  <c r="BO377" i="13"/>
  <c r="BI410" i="13"/>
  <c r="BI402" i="13"/>
  <c r="BI374" i="13"/>
  <c r="BH410" i="13"/>
  <c r="BH378" i="13"/>
  <c r="AS410" i="13"/>
  <c r="AS393" i="13"/>
  <c r="AS381" i="13"/>
  <c r="AR401" i="13"/>
  <c r="AS411" i="13"/>
  <c r="BC411" i="13"/>
  <c r="BE411" i="13"/>
  <c r="AX403" i="13"/>
  <c r="BA403" i="13"/>
  <c r="BI403" i="13"/>
  <c r="AS399" i="13"/>
  <c r="AZ399" i="13"/>
  <c r="BB399" i="13"/>
  <c r="BG399" i="13"/>
  <c r="AY395" i="13"/>
  <c r="BE395" i="13"/>
  <c r="AQ391" i="13"/>
  <c r="AS391" i="13"/>
  <c r="BA391" i="13"/>
  <c r="BB391" i="13"/>
  <c r="BC391" i="13"/>
  <c r="AY387" i="13"/>
  <c r="BI387" i="13"/>
  <c r="AS383" i="13"/>
  <c r="BB383" i="13"/>
  <c r="BG383" i="13"/>
  <c r="AZ379" i="13"/>
  <c r="BC379" i="13"/>
  <c r="AS375" i="13"/>
  <c r="AX375" i="13"/>
  <c r="AY375" i="13"/>
  <c r="BB375" i="13"/>
  <c r="CD359" i="13"/>
  <c r="CC371" i="13"/>
  <c r="CC365" i="13"/>
  <c r="CC359" i="13"/>
  <c r="CC347" i="13"/>
  <c r="CC336" i="13"/>
  <c r="CB336" i="13"/>
  <c r="CA359" i="13"/>
  <c r="CA342" i="13"/>
  <c r="BZ347" i="13"/>
  <c r="BY336" i="13"/>
  <c r="BX359" i="13"/>
  <c r="BX347" i="13"/>
  <c r="BV359" i="13"/>
  <c r="BV342" i="13"/>
  <c r="BU367" i="13"/>
  <c r="BU361" i="13"/>
  <c r="BS371" i="13"/>
  <c r="BS361" i="13"/>
  <c r="BS354" i="13"/>
  <c r="BS342" i="13"/>
  <c r="BR355" i="13"/>
  <c r="BO343" i="13"/>
  <c r="BN362" i="13"/>
  <c r="BN343" i="13"/>
  <c r="AT410" i="13"/>
  <c r="BA410" i="13"/>
  <c r="BD410" i="13"/>
  <c r="BF410" i="13"/>
  <c r="BG410" i="13"/>
  <c r="AT406" i="13"/>
  <c r="AZ406" i="13"/>
  <c r="BD406" i="13"/>
  <c r="BE406" i="13"/>
  <c r="BF406" i="13"/>
  <c r="AQ402" i="13"/>
  <c r="AV402" i="13"/>
  <c r="AY402" i="13"/>
  <c r="BD402" i="13"/>
  <c r="BF402" i="13"/>
  <c r="AQ398" i="13"/>
  <c r="BC398" i="13"/>
  <c r="BD398" i="13"/>
  <c r="BF398" i="13"/>
  <c r="BI398" i="13"/>
  <c r="AY394" i="13"/>
  <c r="AV394" i="13"/>
  <c r="BD394" i="13"/>
  <c r="BF394" i="13"/>
  <c r="BG394" i="13"/>
  <c r="AR390" i="13"/>
  <c r="BD390" i="13"/>
  <c r="BE390" i="13"/>
  <c r="BF390" i="13"/>
  <c r="AS386" i="13"/>
  <c r="BD386" i="13"/>
  <c r="BF386" i="13"/>
  <c r="AR382" i="13"/>
  <c r="AX382" i="13"/>
  <c r="BD382" i="13"/>
  <c r="BF382" i="13"/>
  <c r="BI382" i="13"/>
  <c r="AQ378" i="13"/>
  <c r="BA378" i="13"/>
  <c r="BD378" i="13"/>
  <c r="BE378" i="13"/>
  <c r="BF378" i="13"/>
  <c r="BG378" i="13"/>
  <c r="AV374" i="13"/>
  <c r="BD374" i="13"/>
  <c r="BF374" i="13"/>
  <c r="CD346" i="13"/>
  <c r="CA371" i="13"/>
  <c r="BZ338" i="13"/>
  <c r="BY346" i="13"/>
  <c r="BW361" i="13"/>
  <c r="BQ338" i="13"/>
  <c r="BL338" i="13"/>
  <c r="BX369" i="13"/>
  <c r="CA369" i="13"/>
  <c r="CB369" i="13"/>
  <c r="CC369" i="13"/>
  <c r="BN369" i="13"/>
  <c r="BQ369" i="13"/>
  <c r="BO365" i="13"/>
  <c r="BY365" i="13"/>
  <c r="BP365" i="13"/>
  <c r="CD365" i="13"/>
  <c r="BV363" i="13"/>
  <c r="CB363" i="13"/>
  <c r="CD363" i="13"/>
  <c r="CA363" i="13"/>
  <c r="BP359" i="13"/>
  <c r="BL359" i="13"/>
  <c r="BS359" i="13"/>
  <c r="BY359" i="13"/>
  <c r="BS356" i="13"/>
  <c r="CA356" i="13"/>
  <c r="CB356" i="13"/>
  <c r="CC356" i="13"/>
  <c r="BZ356" i="13"/>
  <c r="BO352" i="13"/>
  <c r="BY352" i="13"/>
  <c r="BZ352" i="13"/>
  <c r="CA352" i="13"/>
  <c r="CB352" i="13"/>
  <c r="BM348" i="13"/>
  <c r="BS348" i="13"/>
  <c r="BU348" i="13"/>
  <c r="BY348" i="13"/>
  <c r="BM344" i="13"/>
  <c r="BW344" i="13"/>
  <c r="BS344" i="13"/>
  <c r="CA344" i="13"/>
  <c r="BM340" i="13"/>
  <c r="CC340" i="13"/>
  <c r="BN336" i="13"/>
  <c r="BM336" i="13"/>
  <c r="BR336" i="13"/>
  <c r="BT336" i="13"/>
  <c r="BV336" i="13"/>
  <c r="BX336" i="13"/>
  <c r="CD336" i="13"/>
  <c r="AS369" i="13"/>
  <c r="AS364" i="13"/>
  <c r="AS359" i="13"/>
  <c r="AR360" i="13"/>
  <c r="AR345" i="13"/>
  <c r="AQ352" i="13"/>
  <c r="AS363" i="13"/>
  <c r="AS336" i="13"/>
  <c r="AR349" i="13"/>
  <c r="AR344" i="13"/>
  <c r="AQ359" i="13"/>
  <c r="AR348" i="13"/>
  <c r="AQ365" i="13"/>
  <c r="BX341" i="13"/>
  <c r="AX341" i="13"/>
  <c r="AW341" i="13"/>
  <c r="AV341" i="13"/>
  <c r="AU341" i="13"/>
  <c r="AS341" i="13"/>
  <c r="AR341" i="13"/>
  <c r="CD341" i="13"/>
  <c r="BR341" i="13"/>
  <c r="BW340" i="13"/>
  <c r="BI340" i="13"/>
  <c r="AZ340" i="13"/>
  <c r="AT340" i="13"/>
  <c r="AR340" i="13"/>
  <c r="BS340" i="13"/>
  <c r="CA340" i="13"/>
  <c r="BY340" i="13"/>
  <c r="BU340" i="13"/>
  <c r="BF340" i="13"/>
  <c r="BE340" i="13"/>
  <c r="BC340" i="13"/>
  <c r="BB340" i="13"/>
  <c r="BZ339" i="13"/>
  <c r="BU339" i="13"/>
  <c r="BT339" i="13"/>
  <c r="BN339" i="13"/>
  <c r="CC339" i="13"/>
  <c r="CA339" i="13"/>
  <c r="BO339" i="13"/>
  <c r="BM339" i="13"/>
  <c r="AS339" i="13"/>
  <c r="BY339" i="13"/>
  <c r="BB338" i="13"/>
  <c r="BA338" i="13"/>
  <c r="AZ338" i="13"/>
  <c r="AY338" i="13"/>
  <c r="AT338" i="13"/>
  <c r="AQ338" i="13"/>
  <c r="BD338" i="13"/>
  <c r="BC338" i="13"/>
  <c r="AR337" i="13"/>
  <c r="BF336" i="13"/>
  <c r="BB336" i="13"/>
  <c r="AX336" i="13"/>
  <c r="AT336" i="13"/>
  <c r="BA336" i="13"/>
  <c r="AW336" i="13"/>
  <c r="BH336" i="13"/>
  <c r="BD336" i="13"/>
  <c r="AZ336" i="13"/>
  <c r="AV336" i="13"/>
  <c r="AR336" i="13"/>
  <c r="AS435" i="13"/>
  <c r="AT435" i="13"/>
  <c r="BD435" i="13"/>
  <c r="AS332" i="13"/>
  <c r="BG332" i="13"/>
  <c r="BH332" i="13"/>
  <c r="AS328" i="13"/>
  <c r="AZ328" i="13"/>
  <c r="BI297" i="13"/>
  <c r="BG285" i="13"/>
  <c r="BE313" i="13"/>
  <c r="BC305" i="13"/>
  <c r="BB301" i="13"/>
  <c r="BA289" i="13"/>
  <c r="AY293" i="13"/>
  <c r="AW297" i="13"/>
  <c r="AU305" i="13"/>
  <c r="BL433" i="13"/>
  <c r="BM433" i="13"/>
  <c r="BT433" i="13"/>
  <c r="CB433" i="13"/>
  <c r="BW433" i="13"/>
  <c r="CC433" i="13"/>
  <c r="BP429" i="13"/>
  <c r="BU429" i="13"/>
  <c r="CA429" i="13"/>
  <c r="CC429" i="13"/>
  <c r="BS425" i="13"/>
  <c r="BO425" i="13"/>
  <c r="BV425" i="13"/>
  <c r="CC425" i="13"/>
  <c r="CD425" i="13"/>
  <c r="CA421" i="13"/>
  <c r="BU421" i="13"/>
  <c r="CD421" i="13"/>
  <c r="BT417" i="13"/>
  <c r="BV417" i="13"/>
  <c r="BW417" i="13"/>
  <c r="BP417" i="13"/>
  <c r="CC417" i="13"/>
  <c r="BI262" i="13"/>
  <c r="BF250" i="13"/>
  <c r="BA246" i="13"/>
  <c r="AY246" i="13"/>
  <c r="AU242" i="13"/>
  <c r="BF213" i="13"/>
  <c r="AU213" i="13"/>
  <c r="BD335" i="13"/>
  <c r="AZ335" i="13"/>
  <c r="BI246" i="13"/>
  <c r="BF263" i="13"/>
  <c r="BF238" i="13"/>
  <c r="BE250" i="13"/>
  <c r="BD237" i="13"/>
  <c r="BB258" i="13"/>
  <c r="BA242" i="13"/>
  <c r="AY229" i="13"/>
  <c r="AW262" i="13"/>
  <c r="AT258" i="13"/>
  <c r="BZ144" i="13"/>
  <c r="CA182" i="13"/>
  <c r="AY214" i="13"/>
  <c r="BR335" i="13"/>
  <c r="BV335" i="13"/>
  <c r="CC331" i="13"/>
  <c r="CD331" i="13"/>
  <c r="BT331" i="13"/>
  <c r="BT319" i="13"/>
  <c r="BX319" i="13"/>
  <c r="BH320" i="13"/>
  <c r="AZ332" i="13"/>
  <c r="BH289" i="13"/>
  <c r="BB313" i="13"/>
  <c r="BA317" i="13"/>
  <c r="AY313" i="13"/>
  <c r="AX318" i="13"/>
  <c r="AW318" i="13"/>
  <c r="AW310" i="13"/>
  <c r="BB310" i="13"/>
  <c r="BU236" i="13"/>
  <c r="BE262" i="13"/>
  <c r="BD242" i="13"/>
  <c r="AR242" i="13"/>
  <c r="BH258" i="13"/>
  <c r="BF262" i="13"/>
  <c r="BF237" i="13"/>
  <c r="BE246" i="13"/>
  <c r="BD229" i="13"/>
  <c r="BB245" i="13"/>
  <c r="AZ254" i="13"/>
  <c r="AX254" i="13"/>
  <c r="BW144" i="13"/>
  <c r="AY213" i="13"/>
  <c r="CD219" i="13"/>
  <c r="BY219" i="13"/>
  <c r="BR316" i="13"/>
  <c r="BQ316" i="13"/>
  <c r="CC316" i="13"/>
  <c r="BL308" i="13"/>
  <c r="BX308" i="13"/>
  <c r="BM304" i="13"/>
  <c r="BT304" i="13"/>
  <c r="BP300" i="13"/>
  <c r="BX300" i="13"/>
  <c r="BP292" i="13"/>
  <c r="CB292" i="13"/>
  <c r="AQ317" i="13"/>
  <c r="AW317" i="13"/>
  <c r="AV317" i="13"/>
  <c r="BD317" i="13"/>
  <c r="AQ313" i="13"/>
  <c r="AR313" i="13"/>
  <c r="AS313" i="13"/>
  <c r="AV313" i="13"/>
  <c r="BC313" i="13"/>
  <c r="BD313" i="13"/>
  <c r="BF313" i="13"/>
  <c r="BG313" i="13"/>
  <c r="AU313" i="13"/>
  <c r="AZ313" i="13"/>
  <c r="BA313" i="13"/>
  <c r="BI313" i="13"/>
  <c r="AQ309" i="13"/>
  <c r="AU309" i="13"/>
  <c r="BA309" i="13"/>
  <c r="BB309" i="13"/>
  <c r="BI309" i="13"/>
  <c r="AX309" i="13"/>
  <c r="AQ305" i="13"/>
  <c r="AW305" i="13"/>
  <c r="AX305" i="13"/>
  <c r="AS297" i="13"/>
  <c r="AY297" i="13"/>
  <c r="BE297" i="13"/>
  <c r="BH297" i="13"/>
  <c r="AT297" i="13"/>
  <c r="BB297" i="13"/>
  <c r="BC297" i="13"/>
  <c r="BF297" i="13"/>
  <c r="BA293" i="13"/>
  <c r="AU293" i="13"/>
  <c r="BI293" i="13"/>
  <c r="AS289" i="13"/>
  <c r="AR289" i="13"/>
  <c r="AT289" i="13"/>
  <c r="AU289" i="13"/>
  <c r="AZ289" i="13"/>
  <c r="BB289" i="13"/>
  <c r="BC289" i="13"/>
  <c r="BF289" i="13"/>
  <c r="BG289" i="13"/>
  <c r="BI289" i="13"/>
  <c r="AQ289" i="13"/>
  <c r="AU285" i="13"/>
  <c r="AQ285" i="13"/>
  <c r="AS285" i="13"/>
  <c r="AY285" i="13"/>
  <c r="BD285" i="13"/>
  <c r="BI423" i="13"/>
  <c r="BI415" i="13"/>
  <c r="BF427" i="13"/>
  <c r="BF415" i="13"/>
  <c r="BE427" i="13"/>
  <c r="BE415" i="13"/>
  <c r="BD419" i="13"/>
  <c r="BC415" i="13"/>
  <c r="BA431" i="13"/>
  <c r="BA419" i="13"/>
  <c r="AZ427" i="13"/>
  <c r="AW431" i="13"/>
  <c r="AW423" i="13"/>
  <c r="AV423" i="13"/>
  <c r="AT427" i="13"/>
  <c r="AT378" i="13"/>
  <c r="AS394" i="13"/>
  <c r="AQ386" i="13"/>
  <c r="BP387" i="13"/>
  <c r="AZ390" i="13"/>
  <c r="AX390" i="13"/>
  <c r="AQ412" i="13"/>
  <c r="BB412" i="13"/>
  <c r="AQ408" i="13"/>
  <c r="BB408" i="13"/>
  <c r="AQ404" i="13"/>
  <c r="BB404" i="13"/>
  <c r="AQ400" i="13"/>
  <c r="BB400" i="13"/>
  <c r="AQ396" i="13"/>
  <c r="BB396" i="13"/>
  <c r="AQ392" i="13"/>
  <c r="AR392" i="13"/>
  <c r="BB392" i="13"/>
  <c r="AQ388" i="13"/>
  <c r="BB388" i="13"/>
  <c r="AQ384" i="13"/>
  <c r="AT384" i="13"/>
  <c r="BB384" i="13"/>
  <c r="AQ380" i="13"/>
  <c r="BB380" i="13"/>
  <c r="AQ376" i="13"/>
  <c r="AV376" i="13"/>
  <c r="BB376" i="13"/>
  <c r="AQ372" i="13"/>
  <c r="BB372" i="13"/>
  <c r="BI216" i="13"/>
  <c r="CD418" i="13"/>
  <c r="BZ426" i="13"/>
  <c r="BY422" i="13"/>
  <c r="BP426" i="13"/>
  <c r="BI431" i="13"/>
  <c r="BI419" i="13"/>
  <c r="BG427" i="13"/>
  <c r="BG415" i="13"/>
  <c r="BE423" i="13"/>
  <c r="BD427" i="13"/>
  <c r="BC431" i="13"/>
  <c r="BC419" i="13"/>
  <c r="BB427" i="13"/>
  <c r="BB415" i="13"/>
  <c r="AZ423" i="13"/>
  <c r="AY431" i="13"/>
  <c r="AY419" i="13"/>
  <c r="AV431" i="13"/>
  <c r="AV419" i="13"/>
  <c r="AT423" i="13"/>
  <c r="BX411" i="13"/>
  <c r="BX407" i="13"/>
  <c r="BX403" i="13"/>
  <c r="BX399" i="13"/>
  <c r="BX395" i="13"/>
  <c r="BX391" i="13"/>
  <c r="BX387" i="13"/>
  <c r="BX383" i="13"/>
  <c r="BX379" i="13"/>
  <c r="BP403" i="13"/>
  <c r="CD434" i="13"/>
  <c r="BY414" i="13"/>
  <c r="BH431" i="13"/>
  <c r="BH423" i="13"/>
  <c r="BH415" i="13"/>
  <c r="BG423" i="13"/>
  <c r="BF423" i="13"/>
  <c r="BE431" i="13"/>
  <c r="BE419" i="13"/>
  <c r="BD431" i="13"/>
  <c r="BD415" i="13"/>
  <c r="BC427" i="13"/>
  <c r="BB423" i="13"/>
  <c r="BA423" i="13"/>
  <c r="BA415" i="13"/>
  <c r="AZ415" i="13"/>
  <c r="AY427" i="13"/>
  <c r="AY415" i="13"/>
  <c r="AW415" i="13"/>
  <c r="AT431" i="13"/>
  <c r="AT419" i="13"/>
  <c r="BM398" i="13"/>
  <c r="AQ410" i="13"/>
  <c r="AW410" i="13"/>
  <c r="AZ410" i="13"/>
  <c r="BB410" i="13"/>
  <c r="BC410" i="13"/>
  <c r="AU410" i="13"/>
  <c r="AV410" i="13"/>
  <c r="AX410" i="13"/>
  <c r="AR406" i="13"/>
  <c r="AU406" i="13"/>
  <c r="BA406" i="13"/>
  <c r="BB406" i="13"/>
  <c r="AQ406" i="13"/>
  <c r="AS406" i="13"/>
  <c r="AW406" i="13"/>
  <c r="AY406" i="13"/>
  <c r="AW402" i="13"/>
  <c r="AX402" i="13"/>
  <c r="BB402" i="13"/>
  <c r="AR402" i="13"/>
  <c r="AU402" i="13"/>
  <c r="AZ402" i="13"/>
  <c r="BC402" i="13"/>
  <c r="AR398" i="13"/>
  <c r="AS398" i="13"/>
  <c r="AU398" i="13"/>
  <c r="AY398" i="13"/>
  <c r="BB398" i="13"/>
  <c r="AT398" i="13"/>
  <c r="AW398" i="13"/>
  <c r="BA398" i="13"/>
  <c r="AT394" i="13"/>
  <c r="AW394" i="13"/>
  <c r="AZ394" i="13"/>
  <c r="BB394" i="13"/>
  <c r="BC394" i="13"/>
  <c r="AQ394" i="13"/>
  <c r="AR394" i="13"/>
  <c r="AU394" i="13"/>
  <c r="AX394" i="13"/>
  <c r="AQ390" i="13"/>
  <c r="AU390" i="13"/>
  <c r="BA390" i="13"/>
  <c r="BB390" i="13"/>
  <c r="AS390" i="13"/>
  <c r="AT390" i="13"/>
  <c r="AV390" i="13"/>
  <c r="AW390" i="13"/>
  <c r="AY390" i="13"/>
  <c r="AT386" i="13"/>
  <c r="AV386" i="13"/>
  <c r="AW386" i="13"/>
  <c r="AX386" i="13"/>
  <c r="BB386" i="13"/>
  <c r="AU386" i="13"/>
  <c r="AZ386" i="13"/>
  <c r="BC386" i="13"/>
  <c r="AS382" i="13"/>
  <c r="AU382" i="13"/>
  <c r="AY382" i="13"/>
  <c r="BB382" i="13"/>
  <c r="BE382" i="13"/>
  <c r="AQ382" i="13"/>
  <c r="AV382" i="13"/>
  <c r="AW382" i="13"/>
  <c r="BA382" i="13"/>
  <c r="AV378" i="13"/>
  <c r="AW378" i="13"/>
  <c r="AZ378" i="13"/>
  <c r="BB378" i="13"/>
  <c r="BC378" i="13"/>
  <c r="AU378" i="13"/>
  <c r="AX378" i="13"/>
  <c r="AU374" i="13"/>
  <c r="BA374" i="13"/>
  <c r="BB374" i="13"/>
  <c r="AR374" i="13"/>
  <c r="AS374" i="13"/>
  <c r="AW374" i="13"/>
  <c r="AY374" i="13"/>
  <c r="CD362" i="13"/>
  <c r="CB351" i="13"/>
  <c r="BX355" i="13"/>
  <c r="BW358" i="13"/>
  <c r="BW351" i="13"/>
  <c r="BW345" i="13"/>
  <c r="BW337" i="13"/>
  <c r="BV358" i="13"/>
  <c r="BU362" i="13"/>
  <c r="BT355" i="13"/>
  <c r="BQ358" i="13"/>
  <c r="BL358" i="13"/>
  <c r="CD355" i="13"/>
  <c r="CD345" i="13"/>
  <c r="CB362" i="13"/>
  <c r="CB345" i="13"/>
  <c r="BZ351" i="13"/>
  <c r="BY368" i="13"/>
  <c r="BY362" i="13"/>
  <c r="BY358" i="13"/>
  <c r="BY355" i="13"/>
  <c r="BY351" i="13"/>
  <c r="BY341" i="13"/>
  <c r="BX368" i="13"/>
  <c r="BX351" i="13"/>
  <c r="BV355" i="13"/>
  <c r="BQ351" i="13"/>
  <c r="BO341" i="13"/>
  <c r="AR413" i="13"/>
  <c r="CA368" i="13"/>
  <c r="CA362" i="13"/>
  <c r="CA358" i="13"/>
  <c r="CA355" i="13"/>
  <c r="CA351" i="13"/>
  <c r="BW368" i="13"/>
  <c r="BW362" i="13"/>
  <c r="BV368" i="13"/>
  <c r="BO369" i="13"/>
  <c r="BT369" i="13"/>
  <c r="BU369" i="13"/>
  <c r="BL369" i="13"/>
  <c r="BM369" i="13"/>
  <c r="BP369" i="13"/>
  <c r="BV369" i="13"/>
  <c r="BW369" i="13"/>
  <c r="CD369" i="13"/>
  <c r="BM365" i="13"/>
  <c r="BN365" i="13"/>
  <c r="BU365" i="13"/>
  <c r="BR365" i="13"/>
  <c r="BS365" i="13"/>
  <c r="BW365" i="13"/>
  <c r="BX365" i="13"/>
  <c r="BT365" i="13"/>
  <c r="BV365" i="13"/>
  <c r="BL363" i="13"/>
  <c r="BP363" i="13"/>
  <c r="BR363" i="13"/>
  <c r="BU363" i="13"/>
  <c r="BQ363" i="13"/>
  <c r="BW363" i="13"/>
  <c r="BZ363" i="13"/>
  <c r="BM363" i="13"/>
  <c r="BO363" i="13"/>
  <c r="BS363" i="13"/>
  <c r="BX363" i="13"/>
  <c r="BM359" i="13"/>
  <c r="BU359" i="13"/>
  <c r="BR359" i="13"/>
  <c r="BW359" i="13"/>
  <c r="CB359" i="13"/>
  <c r="BN359" i="13"/>
  <c r="BT359" i="13"/>
  <c r="BZ359" i="13"/>
  <c r="BN356" i="13"/>
  <c r="BO356" i="13"/>
  <c r="BR356" i="13"/>
  <c r="BT356" i="13"/>
  <c r="BU356" i="13"/>
  <c r="BV356" i="13"/>
  <c r="BW356" i="13"/>
  <c r="CD356" i="13"/>
  <c r="BL356" i="13"/>
  <c r="BP356" i="13"/>
  <c r="BQ356" i="13"/>
  <c r="BL352" i="13"/>
  <c r="BM352" i="13"/>
  <c r="BU352" i="13"/>
  <c r="BV352" i="13"/>
  <c r="BQ352" i="13"/>
  <c r="BR352" i="13"/>
  <c r="BS352" i="13"/>
  <c r="BT352" i="13"/>
  <c r="BW352" i="13"/>
  <c r="BX352" i="13"/>
  <c r="BN352" i="13"/>
  <c r="BL346" i="13"/>
  <c r="BM346" i="13"/>
  <c r="BR346" i="13"/>
  <c r="BU346" i="13"/>
  <c r="BT346" i="13"/>
  <c r="BW346" i="13"/>
  <c r="CB346" i="13"/>
  <c r="BN346" i="13"/>
  <c r="BQ346" i="13"/>
  <c r="BV346" i="13"/>
  <c r="BZ346" i="13"/>
  <c r="BO342" i="13"/>
  <c r="BT342" i="13"/>
  <c r="BU342" i="13"/>
  <c r="BM342" i="13"/>
  <c r="BW342" i="13"/>
  <c r="CD342" i="13"/>
  <c r="BL342" i="13"/>
  <c r="BP342" i="13"/>
  <c r="BM338" i="13"/>
  <c r="BN338" i="13"/>
  <c r="BU338" i="13"/>
  <c r="BV338" i="13"/>
  <c r="BP338" i="13"/>
  <c r="BS338" i="13"/>
  <c r="BW338" i="13"/>
  <c r="BX338" i="13"/>
  <c r="BO338" i="13"/>
  <c r="BR338" i="13"/>
  <c r="BM368" i="13"/>
  <c r="BL368" i="13"/>
  <c r="BP368" i="13"/>
  <c r="BQ368" i="13"/>
  <c r="BS368" i="13"/>
  <c r="CB368" i="13"/>
  <c r="CC368" i="13"/>
  <c r="BO368" i="13"/>
  <c r="BR368" i="13"/>
  <c r="BU368" i="13"/>
  <c r="BZ368" i="13"/>
  <c r="BM362" i="13"/>
  <c r="BQ362" i="13"/>
  <c r="BS362" i="13"/>
  <c r="BL362" i="13"/>
  <c r="BO362" i="13"/>
  <c r="BP362" i="13"/>
  <c r="BX362" i="13"/>
  <c r="CC362" i="13"/>
  <c r="BV362" i="13"/>
  <c r="BM358" i="13"/>
  <c r="BS358" i="13"/>
  <c r="BN358" i="13"/>
  <c r="BT358" i="13"/>
  <c r="BU358" i="13"/>
  <c r="BZ358" i="13"/>
  <c r="CC358" i="13"/>
  <c r="BX358" i="13"/>
  <c r="BM355" i="13"/>
  <c r="BQ355" i="13"/>
  <c r="BS355" i="13"/>
  <c r="BL355" i="13"/>
  <c r="BO355" i="13"/>
  <c r="BP355" i="13"/>
  <c r="CB355" i="13"/>
  <c r="CC355" i="13"/>
  <c r="BU355" i="13"/>
  <c r="BZ355" i="13"/>
  <c r="BL351" i="13"/>
  <c r="BO351" i="13"/>
  <c r="BP351" i="13"/>
  <c r="BR351" i="13"/>
  <c r="BS351" i="13"/>
  <c r="BT351" i="13"/>
  <c r="BN351" i="13"/>
  <c r="CC351" i="13"/>
  <c r="CD351" i="13"/>
  <c r="BV351" i="13"/>
  <c r="BM345" i="13"/>
  <c r="BN345" i="13"/>
  <c r="BS345" i="13"/>
  <c r="BQ345" i="13"/>
  <c r="BR345" i="13"/>
  <c r="BU345" i="13"/>
  <c r="BV345" i="13"/>
  <c r="BZ345" i="13"/>
  <c r="CC345" i="13"/>
  <c r="BO345" i="13"/>
  <c r="BX345" i="13"/>
  <c r="CA345" i="13"/>
  <c r="BM341" i="13"/>
  <c r="BL341" i="13"/>
  <c r="BP341" i="13"/>
  <c r="BQ341" i="13"/>
  <c r="BS341" i="13"/>
  <c r="CB341" i="13"/>
  <c r="CC341" i="13"/>
  <c r="BT341" i="13"/>
  <c r="BU341" i="13"/>
  <c r="BZ341" i="13"/>
  <c r="CA341" i="13"/>
  <c r="BM337" i="13"/>
  <c r="BS337" i="13"/>
  <c r="CC337" i="13"/>
  <c r="CA337" i="13"/>
  <c r="BX366" i="13"/>
  <c r="BX353" i="13"/>
  <c r="BX339" i="13"/>
  <c r="BW370" i="13"/>
  <c r="BW366" i="13"/>
  <c r="BW364" i="13"/>
  <c r="BW360" i="13"/>
  <c r="BW357" i="13"/>
  <c r="BW353" i="13"/>
  <c r="BW349" i="13"/>
  <c r="BW347" i="13"/>
  <c r="BW343" i="13"/>
  <c r="BW339" i="13"/>
  <c r="BV370" i="13"/>
  <c r="BV357" i="13"/>
  <c r="BV339" i="13"/>
  <c r="BU360" i="13"/>
  <c r="BU347" i="13"/>
  <c r="BT353" i="13"/>
  <c r="BS366" i="13"/>
  <c r="BS353" i="13"/>
  <c r="BR353" i="13"/>
  <c r="BP370" i="13"/>
  <c r="BP364" i="13"/>
  <c r="BO349" i="13"/>
  <c r="BM370" i="13"/>
  <c r="BM353" i="13"/>
  <c r="BL370" i="13"/>
  <c r="BL364" i="13"/>
  <c r="BP366" i="13"/>
  <c r="BR366" i="13"/>
  <c r="BL360" i="13"/>
  <c r="BN360" i="13"/>
  <c r="BO360" i="13"/>
  <c r="BT360" i="13"/>
  <c r="BQ357" i="13"/>
  <c r="BL357" i="13"/>
  <c r="BP357" i="13"/>
  <c r="BL347" i="13"/>
  <c r="BO347" i="13"/>
  <c r="BP347" i="13"/>
  <c r="BT347" i="13"/>
  <c r="BQ343" i="13"/>
  <c r="BV343" i="13"/>
  <c r="BP339" i="13"/>
  <c r="BR339" i="13"/>
  <c r="AS365" i="13"/>
  <c r="AS352" i="13"/>
  <c r="AS338" i="13"/>
  <c r="AR369" i="13"/>
  <c r="AR363" i="13"/>
  <c r="AR356" i="13"/>
  <c r="AR342" i="13"/>
  <c r="BD323" i="13"/>
  <c r="AZ323" i="13"/>
  <c r="CD317" i="13"/>
  <c r="BM317" i="13"/>
  <c r="BL305" i="13"/>
  <c r="BN305" i="13"/>
  <c r="BW305" i="13"/>
  <c r="CA305" i="13"/>
  <c r="BQ297" i="13"/>
  <c r="BX297" i="13"/>
  <c r="BY293" i="13"/>
  <c r="CD293" i="13"/>
  <c r="BR285" i="13"/>
  <c r="BT285" i="13"/>
  <c r="CA285" i="13"/>
  <c r="CB285" i="13"/>
  <c r="BP285" i="13"/>
  <c r="BV285" i="13"/>
  <c r="BZ285" i="13"/>
  <c r="CC285" i="13"/>
  <c r="AQ318" i="13"/>
  <c r="BA318" i="13"/>
  <c r="BF318" i="13"/>
  <c r="AQ314" i="13"/>
  <c r="AT314" i="13"/>
  <c r="BH314" i="13"/>
  <c r="AQ310" i="13"/>
  <c r="AU310" i="13"/>
  <c r="BG310" i="13"/>
  <c r="BI310" i="13"/>
  <c r="AQ306" i="13"/>
  <c r="AW306" i="13"/>
  <c r="AZ306" i="13"/>
  <c r="AV306" i="13"/>
  <c r="AX306" i="13"/>
  <c r="BD306" i="13"/>
  <c r="BF306" i="13"/>
  <c r="AQ302" i="13"/>
  <c r="BI302" i="13"/>
  <c r="AW302" i="13"/>
  <c r="AQ294" i="13"/>
  <c r="AW294" i="13"/>
  <c r="BH294" i="13"/>
  <c r="BA294" i="13"/>
  <c r="AQ290" i="13"/>
  <c r="BD290" i="13"/>
  <c r="BI290" i="13"/>
  <c r="AY290" i="13"/>
  <c r="BC290" i="13"/>
  <c r="AQ286" i="13"/>
  <c r="BF286" i="13"/>
  <c r="AQ282" i="13"/>
  <c r="BC282" i="13"/>
  <c r="BH282" i="13"/>
  <c r="BI282" i="13"/>
  <c r="BI238" i="13"/>
  <c r="BH243" i="13"/>
  <c r="BD259" i="13"/>
  <c r="BB234" i="13"/>
  <c r="BX221" i="13"/>
  <c r="BU221" i="13"/>
  <c r="BF218" i="13"/>
  <c r="CC435" i="13"/>
  <c r="CA324" i="13"/>
  <c r="BW328" i="13"/>
  <c r="BY319" i="13"/>
  <c r="CB319" i="13"/>
  <c r="CC303" i="13"/>
  <c r="BZ297" i="13"/>
  <c r="BX285" i="13"/>
  <c r="BM293" i="13"/>
  <c r="BF282" i="13"/>
  <c r="BE286" i="13"/>
  <c r="BD314" i="13"/>
  <c r="BC310" i="13"/>
  <c r="BB290" i="13"/>
  <c r="BA290" i="13"/>
  <c r="AZ310" i="13"/>
  <c r="AY314" i="13"/>
  <c r="AV318" i="13"/>
  <c r="AU318" i="13"/>
  <c r="AT306" i="13"/>
  <c r="BH255" i="13"/>
  <c r="BC263" i="13"/>
  <c r="BC234" i="13"/>
  <c r="AZ247" i="13"/>
  <c r="AW251" i="13"/>
  <c r="AU263" i="13"/>
  <c r="AT238" i="13"/>
  <c r="AS251" i="13"/>
  <c r="BO142" i="13"/>
  <c r="BW244" i="13"/>
  <c r="BI254" i="13"/>
  <c r="BI230" i="13"/>
  <c r="BH251" i="13"/>
  <c r="BH242" i="13"/>
  <c r="BG262" i="13"/>
  <c r="BG242" i="13"/>
  <c r="BF258" i="13"/>
  <c r="BF246" i="13"/>
  <c r="BF233" i="13"/>
  <c r="BE258" i="13"/>
  <c r="BE242" i="13"/>
  <c r="BD247" i="13"/>
  <c r="BD234" i="13"/>
  <c r="BC233" i="13"/>
  <c r="BA259" i="13"/>
  <c r="BA233" i="13"/>
  <c r="AY238" i="13"/>
  <c r="AX251" i="13"/>
  <c r="AX234" i="13"/>
  <c r="AW243" i="13"/>
  <c r="AU262" i="13"/>
  <c r="AU234" i="13"/>
  <c r="AT234" i="13"/>
  <c r="AS243" i="13"/>
  <c r="AQ238" i="13"/>
  <c r="CC328" i="13"/>
  <c r="AS323" i="13"/>
  <c r="BY305" i="13"/>
  <c r="BS293" i="13"/>
  <c r="BP297" i="13"/>
  <c r="BL285" i="13"/>
  <c r="BA310" i="13"/>
  <c r="AZ290" i="13"/>
  <c r="AX290" i="13"/>
  <c r="AT318" i="13"/>
  <c r="BM244" i="13"/>
  <c r="BB251" i="13"/>
  <c r="AQ140" i="13"/>
  <c r="CD248" i="13"/>
  <c r="CA243" i="13"/>
  <c r="BV264" i="13"/>
  <c r="BH250" i="13"/>
  <c r="BH233" i="13"/>
  <c r="BG230" i="13"/>
  <c r="BF255" i="13"/>
  <c r="BF230" i="13"/>
  <c r="BE238" i="13"/>
  <c r="BD233" i="13"/>
  <c r="BB263" i="13"/>
  <c r="BA230" i="13"/>
  <c r="AZ234" i="13"/>
  <c r="AY230" i="13"/>
  <c r="AW230" i="13"/>
  <c r="CD435" i="13"/>
  <c r="CC324" i="13"/>
  <c r="BY324" i="13"/>
  <c r="BP331" i="13"/>
  <c r="CC317" i="13"/>
  <c r="BQ285" i="13"/>
  <c r="BO297" i="13"/>
  <c r="BF314" i="13"/>
  <c r="BE310" i="13"/>
  <c r="BE282" i="13"/>
  <c r="BD310" i="13"/>
  <c r="BD282" i="13"/>
  <c r="BA282" i="13"/>
  <c r="AW290" i="13"/>
  <c r="AT310" i="13"/>
  <c r="CD429" i="13"/>
  <c r="CD417" i="13"/>
  <c r="CB425" i="13"/>
  <c r="BZ433" i="13"/>
  <c r="BZ417" i="13"/>
  <c r="BW425" i="13"/>
  <c r="BT425" i="13"/>
  <c r="BO433" i="13"/>
  <c r="BU434" i="13"/>
  <c r="BQ434" i="13"/>
  <c r="BU426" i="13"/>
  <c r="BQ426" i="13"/>
  <c r="BR418" i="13"/>
  <c r="BZ418" i="13"/>
  <c r="BZ414" i="13"/>
  <c r="BP414" i="13"/>
  <c r="BQ414" i="13"/>
  <c r="BV414" i="13"/>
  <c r="AS433" i="13"/>
  <c r="AT433" i="13"/>
  <c r="AY433" i="13"/>
  <c r="AZ433" i="13"/>
  <c r="BB433" i="13"/>
  <c r="AR433" i="13"/>
  <c r="BA433" i="13"/>
  <c r="BG433" i="13"/>
  <c r="BH433" i="13"/>
  <c r="BI433" i="13"/>
  <c r="AQ429" i="13"/>
  <c r="AR429" i="13"/>
  <c r="AU429" i="13"/>
  <c r="AX429" i="13"/>
  <c r="AZ429" i="13"/>
  <c r="BE429" i="13"/>
  <c r="AW429" i="13"/>
  <c r="AY429" i="13"/>
  <c r="BC429" i="13"/>
  <c r="BH429" i="13"/>
  <c r="AZ425" i="13"/>
  <c r="BA425" i="13"/>
  <c r="BB425" i="13"/>
  <c r="AS425" i="13"/>
  <c r="BG425" i="13"/>
  <c r="BH425" i="13"/>
  <c r="AU421" i="13"/>
  <c r="AW421" i="13"/>
  <c r="AX421" i="13"/>
  <c r="AY421" i="13"/>
  <c r="AZ421" i="13"/>
  <c r="BE421" i="13"/>
  <c r="BI421" i="13"/>
  <c r="AR421" i="13"/>
  <c r="AT421" i="13"/>
  <c r="BC421" i="13"/>
  <c r="BH421" i="13"/>
  <c r="AR417" i="13"/>
  <c r="AZ417" i="13"/>
  <c r="BB417" i="13"/>
  <c r="AQ417" i="13"/>
  <c r="AW417" i="13"/>
  <c r="BG417" i="13"/>
  <c r="BH417" i="13"/>
  <c r="BI417" i="13"/>
  <c r="CD411" i="13"/>
  <c r="CD407" i="13"/>
  <c r="CD403" i="13"/>
  <c r="CD399" i="13"/>
  <c r="CD395" i="13"/>
  <c r="CD391" i="13"/>
  <c r="CD387" i="13"/>
  <c r="CD383" i="13"/>
  <c r="CD379" i="13"/>
  <c r="CD375" i="13"/>
  <c r="BV411" i="13"/>
  <c r="BV407" i="13"/>
  <c r="BV403" i="13"/>
  <c r="BV399" i="13"/>
  <c r="BV395" i="13"/>
  <c r="BV391" i="13"/>
  <c r="BV387" i="13"/>
  <c r="BV383" i="13"/>
  <c r="BV379" i="13"/>
  <c r="BV375" i="13"/>
  <c r="BR407" i="13"/>
  <c r="BR391" i="13"/>
  <c r="BR375" i="13"/>
  <c r="BL412" i="13"/>
  <c r="BO412" i="13"/>
  <c r="BP412" i="13"/>
  <c r="BS412" i="13"/>
  <c r="BU412" i="13"/>
  <c r="BW412" i="13"/>
  <c r="BY412" i="13"/>
  <c r="CA412" i="13"/>
  <c r="CC412" i="13"/>
  <c r="BR408" i="13"/>
  <c r="BO408" i="13"/>
  <c r="BS408" i="13"/>
  <c r="BU408" i="13"/>
  <c r="BW408" i="13"/>
  <c r="BY408" i="13"/>
  <c r="CA408" i="13"/>
  <c r="CC408" i="13"/>
  <c r="BN404" i="13"/>
  <c r="BL404" i="13"/>
  <c r="BO404" i="13"/>
  <c r="BR404" i="13"/>
  <c r="BS404" i="13"/>
  <c r="BU404" i="13"/>
  <c r="BW404" i="13"/>
  <c r="BY404" i="13"/>
  <c r="CA404" i="13"/>
  <c r="CC404" i="13"/>
  <c r="BP400" i="13"/>
  <c r="BO400" i="13"/>
  <c r="BS400" i="13"/>
  <c r="BU400" i="13"/>
  <c r="BW400" i="13"/>
  <c r="BY400" i="13"/>
  <c r="CA400" i="13"/>
  <c r="CC400" i="13"/>
  <c r="BN396" i="13"/>
  <c r="BO396" i="13"/>
  <c r="BP396" i="13"/>
  <c r="BS396" i="13"/>
  <c r="BU396" i="13"/>
  <c r="BW396" i="13"/>
  <c r="BY396" i="13"/>
  <c r="CA396" i="13"/>
  <c r="CC396" i="13"/>
  <c r="BR392" i="13"/>
  <c r="BO392" i="13"/>
  <c r="BS392" i="13"/>
  <c r="BU392" i="13"/>
  <c r="BW392" i="13"/>
  <c r="BY392" i="13"/>
  <c r="CA392" i="13"/>
  <c r="CC392" i="13"/>
  <c r="BO388" i="13"/>
  <c r="BR388" i="13"/>
  <c r="BS388" i="13"/>
  <c r="BU388" i="13"/>
  <c r="BW388" i="13"/>
  <c r="BY388" i="13"/>
  <c r="CA388" i="13"/>
  <c r="CC388" i="13"/>
  <c r="BP384" i="13"/>
  <c r="BO384" i="13"/>
  <c r="BS384" i="13"/>
  <c r="BU384" i="13"/>
  <c r="BW384" i="13"/>
  <c r="BY384" i="13"/>
  <c r="CA384" i="13"/>
  <c r="CC384" i="13"/>
  <c r="BL380" i="13"/>
  <c r="BO380" i="13"/>
  <c r="BP380" i="13"/>
  <c r="BS380" i="13"/>
  <c r="BU380" i="13"/>
  <c r="BW380" i="13"/>
  <c r="BY380" i="13"/>
  <c r="CA380" i="13"/>
  <c r="CC380" i="13"/>
  <c r="BR376" i="13"/>
  <c r="BO376" i="13"/>
  <c r="BS376" i="13"/>
  <c r="BU376" i="13"/>
  <c r="BW376" i="13"/>
  <c r="BY376" i="13"/>
  <c r="CA376" i="13"/>
  <c r="CC376" i="13"/>
  <c r="BN372" i="13"/>
  <c r="BL372" i="13"/>
  <c r="BO372" i="13"/>
  <c r="BR372" i="13"/>
  <c r="BS372" i="13"/>
  <c r="BU372" i="13"/>
  <c r="BW372" i="13"/>
  <c r="BY372" i="13"/>
  <c r="CA372" i="13"/>
  <c r="CC372" i="13"/>
  <c r="BN433" i="13"/>
  <c r="BV433" i="13"/>
  <c r="BX433" i="13"/>
  <c r="BY433" i="13"/>
  <c r="CA433" i="13"/>
  <c r="BO429" i="13"/>
  <c r="BR429" i="13"/>
  <c r="BW429" i="13"/>
  <c r="BY429" i="13"/>
  <c r="BL425" i="13"/>
  <c r="BM425" i="13"/>
  <c r="BN425" i="13"/>
  <c r="BX425" i="13"/>
  <c r="BY425" i="13"/>
  <c r="BZ425" i="13"/>
  <c r="CA425" i="13"/>
  <c r="BM421" i="13"/>
  <c r="BN421" i="13"/>
  <c r="BO421" i="13"/>
  <c r="BP421" i="13"/>
  <c r="BR421" i="13"/>
  <c r="BS421" i="13"/>
  <c r="BV421" i="13"/>
  <c r="BW421" i="13"/>
  <c r="BY421" i="13"/>
  <c r="BL417" i="13"/>
  <c r="BX417" i="13"/>
  <c r="BY417" i="13"/>
  <c r="CA417" i="13"/>
  <c r="CB417" i="13"/>
  <c r="BH432" i="13"/>
  <c r="AQ432" i="13"/>
  <c r="AU432" i="13"/>
  <c r="AV432" i="13"/>
  <c r="AX432" i="13"/>
  <c r="BF432" i="13"/>
  <c r="BH428" i="13"/>
  <c r="AT428" i="13"/>
  <c r="AV428" i="13"/>
  <c r="BF428" i="13"/>
  <c r="AS424" i="13"/>
  <c r="BH424" i="13"/>
  <c r="AV424" i="13"/>
  <c r="AX424" i="13"/>
  <c r="BF424" i="13"/>
  <c r="AT420" i="13"/>
  <c r="BC420" i="13"/>
  <c r="BH420" i="13"/>
  <c r="AV420" i="13"/>
  <c r="BF420" i="13"/>
  <c r="BH416" i="13"/>
  <c r="AU416" i="13"/>
  <c r="AV416" i="13"/>
  <c r="AX416" i="13"/>
  <c r="AY416" i="13"/>
  <c r="BF416" i="13"/>
  <c r="BL411" i="13"/>
  <c r="BO411" i="13"/>
  <c r="BP411" i="13"/>
  <c r="BS411" i="13"/>
  <c r="BU411" i="13"/>
  <c r="BW411" i="13"/>
  <c r="BY411" i="13"/>
  <c r="CA411" i="13"/>
  <c r="CC411" i="13"/>
  <c r="BM411" i="13"/>
  <c r="BL407" i="13"/>
  <c r="BO407" i="13"/>
  <c r="BS407" i="13"/>
  <c r="BU407" i="13"/>
  <c r="BW407" i="13"/>
  <c r="BY407" i="13"/>
  <c r="CA407" i="13"/>
  <c r="CC407" i="13"/>
  <c r="BM407" i="13"/>
  <c r="BP407" i="13"/>
  <c r="BL403" i="13"/>
  <c r="BO403" i="13"/>
  <c r="BR403" i="13"/>
  <c r="BS403" i="13"/>
  <c r="BU403" i="13"/>
  <c r="BW403" i="13"/>
  <c r="BY403" i="13"/>
  <c r="CA403" i="13"/>
  <c r="CC403" i="13"/>
  <c r="BM403" i="13"/>
  <c r="BL399" i="13"/>
  <c r="BO399" i="13"/>
  <c r="BS399" i="13"/>
  <c r="BU399" i="13"/>
  <c r="BW399" i="13"/>
  <c r="BY399" i="13"/>
  <c r="CA399" i="13"/>
  <c r="CC399" i="13"/>
  <c r="BM399" i="13"/>
  <c r="BR399" i="13"/>
  <c r="BL395" i="13"/>
  <c r="BO395" i="13"/>
  <c r="BP395" i="13"/>
  <c r="BS395" i="13"/>
  <c r="BU395" i="13"/>
  <c r="BW395" i="13"/>
  <c r="BY395" i="13"/>
  <c r="CA395" i="13"/>
  <c r="CC395" i="13"/>
  <c r="BM395" i="13"/>
  <c r="BL391" i="13"/>
  <c r="BO391" i="13"/>
  <c r="BS391" i="13"/>
  <c r="BU391" i="13"/>
  <c r="BW391" i="13"/>
  <c r="BY391" i="13"/>
  <c r="CA391" i="13"/>
  <c r="CC391" i="13"/>
  <c r="BM391" i="13"/>
  <c r="BP391" i="13"/>
  <c r="BL387" i="13"/>
  <c r="BO387" i="13"/>
  <c r="BR387" i="13"/>
  <c r="BS387" i="13"/>
  <c r="BU387" i="13"/>
  <c r="BW387" i="13"/>
  <c r="BY387" i="13"/>
  <c r="CA387" i="13"/>
  <c r="CC387" i="13"/>
  <c r="BM387" i="13"/>
  <c r="BL383" i="13"/>
  <c r="BO383" i="13"/>
  <c r="BS383" i="13"/>
  <c r="BU383" i="13"/>
  <c r="BW383" i="13"/>
  <c r="BY383" i="13"/>
  <c r="CA383" i="13"/>
  <c r="CC383" i="13"/>
  <c r="BM383" i="13"/>
  <c r="BR383" i="13"/>
  <c r="BL379" i="13"/>
  <c r="BO379" i="13"/>
  <c r="BP379" i="13"/>
  <c r="BS379" i="13"/>
  <c r="BU379" i="13"/>
  <c r="BW379" i="13"/>
  <c r="BY379" i="13"/>
  <c r="CA379" i="13"/>
  <c r="CC379" i="13"/>
  <c r="BM379" i="13"/>
  <c r="BL375" i="13"/>
  <c r="BO375" i="13"/>
  <c r="BS375" i="13"/>
  <c r="BU375" i="13"/>
  <c r="BW375" i="13"/>
  <c r="BY375" i="13"/>
  <c r="CA375" i="13"/>
  <c r="CC375" i="13"/>
  <c r="BM375" i="13"/>
  <c r="BP375" i="13"/>
  <c r="BI435" i="13"/>
  <c r="BG320" i="13"/>
  <c r="BA320" i="13"/>
  <c r="AT328" i="13"/>
  <c r="BP310" i="13"/>
  <c r="BC299" i="13"/>
  <c r="BB295" i="13"/>
  <c r="AY315" i="13"/>
  <c r="AX311" i="13"/>
  <c r="AV291" i="13"/>
  <c r="AT299" i="13"/>
  <c r="CD433" i="13"/>
  <c r="CD426" i="13"/>
  <c r="CC434" i="13"/>
  <c r="CC430" i="13"/>
  <c r="CC426" i="13"/>
  <c r="CC422" i="13"/>
  <c r="CC418" i="13"/>
  <c r="CC414" i="13"/>
  <c r="CB429" i="13"/>
  <c r="CA426" i="13"/>
  <c r="BZ429" i="13"/>
  <c r="BZ421" i="13"/>
  <c r="BY434" i="13"/>
  <c r="BY418" i="13"/>
  <c r="BX421" i="13"/>
  <c r="BW430" i="13"/>
  <c r="BV430" i="13"/>
  <c r="BT429" i="13"/>
  <c r="BT421" i="13"/>
  <c r="BS414" i="13"/>
  <c r="BR425" i="13"/>
  <c r="BQ418" i="13"/>
  <c r="BO417" i="13"/>
  <c r="BN417" i="13"/>
  <c r="BM429" i="13"/>
  <c r="BG429" i="13"/>
  <c r="BF421" i="13"/>
  <c r="BE417" i="13"/>
  <c r="BD432" i="13"/>
  <c r="BD428" i="13"/>
  <c r="BD424" i="13"/>
  <c r="BD420" i="13"/>
  <c r="BD416" i="13"/>
  <c r="BB429" i="13"/>
  <c r="BA429" i="13"/>
  <c r="BA421" i="13"/>
  <c r="AZ424" i="13"/>
  <c r="AY425" i="13"/>
  <c r="AY417" i="13"/>
  <c r="AV421" i="13"/>
  <c r="AU425" i="13"/>
  <c r="AT429" i="13"/>
  <c r="AR424" i="13"/>
  <c r="AQ421" i="13"/>
  <c r="BZ411" i="13"/>
  <c r="BZ407" i="13"/>
  <c r="BZ403" i="13"/>
  <c r="BZ399" i="13"/>
  <c r="BZ395" i="13"/>
  <c r="BZ391" i="13"/>
  <c r="BZ387" i="13"/>
  <c r="BZ383" i="13"/>
  <c r="BZ379" i="13"/>
  <c r="BZ375" i="13"/>
  <c r="BR411" i="13"/>
  <c r="BR395" i="13"/>
  <c r="BR379" i="13"/>
  <c r="BT411" i="13"/>
  <c r="BT407" i="13"/>
  <c r="BT403" i="13"/>
  <c r="BT399" i="13"/>
  <c r="BT395" i="13"/>
  <c r="BT391" i="13"/>
  <c r="BT387" i="13"/>
  <c r="BT383" i="13"/>
  <c r="BT379" i="13"/>
  <c r="BT375" i="13"/>
  <c r="BP399" i="13"/>
  <c r="BP383" i="13"/>
  <c r="BT431" i="13"/>
  <c r="BR423" i="13"/>
  <c r="BP423" i="13"/>
  <c r="BP415" i="13"/>
  <c r="BO423" i="13"/>
  <c r="BO415" i="13"/>
  <c r="BL431" i="13"/>
  <c r="BI412" i="13"/>
  <c r="BI408" i="13"/>
  <c r="BI404" i="13"/>
  <c r="BI400" i="13"/>
  <c r="BI396" i="13"/>
  <c r="BI392" i="13"/>
  <c r="BI388" i="13"/>
  <c r="BI384" i="13"/>
  <c r="BI380" i="13"/>
  <c r="BI376" i="13"/>
  <c r="BI372" i="13"/>
  <c r="BG412" i="13"/>
  <c r="BG408" i="13"/>
  <c r="BG404" i="13"/>
  <c r="BG400" i="13"/>
  <c r="BG396" i="13"/>
  <c r="BG392" i="13"/>
  <c r="BG388" i="13"/>
  <c r="BG384" i="13"/>
  <c r="BG380" i="13"/>
  <c r="BG376" i="13"/>
  <c r="BG372" i="13"/>
  <c r="BE412" i="13"/>
  <c r="BE408" i="13"/>
  <c r="BE404" i="13"/>
  <c r="BE400" i="13"/>
  <c r="BE396" i="13"/>
  <c r="BE392" i="13"/>
  <c r="BE388" i="13"/>
  <c r="BE384" i="13"/>
  <c r="BE380" i="13"/>
  <c r="BE376" i="13"/>
  <c r="BE372" i="13"/>
  <c r="BC412" i="13"/>
  <c r="BC408" i="13"/>
  <c r="BC404" i="13"/>
  <c r="BC400" i="13"/>
  <c r="BC396" i="13"/>
  <c r="BC392" i="13"/>
  <c r="BC388" i="13"/>
  <c r="BC384" i="13"/>
  <c r="BC380" i="13"/>
  <c r="BC376" i="13"/>
  <c r="BC372" i="13"/>
  <c r="BA412" i="13"/>
  <c r="BA408" i="13"/>
  <c r="BA404" i="13"/>
  <c r="BA400" i="13"/>
  <c r="BA396" i="13"/>
  <c r="BA392" i="13"/>
  <c r="BA388" i="13"/>
  <c r="BA384" i="13"/>
  <c r="BA380" i="13"/>
  <c r="BA376" i="13"/>
  <c r="BA372" i="13"/>
  <c r="AY412" i="13"/>
  <c r="AY408" i="13"/>
  <c r="AY404" i="13"/>
  <c r="AY400" i="13"/>
  <c r="AY396" i="13"/>
  <c r="AY392" i="13"/>
  <c r="AY388" i="13"/>
  <c r="AY384" i="13"/>
  <c r="AY380" i="13"/>
  <c r="AY376" i="13"/>
  <c r="AY372" i="13"/>
  <c r="AW412" i="13"/>
  <c r="AW408" i="13"/>
  <c r="AW404" i="13"/>
  <c r="AW400" i="13"/>
  <c r="AW396" i="13"/>
  <c r="AW392" i="13"/>
  <c r="AW388" i="13"/>
  <c r="AW384" i="13"/>
  <c r="AW380" i="13"/>
  <c r="AW376" i="13"/>
  <c r="AW372" i="13"/>
  <c r="AV396" i="13"/>
  <c r="AV380" i="13"/>
  <c r="AU412" i="13"/>
  <c r="AU408" i="13"/>
  <c r="AU404" i="13"/>
  <c r="AU400" i="13"/>
  <c r="AU396" i="13"/>
  <c r="AU392" i="13"/>
  <c r="AU388" i="13"/>
  <c r="AU384" i="13"/>
  <c r="AU380" i="13"/>
  <c r="AU376" i="13"/>
  <c r="AU372" i="13"/>
  <c r="AT404" i="13"/>
  <c r="AT388" i="13"/>
  <c r="AT372" i="13"/>
  <c r="AR412" i="13"/>
  <c r="AR396" i="13"/>
  <c r="AR380" i="13"/>
  <c r="AQ411" i="13"/>
  <c r="AR411" i="13"/>
  <c r="AT411" i="13"/>
  <c r="AR407" i="13"/>
  <c r="AT407" i="13"/>
  <c r="AQ403" i="13"/>
  <c r="AR403" i="13"/>
  <c r="AT403" i="13"/>
  <c r="AV403" i="13"/>
  <c r="AR399" i="13"/>
  <c r="AT399" i="13"/>
  <c r="AV399" i="13"/>
  <c r="AQ395" i="13"/>
  <c r="AR395" i="13"/>
  <c r="AT395" i="13"/>
  <c r="AV395" i="13"/>
  <c r="AR391" i="13"/>
  <c r="AT391" i="13"/>
  <c r="AV391" i="13"/>
  <c r="AQ387" i="13"/>
  <c r="AR387" i="13"/>
  <c r="AT387" i="13"/>
  <c r="AV387" i="13"/>
  <c r="AR383" i="13"/>
  <c r="AT383" i="13"/>
  <c r="AV383" i="13"/>
  <c r="AQ379" i="13"/>
  <c r="AR379" i="13"/>
  <c r="AT379" i="13"/>
  <c r="AV379" i="13"/>
  <c r="AR375" i="13"/>
  <c r="AT375" i="13"/>
  <c r="AV375" i="13"/>
  <c r="AW411" i="13"/>
  <c r="AW407" i="13"/>
  <c r="AW403" i="13"/>
  <c r="AW399" i="13"/>
  <c r="AW395" i="13"/>
  <c r="AW391" i="13"/>
  <c r="AW387" i="13"/>
  <c r="AW383" i="13"/>
  <c r="AW379" i="13"/>
  <c r="AW375" i="13"/>
  <c r="AV400" i="13"/>
  <c r="AV384" i="13"/>
  <c r="AU411" i="13"/>
  <c r="AU407" i="13"/>
  <c r="AU403" i="13"/>
  <c r="AU399" i="13"/>
  <c r="AU395" i="13"/>
  <c r="AU391" i="13"/>
  <c r="AU387" i="13"/>
  <c r="AU383" i="13"/>
  <c r="AU379" i="13"/>
  <c r="AU375" i="13"/>
  <c r="AT408" i="13"/>
  <c r="AT392" i="13"/>
  <c r="AT376" i="13"/>
  <c r="AR400" i="13"/>
  <c r="AR384" i="13"/>
  <c r="AQ383" i="13"/>
  <c r="AZ412" i="13"/>
  <c r="AZ408" i="13"/>
  <c r="AZ404" i="13"/>
  <c r="AZ400" i="13"/>
  <c r="AZ396" i="13"/>
  <c r="AZ392" i="13"/>
  <c r="AZ388" i="13"/>
  <c r="AZ384" i="13"/>
  <c r="AZ380" i="13"/>
  <c r="AZ376" i="13"/>
  <c r="AZ372" i="13"/>
  <c r="AX412" i="13"/>
  <c r="AX408" i="13"/>
  <c r="AX404" i="13"/>
  <c r="AX400" i="13"/>
  <c r="AX396" i="13"/>
  <c r="AX392" i="13"/>
  <c r="AX388" i="13"/>
  <c r="AX384" i="13"/>
  <c r="AX380" i="13"/>
  <c r="AX376" i="13"/>
  <c r="AX372" i="13"/>
  <c r="AV412" i="13"/>
  <c r="AV408" i="13"/>
  <c r="AV404" i="13"/>
  <c r="AV388" i="13"/>
  <c r="AV372" i="13"/>
  <c r="AT412" i="13"/>
  <c r="AT396" i="13"/>
  <c r="AT380" i="13"/>
  <c r="AS412" i="13"/>
  <c r="AS408" i="13"/>
  <c r="AS404" i="13"/>
  <c r="AS400" i="13"/>
  <c r="AS396" i="13"/>
  <c r="AS392" i="13"/>
  <c r="AS388" i="13"/>
  <c r="AS384" i="13"/>
  <c r="AS380" i="13"/>
  <c r="AS376" i="13"/>
  <c r="AS372" i="13"/>
  <c r="AR404" i="13"/>
  <c r="AR388" i="13"/>
  <c r="AR372" i="13"/>
  <c r="BQ371" i="13"/>
  <c r="BQ367" i="13"/>
  <c r="BQ361" i="13"/>
  <c r="BQ354" i="13"/>
  <c r="BQ350" i="13"/>
  <c r="BQ348" i="13"/>
  <c r="BQ344" i="13"/>
  <c r="BQ340" i="13"/>
  <c r="BQ337" i="13"/>
  <c r="CD371" i="13"/>
  <c r="CD367" i="13"/>
  <c r="CD361" i="13"/>
  <c r="CD354" i="13"/>
  <c r="CD350" i="13"/>
  <c r="CD348" i="13"/>
  <c r="CD344" i="13"/>
  <c r="CD340" i="13"/>
  <c r="CD337" i="13"/>
  <c r="CB371" i="13"/>
  <c r="CB367" i="13"/>
  <c r="CB361" i="13"/>
  <c r="CB354" i="13"/>
  <c r="CB350" i="13"/>
  <c r="CB348" i="13"/>
  <c r="CB344" i="13"/>
  <c r="CB340" i="13"/>
  <c r="CB337" i="13"/>
  <c r="BZ371" i="13"/>
  <c r="BZ367" i="13"/>
  <c r="BZ361" i="13"/>
  <c r="BZ354" i="13"/>
  <c r="BZ350" i="13"/>
  <c r="BZ348" i="13"/>
  <c r="BZ344" i="13"/>
  <c r="BZ340" i="13"/>
  <c r="BZ337" i="13"/>
  <c r="BX371" i="13"/>
  <c r="BX367" i="13"/>
  <c r="BX361" i="13"/>
  <c r="BX354" i="13"/>
  <c r="BX350" i="13"/>
  <c r="BX348" i="13"/>
  <c r="BX344" i="13"/>
  <c r="BX340" i="13"/>
  <c r="BX337" i="13"/>
  <c r="BV371" i="13"/>
  <c r="BV367" i="13"/>
  <c r="BV361" i="13"/>
  <c r="BV354" i="13"/>
  <c r="BV350" i="13"/>
  <c r="BV348" i="13"/>
  <c r="BV344" i="13"/>
  <c r="BV340" i="13"/>
  <c r="BV337" i="13"/>
  <c r="BT371" i="13"/>
  <c r="BT367" i="13"/>
  <c r="BT361" i="13"/>
  <c r="BT354" i="13"/>
  <c r="BT350" i="13"/>
  <c r="BT348" i="13"/>
  <c r="BT344" i="13"/>
  <c r="BT340" i="13"/>
  <c r="BT337" i="13"/>
  <c r="BR370" i="13"/>
  <c r="BR362" i="13"/>
  <c r="BR357" i="13"/>
  <c r="BR343" i="13"/>
  <c r="BQ366" i="13"/>
  <c r="BQ364" i="13"/>
  <c r="BQ360" i="13"/>
  <c r="BQ353" i="13"/>
  <c r="BQ349" i="13"/>
  <c r="BQ347" i="13"/>
  <c r="BQ339" i="13"/>
  <c r="BQ336" i="13"/>
  <c r="BP358" i="13"/>
  <c r="BP345" i="13"/>
  <c r="BO371" i="13"/>
  <c r="BO367" i="13"/>
  <c r="BO361" i="13"/>
  <c r="BO354" i="13"/>
  <c r="BO350" i="13"/>
  <c r="BO348" i="13"/>
  <c r="BO344" i="13"/>
  <c r="BO340" i="13"/>
  <c r="BO337" i="13"/>
  <c r="BN368" i="13"/>
  <c r="BN355" i="13"/>
  <c r="BN341" i="13"/>
  <c r="BM351" i="13"/>
  <c r="BL371" i="13"/>
  <c r="BN371" i="13"/>
  <c r="BP371" i="13"/>
  <c r="BR371" i="13"/>
  <c r="BL367" i="13"/>
  <c r="BN367" i="13"/>
  <c r="BP367" i="13"/>
  <c r="BR367" i="13"/>
  <c r="BL361" i="13"/>
  <c r="BN361" i="13"/>
  <c r="BP361" i="13"/>
  <c r="BR361" i="13"/>
  <c r="BL354" i="13"/>
  <c r="BN354" i="13"/>
  <c r="BP354" i="13"/>
  <c r="BR354" i="13"/>
  <c r="BL350" i="13"/>
  <c r="BN350" i="13"/>
  <c r="BP350" i="13"/>
  <c r="BR350" i="13"/>
  <c r="BL348" i="13"/>
  <c r="BN348" i="13"/>
  <c r="BP348" i="13"/>
  <c r="BR348" i="13"/>
  <c r="BL344" i="13"/>
  <c r="BN344" i="13"/>
  <c r="BP344" i="13"/>
  <c r="BR344" i="13"/>
  <c r="BL340" i="13"/>
  <c r="BN340" i="13"/>
  <c r="BP340" i="13"/>
  <c r="BR340" i="13"/>
  <c r="BL337" i="13"/>
  <c r="BN337" i="13"/>
  <c r="BP337" i="13"/>
  <c r="BR337" i="13"/>
  <c r="AS371" i="13"/>
  <c r="AS367" i="13"/>
  <c r="AS361" i="13"/>
  <c r="AS354" i="13"/>
  <c r="AS350" i="13"/>
  <c r="AS348" i="13"/>
  <c r="AS344" i="13"/>
  <c r="AS340" i="13"/>
  <c r="AS337" i="13"/>
  <c r="BM229" i="13"/>
  <c r="CD229" i="13"/>
  <c r="BF264" i="13"/>
  <c r="BD264" i="13"/>
  <c r="AW239" i="13"/>
  <c r="BI239" i="13"/>
  <c r="AT182" i="13"/>
  <c r="AT178" i="13"/>
  <c r="AZ178" i="13"/>
  <c r="CB261" i="13"/>
  <c r="BT249" i="13"/>
  <c r="BO232" i="13"/>
  <c r="BN232" i="13"/>
  <c r="BQ232" i="13"/>
  <c r="BD248" i="13"/>
  <c r="AU248" i="13"/>
  <c r="AQ261" i="13"/>
  <c r="BE263" i="13"/>
  <c r="AZ263" i="13"/>
  <c r="BA263" i="13"/>
  <c r="BG263" i="13"/>
  <c r="BH263" i="13"/>
  <c r="BE259" i="13"/>
  <c r="BI259" i="13"/>
  <c r="AQ255" i="13"/>
  <c r="BC255" i="13"/>
  <c r="AY251" i="13"/>
  <c r="BG251" i="13"/>
  <c r="AU247" i="13"/>
  <c r="AV247" i="13"/>
  <c r="BE247" i="13"/>
  <c r="AR243" i="13"/>
  <c r="BA243" i="13"/>
  <c r="AQ329" i="13"/>
  <c r="AT329" i="13"/>
  <c r="AR325" i="13"/>
  <c r="BH325" i="13"/>
  <c r="BI316" i="13"/>
  <c r="BI308" i="13"/>
  <c r="BI288" i="13"/>
  <c r="BC308" i="13"/>
  <c r="BQ239" i="13"/>
  <c r="CD239" i="13"/>
  <c r="AY260" i="13"/>
  <c r="AT248" i="13"/>
  <c r="AQ260" i="13"/>
  <c r="AQ316" i="13"/>
  <c r="AT316" i="13"/>
  <c r="BB316" i="13"/>
  <c r="BF316" i="13"/>
  <c r="AV316" i="13"/>
  <c r="AY316" i="13"/>
  <c r="AZ316" i="13"/>
  <c r="BC316" i="13"/>
  <c r="AS316" i="13"/>
  <c r="BD316" i="13"/>
  <c r="AV312" i="13"/>
  <c r="AU312" i="13"/>
  <c r="AX312" i="13"/>
  <c r="BA312" i="13"/>
  <c r="BE312" i="13"/>
  <c r="BG312" i="13"/>
  <c r="BI312" i="13"/>
  <c r="AR312" i="13"/>
  <c r="AW312" i="13"/>
  <c r="AY312" i="13"/>
  <c r="BF312" i="13"/>
  <c r="AT312" i="13"/>
  <c r="AZ312" i="13"/>
  <c r="BB312" i="13"/>
  <c r="BC312" i="13"/>
  <c r="AQ308" i="13"/>
  <c r="AS308" i="13"/>
  <c r="AX308" i="13"/>
  <c r="AZ308" i="13"/>
  <c r="BA308" i="13"/>
  <c r="BH308" i="13"/>
  <c r="AU308" i="13"/>
  <c r="BE308" i="13"/>
  <c r="AW308" i="13"/>
  <c r="BD308" i="13"/>
  <c r="BF308" i="13"/>
  <c r="BG308" i="13"/>
  <c r="AY304" i="13"/>
  <c r="AV304" i="13"/>
  <c r="BC304" i="13"/>
  <c r="AX304" i="13"/>
  <c r="BB304" i="13"/>
  <c r="AQ304" i="13"/>
  <c r="AT304" i="13"/>
  <c r="AU304" i="13"/>
  <c r="AZ304" i="13"/>
  <c r="BA304" i="13"/>
  <c r="AV300" i="13"/>
  <c r="BD300" i="13"/>
  <c r="AY300" i="13"/>
  <c r="AR300" i="13"/>
  <c r="BF300" i="13"/>
  <c r="AU296" i="13"/>
  <c r="AR296" i="13"/>
  <c r="BF296" i="13"/>
  <c r="BH296" i="13"/>
  <c r="AZ296" i="13"/>
  <c r="BC296" i="13"/>
  <c r="AV296" i="13"/>
  <c r="AR292" i="13"/>
  <c r="AW292" i="13"/>
  <c r="AX292" i="13"/>
  <c r="AY292" i="13"/>
  <c r="AZ292" i="13"/>
  <c r="BA292" i="13"/>
  <c r="BB292" i="13"/>
  <c r="BC292" i="13"/>
  <c r="AS292" i="13"/>
  <c r="AT292" i="13"/>
  <c r="AU292" i="13"/>
  <c r="BD292" i="13"/>
  <c r="BG292" i="13"/>
  <c r="BH292" i="13"/>
  <c r="BI292" i="13"/>
  <c r="AQ288" i="13"/>
  <c r="AT288" i="13"/>
  <c r="AU288" i="13"/>
  <c r="BE288" i="13"/>
  <c r="BF288" i="13"/>
  <c r="AR288" i="13"/>
  <c r="AY288" i="13"/>
  <c r="AZ288" i="13"/>
  <c r="BB288" i="13"/>
  <c r="AX288" i="13"/>
  <c r="BA288" i="13"/>
  <c r="BC288" i="13"/>
  <c r="BG288" i="13"/>
  <c r="AW284" i="13"/>
  <c r="AR284" i="13"/>
  <c r="AS284" i="13"/>
  <c r="AT284" i="13"/>
  <c r="AZ284" i="13"/>
  <c r="BC284" i="13"/>
  <c r="BD284" i="13"/>
  <c r="AQ284" i="13"/>
  <c r="BF284" i="13"/>
  <c r="BH284" i="13"/>
  <c r="BO231" i="13"/>
  <c r="BT231" i="13"/>
  <c r="AR256" i="13"/>
  <c r="BF184" i="13"/>
  <c r="BC184" i="13"/>
  <c r="AS221" i="13"/>
  <c r="AU221" i="13"/>
  <c r="BG244" i="13"/>
  <c r="BD260" i="13"/>
  <c r="BC256" i="13"/>
  <c r="AZ244" i="13"/>
  <c r="AZ182" i="13"/>
  <c r="BO220" i="13"/>
  <c r="BS220" i="13"/>
  <c r="BQ333" i="13"/>
  <c r="BO335" i="13"/>
  <c r="BT335" i="13"/>
  <c r="CC335" i="13"/>
  <c r="CD335" i="13"/>
  <c r="BQ335" i="13"/>
  <c r="BX335" i="13"/>
  <c r="BO331" i="13"/>
  <c r="BQ331" i="13"/>
  <c r="BR331" i="13"/>
  <c r="BY331" i="13"/>
  <c r="CB331" i="13"/>
  <c r="BO323" i="13"/>
  <c r="BY323" i="13"/>
  <c r="BT323" i="13"/>
  <c r="BO319" i="13"/>
  <c r="BR319" i="13"/>
  <c r="CC319" i="13"/>
  <c r="BQ319" i="13"/>
  <c r="CD319" i="13"/>
  <c r="BD331" i="13"/>
  <c r="BH331" i="13"/>
  <c r="BD327" i="13"/>
  <c r="AZ327" i="13"/>
  <c r="BD319" i="13"/>
  <c r="AW319" i="13"/>
  <c r="BL317" i="13"/>
  <c r="BS317" i="13"/>
  <c r="CA317" i="13"/>
  <c r="BY313" i="13"/>
  <c r="CA313" i="13"/>
  <c r="CD313" i="13"/>
  <c r="BO309" i="13"/>
  <c r="BW309" i="13"/>
  <c r="BM305" i="13"/>
  <c r="BR305" i="13"/>
  <c r="BZ305" i="13"/>
  <c r="BX305" i="13"/>
  <c r="BP301" i="13"/>
  <c r="CA301" i="13"/>
  <c r="CD301" i="13"/>
  <c r="BT301" i="13"/>
  <c r="BL297" i="13"/>
  <c r="BM297" i="13"/>
  <c r="BN297" i="13"/>
  <c r="CB297" i="13"/>
  <c r="BY297" i="13"/>
  <c r="CC297" i="13"/>
  <c r="BT293" i="13"/>
  <c r="BL293" i="13"/>
  <c r="BQ293" i="13"/>
  <c r="BP293" i="13"/>
  <c r="BR293" i="13"/>
  <c r="BX293" i="13"/>
  <c r="BZ293" i="13"/>
  <c r="BQ289" i="13"/>
  <c r="BS289" i="13"/>
  <c r="BV289" i="13"/>
  <c r="CA289" i="13"/>
  <c r="CB289" i="13"/>
  <c r="BS285" i="13"/>
  <c r="BU285" i="13"/>
  <c r="BY285" i="13"/>
  <c r="BM285" i="13"/>
  <c r="BN285" i="13"/>
  <c r="BO285" i="13"/>
  <c r="BW285" i="13"/>
  <c r="CD285" i="13"/>
  <c r="BH316" i="13"/>
  <c r="BH312" i="13"/>
  <c r="BF292" i="13"/>
  <c r="BE316" i="13"/>
  <c r="BE304" i="13"/>
  <c r="BD288" i="13"/>
  <c r="BA316" i="13"/>
  <c r="AX316" i="13"/>
  <c r="AS288" i="13"/>
  <c r="AV256" i="13"/>
  <c r="BD256" i="13"/>
  <c r="AQ214" i="13"/>
  <c r="AR214" i="13"/>
  <c r="AV214" i="13"/>
  <c r="BA214" i="13"/>
  <c r="AV209" i="13"/>
  <c r="BH209" i="13"/>
  <c r="BI296" i="13"/>
  <c r="BH300" i="13"/>
  <c r="BG316" i="13"/>
  <c r="BB308" i="13"/>
  <c r="BB284" i="13"/>
  <c r="AY284" i="13"/>
  <c r="AW316" i="13"/>
  <c r="AU316" i="13"/>
  <c r="AR304" i="13"/>
  <c r="BI314" i="13"/>
  <c r="BI286" i="13"/>
  <c r="BH310" i="13"/>
  <c r="BG314" i="13"/>
  <c r="BG282" i="13"/>
  <c r="BF290" i="13"/>
  <c r="BE314" i="13"/>
  <c r="BE290" i="13"/>
  <c r="BD286" i="13"/>
  <c r="BC318" i="13"/>
  <c r="BC306" i="13"/>
  <c r="BB318" i="13"/>
  <c r="BB306" i="13"/>
  <c r="BB282" i="13"/>
  <c r="BA314" i="13"/>
  <c r="AZ318" i="13"/>
  <c r="AY318" i="13"/>
  <c r="AY306" i="13"/>
  <c r="AY294" i="13"/>
  <c r="AY282" i="13"/>
  <c r="AX314" i="13"/>
  <c r="AX310" i="13"/>
  <c r="AX294" i="13"/>
  <c r="AX282" i="13"/>
  <c r="AW286" i="13"/>
  <c r="AV310" i="13"/>
  <c r="AV286" i="13"/>
  <c r="AU314" i="13"/>
  <c r="AU282" i="13"/>
  <c r="AT286" i="13"/>
  <c r="AS286" i="13"/>
  <c r="CD430" i="13"/>
  <c r="CD414" i="13"/>
  <c r="CB420" i="13"/>
  <c r="CA430" i="13"/>
  <c r="CA420" i="13"/>
  <c r="CA414" i="13"/>
  <c r="BZ430" i="13"/>
  <c r="BW434" i="13"/>
  <c r="BW424" i="13"/>
  <c r="BW418" i="13"/>
  <c r="BV434" i="13"/>
  <c r="BV418" i="13"/>
  <c r="BU430" i="13"/>
  <c r="BU422" i="13"/>
  <c r="BU418" i="13"/>
  <c r="BS430" i="13"/>
  <c r="BS424" i="13"/>
  <c r="BS416" i="13"/>
  <c r="BQ432" i="13"/>
  <c r="BQ416" i="13"/>
  <c r="BO428" i="13"/>
  <c r="BN432" i="13"/>
  <c r="AR434" i="13"/>
  <c r="AT434" i="13"/>
  <c r="AU434" i="13"/>
  <c r="AY434" i="13"/>
  <c r="AS434" i="13"/>
  <c r="BC434" i="13"/>
  <c r="BG434" i="13"/>
  <c r="BB434" i="13"/>
  <c r="BE434" i="13"/>
  <c r="AR430" i="13"/>
  <c r="AS430" i="13"/>
  <c r="AT430" i="13"/>
  <c r="AY430" i="13"/>
  <c r="AQ430" i="13"/>
  <c r="BC430" i="13"/>
  <c r="BG430" i="13"/>
  <c r="AU430" i="13"/>
  <c r="AW430" i="13"/>
  <c r="AX430" i="13"/>
  <c r="BA430" i="13"/>
  <c r="BB430" i="13"/>
  <c r="BE430" i="13"/>
  <c r="AR426" i="13"/>
  <c r="AT426" i="13"/>
  <c r="AY426" i="13"/>
  <c r="BC426" i="13"/>
  <c r="BG426" i="13"/>
  <c r="AQ426" i="13"/>
  <c r="BB426" i="13"/>
  <c r="BE426" i="13"/>
  <c r="AR422" i="13"/>
  <c r="AQ422" i="13"/>
  <c r="AT422" i="13"/>
  <c r="AY422" i="13"/>
  <c r="BC422" i="13"/>
  <c r="AS422" i="13"/>
  <c r="AW422" i="13"/>
  <c r="AX422" i="13"/>
  <c r="BA422" i="13"/>
  <c r="BG422" i="13"/>
  <c r="BB422" i="13"/>
  <c r="BE422" i="13"/>
  <c r="AR418" i="13"/>
  <c r="AT418" i="13"/>
  <c r="AU418" i="13"/>
  <c r="AY418" i="13"/>
  <c r="BC418" i="13"/>
  <c r="BG418" i="13"/>
  <c r="AQ418" i="13"/>
  <c r="AS418" i="13"/>
  <c r="BB418" i="13"/>
  <c r="BE418" i="13"/>
  <c r="AR414" i="13"/>
  <c r="AQ414" i="13"/>
  <c r="AS414" i="13"/>
  <c r="AT414" i="13"/>
  <c r="AY414" i="13"/>
  <c r="BC414" i="13"/>
  <c r="AU414" i="13"/>
  <c r="BG414" i="13"/>
  <c r="AW414" i="13"/>
  <c r="AX414" i="13"/>
  <c r="BA414" i="13"/>
  <c r="BB414" i="13"/>
  <c r="BE414" i="13"/>
  <c r="BQ420" i="13"/>
  <c r="BO432" i="13"/>
  <c r="BO416" i="13"/>
  <c r="BN434" i="13"/>
  <c r="BM434" i="13"/>
  <c r="BO434" i="13"/>
  <c r="BN430" i="13"/>
  <c r="BO430" i="13"/>
  <c r="BN426" i="13"/>
  <c r="BM426" i="13"/>
  <c r="BO426" i="13"/>
  <c r="BN422" i="13"/>
  <c r="BO422" i="13"/>
  <c r="BR422" i="13"/>
  <c r="BS422" i="13"/>
  <c r="BN418" i="13"/>
  <c r="BO418" i="13"/>
  <c r="BP418" i="13"/>
  <c r="BN414" i="13"/>
  <c r="BO414" i="13"/>
  <c r="BU414" i="13"/>
  <c r="BN410" i="13"/>
  <c r="BL410" i="13"/>
  <c r="BL402" i="13"/>
  <c r="BN402" i="13"/>
  <c r="BN394" i="13"/>
  <c r="BL394" i="13"/>
  <c r="BL386" i="13"/>
  <c r="BN386" i="13"/>
  <c r="BN378" i="13"/>
  <c r="BL378" i="13"/>
  <c r="BI306" i="13"/>
  <c r="BH318" i="13"/>
  <c r="BH306" i="13"/>
  <c r="BG318" i="13"/>
  <c r="BG290" i="13"/>
  <c r="BF310" i="13"/>
  <c r="BE318" i="13"/>
  <c r="BE306" i="13"/>
  <c r="BE294" i="13"/>
  <c r="BD318" i="13"/>
  <c r="BC314" i="13"/>
  <c r="BA306" i="13"/>
  <c r="BA286" i="13"/>
  <c r="AZ314" i="13"/>
  <c r="AY310" i="13"/>
  <c r="AX302" i="13"/>
  <c r="AX286" i="13"/>
  <c r="AW282" i="13"/>
  <c r="AV314" i="13"/>
  <c r="AV290" i="13"/>
  <c r="AU306" i="13"/>
  <c r="AU298" i="13"/>
  <c r="AT298" i="13"/>
  <c r="AS290" i="13"/>
  <c r="CD422" i="13"/>
  <c r="CB428" i="13"/>
  <c r="CA428" i="13"/>
  <c r="CA422" i="13"/>
  <c r="BZ422" i="13"/>
  <c r="BW432" i="13"/>
  <c r="BW426" i="13"/>
  <c r="BW416" i="13"/>
  <c r="BV426" i="13"/>
  <c r="BU432" i="13"/>
  <c r="BU428" i="13"/>
  <c r="BU424" i="13"/>
  <c r="BU420" i="13"/>
  <c r="BS434" i="13"/>
  <c r="BS426" i="13"/>
  <c r="BS420" i="13"/>
  <c r="BR434" i="13"/>
  <c r="BR414" i="13"/>
  <c r="BQ430" i="13"/>
  <c r="BP434" i="13"/>
  <c r="BM418" i="13"/>
  <c r="BL426" i="13"/>
  <c r="BL418" i="13"/>
  <c r="BP433" i="13"/>
  <c r="BQ433" i="13"/>
  <c r="BR433" i="13"/>
  <c r="BS433" i="13"/>
  <c r="BL429" i="13"/>
  <c r="BN429" i="13"/>
  <c r="BQ429" i="13"/>
  <c r="BP425" i="13"/>
  <c r="BQ425" i="13"/>
  <c r="BL421" i="13"/>
  <c r="BQ421" i="13"/>
  <c r="BM417" i="13"/>
  <c r="BQ417" i="13"/>
  <c r="BR417" i="13"/>
  <c r="BS417" i="13"/>
  <c r="AW432" i="13"/>
  <c r="BA432" i="13"/>
  <c r="BB432" i="13"/>
  <c r="BE432" i="13"/>
  <c r="BI432" i="13"/>
  <c r="AR432" i="13"/>
  <c r="AS432" i="13"/>
  <c r="AT432" i="13"/>
  <c r="BC432" i="13"/>
  <c r="BG432" i="13"/>
  <c r="AQ428" i="13"/>
  <c r="AR428" i="13"/>
  <c r="AW428" i="13"/>
  <c r="BA428" i="13"/>
  <c r="AS428" i="13"/>
  <c r="AU428" i="13"/>
  <c r="AX428" i="13"/>
  <c r="AY428" i="13"/>
  <c r="BB428" i="13"/>
  <c r="BE428" i="13"/>
  <c r="BI428" i="13"/>
  <c r="BC428" i="13"/>
  <c r="BG428" i="13"/>
  <c r="AU424" i="13"/>
  <c r="AW424" i="13"/>
  <c r="BA424" i="13"/>
  <c r="AQ424" i="13"/>
  <c r="AT424" i="13"/>
  <c r="BB424" i="13"/>
  <c r="BE424" i="13"/>
  <c r="BI424" i="13"/>
  <c r="BC424" i="13"/>
  <c r="BG424" i="13"/>
  <c r="AQ420" i="13"/>
  <c r="AR420" i="13"/>
  <c r="AS420" i="13"/>
  <c r="AW420" i="13"/>
  <c r="BA420" i="13"/>
  <c r="BB420" i="13"/>
  <c r="BE420" i="13"/>
  <c r="BI420" i="13"/>
  <c r="AX420" i="13"/>
  <c r="AY420" i="13"/>
  <c r="BG420" i="13"/>
  <c r="AW416" i="13"/>
  <c r="BA416" i="13"/>
  <c r="AQ416" i="13"/>
  <c r="AR416" i="13"/>
  <c r="AS416" i="13"/>
  <c r="BB416" i="13"/>
  <c r="BC416" i="13"/>
  <c r="BE416" i="13"/>
  <c r="BI416" i="13"/>
  <c r="AT416" i="13"/>
  <c r="BG416" i="13"/>
  <c r="BR410" i="13"/>
  <c r="BR406" i="13"/>
  <c r="BR402" i="13"/>
  <c r="BR398" i="13"/>
  <c r="BR394" i="13"/>
  <c r="BR390" i="13"/>
  <c r="BR386" i="13"/>
  <c r="BR382" i="13"/>
  <c r="BR378" i="13"/>
  <c r="BR374" i="13"/>
  <c r="BP410" i="13"/>
  <c r="BP406" i="13"/>
  <c r="BP402" i="13"/>
  <c r="BP398" i="13"/>
  <c r="BP394" i="13"/>
  <c r="BP390" i="13"/>
  <c r="BP386" i="13"/>
  <c r="BP382" i="13"/>
  <c r="BP378" i="13"/>
  <c r="BP374" i="13"/>
  <c r="BN406" i="13"/>
  <c r="BN398" i="13"/>
  <c r="BN390" i="13"/>
  <c r="BN382" i="13"/>
  <c r="BN374" i="13"/>
  <c r="BL408" i="13"/>
  <c r="BN408" i="13"/>
  <c r="BN400" i="13"/>
  <c r="BL400" i="13"/>
  <c r="BL392" i="13"/>
  <c r="BN392" i="13"/>
  <c r="BN384" i="13"/>
  <c r="BL384" i="13"/>
  <c r="BL376" i="13"/>
  <c r="BN376" i="13"/>
  <c r="AX431" i="13"/>
  <c r="AX427" i="13"/>
  <c r="AX423" i="13"/>
  <c r="AX419" i="13"/>
  <c r="AX415" i="13"/>
  <c r="BN411" i="13"/>
  <c r="BN407" i="13"/>
  <c r="BN403" i="13"/>
  <c r="BN399" i="13"/>
  <c r="BN395" i="13"/>
  <c r="BN391" i="13"/>
  <c r="BN387" i="13"/>
  <c r="BN383" i="13"/>
  <c r="BN379" i="13"/>
  <c r="BN375" i="13"/>
  <c r="CD256" i="13"/>
  <c r="BN256" i="13"/>
  <c r="BZ232" i="13"/>
  <c r="BW236" i="13"/>
  <c r="BV236" i="13"/>
  <c r="BS263" i="13"/>
  <c r="BP263" i="13"/>
  <c r="BQ247" i="13"/>
  <c r="BV247" i="13"/>
  <c r="BV232" i="13"/>
  <c r="BU232" i="13"/>
  <c r="BQ236" i="13"/>
  <c r="BM264" i="13"/>
  <c r="BN258" i="13"/>
  <c r="BL258" i="13"/>
  <c r="BN242" i="13"/>
  <c r="BL242" i="13"/>
  <c r="AZ232" i="13"/>
  <c r="AV241" i="13"/>
  <c r="AU259" i="13"/>
  <c r="BF259" i="13"/>
  <c r="AX255" i="13"/>
  <c r="BE255" i="13"/>
  <c r="BG255" i="13"/>
  <c r="AU251" i="13"/>
  <c r="AV251" i="13"/>
  <c r="AZ251" i="13"/>
  <c r="BC251" i="13"/>
  <c r="BF251" i="13"/>
  <c r="AR247" i="13"/>
  <c r="AW247" i="13"/>
  <c r="AX247" i="13"/>
  <c r="BA247" i="13"/>
  <c r="BB247" i="13"/>
  <c r="AT243" i="13"/>
  <c r="BE243" i="13"/>
  <c r="BF243" i="13"/>
  <c r="AZ238" i="13"/>
  <c r="BA238" i="13"/>
  <c r="BC238" i="13"/>
  <c r="BD238" i="13"/>
  <c r="AQ234" i="13"/>
  <c r="AV234" i="13"/>
  <c r="AY234" i="13"/>
  <c r="BE234" i="13"/>
  <c r="BF234" i="13"/>
  <c r="AU230" i="13"/>
  <c r="AX230" i="13"/>
  <c r="AZ230" i="13"/>
  <c r="BD230" i="13"/>
  <c r="BN260" i="13"/>
  <c r="BM260" i="13"/>
  <c r="BR260" i="13"/>
  <c r="CA232" i="13"/>
  <c r="BS232" i="13"/>
  <c r="BP264" i="13"/>
  <c r="BL248" i="13"/>
  <c r="CB260" i="13"/>
  <c r="BZ264" i="13"/>
  <c r="BW232" i="13"/>
  <c r="BN248" i="13"/>
  <c r="BM232" i="13"/>
  <c r="BM234" i="13"/>
  <c r="BW234" i="13"/>
  <c r="CD234" i="13"/>
  <c r="CC264" i="13"/>
  <c r="CC239" i="13"/>
  <c r="CA262" i="13"/>
  <c r="BZ260" i="13"/>
  <c r="BX231" i="13"/>
  <c r="BW230" i="13"/>
  <c r="BV231" i="13"/>
  <c r="BT263" i="13"/>
  <c r="BT234" i="13"/>
  <c r="BR264" i="13"/>
  <c r="BQ234" i="13"/>
  <c r="BO250" i="13"/>
  <c r="BN244" i="13"/>
  <c r="BI255" i="13"/>
  <c r="BI247" i="13"/>
  <c r="BI234" i="13"/>
  <c r="BH259" i="13"/>
  <c r="BH238" i="13"/>
  <c r="BG259" i="13"/>
  <c r="BG247" i="13"/>
  <c r="BG234" i="13"/>
  <c r="BF247" i="13"/>
  <c r="BE251" i="13"/>
  <c r="BE245" i="13"/>
  <c r="BE230" i="13"/>
  <c r="BD251" i="13"/>
  <c r="BC259" i="13"/>
  <c r="BC230" i="13"/>
  <c r="BB230" i="13"/>
  <c r="BA251" i="13"/>
  <c r="BA234" i="13"/>
  <c r="AZ259" i="13"/>
  <c r="AZ243" i="13"/>
  <c r="AY263" i="13"/>
  <c r="AX263" i="13"/>
  <c r="AV259" i="13"/>
  <c r="AV230" i="13"/>
  <c r="AT251" i="13"/>
  <c r="AS238" i="13"/>
  <c r="AQ263" i="13"/>
  <c r="AQ247" i="13"/>
  <c r="AR262" i="13"/>
  <c r="AS262" i="13"/>
  <c r="BD262" i="13"/>
  <c r="BH262" i="13"/>
  <c r="AX258" i="13"/>
  <c r="BD258" i="13"/>
  <c r="BI258" i="13"/>
  <c r="BD254" i="13"/>
  <c r="AY254" i="13"/>
  <c r="BH254" i="13"/>
  <c r="AZ250" i="13"/>
  <c r="BI250" i="13"/>
  <c r="BD246" i="13"/>
  <c r="BH246" i="13"/>
  <c r="BC242" i="13"/>
  <c r="AS242" i="13"/>
  <c r="AT237" i="13"/>
  <c r="BH237" i="13"/>
  <c r="AR233" i="13"/>
  <c r="BI233" i="13"/>
  <c r="BA229" i="13"/>
  <c r="BC229" i="13"/>
  <c r="BH229" i="13"/>
  <c r="BX264" i="13"/>
  <c r="BT264" i="13"/>
  <c r="BU264" i="13"/>
  <c r="BQ248" i="13"/>
  <c r="BT248" i="13"/>
  <c r="BO244" i="13"/>
  <c r="CC244" i="13"/>
  <c r="BL240" i="13"/>
  <c r="BY240" i="13"/>
  <c r="BO236" i="13"/>
  <c r="BM236" i="13"/>
  <c r="BN236" i="13"/>
  <c r="BS236" i="13"/>
  <c r="BZ236" i="13"/>
  <c r="CA236" i="13"/>
  <c r="AR261" i="13"/>
  <c r="BA261" i="13"/>
  <c r="BG261" i="13"/>
  <c r="BD249" i="13"/>
  <c r="BE249" i="13"/>
  <c r="AQ245" i="13"/>
  <c r="BI245" i="13"/>
  <c r="BA236" i="13"/>
  <c r="BB236" i="13"/>
  <c r="AS232" i="13"/>
  <c r="BG232" i="13"/>
  <c r="BM235" i="13"/>
  <c r="BQ235" i="13"/>
  <c r="BE241" i="13"/>
  <c r="BD257" i="13"/>
  <c r="BC261" i="13"/>
  <c r="BS144" i="13"/>
  <c r="BO144" i="13"/>
  <c r="BN140" i="13"/>
  <c r="BM140" i="13"/>
  <c r="AQ219" i="13"/>
  <c r="BB219" i="13"/>
  <c r="BH219" i="13"/>
  <c r="AY219" i="13"/>
  <c r="BE219" i="13"/>
  <c r="AT219" i="13"/>
  <c r="AZ219" i="13"/>
  <c r="BI219" i="13"/>
  <c r="AX215" i="13"/>
  <c r="AV215" i="13"/>
  <c r="BD215" i="13"/>
  <c r="BP219" i="13"/>
  <c r="BS219" i="13"/>
  <c r="BW219" i="13"/>
  <c r="BX219" i="13"/>
  <c r="BZ219" i="13"/>
  <c r="CC219" i="13"/>
  <c r="BR219" i="13"/>
  <c r="BM215" i="13"/>
  <c r="BZ215" i="13"/>
  <c r="CC215" i="13"/>
  <c r="BR215" i="13"/>
  <c r="BV215" i="13"/>
  <c r="BN215" i="13"/>
  <c r="BT215" i="13"/>
  <c r="BW215" i="13"/>
  <c r="BY215" i="13"/>
  <c r="CD215" i="13"/>
  <c r="AQ436" i="13"/>
  <c r="AR436" i="13"/>
  <c r="AX436" i="13"/>
  <c r="BD436" i="13"/>
  <c r="AU436" i="13"/>
  <c r="BF436" i="13"/>
  <c r="AZ436" i="13"/>
  <c r="BA436" i="13"/>
  <c r="BH436" i="13"/>
  <c r="AS333" i="13"/>
  <c r="AT333" i="13"/>
  <c r="CB144" i="13"/>
  <c r="BY144" i="13"/>
  <c r="BV144" i="13"/>
  <c r="BQ144" i="13"/>
  <c r="BO140" i="13"/>
  <c r="CB219" i="13"/>
  <c r="BP215" i="13"/>
  <c r="BE215" i="13"/>
  <c r="AV333" i="13"/>
  <c r="CB140" i="13"/>
  <c r="BX144" i="13"/>
  <c r="BT144" i="13"/>
  <c r="BM144" i="13"/>
  <c r="BG219" i="13"/>
  <c r="BL334" i="13"/>
  <c r="BQ334" i="13"/>
  <c r="CC334" i="13"/>
  <c r="CD334" i="13"/>
  <c r="CB330" i="13"/>
  <c r="BQ330" i="13"/>
  <c r="BT330" i="13"/>
  <c r="CC330" i="13"/>
  <c r="CB326" i="13"/>
  <c r="BW326" i="13"/>
  <c r="BS322" i="13"/>
  <c r="BN322" i="13"/>
  <c r="BV322" i="13"/>
  <c r="BI436" i="13"/>
  <c r="AW436" i="13"/>
  <c r="BD325" i="13"/>
  <c r="BA329" i="13"/>
  <c r="AW325" i="13"/>
  <c r="AV325" i="13"/>
  <c r="AS325" i="13"/>
  <c r="CC308" i="13"/>
  <c r="CB316" i="13"/>
  <c r="BZ300" i="13"/>
  <c r="BY316" i="13"/>
  <c r="BX284" i="13"/>
  <c r="BV300" i="13"/>
  <c r="BU316" i="13"/>
  <c r="BP296" i="13"/>
  <c r="BP284" i="13"/>
  <c r="BN300" i="13"/>
  <c r="BN288" i="13"/>
  <c r="BM316" i="13"/>
  <c r="BI299" i="13"/>
  <c r="BF295" i="13"/>
  <c r="BE315" i="13"/>
  <c r="BE311" i="13"/>
  <c r="BE307" i="13"/>
  <c r="BE291" i="13"/>
  <c r="BE287" i="13"/>
  <c r="BD303" i="13"/>
  <c r="BD295" i="13"/>
  <c r="BC311" i="13"/>
  <c r="BC291" i="13"/>
  <c r="BC287" i="13"/>
  <c r="BB307" i="13"/>
  <c r="AZ295" i="13"/>
  <c r="AX299" i="13"/>
  <c r="AW315" i="13"/>
  <c r="AW293" i="13"/>
  <c r="AW288" i="13"/>
  <c r="AV315" i="13"/>
  <c r="AV308" i="13"/>
  <c r="AV297" i="13"/>
  <c r="AV284" i="13"/>
  <c r="AU315" i="13"/>
  <c r="AU311" i="13"/>
  <c r="AU291" i="13"/>
  <c r="AU284" i="13"/>
  <c r="AT317" i="13"/>
  <c r="AT313" i="13"/>
  <c r="AT308" i="13"/>
  <c r="AT291" i="13"/>
  <c r="AS317" i="13"/>
  <c r="AS312" i="13"/>
  <c r="AS293" i="13"/>
  <c r="AR315" i="13"/>
  <c r="AR308" i="13"/>
  <c r="AR299" i="13"/>
  <c r="AR285" i="13"/>
  <c r="AQ312" i="13"/>
  <c r="AQ296" i="13"/>
  <c r="BZ182" i="13"/>
  <c r="BG180" i="13"/>
  <c r="BF209" i="13"/>
  <c r="BP335" i="13"/>
  <c r="BI332" i="13"/>
  <c r="BH435" i="13"/>
  <c r="BG435" i="13"/>
  <c r="BE329" i="13"/>
  <c r="BE320" i="13"/>
  <c r="BD320" i="13"/>
  <c r="BA435" i="13"/>
  <c r="BA328" i="13"/>
  <c r="AZ435" i="13"/>
  <c r="AZ325" i="13"/>
  <c r="AZ321" i="13"/>
  <c r="AT325" i="13"/>
  <c r="AR321" i="13"/>
  <c r="CB304" i="13"/>
  <c r="BX304" i="13"/>
  <c r="BW316" i="13"/>
  <c r="BV316" i="13"/>
  <c r="BU308" i="13"/>
  <c r="BT292" i="13"/>
  <c r="BR304" i="13"/>
  <c r="BR288" i="13"/>
  <c r="BQ308" i="13"/>
  <c r="BP304" i="13"/>
  <c r="BO316" i="13"/>
  <c r="BN316" i="13"/>
  <c r="BL316" i="13"/>
  <c r="BI315" i="13"/>
  <c r="BI311" i="13"/>
  <c r="BI307" i="13"/>
  <c r="BH291" i="13"/>
  <c r="BH287" i="13"/>
  <c r="BG295" i="13"/>
  <c r="BF315" i="13"/>
  <c r="BF311" i="13"/>
  <c r="BF299" i="13"/>
  <c r="BE295" i="13"/>
  <c r="BB299" i="13"/>
  <c r="BB291" i="13"/>
  <c r="BB287" i="13"/>
  <c r="BA291" i="13"/>
  <c r="BA287" i="13"/>
  <c r="AZ311" i="13"/>
  <c r="AY295" i="13"/>
  <c r="AY291" i="13"/>
  <c r="AY287" i="13"/>
  <c r="AX295" i="13"/>
  <c r="AX291" i="13"/>
  <c r="AX287" i="13"/>
  <c r="AW287" i="13"/>
  <c r="AU295" i="13"/>
  <c r="AU283" i="13"/>
  <c r="AR291" i="13"/>
  <c r="AQ311" i="13"/>
  <c r="BL432" i="13"/>
  <c r="BP432" i="13"/>
  <c r="BT432" i="13"/>
  <c r="BX432" i="13"/>
  <c r="BR432" i="13"/>
  <c r="BV432" i="13"/>
  <c r="BZ432" i="13"/>
  <c r="CD432" i="13"/>
  <c r="BL428" i="13"/>
  <c r="BP428" i="13"/>
  <c r="BT428" i="13"/>
  <c r="BX428" i="13"/>
  <c r="BM428" i="13"/>
  <c r="BN428" i="13"/>
  <c r="BR428" i="13"/>
  <c r="BV428" i="13"/>
  <c r="BZ428" i="13"/>
  <c r="CD428" i="13"/>
  <c r="BL424" i="13"/>
  <c r="BP424" i="13"/>
  <c r="BM424" i="13"/>
  <c r="BN424" i="13"/>
  <c r="BT424" i="13"/>
  <c r="BX424" i="13"/>
  <c r="BR424" i="13"/>
  <c r="BV424" i="13"/>
  <c r="BZ424" i="13"/>
  <c r="CD424" i="13"/>
  <c r="BL420" i="13"/>
  <c r="BP420" i="13"/>
  <c r="BM420" i="13"/>
  <c r="BN420" i="13"/>
  <c r="BT420" i="13"/>
  <c r="BX420" i="13"/>
  <c r="BR420" i="13"/>
  <c r="BV420" i="13"/>
  <c r="BZ420" i="13"/>
  <c r="CD420" i="13"/>
  <c r="BL416" i="13"/>
  <c r="BP416" i="13"/>
  <c r="BT416" i="13"/>
  <c r="BX416" i="13"/>
  <c r="BR416" i="13"/>
  <c r="BV416" i="13"/>
  <c r="BZ416" i="13"/>
  <c r="CD416" i="13"/>
  <c r="BI214" i="13"/>
  <c r="BB214" i="13"/>
  <c r="AY209" i="13"/>
  <c r="AT214" i="13"/>
  <c r="BQ325" i="13"/>
  <c r="BN321" i="13"/>
  <c r="BI329" i="13"/>
  <c r="BH328" i="13"/>
  <c r="BF325" i="13"/>
  <c r="BE328" i="13"/>
  <c r="BB325" i="13"/>
  <c r="BA332" i="13"/>
  <c r="BA325" i="13"/>
  <c r="AZ329" i="13"/>
  <c r="AZ324" i="13"/>
  <c r="AT332" i="13"/>
  <c r="AT324" i="13"/>
  <c r="CD308" i="13"/>
  <c r="BZ308" i="13"/>
  <c r="BX316" i="13"/>
  <c r="BX288" i="13"/>
  <c r="BR300" i="13"/>
  <c r="BP288" i="13"/>
  <c r="BN308" i="13"/>
  <c r="BN296" i="13"/>
  <c r="BI291" i="13"/>
  <c r="BI287" i="13"/>
  <c r="BH295" i="13"/>
  <c r="BG315" i="13"/>
  <c r="BG311" i="13"/>
  <c r="BG299" i="13"/>
  <c r="BF291" i="13"/>
  <c r="BF287" i="13"/>
  <c r="BD299" i="13"/>
  <c r="BD291" i="13"/>
  <c r="BD287" i="13"/>
  <c r="BC295" i="13"/>
  <c r="BB315" i="13"/>
  <c r="BA307" i="13"/>
  <c r="BA299" i="13"/>
  <c r="AZ299" i="13"/>
  <c r="AZ291" i="13"/>
  <c r="AZ287" i="13"/>
  <c r="AW295" i="13"/>
  <c r="AW291" i="13"/>
  <c r="AV295" i="13"/>
  <c r="AT315" i="13"/>
  <c r="AT295" i="13"/>
  <c r="AS315" i="13"/>
  <c r="AR303" i="13"/>
  <c r="AR283" i="13"/>
  <c r="AV292" i="13"/>
  <c r="AQ292" i="13"/>
  <c r="BM416" i="13"/>
  <c r="AQ287" i="13"/>
  <c r="AR287" i="13"/>
  <c r="CB434" i="13"/>
  <c r="CB430" i="13"/>
  <c r="CB426" i="13"/>
  <c r="CB422" i="13"/>
  <c r="CB418" i="13"/>
  <c r="CB414" i="13"/>
  <c r="CA431" i="13"/>
  <c r="CA427" i="13"/>
  <c r="CA423" i="13"/>
  <c r="CA419" i="13"/>
  <c r="CA415" i="13"/>
  <c r="BX434" i="13"/>
  <c r="BX430" i="13"/>
  <c r="BX426" i="13"/>
  <c r="BX422" i="13"/>
  <c r="BX418" i="13"/>
  <c r="BX414" i="13"/>
  <c r="BW431" i="13"/>
  <c r="BW427" i="13"/>
  <c r="BW423" i="13"/>
  <c r="BW419" i="13"/>
  <c r="BW415" i="13"/>
  <c r="BT434" i="13"/>
  <c r="BT430" i="13"/>
  <c r="BT426" i="13"/>
  <c r="BT422" i="13"/>
  <c r="BT418" i="13"/>
  <c r="BT414" i="13"/>
  <c r="BS431" i="13"/>
  <c r="BS427" i="13"/>
  <c r="BS423" i="13"/>
  <c r="BS419" i="13"/>
  <c r="BP427" i="13"/>
  <c r="BP422" i="13"/>
  <c r="BN423" i="13"/>
  <c r="BM422" i="13"/>
  <c r="BL427" i="13"/>
  <c r="BL422" i="13"/>
  <c r="BP430" i="13"/>
  <c r="BM430" i="13"/>
  <c r="BM414" i="13"/>
  <c r="BL430" i="13"/>
  <c r="BL414" i="13"/>
  <c r="BM415" i="13"/>
  <c r="BQ415" i="13"/>
  <c r="AS431" i="13"/>
  <c r="AS427" i="13"/>
  <c r="AS423" i="13"/>
  <c r="AS419" i="13"/>
  <c r="AS415" i="13"/>
  <c r="AR431" i="13"/>
  <c r="AR427" i="13"/>
  <c r="AR423" i="13"/>
  <c r="AR419" i="13"/>
  <c r="AR415" i="13"/>
  <c r="AU431" i="13"/>
  <c r="AU427" i="13"/>
  <c r="AU423" i="13"/>
  <c r="AU419" i="13"/>
  <c r="AU415" i="13"/>
  <c r="AW335" i="13"/>
  <c r="BH335" i="13"/>
  <c r="BI334" i="13"/>
  <c r="BB334" i="13"/>
  <c r="BN334" i="13"/>
  <c r="BE334" i="13"/>
  <c r="BA334" i="13"/>
  <c r="AT334" i="13"/>
  <c r="AY334" i="13"/>
  <c r="AW334" i="13"/>
  <c r="BX333" i="13"/>
  <c r="BL333" i="13"/>
  <c r="BD333" i="13"/>
  <c r="BB333" i="13"/>
  <c r="AZ333" i="13"/>
  <c r="AW333" i="13"/>
  <c r="AU333" i="13"/>
  <c r="BH333" i="13"/>
  <c r="BF333" i="13"/>
  <c r="BE333" i="13"/>
  <c r="AR333" i="13"/>
  <c r="AQ333" i="13"/>
  <c r="CA332" i="13"/>
  <c r="BY332" i="13"/>
  <c r="BS332" i="13"/>
  <c r="BD332" i="13"/>
  <c r="AZ331" i="13"/>
  <c r="BE330" i="13"/>
  <c r="BB330" i="13"/>
  <c r="BI330" i="13"/>
  <c r="BC330" i="13"/>
  <c r="AT330" i="13"/>
  <c r="BG330" i="13"/>
  <c r="BF330" i="13"/>
  <c r="BD330" i="13"/>
  <c r="BQ329" i="13"/>
  <c r="AX329" i="13"/>
  <c r="AR329" i="13"/>
  <c r="AU329" i="13"/>
  <c r="AS329" i="13"/>
  <c r="BH329" i="13"/>
  <c r="BF329" i="13"/>
  <c r="CD328" i="13"/>
  <c r="BZ328" i="13"/>
  <c r="BG328" i="13"/>
  <c r="BI328" i="13"/>
  <c r="BD328" i="13"/>
  <c r="CD327" i="13"/>
  <c r="CC327" i="13"/>
  <c r="BX327" i="13"/>
  <c r="BQ327" i="13"/>
  <c r="CB327" i="13"/>
  <c r="BY327" i="13"/>
  <c r="BV327" i="13"/>
  <c r="BP327" i="13"/>
  <c r="BN327" i="13"/>
  <c r="BH327" i="13"/>
  <c r="BI326" i="13"/>
  <c r="BD326" i="13"/>
  <c r="BC326" i="13"/>
  <c r="BB326" i="13"/>
  <c r="AZ326" i="13"/>
  <c r="AS326" i="13"/>
  <c r="BH326" i="13"/>
  <c r="BG326" i="13"/>
  <c r="BA326" i="13"/>
  <c r="BP325" i="13"/>
  <c r="AU325" i="13"/>
  <c r="BW325" i="13"/>
  <c r="BI324" i="13"/>
  <c r="BG324" i="13"/>
  <c r="CC323" i="13"/>
  <c r="BH323" i="13"/>
  <c r="CD323" i="13"/>
  <c r="BX323" i="13"/>
  <c r="BV323" i="13"/>
  <c r="BQ323" i="13"/>
  <c r="BD324" i="13"/>
  <c r="BH324" i="13"/>
  <c r="BE324" i="13"/>
  <c r="BA324" i="13"/>
  <c r="CD322" i="13"/>
  <c r="CA322" i="13"/>
  <c r="BH322" i="13"/>
  <c r="BF322" i="13"/>
  <c r="AV322" i="13"/>
  <c r="BG322" i="13"/>
  <c r="BD322" i="13"/>
  <c r="BC322" i="13"/>
  <c r="AY322" i="13"/>
  <c r="AX322" i="13"/>
  <c r="BS321" i="13"/>
  <c r="BQ321" i="13"/>
  <c r="BF321" i="13"/>
  <c r="AX321" i="13"/>
  <c r="BI321" i="13"/>
  <c r="BD321" i="13"/>
  <c r="BH321" i="13"/>
  <c r="BA321" i="13"/>
  <c r="AW321" i="13"/>
  <c r="AU321" i="13"/>
  <c r="AS321" i="13"/>
  <c r="BI320" i="13"/>
  <c r="AZ320" i="13"/>
  <c r="AT320" i="13"/>
  <c r="AZ319" i="13"/>
  <c r="BH319" i="13"/>
  <c r="BS318" i="13"/>
  <c r="CB318" i="13"/>
  <c r="BV318" i="13"/>
  <c r="BH317" i="13"/>
  <c r="BG317" i="13"/>
  <c r="BF317" i="13"/>
  <c r="BE317" i="13"/>
  <c r="AZ317" i="13"/>
  <c r="AR317" i="13"/>
  <c r="BC317" i="13"/>
  <c r="AY317" i="13"/>
  <c r="BD315" i="13"/>
  <c r="BC315" i="13"/>
  <c r="BA315" i="13"/>
  <c r="AZ315" i="13"/>
  <c r="BX314" i="13"/>
  <c r="BB314" i="13"/>
  <c r="AW314" i="13"/>
  <c r="CD314" i="13"/>
  <c r="BZ314" i="13"/>
  <c r="BO314" i="13"/>
  <c r="BS312" i="13"/>
  <c r="CA312" i="13"/>
  <c r="BY312" i="13"/>
  <c r="BU312" i="13"/>
  <c r="BP312" i="13"/>
  <c r="BO312" i="13"/>
  <c r="BL312" i="13"/>
  <c r="CB312" i="13"/>
  <c r="BZ312" i="13"/>
  <c r="BX312" i="13"/>
  <c r="BW312" i="13"/>
  <c r="BT312" i="13"/>
  <c r="BR312" i="13"/>
  <c r="CD312" i="13"/>
  <c r="BN312" i="13"/>
  <c r="BD312" i="13"/>
  <c r="BH311" i="13"/>
  <c r="BD311" i="13"/>
  <c r="BB311" i="13"/>
  <c r="BA311" i="13"/>
  <c r="AY311" i="13"/>
  <c r="AV311" i="13"/>
  <c r="AT311" i="13"/>
  <c r="AS311" i="13"/>
  <c r="CC310" i="13"/>
  <c r="BN310" i="13"/>
  <c r="BG309" i="13"/>
  <c r="BD309" i="13"/>
  <c r="AV309" i="13"/>
  <c r="AS309" i="13"/>
  <c r="BH309" i="13"/>
  <c r="AZ309" i="13"/>
  <c r="AY309" i="13"/>
  <c r="AW309" i="13"/>
  <c r="CB308" i="13"/>
  <c r="BS308" i="13"/>
  <c r="BO308" i="13"/>
  <c r="AW307" i="13"/>
  <c r="AT307" i="13"/>
  <c r="AS307" i="13"/>
  <c r="AY307" i="13"/>
  <c r="AX307" i="13"/>
  <c r="AR307" i="13"/>
  <c r="BH307" i="13"/>
  <c r="BF307" i="13"/>
  <c r="BD307" i="13"/>
  <c r="BC307" i="13"/>
  <c r="AZ307" i="13"/>
  <c r="AQ307" i="13"/>
  <c r="BG307" i="13"/>
  <c r="AV307" i="13"/>
  <c r="BT305" i="13"/>
  <c r="BO305" i="13"/>
  <c r="BI305" i="13"/>
  <c r="BH305" i="13"/>
  <c r="BG305" i="13"/>
  <c r="BE305" i="13"/>
  <c r="BD305" i="13"/>
  <c r="BB305" i="13"/>
  <c r="AY305" i="13"/>
  <c r="AR305" i="13"/>
  <c r="CD305" i="13"/>
  <c r="CC305" i="13"/>
  <c r="CB305" i="13"/>
  <c r="BV305" i="13"/>
  <c r="BU305" i="13"/>
  <c r="BS305" i="13"/>
  <c r="BQ305" i="13"/>
  <c r="BP305" i="13"/>
  <c r="AZ305" i="13"/>
  <c r="AV305" i="13"/>
  <c r="AT305" i="13"/>
  <c r="CC251" i="13"/>
  <c r="CC235" i="13"/>
  <c r="CA239" i="13"/>
  <c r="CA231" i="13"/>
  <c r="BZ239" i="13"/>
  <c r="BY231" i="13"/>
  <c r="BW233" i="13"/>
  <c r="BW229" i="13"/>
  <c r="BT239" i="13"/>
  <c r="BS255" i="13"/>
  <c r="BS231" i="13"/>
  <c r="BR239" i="13"/>
  <c r="BQ255" i="13"/>
  <c r="BO247" i="13"/>
  <c r="BN239" i="13"/>
  <c r="BN231" i="13"/>
  <c r="BM239" i="13"/>
  <c r="BM231" i="13"/>
  <c r="BL259" i="13"/>
  <c r="BL247" i="13"/>
  <c r="BL243" i="13"/>
  <c r="BI248" i="13"/>
  <c r="BI244" i="13"/>
  <c r="BG256" i="13"/>
  <c r="BE239" i="13"/>
  <c r="BB264" i="13"/>
  <c r="BB231" i="13"/>
  <c r="BA260" i="13"/>
  <c r="BA239" i="13"/>
  <c r="AZ260" i="13"/>
  <c r="AV264" i="13"/>
  <c r="AQ256" i="13"/>
  <c r="AQ239" i="13"/>
  <c r="AR263" i="13"/>
  <c r="AT263" i="13"/>
  <c r="AV263" i="13"/>
  <c r="BB259" i="13"/>
  <c r="AQ259" i="13"/>
  <c r="AW259" i="13"/>
  <c r="AR255" i="13"/>
  <c r="AT255" i="13"/>
  <c r="AR238" i="13"/>
  <c r="AV238" i="13"/>
  <c r="AW238" i="13"/>
  <c r="AR230" i="13"/>
  <c r="AT230" i="13"/>
  <c r="BG140" i="13"/>
  <c r="AU141" i="13"/>
  <c r="AS141" i="13"/>
  <c r="CD251" i="13"/>
  <c r="CD235" i="13"/>
  <c r="CD231" i="13"/>
  <c r="CC263" i="13"/>
  <c r="CB235" i="13"/>
  <c r="BX255" i="13"/>
  <c r="BV235" i="13"/>
  <c r="BU259" i="13"/>
  <c r="BU231" i="13"/>
  <c r="BT235" i="13"/>
  <c r="BR235" i="13"/>
  <c r="BP235" i="13"/>
  <c r="BO239" i="13"/>
  <c r="BM247" i="13"/>
  <c r="CC231" i="13"/>
  <c r="CA235" i="13"/>
  <c r="BZ262" i="13"/>
  <c r="BZ235" i="13"/>
  <c r="BY247" i="13"/>
  <c r="BX247" i="13"/>
  <c r="BW235" i="13"/>
  <c r="BW231" i="13"/>
  <c r="BV259" i="13"/>
  <c r="BS235" i="13"/>
  <c r="BQ263" i="13"/>
  <c r="BO263" i="13"/>
  <c r="BO235" i="13"/>
  <c r="BN235" i="13"/>
  <c r="BM246" i="13"/>
  <c r="BL263" i="13"/>
  <c r="BL249" i="13"/>
  <c r="BL245" i="13"/>
  <c r="BI256" i="13"/>
  <c r="BG231" i="13"/>
  <c r="BE256" i="13"/>
  <c r="BE235" i="13"/>
  <c r="BB260" i="13"/>
  <c r="BB235" i="13"/>
  <c r="AZ264" i="13"/>
  <c r="AY259" i="13"/>
  <c r="AY247" i="13"/>
  <c r="AX259" i="13"/>
  <c r="AX238" i="13"/>
  <c r="AW234" i="13"/>
  <c r="AU238" i="13"/>
  <c r="AT259" i="13"/>
  <c r="AT247" i="13"/>
  <c r="AS263" i="13"/>
  <c r="AS247" i="13"/>
  <c r="AS234" i="13"/>
  <c r="AR251" i="13"/>
  <c r="AR234" i="13"/>
  <c r="AQ251" i="13"/>
  <c r="AQ230" i="13"/>
  <c r="BM148" i="13"/>
  <c r="BU148" i="13"/>
  <c r="AX256" i="13"/>
  <c r="AS256" i="13"/>
  <c r="AS248" i="13"/>
  <c r="AQ248" i="13"/>
  <c r="AV248" i="13"/>
  <c r="AX244" i="13"/>
  <c r="AT244" i="13"/>
  <c r="BD231" i="13"/>
  <c r="AX231" i="13"/>
  <c r="BM142" i="13"/>
  <c r="CD142" i="13"/>
  <c r="BG141" i="13"/>
  <c r="BP435" i="13"/>
  <c r="BO435" i="13"/>
  <c r="BQ435" i="13"/>
  <c r="BZ435" i="13"/>
  <c r="BP332" i="13"/>
  <c r="BQ332" i="13"/>
  <c r="CC332" i="13"/>
  <c r="BP328" i="13"/>
  <c r="BL328" i="13"/>
  <c r="BQ328" i="13"/>
  <c r="CA328" i="13"/>
  <c r="BL324" i="13"/>
  <c r="BQ324" i="13"/>
  <c r="BU324" i="13"/>
  <c r="BW324" i="13"/>
  <c r="CD324" i="13"/>
  <c r="BT320" i="13"/>
  <c r="BO320" i="13"/>
  <c r="BQ320" i="13"/>
  <c r="BS320" i="13"/>
  <c r="BZ320" i="13"/>
  <c r="BY299" i="13"/>
  <c r="BX299" i="13"/>
  <c r="BT315" i="13"/>
  <c r="BR315" i="13"/>
  <c r="BX315" i="13"/>
  <c r="BN315" i="13"/>
  <c r="BP315" i="13"/>
  <c r="BM315" i="13"/>
  <c r="BV315" i="13"/>
  <c r="BM311" i="13"/>
  <c r="BL311" i="13"/>
  <c r="BN311" i="13"/>
  <c r="BX311" i="13"/>
  <c r="BP307" i="13"/>
  <c r="BV307" i="13"/>
  <c r="CB307" i="13"/>
  <c r="BN307" i="13"/>
  <c r="BT307" i="13"/>
  <c r="BL307" i="13"/>
  <c r="BM307" i="13"/>
  <c r="BN303" i="13"/>
  <c r="BR303" i="13"/>
  <c r="BT303" i="13"/>
  <c r="BU303" i="13"/>
  <c r="BZ303" i="13"/>
  <c r="BQ303" i="13"/>
  <c r="BS303" i="13"/>
  <c r="BU299" i="13"/>
  <c r="BO299" i="13"/>
  <c r="BP299" i="13"/>
  <c r="BQ299" i="13"/>
  <c r="CA299" i="13"/>
  <c r="CB299" i="13"/>
  <c r="BT299" i="13"/>
  <c r="BQ295" i="13"/>
  <c r="BX295" i="13"/>
  <c r="CD295" i="13"/>
  <c r="BW295" i="13"/>
  <c r="BZ295" i="13"/>
  <c r="BO295" i="13"/>
  <c r="BP295" i="13"/>
  <c r="BV295" i="13"/>
  <c r="BY295" i="13"/>
  <c r="CC295" i="13"/>
  <c r="BO291" i="13"/>
  <c r="BS291" i="13"/>
  <c r="BO287" i="13"/>
  <c r="BT287" i="13"/>
  <c r="BU283" i="13"/>
  <c r="BO283" i="13"/>
  <c r="BP283" i="13"/>
  <c r="BY283" i="13"/>
  <c r="CA283" i="13"/>
  <c r="BR283" i="13"/>
  <c r="BI178" i="13"/>
  <c r="AX182" i="13"/>
  <c r="BF217" i="13"/>
  <c r="CD320" i="13"/>
  <c r="CC320" i="13"/>
  <c r="CA435" i="13"/>
  <c r="BZ324" i="13"/>
  <c r="BW435" i="13"/>
  <c r="BU435" i="13"/>
  <c r="BS328" i="13"/>
  <c r="BO332" i="13"/>
  <c r="BM334" i="13"/>
  <c r="BX334" i="13"/>
  <c r="BO330" i="13"/>
  <c r="BM330" i="13"/>
  <c r="BP330" i="13"/>
  <c r="BR330" i="13"/>
  <c r="BW330" i="13"/>
  <c r="CD330" i="13"/>
  <c r="BM326" i="13"/>
  <c r="BN326" i="13"/>
  <c r="BS326" i="13"/>
  <c r="BL322" i="13"/>
  <c r="BX322" i="13"/>
  <c r="CC322" i="13"/>
  <c r="CA303" i="13"/>
  <c r="BZ299" i="13"/>
  <c r="BZ283" i="13"/>
  <c r="BS299" i="13"/>
  <c r="CA140" i="13"/>
  <c r="BX140" i="13"/>
  <c r="BU144" i="13"/>
  <c r="BR144" i="13"/>
  <c r="BP140" i="13"/>
  <c r="BN144" i="13"/>
  <c r="BH178" i="13"/>
  <c r="BA178" i="13"/>
  <c r="AX178" i="13"/>
  <c r="BH214" i="13"/>
  <c r="BD214" i="13"/>
  <c r="BH217" i="13"/>
  <c r="BF216" i="13"/>
  <c r="BD219" i="13"/>
  <c r="BB215" i="13"/>
  <c r="AW219" i="13"/>
  <c r="AR215" i="13"/>
  <c r="CD332" i="13"/>
  <c r="CD326" i="13"/>
  <c r="CC326" i="13"/>
  <c r="CA334" i="13"/>
  <c r="CA320" i="13"/>
  <c r="BY435" i="13"/>
  <c r="BY328" i="13"/>
  <c r="BY320" i="13"/>
  <c r="BW332" i="13"/>
  <c r="BW320" i="13"/>
  <c r="BU332" i="13"/>
  <c r="BT334" i="13"/>
  <c r="BS324" i="13"/>
  <c r="BR334" i="13"/>
  <c r="BQ326" i="13"/>
  <c r="BO328" i="13"/>
  <c r="BM322" i="13"/>
  <c r="CC436" i="13"/>
  <c r="BS436" i="13"/>
  <c r="CA333" i="13"/>
  <c r="BV333" i="13"/>
  <c r="AQ334" i="13"/>
  <c r="AS334" i="13"/>
  <c r="AX334" i="13"/>
  <c r="AR334" i="13"/>
  <c r="AU334" i="13"/>
  <c r="BC334" i="13"/>
  <c r="BD334" i="13"/>
  <c r="BF334" i="13"/>
  <c r="AV330" i="13"/>
  <c r="AW330" i="13"/>
  <c r="AY330" i="13"/>
  <c r="AQ330" i="13"/>
  <c r="AS330" i="13"/>
  <c r="AR326" i="13"/>
  <c r="AX326" i="13"/>
  <c r="AT326" i="13"/>
  <c r="AU326" i="13"/>
  <c r="AV326" i="13"/>
  <c r="AW326" i="13"/>
  <c r="AY326" i="13"/>
  <c r="BE326" i="13"/>
  <c r="BF326" i="13"/>
  <c r="AT322" i="13"/>
  <c r="BA322" i="13"/>
  <c r="BI322" i="13"/>
  <c r="CB311" i="13"/>
  <c r="CB303" i="13"/>
  <c r="BZ315" i="13"/>
  <c r="BZ307" i="13"/>
  <c r="BY303" i="13"/>
  <c r="BX291" i="13"/>
  <c r="BX283" i="13"/>
  <c r="BV311" i="13"/>
  <c r="BV303" i="13"/>
  <c r="BT311" i="13"/>
  <c r="BI333" i="13"/>
  <c r="BE436" i="13"/>
  <c r="BE321" i="13"/>
  <c r="BD329" i="13"/>
  <c r="BB436" i="13"/>
  <c r="BB329" i="13"/>
  <c r="BB321" i="13"/>
  <c r="BA333" i="13"/>
  <c r="AX333" i="13"/>
  <c r="AX325" i="13"/>
  <c r="AT436" i="13"/>
  <c r="AT321" i="13"/>
  <c r="CD318" i="13"/>
  <c r="CD294" i="13"/>
  <c r="CC306" i="13"/>
  <c r="BZ318" i="13"/>
  <c r="BW310" i="13"/>
  <c r="BW294" i="13"/>
  <c r="BT314" i="13"/>
  <c r="BS314" i="13"/>
  <c r="BS316" i="13"/>
  <c r="BT316" i="13"/>
  <c r="BZ316" i="13"/>
  <c r="CA316" i="13"/>
  <c r="CD316" i="13"/>
  <c r="BQ312" i="13"/>
  <c r="BV312" i="13"/>
  <c r="CC312" i="13"/>
  <c r="BM308" i="13"/>
  <c r="BP308" i="13"/>
  <c r="BR308" i="13"/>
  <c r="BT308" i="13"/>
  <c r="BW308" i="13"/>
  <c r="BY308" i="13"/>
  <c r="CA308" i="13"/>
  <c r="BL304" i="13"/>
  <c r="BZ304" i="13"/>
  <c r="BT300" i="13"/>
  <c r="BM300" i="13"/>
  <c r="BT284" i="13"/>
  <c r="BM284" i="13"/>
  <c r="BV284" i="13"/>
  <c r="BZ284" i="13"/>
  <c r="CD284" i="13"/>
  <c r="BN318" i="13"/>
  <c r="BQ318" i="13"/>
  <c r="BN314" i="13"/>
  <c r="BP314" i="13"/>
  <c r="BW314" i="13"/>
  <c r="BY314" i="13"/>
  <c r="CB314" i="13"/>
  <c r="BQ310" i="13"/>
  <c r="BO310" i="13"/>
  <c r="BU310" i="13"/>
  <c r="BX310" i="13"/>
  <c r="BZ310" i="13"/>
  <c r="CD310" i="13"/>
  <c r="BL298" i="13"/>
  <c r="BY298" i="13"/>
  <c r="BM286" i="13"/>
  <c r="CA286" i="13"/>
  <c r="CC286" i="13"/>
  <c r="AY325" i="13"/>
  <c r="AQ325" i="13"/>
  <c r="CD306" i="13"/>
  <c r="CD298" i="13"/>
  <c r="CC318" i="13"/>
  <c r="CA318" i="13"/>
  <c r="CA298" i="13"/>
  <c r="BY318" i="13"/>
  <c r="BY310" i="13"/>
  <c r="BU318" i="13"/>
  <c r="BT318" i="13"/>
  <c r="AR318" i="13"/>
  <c r="AR314" i="13"/>
  <c r="AR310" i="13"/>
  <c r="AR306" i="13"/>
  <c r="AR290" i="13"/>
  <c r="AR286" i="13"/>
  <c r="AR282" i="13"/>
  <c r="AR298" i="13"/>
  <c r="BI304" i="13"/>
  <c r="BG304" i="13"/>
  <c r="BD304" i="13"/>
  <c r="AW304" i="13"/>
  <c r="AS304" i="13"/>
  <c r="BH304" i="13"/>
  <c r="BG303" i="13"/>
  <c r="AZ303" i="13"/>
  <c r="AY303" i="13"/>
  <c r="AX303" i="13"/>
  <c r="AW303" i="13"/>
  <c r="BH303" i="13"/>
  <c r="BE303" i="13"/>
  <c r="BA303" i="13"/>
  <c r="AU303" i="13"/>
  <c r="BI303" i="13"/>
  <c r="BF303" i="13"/>
  <c r="BC303" i="13"/>
  <c r="AV303" i="13"/>
  <c r="AT303" i="13"/>
  <c r="CD302" i="13"/>
  <c r="AT302" i="13"/>
  <c r="BS302" i="13"/>
  <c r="BM302" i="13"/>
  <c r="BF302" i="13"/>
  <c r="BE302" i="13"/>
  <c r="BA302" i="13"/>
  <c r="AZ302" i="13"/>
  <c r="AV302" i="13"/>
  <c r="AU302" i="13"/>
  <c r="AS302" i="13"/>
  <c r="CC302" i="13"/>
  <c r="BH302" i="13"/>
  <c r="BG302" i="13"/>
  <c r="BB302" i="13"/>
  <c r="AY302" i="13"/>
  <c r="AR302" i="13"/>
  <c r="BD302" i="13"/>
  <c r="BC302" i="13"/>
  <c r="AV301" i="13"/>
  <c r="AZ301" i="13"/>
  <c r="AX301" i="13"/>
  <c r="BI301" i="13"/>
  <c r="BH301" i="13"/>
  <c r="BE301" i="13"/>
  <c r="BD301" i="13"/>
  <c r="AY301" i="13"/>
  <c r="AT301" i="13"/>
  <c r="BY301" i="13"/>
  <c r="BO301" i="13"/>
  <c r="BM301" i="13"/>
  <c r="BC301" i="13"/>
  <c r="AW301" i="13"/>
  <c r="AU301" i="13"/>
  <c r="AR301" i="13"/>
  <c r="CC301" i="13"/>
  <c r="CB301" i="13"/>
  <c r="BV301" i="13"/>
  <c r="BU301" i="13"/>
  <c r="BL301" i="13"/>
  <c r="BN301" i="13"/>
  <c r="BZ301" i="13"/>
  <c r="BW301" i="13"/>
  <c r="BS301" i="13"/>
  <c r="BR301" i="13"/>
  <c r="BQ301" i="13"/>
  <c r="BG301" i="13"/>
  <c r="BF301" i="13"/>
  <c r="BA301" i="13"/>
  <c r="AS301" i="13"/>
  <c r="BW253" i="13"/>
  <c r="AY253" i="13"/>
  <c r="BI253" i="13"/>
  <c r="BE253" i="13"/>
  <c r="BD252" i="13"/>
  <c r="BI252" i="13"/>
  <c r="AZ252" i="13"/>
  <c r="BG252" i="13"/>
  <c r="BE252" i="13"/>
  <c r="BA252" i="13"/>
  <c r="BI300" i="13"/>
  <c r="BE300" i="13"/>
  <c r="AZ300" i="13"/>
  <c r="AU300" i="13"/>
  <c r="AT300" i="13"/>
  <c r="AS300" i="13"/>
  <c r="AQ300" i="13"/>
  <c r="BG300" i="13"/>
  <c r="BC300" i="13"/>
  <c r="BB300" i="13"/>
  <c r="BA300" i="13"/>
  <c r="AW300" i="13"/>
  <c r="AW299" i="13"/>
  <c r="CD299" i="13"/>
  <c r="BW299" i="13"/>
  <c r="BH298" i="13"/>
  <c r="BF298" i="13"/>
  <c r="BD298" i="13"/>
  <c r="BA298" i="13"/>
  <c r="AW298" i="13"/>
  <c r="AS298" i="13"/>
  <c r="BI298" i="13"/>
  <c r="BG298" i="13"/>
  <c r="BE298" i="13"/>
  <c r="BC298" i="13"/>
  <c r="AX298" i="13"/>
  <c r="AV298" i="13"/>
  <c r="BB298" i="13"/>
  <c r="AZ298" i="13"/>
  <c r="AY298" i="13"/>
  <c r="BA297" i="13"/>
  <c r="AZ297" i="13"/>
  <c r="AX297" i="13"/>
  <c r="AU297" i="13"/>
  <c r="CD297" i="13"/>
  <c r="BW297" i="13"/>
  <c r="BU297" i="13"/>
  <c r="BT297" i="13"/>
  <c r="BS297" i="13"/>
  <c r="CB296" i="13"/>
  <c r="BX296" i="13"/>
  <c r="BV296" i="13"/>
  <c r="BT296" i="13"/>
  <c r="BD296" i="13"/>
  <c r="BB296" i="13"/>
  <c r="AY296" i="13"/>
  <c r="AX296" i="13"/>
  <c r="AW296" i="13"/>
  <c r="AT296" i="13"/>
  <c r="AS296" i="13"/>
  <c r="BE296" i="13"/>
  <c r="BL296" i="13"/>
  <c r="BA296" i="13"/>
  <c r="BU295" i="13"/>
  <c r="BA295" i="13"/>
  <c r="BO294" i="13"/>
  <c r="BI294" i="13"/>
  <c r="BF294" i="13"/>
  <c r="BB294" i="13"/>
  <c r="BG294" i="13"/>
  <c r="AZ294" i="13"/>
  <c r="AT294" i="13"/>
  <c r="AS294" i="13"/>
  <c r="BD294" i="13"/>
  <c r="BC294" i="13"/>
  <c r="AV294" i="13"/>
  <c r="AU294" i="13"/>
  <c r="AR294" i="13"/>
  <c r="CB293" i="13"/>
  <c r="CA293" i="13"/>
  <c r="BV293" i="13"/>
  <c r="BU293" i="13"/>
  <c r="BO293" i="13"/>
  <c r="BH293" i="13"/>
  <c r="BC293" i="13"/>
  <c r="AV293" i="13"/>
  <c r="AT293" i="13"/>
  <c r="CC293" i="13"/>
  <c r="BW293" i="13"/>
  <c r="AZ293" i="13"/>
  <c r="AR293" i="13"/>
  <c r="AQ293" i="13"/>
  <c r="BG293" i="13"/>
  <c r="BF293" i="13"/>
  <c r="BE293" i="13"/>
  <c r="BD293" i="13"/>
  <c r="BB293" i="13"/>
  <c r="BM292" i="13"/>
  <c r="BR292" i="13"/>
  <c r="BL292" i="13"/>
  <c r="BZ292" i="13"/>
  <c r="BV292" i="13"/>
  <c r="CD291" i="13"/>
  <c r="CC291" i="13"/>
  <c r="CB291" i="13"/>
  <c r="CA291" i="13"/>
  <c r="BW291" i="13"/>
  <c r="BV291" i="13"/>
  <c r="BT291" i="13"/>
  <c r="CD290" i="13"/>
  <c r="BU290" i="13"/>
  <c r="AU290" i="13"/>
  <c r="AT290" i="13"/>
  <c r="BO289" i="13"/>
  <c r="BM289" i="13"/>
  <c r="BL289" i="13"/>
  <c r="BY289" i="13"/>
  <c r="BZ289" i="13"/>
  <c r="BU289" i="13"/>
  <c r="BT289" i="13"/>
  <c r="BR289" i="13"/>
  <c r="BP289" i="13"/>
  <c r="BN289" i="13"/>
  <c r="AW289" i="13"/>
  <c r="AV289" i="13"/>
  <c r="CD289" i="13"/>
  <c r="CC289" i="13"/>
  <c r="BX289" i="13"/>
  <c r="BW289" i="13"/>
  <c r="BZ288" i="13"/>
  <c r="BM288" i="13"/>
  <c r="CB288" i="13"/>
  <c r="BT288" i="13"/>
  <c r="BL288" i="13"/>
  <c r="CD287" i="13"/>
  <c r="CB287" i="13"/>
  <c r="BU287" i="13"/>
  <c r="BS287" i="13"/>
  <c r="BR287" i="13"/>
  <c r="CC287" i="13"/>
  <c r="CA287" i="13"/>
  <c r="BZ287" i="13"/>
  <c r="BY287" i="13"/>
  <c r="BV287" i="13"/>
  <c r="BQ287" i="13"/>
  <c r="BL286" i="13"/>
  <c r="BH286" i="13"/>
  <c r="BG286" i="13"/>
  <c r="BS286" i="13"/>
  <c r="BC286" i="13"/>
  <c r="BB286" i="13"/>
  <c r="AZ286" i="13"/>
  <c r="AY286" i="13"/>
  <c r="AU286" i="13"/>
  <c r="BF285" i="13"/>
  <c r="BA285" i="13"/>
  <c r="AZ285" i="13"/>
  <c r="BI285" i="13"/>
  <c r="BH285" i="13"/>
  <c r="BC285" i="13"/>
  <c r="AX285" i="13"/>
  <c r="AV285" i="13"/>
  <c r="BR284" i="13"/>
  <c r="BI284" i="13"/>
  <c r="BE284" i="13"/>
  <c r="BA284" i="13"/>
  <c r="BW283" i="13"/>
  <c r="BT283" i="13"/>
  <c r="BS283" i="13"/>
  <c r="BQ283" i="13"/>
  <c r="BI283" i="13"/>
  <c r="BG283" i="13"/>
  <c r="BE283" i="13"/>
  <c r="BC283" i="13"/>
  <c r="BA283" i="13"/>
  <c r="AY283" i="13"/>
  <c r="AW283" i="13"/>
  <c r="BH283" i="13"/>
  <c r="BF283" i="13"/>
  <c r="BD283" i="13"/>
  <c r="BB283" i="13"/>
  <c r="AZ283" i="13"/>
  <c r="AX283" i="13"/>
  <c r="AV283" i="13"/>
  <c r="AV282" i="13"/>
  <c r="AT282" i="13"/>
  <c r="AS282" i="13"/>
  <c r="CA258" i="13"/>
  <c r="BY238" i="13"/>
  <c r="BY230" i="13"/>
  <c r="BV230" i="13"/>
  <c r="BU258" i="13"/>
  <c r="BS250" i="13"/>
  <c r="BS234" i="13"/>
  <c r="BR254" i="13"/>
  <c r="BP250" i="13"/>
  <c r="BP234" i="13"/>
  <c r="BO262" i="13"/>
  <c r="BO234" i="13"/>
  <c r="BN262" i="13"/>
  <c r="BL262" i="13"/>
  <c r="BI261" i="13"/>
  <c r="BH261" i="13"/>
  <c r="BH253" i="13"/>
  <c r="BH249" i="13"/>
  <c r="BH241" i="13"/>
  <c r="BG236" i="13"/>
  <c r="BC236" i="13"/>
  <c r="BC232" i="13"/>
  <c r="BB249" i="13"/>
  <c r="BB241" i="13"/>
  <c r="AY241" i="13"/>
  <c r="AW245" i="13"/>
  <c r="AW236" i="13"/>
  <c r="AV253" i="13"/>
  <c r="AV232" i="13"/>
  <c r="AT257" i="13"/>
  <c r="AS253" i="13"/>
  <c r="AS245" i="13"/>
  <c r="AS236" i="13"/>
  <c r="BZ142" i="13"/>
  <c r="BX142" i="13"/>
  <c r="BT142" i="13"/>
  <c r="BG176" i="13"/>
  <c r="BA184" i="13"/>
  <c r="AV180" i="13"/>
  <c r="BL221" i="13"/>
  <c r="CA221" i="13"/>
  <c r="BT221" i="13"/>
  <c r="BG217" i="13"/>
  <c r="CD262" i="13"/>
  <c r="CD238" i="13"/>
  <c r="CA234" i="13"/>
  <c r="CA230" i="13"/>
  <c r="BY258" i="13"/>
  <c r="BH257" i="13"/>
  <c r="BH245" i="13"/>
  <c r="BH236" i="13"/>
  <c r="BH232" i="13"/>
  <c r="BE261" i="13"/>
  <c r="BC249" i="13"/>
  <c r="CD259" i="13"/>
  <c r="CD249" i="13"/>
  <c r="CC259" i="13"/>
  <c r="CC246" i="13"/>
  <c r="CC238" i="13"/>
  <c r="CC230" i="13"/>
  <c r="CB254" i="13"/>
  <c r="CB231" i="13"/>
  <c r="CA250" i="13"/>
  <c r="CA238" i="13"/>
  <c r="CA233" i="13"/>
  <c r="CA229" i="13"/>
  <c r="BZ258" i="13"/>
  <c r="BZ231" i="13"/>
  <c r="BY250" i="13"/>
  <c r="BY235" i="13"/>
  <c r="BX262" i="13"/>
  <c r="BX235" i="13"/>
  <c r="BW263" i="13"/>
  <c r="BW247" i="13"/>
  <c r="BV246" i="13"/>
  <c r="BV234" i="13"/>
  <c r="BU249" i="13"/>
  <c r="BU234" i="13"/>
  <c r="BU230" i="13"/>
  <c r="BT262" i="13"/>
  <c r="BT238" i="13"/>
  <c r="BT230" i="13"/>
  <c r="BS238" i="13"/>
  <c r="BR263" i="13"/>
  <c r="BR246" i="13"/>
  <c r="BR231" i="13"/>
  <c r="BQ231" i="13"/>
  <c r="BP262" i="13"/>
  <c r="BP239" i="13"/>
  <c r="BP231" i="13"/>
  <c r="BO258" i="13"/>
  <c r="BO246" i="13"/>
  <c r="BN257" i="13"/>
  <c r="BN247" i="13"/>
  <c r="BN238" i="13"/>
  <c r="BM263" i="13"/>
  <c r="BM243" i="13"/>
  <c r="BM230" i="13"/>
  <c r="BI264" i="13"/>
  <c r="BI260" i="13"/>
  <c r="BI242" i="13"/>
  <c r="BI236" i="13"/>
  <c r="BI232" i="13"/>
  <c r="BH264" i="13"/>
  <c r="BH260" i="13"/>
  <c r="BH256" i="13"/>
  <c r="BH252" i="13"/>
  <c r="BH248" i="13"/>
  <c r="BH244" i="13"/>
  <c r="BH239" i="13"/>
  <c r="BH235" i="13"/>
  <c r="BH231" i="13"/>
  <c r="BG254" i="13"/>
  <c r="BG250" i="13"/>
  <c r="BG246" i="13"/>
  <c r="BG241" i="13"/>
  <c r="BG235" i="13"/>
  <c r="BF261" i="13"/>
  <c r="BF257" i="13"/>
  <c r="BF253" i="13"/>
  <c r="BF249" i="13"/>
  <c r="BF245" i="13"/>
  <c r="BF241" i="13"/>
  <c r="BF236" i="13"/>
  <c r="BF232" i="13"/>
  <c r="BE264" i="13"/>
  <c r="BE260" i="13"/>
  <c r="BE232" i="13"/>
  <c r="BD250" i="13"/>
  <c r="BD241" i="13"/>
  <c r="BD236" i="13"/>
  <c r="BD232" i="13"/>
  <c r="BC264" i="13"/>
  <c r="BC253" i="13"/>
  <c r="BC248" i="13"/>
  <c r="BC235" i="13"/>
  <c r="BC231" i="13"/>
  <c r="BB256" i="13"/>
  <c r="BB239" i="13"/>
  <c r="BA264" i="13"/>
  <c r="BA244" i="13"/>
  <c r="BA232" i="13"/>
  <c r="AZ256" i="13"/>
  <c r="AZ235" i="13"/>
  <c r="AY264" i="13"/>
  <c r="AY249" i="13"/>
  <c r="AY239" i="13"/>
  <c r="AX253" i="13"/>
  <c r="AX249" i="13"/>
  <c r="AX245" i="13"/>
  <c r="AX236" i="13"/>
  <c r="AW264" i="13"/>
  <c r="AW252" i="13"/>
  <c r="AV260" i="13"/>
  <c r="AV252" i="13"/>
  <c r="AV244" i="13"/>
  <c r="AV236" i="13"/>
  <c r="AV231" i="13"/>
  <c r="AU260" i="13"/>
  <c r="AU245" i="13"/>
  <c r="AU232" i="13"/>
  <c r="AT261" i="13"/>
  <c r="AT231" i="13"/>
  <c r="AS261" i="13"/>
  <c r="AR252" i="13"/>
  <c r="AR244" i="13"/>
  <c r="AQ264" i="13"/>
  <c r="AQ253" i="13"/>
  <c r="AQ236" i="13"/>
  <c r="BQ148" i="13"/>
  <c r="CB142" i="13"/>
  <c r="CA142" i="13"/>
  <c r="BR142" i="13"/>
  <c r="BE141" i="13"/>
  <c r="BH180" i="13"/>
  <c r="BA180" i="13"/>
  <c r="AY176" i="13"/>
  <c r="CB213" i="13"/>
  <c r="BS213" i="13"/>
  <c r="BN208" i="13"/>
  <c r="BO208" i="13"/>
  <c r="BM220" i="13"/>
  <c r="BW220" i="13"/>
  <c r="BQ220" i="13"/>
  <c r="BU216" i="13"/>
  <c r="BM216" i="13"/>
  <c r="BS216" i="13"/>
  <c r="BM210" i="13"/>
  <c r="BO210" i="13"/>
  <c r="BX210" i="13"/>
  <c r="BP210" i="13"/>
  <c r="CA210" i="13"/>
  <c r="BS210" i="13"/>
  <c r="CC333" i="13"/>
  <c r="CC329" i="13"/>
  <c r="CC325" i="13"/>
  <c r="BT329" i="13"/>
  <c r="CD250" i="13"/>
  <c r="CC250" i="13"/>
  <c r="CB234" i="13"/>
  <c r="BZ238" i="13"/>
  <c r="BX230" i="13"/>
  <c r="BW250" i="13"/>
  <c r="BW238" i="13"/>
  <c r="BR234" i="13"/>
  <c r="BQ258" i="13"/>
  <c r="BQ238" i="13"/>
  <c r="BN234" i="13"/>
  <c r="BM250" i="13"/>
  <c r="BL238" i="13"/>
  <c r="CD254" i="13"/>
  <c r="CC258" i="13"/>
  <c r="CB262" i="13"/>
  <c r="CB246" i="13"/>
  <c r="CB230" i="13"/>
  <c r="CA246" i="13"/>
  <c r="BZ246" i="13"/>
  <c r="BZ230" i="13"/>
  <c r="BY234" i="13"/>
  <c r="BX257" i="13"/>
  <c r="BX234" i="13"/>
  <c r="BW258" i="13"/>
  <c r="BW246" i="13"/>
  <c r="BV262" i="13"/>
  <c r="BV238" i="13"/>
  <c r="BU262" i="13"/>
  <c r="BU238" i="13"/>
  <c r="BU233" i="13"/>
  <c r="BU229" i="13"/>
  <c r="BT261" i="13"/>
  <c r="BT246" i="13"/>
  <c r="BS262" i="13"/>
  <c r="BR262" i="13"/>
  <c r="BR230" i="13"/>
  <c r="BQ230" i="13"/>
  <c r="BP258" i="13"/>
  <c r="BP238" i="13"/>
  <c r="BP230" i="13"/>
  <c r="BO257" i="13"/>
  <c r="BN246" i="13"/>
  <c r="BM262" i="13"/>
  <c r="BI241" i="13"/>
  <c r="BI235" i="13"/>
  <c r="BI231" i="13"/>
  <c r="BG253" i="13"/>
  <c r="BG249" i="13"/>
  <c r="BG245" i="13"/>
  <c r="BG239" i="13"/>
  <c r="BF256" i="13"/>
  <c r="BF252" i="13"/>
  <c r="BF248" i="13"/>
  <c r="BF244" i="13"/>
  <c r="BF239" i="13"/>
  <c r="BF235" i="13"/>
  <c r="BF231" i="13"/>
  <c r="BE236" i="13"/>
  <c r="BE231" i="13"/>
  <c r="BD253" i="13"/>
  <c r="BD245" i="13"/>
  <c r="BD239" i="13"/>
  <c r="BD235" i="13"/>
  <c r="BC257" i="13"/>
  <c r="BC252" i="13"/>
  <c r="BB261" i="13"/>
  <c r="BB253" i="13"/>
  <c r="BB232" i="13"/>
  <c r="BA256" i="13"/>
  <c r="BA248" i="13"/>
  <c r="AZ261" i="13"/>
  <c r="AZ248" i="13"/>
  <c r="AZ239" i="13"/>
  <c r="AX252" i="13"/>
  <c r="AX248" i="13"/>
  <c r="AV235" i="13"/>
  <c r="AT245" i="13"/>
  <c r="CC148" i="13"/>
  <c r="BY142" i="13"/>
  <c r="BU142" i="13"/>
  <c r="BS142" i="13"/>
  <c r="BN142" i="13"/>
  <c r="BG207" i="13"/>
  <c r="AT207" i="13"/>
  <c r="AR221" i="13"/>
  <c r="AV221" i="13"/>
  <c r="AX221" i="13"/>
  <c r="BB221" i="13"/>
  <c r="BF221" i="13"/>
  <c r="BG221" i="13"/>
  <c r="BH221" i="13"/>
  <c r="BI221" i="13"/>
  <c r="AT221" i="13"/>
  <c r="BD221" i="13"/>
  <c r="AR217" i="13"/>
  <c r="AQ217" i="13"/>
  <c r="AT217" i="13"/>
  <c r="AZ217" i="13"/>
  <c r="BD217" i="13"/>
  <c r="BB217" i="13"/>
  <c r="AS217" i="13"/>
  <c r="BA217" i="13"/>
  <c r="AR335" i="13"/>
  <c r="AS335" i="13"/>
  <c r="AY335" i="13"/>
  <c r="BC335" i="13"/>
  <c r="BG335" i="13"/>
  <c r="AX335" i="13"/>
  <c r="BB335" i="13"/>
  <c r="BF335" i="13"/>
  <c r="AT335" i="13"/>
  <c r="BA335" i="13"/>
  <c r="BE335" i="13"/>
  <c r="BI335" i="13"/>
  <c r="AR331" i="13"/>
  <c r="AW331" i="13"/>
  <c r="AY331" i="13"/>
  <c r="BC331" i="13"/>
  <c r="BG331" i="13"/>
  <c r="AS331" i="13"/>
  <c r="AX331" i="13"/>
  <c r="BB331" i="13"/>
  <c r="BF331" i="13"/>
  <c r="AT331" i="13"/>
  <c r="BA331" i="13"/>
  <c r="BE331" i="13"/>
  <c r="BI331" i="13"/>
  <c r="AR327" i="13"/>
  <c r="AY327" i="13"/>
  <c r="BC327" i="13"/>
  <c r="BG327" i="13"/>
  <c r="AW327" i="13"/>
  <c r="AX327" i="13"/>
  <c r="BB327" i="13"/>
  <c r="BF327" i="13"/>
  <c r="AS327" i="13"/>
  <c r="AT327" i="13"/>
  <c r="BA327" i="13"/>
  <c r="BE327" i="13"/>
  <c r="BI327" i="13"/>
  <c r="AR323" i="13"/>
  <c r="AY323" i="13"/>
  <c r="BC323" i="13"/>
  <c r="BG323" i="13"/>
  <c r="AX323" i="13"/>
  <c r="BB323" i="13"/>
  <c r="BF323" i="13"/>
  <c r="AT323" i="13"/>
  <c r="AW323" i="13"/>
  <c r="BA323" i="13"/>
  <c r="BE323" i="13"/>
  <c r="BI323" i="13"/>
  <c r="AR319" i="13"/>
  <c r="AS319" i="13"/>
  <c r="AY319" i="13"/>
  <c r="BC319" i="13"/>
  <c r="BG319" i="13"/>
  <c r="AX319" i="13"/>
  <c r="BB319" i="13"/>
  <c r="BF319" i="13"/>
  <c r="AT319" i="13"/>
  <c r="BA319" i="13"/>
  <c r="BE319" i="13"/>
  <c r="BI319" i="13"/>
  <c r="AQ184" i="13"/>
  <c r="AR184" i="13"/>
  <c r="AQ212" i="13"/>
  <c r="AR210" i="13"/>
  <c r="AQ210" i="13"/>
  <c r="BC210" i="13"/>
  <c r="AW210" i="13"/>
  <c r="BG210" i="13"/>
  <c r="AX210" i="13"/>
  <c r="BI210" i="13"/>
  <c r="BO436" i="13"/>
  <c r="BP436" i="13"/>
  <c r="BU436" i="13"/>
  <c r="BW436" i="13"/>
  <c r="BZ436" i="13"/>
  <c r="CB436" i="13"/>
  <c r="BL436" i="13"/>
  <c r="BN436" i="13"/>
  <c r="BR436" i="13"/>
  <c r="BT436" i="13"/>
  <c r="BY436" i="13"/>
  <c r="BM436" i="13"/>
  <c r="BV436" i="13"/>
  <c r="BX436" i="13"/>
  <c r="CA436" i="13"/>
  <c r="CD436" i="13"/>
  <c r="BM333" i="13"/>
  <c r="BO333" i="13"/>
  <c r="BS333" i="13"/>
  <c r="BU333" i="13"/>
  <c r="BZ333" i="13"/>
  <c r="BP333" i="13"/>
  <c r="BW333" i="13"/>
  <c r="BY333" i="13"/>
  <c r="CB333" i="13"/>
  <c r="BR333" i="13"/>
  <c r="BT333" i="13"/>
  <c r="CD333" i="13"/>
  <c r="BO329" i="13"/>
  <c r="BU329" i="13"/>
  <c r="BV329" i="13"/>
  <c r="BX329" i="13"/>
  <c r="BZ329" i="13"/>
  <c r="CA329" i="13"/>
  <c r="BL329" i="13"/>
  <c r="BN329" i="13"/>
  <c r="BS329" i="13"/>
  <c r="BY329" i="13"/>
  <c r="BM329" i="13"/>
  <c r="BP329" i="13"/>
  <c r="BW329" i="13"/>
  <c r="CB329" i="13"/>
  <c r="CD329" i="13"/>
  <c r="BM325" i="13"/>
  <c r="BO325" i="13"/>
  <c r="BR325" i="13"/>
  <c r="BT325" i="13"/>
  <c r="BU325" i="13"/>
  <c r="BZ325" i="13"/>
  <c r="BV325" i="13"/>
  <c r="BX325" i="13"/>
  <c r="BY325" i="13"/>
  <c r="CA325" i="13"/>
  <c r="BL325" i="13"/>
  <c r="BN325" i="13"/>
  <c r="BS325" i="13"/>
  <c r="CD325" i="13"/>
  <c r="BL321" i="13"/>
  <c r="BO321" i="13"/>
  <c r="BU321" i="13"/>
  <c r="BW321" i="13"/>
  <c r="BZ321" i="13"/>
  <c r="CB321" i="13"/>
  <c r="BP321" i="13"/>
  <c r="BR321" i="13"/>
  <c r="BT321" i="13"/>
  <c r="BY321" i="13"/>
  <c r="BM321" i="13"/>
  <c r="BV321" i="13"/>
  <c r="BX321" i="13"/>
  <c r="CA321" i="13"/>
  <c r="CD321" i="13"/>
  <c r="BN317" i="13"/>
  <c r="BP317" i="13"/>
  <c r="BR317" i="13"/>
  <c r="BT317" i="13"/>
  <c r="BV317" i="13"/>
  <c r="BX317" i="13"/>
  <c r="BZ317" i="13"/>
  <c r="CB317" i="13"/>
  <c r="BN313" i="13"/>
  <c r="BP313" i="13"/>
  <c r="BR313" i="13"/>
  <c r="BT313" i="13"/>
  <c r="BV313" i="13"/>
  <c r="BX313" i="13"/>
  <c r="BZ313" i="13"/>
  <c r="CB313" i="13"/>
  <c r="BL309" i="13"/>
  <c r="BN309" i="13"/>
  <c r="BP309" i="13"/>
  <c r="BR309" i="13"/>
  <c r="BT309" i="13"/>
  <c r="BV309" i="13"/>
  <c r="BX309" i="13"/>
  <c r="BZ309" i="13"/>
  <c r="CB309" i="13"/>
  <c r="BN306" i="13"/>
  <c r="BP306" i="13"/>
  <c r="BR306" i="13"/>
  <c r="BT306" i="13"/>
  <c r="BV306" i="13"/>
  <c r="BX306" i="13"/>
  <c r="BZ306" i="13"/>
  <c r="CB306" i="13"/>
  <c r="BN302" i="13"/>
  <c r="BP302" i="13"/>
  <c r="BR302" i="13"/>
  <c r="BT302" i="13"/>
  <c r="BV302" i="13"/>
  <c r="BX302" i="13"/>
  <c r="BZ302" i="13"/>
  <c r="CB302" i="13"/>
  <c r="BP298" i="13"/>
  <c r="BR298" i="13"/>
  <c r="BT298" i="13"/>
  <c r="BV298" i="13"/>
  <c r="BX298" i="13"/>
  <c r="BZ298" i="13"/>
  <c r="CB298" i="13"/>
  <c r="BL294" i="13"/>
  <c r="BP294" i="13"/>
  <c r="BR294" i="13"/>
  <c r="BT294" i="13"/>
  <c r="BV294" i="13"/>
  <c r="BX294" i="13"/>
  <c r="BZ294" i="13"/>
  <c r="CB294" i="13"/>
  <c r="BP290" i="13"/>
  <c r="BR290" i="13"/>
  <c r="BT290" i="13"/>
  <c r="BV290" i="13"/>
  <c r="BX290" i="13"/>
  <c r="BZ290" i="13"/>
  <c r="CB290" i="13"/>
  <c r="BN286" i="13"/>
  <c r="BP286" i="13"/>
  <c r="BR286" i="13"/>
  <c r="BT286" i="13"/>
  <c r="BV286" i="13"/>
  <c r="BX286" i="13"/>
  <c r="BZ286" i="13"/>
  <c r="CB286" i="13"/>
  <c r="CD286" i="13"/>
  <c r="BP282" i="13"/>
  <c r="BR282" i="13"/>
  <c r="BT282" i="13"/>
  <c r="BV282" i="13"/>
  <c r="BX282" i="13"/>
  <c r="BZ282" i="13"/>
  <c r="CB282" i="13"/>
  <c r="CD282" i="13"/>
  <c r="BB213" i="13"/>
  <c r="BI215" i="13"/>
  <c r="BH215" i="13"/>
  <c r="BG215" i="13"/>
  <c r="BC218" i="13"/>
  <c r="BB218" i="13"/>
  <c r="AY215" i="13"/>
  <c r="AW215" i="13"/>
  <c r="CB334" i="13"/>
  <c r="CB323" i="13"/>
  <c r="CA326" i="13"/>
  <c r="BZ335" i="13"/>
  <c r="BZ331" i="13"/>
  <c r="BZ327" i="13"/>
  <c r="BZ323" i="13"/>
  <c r="BZ319" i="13"/>
  <c r="BY334" i="13"/>
  <c r="BY330" i="13"/>
  <c r="BY326" i="13"/>
  <c r="BY322" i="13"/>
  <c r="BX331" i="13"/>
  <c r="BX326" i="13"/>
  <c r="BW334" i="13"/>
  <c r="BV331" i="13"/>
  <c r="BV326" i="13"/>
  <c r="BU335" i="13"/>
  <c r="BU331" i="13"/>
  <c r="BU327" i="13"/>
  <c r="BU323" i="13"/>
  <c r="BU319" i="13"/>
  <c r="BT327" i="13"/>
  <c r="BT322" i="13"/>
  <c r="BS330" i="13"/>
  <c r="BR327" i="13"/>
  <c r="BR322" i="13"/>
  <c r="BP334" i="13"/>
  <c r="BP322" i="13"/>
  <c r="BN330" i="13"/>
  <c r="BL330" i="13"/>
  <c r="BG436" i="13"/>
  <c r="BG333" i="13"/>
  <c r="BG329" i="13"/>
  <c r="BG325" i="13"/>
  <c r="BG321" i="13"/>
  <c r="BF435" i="13"/>
  <c r="BF332" i="13"/>
  <c r="BF328" i="13"/>
  <c r="BF324" i="13"/>
  <c r="BF320" i="13"/>
  <c r="BC436" i="13"/>
  <c r="BC333" i="13"/>
  <c r="BC329" i="13"/>
  <c r="BC325" i="13"/>
  <c r="BC321" i="13"/>
  <c r="BB435" i="13"/>
  <c r="BB332" i="13"/>
  <c r="BB328" i="13"/>
  <c r="BB324" i="13"/>
  <c r="BB320" i="13"/>
  <c r="AY436" i="13"/>
  <c r="AY333" i="13"/>
  <c r="AY329" i="13"/>
  <c r="AY321" i="13"/>
  <c r="AX435" i="13"/>
  <c r="AX332" i="13"/>
  <c r="AX328" i="13"/>
  <c r="AX324" i="13"/>
  <c r="AX320" i="13"/>
  <c r="AW329" i="13"/>
  <c r="AV436" i="13"/>
  <c r="AV329" i="13"/>
  <c r="AV321" i="13"/>
  <c r="CD315" i="13"/>
  <c r="CD311" i="13"/>
  <c r="CD307" i="13"/>
  <c r="CD304" i="13"/>
  <c r="CD300" i="13"/>
  <c r="CD296" i="13"/>
  <c r="CD292" i="13"/>
  <c r="CD288" i="13"/>
  <c r="CD283" i="13"/>
  <c r="CC314" i="13"/>
  <c r="CC309" i="13"/>
  <c r="CC299" i="13"/>
  <c r="CC294" i="13"/>
  <c r="CC283" i="13"/>
  <c r="CB315" i="13"/>
  <c r="CB310" i="13"/>
  <c r="CB300" i="13"/>
  <c r="CB295" i="13"/>
  <c r="CB284" i="13"/>
  <c r="CA310" i="13"/>
  <c r="CA306" i="13"/>
  <c r="CA295" i="13"/>
  <c r="CA290" i="13"/>
  <c r="BZ311" i="13"/>
  <c r="BZ296" i="13"/>
  <c r="BZ291" i="13"/>
  <c r="BY317" i="13"/>
  <c r="BY302" i="13"/>
  <c r="BY291" i="13"/>
  <c r="BY286" i="13"/>
  <c r="BX318" i="13"/>
  <c r="BX307" i="13"/>
  <c r="BX303" i="13"/>
  <c r="BX292" i="13"/>
  <c r="BX287" i="13"/>
  <c r="BW318" i="13"/>
  <c r="BW313" i="13"/>
  <c r="BW303" i="13"/>
  <c r="BW298" i="13"/>
  <c r="BW287" i="13"/>
  <c r="BW282" i="13"/>
  <c r="BV314" i="13"/>
  <c r="BV304" i="13"/>
  <c r="BV299" i="13"/>
  <c r="BV283" i="13"/>
  <c r="BU314" i="13"/>
  <c r="BU309" i="13"/>
  <c r="BU294" i="13"/>
  <c r="BT310" i="13"/>
  <c r="BT295" i="13"/>
  <c r="BS310" i="13"/>
  <c r="BS306" i="13"/>
  <c r="BS295" i="13"/>
  <c r="BS290" i="13"/>
  <c r="BR311" i="13"/>
  <c r="BR296" i="13"/>
  <c r="BR291" i="13"/>
  <c r="BQ317" i="13"/>
  <c r="BQ302" i="13"/>
  <c r="BQ291" i="13"/>
  <c r="BQ286" i="13"/>
  <c r="BP318" i="13"/>
  <c r="BP303" i="13"/>
  <c r="BP287" i="13"/>
  <c r="BO318" i="13"/>
  <c r="BO313" i="13"/>
  <c r="BO303" i="13"/>
  <c r="BO298" i="13"/>
  <c r="BO282" i="13"/>
  <c r="BN304" i="13"/>
  <c r="BN298" i="13"/>
  <c r="BM306" i="13"/>
  <c r="BM290" i="13"/>
  <c r="BL290" i="13"/>
  <c r="CB322" i="13"/>
  <c r="CA330" i="13"/>
  <c r="BZ334" i="13"/>
  <c r="BZ330" i="13"/>
  <c r="BZ326" i="13"/>
  <c r="BZ322" i="13"/>
  <c r="BX330" i="13"/>
  <c r="BW322" i="13"/>
  <c r="BV330" i="13"/>
  <c r="BU334" i="13"/>
  <c r="BU330" i="13"/>
  <c r="BU326" i="13"/>
  <c r="BU322" i="13"/>
  <c r="BT326" i="13"/>
  <c r="BS334" i="13"/>
  <c r="BR326" i="13"/>
  <c r="BO334" i="13"/>
  <c r="BO326" i="13"/>
  <c r="BO322" i="13"/>
  <c r="BC435" i="13"/>
  <c r="BC332" i="13"/>
  <c r="BC328" i="13"/>
  <c r="BC324" i="13"/>
  <c r="BC320" i="13"/>
  <c r="AY435" i="13"/>
  <c r="AY332" i="13"/>
  <c r="AY328" i="13"/>
  <c r="AY324" i="13"/>
  <c r="AY320" i="13"/>
  <c r="CC313" i="13"/>
  <c r="CC298" i="13"/>
  <c r="CC282" i="13"/>
  <c r="CA309" i="13"/>
  <c r="CA294" i="13"/>
  <c r="BY306" i="13"/>
  <c r="BY290" i="13"/>
  <c r="BW317" i="13"/>
  <c r="BW302" i="13"/>
  <c r="BW286" i="13"/>
  <c r="BU313" i="13"/>
  <c r="BU298" i="13"/>
  <c r="BU282" i="13"/>
  <c r="BS309" i="13"/>
  <c r="BS294" i="13"/>
  <c r="BR295" i="13"/>
  <c r="BQ306" i="13"/>
  <c r="BQ290" i="13"/>
  <c r="BP291" i="13"/>
  <c r="BO317" i="13"/>
  <c r="BO302" i="13"/>
  <c r="BO286" i="13"/>
  <c r="BN290" i="13"/>
  <c r="BM309" i="13"/>
  <c r="BM294" i="13"/>
  <c r="BL313" i="13"/>
  <c r="BL302" i="13"/>
  <c r="BL282" i="13"/>
  <c r="BL315" i="13"/>
  <c r="BO315" i="13"/>
  <c r="BQ315" i="13"/>
  <c r="BS315" i="13"/>
  <c r="BU315" i="13"/>
  <c r="BW315" i="13"/>
  <c r="BY315" i="13"/>
  <c r="CA315" i="13"/>
  <c r="CC315" i="13"/>
  <c r="BO311" i="13"/>
  <c r="BQ311" i="13"/>
  <c r="BS311" i="13"/>
  <c r="BU311" i="13"/>
  <c r="BW311" i="13"/>
  <c r="BY311" i="13"/>
  <c r="CA311" i="13"/>
  <c r="CC311" i="13"/>
  <c r="BO307" i="13"/>
  <c r="BQ307" i="13"/>
  <c r="BS307" i="13"/>
  <c r="BU307" i="13"/>
  <c r="BW307" i="13"/>
  <c r="BY307" i="13"/>
  <c r="CA307" i="13"/>
  <c r="CC307" i="13"/>
  <c r="BO304" i="13"/>
  <c r="BQ304" i="13"/>
  <c r="BS304" i="13"/>
  <c r="BU304" i="13"/>
  <c r="BW304" i="13"/>
  <c r="BY304" i="13"/>
  <c r="CA304" i="13"/>
  <c r="CC304" i="13"/>
  <c r="BL300" i="13"/>
  <c r="BO300" i="13"/>
  <c r="BQ300" i="13"/>
  <c r="BS300" i="13"/>
  <c r="BU300" i="13"/>
  <c r="BW300" i="13"/>
  <c r="BY300" i="13"/>
  <c r="CA300" i="13"/>
  <c r="CC300" i="13"/>
  <c r="BO296" i="13"/>
  <c r="BQ296" i="13"/>
  <c r="BS296" i="13"/>
  <c r="BU296" i="13"/>
  <c r="BW296" i="13"/>
  <c r="BY296" i="13"/>
  <c r="CA296" i="13"/>
  <c r="CC296" i="13"/>
  <c r="BN292" i="13"/>
  <c r="BO292" i="13"/>
  <c r="BQ292" i="13"/>
  <c r="BS292" i="13"/>
  <c r="BU292" i="13"/>
  <c r="BW292" i="13"/>
  <c r="BY292" i="13"/>
  <c r="CA292" i="13"/>
  <c r="CC292" i="13"/>
  <c r="BO288" i="13"/>
  <c r="BQ288" i="13"/>
  <c r="BS288" i="13"/>
  <c r="BU288" i="13"/>
  <c r="BW288" i="13"/>
  <c r="BY288" i="13"/>
  <c r="CA288" i="13"/>
  <c r="CC288" i="13"/>
  <c r="BL284" i="13"/>
  <c r="BO284" i="13"/>
  <c r="BQ284" i="13"/>
  <c r="BS284" i="13"/>
  <c r="BU284" i="13"/>
  <c r="BW284" i="13"/>
  <c r="BY284" i="13"/>
  <c r="CA284" i="13"/>
  <c r="CC284" i="13"/>
  <c r="CA282" i="13"/>
  <c r="BY309" i="13"/>
  <c r="BY294" i="13"/>
  <c r="BW306" i="13"/>
  <c r="BW290" i="13"/>
  <c r="BU317" i="13"/>
  <c r="BU302" i="13"/>
  <c r="BU286" i="13"/>
  <c r="BS313" i="13"/>
  <c r="BS298" i="13"/>
  <c r="BS282" i="13"/>
  <c r="BQ309" i="13"/>
  <c r="BQ294" i="13"/>
  <c r="BO306" i="13"/>
  <c r="BO290" i="13"/>
  <c r="BN282" i="13"/>
  <c r="BM313" i="13"/>
  <c r="BM298" i="13"/>
  <c r="BM282" i="13"/>
  <c r="BL306" i="13"/>
  <c r="BL318" i="13"/>
  <c r="BM318" i="13"/>
  <c r="BL314" i="13"/>
  <c r="BM314" i="13"/>
  <c r="BL310" i="13"/>
  <c r="BM310" i="13"/>
  <c r="BL303" i="13"/>
  <c r="BM303" i="13"/>
  <c r="BL299" i="13"/>
  <c r="BN299" i="13"/>
  <c r="BM299" i="13"/>
  <c r="BL295" i="13"/>
  <c r="BN295" i="13"/>
  <c r="BM295" i="13"/>
  <c r="BL291" i="13"/>
  <c r="BN291" i="13"/>
  <c r="BM291" i="13"/>
  <c r="BL287" i="13"/>
  <c r="BN287" i="13"/>
  <c r="BM287" i="13"/>
  <c r="BL283" i="13"/>
  <c r="BN283" i="13"/>
  <c r="BM283" i="13"/>
  <c r="AS318" i="13"/>
  <c r="AS314" i="13"/>
  <c r="AS310" i="13"/>
  <c r="AS303" i="13"/>
  <c r="AS299" i="13"/>
  <c r="AS295" i="13"/>
  <c r="AS291" i="13"/>
  <c r="AS287" i="13"/>
  <c r="AS283" i="13"/>
  <c r="CC233" i="13"/>
  <c r="BY257" i="13"/>
  <c r="BX261" i="13"/>
  <c r="BW241" i="13"/>
  <c r="BV257" i="13"/>
  <c r="BS261" i="13"/>
  <c r="BP257" i="13"/>
  <c r="BM257" i="13"/>
  <c r="AQ262" i="13"/>
  <c r="AY262" i="13"/>
  <c r="BA262" i="13"/>
  <c r="BB262" i="13"/>
  <c r="AQ258" i="13"/>
  <c r="BA258" i="13"/>
  <c r="AS254" i="13"/>
  <c r="AV254" i="13"/>
  <c r="AQ254" i="13"/>
  <c r="AR254" i="13"/>
  <c r="AS250" i="13"/>
  <c r="AV250" i="13"/>
  <c r="AQ250" i="13"/>
  <c r="AY250" i="13"/>
  <c r="AS246" i="13"/>
  <c r="AT246" i="13"/>
  <c r="AV246" i="13"/>
  <c r="AW246" i="13"/>
  <c r="AQ246" i="13"/>
  <c r="AV242" i="13"/>
  <c r="AX242" i="13"/>
  <c r="AY242" i="13"/>
  <c r="AW242" i="13"/>
  <c r="AS237" i="13"/>
  <c r="AV237" i="13"/>
  <c r="AX237" i="13"/>
  <c r="AV233" i="13"/>
  <c r="AX233" i="13"/>
  <c r="AZ233" i="13"/>
  <c r="AS233" i="13"/>
  <c r="AU233" i="13"/>
  <c r="AV229" i="13"/>
  <c r="AX229" i="13"/>
  <c r="AZ229" i="13"/>
  <c r="AT229" i="13"/>
  <c r="AW229" i="13"/>
  <c r="CD253" i="13"/>
  <c r="CC229" i="13"/>
  <c r="CB241" i="13"/>
  <c r="CB229" i="13"/>
  <c r="CA241" i="13"/>
  <c r="BZ245" i="13"/>
  <c r="BY261" i="13"/>
  <c r="CD240" i="13"/>
  <c r="CC249" i="13"/>
  <c r="CC236" i="13"/>
  <c r="CB264" i="13"/>
  <c r="CB257" i="13"/>
  <c r="CB236" i="13"/>
  <c r="CB232" i="13"/>
  <c r="CA264" i="13"/>
  <c r="CA260" i="13"/>
  <c r="BZ257" i="13"/>
  <c r="BY260" i="13"/>
  <c r="BY256" i="13"/>
  <c r="BY233" i="13"/>
  <c r="BY229" i="13"/>
  <c r="BX260" i="13"/>
  <c r="BX252" i="13"/>
  <c r="BX240" i="13"/>
  <c r="BX233" i="13"/>
  <c r="BX229" i="13"/>
  <c r="BW257" i="13"/>
  <c r="BW240" i="13"/>
  <c r="BV253" i="13"/>
  <c r="BV240" i="13"/>
  <c r="BU261" i="13"/>
  <c r="BU257" i="13"/>
  <c r="BU244" i="13"/>
  <c r="BT256" i="13"/>
  <c r="BT237" i="13"/>
  <c r="BT233" i="13"/>
  <c r="BT229" i="13"/>
  <c r="BS260" i="13"/>
  <c r="BS244" i="13"/>
  <c r="BR237" i="13"/>
  <c r="BR233" i="13"/>
  <c r="BR229" i="13"/>
  <c r="BP256" i="13"/>
  <c r="BP249" i="13"/>
  <c r="BP237" i="13"/>
  <c r="BP233" i="13"/>
  <c r="BP229" i="13"/>
  <c r="BO260" i="13"/>
  <c r="BO249" i="13"/>
  <c r="BO233" i="13"/>
  <c r="BO229" i="13"/>
  <c r="BN261" i="13"/>
  <c r="BB250" i="13"/>
  <c r="BA250" i="13"/>
  <c r="AZ242" i="13"/>
  <c r="AY258" i="13"/>
  <c r="AY233" i="13"/>
  <c r="AW258" i="13"/>
  <c r="AW250" i="13"/>
  <c r="AW233" i="13"/>
  <c r="AV258" i="13"/>
  <c r="AU254" i="13"/>
  <c r="AT250" i="13"/>
  <c r="AS229" i="13"/>
  <c r="AR237" i="13"/>
  <c r="AQ229" i="13"/>
  <c r="AU261" i="13"/>
  <c r="AW261" i="13"/>
  <c r="AY261" i="13"/>
  <c r="AV261" i="13"/>
  <c r="AX261" i="13"/>
  <c r="AX257" i="13"/>
  <c r="AU257" i="13"/>
  <c r="AV257" i="13"/>
  <c r="BB257" i="13"/>
  <c r="AR253" i="13"/>
  <c r="AU253" i="13"/>
  <c r="AW253" i="13"/>
  <c r="AZ253" i="13"/>
  <c r="BA253" i="13"/>
  <c r="AT249" i="13"/>
  <c r="AR249" i="13"/>
  <c r="AZ249" i="13"/>
  <c r="BA249" i="13"/>
  <c r="AR245" i="13"/>
  <c r="AV245" i="13"/>
  <c r="AY245" i="13"/>
  <c r="AZ245" i="13"/>
  <c r="BA245" i="13"/>
  <c r="AR241" i="13"/>
  <c r="AQ241" i="13"/>
  <c r="AS241" i="13"/>
  <c r="AT241" i="13"/>
  <c r="AU241" i="13"/>
  <c r="AW241" i="13"/>
  <c r="AX241" i="13"/>
  <c r="AZ241" i="13"/>
  <c r="BA241" i="13"/>
  <c r="AT236" i="13"/>
  <c r="AY236" i="13"/>
  <c r="AR236" i="13"/>
  <c r="AZ236" i="13"/>
  <c r="AT232" i="13"/>
  <c r="AY232" i="13"/>
  <c r="AQ232" i="13"/>
  <c r="CD261" i="13"/>
  <c r="CB233" i="13"/>
  <c r="CA261" i="13"/>
  <c r="CA257" i="13"/>
  <c r="BX245" i="13"/>
  <c r="BU245" i="13"/>
  <c r="BT257" i="13"/>
  <c r="BR257" i="13"/>
  <c r="BQ261" i="13"/>
  <c r="CC232" i="13"/>
  <c r="CA240" i="13"/>
  <c r="CD264" i="13"/>
  <c r="CD257" i="13"/>
  <c r="CC257" i="13"/>
  <c r="CC248" i="13"/>
  <c r="CC240" i="13"/>
  <c r="CA263" i="13"/>
  <c r="CA259" i="13"/>
  <c r="BZ261" i="13"/>
  <c r="BZ251" i="13"/>
  <c r="BZ233" i="13"/>
  <c r="BZ229" i="13"/>
  <c r="BY259" i="13"/>
  <c r="BY236" i="13"/>
  <c r="BY232" i="13"/>
  <c r="BX263" i="13"/>
  <c r="BX259" i="13"/>
  <c r="BX251" i="13"/>
  <c r="BX236" i="13"/>
  <c r="BX232" i="13"/>
  <c r="BW264" i="13"/>
  <c r="BW256" i="13"/>
  <c r="BW239" i="13"/>
  <c r="BV260" i="13"/>
  <c r="BV249" i="13"/>
  <c r="BV233" i="13"/>
  <c r="BV229" i="13"/>
  <c r="BU260" i="13"/>
  <c r="BU252" i="13"/>
  <c r="BU240" i="13"/>
  <c r="BT236" i="13"/>
  <c r="BT232" i="13"/>
  <c r="BS264" i="13"/>
  <c r="BS257" i="13"/>
  <c r="BS233" i="13"/>
  <c r="BS229" i="13"/>
  <c r="BR261" i="13"/>
  <c r="BR249" i="13"/>
  <c r="BR236" i="13"/>
  <c r="BR232" i="13"/>
  <c r="BQ264" i="13"/>
  <c r="BQ257" i="13"/>
  <c r="BQ233" i="13"/>
  <c r="BQ229" i="13"/>
  <c r="BP260" i="13"/>
  <c r="BP255" i="13"/>
  <c r="BP245" i="13"/>
  <c r="BP236" i="13"/>
  <c r="BP232" i="13"/>
  <c r="BO264" i="13"/>
  <c r="BO248" i="13"/>
  <c r="BN264" i="13"/>
  <c r="BN259" i="13"/>
  <c r="BN249" i="13"/>
  <c r="BN245" i="13"/>
  <c r="BN237" i="13"/>
  <c r="BN233" i="13"/>
  <c r="BN229" i="13"/>
  <c r="BM261" i="13"/>
  <c r="BM249" i="13"/>
  <c r="BM245" i="13"/>
  <c r="BL261" i="13"/>
  <c r="BG233" i="13"/>
  <c r="BG229" i="13"/>
  <c r="BE233" i="13"/>
  <c r="BE229" i="13"/>
  <c r="BC262" i="13"/>
  <c r="BC258" i="13"/>
  <c r="BC254" i="13"/>
  <c r="BC250" i="13"/>
  <c r="BC246" i="13"/>
  <c r="BB254" i="13"/>
  <c r="BB242" i="13"/>
  <c r="BB237" i="13"/>
  <c r="BB233" i="13"/>
  <c r="BB229" i="13"/>
  <c r="BA254" i="13"/>
  <c r="AZ262" i="13"/>
  <c r="AZ258" i="13"/>
  <c r="AZ246" i="13"/>
  <c r="AX262" i="13"/>
  <c r="AX232" i="13"/>
  <c r="AW254" i="13"/>
  <c r="AW232" i="13"/>
  <c r="AV262" i="13"/>
  <c r="AV249" i="13"/>
  <c r="AU246" i="13"/>
  <c r="AU236" i="13"/>
  <c r="AU229" i="13"/>
  <c r="AT254" i="13"/>
  <c r="AT242" i="13"/>
  <c r="AS258" i="13"/>
  <c r="AS249" i="13"/>
  <c r="AR258" i="13"/>
  <c r="AR250" i="13"/>
  <c r="AR229" i="13"/>
  <c r="AQ249" i="13"/>
  <c r="AQ242" i="13"/>
  <c r="AS264" i="13"/>
  <c r="AX264" i="13"/>
  <c r="AR264" i="13"/>
  <c r="AT264" i="13"/>
  <c r="AU264" i="13"/>
  <c r="AS260" i="13"/>
  <c r="AX260" i="13"/>
  <c r="AR260" i="13"/>
  <c r="AT260" i="13"/>
  <c r="AW260" i="13"/>
  <c r="AW256" i="13"/>
  <c r="AY256" i="13"/>
  <c r="AT256" i="13"/>
  <c r="AU252" i="13"/>
  <c r="AY252" i="13"/>
  <c r="AS252" i="13"/>
  <c r="AT252" i="13"/>
  <c r="BB252" i="13"/>
  <c r="AY248" i="13"/>
  <c r="AR248" i="13"/>
  <c r="AW248" i="13"/>
  <c r="BB248" i="13"/>
  <c r="AU244" i="13"/>
  <c r="BB244" i="13"/>
  <c r="BC244" i="13"/>
  <c r="AR239" i="13"/>
  <c r="AS239" i="13"/>
  <c r="AT239" i="13"/>
  <c r="AU239" i="13"/>
  <c r="AV239" i="13"/>
  <c r="BC239" i="13"/>
  <c r="AQ235" i="13"/>
  <c r="AR235" i="13"/>
  <c r="AS235" i="13"/>
  <c r="AU235" i="13"/>
  <c r="AW235" i="13"/>
  <c r="AX235" i="13"/>
  <c r="AY235" i="13"/>
  <c r="BA235" i="13"/>
  <c r="AQ231" i="13"/>
  <c r="AR231" i="13"/>
  <c r="AS231" i="13"/>
  <c r="AU231" i="13"/>
  <c r="AW231" i="13"/>
  <c r="AZ231" i="13"/>
  <c r="BA231" i="13"/>
  <c r="AQ233" i="13"/>
  <c r="BP148" i="13"/>
  <c r="BO148" i="13"/>
  <c r="BW148" i="13"/>
  <c r="BS148" i="13"/>
  <c r="CA148" i="13"/>
  <c r="CD139" i="13"/>
  <c r="BM143" i="13"/>
  <c r="CB139" i="13"/>
  <c r="CA139" i="13"/>
  <c r="BN141" i="13"/>
  <c r="BZ141" i="13"/>
  <c r="BM141" i="13"/>
  <c r="BR141" i="13"/>
  <c r="BT141" i="13"/>
  <c r="BY139" i="13"/>
  <c r="BV139" i="13"/>
  <c r="BS139" i="13"/>
  <c r="AT140" i="13"/>
  <c r="AU140" i="13"/>
  <c r="AV183" i="13"/>
  <c r="BC183" i="13"/>
  <c r="BO143" i="13"/>
  <c r="BQ143" i="13"/>
  <c r="BM139" i="13"/>
  <c r="BT139" i="13"/>
  <c r="BQ139" i="13"/>
  <c r="CA213" i="13"/>
  <c r="BT208" i="13"/>
  <c r="BI209" i="13"/>
  <c r="BG212" i="13"/>
  <c r="BE214" i="13"/>
  <c r="AW209" i="13"/>
  <c r="AU207" i="13"/>
  <c r="AS207" i="13"/>
  <c r="AQ209" i="13"/>
  <c r="CC220" i="13"/>
  <c r="BQ216" i="13"/>
  <c r="BO216" i="13"/>
  <c r="BI220" i="13"/>
  <c r="BH218" i="13"/>
  <c r="BE218" i="13"/>
  <c r="BD220" i="13"/>
  <c r="BD216" i="13"/>
  <c r="AW218" i="13"/>
  <c r="AT220" i="13"/>
  <c r="AT216" i="13"/>
  <c r="AR218" i="13"/>
  <c r="BV435" i="13"/>
  <c r="BV332" i="13"/>
  <c r="BV328" i="13"/>
  <c r="BV324" i="13"/>
  <c r="BV320" i="13"/>
  <c r="BR435" i="13"/>
  <c r="BR332" i="13"/>
  <c r="BR328" i="13"/>
  <c r="BR324" i="13"/>
  <c r="BR320" i="13"/>
  <c r="BL332" i="13"/>
  <c r="BM335" i="13"/>
  <c r="BL335" i="13"/>
  <c r="BM331" i="13"/>
  <c r="BL331" i="13"/>
  <c r="BM327" i="13"/>
  <c r="BL327" i="13"/>
  <c r="BM323" i="13"/>
  <c r="BL323" i="13"/>
  <c r="BP323" i="13"/>
  <c r="BM319" i="13"/>
  <c r="BL319" i="13"/>
  <c r="BP319" i="13"/>
  <c r="AY218" i="13"/>
  <c r="AX218" i="13"/>
  <c r="BP320" i="13"/>
  <c r="BN331" i="13"/>
  <c r="BL435" i="13"/>
  <c r="BL320" i="13"/>
  <c r="CC142" i="13"/>
  <c r="BW142" i="13"/>
  <c r="BV142" i="13"/>
  <c r="BP142" i="13"/>
  <c r="CD182" i="13"/>
  <c r="BV182" i="13"/>
  <c r="BE178" i="13"/>
  <c r="AY182" i="13"/>
  <c r="BX208" i="13"/>
  <c r="BP208" i="13"/>
  <c r="BF214" i="13"/>
  <c r="BD209" i="13"/>
  <c r="AZ209" i="13"/>
  <c r="AX214" i="13"/>
  <c r="AU214" i="13"/>
  <c r="AT212" i="13"/>
  <c r="AR209" i="13"/>
  <c r="CC216" i="13"/>
  <c r="CA220" i="13"/>
  <c r="BY220" i="13"/>
  <c r="BI218" i="13"/>
  <c r="BH220" i="13"/>
  <c r="BH216" i="13"/>
  <c r="BG218" i="13"/>
  <c r="BF220" i="13"/>
  <c r="BE220" i="13"/>
  <c r="BD218" i="13"/>
  <c r="BC221" i="13"/>
  <c r="BA221" i="13"/>
  <c r="AZ218" i="13"/>
  <c r="AY217" i="13"/>
  <c r="AX217" i="13"/>
  <c r="AU218" i="13"/>
  <c r="AT218" i="13"/>
  <c r="AS218" i="13"/>
  <c r="AQ218" i="13"/>
  <c r="CB435" i="13"/>
  <c r="CB332" i="13"/>
  <c r="CB328" i="13"/>
  <c r="CB324" i="13"/>
  <c r="CB320" i="13"/>
  <c r="CA335" i="13"/>
  <c r="CA331" i="13"/>
  <c r="CA327" i="13"/>
  <c r="CA323" i="13"/>
  <c r="CA319" i="13"/>
  <c r="BX435" i="13"/>
  <c r="BX332" i="13"/>
  <c r="BX328" i="13"/>
  <c r="BX324" i="13"/>
  <c r="BX320" i="13"/>
  <c r="BW335" i="13"/>
  <c r="BW331" i="13"/>
  <c r="BW327" i="13"/>
  <c r="BW323" i="13"/>
  <c r="BW319" i="13"/>
  <c r="BT435" i="13"/>
  <c r="BT332" i="13"/>
  <c r="BT328" i="13"/>
  <c r="BT324" i="13"/>
  <c r="BS335" i="13"/>
  <c r="BS331" i="13"/>
  <c r="BS327" i="13"/>
  <c r="BS323" i="13"/>
  <c r="BS319" i="13"/>
  <c r="BP324" i="13"/>
  <c r="BN335" i="13"/>
  <c r="BN319" i="13"/>
  <c r="BN435" i="13"/>
  <c r="BM435" i="13"/>
  <c r="BN332" i="13"/>
  <c r="BM332" i="13"/>
  <c r="BN328" i="13"/>
  <c r="BM328" i="13"/>
  <c r="BN324" i="13"/>
  <c r="BM324" i="13"/>
  <c r="BN320" i="13"/>
  <c r="BM320" i="13"/>
  <c r="AU435" i="13"/>
  <c r="AU332" i="13"/>
  <c r="AU328" i="13"/>
  <c r="AU324" i="13"/>
  <c r="AU320" i="13"/>
  <c r="AQ435" i="13"/>
  <c r="AQ332" i="13"/>
  <c r="AQ328" i="13"/>
  <c r="AQ324" i="13"/>
  <c r="AQ320" i="13"/>
  <c r="AV435" i="13"/>
  <c r="AV332" i="13"/>
  <c r="AV328" i="13"/>
  <c r="AV324" i="13"/>
  <c r="AV320" i="13"/>
  <c r="AU335" i="13"/>
  <c r="AU331" i="13"/>
  <c r="AU327" i="13"/>
  <c r="AU323" i="13"/>
  <c r="AU319" i="13"/>
  <c r="AR435" i="13"/>
  <c r="AR332" i="13"/>
  <c r="AR328" i="13"/>
  <c r="AR324" i="13"/>
  <c r="AR320" i="13"/>
  <c r="AQ335" i="13"/>
  <c r="AQ331" i="13"/>
  <c r="AQ327" i="13"/>
  <c r="AQ323" i="13"/>
  <c r="AQ319" i="13"/>
  <c r="AW435" i="13"/>
  <c r="AW332" i="13"/>
  <c r="AW328" i="13"/>
  <c r="AW324" i="13"/>
  <c r="AW320" i="13"/>
  <c r="AV335" i="13"/>
  <c r="AV331" i="13"/>
  <c r="AV327" i="13"/>
  <c r="AV323" i="13"/>
  <c r="AV319" i="13"/>
  <c r="BY264" i="13"/>
  <c r="CD263" i="13"/>
  <c r="CB263" i="13"/>
  <c r="BZ263" i="13"/>
  <c r="BY263" i="13"/>
  <c r="BV263" i="13"/>
  <c r="BU263" i="13"/>
  <c r="BW262" i="13"/>
  <c r="BW261" i="13"/>
  <c r="BV261" i="13"/>
  <c r="BP261" i="13"/>
  <c r="CD260" i="13"/>
  <c r="CC260" i="13"/>
  <c r="BW260" i="13"/>
  <c r="BT260" i="13"/>
  <c r="BQ260" i="13"/>
  <c r="CB259" i="13"/>
  <c r="BW259" i="13"/>
  <c r="BR259" i="13"/>
  <c r="BQ259" i="13"/>
  <c r="BP259" i="13"/>
  <c r="BZ259" i="13"/>
  <c r="BT259" i="13"/>
  <c r="BS259" i="13"/>
  <c r="BO259" i="13"/>
  <c r="CB258" i="13"/>
  <c r="BX258" i="13"/>
  <c r="BV258" i="13"/>
  <c r="BT258" i="13"/>
  <c r="BM258" i="13"/>
  <c r="CD258" i="13"/>
  <c r="BS258" i="13"/>
  <c r="BR258" i="13"/>
  <c r="BI257" i="13"/>
  <c r="BG257" i="13"/>
  <c r="BE257" i="13"/>
  <c r="AZ257" i="13"/>
  <c r="AW257" i="13"/>
  <c r="AS257" i="13"/>
  <c r="AR257" i="13"/>
  <c r="BA257" i="13"/>
  <c r="AY257" i="13"/>
  <c r="CB256" i="13"/>
  <c r="CA256" i="13"/>
  <c r="BZ256" i="13"/>
  <c r="BV256" i="13"/>
  <c r="BR256" i="13"/>
  <c r="BL256" i="13"/>
  <c r="CC256" i="13"/>
  <c r="BM256" i="13"/>
  <c r="BX256" i="13"/>
  <c r="BU256" i="13"/>
  <c r="BS256" i="13"/>
  <c r="BO256" i="13"/>
  <c r="CB255" i="13"/>
  <c r="CD255" i="13"/>
  <c r="CA255" i="13"/>
  <c r="BY255" i="13"/>
  <c r="BV255" i="13"/>
  <c r="BU255" i="13"/>
  <c r="BT255" i="13"/>
  <c r="BD255" i="13"/>
  <c r="BB255" i="13"/>
  <c r="AZ255" i="13"/>
  <c r="AU255" i="13"/>
  <c r="AS255" i="13"/>
  <c r="CC255" i="13"/>
  <c r="BR255" i="13"/>
  <c r="BO255" i="13"/>
  <c r="BN255" i="13"/>
  <c r="BM255" i="13"/>
  <c r="BL255" i="13"/>
  <c r="BZ255" i="13"/>
  <c r="AW255" i="13"/>
  <c r="AV255" i="13"/>
  <c r="BX254" i="13"/>
  <c r="BW254" i="13"/>
  <c r="BV254" i="13"/>
  <c r="BS254" i="13"/>
  <c r="BN254" i="13"/>
  <c r="CA254" i="13"/>
  <c r="BO254" i="13"/>
  <c r="CC254" i="13"/>
  <c r="BZ254" i="13"/>
  <c r="BY254" i="13"/>
  <c r="BU254" i="13"/>
  <c r="BQ254" i="13"/>
  <c r="BM254" i="13"/>
  <c r="BZ253" i="13"/>
  <c r="BS253" i="13"/>
  <c r="CB253" i="13"/>
  <c r="BU253" i="13"/>
  <c r="BR253" i="13"/>
  <c r="BQ253" i="13"/>
  <c r="BO253" i="13"/>
  <c r="BM253" i="13"/>
  <c r="CC253" i="13"/>
  <c r="CA253" i="13"/>
  <c r="BY253" i="13"/>
  <c r="BX253" i="13"/>
  <c r="BT253" i="13"/>
  <c r="BP253" i="13"/>
  <c r="BN253" i="13"/>
  <c r="CD252" i="13"/>
  <c r="CC252" i="13"/>
  <c r="BY252" i="13"/>
  <c r="BQ252" i="13"/>
  <c r="BM252" i="13"/>
  <c r="BN252" i="13"/>
  <c r="CA252" i="13"/>
  <c r="BZ252" i="13"/>
  <c r="BW252" i="13"/>
  <c r="BO252" i="13"/>
  <c r="CB252" i="13"/>
  <c r="BV252" i="13"/>
  <c r="BT252" i="13"/>
  <c r="BS252" i="13"/>
  <c r="BR252" i="13"/>
  <c r="BP252" i="13"/>
  <c r="BY251" i="13"/>
  <c r="BU251" i="13"/>
  <c r="BS251" i="13"/>
  <c r="BW251" i="13"/>
  <c r="BT251" i="13"/>
  <c r="BQ251" i="13"/>
  <c r="BP251" i="13"/>
  <c r="BO251" i="13"/>
  <c r="BN251" i="13"/>
  <c r="BM251" i="13"/>
  <c r="BL251" i="13"/>
  <c r="CB251" i="13"/>
  <c r="CA251" i="13"/>
  <c r="BV251" i="13"/>
  <c r="BX250" i="13"/>
  <c r="BV250" i="13"/>
  <c r="BU250" i="13"/>
  <c r="BT250" i="13"/>
  <c r="BZ250" i="13"/>
  <c r="BR250" i="13"/>
  <c r="CB250" i="13"/>
  <c r="BX249" i="13"/>
  <c r="BS249" i="13"/>
  <c r="CB249" i="13"/>
  <c r="BZ249" i="13"/>
  <c r="BY249" i="13"/>
  <c r="BQ249" i="13"/>
  <c r="AW249" i="13"/>
  <c r="AU249" i="13"/>
  <c r="CA249" i="13"/>
  <c r="CA248" i="13"/>
  <c r="BY248" i="13"/>
  <c r="BX248" i="13"/>
  <c r="BW248" i="13"/>
  <c r="BV248" i="13"/>
  <c r="BS248" i="13"/>
  <c r="CB248" i="13"/>
  <c r="BU248" i="13"/>
  <c r="BP248" i="13"/>
  <c r="BZ248" i="13"/>
  <c r="BR248" i="13"/>
  <c r="BU247" i="13"/>
  <c r="CD247" i="13"/>
  <c r="CC247" i="13"/>
  <c r="CB247" i="13"/>
  <c r="CA247" i="13"/>
  <c r="BZ247" i="13"/>
  <c r="BS247" i="13"/>
  <c r="BR247" i="13"/>
  <c r="BP247" i="13"/>
  <c r="BT247" i="13"/>
  <c r="BU246" i="13"/>
  <c r="BQ246" i="13"/>
  <c r="BP246" i="13"/>
  <c r="CD246" i="13"/>
  <c r="BY246" i="13"/>
  <c r="BX246" i="13"/>
  <c r="CC245" i="13"/>
  <c r="BW245" i="13"/>
  <c r="BR245" i="13"/>
  <c r="CD245" i="13"/>
  <c r="CB245" i="13"/>
  <c r="BY245" i="13"/>
  <c r="BV245" i="13"/>
  <c r="CA245" i="13"/>
  <c r="BT245" i="13"/>
  <c r="BS245" i="13"/>
  <c r="BQ245" i="13"/>
  <c r="BQ243" i="13"/>
  <c r="BY243" i="13"/>
  <c r="BR243" i="13"/>
  <c r="BO243" i="13"/>
  <c r="CD243" i="13"/>
  <c r="BZ243" i="13"/>
  <c r="BX243" i="13"/>
  <c r="BI243" i="13"/>
  <c r="AQ243" i="13"/>
  <c r="AW244" i="13"/>
  <c r="AS244" i="13"/>
  <c r="AQ244" i="13"/>
  <c r="BR244" i="13"/>
  <c r="BQ244" i="13"/>
  <c r="CD244" i="13"/>
  <c r="CA244" i="13"/>
  <c r="BT244" i="13"/>
  <c r="BD244" i="13"/>
  <c r="AY244" i="13"/>
  <c r="CB244" i="13"/>
  <c r="BZ244" i="13"/>
  <c r="BY244" i="13"/>
  <c r="BX244" i="13"/>
  <c r="BV244" i="13"/>
  <c r="BP244" i="13"/>
  <c r="CC243" i="13"/>
  <c r="BV243" i="13"/>
  <c r="BU243" i="13"/>
  <c r="BT243" i="13"/>
  <c r="BP243" i="13"/>
  <c r="BN243" i="13"/>
  <c r="AX243" i="13"/>
  <c r="AU243" i="13"/>
  <c r="CB243" i="13"/>
  <c r="BW243" i="13"/>
  <c r="BG243" i="13"/>
  <c r="BB243" i="13"/>
  <c r="AY243" i="13"/>
  <c r="CD242" i="13"/>
  <c r="CB242" i="13"/>
  <c r="CA242" i="13"/>
  <c r="BY242" i="13"/>
  <c r="BV242" i="13"/>
  <c r="BS242" i="13"/>
  <c r="BR242" i="13"/>
  <c r="BX242" i="13"/>
  <c r="BW242" i="13"/>
  <c r="BU242" i="13"/>
  <c r="BQ242" i="13"/>
  <c r="BP242" i="13"/>
  <c r="BM242" i="13"/>
  <c r="BZ242" i="13"/>
  <c r="BO242" i="13"/>
  <c r="CC241" i="13"/>
  <c r="BY241" i="13"/>
  <c r="BQ241" i="13"/>
  <c r="BO241" i="13"/>
  <c r="CD241" i="13"/>
  <c r="BS241" i="13"/>
  <c r="BP241" i="13"/>
  <c r="BN241" i="13"/>
  <c r="BU241" i="13"/>
  <c r="BM241" i="13"/>
  <c r="BZ241" i="13"/>
  <c r="BX241" i="13"/>
  <c r="BV241" i="13"/>
  <c r="BT241" i="13"/>
  <c r="BR241" i="13"/>
  <c r="CB240" i="13"/>
  <c r="BZ240" i="13"/>
  <c r="AQ240" i="13"/>
  <c r="BX239" i="13"/>
  <c r="BU239" i="13"/>
  <c r="BL239" i="13"/>
  <c r="CB239" i="13"/>
  <c r="BY239" i="13"/>
  <c r="BV239" i="13"/>
  <c r="BS239" i="13"/>
  <c r="CB238" i="13"/>
  <c r="BX238" i="13"/>
  <c r="BR238" i="13"/>
  <c r="BL237" i="13"/>
  <c r="CD237" i="13"/>
  <c r="CC237" i="13"/>
  <c r="CB237" i="13"/>
  <c r="CA237" i="13"/>
  <c r="BZ237" i="13"/>
  <c r="BY237" i="13"/>
  <c r="BX237" i="13"/>
  <c r="BW237" i="13"/>
  <c r="BV237" i="13"/>
  <c r="BU237" i="13"/>
  <c r="BQ237" i="13"/>
  <c r="BM237" i="13"/>
  <c r="BG237" i="13"/>
  <c r="BC237" i="13"/>
  <c r="AY237" i="13"/>
  <c r="AU237" i="13"/>
  <c r="AQ237" i="13"/>
  <c r="BS237" i="13"/>
  <c r="BI237" i="13"/>
  <c r="BE237" i="13"/>
  <c r="BA237" i="13"/>
  <c r="AW237" i="13"/>
  <c r="BI240" i="13"/>
  <c r="BH240" i="13"/>
  <c r="BG240" i="13"/>
  <c r="BF240" i="13"/>
  <c r="BE240" i="13"/>
  <c r="BD240" i="13"/>
  <c r="BC240" i="13"/>
  <c r="BB240" i="13"/>
  <c r="BA240" i="13"/>
  <c r="AZ240" i="13"/>
  <c r="AY240" i="13"/>
  <c r="AX240" i="13"/>
  <c r="AW240" i="13"/>
  <c r="AV240" i="13"/>
  <c r="AU240" i="13"/>
  <c r="AT240" i="13"/>
  <c r="AS240" i="13"/>
  <c r="BS240" i="13"/>
  <c r="BR240" i="13"/>
  <c r="BN240" i="13"/>
  <c r="BT240" i="13"/>
  <c r="BQ240" i="13"/>
  <c r="BP240" i="13"/>
  <c r="BO240" i="13"/>
  <c r="BM240" i="13"/>
  <c r="AZ144" i="13"/>
  <c r="AS144" i="13"/>
  <c r="AV144" i="13"/>
  <c r="BH144" i="13"/>
  <c r="BD144" i="13"/>
  <c r="AU144" i="13"/>
  <c r="BF176" i="13"/>
  <c r="BC176" i="13"/>
  <c r="AT176" i="13"/>
  <c r="BB178" i="13"/>
  <c r="BC178" i="13"/>
  <c r="BE180" i="13"/>
  <c r="BC180" i="13"/>
  <c r="AU180" i="13"/>
  <c r="BD182" i="13"/>
  <c r="BA182" i="13"/>
  <c r="BI184" i="13"/>
  <c r="BG184" i="13"/>
  <c r="AY207" i="13"/>
  <c r="BD189" i="13"/>
  <c r="BH189" i="13"/>
  <c r="AY140" i="13"/>
  <c r="BW221" i="13"/>
  <c r="BE221" i="13"/>
  <c r="AZ221" i="13"/>
  <c r="AY221" i="13"/>
  <c r="AW221" i="13"/>
  <c r="AQ221" i="13"/>
  <c r="BG214" i="13"/>
  <c r="BC214" i="13"/>
  <c r="AZ214" i="13"/>
  <c r="AS214" i="13"/>
  <c r="BA212" i="13"/>
  <c r="BI212" i="13"/>
  <c r="BF212" i="13"/>
  <c r="BB212" i="13"/>
  <c r="CB210" i="13"/>
  <c r="BT210" i="13"/>
  <c r="BL210" i="13"/>
  <c r="BF210" i="13"/>
  <c r="BA210" i="13"/>
  <c r="AU210" i="13"/>
  <c r="BE210" i="13"/>
  <c r="AY210" i="13"/>
  <c r="AT210" i="13"/>
  <c r="BS208" i="13"/>
  <c r="BW208" i="13"/>
  <c r="BH192" i="13"/>
  <c r="CD178" i="13"/>
  <c r="BZ178" i="13"/>
  <c r="BR178" i="13"/>
  <c r="BW178" i="13"/>
  <c r="BG178" i="13"/>
  <c r="AW178" i="13"/>
  <c r="BT176" i="13"/>
  <c r="BI176" i="13"/>
  <c r="AR176" i="13"/>
  <c r="CD148" i="13"/>
  <c r="BZ148" i="13"/>
  <c r="BV148" i="13"/>
  <c r="BR148" i="13"/>
  <c r="BN148" i="13"/>
  <c r="CB148" i="13"/>
  <c r="BX148" i="13"/>
  <c r="BT148" i="13"/>
  <c r="CD146" i="13"/>
  <c r="BZ146" i="13"/>
  <c r="BY146" i="13"/>
  <c r="BX146" i="13"/>
  <c r="BW146" i="13"/>
  <c r="BV146" i="13"/>
  <c r="BT146" i="13"/>
  <c r="BL146" i="13"/>
  <c r="CC146" i="13"/>
  <c r="CA146" i="13"/>
  <c r="BP146" i="13"/>
  <c r="BO146" i="13"/>
  <c r="BN146" i="13"/>
  <c r="BM146" i="13"/>
  <c r="CB146" i="13"/>
  <c r="BU146" i="13"/>
  <c r="BS146" i="13"/>
  <c r="BR146" i="13"/>
  <c r="AX144" i="13"/>
  <c r="AR144" i="13"/>
  <c r="CD144" i="13"/>
  <c r="CC144" i="13"/>
  <c r="BF144" i="13"/>
  <c r="BB144" i="13"/>
  <c r="AW144" i="13"/>
  <c r="AT144" i="13"/>
  <c r="AQ144" i="13"/>
  <c r="CC143" i="13"/>
  <c r="CB143" i="13"/>
  <c r="BZ143" i="13"/>
  <c r="BR143" i="13"/>
  <c r="BX143" i="13"/>
  <c r="BS143" i="13"/>
  <c r="BP143" i="13"/>
  <c r="CD143" i="13"/>
  <c r="CA143" i="13"/>
  <c r="BW143" i="13"/>
  <c r="BN143" i="13"/>
  <c r="BY143" i="13"/>
  <c r="BU143" i="13"/>
  <c r="BT143" i="13"/>
  <c r="CC141" i="13"/>
  <c r="CA141" i="13"/>
  <c r="BY141" i="13"/>
  <c r="BW141" i="13"/>
  <c r="BU141" i="13"/>
  <c r="BS141" i="13"/>
  <c r="BQ141" i="13"/>
  <c r="BO141" i="13"/>
  <c r="BI141" i="13"/>
  <c r="AZ141" i="13"/>
  <c r="AX141" i="13"/>
  <c r="AV141" i="13"/>
  <c r="BD141" i="13"/>
  <c r="BB141" i="13"/>
  <c r="AY141" i="13"/>
  <c r="AT141" i="13"/>
  <c r="AR141" i="13"/>
  <c r="CD141" i="13"/>
  <c r="BX141" i="13"/>
  <c r="BV141" i="13"/>
  <c r="BP141" i="13"/>
  <c r="BH141" i="13"/>
  <c r="BF141" i="13"/>
  <c r="BC141" i="13"/>
  <c r="BA141" i="13"/>
  <c r="AW141" i="13"/>
  <c r="BX139" i="13"/>
  <c r="BP139" i="13"/>
  <c r="BB139" i="13"/>
  <c r="AZ139" i="13"/>
  <c r="BH139" i="13"/>
  <c r="CC139" i="13"/>
  <c r="BZ139" i="13"/>
  <c r="BW139" i="13"/>
  <c r="BU139" i="13"/>
  <c r="BR139" i="13"/>
  <c r="BO139" i="13"/>
  <c r="BF139" i="13"/>
  <c r="CC140" i="13"/>
  <c r="BY140" i="13"/>
  <c r="BU140" i="13"/>
  <c r="BQ140" i="13"/>
  <c r="BH140" i="13"/>
  <c r="BD140" i="13"/>
  <c r="AZ140" i="13"/>
  <c r="AV140" i="13"/>
  <c r="AR140" i="13"/>
  <c r="CD140" i="13"/>
  <c r="BZ140" i="13"/>
  <c r="BV140" i="13"/>
  <c r="BR140" i="13"/>
  <c r="BI140" i="13"/>
  <c r="BE140" i="13"/>
  <c r="BA140" i="13"/>
  <c r="AW140" i="13"/>
  <c r="AS140" i="13"/>
  <c r="BF140" i="13"/>
  <c r="BB140" i="13"/>
  <c r="AX140" i="13"/>
  <c r="BL145" i="13"/>
  <c r="CD145" i="13"/>
  <c r="CC145" i="13"/>
  <c r="CB145" i="13"/>
  <c r="CA145" i="13"/>
  <c r="BZ145" i="13"/>
  <c r="BY145" i="13"/>
  <c r="BX145" i="13"/>
  <c r="BW145" i="13"/>
  <c r="BV145" i="13"/>
  <c r="BU145" i="13"/>
  <c r="BT145" i="13"/>
  <c r="BS145" i="13"/>
  <c r="BR145" i="13"/>
  <c r="BQ145" i="13"/>
  <c r="BP145" i="13"/>
  <c r="BO145" i="13"/>
  <c r="BN145" i="13"/>
  <c r="BH145" i="13"/>
  <c r="BF145" i="13"/>
  <c r="BD145" i="13"/>
  <c r="BB145" i="13"/>
  <c r="AZ145" i="13"/>
  <c r="AX145" i="13"/>
  <c r="AW145" i="13"/>
  <c r="AV145" i="13"/>
  <c r="AU145" i="13"/>
  <c r="AT145" i="13"/>
  <c r="AS145" i="13"/>
  <c r="AR145" i="13"/>
  <c r="AQ145" i="13"/>
  <c r="BI145" i="13"/>
  <c r="BG145" i="13"/>
  <c r="BE145" i="13"/>
  <c r="BC145" i="13"/>
  <c r="BA145" i="13"/>
  <c r="BS191" i="13"/>
  <c r="AR191" i="13"/>
  <c r="AS188" i="13"/>
  <c r="BI217" i="13"/>
  <c r="BE217" i="13"/>
  <c r="BC217" i="13"/>
  <c r="AV217" i="13"/>
  <c r="AU217" i="13"/>
  <c r="BB216" i="13"/>
  <c r="CB215" i="13"/>
  <c r="CA215" i="13"/>
  <c r="BX215" i="13"/>
  <c r="BO215" i="13"/>
  <c r="BL215" i="13"/>
  <c r="AT215" i="13"/>
  <c r="BP213" i="13"/>
  <c r="AZ213" i="13"/>
  <c r="BG213" i="13"/>
  <c r="BX211" i="13"/>
  <c r="BT211" i="13"/>
  <c r="BS211" i="13"/>
  <c r="BL211" i="13"/>
  <c r="CB211" i="13"/>
  <c r="BE209" i="13"/>
  <c r="BC209" i="13"/>
  <c r="BA209" i="13"/>
  <c r="AU209" i="13"/>
  <c r="AT209" i="13"/>
  <c r="AS209" i="13"/>
  <c r="BB209" i="13"/>
  <c r="AX209" i="13"/>
  <c r="BI207" i="13"/>
  <c r="BF207" i="13"/>
  <c r="BC207" i="13"/>
  <c r="AW207" i="13"/>
  <c r="AX207" i="13"/>
  <c r="BW182" i="13"/>
  <c r="BF182" i="13"/>
  <c r="BI180" i="13"/>
  <c r="AV179" i="13"/>
  <c r="CD177" i="13"/>
  <c r="BF153" i="13"/>
  <c r="BO217" i="13"/>
  <c r="BW217" i="13"/>
  <c r="CB217" i="13"/>
  <c r="CD147" i="13"/>
  <c r="CC147" i="13"/>
  <c r="CB147" i="13"/>
  <c r="CA147" i="13"/>
  <c r="BZ147" i="13"/>
  <c r="BY147" i="13"/>
  <c r="BX147" i="13"/>
  <c r="BW147" i="13"/>
  <c r="BV147" i="13"/>
  <c r="BU147" i="13"/>
  <c r="BT147" i="13"/>
  <c r="BS147" i="13"/>
  <c r="BR147" i="13"/>
  <c r="BQ147" i="13"/>
  <c r="BP147" i="13"/>
  <c r="BO147" i="13"/>
  <c r="BN147" i="13"/>
  <c r="BV188" i="13"/>
  <c r="BO188" i="13"/>
  <c r="CB185" i="13"/>
  <c r="BZ177" i="13"/>
  <c r="BO184" i="13"/>
  <c r="BQ184" i="13"/>
  <c r="BS180" i="13"/>
  <c r="BU180" i="13"/>
  <c r="BZ180" i="13"/>
  <c r="CC180" i="13"/>
  <c r="BM213" i="13"/>
  <c r="BN213" i="13"/>
  <c r="BW213" i="13"/>
  <c r="BX213" i="13"/>
  <c r="BM208" i="13"/>
  <c r="BL208" i="13"/>
  <c r="BR208" i="13"/>
  <c r="BV208" i="13"/>
  <c r="AQ213" i="13"/>
  <c r="AV213" i="13"/>
  <c r="BD213" i="13"/>
  <c r="AX208" i="13"/>
  <c r="BB208" i="13"/>
  <c r="CB221" i="13"/>
  <c r="BV221" i="13"/>
  <c r="BT217" i="13"/>
  <c r="BR221" i="13"/>
  <c r="BQ221" i="13"/>
  <c r="BP221" i="13"/>
  <c r="BO221" i="13"/>
  <c r="BM221" i="13"/>
  <c r="BS209" i="13"/>
  <c r="CA209" i="13"/>
  <c r="BY221" i="13"/>
  <c r="BZ221" i="13"/>
  <c r="CC221" i="13"/>
  <c r="CD221" i="13"/>
  <c r="CD150" i="13"/>
  <c r="CC150" i="13"/>
  <c r="CB150" i="13"/>
  <c r="CA150" i="13"/>
  <c r="BZ150" i="13"/>
  <c r="BY150" i="13"/>
  <c r="BX150" i="13"/>
  <c r="BW150" i="13"/>
  <c r="BV150" i="13"/>
  <c r="BU150" i="13"/>
  <c r="BT150" i="13"/>
  <c r="BS150" i="13"/>
  <c r="BR150" i="13"/>
  <c r="BQ150" i="13"/>
  <c r="BP150" i="13"/>
  <c r="BO150" i="13"/>
  <c r="BN150" i="13"/>
  <c r="BM150" i="13"/>
  <c r="BY189" i="13"/>
  <c r="AV189" i="13"/>
  <c r="AZ189" i="13"/>
  <c r="CB184" i="13"/>
  <c r="CA177" i="13"/>
  <c r="BY184" i="13"/>
  <c r="BO176" i="13"/>
  <c r="BM183" i="13"/>
  <c r="BY183" i="13"/>
  <c r="BM179" i="13"/>
  <c r="BW179" i="13"/>
  <c r="AY185" i="13"/>
  <c r="CD213" i="13"/>
  <c r="CB208" i="13"/>
  <c r="BZ213" i="13"/>
  <c r="BT213" i="13"/>
  <c r="BR213" i="13"/>
  <c r="BO213" i="13"/>
  <c r="BL213" i="13"/>
  <c r="BH208" i="13"/>
  <c r="BD208" i="13"/>
  <c r="AX213" i="13"/>
  <c r="AU212" i="13"/>
  <c r="AY212" i="13"/>
  <c r="BC212" i="13"/>
  <c r="BE212" i="13"/>
  <c r="CD217" i="13"/>
  <c r="CC217" i="13"/>
  <c r="CA217" i="13"/>
  <c r="BZ217" i="13"/>
  <c r="BY217" i="13"/>
  <c r="BX217" i="13"/>
  <c r="BV217" i="13"/>
  <c r="BU217" i="13"/>
  <c r="BS217" i="13"/>
  <c r="BN221" i="13"/>
  <c r="BL217" i="13"/>
  <c r="BM219" i="13"/>
  <c r="BL219" i="13"/>
  <c r="BN219" i="13"/>
  <c r="BT219" i="13"/>
  <c r="BV219" i="13"/>
  <c r="CA219" i="13"/>
  <c r="AR151" i="13"/>
  <c r="BC151" i="13"/>
  <c r="BO214" i="13"/>
  <c r="BS214" i="13"/>
  <c r="CD149" i="13"/>
  <c r="CC149" i="13"/>
  <c r="CB149" i="13"/>
  <c r="CA149" i="13"/>
  <c r="BZ149" i="13"/>
  <c r="BY149" i="13"/>
  <c r="BX149" i="13"/>
  <c r="BW149" i="13"/>
  <c r="BV149" i="13"/>
  <c r="BU149" i="13"/>
  <c r="BT149" i="13"/>
  <c r="BS149" i="13"/>
  <c r="BR149" i="13"/>
  <c r="BQ149" i="13"/>
  <c r="BP149" i="13"/>
  <c r="BO149" i="13"/>
  <c r="BN149" i="13"/>
  <c r="BF164" i="13"/>
  <c r="AS189" i="13"/>
  <c r="CA184" i="13"/>
  <c r="BC179" i="13"/>
  <c r="AZ183" i="13"/>
  <c r="AQ182" i="13"/>
  <c r="AW182" i="13"/>
  <c r="BB182" i="13"/>
  <c r="BE182" i="13"/>
  <c r="BG182" i="13"/>
  <c r="BH182" i="13"/>
  <c r="BI182" i="13"/>
  <c r="AQ178" i="13"/>
  <c r="AY178" i="13"/>
  <c r="BD178" i="13"/>
  <c r="CD208" i="13"/>
  <c r="CA214" i="13"/>
  <c r="BZ208" i="13"/>
  <c r="BW209" i="13"/>
  <c r="BO209" i="13"/>
  <c r="BF208" i="13"/>
  <c r="BE207" i="13"/>
  <c r="BB207" i="13"/>
  <c r="BA207" i="13"/>
  <c r="AZ208" i="13"/>
  <c r="AY208" i="13"/>
  <c r="AX212" i="13"/>
  <c r="AW212" i="13"/>
  <c r="AU208" i="13"/>
  <c r="AR208" i="13"/>
  <c r="AQ207" i="13"/>
  <c r="AR211" i="13"/>
  <c r="AW211" i="13"/>
  <c r="BS221" i="13"/>
  <c r="BR217" i="13"/>
  <c r="BQ217" i="13"/>
  <c r="BP217" i="13"/>
  <c r="BO219" i="13"/>
  <c r="BN217" i="13"/>
  <c r="BM217" i="13"/>
  <c r="BC215" i="13"/>
  <c r="BA215" i="13"/>
  <c r="AX220" i="13"/>
  <c r="AX216" i="13"/>
  <c r="AV219" i="13"/>
  <c r="AU215" i="13"/>
  <c r="AS215" i="13"/>
  <c r="AQ215" i="13"/>
  <c r="CD210" i="13"/>
  <c r="BZ210" i="13"/>
  <c r="BV210" i="13"/>
  <c r="BR210" i="13"/>
  <c r="BN210" i="13"/>
  <c r="AS210" i="13"/>
  <c r="BG220" i="13"/>
  <c r="BG216" i="13"/>
  <c r="BF219" i="13"/>
  <c r="BF215" i="13"/>
  <c r="BC219" i="13"/>
  <c r="BA219" i="13"/>
  <c r="AZ215" i="13"/>
  <c r="AX219" i="13"/>
  <c r="AU219" i="13"/>
  <c r="AS219" i="13"/>
  <c r="AR219" i="13"/>
  <c r="CC210" i="13"/>
  <c r="BY210" i="13"/>
  <c r="BU210" i="13"/>
  <c r="BQ210" i="13"/>
  <c r="BH210" i="13"/>
  <c r="BD210" i="13"/>
  <c r="AZ210" i="13"/>
  <c r="AV210" i="13"/>
  <c r="AQ148" i="13"/>
  <c r="AY148" i="13"/>
  <c r="AQ143" i="13"/>
  <c r="AR143" i="13"/>
  <c r="AS143" i="13"/>
  <c r="AT143" i="13"/>
  <c r="AU143" i="13"/>
  <c r="AV143" i="13"/>
  <c r="AW143" i="13"/>
  <c r="AV181" i="13"/>
  <c r="AX181" i="13"/>
  <c r="BA181" i="13"/>
  <c r="BC181" i="13"/>
  <c r="AR181" i="13"/>
  <c r="AY181" i="13"/>
  <c r="AZ181" i="13"/>
  <c r="AT181" i="13"/>
  <c r="BD181" i="13"/>
  <c r="BC148" i="13"/>
  <c r="BH143" i="13"/>
  <c r="BF143" i="13"/>
  <c r="BD143" i="13"/>
  <c r="BB143" i="13"/>
  <c r="AZ143" i="13"/>
  <c r="AX143" i="13"/>
  <c r="BM152" i="13"/>
  <c r="CA152" i="13"/>
  <c r="BL190" i="13"/>
  <c r="CA190" i="13"/>
  <c r="BQ190" i="13"/>
  <c r="AR190" i="13"/>
  <c r="BF190" i="13"/>
  <c r="BH190" i="13"/>
  <c r="AQ186" i="13"/>
  <c r="BA186" i="13"/>
  <c r="AW186" i="13"/>
  <c r="BC186" i="13"/>
  <c r="AY186" i="13"/>
  <c r="BE148" i="13"/>
  <c r="AR139" i="13"/>
  <c r="AS139" i="13"/>
  <c r="AT139" i="13"/>
  <c r="AU139" i="13"/>
  <c r="AV139" i="13"/>
  <c r="AW139" i="13"/>
  <c r="AX139" i="13"/>
  <c r="BC185" i="13"/>
  <c r="AQ185" i="13"/>
  <c r="AS185" i="13"/>
  <c r="AT185" i="13"/>
  <c r="AZ185" i="13"/>
  <c r="AV185" i="13"/>
  <c r="AW185" i="13"/>
  <c r="BB185" i="13"/>
  <c r="BC177" i="13"/>
  <c r="AV177" i="13"/>
  <c r="AZ177" i="13"/>
  <c r="AQ211" i="13"/>
  <c r="AU211" i="13"/>
  <c r="AY211" i="13"/>
  <c r="BC211" i="13"/>
  <c r="BG211" i="13"/>
  <c r="AS211" i="13"/>
  <c r="BB211" i="13"/>
  <c r="BD211" i="13"/>
  <c r="BI211" i="13"/>
  <c r="AX211" i="13"/>
  <c r="AZ211" i="13"/>
  <c r="BE211" i="13"/>
  <c r="AT211" i="13"/>
  <c r="AV211" i="13"/>
  <c r="BA211" i="13"/>
  <c r="BL218" i="13"/>
  <c r="BP218" i="13"/>
  <c r="BT218" i="13"/>
  <c r="BX218" i="13"/>
  <c r="CB218" i="13"/>
  <c r="BN218" i="13"/>
  <c r="BR218" i="13"/>
  <c r="BV218" i="13"/>
  <c r="BZ218" i="13"/>
  <c r="CD218" i="13"/>
  <c r="CC218" i="13"/>
  <c r="BM218" i="13"/>
  <c r="BQ218" i="13"/>
  <c r="BU218" i="13"/>
  <c r="CA218" i="13"/>
  <c r="BY218" i="13"/>
  <c r="BI144" i="13"/>
  <c r="BI139" i="13"/>
  <c r="BG144" i="13"/>
  <c r="BG139" i="13"/>
  <c r="BE144" i="13"/>
  <c r="BE139" i="13"/>
  <c r="BC144" i="13"/>
  <c r="BC139" i="13"/>
  <c r="BA144" i="13"/>
  <c r="BA139" i="13"/>
  <c r="AY139" i="13"/>
  <c r="BM185" i="13"/>
  <c r="BQ185" i="13"/>
  <c r="CA185" i="13"/>
  <c r="BL185" i="13"/>
  <c r="BO185" i="13"/>
  <c r="BT185" i="13"/>
  <c r="BW185" i="13"/>
  <c r="BS185" i="13"/>
  <c r="BN181" i="13"/>
  <c r="BT181" i="13"/>
  <c r="BS181" i="13"/>
  <c r="BW181" i="13"/>
  <c r="CA181" i="13"/>
  <c r="CB181" i="13"/>
  <c r="BM181" i="13"/>
  <c r="BP181" i="13"/>
  <c r="BQ181" i="13"/>
  <c r="BR181" i="13"/>
  <c r="BX181" i="13"/>
  <c r="BM177" i="13"/>
  <c r="BL177" i="13"/>
  <c r="BN177" i="13"/>
  <c r="BQ177" i="13"/>
  <c r="BV177" i="13"/>
  <c r="BW177" i="13"/>
  <c r="BO177" i="13"/>
  <c r="AU185" i="13"/>
  <c r="AT177" i="13"/>
  <c r="AR177" i="13"/>
  <c r="BL212" i="13"/>
  <c r="BQ212" i="13"/>
  <c r="BO212" i="13"/>
  <c r="BM212" i="13"/>
  <c r="BU212" i="13"/>
  <c r="BW212" i="13"/>
  <c r="BY212" i="13"/>
  <c r="CA212" i="13"/>
  <c r="CC212" i="13"/>
  <c r="BL207" i="13"/>
  <c r="BM207" i="13"/>
  <c r="BQ207" i="13"/>
  <c r="BU207" i="13"/>
  <c r="BY207" i="13"/>
  <c r="CC207" i="13"/>
  <c r="BO207" i="13"/>
  <c r="BW207" i="13"/>
  <c r="CA207" i="13"/>
  <c r="BS218" i="13"/>
  <c r="BI143" i="13"/>
  <c r="BG143" i="13"/>
  <c r="BE143" i="13"/>
  <c r="BC143" i="13"/>
  <c r="BA143" i="13"/>
  <c r="AY143" i="13"/>
  <c r="BL192" i="13"/>
  <c r="BO192" i="13"/>
  <c r="BW192" i="13"/>
  <c r="BE186" i="13"/>
  <c r="BB177" i="13"/>
  <c r="BF211" i="13"/>
  <c r="BW218" i="13"/>
  <c r="AQ164" i="13"/>
  <c r="CC183" i="13"/>
  <c r="BU179" i="13"/>
  <c r="BN211" i="13"/>
  <c r="BR211" i="13"/>
  <c r="BE184" i="13"/>
  <c r="BE176" i="13"/>
  <c r="AW184" i="13"/>
  <c r="AV184" i="13"/>
  <c r="AT180" i="13"/>
  <c r="CC211" i="13"/>
  <c r="CA211" i="13"/>
  <c r="BY211" i="13"/>
  <c r="BW211" i="13"/>
  <c r="BU211" i="13"/>
  <c r="BP211" i="13"/>
  <c r="BM211" i="13"/>
  <c r="AS213" i="13"/>
  <c r="AW213" i="13"/>
  <c r="BA213" i="13"/>
  <c r="BE213" i="13"/>
  <c r="BI213" i="13"/>
  <c r="AS208" i="13"/>
  <c r="AW208" i="13"/>
  <c r="BA208" i="13"/>
  <c r="BE208" i="13"/>
  <c r="BI208" i="13"/>
  <c r="BN220" i="13"/>
  <c r="BR220" i="13"/>
  <c r="BV220" i="13"/>
  <c r="BZ220" i="13"/>
  <c r="CD220" i="13"/>
  <c r="BL220" i="13"/>
  <c r="BP220" i="13"/>
  <c r="BT220" i="13"/>
  <c r="BX220" i="13"/>
  <c r="CB220" i="13"/>
  <c r="BN216" i="13"/>
  <c r="BR216" i="13"/>
  <c r="BV216" i="13"/>
  <c r="BZ216" i="13"/>
  <c r="CD216" i="13"/>
  <c r="BL216" i="13"/>
  <c r="BP216" i="13"/>
  <c r="BT216" i="13"/>
  <c r="BX216" i="13"/>
  <c r="CB216" i="13"/>
  <c r="BI146" i="13"/>
  <c r="BI142" i="13"/>
  <c r="BH146" i="13"/>
  <c r="BH142" i="13"/>
  <c r="BG146" i="13"/>
  <c r="BG142" i="13"/>
  <c r="BF146" i="13"/>
  <c r="BF142" i="13"/>
  <c r="BE146" i="13"/>
  <c r="BE142" i="13"/>
  <c r="BD146" i="13"/>
  <c r="BD142" i="13"/>
  <c r="BC146" i="13"/>
  <c r="BC142" i="13"/>
  <c r="BB146" i="13"/>
  <c r="BB142" i="13"/>
  <c r="BA146" i="13"/>
  <c r="BA142" i="13"/>
  <c r="AZ146" i="13"/>
  <c r="AZ142" i="13"/>
  <c r="AY146" i="13"/>
  <c r="AY142" i="13"/>
  <c r="AX146" i="13"/>
  <c r="AX142" i="13"/>
  <c r="AW146" i="13"/>
  <c r="AW142" i="13"/>
  <c r="AV146" i="13"/>
  <c r="AV142" i="13"/>
  <c r="AU146" i="13"/>
  <c r="AU142" i="13"/>
  <c r="AT146" i="13"/>
  <c r="AT142" i="13"/>
  <c r="AS146" i="13"/>
  <c r="AS142" i="13"/>
  <c r="AR146" i="13"/>
  <c r="AR142" i="13"/>
  <c r="AU191" i="13"/>
  <c r="CA189" i="13"/>
  <c r="BM189" i="13"/>
  <c r="CC179" i="13"/>
  <c r="BY179" i="13"/>
  <c r="BW184" i="13"/>
  <c r="BW180" i="13"/>
  <c r="BW176" i="13"/>
  <c r="BU183" i="13"/>
  <c r="BH184" i="13"/>
  <c r="BH176" i="13"/>
  <c r="BF180" i="13"/>
  <c r="BD183" i="13"/>
  <c r="AZ184" i="13"/>
  <c r="AZ180" i="13"/>
  <c r="AZ176" i="13"/>
  <c r="AY180" i="13"/>
  <c r="AV176" i="13"/>
  <c r="AT184" i="13"/>
  <c r="AS180" i="13"/>
  <c r="AR180" i="13"/>
  <c r="AQ180" i="13"/>
  <c r="CD211" i="13"/>
  <c r="BZ211" i="13"/>
  <c r="BV211" i="13"/>
  <c r="BO211" i="13"/>
  <c r="BH213" i="13"/>
  <c r="BG208" i="13"/>
  <c r="BC213" i="13"/>
  <c r="AV208" i="13"/>
  <c r="AT213" i="13"/>
  <c r="AT208" i="13"/>
  <c r="AR213" i="13"/>
  <c r="AQ208" i="13"/>
  <c r="AR212" i="13"/>
  <c r="AV212" i="13"/>
  <c r="AZ212" i="13"/>
  <c r="BD212" i="13"/>
  <c r="BH212" i="13"/>
  <c r="AR207" i="13"/>
  <c r="AV207" i="13"/>
  <c r="AZ207" i="13"/>
  <c r="BD207" i="13"/>
  <c r="BH207" i="13"/>
  <c r="BY216" i="13"/>
  <c r="BC220" i="13"/>
  <c r="BC216" i="13"/>
  <c r="AY220" i="13"/>
  <c r="AY216" i="13"/>
  <c r="AU220" i="13"/>
  <c r="AU216" i="13"/>
  <c r="AQ220" i="13"/>
  <c r="AQ216" i="13"/>
  <c r="AZ220" i="13"/>
  <c r="AZ216" i="13"/>
  <c r="AV220" i="13"/>
  <c r="AV216" i="13"/>
  <c r="AR220" i="13"/>
  <c r="AR216" i="13"/>
  <c r="BU219" i="13"/>
  <c r="BU215" i="13"/>
  <c r="BQ219" i="13"/>
  <c r="BQ215" i="13"/>
  <c r="BA220" i="13"/>
  <c r="BA216" i="13"/>
  <c r="AW220" i="13"/>
  <c r="AW216" i="13"/>
  <c r="AQ147" i="13"/>
  <c r="CA191" i="13"/>
  <c r="BM184" i="13"/>
  <c r="BR184" i="13"/>
  <c r="BU184" i="13"/>
  <c r="BX184" i="13"/>
  <c r="BZ184" i="13"/>
  <c r="CC184" i="13"/>
  <c r="BL184" i="13"/>
  <c r="BM180" i="13"/>
  <c r="BV180" i="13"/>
  <c r="BY180" i="13"/>
  <c r="CB180" i="13"/>
  <c r="CD180" i="13"/>
  <c r="BL176" i="13"/>
  <c r="BU176" i="13"/>
  <c r="CC176" i="13"/>
  <c r="AQ183" i="13"/>
  <c r="BE183" i="13"/>
  <c r="BG183" i="13"/>
  <c r="BI183" i="13"/>
  <c r="BB183" i="13"/>
  <c r="BF183" i="13"/>
  <c r="BH183" i="13"/>
  <c r="AQ179" i="13"/>
  <c r="AX179" i="13"/>
  <c r="BD179" i="13"/>
  <c r="BE179" i="13"/>
  <c r="BG179" i="13"/>
  <c r="BI179" i="13"/>
  <c r="BF179" i="13"/>
  <c r="BH179" i="13"/>
  <c r="BL187" i="13"/>
  <c r="BS187" i="13"/>
  <c r="BI148" i="13"/>
  <c r="AX148" i="13"/>
  <c r="BG156" i="13"/>
  <c r="CB151" i="13"/>
  <c r="BO152" i="13"/>
  <c r="BY191" i="13"/>
  <c r="BM191" i="13"/>
  <c r="BF192" i="13"/>
  <c r="CA187" i="13"/>
  <c r="BO187" i="13"/>
  <c r="AQ189" i="13"/>
  <c r="AX189" i="13"/>
  <c r="BB189" i="13"/>
  <c r="BF189" i="13"/>
  <c r="CB176" i="13"/>
  <c r="CA176" i="13"/>
  <c r="BX180" i="13"/>
  <c r="BV184" i="13"/>
  <c r="BV176" i="13"/>
  <c r="BR176" i="13"/>
  <c r="BQ180" i="13"/>
  <c r="AR179" i="13"/>
  <c r="BB187" i="13"/>
  <c r="BI187" i="13"/>
  <c r="AS150" i="13"/>
  <c r="CC191" i="13"/>
  <c r="CC190" i="13"/>
  <c r="CA186" i="13"/>
  <c r="BV186" i="13"/>
  <c r="BN186" i="13"/>
  <c r="BS188" i="13"/>
  <c r="BN188" i="13"/>
  <c r="BW188" i="13"/>
  <c r="CA188" i="13"/>
  <c r="CD188" i="13"/>
  <c r="AW188" i="13"/>
  <c r="AT188" i="13"/>
  <c r="CD184" i="13"/>
  <c r="CD176" i="13"/>
  <c r="CA180" i="13"/>
  <c r="BZ176" i="13"/>
  <c r="BY176" i="13"/>
  <c r="BX176" i="13"/>
  <c r="BT184" i="13"/>
  <c r="BS184" i="13"/>
  <c r="BS176" i="13"/>
  <c r="BP176" i="13"/>
  <c r="BO180" i="13"/>
  <c r="BN176" i="13"/>
  <c r="BL178" i="13"/>
  <c r="BN178" i="13"/>
  <c r="BP178" i="13"/>
  <c r="BT178" i="13"/>
  <c r="BB179" i="13"/>
  <c r="AX183" i="13"/>
  <c r="AT183" i="13"/>
  <c r="AT179" i="13"/>
  <c r="AR183" i="13"/>
  <c r="AX185" i="13"/>
  <c r="BA185" i="13"/>
  <c r="BD185" i="13"/>
  <c r="BF185" i="13"/>
  <c r="BH185" i="13"/>
  <c r="BE185" i="13"/>
  <c r="BG185" i="13"/>
  <c r="BI185" i="13"/>
  <c r="AQ181" i="13"/>
  <c r="AU181" i="13"/>
  <c r="BB181" i="13"/>
  <c r="BF181" i="13"/>
  <c r="BH181" i="13"/>
  <c r="AS181" i="13"/>
  <c r="AW181" i="13"/>
  <c r="BE181" i="13"/>
  <c r="BG181" i="13"/>
  <c r="BI181" i="13"/>
  <c r="AS177" i="13"/>
  <c r="AW177" i="13"/>
  <c r="BF177" i="13"/>
  <c r="BH177" i="13"/>
  <c r="AQ177" i="13"/>
  <c r="AU177" i="13"/>
  <c r="AX177" i="13"/>
  <c r="AY177" i="13"/>
  <c r="BA177" i="13"/>
  <c r="BD177" i="13"/>
  <c r="BE177" i="13"/>
  <c r="BG177" i="13"/>
  <c r="BI177" i="13"/>
  <c r="BN214" i="13"/>
  <c r="BR214" i="13"/>
  <c r="BV214" i="13"/>
  <c r="BZ214" i="13"/>
  <c r="CD214" i="13"/>
  <c r="BM214" i="13"/>
  <c r="BQ214" i="13"/>
  <c r="BU214" i="13"/>
  <c r="BY214" i="13"/>
  <c r="CC214" i="13"/>
  <c r="BL214" i="13"/>
  <c r="BP214" i="13"/>
  <c r="BT214" i="13"/>
  <c r="BX214" i="13"/>
  <c r="CB214" i="13"/>
  <c r="BN209" i="13"/>
  <c r="BR209" i="13"/>
  <c r="BV209" i="13"/>
  <c r="BZ209" i="13"/>
  <c r="CD209" i="13"/>
  <c r="BM209" i="13"/>
  <c r="BQ209" i="13"/>
  <c r="BU209" i="13"/>
  <c r="BY209" i="13"/>
  <c r="CC209" i="13"/>
  <c r="BL209" i="13"/>
  <c r="BP209" i="13"/>
  <c r="BT209" i="13"/>
  <c r="BX209" i="13"/>
  <c r="CB209" i="13"/>
  <c r="CD212" i="13"/>
  <c r="CD207" i="13"/>
  <c r="BZ212" i="13"/>
  <c r="BZ207" i="13"/>
  <c r="BV212" i="13"/>
  <c r="BV207" i="13"/>
  <c r="BR212" i="13"/>
  <c r="BR207" i="13"/>
  <c r="BN212" i="13"/>
  <c r="BN207" i="13"/>
  <c r="CA183" i="13"/>
  <c r="CA179" i="13"/>
  <c r="AV182" i="13"/>
  <c r="AV178" i="13"/>
  <c r="AR182" i="13"/>
  <c r="AR178" i="13"/>
  <c r="CC213" i="13"/>
  <c r="CC208" i="13"/>
  <c r="CB212" i="13"/>
  <c r="CB207" i="13"/>
  <c r="BY213" i="13"/>
  <c r="BY208" i="13"/>
  <c r="BX212" i="13"/>
  <c r="BX207" i="13"/>
  <c r="BU213" i="13"/>
  <c r="BU208" i="13"/>
  <c r="BT212" i="13"/>
  <c r="BT207" i="13"/>
  <c r="BQ213" i="13"/>
  <c r="BQ208" i="13"/>
  <c r="BP212" i="13"/>
  <c r="BP207" i="13"/>
  <c r="AX160" i="13"/>
  <c r="AZ153" i="13"/>
  <c r="CD190" i="13"/>
  <c r="CC186" i="13"/>
  <c r="BZ190" i="13"/>
  <c r="BX190" i="13"/>
  <c r="BU186" i="13"/>
  <c r="BS186" i="13"/>
  <c r="BP190" i="13"/>
  <c r="BI190" i="13"/>
  <c r="BG148" i="13"/>
  <c r="BB148" i="13"/>
  <c r="AW148" i="13"/>
  <c r="BV158" i="13"/>
  <c r="AQ160" i="13"/>
  <c r="BC164" i="13"/>
  <c r="CB153" i="13"/>
  <c r="AX153" i="13"/>
  <c r="BT151" i="13"/>
  <c r="BW152" i="13"/>
  <c r="BU191" i="13"/>
  <c r="AX192" i="13"/>
  <c r="CB190" i="13"/>
  <c r="BZ186" i="13"/>
  <c r="BX186" i="13"/>
  <c r="BW186" i="13"/>
  <c r="BT190" i="13"/>
  <c r="BR190" i="13"/>
  <c r="BP186" i="13"/>
  <c r="BO186" i="13"/>
  <c r="BM186" i="13"/>
  <c r="BI189" i="13"/>
  <c r="BH186" i="13"/>
  <c r="BE190" i="13"/>
  <c r="BC190" i="13"/>
  <c r="BB186" i="13"/>
  <c r="AZ186" i="13"/>
  <c r="AX187" i="13"/>
  <c r="AU189" i="13"/>
  <c r="AT187" i="13"/>
  <c r="AR189" i="13"/>
  <c r="CD181" i="13"/>
  <c r="CC182" i="13"/>
  <c r="CC178" i="13"/>
  <c r="CB178" i="13"/>
  <c r="BZ181" i="13"/>
  <c r="BY182" i="13"/>
  <c r="BY178" i="13"/>
  <c r="BX178" i="13"/>
  <c r="BV181" i="13"/>
  <c r="BU182" i="13"/>
  <c r="BU178" i="13"/>
  <c r="BT177" i="13"/>
  <c r="BS183" i="13"/>
  <c r="BS179" i="13"/>
  <c r="BR185" i="13"/>
  <c r="BR177" i="13"/>
  <c r="BQ183" i="13"/>
  <c r="BQ179" i="13"/>
  <c r="BP185" i="13"/>
  <c r="BP177" i="13"/>
  <c r="BO183" i="13"/>
  <c r="BO179" i="13"/>
  <c r="BN185" i="13"/>
  <c r="BM178" i="13"/>
  <c r="BL181" i="13"/>
  <c r="BD184" i="13"/>
  <c r="BD180" i="13"/>
  <c r="BD176" i="13"/>
  <c r="BB184" i="13"/>
  <c r="BB180" i="13"/>
  <c r="BB176" i="13"/>
  <c r="BA176" i="13"/>
  <c r="AY184" i="13"/>
  <c r="AX184" i="13"/>
  <c r="AX180" i="13"/>
  <c r="AX176" i="13"/>
  <c r="AW176" i="13"/>
  <c r="AU184" i="13"/>
  <c r="AU176" i="13"/>
  <c r="AS184" i="13"/>
  <c r="AS176" i="13"/>
  <c r="BF148" i="13"/>
  <c r="BA148" i="13"/>
  <c r="AU148" i="13"/>
  <c r="AQ159" i="13"/>
  <c r="AV164" i="13"/>
  <c r="AQ153" i="13"/>
  <c r="BS152" i="13"/>
  <c r="CD186" i="13"/>
  <c r="CB186" i="13"/>
  <c r="BY190" i="13"/>
  <c r="BW190" i="13"/>
  <c r="BS190" i="13"/>
  <c r="BO190" i="13"/>
  <c r="BG189" i="13"/>
  <c r="BE189" i="13"/>
  <c r="BC189" i="13"/>
  <c r="BA189" i="13"/>
  <c r="AY189" i="13"/>
  <c r="AW189" i="13"/>
  <c r="AU186" i="13"/>
  <c r="AS190" i="13"/>
  <c r="CD185" i="13"/>
  <c r="CC185" i="13"/>
  <c r="CC181" i="13"/>
  <c r="CC177" i="13"/>
  <c r="CB182" i="13"/>
  <c r="CB177" i="13"/>
  <c r="BZ185" i="13"/>
  <c r="BY185" i="13"/>
  <c r="BY181" i="13"/>
  <c r="BY177" i="13"/>
  <c r="BX182" i="13"/>
  <c r="BX177" i="13"/>
  <c r="BV185" i="13"/>
  <c r="BU185" i="13"/>
  <c r="BU181" i="13"/>
  <c r="BU177" i="13"/>
  <c r="BT182" i="13"/>
  <c r="BS182" i="13"/>
  <c r="BS178" i="13"/>
  <c r="BQ182" i="13"/>
  <c r="BQ178" i="13"/>
  <c r="BO182" i="13"/>
  <c r="BO178" i="13"/>
  <c r="BH148" i="13"/>
  <c r="BD148" i="13"/>
  <c r="AZ148" i="13"/>
  <c r="AV148" i="13"/>
  <c r="BW158" i="13"/>
  <c r="BI160" i="13"/>
  <c r="AU156" i="13"/>
  <c r="BG153" i="13"/>
  <c r="AV153" i="13"/>
  <c r="CA151" i="13"/>
  <c r="BG151" i="13"/>
  <c r="AQ151" i="13"/>
  <c r="BX152" i="13"/>
  <c r="BP152" i="13"/>
  <c r="BW191" i="13"/>
  <c r="BS192" i="13"/>
  <c r="BH191" i="13"/>
  <c r="AX191" i="13"/>
  <c r="AT191" i="13"/>
  <c r="AQ191" i="13"/>
  <c r="CD189" i="13"/>
  <c r="CC189" i="13"/>
  <c r="BV189" i="13"/>
  <c r="BM190" i="13"/>
  <c r="BN190" i="13"/>
  <c r="BU190" i="13"/>
  <c r="BV190" i="13"/>
  <c r="BL186" i="13"/>
  <c r="BQ186" i="13"/>
  <c r="BT186" i="13"/>
  <c r="BY186" i="13"/>
  <c r="BI186" i="13"/>
  <c r="BH187" i="13"/>
  <c r="BG187" i="13"/>
  <c r="BF186" i="13"/>
  <c r="BD190" i="13"/>
  <c r="BA188" i="13"/>
  <c r="AZ188" i="13"/>
  <c r="AY188" i="13"/>
  <c r="AX188" i="13"/>
  <c r="AV186" i="13"/>
  <c r="AR186" i="13"/>
  <c r="BT180" i="13"/>
  <c r="BR182" i="13"/>
  <c r="BP180" i="13"/>
  <c r="BN182" i="13"/>
  <c r="BL180" i="13"/>
  <c r="BL189" i="13"/>
  <c r="BO189" i="13"/>
  <c r="BW189" i="13"/>
  <c r="AR188" i="13"/>
  <c r="BB188" i="13"/>
  <c r="BC188" i="13"/>
  <c r="BD188" i="13"/>
  <c r="BE188" i="13"/>
  <c r="BI188" i="13"/>
  <c r="BP158" i="13"/>
  <c r="BB156" i="13"/>
  <c r="BS153" i="13"/>
  <c r="BL151" i="13"/>
  <c r="AY151" i="13"/>
  <c r="CB152" i="13"/>
  <c r="BT152" i="13"/>
  <c r="BL152" i="13"/>
  <c r="AV191" i="13"/>
  <c r="BZ189" i="13"/>
  <c r="BN189" i="13"/>
  <c r="BL188" i="13"/>
  <c r="BR188" i="13"/>
  <c r="BZ188" i="13"/>
  <c r="BD186" i="13"/>
  <c r="BB190" i="13"/>
  <c r="BA190" i="13"/>
  <c r="AZ190" i="13"/>
  <c r="AY190" i="13"/>
  <c r="AX190" i="13"/>
  <c r="AX186" i="13"/>
  <c r="AU188" i="13"/>
  <c r="AQ187" i="13"/>
  <c r="BF187" i="13"/>
  <c r="BR180" i="13"/>
  <c r="BP182" i="13"/>
  <c r="BN180" i="13"/>
  <c r="BL183" i="13"/>
  <c r="BN183" i="13"/>
  <c r="BP183" i="13"/>
  <c r="BR183" i="13"/>
  <c r="BT183" i="13"/>
  <c r="BV183" i="13"/>
  <c r="BX183" i="13"/>
  <c r="BZ183" i="13"/>
  <c r="CB183" i="13"/>
  <c r="CD183" i="13"/>
  <c r="BL179" i="13"/>
  <c r="BN179" i="13"/>
  <c r="BP179" i="13"/>
  <c r="BR179" i="13"/>
  <c r="BT179" i="13"/>
  <c r="BV179" i="13"/>
  <c r="BX179" i="13"/>
  <c r="BZ179" i="13"/>
  <c r="CB179" i="13"/>
  <c r="CD179" i="13"/>
  <c r="AX151" i="13"/>
  <c r="BI191" i="13"/>
  <c r="BG191" i="13"/>
  <c r="BB191" i="13"/>
  <c r="BA191" i="13"/>
  <c r="AZ191" i="13"/>
  <c r="AY191" i="13"/>
  <c r="AW191" i="13"/>
  <c r="AS191" i="13"/>
  <c r="BU189" i="13"/>
  <c r="BS189" i="13"/>
  <c r="BQ189" i="13"/>
  <c r="BH188" i="13"/>
  <c r="BG188" i="13"/>
  <c r="BF188" i="13"/>
  <c r="AV188" i="13"/>
  <c r="AQ190" i="13"/>
  <c r="AT190" i="13"/>
  <c r="AU190" i="13"/>
  <c r="AV190" i="13"/>
  <c r="AW190" i="13"/>
  <c r="BG190" i="13"/>
  <c r="AS186" i="13"/>
  <c r="AT186" i="13"/>
  <c r="BG186" i="13"/>
  <c r="BN184" i="13"/>
  <c r="BM176" i="13"/>
  <c r="BA183" i="13"/>
  <c r="BA179" i="13"/>
  <c r="AY183" i="13"/>
  <c r="AY179" i="13"/>
  <c r="AW183" i="13"/>
  <c r="AW179" i="13"/>
  <c r="AU183" i="13"/>
  <c r="AU179" i="13"/>
  <c r="AS183" i="13"/>
  <c r="AS179" i="13"/>
  <c r="AU182" i="13"/>
  <c r="AU178" i="13"/>
  <c r="AS182" i="13"/>
  <c r="AS178" i="13"/>
  <c r="BQ191" i="13"/>
  <c r="BO191" i="13"/>
  <c r="AQ158" i="13"/>
  <c r="BI150" i="13"/>
  <c r="BG150" i="13"/>
  <c r="BE150" i="13"/>
  <c r="BC150" i="13"/>
  <c r="BA150" i="13"/>
  <c r="AY150" i="13"/>
  <c r="AW150" i="13"/>
  <c r="AU150" i="13"/>
  <c r="BG160" i="13"/>
  <c r="AY156" i="13"/>
  <c r="AT156" i="13"/>
  <c r="AQ156" i="13"/>
  <c r="BM153" i="13"/>
  <c r="BS151" i="13"/>
  <c r="BF151" i="13"/>
  <c r="AU151" i="13"/>
  <c r="CB191" i="13"/>
  <c r="BZ191" i="13"/>
  <c r="BT191" i="13"/>
  <c r="BR191" i="13"/>
  <c r="BL191" i="13"/>
  <c r="BF191" i="13"/>
  <c r="BE191" i="13"/>
  <c r="BD191" i="13"/>
  <c r="BB192" i="13"/>
  <c r="CD187" i="13"/>
  <c r="CC188" i="13"/>
  <c r="CB189" i="13"/>
  <c r="BZ187" i="13"/>
  <c r="BY188" i="13"/>
  <c r="BX189" i="13"/>
  <c r="BV187" i="13"/>
  <c r="BU188" i="13"/>
  <c r="BT189" i="13"/>
  <c r="BR187" i="13"/>
  <c r="BQ188" i="13"/>
  <c r="BP189" i="13"/>
  <c r="BN187" i="13"/>
  <c r="BM188" i="13"/>
  <c r="BE187" i="13"/>
  <c r="BA187" i="13"/>
  <c r="AW187" i="13"/>
  <c r="AS187" i="13"/>
  <c r="BF152" i="13"/>
  <c r="CC187" i="13"/>
  <c r="CB188" i="13"/>
  <c r="BY187" i="13"/>
  <c r="BX188" i="13"/>
  <c r="BU187" i="13"/>
  <c r="BT188" i="13"/>
  <c r="BQ187" i="13"/>
  <c r="BP188" i="13"/>
  <c r="BM187" i="13"/>
  <c r="BD187" i="13"/>
  <c r="AZ187" i="13"/>
  <c r="AV187" i="13"/>
  <c r="AR187" i="13"/>
  <c r="BH150" i="13"/>
  <c r="BF150" i="13"/>
  <c r="BD150" i="13"/>
  <c r="BB150" i="13"/>
  <c r="AZ150" i="13"/>
  <c r="AX150" i="13"/>
  <c r="AV150" i="13"/>
  <c r="AT150" i="13"/>
  <c r="CA155" i="13"/>
  <c r="AY155" i="13"/>
  <c r="BC160" i="13"/>
  <c r="AU160" i="13"/>
  <c r="BX153" i="13"/>
  <c r="AX152" i="13"/>
  <c r="CD191" i="13"/>
  <c r="BX191" i="13"/>
  <c r="BV191" i="13"/>
  <c r="BP191" i="13"/>
  <c r="BG192" i="13"/>
  <c r="AT192" i="13"/>
  <c r="CB187" i="13"/>
  <c r="BX187" i="13"/>
  <c r="BT187" i="13"/>
  <c r="BP187" i="13"/>
  <c r="BC187" i="13"/>
  <c r="AY187" i="13"/>
  <c r="AU187" i="13"/>
  <c r="BC163" i="13"/>
  <c r="BI147" i="13"/>
  <c r="BH147" i="13"/>
  <c r="BG147" i="13"/>
  <c r="BF147" i="13"/>
  <c r="BE147" i="13"/>
  <c r="BD147" i="13"/>
  <c r="BC147" i="13"/>
  <c r="BB147" i="13"/>
  <c r="BA147" i="13"/>
  <c r="AZ147" i="13"/>
  <c r="AY147" i="13"/>
  <c r="AX147" i="13"/>
  <c r="AW147" i="13"/>
  <c r="AV147" i="13"/>
  <c r="AU147" i="13"/>
  <c r="AQ150" i="13"/>
  <c r="BX158" i="13"/>
  <c r="BU153" i="13"/>
  <c r="BL153" i="13"/>
  <c r="BC153" i="13"/>
  <c r="AR153" i="13"/>
  <c r="BB151" i="13"/>
  <c r="AT151" i="13"/>
  <c r="BC152" i="13"/>
  <c r="AU152" i="13"/>
  <c r="CD192" i="13"/>
  <c r="BZ192" i="13"/>
  <c r="BV192" i="13"/>
  <c r="BR192" i="13"/>
  <c r="BN192" i="13"/>
  <c r="BI192" i="13"/>
  <c r="BE192" i="13"/>
  <c r="BA192" i="13"/>
  <c r="AW192" i="13"/>
  <c r="AS192" i="13"/>
  <c r="BI152" i="13"/>
  <c r="BB152" i="13"/>
  <c r="AT152" i="13"/>
  <c r="CC192" i="13"/>
  <c r="BY192" i="13"/>
  <c r="BU192" i="13"/>
  <c r="BQ192" i="13"/>
  <c r="BM192" i="13"/>
  <c r="BD192" i="13"/>
  <c r="AZ192" i="13"/>
  <c r="AV192" i="13"/>
  <c r="AR192" i="13"/>
  <c r="BI149" i="13"/>
  <c r="BH149" i="13"/>
  <c r="BG149" i="13"/>
  <c r="BF149" i="13"/>
  <c r="BE149" i="13"/>
  <c r="BD149" i="13"/>
  <c r="BC149" i="13"/>
  <c r="BB149" i="13"/>
  <c r="BA149" i="13"/>
  <c r="AZ149" i="13"/>
  <c r="AY149" i="13"/>
  <c r="AX149" i="13"/>
  <c r="AW149" i="13"/>
  <c r="AV149" i="13"/>
  <c r="AU149" i="13"/>
  <c r="AT149" i="13"/>
  <c r="BA159" i="13"/>
  <c r="BU164" i="13"/>
  <c r="CA153" i="13"/>
  <c r="BQ153" i="13"/>
  <c r="BG152" i="13"/>
  <c r="AY152" i="13"/>
  <c r="AQ152" i="13"/>
  <c r="CB192" i="13"/>
  <c r="BX192" i="13"/>
  <c r="BT192" i="13"/>
  <c r="BP192" i="13"/>
  <c r="BC192" i="13"/>
  <c r="AY192" i="13"/>
  <c r="AU192" i="13"/>
  <c r="AS147" i="13"/>
  <c r="BV155" i="13"/>
  <c r="BE159" i="13"/>
  <c r="AZ159" i="13"/>
  <c r="CB164" i="13"/>
  <c r="BQ164" i="13"/>
  <c r="AT161" i="13"/>
  <c r="CA164" i="13"/>
  <c r="BP164" i="13"/>
  <c r="BX151" i="13"/>
  <c r="BP151" i="13"/>
  <c r="CD152" i="13"/>
  <c r="BZ152" i="13"/>
  <c r="BV152" i="13"/>
  <c r="BR152" i="13"/>
  <c r="BN152" i="13"/>
  <c r="BE152" i="13"/>
  <c r="BA152" i="13"/>
  <c r="AW152" i="13"/>
  <c r="AS152" i="13"/>
  <c r="AT147" i="13"/>
  <c r="AT155" i="13"/>
  <c r="BP159" i="13"/>
  <c r="BW164" i="13"/>
  <c r="BL164" i="13"/>
  <c r="AX164" i="13"/>
  <c r="CC153" i="13"/>
  <c r="BW153" i="13"/>
  <c r="BP153" i="13"/>
  <c r="BH153" i="13"/>
  <c r="BB153" i="13"/>
  <c r="AU153" i="13"/>
  <c r="BW151" i="13"/>
  <c r="BO151" i="13"/>
  <c r="CC152" i="13"/>
  <c r="BY152" i="13"/>
  <c r="BU152" i="13"/>
  <c r="BQ152" i="13"/>
  <c r="BH152" i="13"/>
  <c r="BD152" i="13"/>
  <c r="AZ152" i="13"/>
  <c r="AV152" i="13"/>
  <c r="AQ149" i="13"/>
  <c r="CB156" i="13"/>
  <c r="BX156" i="13"/>
  <c r="BS160" i="13"/>
  <c r="AR149" i="13"/>
  <c r="BT162" i="13"/>
  <c r="CA156" i="13"/>
  <c r="BS159" i="13"/>
  <c r="BO156" i="13"/>
  <c r="BI156" i="13"/>
  <c r="BF160" i="13"/>
  <c r="BC156" i="13"/>
  <c r="AX156" i="13"/>
  <c r="AT160" i="13"/>
  <c r="BY164" i="13"/>
  <c r="BT164" i="13"/>
  <c r="BO164" i="13"/>
  <c r="BH164" i="13"/>
  <c r="BB164" i="13"/>
  <c r="AU164" i="13"/>
  <c r="CD151" i="13"/>
  <c r="BZ151" i="13"/>
  <c r="BV151" i="13"/>
  <c r="BR151" i="13"/>
  <c r="BN151" i="13"/>
  <c r="BI151" i="13"/>
  <c r="BE151" i="13"/>
  <c r="BA151" i="13"/>
  <c r="AW151" i="13"/>
  <c r="AS151" i="13"/>
  <c r="CD163" i="13"/>
  <c r="CA161" i="13"/>
  <c r="BN155" i="13"/>
  <c r="BC155" i="13"/>
  <c r="AS155" i="13"/>
  <c r="BZ158" i="13"/>
  <c r="BW156" i="13"/>
  <c r="BP160" i="13"/>
  <c r="BL160" i="13"/>
  <c r="BH159" i="13"/>
  <c r="BF156" i="13"/>
  <c r="BB160" i="13"/>
  <c r="AY160" i="13"/>
  <c r="AV159" i="13"/>
  <c r="AT157" i="13"/>
  <c r="CC164" i="13"/>
  <c r="BX164" i="13"/>
  <c r="BS164" i="13"/>
  <c r="BM164" i="13"/>
  <c r="BG164" i="13"/>
  <c r="AZ164" i="13"/>
  <c r="AR164" i="13"/>
  <c r="BY153" i="13"/>
  <c r="BT153" i="13"/>
  <c r="BO153" i="13"/>
  <c r="BI153" i="13"/>
  <c r="BD153" i="13"/>
  <c r="AY153" i="13"/>
  <c r="AT153" i="13"/>
  <c r="CC151" i="13"/>
  <c r="BY151" i="13"/>
  <c r="BU151" i="13"/>
  <c r="BQ151" i="13"/>
  <c r="BH151" i="13"/>
  <c r="BD151" i="13"/>
  <c r="AZ151" i="13"/>
  <c r="AV151" i="13"/>
  <c r="BT163" i="13"/>
  <c r="BA163" i="13"/>
  <c r="BY155" i="13"/>
  <c r="BM155" i="13"/>
  <c r="BI155" i="13"/>
  <c r="AX155" i="13"/>
  <c r="CA160" i="13"/>
  <c r="BX160" i="13"/>
  <c r="BW160" i="13"/>
  <c r="BS156" i="13"/>
  <c r="BL159" i="13"/>
  <c r="BI159" i="13"/>
  <c r="BF159" i="13"/>
  <c r="BD159" i="13"/>
  <c r="BB159" i="13"/>
  <c r="AX159" i="13"/>
  <c r="AT148" i="13"/>
  <c r="AS148" i="13"/>
  <c r="AR148" i="13"/>
  <c r="CC155" i="13"/>
  <c r="BW161" i="13"/>
  <c r="BS155" i="13"/>
  <c r="BE155" i="13"/>
  <c r="CB160" i="13"/>
  <c r="CA159" i="13"/>
  <c r="BX159" i="13"/>
  <c r="BW159" i="13"/>
  <c r="BT160" i="13"/>
  <c r="BR158" i="13"/>
  <c r="BO160" i="13"/>
  <c r="BL158" i="13"/>
  <c r="BI157" i="13"/>
  <c r="BG159" i="13"/>
  <c r="BF157" i="13"/>
  <c r="AY159" i="13"/>
  <c r="AX157" i="13"/>
  <c r="BD164" i="13"/>
  <c r="AY164" i="13"/>
  <c r="AT164" i="13"/>
  <c r="CD153" i="13"/>
  <c r="BZ153" i="13"/>
  <c r="BV153" i="13"/>
  <c r="BR153" i="13"/>
  <c r="BE153" i="13"/>
  <c r="BA153" i="13"/>
  <c r="AW153" i="13"/>
  <c r="BW155" i="13"/>
  <c r="BR155" i="13"/>
  <c r="CB159" i="13"/>
  <c r="BO157" i="13"/>
  <c r="AU159" i="13"/>
  <c r="AT159" i="13"/>
  <c r="AR159" i="13"/>
  <c r="AS163" i="13"/>
  <c r="CB155" i="13"/>
  <c r="BX155" i="13"/>
  <c r="BQ155" i="13"/>
  <c r="BH155" i="13"/>
  <c r="BA155" i="13"/>
  <c r="AV155" i="13"/>
  <c r="CD158" i="13"/>
  <c r="CB158" i="13"/>
  <c r="CA158" i="13"/>
  <c r="BY158" i="13"/>
  <c r="BW157" i="13"/>
  <c r="BT159" i="13"/>
  <c r="BS158" i="13"/>
  <c r="BO159" i="13"/>
  <c r="BN158" i="13"/>
  <c r="BC159" i="13"/>
  <c r="BB157" i="13"/>
  <c r="AZ158" i="13"/>
  <c r="AW159" i="13"/>
  <c r="AU158" i="13"/>
  <c r="AT158" i="13"/>
  <c r="CD164" i="13"/>
  <c r="BZ164" i="13"/>
  <c r="BV164" i="13"/>
  <c r="BR164" i="13"/>
  <c r="BI164" i="13"/>
  <c r="BE164" i="13"/>
  <c r="BA164" i="13"/>
  <c r="AW164" i="13"/>
  <c r="BT155" i="13"/>
  <c r="BP155" i="13"/>
  <c r="BG155" i="13"/>
  <c r="AZ155" i="13"/>
  <c r="CC158" i="13"/>
  <c r="CA157" i="13"/>
  <c r="BT158" i="13"/>
  <c r="BS157" i="13"/>
  <c r="BO158" i="13"/>
  <c r="CA163" i="13"/>
  <c r="BR163" i="13"/>
  <c r="BC162" i="13"/>
  <c r="AV162" i="13"/>
  <c r="CC159" i="13"/>
  <c r="BY159" i="13"/>
  <c r="BU159" i="13"/>
  <c r="BQ159" i="13"/>
  <c r="BM159" i="13"/>
  <c r="BG158" i="13"/>
  <c r="BF158" i="13"/>
  <c r="BE158" i="13"/>
  <c r="AV158" i="13"/>
  <c r="AR158" i="13"/>
  <c r="BF125" i="13"/>
  <c r="CA154" i="13"/>
  <c r="BQ163" i="13"/>
  <c r="BI163" i="13"/>
  <c r="AX163" i="13"/>
  <c r="BU158" i="13"/>
  <c r="BT156" i="13"/>
  <c r="BQ158" i="13"/>
  <c r="BP156" i="13"/>
  <c r="BL156" i="13"/>
  <c r="BI158" i="13"/>
  <c r="BH158" i="13"/>
  <c r="BC158" i="13"/>
  <c r="BB158" i="13"/>
  <c r="BA158" i="13"/>
  <c r="BA127" i="13"/>
  <c r="BE125" i="13"/>
  <c r="BW163" i="13"/>
  <c r="BN163" i="13"/>
  <c r="BH163" i="13"/>
  <c r="AU163" i="13"/>
  <c r="BE162" i="13"/>
  <c r="BB155" i="13"/>
  <c r="AX161" i="13"/>
  <c r="AT162" i="13"/>
  <c r="AR155" i="13"/>
  <c r="BD158" i="13"/>
  <c r="AY158" i="13"/>
  <c r="AX158" i="13"/>
  <c r="AW158" i="13"/>
  <c r="CB162" i="13"/>
  <c r="BX162" i="13"/>
  <c r="BO162" i="13"/>
  <c r="BH162" i="13"/>
  <c r="BF162" i="13"/>
  <c r="BA162" i="13"/>
  <c r="AY162" i="13"/>
  <c r="CD157" i="13"/>
  <c r="BZ157" i="13"/>
  <c r="BV157" i="13"/>
  <c r="BR157" i="13"/>
  <c r="BN157" i="13"/>
  <c r="BE157" i="13"/>
  <c r="BA157" i="13"/>
  <c r="AW157" i="13"/>
  <c r="AS157" i="13"/>
  <c r="BF163" i="13"/>
  <c r="AZ163" i="13"/>
  <c r="AR163" i="13"/>
  <c r="CD161" i="13"/>
  <c r="BZ161" i="13"/>
  <c r="BS162" i="13"/>
  <c r="BO161" i="13"/>
  <c r="BL162" i="13"/>
  <c r="BF161" i="13"/>
  <c r="BD162" i="13"/>
  <c r="BB162" i="13"/>
  <c r="AW162" i="13"/>
  <c r="AU162" i="13"/>
  <c r="AQ162" i="13"/>
  <c r="CD160" i="13"/>
  <c r="CD156" i="13"/>
  <c r="CC157" i="13"/>
  <c r="BZ160" i="13"/>
  <c r="BZ156" i="13"/>
  <c r="BY157" i="13"/>
  <c r="BV160" i="13"/>
  <c r="BV156" i="13"/>
  <c r="BU157" i="13"/>
  <c r="BR160" i="13"/>
  <c r="BR156" i="13"/>
  <c r="BQ157" i="13"/>
  <c r="BN160" i="13"/>
  <c r="BN156" i="13"/>
  <c r="BM157" i="13"/>
  <c r="BH157" i="13"/>
  <c r="BE160" i="13"/>
  <c r="BE156" i="13"/>
  <c r="BD157" i="13"/>
  <c r="BA160" i="13"/>
  <c r="BA156" i="13"/>
  <c r="AZ157" i="13"/>
  <c r="AW160" i="13"/>
  <c r="AW156" i="13"/>
  <c r="AV157" i="13"/>
  <c r="AS160" i="13"/>
  <c r="AS156" i="13"/>
  <c r="AR157" i="13"/>
  <c r="BF154" i="13"/>
  <c r="CD155" i="13"/>
  <c r="CA162" i="13"/>
  <c r="BZ155" i="13"/>
  <c r="BW162" i="13"/>
  <c r="BU155" i="13"/>
  <c r="BS161" i="13"/>
  <c r="BP162" i="13"/>
  <c r="BO155" i="13"/>
  <c r="BI162" i="13"/>
  <c r="BG162" i="13"/>
  <c r="BF155" i="13"/>
  <c r="BD155" i="13"/>
  <c r="BB161" i="13"/>
  <c r="AZ162" i="13"/>
  <c r="AX162" i="13"/>
  <c r="AW155" i="13"/>
  <c r="AU155" i="13"/>
  <c r="AS162" i="13"/>
  <c r="CD159" i="13"/>
  <c r="CC160" i="13"/>
  <c r="CC156" i="13"/>
  <c r="CB157" i="13"/>
  <c r="BZ159" i="13"/>
  <c r="BY160" i="13"/>
  <c r="BY156" i="13"/>
  <c r="BX157" i="13"/>
  <c r="BV159" i="13"/>
  <c r="BU160" i="13"/>
  <c r="BU156" i="13"/>
  <c r="BT157" i="13"/>
  <c r="BR159" i="13"/>
  <c r="BQ160" i="13"/>
  <c r="BQ156" i="13"/>
  <c r="BP157" i="13"/>
  <c r="BH160" i="13"/>
  <c r="BH156" i="13"/>
  <c r="BG157" i="13"/>
  <c r="BD160" i="13"/>
  <c r="BD156" i="13"/>
  <c r="BC157" i="13"/>
  <c r="AZ160" i="13"/>
  <c r="AZ156" i="13"/>
  <c r="AY157" i="13"/>
  <c r="AV160" i="13"/>
  <c r="AV156" i="13"/>
  <c r="AU157" i="13"/>
  <c r="AQ125" i="13"/>
  <c r="CC154" i="13"/>
  <c r="BZ163" i="13"/>
  <c r="BW154" i="13"/>
  <c r="BS163" i="13"/>
  <c r="BQ154" i="13"/>
  <c r="BM154" i="13"/>
  <c r="AX154" i="13"/>
  <c r="CC162" i="13"/>
  <c r="CB161" i="13"/>
  <c r="BY162" i="13"/>
  <c r="BX161" i="13"/>
  <c r="BU162" i="13"/>
  <c r="BT161" i="13"/>
  <c r="BQ162" i="13"/>
  <c r="BP161" i="13"/>
  <c r="BM162" i="13"/>
  <c r="BL161" i="13"/>
  <c r="BG161" i="13"/>
  <c r="BC161" i="13"/>
  <c r="AY161" i="13"/>
  <c r="AU161" i="13"/>
  <c r="AQ161" i="13"/>
  <c r="CB163" i="13"/>
  <c r="BY163" i="13"/>
  <c r="BV163" i="13"/>
  <c r="BS154" i="13"/>
  <c r="BO163" i="13"/>
  <c r="BL163" i="13"/>
  <c r="CD162" i="13"/>
  <c r="CC161" i="13"/>
  <c r="BZ162" i="13"/>
  <c r="BY161" i="13"/>
  <c r="BV162" i="13"/>
  <c r="BU161" i="13"/>
  <c r="BR162" i="13"/>
  <c r="BQ161" i="13"/>
  <c r="BM161" i="13"/>
  <c r="BH161" i="13"/>
  <c r="BD161" i="13"/>
  <c r="AZ161" i="13"/>
  <c r="AV161" i="13"/>
  <c r="AR161" i="13"/>
  <c r="BY154" i="13"/>
  <c r="BU154" i="13"/>
  <c r="BO154" i="13"/>
  <c r="BV161" i="13"/>
  <c r="BR161" i="13"/>
  <c r="BI161" i="13"/>
  <c r="BE161" i="13"/>
  <c r="BA161" i="13"/>
  <c r="AW161" i="13"/>
  <c r="BH154" i="13"/>
  <c r="BE163" i="13"/>
  <c r="BB163" i="13"/>
  <c r="AZ154" i="13"/>
  <c r="AW163" i="13"/>
  <c r="AT163" i="13"/>
  <c r="AR154" i="13"/>
  <c r="CC163" i="13"/>
  <c r="BX163" i="13"/>
  <c r="BU163" i="13"/>
  <c r="BP163" i="13"/>
  <c r="BG163" i="13"/>
  <c r="BD163" i="13"/>
  <c r="BB154" i="13"/>
  <c r="AY163" i="13"/>
  <c r="AV163" i="13"/>
  <c r="AT154" i="13"/>
  <c r="BD154" i="13"/>
  <c r="AV154" i="13"/>
  <c r="BW120" i="13"/>
  <c r="BL120" i="13"/>
  <c r="AT126" i="13"/>
  <c r="AY125" i="13"/>
  <c r="CD154" i="13"/>
  <c r="CB154" i="13"/>
  <c r="BZ154" i="13"/>
  <c r="BX154" i="13"/>
  <c r="BV154" i="13"/>
  <c r="BT154" i="13"/>
  <c r="BR154" i="13"/>
  <c r="BP154" i="13"/>
  <c r="BN154" i="13"/>
  <c r="BI154" i="13"/>
  <c r="BG154" i="13"/>
  <c r="BE154" i="13"/>
  <c r="BC154" i="13"/>
  <c r="BA154" i="13"/>
  <c r="AY154" i="13"/>
  <c r="AW154" i="13"/>
  <c r="AU154" i="13"/>
  <c r="AS154" i="13"/>
  <c r="AW125" i="13"/>
  <c r="BY120" i="13"/>
  <c r="AQ127" i="13"/>
  <c r="BA269" i="13"/>
  <c r="BQ120" i="13"/>
  <c r="BS124" i="13"/>
  <c r="BC127" i="13"/>
  <c r="BB126" i="13"/>
  <c r="BB125" i="13"/>
  <c r="AU125" i="13"/>
  <c r="BG125" i="13"/>
  <c r="BA125" i="13"/>
  <c r="AT125" i="13"/>
  <c r="AZ266" i="13"/>
  <c r="AX269" i="13"/>
  <c r="CB120" i="13"/>
  <c r="BS120" i="13"/>
  <c r="BF126" i="13"/>
  <c r="AQ126" i="13"/>
  <c r="BX120" i="13"/>
  <c r="BP120" i="13"/>
  <c r="CB124" i="13"/>
  <c r="CA126" i="13"/>
  <c r="AY126" i="13"/>
  <c r="BI125" i="13"/>
  <c r="BC125" i="13"/>
  <c r="AX125" i="13"/>
  <c r="AS125" i="13"/>
  <c r="CA124" i="13"/>
  <c r="BR124" i="13"/>
  <c r="BF124" i="13"/>
  <c r="BD270" i="13"/>
  <c r="AT270" i="13"/>
  <c r="CA121" i="13"/>
  <c r="BX124" i="13"/>
  <c r="BN124" i="13"/>
  <c r="BB124" i="13"/>
  <c r="BI127" i="13"/>
  <c r="AY127" i="13"/>
  <c r="CA125" i="13"/>
  <c r="BH123" i="13"/>
  <c r="CA120" i="13"/>
  <c r="BT120" i="13"/>
  <c r="BO120" i="13"/>
  <c r="BB120" i="13"/>
  <c r="BV124" i="13"/>
  <c r="BL124" i="13"/>
  <c r="AQ124" i="13"/>
  <c r="BF127" i="13"/>
  <c r="AT127" i="13"/>
  <c r="BG126" i="13"/>
  <c r="AX126" i="13"/>
  <c r="BS125" i="13"/>
  <c r="BH274" i="13"/>
  <c r="BB278" i="13"/>
  <c r="AW270" i="13"/>
  <c r="AS274" i="13"/>
  <c r="AZ120" i="13"/>
  <c r="BT126" i="13"/>
  <c r="BX125" i="13"/>
  <c r="BP125" i="13"/>
  <c r="BR274" i="13"/>
  <c r="AX437" i="13"/>
  <c r="BY273" i="13"/>
  <c r="BH270" i="13"/>
  <c r="BB274" i="13"/>
  <c r="AX277" i="13"/>
  <c r="AV274" i="13"/>
  <c r="AS270" i="13"/>
  <c r="AU120" i="13"/>
  <c r="BA124" i="13"/>
  <c r="BS126" i="13"/>
  <c r="BW125" i="13"/>
  <c r="BO125" i="13"/>
  <c r="BD278" i="13"/>
  <c r="AX274" i="13"/>
  <c r="AT278" i="13"/>
  <c r="BS121" i="13"/>
  <c r="BF120" i="13"/>
  <c r="AU124" i="13"/>
  <c r="BU127" i="13"/>
  <c r="BE127" i="13"/>
  <c r="AX127" i="13"/>
  <c r="CB126" i="13"/>
  <c r="BL126" i="13"/>
  <c r="BC126" i="13"/>
  <c r="AU126" i="13"/>
  <c r="CB125" i="13"/>
  <c r="BT125" i="13"/>
  <c r="BL125" i="13"/>
  <c r="CC123" i="13"/>
  <c r="BW127" i="13"/>
  <c r="BL127" i="13"/>
  <c r="BM272" i="13"/>
  <c r="AX267" i="13"/>
  <c r="AX266" i="13"/>
  <c r="AR274" i="13"/>
  <c r="CB127" i="13"/>
  <c r="BQ127" i="13"/>
  <c r="BX126" i="13"/>
  <c r="BP126" i="13"/>
  <c r="CD125" i="13"/>
  <c r="BZ125" i="13"/>
  <c r="BV125" i="13"/>
  <c r="BR125" i="13"/>
  <c r="BN125" i="13"/>
  <c r="BF270" i="13"/>
  <c r="BD266" i="13"/>
  <c r="AX279" i="13"/>
  <c r="AX271" i="13"/>
  <c r="AV270" i="13"/>
  <c r="AT267" i="13"/>
  <c r="BF266" i="13"/>
  <c r="BB437" i="13"/>
  <c r="AZ270" i="13"/>
  <c r="AX278" i="13"/>
  <c r="AX270" i="13"/>
  <c r="AW278" i="13"/>
  <c r="AT437" i="13"/>
  <c r="AT266" i="13"/>
  <c r="AQ274" i="13"/>
  <c r="CD120" i="13"/>
  <c r="BY121" i="13"/>
  <c r="BV120" i="13"/>
  <c r="BN120" i="13"/>
  <c r="BG120" i="13"/>
  <c r="CD124" i="13"/>
  <c r="BW124" i="13"/>
  <c r="BG124" i="13"/>
  <c r="CA127" i="13"/>
  <c r="BP127" i="13"/>
  <c r="BG127" i="13"/>
  <c r="BB127" i="13"/>
  <c r="AV127" i="13"/>
  <c r="BW126" i="13"/>
  <c r="BO126" i="13"/>
  <c r="CC125" i="13"/>
  <c r="BY125" i="13"/>
  <c r="BU125" i="13"/>
  <c r="BQ125" i="13"/>
  <c r="BH125" i="13"/>
  <c r="BD125" i="13"/>
  <c r="AZ125" i="13"/>
  <c r="AV125" i="13"/>
  <c r="BG271" i="13"/>
  <c r="BU123" i="13"/>
  <c r="BD123" i="13"/>
  <c r="BY127" i="13"/>
  <c r="BT127" i="13"/>
  <c r="BO127" i="13"/>
  <c r="CD126" i="13"/>
  <c r="BZ126" i="13"/>
  <c r="BV126" i="13"/>
  <c r="BR126" i="13"/>
  <c r="BN126" i="13"/>
  <c r="BI126" i="13"/>
  <c r="BE126" i="13"/>
  <c r="BA126" i="13"/>
  <c r="AW126" i="13"/>
  <c r="AS126" i="13"/>
  <c r="BX271" i="13"/>
  <c r="BB271" i="13"/>
  <c r="BI279" i="13"/>
  <c r="BF437" i="13"/>
  <c r="BD271" i="13"/>
  <c r="BB279" i="13"/>
  <c r="AW274" i="13"/>
  <c r="AU274" i="13"/>
  <c r="AT274" i="13"/>
  <c r="AS278" i="13"/>
  <c r="AR270" i="13"/>
  <c r="CC127" i="13"/>
  <c r="BX127" i="13"/>
  <c r="BS127" i="13"/>
  <c r="BM127" i="13"/>
  <c r="BH127" i="13"/>
  <c r="BD127" i="13"/>
  <c r="AZ127" i="13"/>
  <c r="AU127" i="13"/>
  <c r="CC126" i="13"/>
  <c r="BY126" i="13"/>
  <c r="BU126" i="13"/>
  <c r="BQ126" i="13"/>
  <c r="BH126" i="13"/>
  <c r="BD126" i="13"/>
  <c r="AZ126" i="13"/>
  <c r="AV126" i="13"/>
  <c r="BV279" i="13"/>
  <c r="BM279" i="13"/>
  <c r="BI273" i="13"/>
  <c r="AS122" i="13"/>
  <c r="BF122" i="13"/>
  <c r="AU122" i="13"/>
  <c r="AZ122" i="13"/>
  <c r="BQ276" i="13"/>
  <c r="CB276" i="13"/>
  <c r="BW272" i="13"/>
  <c r="BU272" i="13"/>
  <c r="BA281" i="13"/>
  <c r="AX281" i="13"/>
  <c r="BD273" i="13"/>
  <c r="AR273" i="13"/>
  <c r="BA265" i="13"/>
  <c r="AX265" i="13"/>
  <c r="CD268" i="13"/>
  <c r="BH265" i="13"/>
  <c r="BF280" i="13"/>
  <c r="AV280" i="13"/>
  <c r="BH277" i="13"/>
  <c r="AS279" i="13"/>
  <c r="BC279" i="13"/>
  <c r="AQ275" i="13"/>
  <c r="AX275" i="13"/>
  <c r="BI267" i="13"/>
  <c r="AU267" i="13"/>
  <c r="BG267" i="13"/>
  <c r="AS123" i="13"/>
  <c r="AU123" i="13"/>
  <c r="BE123" i="13"/>
  <c r="BN122" i="13"/>
  <c r="BY122" i="13"/>
  <c r="BL121" i="13"/>
  <c r="BN121" i="13"/>
  <c r="BP121" i="13"/>
  <c r="BR121" i="13"/>
  <c r="BT121" i="13"/>
  <c r="BV121" i="13"/>
  <c r="BX121" i="13"/>
  <c r="BZ121" i="13"/>
  <c r="CB121" i="13"/>
  <c r="CD121" i="13"/>
  <c r="AQ120" i="13"/>
  <c r="AS120" i="13"/>
  <c r="AW120" i="13"/>
  <c r="BA120" i="13"/>
  <c r="BE120" i="13"/>
  <c r="BI120" i="13"/>
  <c r="AR124" i="13"/>
  <c r="AV124" i="13"/>
  <c r="AZ124" i="13"/>
  <c r="BD124" i="13"/>
  <c r="BH124" i="13"/>
  <c r="BN123" i="13"/>
  <c r="BM123" i="13"/>
  <c r="BX123" i="13"/>
  <c r="AZ123" i="13"/>
  <c r="CA122" i="13"/>
  <c r="CC121" i="13"/>
  <c r="BU121" i="13"/>
  <c r="BM121" i="13"/>
  <c r="BD120" i="13"/>
  <c r="AY120" i="13"/>
  <c r="AT120" i="13"/>
  <c r="BM124" i="13"/>
  <c r="BQ124" i="13"/>
  <c r="BU124" i="13"/>
  <c r="BY124" i="13"/>
  <c r="CC124" i="13"/>
  <c r="BE124" i="13"/>
  <c r="AY124" i="13"/>
  <c r="AT124" i="13"/>
  <c r="BW123" i="13"/>
  <c r="BI123" i="13"/>
  <c r="AY123" i="13"/>
  <c r="BU122" i="13"/>
  <c r="CC120" i="13"/>
  <c r="BZ120" i="13"/>
  <c r="BW121" i="13"/>
  <c r="BU120" i="13"/>
  <c r="BR120" i="13"/>
  <c r="BO121" i="13"/>
  <c r="BH120" i="13"/>
  <c r="BC120" i="13"/>
  <c r="AX120" i="13"/>
  <c r="AR120" i="13"/>
  <c r="BZ124" i="13"/>
  <c r="BT124" i="13"/>
  <c r="BO124" i="13"/>
  <c r="BI124" i="13"/>
  <c r="BC124" i="13"/>
  <c r="AX124" i="13"/>
  <c r="AS124" i="13"/>
  <c r="CD127" i="13"/>
  <c r="BZ127" i="13"/>
  <c r="BV127" i="13"/>
  <c r="BR127" i="13"/>
  <c r="AW127" i="13"/>
  <c r="AS127" i="13"/>
  <c r="BO122" i="13"/>
  <c r="BD122" i="13"/>
  <c r="AT122" i="13"/>
  <c r="BH121" i="13"/>
  <c r="BF121" i="13"/>
  <c r="BD121" i="13"/>
  <c r="BB121" i="13"/>
  <c r="AZ121" i="13"/>
  <c r="AX121" i="13"/>
  <c r="AV121" i="13"/>
  <c r="AT121" i="13"/>
  <c r="AR121" i="13"/>
  <c r="CB268" i="13"/>
  <c r="BW280" i="13"/>
  <c r="BI275" i="13"/>
  <c r="BE275" i="13"/>
  <c r="BC275" i="13"/>
  <c r="BB267" i="13"/>
  <c r="BO280" i="13"/>
  <c r="BA267" i="13"/>
  <c r="AY279" i="13"/>
  <c r="CD276" i="13"/>
  <c r="BZ276" i="13"/>
  <c r="BW279" i="13"/>
  <c r="BS276" i="13"/>
  <c r="BO272" i="13"/>
  <c r="BF278" i="13"/>
  <c r="BE271" i="13"/>
  <c r="BD267" i="13"/>
  <c r="BC271" i="13"/>
  <c r="BB275" i="13"/>
  <c r="BB266" i="13"/>
  <c r="AZ278" i="13"/>
  <c r="AY271" i="13"/>
  <c r="AX280" i="13"/>
  <c r="AX276" i="13"/>
  <c r="AX272" i="13"/>
  <c r="AX268" i="13"/>
  <c r="AW279" i="13"/>
  <c r="AV437" i="13"/>
  <c r="AV266" i="13"/>
  <c r="AT279" i="13"/>
  <c r="AR437" i="13"/>
  <c r="AR266" i="13"/>
  <c r="CB123" i="13"/>
  <c r="BQ123" i="13"/>
  <c r="BT122" i="13"/>
  <c r="BI122" i="13"/>
  <c r="AY122" i="13"/>
  <c r="BI121" i="13"/>
  <c r="BG121" i="13"/>
  <c r="BE121" i="13"/>
  <c r="BC121" i="13"/>
  <c r="BA121" i="13"/>
  <c r="AY121" i="13"/>
  <c r="AW121" i="13"/>
  <c r="AU121" i="13"/>
  <c r="AS121" i="13"/>
  <c r="BC281" i="13"/>
  <c r="BC269" i="13"/>
  <c r="AZ269" i="13"/>
  <c r="AR281" i="13"/>
  <c r="AQ269" i="13"/>
  <c r="BB265" i="13"/>
  <c r="AV265" i="13"/>
  <c r="BV274" i="13"/>
  <c r="BM269" i="13"/>
  <c r="BH281" i="13"/>
  <c r="BH273" i="13"/>
  <c r="BG277" i="13"/>
  <c r="BG265" i="13"/>
  <c r="BE281" i="13"/>
  <c r="BE269" i="13"/>
  <c r="BB277" i="13"/>
  <c r="BB269" i="13"/>
  <c r="AV273" i="13"/>
  <c r="AT281" i="13"/>
  <c r="AT277" i="13"/>
  <c r="AT273" i="13"/>
  <c r="AT269" i="13"/>
  <c r="AT265" i="13"/>
  <c r="AR280" i="13"/>
  <c r="CA123" i="13"/>
  <c r="BS123" i="13"/>
  <c r="BL123" i="13"/>
  <c r="BG123" i="13"/>
  <c r="BC123" i="13"/>
  <c r="AX123" i="13"/>
  <c r="AR123" i="13"/>
  <c r="CC122" i="13"/>
  <c r="BX122" i="13"/>
  <c r="BS122" i="13"/>
  <c r="BM122" i="13"/>
  <c r="BH122" i="13"/>
  <c r="BC122" i="13"/>
  <c r="AX122" i="13"/>
  <c r="AR122" i="13"/>
  <c r="BX273" i="13"/>
  <c r="BT266" i="13"/>
  <c r="BR273" i="13"/>
  <c r="BO273" i="13"/>
  <c r="BI269" i="13"/>
  <c r="BG281" i="13"/>
  <c r="BF277" i="13"/>
  <c r="BF265" i="13"/>
  <c r="AW281" i="13"/>
  <c r="CD265" i="13"/>
  <c r="CA273" i="13"/>
  <c r="CC269" i="13"/>
  <c r="BV269" i="13"/>
  <c r="BP270" i="13"/>
  <c r="BN277" i="13"/>
  <c r="BH280" i="13"/>
  <c r="BG273" i="13"/>
  <c r="BF269" i="13"/>
  <c r="BE277" i="13"/>
  <c r="BE265" i="13"/>
  <c r="BB281" i="13"/>
  <c r="BA273" i="13"/>
  <c r="AZ277" i="13"/>
  <c r="AY281" i="13"/>
  <c r="AV281" i="13"/>
  <c r="AU269" i="13"/>
  <c r="AT280" i="13"/>
  <c r="AT276" i="13"/>
  <c r="AT272" i="13"/>
  <c r="AT268" i="13"/>
  <c r="AS281" i="13"/>
  <c r="AR265" i="13"/>
  <c r="BF123" i="13"/>
  <c r="BB123" i="13"/>
  <c r="AV123" i="13"/>
  <c r="AQ123" i="13"/>
  <c r="CB122" i="13"/>
  <c r="BW122" i="13"/>
  <c r="BQ122" i="13"/>
  <c r="BL122" i="13"/>
  <c r="BG122" i="13"/>
  <c r="BB122" i="13"/>
  <c r="AV122" i="13"/>
  <c r="AQ122" i="13"/>
  <c r="CC278" i="13"/>
  <c r="CB273" i="13"/>
  <c r="CA269" i="13"/>
  <c r="BQ281" i="13"/>
  <c r="BQ269" i="13"/>
  <c r="BP269" i="13"/>
  <c r="BN274" i="13"/>
  <c r="BL277" i="13"/>
  <c r="BF276" i="13"/>
  <c r="BD276" i="13"/>
  <c r="BA277" i="13"/>
  <c r="AW269" i="13"/>
  <c r="AV277" i="13"/>
  <c r="AU281" i="13"/>
  <c r="AS269" i="13"/>
  <c r="AR277" i="13"/>
  <c r="CD273" i="13"/>
  <c r="CB281" i="13"/>
  <c r="CB265" i="13"/>
  <c r="BZ269" i="13"/>
  <c r="BY269" i="13"/>
  <c r="BU281" i="13"/>
  <c r="BU265" i="13"/>
  <c r="BM277" i="13"/>
  <c r="AZ273" i="13"/>
  <c r="AY277" i="13"/>
  <c r="AY265" i="13"/>
  <c r="AQ281" i="13"/>
  <c r="CD281" i="13"/>
  <c r="CD269" i="13"/>
  <c r="CC277" i="13"/>
  <c r="CB280" i="13"/>
  <c r="CB272" i="13"/>
  <c r="BZ280" i="13"/>
  <c r="BY281" i="13"/>
  <c r="BY268" i="13"/>
  <c r="BX266" i="13"/>
  <c r="BW268" i="13"/>
  <c r="BU276" i="13"/>
  <c r="BT277" i="13"/>
  <c r="BS268" i="13"/>
  <c r="BQ277" i="13"/>
  <c r="BQ265" i="13"/>
  <c r="BO268" i="13"/>
  <c r="BN273" i="13"/>
  <c r="BM273" i="13"/>
  <c r="BI277" i="13"/>
  <c r="BH276" i="13"/>
  <c r="BH269" i="13"/>
  <c r="BG280" i="13"/>
  <c r="BG268" i="13"/>
  <c r="BF281" i="13"/>
  <c r="BF273" i="13"/>
  <c r="BE276" i="13"/>
  <c r="BE268" i="13"/>
  <c r="BD275" i="13"/>
  <c r="BC273" i="13"/>
  <c r="BC265" i="13"/>
  <c r="BB273" i="13"/>
  <c r="BA276" i="13"/>
  <c r="AZ281" i="13"/>
  <c r="AZ272" i="13"/>
  <c r="AZ265" i="13"/>
  <c r="AY273" i="13"/>
  <c r="AV276" i="13"/>
  <c r="AV269" i="13"/>
  <c r="AU275" i="13"/>
  <c r="AR269" i="13"/>
  <c r="BY123" i="13"/>
  <c r="BT123" i="13"/>
  <c r="BO123" i="13"/>
  <c r="CD122" i="13"/>
  <c r="BZ122" i="13"/>
  <c r="BV122" i="13"/>
  <c r="BR122" i="13"/>
  <c r="BE122" i="13"/>
  <c r="BA122" i="13"/>
  <c r="AW122" i="13"/>
  <c r="CD277" i="13"/>
  <c r="CC273" i="13"/>
  <c r="CB277" i="13"/>
  <c r="CB269" i="13"/>
  <c r="CA277" i="13"/>
  <c r="BZ277" i="13"/>
  <c r="BY277" i="13"/>
  <c r="BY265" i="13"/>
  <c r="BU273" i="13"/>
  <c r="BO265" i="13"/>
  <c r="BH268" i="13"/>
  <c r="BF272" i="13"/>
  <c r="BT271" i="13"/>
  <c r="BS267" i="13"/>
  <c r="AQ272" i="13"/>
  <c r="BB272" i="13"/>
  <c r="BE272" i="13"/>
  <c r="BG272" i="13"/>
  <c r="BH272" i="13"/>
  <c r="BI272" i="13"/>
  <c r="BN275" i="13"/>
  <c r="BM275" i="13"/>
  <c r="BW275" i="13"/>
  <c r="BX267" i="13"/>
  <c r="AQ276" i="13"/>
  <c r="AY276" i="13"/>
  <c r="BB276" i="13"/>
  <c r="CD280" i="13"/>
  <c r="CD272" i="13"/>
  <c r="CC279" i="13"/>
  <c r="CA267" i="13"/>
  <c r="BZ272" i="13"/>
  <c r="BY276" i="13"/>
  <c r="BV275" i="13"/>
  <c r="BU280" i="13"/>
  <c r="BT267" i="13"/>
  <c r="BS275" i="13"/>
  <c r="BR275" i="13"/>
  <c r="BO276" i="13"/>
  <c r="BM276" i="13"/>
  <c r="BL279" i="13"/>
  <c r="BL281" i="13"/>
  <c r="BZ281" i="13"/>
  <c r="BR277" i="13"/>
  <c r="BO277" i="13"/>
  <c r="BU277" i="13"/>
  <c r="BX277" i="13"/>
  <c r="BT273" i="13"/>
  <c r="BV273" i="13"/>
  <c r="BZ273" i="13"/>
  <c r="BL269" i="13"/>
  <c r="BO269" i="13"/>
  <c r="BR269" i="13"/>
  <c r="BU269" i="13"/>
  <c r="BI276" i="13"/>
  <c r="BI268" i="13"/>
  <c r="BH278" i="13"/>
  <c r="BG276" i="13"/>
  <c r="BD437" i="13"/>
  <c r="BC276" i="13"/>
  <c r="AZ437" i="13"/>
  <c r="AZ276" i="13"/>
  <c r="AV278" i="13"/>
  <c r="AV268" i="13"/>
  <c r="AU278" i="13"/>
  <c r="AR278" i="13"/>
  <c r="AZ279" i="13"/>
  <c r="AQ279" i="13"/>
  <c r="AR279" i="13"/>
  <c r="AU279" i="13"/>
  <c r="AV279" i="13"/>
  <c r="BD279" i="13"/>
  <c r="BF279" i="13"/>
  <c r="BG279" i="13"/>
  <c r="AY275" i="13"/>
  <c r="AR275" i="13"/>
  <c r="AS275" i="13"/>
  <c r="AV275" i="13"/>
  <c r="AW275" i="13"/>
  <c r="BA275" i="13"/>
  <c r="BF275" i="13"/>
  <c r="AR271" i="13"/>
  <c r="AV271" i="13"/>
  <c r="BF271" i="13"/>
  <c r="AZ267" i="13"/>
  <c r="AR267" i="13"/>
  <c r="AS267" i="13"/>
  <c r="AV267" i="13"/>
  <c r="AW267" i="13"/>
  <c r="BE267" i="13"/>
  <c r="BF267" i="13"/>
  <c r="CA279" i="13"/>
  <c r="BP271" i="13"/>
  <c r="AQ280" i="13"/>
  <c r="AZ280" i="13"/>
  <c r="BA280" i="13"/>
  <c r="BB280" i="13"/>
  <c r="BC280" i="13"/>
  <c r="BE280" i="13"/>
  <c r="AQ268" i="13"/>
  <c r="AY268" i="13"/>
  <c r="BA268" i="13"/>
  <c r="BB268" i="13"/>
  <c r="BC268" i="13"/>
  <c r="BD268" i="13"/>
  <c r="CC267" i="13"/>
  <c r="BW271" i="13"/>
  <c r="BS271" i="13"/>
  <c r="BM280" i="13"/>
  <c r="BS280" i="13"/>
  <c r="BY280" i="13"/>
  <c r="BS272" i="13"/>
  <c r="BY272" i="13"/>
  <c r="BM268" i="13"/>
  <c r="BQ268" i="13"/>
  <c r="BI280" i="13"/>
  <c r="BF268" i="13"/>
  <c r="BD280" i="13"/>
  <c r="BD272" i="13"/>
  <c r="BA272" i="13"/>
  <c r="AZ268" i="13"/>
  <c r="AY280" i="13"/>
  <c r="AY272" i="13"/>
  <c r="AV272" i="13"/>
  <c r="AR272" i="13"/>
  <c r="AZ274" i="13"/>
  <c r="BD274" i="13"/>
  <c r="AQ270" i="13"/>
  <c r="AU270" i="13"/>
  <c r="BO279" i="13"/>
  <c r="BR279" i="13"/>
  <c r="BO267" i="13"/>
  <c r="BW267" i="13"/>
  <c r="CD123" i="13"/>
  <c r="BZ123" i="13"/>
  <c r="BV123" i="13"/>
  <c r="BR123" i="13"/>
  <c r="BA123" i="13"/>
  <c r="AW123" i="13"/>
  <c r="BL278" i="13"/>
  <c r="BM278" i="13"/>
  <c r="CC437" i="13"/>
  <c r="CC271" i="13"/>
  <c r="CA437" i="13"/>
  <c r="CA271" i="13"/>
  <c r="CA266" i="13"/>
  <c r="BX270" i="13"/>
  <c r="BW278" i="13"/>
  <c r="BV278" i="13"/>
  <c r="BT275" i="13"/>
  <c r="BS278" i="13"/>
  <c r="BR278" i="13"/>
  <c r="BM270" i="13"/>
  <c r="BN270" i="13"/>
  <c r="CC266" i="13"/>
  <c r="BZ267" i="13"/>
  <c r="BX437" i="13"/>
  <c r="BX275" i="13"/>
  <c r="BW437" i="13"/>
  <c r="BW274" i="13"/>
  <c r="BW266" i="13"/>
  <c r="BV267" i="13"/>
  <c r="BT437" i="13"/>
  <c r="BT270" i="13"/>
  <c r="BS437" i="13"/>
  <c r="BS274" i="13"/>
  <c r="BS270" i="13"/>
  <c r="BS266" i="13"/>
  <c r="BR267" i="13"/>
  <c r="BP275" i="13"/>
  <c r="BN279" i="13"/>
  <c r="BN266" i="13"/>
  <c r="BM267" i="13"/>
  <c r="BL270" i="13"/>
  <c r="BL273" i="13"/>
  <c r="BP273" i="13"/>
  <c r="AW273" i="13"/>
  <c r="AW265" i="13"/>
  <c r="AU273" i="13"/>
  <c r="AU265" i="13"/>
  <c r="AS273" i="13"/>
  <c r="AS265" i="13"/>
  <c r="AQ273" i="13"/>
  <c r="AQ265" i="13"/>
  <c r="AQ271" i="13"/>
  <c r="AS271" i="13"/>
  <c r="AU271" i="13"/>
  <c r="AW271" i="13"/>
  <c r="CD279" i="13"/>
  <c r="CD275" i="13"/>
  <c r="CD271" i="13"/>
  <c r="CD267" i="13"/>
  <c r="CC281" i="13"/>
  <c r="CC275" i="13"/>
  <c r="CC270" i="13"/>
  <c r="CC265" i="13"/>
  <c r="CB279" i="13"/>
  <c r="CB275" i="13"/>
  <c r="CB271" i="13"/>
  <c r="CB267" i="13"/>
  <c r="CA281" i="13"/>
  <c r="CA275" i="13"/>
  <c r="CA270" i="13"/>
  <c r="CA265" i="13"/>
  <c r="BZ279" i="13"/>
  <c r="BZ275" i="13"/>
  <c r="BZ271" i="13"/>
  <c r="BZ266" i="13"/>
  <c r="BY279" i="13"/>
  <c r="BY275" i="13"/>
  <c r="BY271" i="13"/>
  <c r="BY267" i="13"/>
  <c r="BX279" i="13"/>
  <c r="BX274" i="13"/>
  <c r="BX269" i="13"/>
  <c r="BW281" i="13"/>
  <c r="BW277" i="13"/>
  <c r="BW273" i="13"/>
  <c r="BW269" i="13"/>
  <c r="BW265" i="13"/>
  <c r="BV277" i="13"/>
  <c r="BV271" i="13"/>
  <c r="BV266" i="13"/>
  <c r="BU279" i="13"/>
  <c r="BU275" i="13"/>
  <c r="BU271" i="13"/>
  <c r="BU267" i="13"/>
  <c r="BT279" i="13"/>
  <c r="BT274" i="13"/>
  <c r="BT269" i="13"/>
  <c r="BS281" i="13"/>
  <c r="BS277" i="13"/>
  <c r="BS273" i="13"/>
  <c r="BS269" i="13"/>
  <c r="BS265" i="13"/>
  <c r="BR271" i="13"/>
  <c r="BR266" i="13"/>
  <c r="BQ279" i="13"/>
  <c r="BQ275" i="13"/>
  <c r="BQ271" i="13"/>
  <c r="BQ267" i="13"/>
  <c r="BP279" i="13"/>
  <c r="BP274" i="13"/>
  <c r="BP266" i="13"/>
  <c r="BO275" i="13"/>
  <c r="BO271" i="13"/>
  <c r="BN278" i="13"/>
  <c r="BN271" i="13"/>
  <c r="BM281" i="13"/>
  <c r="BM265" i="13"/>
  <c r="BL275" i="13"/>
  <c r="BI281" i="13"/>
  <c r="BI271" i="13"/>
  <c r="BI265" i="13"/>
  <c r="BH279" i="13"/>
  <c r="BH275" i="13"/>
  <c r="BH271" i="13"/>
  <c r="BH267" i="13"/>
  <c r="BG275" i="13"/>
  <c r="BG269" i="13"/>
  <c r="BE279" i="13"/>
  <c r="BE273" i="13"/>
  <c r="BD281" i="13"/>
  <c r="BD277" i="13"/>
  <c r="BD269" i="13"/>
  <c r="BD265" i="13"/>
  <c r="BC267" i="13"/>
  <c r="BA271" i="13"/>
  <c r="AZ275" i="13"/>
  <c r="AZ271" i="13"/>
  <c r="AQ437" i="13"/>
  <c r="AS437" i="13"/>
  <c r="AU437" i="13"/>
  <c r="AW437" i="13"/>
  <c r="AY437" i="13"/>
  <c r="BA437" i="13"/>
  <c r="BC437" i="13"/>
  <c r="BE437" i="13"/>
  <c r="BG437" i="13"/>
  <c r="BI437" i="13"/>
  <c r="AY278" i="13"/>
  <c r="BA278" i="13"/>
  <c r="BC278" i="13"/>
  <c r="BE278" i="13"/>
  <c r="BG278" i="13"/>
  <c r="BI278" i="13"/>
  <c r="AY274" i="13"/>
  <c r="BA274" i="13"/>
  <c r="BC274" i="13"/>
  <c r="BE274" i="13"/>
  <c r="BG274" i="13"/>
  <c r="BI274" i="13"/>
  <c r="AY270" i="13"/>
  <c r="BA270" i="13"/>
  <c r="BC270" i="13"/>
  <c r="BE270" i="13"/>
  <c r="BG270" i="13"/>
  <c r="BI270" i="13"/>
  <c r="AQ266" i="13"/>
  <c r="AS266" i="13"/>
  <c r="AU266" i="13"/>
  <c r="AW266" i="13"/>
  <c r="AY266" i="13"/>
  <c r="BA266" i="13"/>
  <c r="BC266" i="13"/>
  <c r="BE266" i="13"/>
  <c r="BG266" i="13"/>
  <c r="BI266" i="13"/>
  <c r="BM437" i="13"/>
  <c r="BN437" i="13"/>
  <c r="CD437" i="13"/>
  <c r="CD278" i="13"/>
  <c r="CD274" i="13"/>
  <c r="CD270" i="13"/>
  <c r="CD266" i="13"/>
  <c r="CC274" i="13"/>
  <c r="CB437" i="13"/>
  <c r="CB278" i="13"/>
  <c r="CB274" i="13"/>
  <c r="CB270" i="13"/>
  <c r="CB266" i="13"/>
  <c r="CA274" i="13"/>
  <c r="BZ437" i="13"/>
  <c r="BZ278" i="13"/>
  <c r="BZ274" i="13"/>
  <c r="BZ270" i="13"/>
  <c r="BY437" i="13"/>
  <c r="BY278" i="13"/>
  <c r="BY274" i="13"/>
  <c r="BY270" i="13"/>
  <c r="BY266" i="13"/>
  <c r="BX278" i="13"/>
  <c r="BV437" i="13"/>
  <c r="BV270" i="13"/>
  <c r="BU437" i="13"/>
  <c r="BU278" i="13"/>
  <c r="BU274" i="13"/>
  <c r="BU270" i="13"/>
  <c r="BU266" i="13"/>
  <c r="BT278" i="13"/>
  <c r="BR437" i="13"/>
  <c r="BR270" i="13"/>
  <c r="BQ437" i="13"/>
  <c r="BQ278" i="13"/>
  <c r="BQ274" i="13"/>
  <c r="BQ270" i="13"/>
  <c r="BQ266" i="13"/>
  <c r="BP278" i="13"/>
  <c r="BO437" i="13"/>
  <c r="BO278" i="13"/>
  <c r="BO274" i="13"/>
  <c r="BO270" i="13"/>
  <c r="BO266" i="13"/>
  <c r="BL437" i="13"/>
  <c r="BL274" i="13"/>
  <c r="BL266" i="13"/>
  <c r="BL267" i="13"/>
  <c r="BP267" i="13"/>
  <c r="AQ277" i="13"/>
  <c r="AS277" i="13"/>
  <c r="AU277" i="13"/>
  <c r="AW277" i="13"/>
  <c r="BL280" i="13"/>
  <c r="BN280" i="13"/>
  <c r="BP280" i="13"/>
  <c r="BR280" i="13"/>
  <c r="BT280" i="13"/>
  <c r="BV280" i="13"/>
  <c r="BX280" i="13"/>
  <c r="BL276" i="13"/>
  <c r="BN276" i="13"/>
  <c r="BP276" i="13"/>
  <c r="BR276" i="13"/>
  <c r="BT276" i="13"/>
  <c r="BV276" i="13"/>
  <c r="BX276" i="13"/>
  <c r="BL272" i="13"/>
  <c r="BN272" i="13"/>
  <c r="BP272" i="13"/>
  <c r="BR272" i="13"/>
  <c r="BT272" i="13"/>
  <c r="BV272" i="13"/>
  <c r="BX272" i="13"/>
  <c r="BL268" i="13"/>
  <c r="BN268" i="13"/>
  <c r="BP268" i="13"/>
  <c r="BR268" i="13"/>
  <c r="BT268" i="13"/>
  <c r="BV268" i="13"/>
  <c r="BX268" i="13"/>
  <c r="BZ268" i="13"/>
  <c r="CC280" i="13"/>
  <c r="CC276" i="13"/>
  <c r="CC272" i="13"/>
  <c r="CC268" i="13"/>
  <c r="CA280" i="13"/>
  <c r="CA276" i="13"/>
  <c r="CA272" i="13"/>
  <c r="CA268" i="13"/>
  <c r="BZ265" i="13"/>
  <c r="BX281" i="13"/>
  <c r="BX265" i="13"/>
  <c r="BV281" i="13"/>
  <c r="BV265" i="13"/>
  <c r="BT281" i="13"/>
  <c r="BT265" i="13"/>
  <c r="BR281" i="13"/>
  <c r="BR265" i="13"/>
  <c r="BP281" i="13"/>
  <c r="BP265" i="13"/>
  <c r="BN281" i="13"/>
  <c r="BN265" i="13"/>
  <c r="AW280" i="13"/>
  <c r="AW276" i="13"/>
  <c r="AW272" i="13"/>
  <c r="AW268" i="13"/>
  <c r="AU280" i="13"/>
  <c r="AU276" i="13"/>
  <c r="AU272" i="13"/>
  <c r="AU268" i="13"/>
  <c r="AS280" i="13"/>
  <c r="AS276" i="13"/>
  <c r="AS272" i="13"/>
  <c r="AS268"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C346" i="13" l="1"/>
  <c r="AC328" i="13"/>
  <c r="AC319" i="13"/>
  <c r="AC307" i="13"/>
  <c r="AC290" i="13"/>
  <c r="AC286" i="13"/>
  <c r="AC280" i="13"/>
  <c r="AC278" i="13"/>
  <c r="AC271" i="13"/>
  <c r="AC268" i="13"/>
  <c r="AC254" i="13"/>
  <c r="AC178" i="13"/>
  <c r="AC172" i="13"/>
  <c r="AC132" i="13"/>
  <c r="AC114" i="13"/>
  <c r="AC102" i="13"/>
  <c r="AC59" i="13"/>
  <c r="AC422" i="13"/>
  <c r="AC420" i="13"/>
  <c r="AC417" i="13"/>
  <c r="AC416" i="13"/>
  <c r="AC407" i="13"/>
  <c r="AC406" i="13"/>
  <c r="AC405" i="13"/>
  <c r="AC398" i="13"/>
  <c r="AC393" i="13"/>
  <c r="AC389" i="13"/>
  <c r="AC385" i="13"/>
  <c r="AC382" i="13"/>
  <c r="AC381" i="13"/>
  <c r="AC375" i="13"/>
  <c r="AC374" i="13"/>
  <c r="AC372" i="13"/>
  <c r="AC371" i="13"/>
  <c r="AC368" i="13"/>
  <c r="AC367" i="13"/>
  <c r="AC366" i="13"/>
  <c r="AC363" i="13"/>
  <c r="AC362" i="13"/>
  <c r="AC359" i="13"/>
  <c r="AC357" i="13"/>
  <c r="AC355" i="13"/>
  <c r="AC354" i="13"/>
  <c r="AC353" i="13"/>
  <c r="AC352" i="13"/>
  <c r="AC348" i="13"/>
  <c r="AC347" i="13"/>
  <c r="AC342" i="13"/>
  <c r="AC341" i="13"/>
  <c r="AC340" i="13"/>
  <c r="AC339" i="13"/>
  <c r="AC338" i="13"/>
  <c r="AC333" i="13"/>
  <c r="AC330" i="13"/>
  <c r="AC322" i="13"/>
  <c r="AC318" i="13"/>
  <c r="AC316" i="13"/>
  <c r="AC315" i="13"/>
  <c r="AC314" i="13"/>
  <c r="AC313" i="13"/>
  <c r="AC312" i="13"/>
  <c r="AC309" i="13"/>
  <c r="AC306" i="13"/>
  <c r="AC302" i="13"/>
  <c r="AC301" i="13"/>
  <c r="AC300" i="13"/>
  <c r="AC299" i="13"/>
  <c r="AC296" i="13"/>
  <c r="AC295" i="13"/>
  <c r="AC293" i="13"/>
  <c r="AC289" i="13"/>
  <c r="AC287" i="13"/>
  <c r="AC285" i="13"/>
  <c r="AC283" i="13"/>
  <c r="AC282" i="13"/>
  <c r="AC281" i="13"/>
  <c r="AC279" i="13"/>
  <c r="AC277" i="13"/>
  <c r="AC270" i="13"/>
  <c r="AC269" i="13"/>
  <c r="AC267" i="13"/>
  <c r="AC266" i="13"/>
  <c r="AC263" i="13"/>
  <c r="AC258" i="13"/>
  <c r="AC257" i="13"/>
  <c r="AC253" i="13"/>
  <c r="AC252" i="13"/>
  <c r="AC251" i="13"/>
  <c r="AC249" i="13"/>
  <c r="AC248" i="13"/>
  <c r="AC247" i="13"/>
  <c r="AC244" i="13"/>
  <c r="AC241" i="13"/>
  <c r="AC240" i="13"/>
  <c r="AC239" i="13"/>
  <c r="AC238" i="13"/>
  <c r="AC235" i="13"/>
  <c r="AC234" i="13"/>
  <c r="AC233" i="13"/>
  <c r="AC229" i="13"/>
  <c r="AC226" i="13"/>
  <c r="AC211" i="13"/>
  <c r="AC208" i="13"/>
  <c r="AC207" i="13"/>
  <c r="AC206" i="13"/>
  <c r="AC204" i="13"/>
  <c r="AC198" i="13"/>
  <c r="AC195" i="13"/>
  <c r="AC194" i="13"/>
  <c r="AC193" i="13"/>
  <c r="AC192" i="13"/>
  <c r="AC186" i="13"/>
  <c r="AC181" i="13"/>
  <c r="AC180" i="13"/>
  <c r="AC179" i="13"/>
  <c r="AC177" i="13"/>
  <c r="AC176" i="13"/>
  <c r="AC175" i="13"/>
  <c r="AC174" i="13"/>
  <c r="AC173" i="13"/>
  <c r="AC171" i="13"/>
  <c r="AC170" i="13"/>
  <c r="AC169" i="13"/>
  <c r="AC168" i="13"/>
  <c r="AC167" i="13"/>
  <c r="AC166" i="13"/>
  <c r="AC165" i="13"/>
  <c r="AC162" i="13"/>
  <c r="AC161" i="13"/>
  <c r="AC157" i="13"/>
  <c r="AC156" i="13"/>
  <c r="AC154" i="13"/>
  <c r="AC153" i="13"/>
  <c r="AC152" i="13"/>
  <c r="AC151" i="13"/>
  <c r="AC150" i="13"/>
  <c r="AC147" i="13"/>
  <c r="AC146" i="13"/>
  <c r="AC145" i="13"/>
  <c r="AC144" i="13"/>
  <c r="AC143" i="13"/>
  <c r="AC141" i="13"/>
  <c r="AC137" i="13"/>
  <c r="AC135" i="13"/>
  <c r="AC134" i="13"/>
  <c r="AC133" i="13"/>
  <c r="AC123" i="13"/>
  <c r="AC122" i="13"/>
  <c r="AC121" i="13"/>
  <c r="AC120" i="13"/>
  <c r="AC118" i="13"/>
  <c r="AC113" i="13"/>
  <c r="AC112" i="13"/>
  <c r="AC110" i="13"/>
  <c r="AC109" i="13"/>
  <c r="AC108" i="13"/>
  <c r="AC107" i="13"/>
  <c r="AC106" i="13"/>
  <c r="AC104" i="13"/>
  <c r="AC103" i="13"/>
  <c r="AC100" i="13"/>
  <c r="AC99" i="13"/>
  <c r="AC98" i="13"/>
  <c r="AC97" i="13"/>
  <c r="AC96" i="13"/>
  <c r="AC95" i="13"/>
  <c r="AC93" i="13"/>
  <c r="AC92" i="13"/>
  <c r="AC91" i="13"/>
  <c r="AC87" i="13"/>
  <c r="AC85" i="13"/>
  <c r="AC80" i="13"/>
  <c r="AC79" i="13"/>
  <c r="AC77" i="13"/>
  <c r="AC74" i="13"/>
  <c r="AC73" i="13"/>
  <c r="AC72" i="13"/>
  <c r="AC71" i="13"/>
  <c r="AC70" i="13"/>
  <c r="AC69" i="13"/>
  <c r="AC68" i="13"/>
  <c r="AC63" i="13"/>
  <c r="AC62" i="13"/>
  <c r="AC61" i="13"/>
  <c r="AC60" i="13"/>
  <c r="AC56" i="13"/>
  <c r="AC55" i="13"/>
  <c r="AC54" i="13"/>
  <c r="AC53" i="13"/>
  <c r="AC51" i="13"/>
  <c r="AC50" i="13"/>
  <c r="AC49" i="13"/>
  <c r="AC47" i="13"/>
  <c r="AC44" i="13"/>
  <c r="AC41" i="13"/>
  <c r="AC39" i="13"/>
  <c r="AC38" i="13"/>
  <c r="AC35" i="13"/>
  <c r="AC30" i="13"/>
  <c r="AC28" i="13"/>
  <c r="AC27" i="13"/>
  <c r="AC23" i="13"/>
  <c r="AC22" i="13"/>
  <c r="AC21" i="13"/>
  <c r="AC20" i="13"/>
  <c r="AC19" i="13"/>
  <c r="AC18" i="13"/>
  <c r="AC10" i="13"/>
  <c r="AC9" i="13"/>
  <c r="AC8" i="13"/>
  <c r="Z33" i="13"/>
  <c r="AC33" i="13"/>
  <c r="Z45" i="13"/>
  <c r="AC45" i="13"/>
  <c r="Z57" i="13"/>
  <c r="AC57" i="13"/>
  <c r="Z111" i="13"/>
  <c r="AC111" i="13"/>
  <c r="Z117" i="13"/>
  <c r="AC117" i="13"/>
  <c r="Z129" i="13"/>
  <c r="AC129" i="13"/>
  <c r="Z159" i="13"/>
  <c r="AC159" i="13"/>
  <c r="Z183" i="13"/>
  <c r="AC183" i="13"/>
  <c r="Z189" i="13"/>
  <c r="AC189" i="13"/>
  <c r="Z201" i="13"/>
  <c r="AC201" i="13"/>
  <c r="Z213" i="13"/>
  <c r="AC213" i="13"/>
  <c r="Z219" i="13"/>
  <c r="AC219" i="13"/>
  <c r="Z231" i="13"/>
  <c r="AC231" i="13"/>
  <c r="Z237" i="13"/>
  <c r="AC237" i="13"/>
  <c r="Z243" i="13"/>
  <c r="AC243" i="13"/>
  <c r="Z255" i="13"/>
  <c r="AC255" i="13"/>
  <c r="Z261" i="13"/>
  <c r="AC261" i="13"/>
  <c r="Z46" i="13"/>
  <c r="AC46" i="13"/>
  <c r="Z58" i="13"/>
  <c r="AC58" i="13"/>
  <c r="Z82" i="13"/>
  <c r="AC82" i="13"/>
  <c r="Z124" i="13"/>
  <c r="AC124" i="13"/>
  <c r="Z130" i="13"/>
  <c r="AC130" i="13"/>
  <c r="Z142" i="13"/>
  <c r="AC142" i="13"/>
  <c r="Z160" i="13"/>
  <c r="AC160" i="13"/>
  <c r="Z190" i="13"/>
  <c r="AC190" i="13"/>
  <c r="Z214" i="13"/>
  <c r="AC214" i="13"/>
  <c r="Z232" i="13"/>
  <c r="AC232" i="13"/>
  <c r="Z29" i="13"/>
  <c r="AC29" i="13"/>
  <c r="Z65" i="13"/>
  <c r="AC65" i="13"/>
  <c r="Z89" i="13"/>
  <c r="AC89" i="13"/>
  <c r="Z101" i="13"/>
  <c r="AC101" i="13"/>
  <c r="Z119" i="13"/>
  <c r="AC119" i="13"/>
  <c r="Z185" i="13"/>
  <c r="AC185" i="13"/>
  <c r="Z37" i="13"/>
  <c r="AC37" i="13"/>
  <c r="Z43" i="13"/>
  <c r="AC43" i="13"/>
  <c r="Z276" i="13"/>
  <c r="AC276" i="13"/>
  <c r="Z360" i="13"/>
  <c r="AC360" i="13"/>
  <c r="Z284" i="13"/>
  <c r="AC284" i="13"/>
  <c r="Z332" i="13"/>
  <c r="AC332" i="13"/>
  <c r="Z356" i="13"/>
  <c r="AC356" i="13"/>
  <c r="Z199" i="13"/>
  <c r="AC199" i="13"/>
  <c r="Z83" i="13"/>
  <c r="AC83" i="13"/>
  <c r="Z40" i="13"/>
  <c r="AC40" i="13"/>
  <c r="Z81" i="13"/>
  <c r="AC81" i="13"/>
  <c r="Z105" i="13"/>
  <c r="AC105" i="13"/>
  <c r="Z224" i="13"/>
  <c r="AC224" i="13"/>
  <c r="H24" i="19"/>
  <c r="G24" i="19"/>
  <c r="Z15" i="13"/>
  <c r="AC15" i="13"/>
  <c r="Z273" i="13"/>
  <c r="AC273" i="13"/>
  <c r="Z399" i="13"/>
  <c r="AC399" i="13"/>
  <c r="Z429" i="13"/>
  <c r="AC429" i="13"/>
  <c r="Z250" i="13"/>
  <c r="AC250" i="13"/>
  <c r="Z256" i="13"/>
  <c r="AC256" i="13"/>
  <c r="Z274" i="13"/>
  <c r="AC274" i="13"/>
  <c r="Z298" i="13"/>
  <c r="AC298" i="13"/>
  <c r="Z304" i="13"/>
  <c r="AC304" i="13"/>
  <c r="Z370" i="13"/>
  <c r="AC370" i="13"/>
  <c r="Z454" i="13"/>
  <c r="AC454" i="13"/>
  <c r="Z11" i="13"/>
  <c r="AC11" i="13"/>
  <c r="Z17" i="13"/>
  <c r="AC17" i="13"/>
  <c r="Z191" i="13"/>
  <c r="AC191" i="13"/>
  <c r="Z197" i="13"/>
  <c r="AC197" i="13"/>
  <c r="Z209" i="13"/>
  <c r="AC209" i="13"/>
  <c r="Z227" i="13"/>
  <c r="AC227" i="13"/>
  <c r="Z311" i="13"/>
  <c r="AC311" i="13"/>
  <c r="Z317" i="13"/>
  <c r="AC317" i="13"/>
  <c r="Z335" i="13"/>
  <c r="AC335" i="13"/>
  <c r="Z383" i="13"/>
  <c r="AC383" i="13"/>
  <c r="Z395" i="13"/>
  <c r="AC395" i="13"/>
  <c r="Z288" i="13"/>
  <c r="AC288" i="13"/>
  <c r="Z336" i="13"/>
  <c r="AC336" i="13"/>
  <c r="Z217" i="13"/>
  <c r="AC217" i="13"/>
  <c r="Z223" i="13"/>
  <c r="AC223" i="13"/>
  <c r="Z325" i="13"/>
  <c r="AC325" i="13"/>
  <c r="Z331" i="13"/>
  <c r="AC331" i="13"/>
  <c r="Z349" i="13"/>
  <c r="AC349" i="13"/>
  <c r="Z415" i="13"/>
  <c r="AC415" i="13"/>
  <c r="Z421" i="13"/>
  <c r="AC421" i="13"/>
  <c r="Z451" i="13"/>
  <c r="AC451" i="13"/>
  <c r="Z210" i="13"/>
  <c r="AC210" i="13"/>
  <c r="Z324" i="13"/>
  <c r="AC324" i="13"/>
  <c r="Z138" i="13"/>
  <c r="AC138" i="13"/>
  <c r="Z380" i="13"/>
  <c r="AC380" i="13"/>
  <c r="Z386" i="13"/>
  <c r="AC386" i="13"/>
  <c r="Z410" i="13"/>
  <c r="AC410" i="13"/>
  <c r="Z452" i="13"/>
  <c r="AC452" i="13"/>
  <c r="Z388" i="13"/>
  <c r="AC388" i="13"/>
  <c r="Z329" i="13"/>
  <c r="AC329" i="13"/>
  <c r="Z305" i="13"/>
  <c r="AC305" i="13"/>
  <c r="Z205" i="13"/>
  <c r="AC205" i="13"/>
  <c r="Z294" i="13"/>
  <c r="AC294" i="13"/>
  <c r="Z149" i="13"/>
  <c r="AC149" i="13"/>
  <c r="Z131" i="13"/>
  <c r="AC131" i="13"/>
  <c r="Z220" i="13"/>
  <c r="AC220" i="13"/>
  <c r="Z228" i="13"/>
  <c r="AC228" i="13"/>
  <c r="Z323" i="13"/>
  <c r="AC323" i="13"/>
  <c r="Z343" i="13"/>
  <c r="AC343" i="13"/>
  <c r="Z303" i="13"/>
  <c r="AC303" i="13"/>
  <c r="Z245" i="13"/>
  <c r="AC245" i="13"/>
  <c r="Z446" i="13"/>
  <c r="AC446" i="13"/>
  <c r="Z52" i="13"/>
  <c r="AC52" i="13"/>
  <c r="Z202" i="13"/>
  <c r="AC202" i="13"/>
  <c r="Z443" i="13"/>
  <c r="AC443" i="13"/>
  <c r="Z394" i="13"/>
  <c r="AC394" i="13"/>
  <c r="Z402" i="13"/>
  <c r="AC402" i="13"/>
  <c r="Z423" i="13"/>
  <c r="AC423" i="13"/>
  <c r="Z24" i="13"/>
  <c r="AC24" i="13"/>
  <c r="Z94" i="13"/>
  <c r="AC94" i="13"/>
  <c r="Z136" i="13"/>
  <c r="AC136" i="13"/>
  <c r="Z184" i="13"/>
  <c r="AC184" i="13"/>
  <c r="Z196" i="13"/>
  <c r="AC196" i="13"/>
  <c r="Z260" i="13"/>
  <c r="AC260" i="13"/>
  <c r="Z291" i="13"/>
  <c r="AC291" i="13"/>
  <c r="Z337" i="13"/>
  <c r="AC337" i="13"/>
  <c r="Z400" i="13"/>
  <c r="AC400" i="13"/>
  <c r="Z412" i="13"/>
  <c r="AC412" i="13"/>
  <c r="Z88" i="13"/>
  <c r="AC88" i="13"/>
  <c r="Z125" i="13"/>
  <c r="AC125" i="13"/>
  <c r="Z187" i="13"/>
  <c r="AC187" i="13"/>
  <c r="Z216" i="13"/>
  <c r="AC216" i="13"/>
  <c r="Z275" i="13"/>
  <c r="AC275" i="13"/>
  <c r="Z425" i="13"/>
  <c r="AC425" i="13"/>
  <c r="Z361" i="13"/>
  <c r="AC361" i="13"/>
  <c r="Z387" i="13"/>
  <c r="AC387" i="13"/>
  <c r="Z435" i="13"/>
  <c r="AC435" i="13"/>
  <c r="Z6" i="13"/>
  <c r="AC6" i="13"/>
  <c r="Z148" i="13"/>
  <c r="AC148" i="13"/>
  <c r="Z320" i="13"/>
  <c r="AC320" i="13"/>
  <c r="Z365" i="13"/>
  <c r="AC365" i="13"/>
  <c r="Z384" i="13"/>
  <c r="AC384" i="13"/>
  <c r="Z390" i="13"/>
  <c r="AC390" i="13"/>
  <c r="Z413" i="13"/>
  <c r="AC413" i="13"/>
  <c r="Z164" i="13"/>
  <c r="AC164" i="13"/>
  <c r="Z126" i="13"/>
  <c r="AC126" i="13"/>
  <c r="Z215" i="13"/>
  <c r="AC215" i="13"/>
  <c r="Z262" i="13"/>
  <c r="AC262" i="13"/>
  <c r="Z344" i="13"/>
  <c r="AC344" i="13"/>
  <c r="Z369" i="13"/>
  <c r="AC369" i="13"/>
  <c r="Z411" i="13"/>
  <c r="AC411" i="13"/>
  <c r="Z230" i="13"/>
  <c r="AC230" i="13"/>
  <c r="Z327" i="13"/>
  <c r="AC327" i="13"/>
  <c r="Z440" i="13"/>
  <c r="AC440" i="13"/>
  <c r="Z36" i="13"/>
  <c r="AC36" i="13"/>
  <c r="Z34" i="13"/>
  <c r="AC34" i="13"/>
  <c r="Z16" i="13"/>
  <c r="AC16" i="13"/>
  <c r="Z12" i="13"/>
  <c r="AC12" i="13"/>
  <c r="Z7" i="13"/>
  <c r="AC7" i="13"/>
  <c r="Z13" i="13"/>
  <c r="AC13" i="13"/>
  <c r="Z25" i="13"/>
  <c r="AC25" i="13"/>
  <c r="Z31" i="13"/>
  <c r="AC31" i="13"/>
  <c r="Z42" i="13"/>
  <c r="AC42" i="13"/>
  <c r="Z90" i="13"/>
  <c r="AC90" i="13"/>
  <c r="Z115" i="13"/>
  <c r="AC115" i="13"/>
  <c r="Z127" i="13"/>
  <c r="AC127" i="13"/>
  <c r="Z139" i="13"/>
  <c r="AC139" i="13"/>
  <c r="Z163" i="13"/>
  <c r="AC163" i="13"/>
  <c r="Z14" i="13"/>
  <c r="AC14" i="13"/>
  <c r="Z26" i="13"/>
  <c r="AC26" i="13"/>
  <c r="Z32" i="13"/>
  <c r="AC32" i="13"/>
  <c r="Z48" i="13"/>
  <c r="AC48" i="13"/>
  <c r="Z84" i="13"/>
  <c r="AC84" i="13"/>
  <c r="Z265" i="13"/>
  <c r="AC265" i="13"/>
  <c r="Z272" i="13"/>
  <c r="AC272" i="13"/>
  <c r="Z297" i="13"/>
  <c r="AC297" i="13"/>
  <c r="Z308" i="13"/>
  <c r="AC308" i="13"/>
  <c r="Z345" i="13"/>
  <c r="AC345" i="13"/>
  <c r="Z350" i="13"/>
  <c r="AC350" i="13"/>
  <c r="Z351" i="13"/>
  <c r="AC351" i="13"/>
  <c r="Z408" i="13"/>
  <c r="AC408" i="13"/>
  <c r="Z392" i="13"/>
  <c r="AC392" i="13"/>
  <c r="Z419" i="13"/>
  <c r="AC419" i="13"/>
  <c r="Z453" i="13"/>
  <c r="AC453" i="13"/>
  <c r="AL241" i="13"/>
  <c r="Z92" i="13"/>
  <c r="Z212" i="13"/>
  <c r="Z169" i="13"/>
  <c r="Z270" i="13"/>
  <c r="Z80" i="13"/>
  <c r="Z246" i="13"/>
  <c r="Z203" i="13"/>
  <c r="Z218" i="13"/>
  <c r="Z242" i="13"/>
  <c r="Z259" i="13"/>
  <c r="Z280" i="13"/>
  <c r="Z328" i="13"/>
  <c r="Z321" i="13"/>
  <c r="Z401" i="13"/>
  <c r="Z391" i="13"/>
  <c r="Z385" i="13"/>
  <c r="Z426" i="13"/>
  <c r="Z420" i="13"/>
  <c r="Z182" i="13"/>
  <c r="Z211" i="13"/>
  <c r="Z179" i="13"/>
  <c r="Z176" i="13"/>
  <c r="Z300" i="13"/>
  <c r="Z200" i="13"/>
  <c r="Z307" i="13"/>
  <c r="Z292" i="13"/>
  <c r="Z326" i="13"/>
  <c r="Z334" i="13"/>
  <c r="Z367" i="13"/>
  <c r="Z379" i="13"/>
  <c r="Z438" i="13"/>
  <c r="Z444" i="13"/>
  <c r="Z98" i="13"/>
  <c r="Z225" i="13"/>
  <c r="Z239" i="13"/>
  <c r="Z229" i="13"/>
  <c r="Z269" i="13"/>
  <c r="Z222" i="13"/>
  <c r="Z194" i="13"/>
  <c r="Z247" i="13"/>
  <c r="Z407" i="13"/>
  <c r="Z285" i="13"/>
  <c r="Z314" i="13"/>
  <c r="Z310" i="13"/>
  <c r="Z346" i="13"/>
  <c r="Z333" i="13"/>
  <c r="Z358" i="13"/>
  <c r="Z436" i="13"/>
  <c r="Z403" i="13"/>
  <c r="Z409" i="13"/>
  <c r="Z397" i="13"/>
  <c r="Z414" i="13"/>
  <c r="Z74" i="13"/>
  <c r="Z110" i="13"/>
  <c r="Z116" i="13"/>
  <c r="Z122" i="13"/>
  <c r="Z128" i="13"/>
  <c r="Z134" i="13"/>
  <c r="Z140" i="13"/>
  <c r="Z146" i="13"/>
  <c r="Z152" i="13"/>
  <c r="Z158" i="13"/>
  <c r="Z188" i="13"/>
  <c r="Z68" i="13"/>
  <c r="Z104" i="13"/>
  <c r="Z207" i="13"/>
  <c r="Z240" i="13"/>
  <c r="Z248" i="13"/>
  <c r="Z221" i="13"/>
  <c r="Z204" i="13"/>
  <c r="Z236" i="13"/>
  <c r="Z264" i="13"/>
  <c r="Z254" i="13"/>
  <c r="Z286" i="13"/>
  <c r="Z418" i="13"/>
  <c r="Z352" i="13"/>
  <c r="Z364" i="13"/>
  <c r="Z396" i="13"/>
  <c r="Z373" i="13"/>
  <c r="Z417" i="13"/>
  <c r="Z424" i="13"/>
  <c r="Z432" i="13"/>
  <c r="AL341" i="13"/>
  <c r="X398" i="13"/>
  <c r="AM398" i="13" s="1"/>
  <c r="X278" i="13"/>
  <c r="X104" i="13"/>
  <c r="AM104" i="13" s="1"/>
  <c r="X406" i="13"/>
  <c r="X331" i="13"/>
  <c r="X392" i="13"/>
  <c r="AM392" i="13" s="1"/>
  <c r="X69" i="13"/>
  <c r="X368" i="13"/>
  <c r="X354" i="13"/>
  <c r="X350" i="13"/>
  <c r="X272" i="13"/>
  <c r="X200" i="13"/>
  <c r="AM200" i="13" s="1"/>
  <c r="X99" i="13"/>
  <c r="AM99" i="13" s="1"/>
  <c r="X270" i="13"/>
  <c r="AM270" i="13" s="1"/>
  <c r="X20" i="13"/>
  <c r="AM20" i="13" s="1"/>
  <c r="X157" i="13"/>
  <c r="AM157" i="13" s="1"/>
  <c r="X36" i="13"/>
  <c r="X262" i="13"/>
  <c r="X390" i="13"/>
  <c r="AM390" i="13" s="1"/>
  <c r="X361" i="13"/>
  <c r="AM361" i="13" s="1"/>
  <c r="X108" i="13"/>
  <c r="AM108" i="13" s="1"/>
  <c r="X394" i="13"/>
  <c r="AM394" i="13" s="1"/>
  <c r="X416" i="13"/>
  <c r="AM416" i="13" s="1"/>
  <c r="X393" i="13"/>
  <c r="AM393" i="13" s="1"/>
  <c r="X419" i="13"/>
  <c r="AM438" i="13"/>
  <c r="X424" i="13"/>
  <c r="AM424" i="13" s="1"/>
  <c r="X426" i="13"/>
  <c r="AM426" i="13" s="1"/>
  <c r="X265" i="13"/>
  <c r="X254" i="13"/>
  <c r="AM254" i="13" s="1"/>
  <c r="X224" i="13"/>
  <c r="AM224" i="13" s="1"/>
  <c r="X203" i="13"/>
  <c r="AM203" i="13" s="1"/>
  <c r="X269" i="13"/>
  <c r="X92" i="13"/>
  <c r="AM92" i="13" s="1"/>
  <c r="X55" i="13"/>
  <c r="X151" i="13"/>
  <c r="AM151" i="13" s="1"/>
  <c r="X134" i="13"/>
  <c r="AM134" i="13" s="1"/>
  <c r="X74" i="13"/>
  <c r="AM74" i="13" s="1"/>
  <c r="X27" i="13"/>
  <c r="AM455" i="13"/>
  <c r="F24" i="19" s="1"/>
  <c r="X233" i="13"/>
  <c r="X143" i="13"/>
  <c r="AM143" i="13" s="1"/>
  <c r="X301" i="13"/>
  <c r="X100" i="13"/>
  <c r="AM100" i="13" s="1"/>
  <c r="X94" i="13"/>
  <c r="X377" i="13"/>
  <c r="AM377" i="13" s="1"/>
  <c r="X283" i="13"/>
  <c r="X372" i="13"/>
  <c r="AM372" i="13" s="1"/>
  <c r="X172" i="13"/>
  <c r="X52" i="13"/>
  <c r="AM52" i="13" s="1"/>
  <c r="X150" i="13"/>
  <c r="AM150" i="13" s="1"/>
  <c r="X323" i="13"/>
  <c r="X422" i="13"/>
  <c r="AM422" i="13" s="1"/>
  <c r="X50" i="13"/>
  <c r="X362" i="13"/>
  <c r="AM362" i="13" s="1"/>
  <c r="X276" i="13"/>
  <c r="X138" i="13"/>
  <c r="AM138" i="13" s="1"/>
  <c r="X277" i="13"/>
  <c r="AM277" i="13" s="1"/>
  <c r="X223" i="13"/>
  <c r="X330" i="13"/>
  <c r="X120" i="13"/>
  <c r="X306" i="13"/>
  <c r="AM306" i="13" s="1"/>
  <c r="X167" i="13"/>
  <c r="X23" i="13"/>
  <c r="AM430" i="13"/>
  <c r="X382" i="13"/>
  <c r="AM382" i="13" s="1"/>
  <c r="X304" i="13"/>
  <c r="AM304" i="13" s="1"/>
  <c r="X250" i="13"/>
  <c r="AM250" i="13" s="1"/>
  <c r="X214" i="13"/>
  <c r="AM214" i="13" s="1"/>
  <c r="X142" i="13"/>
  <c r="AM142" i="13" s="1"/>
  <c r="X70" i="13"/>
  <c r="X243" i="13"/>
  <c r="X195" i="13"/>
  <c r="X159" i="13"/>
  <c r="X123" i="13"/>
  <c r="X51" i="13"/>
  <c r="X15" i="13"/>
  <c r="X173" i="13"/>
  <c r="AM173" i="13" s="1"/>
  <c r="X263" i="13"/>
  <c r="AM263" i="13" s="1"/>
  <c r="X42" i="13"/>
  <c r="X16" i="13"/>
  <c r="X192" i="13"/>
  <c r="X171" i="13"/>
  <c r="X391" i="13"/>
  <c r="X204" i="13"/>
  <c r="AM204" i="13" s="1"/>
  <c r="X12" i="13"/>
  <c r="X379" i="13"/>
  <c r="X176" i="13"/>
  <c r="X413" i="13"/>
  <c r="X402" i="13"/>
  <c r="AM402" i="13" s="1"/>
  <c r="X21" i="13"/>
  <c r="AM21" i="13" s="1"/>
  <c r="X364" i="13"/>
  <c r="X290" i="13"/>
  <c r="X264" i="13"/>
  <c r="X175" i="13"/>
  <c r="X164" i="13"/>
  <c r="X282" i="13"/>
  <c r="AM282" i="13" s="1"/>
  <c r="X216" i="13"/>
  <c r="X291" i="13"/>
  <c r="X202" i="13"/>
  <c r="AM202" i="13" s="1"/>
  <c r="X149" i="13"/>
  <c r="X91" i="13"/>
  <c r="X373" i="13"/>
  <c r="X396" i="13"/>
  <c r="AM396" i="13" s="1"/>
  <c r="X418" i="13"/>
  <c r="X242" i="13"/>
  <c r="X218" i="13"/>
  <c r="X93" i="13"/>
  <c r="X80" i="13"/>
  <c r="X169" i="13"/>
  <c r="AM169" i="13" s="1"/>
  <c r="X225" i="13"/>
  <c r="X48" i="13"/>
  <c r="X14" i="13"/>
  <c r="X145" i="13"/>
  <c r="X68" i="13"/>
  <c r="X31" i="13"/>
  <c r="AM31" i="13" s="1"/>
  <c r="AM449" i="13"/>
  <c r="X384" i="13"/>
  <c r="X112" i="13"/>
  <c r="AM112" i="13" s="1"/>
  <c r="X412" i="13"/>
  <c r="X71" i="13"/>
  <c r="AM71" i="13" s="1"/>
  <c r="X353" i="13"/>
  <c r="AM437" i="13"/>
  <c r="X329" i="13"/>
  <c r="AM329" i="13" s="1"/>
  <c r="X32" i="13"/>
  <c r="AM32" i="13" s="1"/>
  <c r="X308" i="13"/>
  <c r="X320" i="13"/>
  <c r="AM320" i="13" s="1"/>
  <c r="X423" i="13"/>
  <c r="AM423" i="13" s="1"/>
  <c r="X135" i="13"/>
  <c r="AM135" i="13" s="1"/>
  <c r="X271" i="13"/>
  <c r="AM271" i="13" s="1"/>
  <c r="X309" i="13"/>
  <c r="AM309" i="13" s="1"/>
  <c r="X67" i="13"/>
  <c r="AM67" i="13" s="1"/>
  <c r="X156" i="13"/>
  <c r="AM156" i="13" s="1"/>
  <c r="X129" i="13"/>
  <c r="AM129" i="13" s="1"/>
  <c r="X126" i="13"/>
  <c r="AM126" i="13" s="1"/>
  <c r="X196" i="13"/>
  <c r="AM196" i="13" s="1"/>
  <c r="X293" i="13"/>
  <c r="AM293" i="13" s="1"/>
  <c r="X335" i="13"/>
  <c r="X45" i="13"/>
  <c r="X321" i="13"/>
  <c r="AM321" i="13" s="1"/>
  <c r="X314" i="13"/>
  <c r="AM314" i="13" s="1"/>
  <c r="X285" i="13"/>
  <c r="AM285" i="13" s="1"/>
  <c r="X194" i="13"/>
  <c r="X87" i="13"/>
  <c r="AM87" i="13" s="1"/>
  <c r="X79" i="13"/>
  <c r="X240" i="13"/>
  <c r="AM240" i="13" s="1"/>
  <c r="X103" i="13"/>
  <c r="AM103" i="13" s="1"/>
  <c r="X8" i="13"/>
  <c r="AM8" i="13" s="1"/>
  <c r="X133" i="13"/>
  <c r="AM133" i="13" s="1"/>
  <c r="X25" i="13"/>
  <c r="AM25" i="13" s="1"/>
  <c r="X341" i="13"/>
  <c r="AM341" i="13" s="1"/>
  <c r="X206" i="13"/>
  <c r="AM206" i="13" s="1"/>
  <c r="X97" i="13"/>
  <c r="X181" i="13"/>
  <c r="AM181" i="13" s="1"/>
  <c r="X294" i="13"/>
  <c r="AM294" i="13" s="1"/>
  <c r="X315" i="13"/>
  <c r="X310" i="13"/>
  <c r="AM310" i="13" s="1"/>
  <c r="X222" i="13"/>
  <c r="AM222" i="13" s="1"/>
  <c r="X109" i="13"/>
  <c r="AM109" i="13" s="1"/>
  <c r="X13" i="13"/>
  <c r="AM13" i="13" s="1"/>
  <c r="X35" i="13"/>
  <c r="AM35" i="13" s="1"/>
  <c r="X144" i="13"/>
  <c r="AM144" i="13" s="1"/>
  <c r="X388" i="13"/>
  <c r="AM388" i="13" s="1"/>
  <c r="X357" i="13"/>
  <c r="X136" i="13"/>
  <c r="AM136" i="13" s="1"/>
  <c r="X60" i="13"/>
  <c r="X338" i="13"/>
  <c r="X289" i="13"/>
  <c r="X186" i="13"/>
  <c r="AM186" i="13" s="1"/>
  <c r="X317" i="13"/>
  <c r="X185" i="13"/>
  <c r="AM185" i="13" s="1"/>
  <c r="X322" i="13"/>
  <c r="AM322" i="13" s="1"/>
  <c r="X154" i="13"/>
  <c r="AM154" i="13" s="1"/>
  <c r="X46" i="13"/>
  <c r="AM46" i="13" s="1"/>
  <c r="X63" i="13"/>
  <c r="AM63" i="13" s="1"/>
  <c r="X297" i="13"/>
  <c r="X221" i="13"/>
  <c r="AM221" i="13" s="1"/>
  <c r="X44" i="13"/>
  <c r="X26" i="13"/>
  <c r="AM26" i="13" s="1"/>
  <c r="X7" i="13"/>
  <c r="X339" i="13"/>
  <c r="AM339" i="13" s="1"/>
  <c r="X279" i="13"/>
  <c r="X337" i="13"/>
  <c r="AM337" i="13" s="1"/>
  <c r="X266" i="13"/>
  <c r="X40" i="13"/>
  <c r="AM40" i="13" s="1"/>
  <c r="X352" i="13"/>
  <c r="AM352" i="13" s="1"/>
  <c r="X179" i="13"/>
  <c r="AM179" i="13" s="1"/>
  <c r="X62" i="13"/>
  <c r="AM62" i="13" s="1"/>
  <c r="X140" i="13"/>
  <c r="AM140" i="13" s="1"/>
  <c r="X244" i="13"/>
  <c r="AM244" i="13" s="1"/>
  <c r="X245" i="13"/>
  <c r="X113" i="13"/>
  <c r="AM113" i="13" s="1"/>
  <c r="X284" i="13"/>
  <c r="X325" i="13"/>
  <c r="AM325" i="13" s="1"/>
  <c r="X37" i="13"/>
  <c r="AM37" i="13" s="1"/>
  <c r="X66" i="13"/>
  <c r="AM66" i="13" s="1"/>
  <c r="X383" i="13"/>
  <c r="X311" i="13"/>
  <c r="AM311" i="13" s="1"/>
  <c r="X137" i="13"/>
  <c r="X65" i="13"/>
  <c r="X256" i="13"/>
  <c r="AM256" i="13" s="1"/>
  <c r="X57" i="13"/>
  <c r="X358" i="13"/>
  <c r="AM358" i="13" s="1"/>
  <c r="X139" i="13"/>
  <c r="X128" i="13"/>
  <c r="AM128" i="13" s="1"/>
  <c r="X381" i="13"/>
  <c r="X193" i="13"/>
  <c r="X187" i="13"/>
  <c r="X260" i="13"/>
  <c r="AM260" i="13" s="1"/>
  <c r="X61" i="13"/>
  <c r="AM61" i="13" s="1"/>
  <c r="X356" i="13"/>
  <c r="AM356" i="13" s="1"/>
  <c r="X217" i="13"/>
  <c r="AM217" i="13" s="1"/>
  <c r="X299" i="13"/>
  <c r="X209" i="13"/>
  <c r="AM209" i="13" s="1"/>
  <c r="X376" i="13"/>
  <c r="AM376" i="13" s="1"/>
  <c r="X208" i="13"/>
  <c r="AM208" i="13" s="1"/>
  <c r="X273" i="13"/>
  <c r="AM273" i="13" s="1"/>
  <c r="X189" i="13"/>
  <c r="AM189" i="13" s="1"/>
  <c r="X117" i="13"/>
  <c r="AM117" i="13" s="1"/>
  <c r="X420" i="13"/>
  <c r="AM420" i="13" s="1"/>
  <c r="X378" i="13"/>
  <c r="AM378" i="13" s="1"/>
  <c r="X333" i="13"/>
  <c r="AM333" i="13" s="1"/>
  <c r="X292" i="13"/>
  <c r="AM292" i="13" s="1"/>
  <c r="X259" i="13"/>
  <c r="X246" i="13"/>
  <c r="AM246" i="13" s="1"/>
  <c r="X229" i="13"/>
  <c r="AM229" i="13" s="1"/>
  <c r="X127" i="13"/>
  <c r="X158" i="13"/>
  <c r="AM158" i="13" s="1"/>
  <c r="X122" i="13"/>
  <c r="X28" i="13"/>
  <c r="AM28" i="13" s="1"/>
  <c r="X107" i="13"/>
  <c r="X371" i="13"/>
  <c r="AM371" i="13" s="1"/>
  <c r="X95" i="13"/>
  <c r="X38" i="13"/>
  <c r="AM38" i="13" s="1"/>
  <c r="X166" i="13"/>
  <c r="AM166" i="13" s="1"/>
  <c r="X400" i="13"/>
  <c r="AM400" i="13" s="1"/>
  <c r="X184" i="13"/>
  <c r="X24" i="13"/>
  <c r="AM24" i="13" s="1"/>
  <c r="X114" i="13"/>
  <c r="AM114" i="13" s="1"/>
  <c r="X228" i="13"/>
  <c r="AM228" i="13" s="1"/>
  <c r="X205" i="13"/>
  <c r="X199" i="13"/>
  <c r="AM199" i="13" s="1"/>
  <c r="X386" i="13"/>
  <c r="AM386" i="13" s="1"/>
  <c r="X302" i="13"/>
  <c r="X360" i="13"/>
  <c r="AM360" i="13" s="1"/>
  <c r="X288" i="13"/>
  <c r="AM288" i="13" s="1"/>
  <c r="X54" i="13"/>
  <c r="AM54" i="13" s="1"/>
  <c r="X168" i="13"/>
  <c r="AM168" i="13" s="1"/>
  <c r="X251" i="13"/>
  <c r="X197" i="13"/>
  <c r="AM197" i="13" s="1"/>
  <c r="X155" i="13"/>
  <c r="AM155" i="13" s="1"/>
  <c r="X119" i="13"/>
  <c r="AM119" i="13" s="1"/>
  <c r="X11" i="13"/>
  <c r="AM11" i="13" s="1"/>
  <c r="X370" i="13"/>
  <c r="AM370" i="13" s="1"/>
  <c r="X274" i="13"/>
  <c r="AM274" i="13" s="1"/>
  <c r="X238" i="13"/>
  <c r="AM238" i="13" s="1"/>
  <c r="X130" i="13"/>
  <c r="X58" i="13"/>
  <c r="AM58" i="13" s="1"/>
  <c r="X267" i="13"/>
  <c r="AM267" i="13" s="1"/>
  <c r="X231" i="13"/>
  <c r="AM231" i="13" s="1"/>
  <c r="X183" i="13"/>
  <c r="AM183" i="13" s="1"/>
  <c r="X147" i="13"/>
  <c r="X111" i="13"/>
  <c r="X39" i="13"/>
  <c r="AM39" i="13" s="1"/>
  <c r="X247" i="13"/>
  <c r="AM247" i="13" s="1"/>
  <c r="X408" i="13"/>
  <c r="AM408" i="13" s="1"/>
  <c r="AM450" i="13"/>
  <c r="X146" i="13"/>
  <c r="X375" i="13"/>
  <c r="X374" i="13"/>
  <c r="X96" i="13"/>
  <c r="X236" i="13"/>
  <c r="X211" i="13"/>
  <c r="AM211" i="13" s="1"/>
  <c r="X300" i="13"/>
  <c r="X90" i="13"/>
  <c r="AM90" i="13" s="1"/>
  <c r="X369" i="13"/>
  <c r="X174" i="13"/>
  <c r="AM174" i="13" s="1"/>
  <c r="X165" i="13"/>
  <c r="X351" i="13"/>
  <c r="AM351" i="13" s="1"/>
  <c r="X248" i="13"/>
  <c r="X188" i="13"/>
  <c r="AM188" i="13" s="1"/>
  <c r="X215" i="13"/>
  <c r="AM215" i="13" s="1"/>
  <c r="X303" i="13"/>
  <c r="AM303" i="13" s="1"/>
  <c r="AM428" i="13"/>
  <c r="X313" i="13"/>
  <c r="X89" i="13"/>
  <c r="AM89" i="13" s="1"/>
  <c r="X404" i="13"/>
  <c r="AM404" i="13" s="1"/>
  <c r="X319" i="13"/>
  <c r="AM319" i="13" s="1"/>
  <c r="X407" i="13"/>
  <c r="AM407" i="13" s="1"/>
  <c r="X81" i="13"/>
  <c r="AM81" i="13" s="1"/>
  <c r="X239" i="13"/>
  <c r="AM239" i="13" s="1"/>
  <c r="X86" i="13"/>
  <c r="AM86" i="13" s="1"/>
  <c r="X207" i="13"/>
  <c r="AM207" i="13" s="1"/>
  <c r="X121" i="13"/>
  <c r="AM121" i="13" s="1"/>
  <c r="X56" i="13"/>
  <c r="X19" i="13"/>
  <c r="AM19" i="13" s="1"/>
  <c r="X411" i="13"/>
  <c r="AM411" i="13" s="1"/>
  <c r="X85" i="13"/>
  <c r="X6" i="13"/>
  <c r="AM6" i="13" s="1"/>
  <c r="X106" i="13"/>
  <c r="AM106" i="13" s="1"/>
  <c r="X161" i="13"/>
  <c r="AM161" i="13" s="1"/>
  <c r="X178" i="13"/>
  <c r="AM178" i="13" s="1"/>
  <c r="X363" i="13"/>
  <c r="AM363" i="13" s="1"/>
  <c r="X220" i="13"/>
  <c r="X53" i="13"/>
  <c r="AM53" i="13" s="1"/>
  <c r="X83" i="13"/>
  <c r="X403" i="13"/>
  <c r="AM403" i="13" s="1"/>
  <c r="X326" i="13"/>
  <c r="X75" i="13"/>
  <c r="AM75" i="13" s="1"/>
  <c r="X49" i="13"/>
  <c r="AM49" i="13" s="1"/>
  <c r="X73" i="13"/>
  <c r="X387" i="13"/>
  <c r="AM387" i="13" s="1"/>
  <c r="AM434" i="13"/>
  <c r="X305" i="13"/>
  <c r="AM305" i="13" s="1"/>
  <c r="X286" i="13"/>
  <c r="AM286" i="13" s="1"/>
  <c r="X110" i="13"/>
  <c r="AM110" i="13" s="1"/>
  <c r="X327" i="13"/>
  <c r="X226" i="13"/>
  <c r="AM226" i="13" s="1"/>
  <c r="X268" i="13"/>
  <c r="AM268" i="13" s="1"/>
  <c r="X410" i="13"/>
  <c r="AM410" i="13" s="1"/>
  <c r="X180" i="13"/>
  <c r="X415" i="13"/>
  <c r="X43" i="13"/>
  <c r="X389" i="13"/>
  <c r="X281" i="13"/>
  <c r="X190" i="13"/>
  <c r="X82" i="13"/>
  <c r="AM82" i="13" s="1"/>
  <c r="X255" i="13"/>
  <c r="X213" i="13"/>
  <c r="X307" i="13"/>
  <c r="AM307" i="13" s="1"/>
  <c r="X105" i="13"/>
  <c r="X170" i="13"/>
  <c r="AM170" i="13" s="1"/>
  <c r="X41" i="13"/>
  <c r="AM41" i="13" s="1"/>
  <c r="X34" i="13"/>
  <c r="AM34" i="13" s="1"/>
  <c r="X18" i="13"/>
  <c r="X148" i="13"/>
  <c r="AM148" i="13" s="1"/>
  <c r="X125" i="13"/>
  <c r="X102" i="13"/>
  <c r="X241" i="13"/>
  <c r="X118" i="13"/>
  <c r="X252" i="13"/>
  <c r="X385" i="13"/>
  <c r="AM385" i="13" s="1"/>
  <c r="X345" i="13"/>
  <c r="X280" i="13"/>
  <c r="AM280" i="13" s="1"/>
  <c r="X98" i="13"/>
  <c r="X163" i="13"/>
  <c r="X162" i="13"/>
  <c r="X30" i="13"/>
  <c r="AM30" i="13" s="1"/>
  <c r="X343" i="13"/>
  <c r="X332" i="13"/>
  <c r="AM332" i="13" s="1"/>
  <c r="X235" i="13"/>
  <c r="X336" i="13"/>
  <c r="X342" i="13"/>
  <c r="AM342" i="13" s="1"/>
  <c r="X347" i="13"/>
  <c r="X227" i="13"/>
  <c r="X101" i="13"/>
  <c r="X29" i="13"/>
  <c r="X316" i="13"/>
  <c r="AM316" i="13" s="1"/>
  <c r="X249" i="13"/>
  <c r="AM249" i="13" s="1"/>
  <c r="X201" i="13"/>
  <c r="X414" i="13"/>
  <c r="AM414" i="13" s="1"/>
  <c r="X417" i="13"/>
  <c r="X334" i="13"/>
  <c r="AM334" i="13" s="1"/>
  <c r="X212" i="13"/>
  <c r="AM212" i="13" s="1"/>
  <c r="X47" i="13"/>
  <c r="AM47" i="13" s="1"/>
  <c r="X230" i="13"/>
  <c r="AM230" i="13" s="1"/>
  <c r="X344" i="13"/>
  <c r="AM344" i="13" s="1"/>
  <c r="X72" i="13"/>
  <c r="X88" i="13"/>
  <c r="X253" i="13"/>
  <c r="X324" i="13"/>
  <c r="X349" i="13"/>
  <c r="X312" i="13"/>
  <c r="X257" i="13"/>
  <c r="AM257" i="13" s="1"/>
  <c r="X17" i="13"/>
  <c r="AM17" i="13" s="1"/>
  <c r="X298" i="13"/>
  <c r="X399" i="13"/>
  <c r="X237" i="13"/>
  <c r="X153" i="13"/>
  <c r="X9" i="13"/>
  <c r="X397" i="13"/>
  <c r="AM397" i="13" s="1"/>
  <c r="X409" i="13"/>
  <c r="AM436" i="13"/>
  <c r="X401" i="13"/>
  <c r="X367" i="13"/>
  <c r="AM367" i="13" s="1"/>
  <c r="X318" i="13"/>
  <c r="X328" i="13"/>
  <c r="X346" i="13"/>
  <c r="X258" i="13"/>
  <c r="X182" i="13"/>
  <c r="AM182" i="13" s="1"/>
  <c r="X84" i="13"/>
  <c r="X115" i="13"/>
  <c r="X152" i="13"/>
  <c r="AM152" i="13" s="1"/>
  <c r="X116" i="13"/>
  <c r="AM116" i="13" s="1"/>
  <c r="X10" i="13"/>
  <c r="X22" i="13"/>
  <c r="X366" i="13"/>
  <c r="AM366" i="13" s="1"/>
  <c r="X405" i="13"/>
  <c r="X64" i="13"/>
  <c r="AM64" i="13" s="1"/>
  <c r="X365" i="13"/>
  <c r="X76" i="13"/>
  <c r="AM76" i="13" s="1"/>
  <c r="X78" i="13"/>
  <c r="AM78" i="13" s="1"/>
  <c r="X425" i="13"/>
  <c r="AM425" i="13" s="1"/>
  <c r="X275" i="13"/>
  <c r="X59" i="13"/>
  <c r="X355" i="13"/>
  <c r="AM355" i="13" s="1"/>
  <c r="X234" i="13"/>
  <c r="AM234" i="13" s="1"/>
  <c r="X132" i="13"/>
  <c r="AM132" i="13" s="1"/>
  <c r="X131" i="13"/>
  <c r="X198" i="13"/>
  <c r="AM198" i="13" s="1"/>
  <c r="X380" i="13"/>
  <c r="X296" i="13"/>
  <c r="X348" i="13"/>
  <c r="AM348" i="13" s="1"/>
  <c r="X210" i="13"/>
  <c r="X421" i="13"/>
  <c r="X295" i="13"/>
  <c r="AM295" i="13" s="1"/>
  <c r="X395" i="13"/>
  <c r="AM395" i="13" s="1"/>
  <c r="X359" i="13"/>
  <c r="AM359" i="13" s="1"/>
  <c r="X287" i="13"/>
  <c r="AM287" i="13" s="1"/>
  <c r="X191" i="13"/>
  <c r="X77" i="13"/>
  <c r="AM77" i="13" s="1"/>
  <c r="AM454" i="13"/>
  <c r="X340" i="13"/>
  <c r="X232" i="13"/>
  <c r="AM232" i="13" s="1"/>
  <c r="X160" i="13"/>
  <c r="AM160" i="13" s="1"/>
  <c r="X124" i="13"/>
  <c r="AM124" i="13" s="1"/>
  <c r="AM429" i="13"/>
  <c r="X261" i="13"/>
  <c r="X219" i="13"/>
  <c r="AM219" i="13" s="1"/>
  <c r="X177" i="13"/>
  <c r="AM177" i="13" s="1"/>
  <c r="X141" i="13"/>
  <c r="X33" i="13"/>
  <c r="AM33" i="13" s="1"/>
  <c r="AL244" i="13"/>
  <c r="AL172" i="13"/>
  <c r="AL319" i="13"/>
  <c r="AL87" i="13"/>
  <c r="AL297" i="13"/>
  <c r="AL10" i="13"/>
  <c r="AL425" i="13"/>
  <c r="AL34" i="13"/>
  <c r="B46" i="22"/>
  <c r="B48" i="22"/>
  <c r="B47" i="22"/>
  <c r="B43" i="22"/>
  <c r="B44" i="22"/>
  <c r="B45" i="22"/>
  <c r="AL106" i="13"/>
  <c r="AL148" i="13"/>
  <c r="AL290" i="13"/>
  <c r="AL226" i="13"/>
  <c r="AL381" i="13"/>
  <c r="AL230" i="13"/>
  <c r="AL377" i="13"/>
  <c r="AL404" i="13"/>
  <c r="AL275" i="13"/>
  <c r="AL431" i="13"/>
  <c r="AL18" i="13"/>
  <c r="AL184" i="13"/>
  <c r="AL220" i="13"/>
  <c r="AL388" i="13"/>
  <c r="AL291" i="13"/>
  <c r="AL40" i="13"/>
  <c r="AL93" i="13"/>
  <c r="AM29" i="13"/>
  <c r="AL375" i="13"/>
  <c r="AL56" i="13"/>
  <c r="AL81" i="13"/>
  <c r="AL136" i="13"/>
  <c r="AL109" i="13"/>
  <c r="AL455" i="13"/>
  <c r="AL12" i="13"/>
  <c r="AL52" i="13"/>
  <c r="AL234" i="13"/>
  <c r="AL371" i="13"/>
  <c r="AL315" i="13"/>
  <c r="AL25" i="13"/>
  <c r="AL390" i="13"/>
  <c r="AL271" i="13"/>
  <c r="AL363" i="13"/>
  <c r="AL392" i="13"/>
  <c r="AL308" i="13"/>
  <c r="AL64" i="13"/>
  <c r="AL196" i="13"/>
  <c r="AL69" i="13"/>
  <c r="AL114" i="13"/>
  <c r="AL387" i="13"/>
  <c r="AL72" i="13"/>
  <c r="AL30" i="13"/>
  <c r="AL31" i="13"/>
  <c r="AL48" i="13"/>
  <c r="AL99" i="13"/>
  <c r="AL192" i="13"/>
  <c r="AL118" i="13"/>
  <c r="AL398" i="13"/>
  <c r="AL345" i="13"/>
  <c r="AL305" i="13"/>
  <c r="AL215" i="13"/>
  <c r="AL24" i="13"/>
  <c r="AL262" i="13"/>
  <c r="AL366" i="13"/>
  <c r="AL369" i="13"/>
  <c r="AL353" i="13"/>
  <c r="AL437" i="13"/>
  <c r="AL294" i="13"/>
  <c r="AL85" i="13"/>
  <c r="AL198" i="13"/>
  <c r="AL446" i="13"/>
  <c r="AL434" i="13"/>
  <c r="AL440" i="13"/>
  <c r="AL228" i="13"/>
  <c r="AL252" i="13"/>
  <c r="AL131" i="13"/>
  <c r="AL103" i="13"/>
  <c r="AL365" i="13"/>
  <c r="AL75" i="13"/>
  <c r="AL284" i="13"/>
  <c r="AL6" i="13"/>
  <c r="AL112" i="13"/>
  <c r="AL105" i="13"/>
  <c r="AL162" i="13"/>
  <c r="AL443" i="13"/>
  <c r="AL145" i="13"/>
  <c r="AL408" i="13"/>
  <c r="AL323" i="13"/>
  <c r="AL268" i="13"/>
  <c r="AL351" i="13"/>
  <c r="AL13" i="13"/>
  <c r="AL344" i="13"/>
  <c r="AL337" i="13"/>
  <c r="AL49" i="13"/>
  <c r="AL166" i="13"/>
  <c r="AL202" i="13"/>
  <c r="AL127" i="13"/>
  <c r="AL245" i="13"/>
  <c r="AL78" i="13"/>
  <c r="AL282" i="13"/>
  <c r="AL422" i="13"/>
  <c r="AL19" i="13"/>
  <c r="AL42" i="13"/>
  <c r="AL216" i="13"/>
  <c r="AL416" i="13"/>
  <c r="AL205" i="13"/>
  <c r="AL301" i="13"/>
  <c r="AL293" i="13"/>
  <c r="AL329" i="13"/>
  <c r="AL178" i="13"/>
  <c r="AL419" i="13"/>
  <c r="AL283" i="13"/>
  <c r="AL406" i="13"/>
  <c r="AL163" i="13"/>
  <c r="AL449" i="13"/>
  <c r="AL355" i="13"/>
  <c r="AL343" i="13"/>
  <c r="AL265" i="13"/>
  <c r="AL91" i="13"/>
  <c r="AL445" i="13"/>
  <c r="AL243" i="13"/>
  <c r="AL386" i="13"/>
  <c r="AL212" i="13"/>
  <c r="AL46" i="13"/>
  <c r="AL395" i="13"/>
  <c r="AL119" i="13"/>
  <c r="AL58" i="13"/>
  <c r="AL77" i="13"/>
  <c r="AL311" i="13"/>
  <c r="AL415" i="13"/>
  <c r="AL348" i="13"/>
  <c r="AL429" i="13"/>
  <c r="AL142" i="13"/>
  <c r="AL439" i="13"/>
  <c r="AL180" i="13"/>
  <c r="AL135" i="13"/>
  <c r="AL155" i="13"/>
  <c r="AL232" i="13"/>
  <c r="AL186" i="13"/>
  <c r="AL238" i="13"/>
  <c r="AL141" i="13"/>
  <c r="AL236" i="13"/>
  <c r="AL203" i="13"/>
  <c r="AL159" i="13"/>
  <c r="AL451" i="13"/>
  <c r="AL223" i="13"/>
  <c r="AL190" i="13"/>
  <c r="AL153" i="13"/>
  <c r="AL227" i="13"/>
  <c r="AL156" i="13"/>
  <c r="AL137" i="13"/>
  <c r="AL154" i="13"/>
  <c r="AL383" i="13"/>
  <c r="AL378" i="13"/>
  <c r="AL255" i="13"/>
  <c r="AL331" i="13"/>
  <c r="AL362" i="13"/>
  <c r="AL66" i="13"/>
  <c r="AL256" i="13"/>
  <c r="AL169" i="13"/>
  <c r="AL214" i="13"/>
  <c r="AL209" i="13"/>
  <c r="AL299" i="13"/>
  <c r="AL208" i="13"/>
  <c r="AM441" i="13"/>
  <c r="AL101" i="13"/>
  <c r="AL229" i="13"/>
  <c r="AL317" i="13"/>
  <c r="AL410" i="13"/>
  <c r="AL454" i="13"/>
  <c r="AL448" i="13"/>
  <c r="AL368" i="13"/>
  <c r="AL359" i="13"/>
  <c r="AL349" i="13"/>
  <c r="AL335" i="13"/>
  <c r="AL321" i="13"/>
  <c r="AL326" i="13"/>
  <c r="AL332" i="13"/>
  <c r="AL325" i="13"/>
  <c r="AL314" i="13"/>
  <c r="AL269" i="13"/>
  <c r="AL281" i="13"/>
  <c r="AL249" i="13"/>
  <c r="AL201" i="13"/>
  <c r="AL117" i="13"/>
  <c r="AL124" i="13"/>
  <c r="AL120" i="13"/>
  <c r="AL130" i="13"/>
  <c r="AL129" i="13"/>
  <c r="AL138" i="13"/>
  <c r="AL123" i="13"/>
  <c r="AL89" i="13"/>
  <c r="AL219" i="13"/>
  <c r="AL250" i="13"/>
  <c r="AL427" i="13"/>
  <c r="AL195" i="13"/>
  <c r="AL189" i="13"/>
  <c r="AL221" i="13"/>
  <c r="AL147" i="13"/>
  <c r="AL237" i="13"/>
  <c r="AL200" i="13"/>
  <c r="AL347" i="13"/>
  <c r="AL183" i="13"/>
  <c r="AL285" i="13"/>
  <c r="AL428" i="13"/>
  <c r="AL222" i="13"/>
  <c r="AL177" i="13"/>
  <c r="AL433" i="13"/>
  <c r="AL160" i="13"/>
  <c r="AL239" i="13"/>
  <c r="AL421" i="13"/>
  <c r="AL374" i="13"/>
  <c r="AL171" i="13"/>
  <c r="AL380" i="13"/>
  <c r="AL111" i="13"/>
  <c r="AL436" i="13"/>
  <c r="AL248" i="13"/>
  <c r="AL373" i="13"/>
  <c r="AL322" i="13"/>
  <c r="AL259" i="13"/>
  <c r="AL194" i="13"/>
  <c r="AL304" i="13"/>
  <c r="AL358" i="13"/>
  <c r="AL397" i="13"/>
  <c r="AL333" i="13"/>
  <c r="AL286" i="13"/>
  <c r="AL246" i="13"/>
  <c r="AL403" i="13"/>
  <c r="AL247" i="13"/>
  <c r="G27" i="40"/>
  <c r="H27" i="40" s="1"/>
  <c r="B27" i="40"/>
  <c r="G26" i="40"/>
  <c r="H26" i="40" s="1"/>
  <c r="B26" i="40"/>
  <c r="G25" i="40"/>
  <c r="H25" i="40" s="1"/>
  <c r="B25" i="40"/>
  <c r="G24" i="40"/>
  <c r="B24" i="40"/>
  <c r="G16" i="19" l="1"/>
  <c r="G10" i="19"/>
  <c r="G14" i="19"/>
  <c r="G20" i="19"/>
  <c r="H19" i="19"/>
  <c r="G9" i="19"/>
  <c r="G22" i="19"/>
  <c r="G12" i="19"/>
  <c r="G13" i="19"/>
  <c r="H22" i="19"/>
  <c r="H20" i="19"/>
  <c r="H16" i="19"/>
  <c r="H14" i="19"/>
  <c r="H13" i="19"/>
  <c r="H12" i="19"/>
  <c r="H10" i="19"/>
  <c r="H9" i="19"/>
  <c r="G15" i="19"/>
  <c r="H15" i="19"/>
  <c r="G17" i="19"/>
  <c r="H17" i="19"/>
  <c r="H23" i="19"/>
  <c r="G18" i="19"/>
  <c r="H18" i="19"/>
  <c r="G11" i="19"/>
  <c r="H11" i="19"/>
  <c r="G8" i="19"/>
  <c r="H8" i="19"/>
  <c r="G21" i="19"/>
  <c r="H21" i="19"/>
  <c r="G19" i="19"/>
  <c r="G23" i="19"/>
  <c r="AM69" i="13"/>
  <c r="AM91" i="13"/>
  <c r="AM184" i="13"/>
  <c r="AM275" i="13"/>
  <c r="AM278" i="13"/>
  <c r="AM331" i="13"/>
  <c r="AM262" i="13"/>
  <c r="AM93" i="13"/>
  <c r="AM353" i="13"/>
  <c r="AM308" i="13"/>
  <c r="AM147" i="13"/>
  <c r="AM111" i="13"/>
  <c r="AM349" i="13"/>
  <c r="AM318" i="13"/>
  <c r="AM435" i="13"/>
  <c r="AM368" i="13"/>
  <c r="AM350" i="13"/>
  <c r="AM419" i="13"/>
  <c r="AM276" i="13"/>
  <c r="AM159" i="13"/>
  <c r="AM335" i="13"/>
  <c r="AM97" i="13"/>
  <c r="AM315" i="13"/>
  <c r="AM357" i="13"/>
  <c r="AM338" i="13"/>
  <c r="AM266" i="13"/>
  <c r="AM299" i="13"/>
  <c r="AM127" i="13"/>
  <c r="AM107" i="13"/>
  <c r="AM95" i="13"/>
  <c r="AM205" i="13"/>
  <c r="AM302" i="13"/>
  <c r="AM427" i="13"/>
  <c r="AM251" i="13"/>
  <c r="AM375" i="13"/>
  <c r="AM96" i="13"/>
  <c r="AM313" i="13"/>
  <c r="AM327" i="13"/>
  <c r="AM415" i="13"/>
  <c r="AM389" i="13"/>
  <c r="AM213" i="13"/>
  <c r="AM102" i="13"/>
  <c r="AM118" i="13"/>
  <c r="AM163" i="13"/>
  <c r="AM253" i="13"/>
  <c r="AM258" i="13"/>
  <c r="AM59" i="13"/>
  <c r="AM131" i="13"/>
  <c r="AM421" i="13"/>
  <c r="AM406" i="13"/>
  <c r="AM354" i="13"/>
  <c r="AM272" i="13"/>
  <c r="AM36" i="13"/>
  <c r="AM265" i="13"/>
  <c r="AM192" i="13"/>
  <c r="AM12" i="13"/>
  <c r="AM290" i="13"/>
  <c r="AM48" i="13"/>
  <c r="AM412" i="13"/>
  <c r="AM194" i="13"/>
  <c r="AM79" i="13"/>
  <c r="AM65" i="13"/>
  <c r="AM442" i="13"/>
  <c r="AM193" i="13"/>
  <c r="AM453" i="13"/>
  <c r="AM130" i="13"/>
  <c r="AM227" i="13"/>
  <c r="AM10" i="13"/>
  <c r="AM365" i="13"/>
  <c r="AM447" i="13"/>
  <c r="AM191" i="13"/>
  <c r="AM340" i="13"/>
  <c r="AM261" i="13"/>
  <c r="AM141" i="13"/>
  <c r="AM259" i="13"/>
  <c r="AM122" i="13"/>
  <c r="AM432" i="13"/>
  <c r="AM73" i="13"/>
  <c r="AM51" i="13"/>
  <c r="AM45" i="13"/>
  <c r="AM88" i="13"/>
  <c r="AM297" i="13"/>
  <c r="AM220" i="13"/>
  <c r="AM391" i="13"/>
  <c r="AM70" i="13"/>
  <c r="AM223" i="13"/>
  <c r="AM171" i="13"/>
  <c r="AM60" i="13"/>
  <c r="AM379" i="13"/>
  <c r="AM175" i="13"/>
  <c r="AM98" i="13"/>
  <c r="AM444" i="13"/>
  <c r="AM218" i="13"/>
  <c r="AM236" i="13"/>
  <c r="AM243" i="13"/>
  <c r="AM269" i="13"/>
  <c r="AM255" i="13"/>
  <c r="AM328" i="13"/>
  <c r="AM42" i="13"/>
  <c r="AM417" i="13"/>
  <c r="AM298" i="13"/>
  <c r="AM330" i="13"/>
  <c r="AM413" i="13"/>
  <c r="AM201" i="13"/>
  <c r="AM23" i="13"/>
  <c r="AM176" i="13"/>
  <c r="AM15" i="13"/>
  <c r="AM264" i="13"/>
  <c r="AM43" i="13"/>
  <c r="AM235" i="13"/>
  <c r="AM383" i="13"/>
  <c r="AM418" i="13"/>
  <c r="AM44" i="13"/>
  <c r="AM216" i="13"/>
  <c r="AM241" i="13"/>
  <c r="AM190" i="13"/>
  <c r="AM165" i="13"/>
  <c r="AM381" i="13"/>
  <c r="AM80" i="13"/>
  <c r="AM94" i="13"/>
  <c r="AM167" i="13"/>
  <c r="AM323" i="13"/>
  <c r="AM431" i="13"/>
  <c r="AM245" i="13"/>
  <c r="AM225" i="13"/>
  <c r="AM384" i="13"/>
  <c r="AM180" i="13"/>
  <c r="AM433" i="13"/>
  <c r="AM164" i="13"/>
  <c r="AM120" i="13"/>
  <c r="AM446" i="13"/>
  <c r="AM27" i="13"/>
  <c r="AM326" i="13"/>
  <c r="AM237" i="13"/>
  <c r="AM210" i="13"/>
  <c r="AM409" i="13"/>
  <c r="AM346" i="13"/>
  <c r="AM364" i="13"/>
  <c r="AM343" i="13"/>
  <c r="AM145" i="13"/>
  <c r="AM195" i="13"/>
  <c r="AM7" i="13"/>
  <c r="AM324" i="13"/>
  <c r="AM85" i="13"/>
  <c r="AM68" i="13"/>
  <c r="AM252" i="13"/>
  <c r="AM399" i="13"/>
  <c r="AM187" i="13"/>
  <c r="AM242" i="13"/>
  <c r="AM380" i="13"/>
  <c r="AM123" i="13"/>
  <c r="AM448" i="13"/>
  <c r="AM84" i="13"/>
  <c r="AM443" i="13"/>
  <c r="AM105" i="13"/>
  <c r="AM374" i="13"/>
  <c r="AM149" i="13"/>
  <c r="AM172" i="13"/>
  <c r="AM162" i="13"/>
  <c r="AM373" i="13"/>
  <c r="AM405" i="13"/>
  <c r="AM115" i="13"/>
  <c r="AM9" i="13"/>
  <c r="AM445" i="13"/>
  <c r="AM125" i="13"/>
  <c r="AM139" i="13"/>
  <c r="AM284" i="13"/>
  <c r="AM279" i="13"/>
  <c r="AM317" i="13"/>
  <c r="AM50" i="13"/>
  <c r="AM18" i="13"/>
  <c r="AM296" i="13"/>
  <c r="AM55" i="13"/>
  <c r="AM401" i="13"/>
  <c r="AM300" i="13"/>
  <c r="AM439" i="13"/>
  <c r="AM283" i="13"/>
  <c r="AM233" i="13"/>
  <c r="AM347" i="13"/>
  <c r="AM146" i="13"/>
  <c r="AM83" i="13"/>
  <c r="AM153" i="13"/>
  <c r="AM289" i="13"/>
  <c r="AM22" i="13"/>
  <c r="AM248" i="13"/>
  <c r="AM101" i="13"/>
  <c r="AM281" i="13"/>
  <c r="AM440" i="13"/>
  <c r="AM369" i="13"/>
  <c r="AM137" i="13"/>
  <c r="AM56" i="13"/>
  <c r="AM16" i="13"/>
  <c r="AM336" i="13"/>
  <c r="AM57" i="13"/>
  <c r="AM312" i="13"/>
  <c r="AM72" i="13"/>
  <c r="AM345" i="13"/>
  <c r="AM14" i="13"/>
  <c r="AM291" i="13"/>
  <c r="AM301" i="13"/>
  <c r="AM451" i="13"/>
  <c r="AM452" i="13"/>
  <c r="F50" i="19"/>
  <c r="F52" i="19"/>
  <c r="F56" i="19"/>
  <c r="F38" i="19"/>
  <c r="F44" i="19"/>
  <c r="F49" i="19"/>
  <c r="F40" i="19"/>
  <c r="F51" i="19"/>
  <c r="F39" i="19"/>
  <c r="F59" i="19"/>
  <c r="F58" i="19"/>
  <c r="F57" i="19"/>
  <c r="F55" i="19"/>
  <c r="F54" i="19"/>
  <c r="F53" i="19"/>
  <c r="F47" i="19"/>
  <c r="F46" i="19"/>
  <c r="F41" i="19"/>
  <c r="F43" i="19"/>
  <c r="F42" i="19"/>
  <c r="F48" i="19"/>
  <c r="F60" i="19"/>
  <c r="F45" i="19"/>
  <c r="F37" i="19"/>
  <c r="G37" i="40"/>
  <c r="G36" i="19" s="1"/>
  <c r="H24" i="40"/>
  <c r="H37" i="40" s="1"/>
  <c r="F17" i="19" l="1"/>
  <c r="F22" i="19"/>
  <c r="F21" i="19"/>
  <c r="F12" i="19"/>
  <c r="F20" i="19"/>
  <c r="F15" i="19"/>
  <c r="F13" i="19"/>
  <c r="F10" i="19"/>
  <c r="F16" i="19"/>
  <c r="F18" i="19"/>
  <c r="F14" i="19"/>
  <c r="F19" i="19"/>
  <c r="F23" i="19"/>
  <c r="G58" i="19"/>
  <c r="G51" i="19"/>
  <c r="G47" i="19"/>
  <c r="G43" i="19"/>
  <c r="G60" i="19"/>
  <c r="G44" i="19"/>
  <c r="G55" i="19"/>
  <c r="G39" i="19"/>
  <c r="G40" i="19"/>
  <c r="G46" i="19"/>
  <c r="G52" i="19"/>
  <c r="G56" i="19"/>
  <c r="G48" i="19"/>
  <c r="G57" i="19"/>
  <c r="G53" i="19"/>
  <c r="G49" i="19"/>
  <c r="G54" i="19"/>
  <c r="G45" i="19"/>
  <c r="G50" i="19"/>
  <c r="G41" i="19"/>
  <c r="G37" i="19"/>
  <c r="G59" i="19"/>
  <c r="G42" i="19"/>
  <c r="G38" i="19"/>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G61" i="19" l="1"/>
  <c r="M21" i="3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E35" i="31" s="1"/>
  <c r="M24" i="31"/>
  <c r="K26" i="31"/>
  <c r="K18" i="31"/>
  <c r="M13" i="31"/>
  <c r="C9" i="32" l="1"/>
  <c r="G13" i="32" s="1"/>
  <c r="H13" i="32" s="1"/>
  <c r="AA877" i="13"/>
  <c r="AA636" i="13"/>
  <c r="AA807" i="13"/>
  <c r="AD651" i="13"/>
  <c r="AD720" i="13"/>
  <c r="AD672" i="13"/>
  <c r="AD816" i="13"/>
  <c r="AD934" i="13"/>
  <c r="AA831" i="13"/>
  <c r="AA904" i="13"/>
  <c r="AA670" i="13"/>
  <c r="AA857" i="13"/>
  <c r="AA895" i="13"/>
  <c r="AA616" i="13"/>
  <c r="AA740" i="13"/>
  <c r="AA676" i="13"/>
  <c r="AD623" i="13"/>
  <c r="AD763" i="13"/>
  <c r="AD808" i="13"/>
  <c r="AD857" i="13"/>
  <c r="AD883" i="13"/>
  <c r="AA725" i="13"/>
  <c r="AD863" i="13"/>
  <c r="AA771" i="13"/>
  <c r="AD631" i="13"/>
  <c r="AA914" i="13"/>
  <c r="AA821" i="13"/>
  <c r="AA867" i="13"/>
  <c r="AA597" i="13"/>
  <c r="AA669" i="13"/>
  <c r="AD616" i="13"/>
  <c r="AD756" i="13"/>
  <c r="AD844" i="13"/>
  <c r="AD895" i="13"/>
  <c r="AA777" i="13"/>
  <c r="AA667" i="13"/>
  <c r="AA753" i="13"/>
  <c r="AA681" i="13"/>
  <c r="AA930" i="13"/>
  <c r="AD604" i="13"/>
  <c r="AD727" i="13"/>
  <c r="AD683" i="13"/>
  <c r="AD776" i="13"/>
  <c r="AD898" i="13"/>
  <c r="AA906" i="13"/>
  <c r="AA932" i="13"/>
  <c r="AA735" i="13"/>
  <c r="AA672" i="13"/>
  <c r="AD614" i="13"/>
  <c r="AD726" i="13"/>
  <c r="AD682" i="13"/>
  <c r="AD833" i="13"/>
  <c r="AD875" i="13"/>
  <c r="AA820" i="13"/>
  <c r="AA944" i="13"/>
  <c r="AA590" i="13"/>
  <c r="AA675" i="13"/>
  <c r="AD649" i="13"/>
  <c r="AD758" i="13"/>
  <c r="AD786" i="13"/>
  <c r="AD923" i="13"/>
  <c r="AD931" i="13"/>
  <c r="AA798" i="13"/>
  <c r="AA640" i="13"/>
  <c r="AA730" i="13"/>
  <c r="AD645" i="13"/>
  <c r="AD594" i="13"/>
  <c r="AA893" i="13"/>
  <c r="AA842" i="13"/>
  <c r="AA632" i="13"/>
  <c r="AD605" i="13"/>
  <c r="AD703" i="13"/>
  <c r="AD809" i="13"/>
  <c r="AD913" i="13"/>
  <c r="AD613" i="13"/>
  <c r="AA790" i="13"/>
  <c r="AA792" i="13"/>
  <c r="AA840" i="13"/>
  <c r="AA873" i="13"/>
  <c r="AA605" i="13"/>
  <c r="AA720" i="13"/>
  <c r="AD662" i="13"/>
  <c r="AD615" i="13"/>
  <c r="AD755" i="13"/>
  <c r="AD791" i="13"/>
  <c r="AD829" i="13"/>
  <c r="AD871" i="13"/>
  <c r="AA695" i="13"/>
  <c r="AA933" i="13"/>
  <c r="AA674" i="13"/>
  <c r="AA946" i="13"/>
  <c r="AA846" i="13"/>
  <c r="AA750" i="13"/>
  <c r="AA934" i="13"/>
  <c r="AD600" i="13"/>
  <c r="AD719" i="13"/>
  <c r="AD830" i="13"/>
  <c r="AD887" i="13"/>
  <c r="AA882" i="13"/>
  <c r="AA855" i="13"/>
  <c r="AD694" i="13"/>
  <c r="AA942" i="13"/>
  <c r="AA775" i="13"/>
  <c r="AD589" i="13"/>
  <c r="AD693" i="13"/>
  <c r="AD804" i="13"/>
  <c r="AD899" i="13"/>
  <c r="AA693" i="13"/>
  <c r="AA861" i="13"/>
  <c r="AA910" i="13"/>
  <c r="AD728" i="13"/>
  <c r="AA901" i="13"/>
  <c r="AA875" i="13"/>
  <c r="AA600" i="13"/>
  <c r="AA716" i="13"/>
  <c r="AD658" i="13"/>
  <c r="AD599" i="13"/>
  <c r="AD746" i="13"/>
  <c r="AD787" i="13"/>
  <c r="AD823" i="13"/>
  <c r="AD932" i="13"/>
  <c r="AA884" i="13"/>
  <c r="AA860" i="13"/>
  <c r="AA880" i="13"/>
  <c r="AD655" i="13"/>
  <c r="AA902" i="13"/>
  <c r="AA630" i="13"/>
  <c r="AA825" i="13"/>
  <c r="AA891" i="13"/>
  <c r="AA623" i="13"/>
  <c r="AA592" i="13"/>
  <c r="AA652" i="13"/>
  <c r="AD753" i="13"/>
  <c r="AD688" i="13"/>
  <c r="AD800" i="13"/>
  <c r="AD884" i="13"/>
  <c r="AA705" i="13"/>
  <c r="AA778" i="13"/>
  <c r="AA596" i="13"/>
  <c r="AA712" i="13"/>
  <c r="AD646" i="13"/>
  <c r="AD591" i="13"/>
  <c r="AD730" i="13"/>
  <c r="AD783" i="13"/>
  <c r="AD924" i="13"/>
  <c r="AA631" i="13"/>
  <c r="AA785" i="13"/>
  <c r="AA823" i="13"/>
  <c r="AD601" i="13"/>
  <c r="AA854" i="13"/>
  <c r="AA920" i="13"/>
  <c r="AA621" i="13"/>
  <c r="AD653" i="13"/>
  <c r="AA864" i="13"/>
  <c r="AA804" i="13"/>
  <c r="AA658" i="13"/>
  <c r="AA737" i="13"/>
  <c r="AD643" i="13"/>
  <c r="AD584" i="13"/>
  <c r="AD699" i="13"/>
  <c r="AD815" i="13"/>
  <c r="AD872" i="13"/>
  <c r="AA872" i="13"/>
  <c r="AA625" i="13"/>
  <c r="AA703" i="13"/>
  <c r="AA839" i="13"/>
  <c r="AD650" i="13"/>
  <c r="AD747" i="13"/>
  <c r="AD702" i="13"/>
  <c r="AD812" i="13"/>
  <c r="AD814" i="13"/>
  <c r="AD936" i="13"/>
  <c r="AA887" i="13"/>
  <c r="AA641" i="13"/>
  <c r="AA715" i="13"/>
  <c r="AD657" i="13"/>
  <c r="AD751" i="13"/>
  <c r="AD705" i="13"/>
  <c r="AD811" i="13"/>
  <c r="AD915" i="13"/>
  <c r="AA909" i="13"/>
  <c r="AA608" i="13"/>
  <c r="AA727" i="13"/>
  <c r="AD583" i="13"/>
  <c r="AD598" i="13"/>
  <c r="AD709" i="13"/>
  <c r="AD861" i="13"/>
  <c r="AD901" i="13"/>
  <c r="AA919" i="13"/>
  <c r="AA755" i="13"/>
  <c r="AA746" i="13"/>
  <c r="AA701" i="13"/>
  <c r="AD621" i="13"/>
  <c r="AD733" i="13"/>
  <c r="AA690" i="13"/>
  <c r="AD712" i="13"/>
  <c r="AD925" i="13"/>
  <c r="AA635" i="13"/>
  <c r="AA609" i="13"/>
  <c r="AA668" i="13"/>
  <c r="AD759" i="13"/>
  <c r="AD839" i="13"/>
  <c r="AD667" i="13"/>
  <c r="AA768" i="13"/>
  <c r="AD609" i="13"/>
  <c r="AA830" i="13"/>
  <c r="AA646" i="13"/>
  <c r="AD659" i="13"/>
  <c r="AD761" i="13"/>
  <c r="AD919" i="13"/>
  <c r="AA620" i="13"/>
  <c r="AA685" i="13"/>
  <c r="AD666" i="13"/>
  <c r="AD743" i="13"/>
  <c r="AD687" i="13"/>
  <c r="AD854" i="13"/>
  <c r="AD929" i="13"/>
  <c r="AA791" i="13"/>
  <c r="AA723" i="13"/>
  <c r="AD638" i="13"/>
  <c r="AD734" i="13"/>
  <c r="AD674" i="13"/>
  <c r="AD906" i="13"/>
  <c r="AA614" i="13"/>
  <c r="AA648" i="13"/>
  <c r="AA687" i="13"/>
  <c r="AD652" i="13"/>
  <c r="AD741" i="13"/>
  <c r="AD856" i="13"/>
  <c r="AD935" i="13"/>
  <c r="AA921" i="13"/>
  <c r="AA742" i="13"/>
  <c r="AD656" i="13"/>
  <c r="AD745" i="13"/>
  <c r="AD695" i="13"/>
  <c r="AD806" i="13"/>
  <c r="AD874" i="13"/>
  <c r="AA763" i="13"/>
  <c r="AA613" i="13"/>
  <c r="AA722" i="13"/>
  <c r="AA828" i="13"/>
  <c r="AD617" i="13"/>
  <c r="AD716" i="13"/>
  <c r="AD777" i="13"/>
  <c r="AD922" i="13"/>
  <c r="AD946" i="13"/>
  <c r="AE748" i="13"/>
  <c r="AE731" i="13"/>
  <c r="AE624" i="13"/>
  <c r="AE907" i="13"/>
  <c r="AE905" i="13"/>
  <c r="AE681" i="13"/>
  <c r="AE834" i="13"/>
  <c r="AE586" i="13"/>
  <c r="AA759" i="13"/>
  <c r="AA765" i="13"/>
  <c r="AD680" i="13"/>
  <c r="AD945" i="13"/>
  <c r="AA633" i="13"/>
  <c r="AA815" i="13"/>
  <c r="AA816" i="13"/>
  <c r="AA871" i="13"/>
  <c r="AA769" i="13"/>
  <c r="AD634" i="13"/>
  <c r="AD706" i="13"/>
  <c r="AD902" i="13"/>
  <c r="AA836" i="13"/>
  <c r="AA650" i="13"/>
  <c r="AA859" i="13"/>
  <c r="AA584" i="13"/>
  <c r="AA664" i="13"/>
  <c r="AA593" i="13"/>
  <c r="AD624" i="13"/>
  <c r="AD707" i="13"/>
  <c r="AD904" i="13"/>
  <c r="AA922" i="13"/>
  <c r="AA770" i="13"/>
  <c r="AA789" i="13"/>
  <c r="AD647" i="13"/>
  <c r="AD735" i="13"/>
  <c r="AD675" i="13"/>
  <c r="AD921" i="13"/>
  <c r="AA586" i="13"/>
  <c r="AA656" i="13"/>
  <c r="AA711" i="13"/>
  <c r="AD618" i="13"/>
  <c r="AD714" i="13"/>
  <c r="AD807" i="13"/>
  <c r="AD889" i="13"/>
  <c r="AA833" i="13"/>
  <c r="AA604" i="13"/>
  <c r="AA679" i="13"/>
  <c r="AD622" i="13"/>
  <c r="AD701" i="13"/>
  <c r="AD837" i="13"/>
  <c r="AA923" i="13"/>
  <c r="AA892" i="13"/>
  <c r="AA734" i="13"/>
  <c r="AD632" i="13"/>
  <c r="AD725" i="13"/>
  <c r="AD685" i="13"/>
  <c r="AD860" i="13"/>
  <c r="AD938" i="13"/>
  <c r="AA931" i="13"/>
  <c r="AA603" i="13"/>
  <c r="AA704" i="13"/>
  <c r="AD663" i="13"/>
  <c r="AD593" i="13"/>
  <c r="AD805" i="13"/>
  <c r="AD859" i="13"/>
  <c r="AD905" i="13"/>
  <c r="AD870" i="13"/>
  <c r="AA588" i="13"/>
  <c r="AA717" i="13"/>
  <c r="AD676" i="13"/>
  <c r="AD941" i="13"/>
  <c r="AD862" i="13"/>
  <c r="AA721" i="13"/>
  <c r="AA612" i="13"/>
  <c r="AA698" i="13"/>
  <c r="AA894" i="13"/>
  <c r="AA744" i="13"/>
  <c r="AD630" i="13"/>
  <c r="AD691" i="13"/>
  <c r="AD894" i="13"/>
  <c r="AA805" i="13"/>
  <c r="AA851" i="13"/>
  <c r="AA643" i="13"/>
  <c r="AA881" i="13"/>
  <c r="AA936" i="13"/>
  <c r="AA741" i="13"/>
  <c r="AD620" i="13"/>
  <c r="AD792" i="13"/>
  <c r="AD891" i="13"/>
  <c r="AA818" i="13"/>
  <c r="AA736" i="13"/>
  <c r="AA779" i="13"/>
  <c r="AD639" i="13"/>
  <c r="AD723" i="13"/>
  <c r="AD671" i="13"/>
  <c r="AD912" i="13"/>
  <c r="AA651" i="13"/>
  <c r="AA649" i="13"/>
  <c r="AA684" i="13"/>
  <c r="AD611" i="13"/>
  <c r="AD710" i="13"/>
  <c r="AD802" i="13"/>
  <c r="AD943" i="13"/>
  <c r="AA809" i="13"/>
  <c r="AA599" i="13"/>
  <c r="AA793" i="13"/>
  <c r="AD603" i="13"/>
  <c r="AD696" i="13"/>
  <c r="AD920" i="13"/>
  <c r="AA811" i="13"/>
  <c r="AA655" i="13"/>
  <c r="AA718" i="13"/>
  <c r="AD626" i="13"/>
  <c r="AD721" i="13"/>
  <c r="AD681" i="13"/>
  <c r="AD842" i="13"/>
  <c r="AA629" i="13"/>
  <c r="AA916" i="13"/>
  <c r="AA598" i="13"/>
  <c r="AA700" i="13"/>
  <c r="AD660" i="13"/>
  <c r="AD770" i="13"/>
  <c r="AD801" i="13"/>
  <c r="AD855" i="13"/>
  <c r="AD900" i="13"/>
  <c r="AD773" i="13"/>
  <c r="AE672" i="13"/>
  <c r="AE822" i="13"/>
  <c r="AE843" i="13"/>
  <c r="AE780" i="13"/>
  <c r="AE662" i="13"/>
  <c r="AE647" i="13"/>
  <c r="AE705" i="13"/>
  <c r="AE928" i="13"/>
  <c r="AA943" i="13"/>
  <c r="AA941" i="13"/>
  <c r="AD732" i="13"/>
  <c r="AD825" i="13"/>
  <c r="AA645" i="13"/>
  <c r="AA702" i="13"/>
  <c r="AD772" i="13"/>
  <c r="AD775" i="13"/>
  <c r="AA639" i="13"/>
  <c r="AA713" i="13"/>
  <c r="AA662" i="13"/>
  <c r="AA673" i="13"/>
  <c r="AD769" i="13"/>
  <c r="AD840" i="13"/>
  <c r="AA642" i="13"/>
  <c r="AA699" i="13"/>
  <c r="AA945" i="13"/>
  <c r="AD760" i="13"/>
  <c r="AD698" i="13"/>
  <c r="AD796" i="13"/>
  <c r="AD944" i="13"/>
  <c r="AA583" i="13"/>
  <c r="AA739" i="13"/>
  <c r="AD580" i="13"/>
  <c r="AD742" i="13"/>
  <c r="AD686" i="13"/>
  <c r="AD818" i="13"/>
  <c r="AA898" i="13"/>
  <c r="AA803" i="13"/>
  <c r="AA752" i="13"/>
  <c r="AD664" i="13"/>
  <c r="AD771" i="13"/>
  <c r="AD774" i="13"/>
  <c r="AD893" i="13"/>
  <c r="AA844" i="13"/>
  <c r="AA618" i="13"/>
  <c r="AA671" i="13"/>
  <c r="AD602" i="13"/>
  <c r="AD704" i="13"/>
  <c r="AD669" i="13"/>
  <c r="AD914" i="13"/>
  <c r="AA762" i="13"/>
  <c r="AA647" i="13"/>
  <c r="AA751" i="13"/>
  <c r="AA678" i="13"/>
  <c r="AD636" i="13"/>
  <c r="AD744" i="13"/>
  <c r="AD789" i="13"/>
  <c r="AD831" i="13"/>
  <c r="AD888" i="13"/>
  <c r="AA870" i="13"/>
  <c r="AA915" i="13"/>
  <c r="AD684" i="13"/>
  <c r="AD642" i="13"/>
  <c r="AD911" i="13"/>
  <c r="AA787" i="13"/>
  <c r="AD766" i="13"/>
  <c r="AD635" i="13"/>
  <c r="AD916" i="13"/>
  <c r="AA601" i="13"/>
  <c r="AD654" i="13"/>
  <c r="AD679" i="13"/>
  <c r="AA719" i="13"/>
  <c r="AD722" i="13"/>
  <c r="AD897" i="13"/>
  <c r="AA615" i="13"/>
  <c r="AD629" i="13"/>
  <c r="AD846" i="13"/>
  <c r="AA905" i="13"/>
  <c r="AD641" i="13"/>
  <c r="AD689" i="13"/>
  <c r="AD942" i="13"/>
  <c r="AA607" i="13"/>
  <c r="AD582" i="13"/>
  <c r="AD708" i="13"/>
  <c r="AD909" i="13"/>
  <c r="AD627" i="13"/>
  <c r="AE738" i="13"/>
  <c r="AE698" i="13"/>
  <c r="AE700" i="13"/>
  <c r="AE931" i="13"/>
  <c r="AE760" i="13"/>
  <c r="AE601" i="13"/>
  <c r="AE728" i="13"/>
  <c r="AE584" i="13"/>
  <c r="AE614" i="13"/>
  <c r="AE786" i="13"/>
  <c r="AE791" i="13"/>
  <c r="AE861" i="13"/>
  <c r="AE857" i="13"/>
  <c r="AE764" i="13"/>
  <c r="AE762" i="13"/>
  <c r="AE673" i="13"/>
  <c r="AE628" i="13"/>
  <c r="AE892" i="13"/>
  <c r="AE655" i="13"/>
  <c r="AE683" i="13"/>
  <c r="AE766" i="13"/>
  <c r="AE863" i="13"/>
  <c r="AE799" i="13"/>
  <c r="AE772" i="13"/>
  <c r="AE638" i="13"/>
  <c r="AE720" i="13"/>
  <c r="AE839" i="13"/>
  <c r="AE882" i="13"/>
  <c r="AE580" i="13"/>
  <c r="AE901" i="13"/>
  <c r="AE826" i="13"/>
  <c r="AE894" i="13"/>
  <c r="AE615" i="13"/>
  <c r="AE754" i="13"/>
  <c r="AE795" i="13"/>
  <c r="AE587" i="13"/>
  <c r="AD668" i="13"/>
  <c r="AA896" i="13"/>
  <c r="AD619" i="13"/>
  <c r="AD880" i="13"/>
  <c r="AA764" i="13"/>
  <c r="AA581" i="13"/>
  <c r="AD612" i="13"/>
  <c r="AD877" i="13"/>
  <c r="AA732" i="13"/>
  <c r="AD608" i="13"/>
  <c r="AD803" i="13"/>
  <c r="AA797" i="13"/>
  <c r="AA680" i="13"/>
  <c r="AD697" i="13"/>
  <c r="AD939" i="13"/>
  <c r="AA595" i="13"/>
  <c r="AD590" i="13"/>
  <c r="AD917" i="13"/>
  <c r="AA644" i="13"/>
  <c r="AD610" i="13"/>
  <c r="AD677" i="13"/>
  <c r="AA937" i="13"/>
  <c r="AA594" i="13"/>
  <c r="AD648" i="13"/>
  <c r="AD797" i="13"/>
  <c r="AD896" i="13"/>
  <c r="AE645" i="13"/>
  <c r="AE727" i="13"/>
  <c r="AE767" i="13"/>
  <c r="AE797" i="13"/>
  <c r="AE708" i="13"/>
  <c r="AE732" i="13"/>
  <c r="AE653" i="13"/>
  <c r="AE850" i="13"/>
  <c r="AE884" i="13"/>
  <c r="AE763" i="13"/>
  <c r="AE582" i="13"/>
  <c r="AE729" i="13"/>
  <c r="AE675" i="13"/>
  <c r="AE680" i="13"/>
  <c r="AE725" i="13"/>
  <c r="AE943" i="13"/>
  <c r="AE877" i="13"/>
  <c r="AE718" i="13"/>
  <c r="AE709" i="13"/>
  <c r="AE656" i="13"/>
  <c r="AE912" i="13"/>
  <c r="AE676" i="13"/>
  <c r="AE902" i="13"/>
  <c r="AE591" i="13"/>
  <c r="AE810" i="13"/>
  <c r="AE765" i="13"/>
  <c r="AE664" i="13"/>
  <c r="AE920" i="13"/>
  <c r="AE832" i="13"/>
  <c r="AE723" i="13"/>
  <c r="AE685" i="13"/>
  <c r="AE610" i="13"/>
  <c r="AE879" i="13"/>
  <c r="AE735" i="13"/>
  <c r="AE934" i="13"/>
  <c r="AE688" i="13"/>
  <c r="AE769" i="13"/>
  <c r="AE942" i="13"/>
  <c r="AA799" i="13"/>
  <c r="AD841" i="13"/>
  <c r="AA657" i="13"/>
  <c r="AD587" i="13"/>
  <c r="AA817" i="13"/>
  <c r="AA582" i="13"/>
  <c r="AD592" i="13"/>
  <c r="AD933" i="13"/>
  <c r="AA728" i="13"/>
  <c r="AD596" i="13"/>
  <c r="AD799" i="13"/>
  <c r="AA897" i="13"/>
  <c r="AA939" i="13"/>
  <c r="AD690" i="13"/>
  <c r="AD928" i="13"/>
  <c r="AA772" i="13"/>
  <c r="AD586" i="13"/>
  <c r="AD910" i="13"/>
  <c r="AA622" i="13"/>
  <c r="AD606" i="13"/>
  <c r="AD673" i="13"/>
  <c r="AA868" i="13"/>
  <c r="AA589" i="13"/>
  <c r="AD644" i="13"/>
  <c r="AD793" i="13"/>
  <c r="AD892" i="13"/>
  <c r="AD637" i="13"/>
  <c r="AE734" i="13"/>
  <c r="AE814" i="13"/>
  <c r="AE617" i="13"/>
  <c r="AE667" i="13"/>
  <c r="AE707" i="13"/>
  <c r="AE739" i="13"/>
  <c r="AE724" i="13"/>
  <c r="AE827" i="13"/>
  <c r="AE933" i="13"/>
  <c r="AE820" i="13"/>
  <c r="AE936" i="13"/>
  <c r="AE932" i="13"/>
  <c r="AE636" i="13"/>
  <c r="AE918" i="13"/>
  <c r="AE926" i="13"/>
  <c r="AE631" i="13"/>
  <c r="AE646" i="13"/>
  <c r="AE759" i="13"/>
  <c r="AE611" i="13"/>
  <c r="AE775" i="13"/>
  <c r="AE749" i="13"/>
  <c r="AE657" i="13"/>
  <c r="AE881" i="13"/>
  <c r="AE782" i="13"/>
  <c r="AE830" i="13"/>
  <c r="AE593" i="13"/>
  <c r="AE872" i="13"/>
  <c r="AE641" i="13"/>
  <c r="AE726" i="13"/>
  <c r="AE679" i="13"/>
  <c r="AE671" i="13"/>
  <c r="AE630" i="13"/>
  <c r="AE758" i="13"/>
  <c r="AE623" i="13"/>
  <c r="AE697" i="13"/>
  <c r="AE895" i="13"/>
  <c r="AE840" i="13"/>
  <c r="AE710" i="13"/>
  <c r="AE941" i="13"/>
  <c r="AE929" i="13"/>
  <c r="AE771" i="13"/>
  <c r="AA617" i="13"/>
  <c r="AA758" i="13"/>
  <c r="AD820" i="13"/>
  <c r="AA624" i="13"/>
  <c r="AD768" i="13"/>
  <c r="AA745" i="13"/>
  <c r="AA628" i="13"/>
  <c r="AA654" i="13"/>
  <c r="AD764" i="13"/>
  <c r="AA689" i="13"/>
  <c r="AD752" i="13"/>
  <c r="AD864" i="13"/>
  <c r="AA802" i="13"/>
  <c r="AD665" i="13"/>
  <c r="AD678" i="13"/>
  <c r="AA747" i="13"/>
  <c r="AD750" i="13"/>
  <c r="AD882" i="13"/>
  <c r="AA757" i="13"/>
  <c r="AD762" i="13"/>
  <c r="AD810" i="13"/>
  <c r="AA869" i="13"/>
  <c r="AA726" i="13"/>
  <c r="AD625" i="13"/>
  <c r="AD785" i="13"/>
  <c r="AD873" i="13"/>
  <c r="AE730" i="13"/>
  <c r="AE862" i="13"/>
  <c r="AE761" i="13"/>
  <c r="AE916" i="13"/>
  <c r="AE946" i="13"/>
  <c r="AE649" i="13"/>
  <c r="AE878" i="13"/>
  <c r="AE600" i="13"/>
  <c r="AE774" i="13"/>
  <c r="AE922" i="13"/>
  <c r="AE917" i="13"/>
  <c r="AE713" i="13"/>
  <c r="AE864" i="13"/>
  <c r="AE854" i="13"/>
  <c r="AE885" i="13"/>
  <c r="AE659" i="13"/>
  <c r="AE712" i="13"/>
  <c r="AE639" i="13"/>
  <c r="AE849" i="13"/>
  <c r="AE871" i="13"/>
  <c r="AE828" i="13"/>
  <c r="AE622" i="13"/>
  <c r="AE635" i="13"/>
  <c r="AE915" i="13"/>
  <c r="AE844" i="13"/>
  <c r="AE873" i="13"/>
  <c r="AE807" i="13"/>
  <c r="AE875" i="13"/>
  <c r="AE598" i="13"/>
  <c r="AE874" i="13"/>
  <c r="AE883" i="13"/>
  <c r="AE666" i="13"/>
  <c r="AE842" i="13"/>
  <c r="AE841" i="13"/>
  <c r="AE616" i="13"/>
  <c r="AE719" i="13"/>
  <c r="AE756" i="13"/>
  <c r="AE801" i="13"/>
  <c r="AE777" i="13"/>
  <c r="AE836" i="13"/>
  <c r="AE689" i="13"/>
  <c r="AE899" i="13"/>
  <c r="AE824" i="13"/>
  <c r="AA925" i="13"/>
  <c r="AA917" i="13"/>
  <c r="AD881" i="13"/>
  <c r="AA591" i="13"/>
  <c r="AD718" i="13"/>
  <c r="AA837" i="13"/>
  <c r="AA606" i="13"/>
  <c r="AD731" i="13"/>
  <c r="AA935" i="13"/>
  <c r="AA677" i="13"/>
  <c r="AD739" i="13"/>
  <c r="AD819" i="13"/>
  <c r="AA666" i="13"/>
  <c r="AD633" i="13"/>
  <c r="AD670" i="13"/>
  <c r="AA663" i="13"/>
  <c r="AA683" i="13"/>
  <c r="AD729" i="13"/>
  <c r="AA761" i="13"/>
  <c r="AA738" i="13"/>
  <c r="AD737" i="13"/>
  <c r="AD790" i="13"/>
  <c r="AA819" i="13"/>
  <c r="AA714" i="13"/>
  <c r="AD597" i="13"/>
  <c r="AD866" i="13"/>
  <c r="AD937" i="13"/>
  <c r="AA637" i="13"/>
  <c r="AE696" i="13"/>
  <c r="AE686" i="13"/>
  <c r="AE919" i="13"/>
  <c r="AE911" i="13"/>
  <c r="AE721" i="13"/>
  <c r="AE893" i="13"/>
  <c r="AE717" i="13"/>
  <c r="AE831" i="13"/>
  <c r="AE821" i="13"/>
  <c r="AE643" i="13"/>
  <c r="AE818" i="13"/>
  <c r="AE888" i="13"/>
  <c r="AE858" i="13"/>
  <c r="AE927" i="13"/>
  <c r="AE938" i="13"/>
  <c r="AE612" i="13"/>
  <c r="AE794" i="13"/>
  <c r="AE773" i="13"/>
  <c r="AE913" i="13"/>
  <c r="AE804" i="13"/>
  <c r="AE684" i="13"/>
  <c r="AE599" i="13"/>
  <c r="AE677" i="13"/>
  <c r="AE790" i="13"/>
  <c r="AE699" i="13"/>
  <c r="AE802" i="13"/>
  <c r="AE757" i="13"/>
  <c r="AE789" i="13"/>
  <c r="AE829" i="13"/>
  <c r="AE896" i="13"/>
  <c r="AE776" i="13"/>
  <c r="AE923" i="13"/>
  <c r="AE751" i="13"/>
  <c r="AE909" i="13"/>
  <c r="AE597" i="13"/>
  <c r="AE914" i="13"/>
  <c r="AE900" i="13"/>
  <c r="AA829" i="13"/>
  <c r="AD628" i="13"/>
  <c r="AD930" i="13"/>
  <c r="AD640" i="13"/>
  <c r="AA724" i="13"/>
  <c r="AD795" i="13"/>
  <c r="AA733" i="13"/>
  <c r="AA610" i="13"/>
  <c r="AA729" i="13"/>
  <c r="AD780" i="13"/>
  <c r="AA889" i="13"/>
  <c r="AA907" i="13"/>
  <c r="AD715" i="13"/>
  <c r="AD907" i="13"/>
  <c r="AA619" i="13"/>
  <c r="AD607" i="13"/>
  <c r="AD838" i="13"/>
  <c r="AA911" i="13"/>
  <c r="AA786" i="13"/>
  <c r="AD798" i="13"/>
  <c r="AA710" i="13"/>
  <c r="AD717" i="13"/>
  <c r="AD832" i="13"/>
  <c r="AA665" i="13"/>
  <c r="AA686" i="13"/>
  <c r="AD765" i="13"/>
  <c r="AD851" i="13"/>
  <c r="AD788" i="13"/>
  <c r="AA773" i="13"/>
  <c r="AE693" i="13"/>
  <c r="AE627" i="13"/>
  <c r="AE590" i="13"/>
  <c r="AE581" i="13"/>
  <c r="AE605" i="13"/>
  <c r="AE910" i="13"/>
  <c r="AE736" i="13"/>
  <c r="AE745" i="13"/>
  <c r="AE665" i="13"/>
  <c r="AE750" i="13"/>
  <c r="AE604" i="13"/>
  <c r="AE658" i="13"/>
  <c r="AE837" i="13"/>
  <c r="AE747" i="13"/>
  <c r="AE737" i="13"/>
  <c r="AE816" i="13"/>
  <c r="AE651" i="13"/>
  <c r="AE733" i="13"/>
  <c r="AE741" i="13"/>
  <c r="AE740" i="13"/>
  <c r="AE798" i="13"/>
  <c r="AE803" i="13"/>
  <c r="AE654" i="13"/>
  <c r="AE845" i="13"/>
  <c r="AE887" i="13"/>
  <c r="AE703" i="13"/>
  <c r="AE669" i="13"/>
  <c r="AE753" i="13"/>
  <c r="AE855" i="13"/>
  <c r="AD748" i="13"/>
  <c r="AA885" i="13"/>
  <c r="AD692" i="13"/>
  <c r="AD918" i="13"/>
  <c r="AA810" i="13"/>
  <c r="AA626" i="13"/>
  <c r="AE678" i="13"/>
  <c r="AE706" i="13"/>
  <c r="AE752" i="13"/>
  <c r="AE618" i="13"/>
  <c r="AE702" i="13"/>
  <c r="AE785" i="13"/>
  <c r="AE805" i="13"/>
  <c r="AE704" i="13"/>
  <c r="AE714" i="13"/>
  <c r="AE898" i="13"/>
  <c r="AA708" i="13"/>
  <c r="AE694" i="13"/>
  <c r="AE603" i="13"/>
  <c r="AA783" i="13"/>
  <c r="AA634" i="13"/>
  <c r="AD869" i="13"/>
  <c r="AD876" i="13"/>
  <c r="AA580" i="13"/>
  <c r="AA706" i="13"/>
  <c r="AA682" i="13"/>
  <c r="AE925" i="13"/>
  <c r="AE853" i="13"/>
  <c r="AE811" i="13"/>
  <c r="AE674" i="13"/>
  <c r="AE868" i="13"/>
  <c r="AE784" i="13"/>
  <c r="AE800" i="13"/>
  <c r="AE930" i="13"/>
  <c r="AE711" i="13"/>
  <c r="AE889" i="13"/>
  <c r="AE716" i="13"/>
  <c r="AA913" i="13"/>
  <c r="AA918" i="13"/>
  <c r="AD824" i="13"/>
  <c r="AD940" i="13"/>
  <c r="AA660" i="13"/>
  <c r="AA938" i="13"/>
  <c r="AA841" i="13"/>
  <c r="AE906" i="13"/>
  <c r="AE609" i="13"/>
  <c r="AE661" i="13"/>
  <c r="AE650" i="13"/>
  <c r="AE634" i="13"/>
  <c r="AE935" i="13"/>
  <c r="AE825" i="13"/>
  <c r="AE886" i="13"/>
  <c r="AE660" i="13"/>
  <c r="AA899" i="13"/>
  <c r="AD595" i="13"/>
  <c r="AD817" i="13"/>
  <c r="AE867" i="13"/>
  <c r="AE809" i="13"/>
  <c r="AE866" i="13"/>
  <c r="AE815" i="13"/>
  <c r="AE668" i="13"/>
  <c r="AE806" i="13"/>
  <c r="AD868" i="13"/>
  <c r="AA824" i="13"/>
  <c r="AD581" i="13"/>
  <c r="AD738" i="13"/>
  <c r="AD867" i="13"/>
  <c r="AD821" i="13"/>
  <c r="AE779" i="13"/>
  <c r="AE778" i="13"/>
  <c r="AE880" i="13"/>
  <c r="AE637" i="13"/>
  <c r="AE746" i="13"/>
  <c r="AD828" i="13"/>
  <c r="AA659" i="13"/>
  <c r="AE644" i="13"/>
  <c r="AE819" i="13"/>
  <c r="AE869" i="13"/>
  <c r="AE870" i="13"/>
  <c r="AD740" i="13"/>
  <c r="AA707" i="13"/>
  <c r="AA756" i="13"/>
  <c r="AA661" i="13"/>
  <c r="AA743" i="13"/>
  <c r="AA774" i="13"/>
  <c r="AD713" i="13"/>
  <c r="AD757" i="13"/>
  <c r="AA627" i="13"/>
  <c r="J28" i="19" s="1"/>
  <c r="AE663" i="13"/>
  <c r="AE890" i="13"/>
  <c r="AE687" i="13"/>
  <c r="AE583" i="13"/>
  <c r="AE648" i="13"/>
  <c r="AE833" i="13"/>
  <c r="AE620" i="13"/>
  <c r="AE682" i="13"/>
  <c r="AD724" i="13"/>
  <c r="AA688" i="13"/>
  <c r="AA814" i="13"/>
  <c r="AA638" i="13"/>
  <c r="AA731" i="13"/>
  <c r="AD661" i="13"/>
  <c r="AD700" i="13"/>
  <c r="AD736" i="13"/>
  <c r="AE792" i="13"/>
  <c r="AE640" i="13"/>
  <c r="AE796" i="13"/>
  <c r="AE742" i="13"/>
  <c r="AE817" i="13"/>
  <c r="AE642" i="13"/>
  <c r="AE813" i="13"/>
  <c r="AD779" i="13"/>
  <c r="AA883" i="13"/>
  <c r="AD778" i="13"/>
  <c r="AD836" i="13"/>
  <c r="AE632" i="13"/>
  <c r="AE937" i="13"/>
  <c r="AE856" i="13"/>
  <c r="AE944" i="13"/>
  <c r="AE692" i="13"/>
  <c r="AD885" i="13"/>
  <c r="AE770" i="13"/>
  <c r="AE743" i="13"/>
  <c r="AE788" i="13"/>
  <c r="AE851" i="13"/>
  <c r="AE596" i="13"/>
  <c r="AD711" i="13"/>
  <c r="AA929" i="13"/>
  <c r="AD588" i="13"/>
  <c r="AE939" i="13"/>
  <c r="AE860" i="13"/>
  <c r="AE908" i="13"/>
  <c r="AD782" i="13"/>
  <c r="AA863" i="13"/>
  <c r="AA781" i="13"/>
  <c r="AD886" i="13"/>
  <c r="AA587" i="13"/>
  <c r="AA845" i="13"/>
  <c r="AD754" i="13"/>
  <c r="AA796" i="13"/>
  <c r="AA611" i="13"/>
  <c r="AA692" i="13"/>
  <c r="AA838" i="13"/>
  <c r="AA585" i="13"/>
  <c r="AA697" i="13"/>
  <c r="AE755" i="13"/>
  <c r="AE715" i="13"/>
  <c r="AE945" i="13"/>
  <c r="AE621" i="13"/>
  <c r="AD826" i="13"/>
  <c r="AE592" i="13"/>
  <c r="AD926" i="13"/>
  <c r="AA886" i="13"/>
  <c r="AA760" i="13"/>
  <c r="AA813" i="13"/>
  <c r="AE585" i="13"/>
  <c r="AE691" i="13"/>
  <c r="AA849" i="13"/>
  <c r="AA801" i="13"/>
  <c r="AD794" i="13"/>
  <c r="AE744" i="13"/>
  <c r="AE904" i="13"/>
  <c r="AE835" i="13"/>
  <c r="AE701" i="13"/>
  <c r="AE626" i="13"/>
  <c r="AD835" i="13"/>
  <c r="AA912" i="13"/>
  <c r="AA852" i="13"/>
  <c r="AD853" i="13"/>
  <c r="AA822" i="13"/>
  <c r="AA691" i="13"/>
  <c r="AD858" i="13"/>
  <c r="AA876" i="13"/>
  <c r="AD834" i="13"/>
  <c r="AA806" i="13"/>
  <c r="AA874" i="13"/>
  <c r="AA767" i="13"/>
  <c r="AD781" i="13"/>
  <c r="AE924" i="13"/>
  <c r="AE633" i="13"/>
  <c r="AE625" i="13"/>
  <c r="AE793" i="13"/>
  <c r="AE859" i="13"/>
  <c r="AE823" i="13"/>
  <c r="AE613" i="13"/>
  <c r="AA784" i="13"/>
  <c r="AA890" i="13"/>
  <c r="AA794" i="13"/>
  <c r="AD767" i="13"/>
  <c r="AD865" i="13"/>
  <c r="AA694" i="13"/>
  <c r="AE670" i="13"/>
  <c r="AD879" i="13"/>
  <c r="AD749" i="13"/>
  <c r="AA927" i="13"/>
  <c r="AA653" i="13"/>
  <c r="AE787" i="13"/>
  <c r="AE722" i="13"/>
  <c r="AE619" i="13"/>
  <c r="AD784" i="13"/>
  <c r="AA766" i="13"/>
  <c r="AA795" i="13"/>
  <c r="AD845" i="13"/>
  <c r="AA847" i="13"/>
  <c r="AA856" i="13"/>
  <c r="AD850" i="13"/>
  <c r="AA780" i="13"/>
  <c r="AD827" i="13"/>
  <c r="AA709" i="13"/>
  <c r="AA900" i="13"/>
  <c r="AA862" i="13"/>
  <c r="AE783" i="13"/>
  <c r="AE891" i="13"/>
  <c r="AE848" i="13"/>
  <c r="AE846" i="13"/>
  <c r="AE606" i="13"/>
  <c r="AD849" i="13"/>
  <c r="AA832" i="13"/>
  <c r="AA602" i="13"/>
  <c r="AA808" i="13"/>
  <c r="AA903" i="13"/>
  <c r="AA748" i="13"/>
  <c r="AA812" i="13"/>
  <c r="AA853" i="13"/>
  <c r="AA827" i="13"/>
  <c r="AA696" i="13"/>
  <c r="AA749" i="13"/>
  <c r="AA788" i="13"/>
  <c r="J30" i="19" s="1"/>
  <c r="AE852" i="13"/>
  <c r="AD890" i="13"/>
  <c r="AA782" i="13"/>
  <c r="AD822" i="13"/>
  <c r="AA800" i="13"/>
  <c r="AA826" i="13"/>
  <c r="AA940" i="13"/>
  <c r="AD813" i="13"/>
  <c r="AA908" i="13"/>
  <c r="AD848" i="13"/>
  <c r="AA848" i="13"/>
  <c r="AA754" i="13"/>
  <c r="AA888" i="13"/>
  <c r="AA878" i="13"/>
  <c r="J31" i="19" s="1"/>
  <c r="AE903" i="13"/>
  <c r="AE781" i="13"/>
  <c r="AE808" i="13"/>
  <c r="AE594" i="13"/>
  <c r="AE652" i="13"/>
  <c r="AE847" i="13"/>
  <c r="AE608" i="13"/>
  <c r="AA835" i="13"/>
  <c r="AD847" i="13"/>
  <c r="AA926" i="13"/>
  <c r="AD927" i="13"/>
  <c r="AD903" i="13"/>
  <c r="AA858" i="13"/>
  <c r="AE629" i="13"/>
  <c r="AE690" i="13"/>
  <c r="AE602" i="13"/>
  <c r="AE838" i="13"/>
  <c r="AE768" i="13"/>
  <c r="AE607" i="13"/>
  <c r="AE921" i="13"/>
  <c r="AE897" i="13"/>
  <c r="AE589" i="13"/>
  <c r="AE588" i="13"/>
  <c r="AD852" i="13"/>
  <c r="AA928" i="13"/>
  <c r="AA879" i="13"/>
  <c r="AA834" i="13"/>
  <c r="AD585" i="13"/>
  <c r="AA924" i="13"/>
  <c r="AD843" i="13"/>
  <c r="AA843" i="13"/>
  <c r="AA850" i="13"/>
  <c r="AA776" i="13"/>
  <c r="J29" i="19" s="1"/>
  <c r="AD878" i="13"/>
  <c r="AE812" i="13"/>
  <c r="AE865" i="13"/>
  <c r="AE595" i="13"/>
  <c r="AE695" i="13"/>
  <c r="AE876" i="13"/>
  <c r="AD908" i="13"/>
  <c r="AA865" i="13"/>
  <c r="AA866" i="13"/>
  <c r="AE940" i="13"/>
  <c r="AA461" i="13"/>
  <c r="AD520" i="13"/>
  <c r="AA572" i="13"/>
  <c r="AD456" i="13"/>
  <c r="AA565" i="13"/>
  <c r="AA564" i="13"/>
  <c r="AA523" i="13"/>
  <c r="AD487" i="13"/>
  <c r="AD535" i="13"/>
  <c r="AA569" i="13"/>
  <c r="AA486" i="13"/>
  <c r="AA539" i="13"/>
  <c r="AA499" i="13"/>
  <c r="AA542" i="13"/>
  <c r="AD563" i="13"/>
  <c r="AA530" i="13"/>
  <c r="AA529" i="13"/>
  <c r="AD566" i="13"/>
  <c r="AD501" i="13"/>
  <c r="AD561" i="13"/>
  <c r="AA546" i="13"/>
  <c r="AD468" i="13"/>
  <c r="AD567" i="13"/>
  <c r="AE494" i="13"/>
  <c r="AE559" i="13"/>
  <c r="AE509" i="13"/>
  <c r="AE579" i="13"/>
  <c r="AE506" i="13"/>
  <c r="AE477" i="13"/>
  <c r="AE557" i="13"/>
  <c r="AE525" i="13"/>
  <c r="AE503" i="13"/>
  <c r="AE490" i="13"/>
  <c r="AE569" i="13"/>
  <c r="AE513" i="13"/>
  <c r="AE531" i="13"/>
  <c r="AE508" i="13"/>
  <c r="AE523" i="13"/>
  <c r="AE572" i="13"/>
  <c r="AE542" i="13"/>
  <c r="AE530" i="13"/>
  <c r="AA462" i="13"/>
  <c r="AD506" i="13"/>
  <c r="AA498" i="13"/>
  <c r="AD493" i="13"/>
  <c r="AD472" i="13"/>
  <c r="AA537" i="13"/>
  <c r="AE543" i="13"/>
  <c r="AE533" i="13"/>
  <c r="AE556" i="13"/>
  <c r="AE491" i="13"/>
  <c r="AD536" i="13"/>
  <c r="AD492" i="13"/>
  <c r="AA563" i="13"/>
  <c r="AA488" i="13"/>
  <c r="AE573" i="13"/>
  <c r="AE549" i="13"/>
  <c r="AA559" i="13"/>
  <c r="AA568" i="13"/>
  <c r="AA531" i="13"/>
  <c r="AD572" i="13"/>
  <c r="AD457" i="13"/>
  <c r="AA534" i="13"/>
  <c r="AA519" i="13"/>
  <c r="AD473" i="13"/>
  <c r="AD522" i="13"/>
  <c r="AD475" i="13"/>
  <c r="AA492" i="13"/>
  <c r="AA522" i="13"/>
  <c r="AA516" i="13"/>
  <c r="AA545" i="13"/>
  <c r="AA538" i="13"/>
  <c r="AD546" i="13"/>
  <c r="AA517" i="13"/>
  <c r="AD460" i="13"/>
  <c r="AD491" i="13"/>
  <c r="AD558" i="13"/>
  <c r="AA560" i="13"/>
  <c r="AD524" i="13"/>
  <c r="AA494" i="13"/>
  <c r="AD462" i="13"/>
  <c r="AA567" i="13"/>
  <c r="AE497" i="13"/>
  <c r="AE521" i="13"/>
  <c r="AE553" i="13"/>
  <c r="AE538" i="13"/>
  <c r="AE470" i="13"/>
  <c r="AE462" i="13"/>
  <c r="AE510" i="13"/>
  <c r="AE539" i="13"/>
  <c r="AE457" i="13"/>
  <c r="AE511" i="13"/>
  <c r="AE527" i="13"/>
  <c r="AE561" i="13"/>
  <c r="AE495" i="13"/>
  <c r="AA554" i="13"/>
  <c r="AA458" i="13"/>
  <c r="AA512" i="13"/>
  <c r="AA571" i="13"/>
  <c r="AD579" i="13"/>
  <c r="AD573" i="13"/>
  <c r="AD511" i="13"/>
  <c r="AD517" i="13"/>
  <c r="AA521" i="13"/>
  <c r="AA504" i="13"/>
  <c r="AE504" i="13"/>
  <c r="AE465" i="13"/>
  <c r="AE515" i="13"/>
  <c r="AE468" i="13"/>
  <c r="AD466" i="13"/>
  <c r="AA483" i="13"/>
  <c r="AA467" i="13"/>
  <c r="AD575" i="13"/>
  <c r="AA491" i="13"/>
  <c r="AD490" i="13"/>
  <c r="AE519" i="13"/>
  <c r="AE456" i="13"/>
  <c r="AA506" i="13"/>
  <c r="AD568" i="13"/>
  <c r="AD548" i="13"/>
  <c r="AD559" i="13"/>
  <c r="AA481" i="13"/>
  <c r="AD469" i="13"/>
  <c r="AD515" i="13"/>
  <c r="AD569" i="13"/>
  <c r="AA540" i="13"/>
  <c r="AD543" i="13"/>
  <c r="AA526" i="13"/>
  <c r="AA533" i="13"/>
  <c r="AD530" i="13"/>
  <c r="AD467" i="13"/>
  <c r="AA460" i="13"/>
  <c r="AA466" i="13"/>
  <c r="AD539" i="13"/>
  <c r="AD481" i="13"/>
  <c r="AD554" i="13"/>
  <c r="AA544" i="13"/>
  <c r="AA576" i="13"/>
  <c r="AD574" i="13"/>
  <c r="AE474" i="13"/>
  <c r="AE460" i="13"/>
  <c r="AE567" i="13"/>
  <c r="AE473" i="13"/>
  <c r="AE532" i="13"/>
  <c r="AE541" i="13"/>
  <c r="AE563" i="13"/>
  <c r="AE483" i="13"/>
  <c r="AE547" i="13"/>
  <c r="AE507" i="13"/>
  <c r="AE571" i="13"/>
  <c r="AE466" i="13"/>
  <c r="AE555" i="13"/>
  <c r="AE535" i="13"/>
  <c r="AD483" i="13"/>
  <c r="AA456" i="13"/>
  <c r="AD482" i="13"/>
  <c r="AD538" i="13"/>
  <c r="AE467" i="13"/>
  <c r="AE574" i="13"/>
  <c r="AE469" i="13"/>
  <c r="AE461" i="13"/>
  <c r="AE482" i="13"/>
  <c r="AA459" i="13"/>
  <c r="AA470" i="13"/>
  <c r="AD485" i="13"/>
  <c r="AE534" i="13"/>
  <c r="AA493" i="13"/>
  <c r="AD488" i="13"/>
  <c r="AD564" i="13"/>
  <c r="AD531" i="13"/>
  <c r="AA457" i="13"/>
  <c r="AD465" i="13"/>
  <c r="AD510" i="13"/>
  <c r="AD557" i="13"/>
  <c r="AD484" i="13"/>
  <c r="AA514" i="13"/>
  <c r="AD527" i="13"/>
  <c r="AA527" i="13"/>
  <c r="AD486" i="13"/>
  <c r="AD526" i="13"/>
  <c r="AD541" i="13"/>
  <c r="AA535" i="13"/>
  <c r="AA500" i="13"/>
  <c r="AD519" i="13"/>
  <c r="AD496" i="13"/>
  <c r="AD476" i="13"/>
  <c r="AD542" i="13"/>
  <c r="AA469" i="13"/>
  <c r="AA541" i="13"/>
  <c r="AD545" i="13"/>
  <c r="AE488" i="13"/>
  <c r="AE505" i="13"/>
  <c r="AE493" i="13"/>
  <c r="AD540" i="13"/>
  <c r="AD537" i="13"/>
  <c r="AA558" i="13"/>
  <c r="AD518" i="13"/>
  <c r="AD498" i="13"/>
  <c r="AD477" i="13"/>
  <c r="AD533" i="13"/>
  <c r="AE459" i="13"/>
  <c r="AE481" i="13"/>
  <c r="AE499" i="13"/>
  <c r="AE501" i="13"/>
  <c r="AA573" i="13"/>
  <c r="AD525" i="13"/>
  <c r="AE537" i="13"/>
  <c r="AD461" i="13"/>
  <c r="AA482" i="13"/>
  <c r="AD479" i="13"/>
  <c r="AD523" i="13"/>
  <c r="AD480" i="13"/>
  <c r="AA479" i="13"/>
  <c r="AA547" i="13"/>
  <c r="AD576" i="13"/>
  <c r="AA485" i="13"/>
  <c r="AD512" i="13"/>
  <c r="AD544" i="13"/>
  <c r="AA510" i="13"/>
  <c r="AA524" i="13"/>
  <c r="AA490" i="13"/>
  <c r="AD464" i="13"/>
  <c r="AD514" i="13"/>
  <c r="AD504" i="13"/>
  <c r="AD565" i="13"/>
  <c r="AA536" i="13"/>
  <c r="AA579" i="13"/>
  <c r="AD463" i="13"/>
  <c r="AD534" i="13"/>
  <c r="AA574" i="13"/>
  <c r="AA548" i="13"/>
  <c r="AA532" i="13"/>
  <c r="AD529" i="13"/>
  <c r="AE500" i="13"/>
  <c r="AE518" i="13"/>
  <c r="AE502" i="13"/>
  <c r="AE544" i="13"/>
  <c r="AE564" i="13"/>
  <c r="AE565" i="13"/>
  <c r="AE487" i="13"/>
  <c r="AE545" i="13"/>
  <c r="AE514" i="13"/>
  <c r="AA515" i="13"/>
  <c r="AA520" i="13"/>
  <c r="AA503" i="13"/>
  <c r="AA575" i="13"/>
  <c r="AD521" i="13"/>
  <c r="AD489" i="13"/>
  <c r="AD494" i="13"/>
  <c r="AD513" i="13"/>
  <c r="AE479" i="13"/>
  <c r="AE517" i="13"/>
  <c r="AE496" i="13"/>
  <c r="AE577" i="13"/>
  <c r="AD503" i="13"/>
  <c r="AD547" i="13"/>
  <c r="AD570" i="13"/>
  <c r="AD500" i="13"/>
  <c r="AE486" i="13"/>
  <c r="AD560" i="13"/>
  <c r="AA475" i="13"/>
  <c r="AD470" i="13"/>
  <c r="AD516" i="13"/>
  <c r="AA463" i="13"/>
  <c r="AD571" i="13"/>
  <c r="AA505" i="13"/>
  <c r="AA518" i="13"/>
  <c r="AD499" i="13"/>
  <c r="AA566" i="13"/>
  <c r="AD549" i="13"/>
  <c r="AA476" i="13"/>
  <c r="AA570" i="13"/>
  <c r="AD459" i="13"/>
  <c r="AA468" i="13"/>
  <c r="AD532" i="13"/>
  <c r="AD458" i="13"/>
  <c r="AA511" i="13"/>
  <c r="AA543" i="13"/>
  <c r="AE568" i="13"/>
  <c r="AE489" i="13"/>
  <c r="AE562" i="13"/>
  <c r="AA473" i="13"/>
  <c r="AA557" i="13"/>
  <c r="AA472" i="13"/>
  <c r="AD505" i="13"/>
  <c r="AE480" i="13"/>
  <c r="AE578" i="13"/>
  <c r="AE554" i="13"/>
  <c r="AE464" i="13"/>
  <c r="AD478" i="13"/>
  <c r="AD552" i="13"/>
  <c r="AD495" i="13"/>
  <c r="AA578" i="13"/>
  <c r="AD562" i="13"/>
  <c r="AA556" i="13"/>
  <c r="AA497" i="13"/>
  <c r="J25" i="19" s="1"/>
  <c r="AA477" i="13"/>
  <c r="AE516" i="13"/>
  <c r="AE498" i="13"/>
  <c r="AE540" i="13"/>
  <c r="AE551" i="13"/>
  <c r="AE475" i="13"/>
  <c r="AA552" i="13"/>
  <c r="AA577" i="13"/>
  <c r="AE536" i="13"/>
  <c r="AD556" i="13"/>
  <c r="AA496" i="13"/>
  <c r="AD502" i="13"/>
  <c r="AA502" i="13"/>
  <c r="AA495" i="13"/>
  <c r="AD474" i="13"/>
  <c r="AA562" i="13"/>
  <c r="AE472" i="13"/>
  <c r="AE476" i="13"/>
  <c r="AE471" i="13"/>
  <c r="AA471" i="13"/>
  <c r="AE520" i="13"/>
  <c r="AA561" i="13"/>
  <c r="AA507" i="13"/>
  <c r="AD471" i="13"/>
  <c r="AA501" i="13"/>
  <c r="AD553" i="13"/>
  <c r="AD555" i="13"/>
  <c r="AA474" i="13"/>
  <c r="AD497" i="13"/>
  <c r="AE529" i="13"/>
  <c r="AE548" i="13"/>
  <c r="AA525" i="13"/>
  <c r="AE478" i="13"/>
  <c r="AA553" i="13"/>
  <c r="AA484" i="13"/>
  <c r="AE550" i="13"/>
  <c r="AE463" i="13"/>
  <c r="AA478" i="13"/>
  <c r="AD509" i="13"/>
  <c r="AA464" i="13"/>
  <c r="AA487" i="13"/>
  <c r="AD507" i="13"/>
  <c r="AA555" i="13"/>
  <c r="AE485" i="13"/>
  <c r="AE575" i="13"/>
  <c r="AE512" i="13"/>
  <c r="AD528" i="13"/>
  <c r="AA513" i="13"/>
  <c r="AE558" i="13"/>
  <c r="AE492" i="13"/>
  <c r="AE528" i="13"/>
  <c r="AA551" i="13"/>
  <c r="AE458" i="13"/>
  <c r="AA528" i="13"/>
  <c r="AA549" i="13"/>
  <c r="AA508" i="13"/>
  <c r="AD550" i="13"/>
  <c r="AD508" i="13"/>
  <c r="AE522" i="13"/>
  <c r="AE484" i="13"/>
  <c r="AE560" i="13"/>
  <c r="AE552" i="13"/>
  <c r="AA509" i="13"/>
  <c r="AD551" i="13"/>
  <c r="AA550" i="13"/>
  <c r="AA465" i="13"/>
  <c r="AA489" i="13"/>
  <c r="AD577" i="13"/>
  <c r="AA480" i="13"/>
  <c r="AE526" i="13"/>
  <c r="AE566" i="13"/>
  <c r="AE570" i="13"/>
  <c r="AE576" i="13"/>
  <c r="AE524" i="13"/>
  <c r="AE546" i="13"/>
  <c r="AD578" i="13"/>
  <c r="AA178" i="13"/>
  <c r="AD448" i="13"/>
  <c r="AA103" i="13"/>
  <c r="AA144" i="13"/>
  <c r="AA449" i="13"/>
  <c r="AA53" i="13"/>
  <c r="AA151" i="13"/>
  <c r="AA422" i="13"/>
  <c r="AA316" i="13"/>
  <c r="AA445" i="13"/>
  <c r="AA319" i="13"/>
  <c r="AA375" i="13"/>
  <c r="AA71" i="13"/>
  <c r="AD76" i="13"/>
  <c r="AD242" i="13"/>
  <c r="AD414" i="13"/>
  <c r="AD182" i="13"/>
  <c r="AA59" i="13"/>
  <c r="AA77" i="13"/>
  <c r="AA93" i="13"/>
  <c r="AA293" i="13"/>
  <c r="AA398" i="13"/>
  <c r="AD222" i="13"/>
  <c r="AA162" i="13"/>
  <c r="AA295" i="13"/>
  <c r="AA9" i="13"/>
  <c r="AA19" i="13"/>
  <c r="AD116" i="13"/>
  <c r="AD373" i="13"/>
  <c r="AA76" i="13"/>
  <c r="AA113" i="13"/>
  <c r="AA147" i="13"/>
  <c r="AA174" i="13"/>
  <c r="AA241" i="13"/>
  <c r="AD403" i="13"/>
  <c r="AA8" i="13"/>
  <c r="AA283" i="13"/>
  <c r="AD64" i="13"/>
  <c r="AA302" i="13"/>
  <c r="AD158" i="13"/>
  <c r="AA60" i="13"/>
  <c r="AA171" i="13"/>
  <c r="AD449" i="13"/>
  <c r="AD218" i="13"/>
  <c r="AA233" i="13"/>
  <c r="AA353" i="13"/>
  <c r="AD377" i="13"/>
  <c r="AA69" i="13"/>
  <c r="AD396" i="13"/>
  <c r="AA47" i="13"/>
  <c r="AA234" i="13"/>
  <c r="AA267" i="13"/>
  <c r="AA170" i="13"/>
  <c r="AA198" i="13"/>
  <c r="AD424" i="13"/>
  <c r="AA99" i="13"/>
  <c r="AA64" i="13"/>
  <c r="AA235" i="13"/>
  <c r="AD66" i="13"/>
  <c r="AA301" i="13"/>
  <c r="AA244" i="13"/>
  <c r="AA378" i="13"/>
  <c r="AA72" i="13"/>
  <c r="AA368" i="13"/>
  <c r="AA51" i="13"/>
  <c r="AA374" i="13"/>
  <c r="AA38" i="13"/>
  <c r="AA312" i="13"/>
  <c r="AD426" i="13"/>
  <c r="AA10" i="13"/>
  <c r="AA252" i="13"/>
  <c r="AD431" i="13"/>
  <c r="AA62" i="13"/>
  <c r="AA381" i="13"/>
  <c r="AA186" i="13"/>
  <c r="AA404" i="13"/>
  <c r="AD140" i="13"/>
  <c r="AA56" i="13"/>
  <c r="AA282" i="13"/>
  <c r="AA338" i="13"/>
  <c r="AD428" i="13"/>
  <c r="AA143" i="13"/>
  <c r="AD391" i="13"/>
  <c r="AA339" i="13"/>
  <c r="AA61" i="13"/>
  <c r="AA428" i="13"/>
  <c r="AA249" i="13"/>
  <c r="AA156" i="13"/>
  <c r="AA290" i="13"/>
  <c r="AA79" i="13"/>
  <c r="AA78" i="13"/>
  <c r="AA389" i="13"/>
  <c r="AD438" i="13"/>
  <c r="AA91" i="13"/>
  <c r="AA208" i="13"/>
  <c r="AD259" i="13"/>
  <c r="AA100" i="13"/>
  <c r="AA96" i="13"/>
  <c r="AD434" i="13"/>
  <c r="AA145" i="13"/>
  <c r="AA281" i="13"/>
  <c r="AD379" i="13"/>
  <c r="AA73" i="13"/>
  <c r="AA342" i="13"/>
  <c r="AD445" i="13"/>
  <c r="AD444" i="13"/>
  <c r="AA30" i="13"/>
  <c r="AA306" i="13"/>
  <c r="AA450" i="13"/>
  <c r="AA277" i="13"/>
  <c r="AA28" i="13"/>
  <c r="AA173" i="13"/>
  <c r="AA313" i="13"/>
  <c r="AD432" i="13"/>
  <c r="AA114" i="13"/>
  <c r="AD401" i="13"/>
  <c r="AA366" i="13"/>
  <c r="AA120" i="13"/>
  <c r="AD433" i="13"/>
  <c r="AA434" i="13"/>
  <c r="AA340" i="13"/>
  <c r="AD326" i="13"/>
  <c r="AA20" i="13"/>
  <c r="AA181" i="13"/>
  <c r="AA167" i="13"/>
  <c r="AA442" i="13"/>
  <c r="AA439" i="13"/>
  <c r="AA135" i="13"/>
  <c r="AA263" i="13"/>
  <c r="AA226" i="13"/>
  <c r="AA330" i="13"/>
  <c r="AD439" i="13"/>
  <c r="AA70" i="13"/>
  <c r="AD364" i="13"/>
  <c r="AA405" i="13"/>
  <c r="AA322" i="13"/>
  <c r="AD236" i="13"/>
  <c r="AA278" i="13"/>
  <c r="AA377" i="13"/>
  <c r="AA359" i="13"/>
  <c r="AA431" i="13"/>
  <c r="AA448" i="13"/>
  <c r="AA27" i="13"/>
  <c r="AA97" i="13"/>
  <c r="AA251" i="13"/>
  <c r="AD437" i="13"/>
  <c r="AA118" i="13"/>
  <c r="AD358" i="13"/>
  <c r="AA371" i="13"/>
  <c r="AA168" i="13"/>
  <c r="AA437" i="13"/>
  <c r="AA279" i="13"/>
  <c r="AA39" i="13"/>
  <c r="AD310" i="13"/>
  <c r="AA133" i="13"/>
  <c r="AA108" i="13"/>
  <c r="AA23" i="13"/>
  <c r="AD447" i="13"/>
  <c r="AA318" i="13"/>
  <c r="AD75" i="13"/>
  <c r="AD246" i="13"/>
  <c r="AA192" i="13"/>
  <c r="AA287" i="13"/>
  <c r="AA161" i="13"/>
  <c r="AA112" i="13"/>
  <c r="AA180" i="13"/>
  <c r="AA137" i="13"/>
  <c r="AA357" i="13"/>
  <c r="AD404" i="13"/>
  <c r="AA271" i="13"/>
  <c r="AD442" i="13"/>
  <c r="AD321" i="13"/>
  <c r="AA416" i="13"/>
  <c r="AA258" i="13"/>
  <c r="AA166" i="13"/>
  <c r="AA315" i="13"/>
  <c r="AA362" i="13"/>
  <c r="AA193" i="13"/>
  <c r="AD203" i="13"/>
  <c r="AA123" i="13"/>
  <c r="AA18" i="13"/>
  <c r="AA441" i="13"/>
  <c r="AD128" i="13"/>
  <c r="AD450" i="13"/>
  <c r="AD264" i="13"/>
  <c r="AA354" i="13"/>
  <c r="AD188" i="13"/>
  <c r="AA253" i="13"/>
  <c r="AA109" i="13"/>
  <c r="AD455" i="13"/>
  <c r="AA154" i="13"/>
  <c r="AD86" i="13"/>
  <c r="AA427" i="13"/>
  <c r="AA141" i="13"/>
  <c r="AA67" i="13"/>
  <c r="AA55" i="13"/>
  <c r="AD436" i="13"/>
  <c r="AA107" i="13"/>
  <c r="AD397" i="13"/>
  <c r="AA95" i="13"/>
  <c r="AA406" i="13"/>
  <c r="AD200" i="13"/>
  <c r="AA382" i="13"/>
  <c r="AA348" i="13"/>
  <c r="AA447" i="13"/>
  <c r="AD155" i="13"/>
  <c r="AA75" i="13"/>
  <c r="AA289" i="13"/>
  <c r="AA341" i="13"/>
  <c r="AD441" i="13"/>
  <c r="AA372" i="13"/>
  <c r="AA41" i="13"/>
  <c r="AA106" i="13"/>
  <c r="AA355" i="13"/>
  <c r="AA153" i="13"/>
  <c r="AA309" i="13"/>
  <c r="AA177" i="13"/>
  <c r="AA363" i="13"/>
  <c r="AD430" i="13"/>
  <c r="AA266" i="13"/>
  <c r="AA66" i="13"/>
  <c r="AA268" i="13"/>
  <c r="AA102" i="13"/>
  <c r="AA49" i="13"/>
  <c r="AA433" i="13"/>
  <c r="AA430" i="13"/>
  <c r="AA376" i="13"/>
  <c r="AA54" i="13"/>
  <c r="AD427" i="13"/>
  <c r="AA87" i="13"/>
  <c r="AD67" i="13"/>
  <c r="AA150" i="13"/>
  <c r="AD409" i="13"/>
  <c r="AA393" i="13"/>
  <c r="AA155" i="13"/>
  <c r="AA347" i="13"/>
  <c r="AA296" i="13"/>
  <c r="AA22" i="13"/>
  <c r="AD221" i="13"/>
  <c r="AD292" i="13"/>
  <c r="AA195" i="13"/>
  <c r="AA455" i="13"/>
  <c r="J24" i="19" s="1"/>
  <c r="AA121" i="13"/>
  <c r="AA44" i="13"/>
  <c r="AD334" i="13"/>
  <c r="AD376" i="13"/>
  <c r="AA172" i="13"/>
  <c r="AA175" i="13"/>
  <c r="AD225" i="13"/>
  <c r="AA50" i="13"/>
  <c r="AD418" i="13"/>
  <c r="AA165" i="13"/>
  <c r="AD212" i="13"/>
  <c r="AA299" i="13"/>
  <c r="AD78" i="13"/>
  <c r="AA85" i="13"/>
  <c r="AA86" i="13"/>
  <c r="AA206" i="13"/>
  <c r="AD378" i="13"/>
  <c r="AA157" i="13"/>
  <c r="AA257" i="13"/>
  <c r="AA21" i="13"/>
  <c r="AA63" i="13"/>
  <c r="AA132" i="13"/>
  <c r="AA35" i="13"/>
  <c r="AA238" i="13"/>
  <c r="AA373" i="13"/>
  <c r="AA453" i="13"/>
  <c r="AD101" i="13"/>
  <c r="AD161" i="13"/>
  <c r="AA221" i="13"/>
  <c r="AA80" i="13"/>
  <c r="AA158" i="13"/>
  <c r="AA320" i="13"/>
  <c r="AD27" i="13"/>
  <c r="AD285" i="13"/>
  <c r="AA310" i="13"/>
  <c r="AA272" i="13"/>
  <c r="AA148" i="13"/>
  <c r="AA228" i="13"/>
  <c r="AA209" i="13"/>
  <c r="AA140" i="13"/>
  <c r="AD392" i="13"/>
  <c r="AD369" i="13"/>
  <c r="AD423" i="13"/>
  <c r="AD325" i="13"/>
  <c r="AA89" i="13"/>
  <c r="AD19" i="13"/>
  <c r="AD141" i="13"/>
  <c r="AD277" i="13"/>
  <c r="AD132" i="13"/>
  <c r="AD149" i="13"/>
  <c r="AA31" i="13"/>
  <c r="AA138" i="13"/>
  <c r="AA407" i="13"/>
  <c r="AD84" i="13"/>
  <c r="AD435" i="13"/>
  <c r="AA409" i="13"/>
  <c r="AA384" i="13"/>
  <c r="AA288" i="13"/>
  <c r="AA247" i="13"/>
  <c r="AA115" i="13"/>
  <c r="AA275" i="13"/>
  <c r="AA410" i="13"/>
  <c r="AA273" i="13"/>
  <c r="AA231" i="13"/>
  <c r="AD85" i="13"/>
  <c r="AD247" i="13"/>
  <c r="AD389" i="13"/>
  <c r="AD413" i="13"/>
  <c r="AD386" i="13"/>
  <c r="AD332" i="13"/>
  <c r="AD183" i="13"/>
  <c r="AD99" i="13"/>
  <c r="AD234" i="13"/>
  <c r="AD393" i="13"/>
  <c r="AD343" i="13"/>
  <c r="AD311" i="13"/>
  <c r="AA101" i="13"/>
  <c r="AD10" i="13"/>
  <c r="AD135" i="13"/>
  <c r="AD287" i="13"/>
  <c r="AA284" i="13"/>
  <c r="AA159" i="13"/>
  <c r="AD118" i="13"/>
  <c r="AD270" i="13"/>
  <c r="AD114" i="13"/>
  <c r="AA210" i="13"/>
  <c r="AA15" i="13"/>
  <c r="AA237" i="13"/>
  <c r="AD96" i="13"/>
  <c r="AD226" i="13"/>
  <c r="AD366" i="13"/>
  <c r="AD42" i="13"/>
  <c r="AD187" i="13"/>
  <c r="AD388" i="13"/>
  <c r="AD298" i="13"/>
  <c r="AD124" i="13"/>
  <c r="AD69" i="13"/>
  <c r="AD177" i="13"/>
  <c r="AD338" i="13"/>
  <c r="AA57" i="13"/>
  <c r="AA42" i="13"/>
  <c r="J9" i="19" s="1"/>
  <c r="AD383" i="13"/>
  <c r="AD88" i="13"/>
  <c r="AD351" i="13"/>
  <c r="AD204" i="13"/>
  <c r="AA358" i="13"/>
  <c r="AA48" i="13"/>
  <c r="AA82" i="13"/>
  <c r="AD181" i="13"/>
  <c r="AA152" i="13"/>
  <c r="AD419" i="13"/>
  <c r="AA333" i="13"/>
  <c r="AA216" i="13"/>
  <c r="AD60" i="13"/>
  <c r="AD316" i="13"/>
  <c r="AA229" i="13"/>
  <c r="AA32" i="13"/>
  <c r="AA361" i="13"/>
  <c r="AA294" i="13"/>
  <c r="AA11" i="13"/>
  <c r="AA397" i="13"/>
  <c r="AD345" i="13"/>
  <c r="AD126" i="13"/>
  <c r="AD202" i="13"/>
  <c r="AD317" i="13"/>
  <c r="AD214" i="13"/>
  <c r="AD35" i="13"/>
  <c r="AD152" i="13"/>
  <c r="AD293" i="13"/>
  <c r="AD286" i="13"/>
  <c r="AA207" i="13"/>
  <c r="AA440" i="13"/>
  <c r="AA325" i="13"/>
  <c r="AA98" i="13"/>
  <c r="AD115" i="13"/>
  <c r="AD275" i="13"/>
  <c r="AA225" i="13"/>
  <c r="AA6" i="13"/>
  <c r="AA197" i="13"/>
  <c r="AA444" i="13"/>
  <c r="AA25" i="13"/>
  <c r="AA291" i="13"/>
  <c r="AA324" i="13"/>
  <c r="AA356" i="13"/>
  <c r="AA189" i="13"/>
  <c r="AD98" i="13"/>
  <c r="AD263" i="13"/>
  <c r="AD420" i="13"/>
  <c r="AD320" i="13"/>
  <c r="AD217" i="13"/>
  <c r="AD43" i="13"/>
  <c r="AD111" i="13"/>
  <c r="AD110" i="13"/>
  <c r="AD248" i="13"/>
  <c r="AD422" i="13"/>
  <c r="AD131" i="13"/>
  <c r="AD191" i="13"/>
  <c r="AD232" i="13"/>
  <c r="AD28" i="13"/>
  <c r="AD150" i="13"/>
  <c r="AD302" i="13"/>
  <c r="AA37" i="13"/>
  <c r="AD18" i="13"/>
  <c r="AD137" i="13"/>
  <c r="AD289" i="13"/>
  <c r="AD280" i="13"/>
  <c r="AA349" i="13"/>
  <c r="AD224" i="13"/>
  <c r="AA201" i="13"/>
  <c r="AD107" i="13"/>
  <c r="AD241" i="13"/>
  <c r="AD382" i="13"/>
  <c r="AD7" i="13"/>
  <c r="AD400" i="13"/>
  <c r="AD380" i="13"/>
  <c r="AD429" i="13"/>
  <c r="AD261" i="13"/>
  <c r="AD80" i="13"/>
  <c r="AD195" i="13"/>
  <c r="AD353" i="13"/>
  <c r="AD374" i="13"/>
  <c r="AD145" i="13"/>
  <c r="AA199" i="13"/>
  <c r="J15" i="19" s="1"/>
  <c r="AD352" i="13"/>
  <c r="AA203" i="13"/>
  <c r="AA90" i="13"/>
  <c r="AA219" i="13"/>
  <c r="AD235" i="13"/>
  <c r="AA74" i="13"/>
  <c r="AD350" i="13"/>
  <c r="AA176" i="13"/>
  <c r="AA94" i="13"/>
  <c r="AD91" i="13"/>
  <c r="AD357" i="13"/>
  <c r="AA334" i="13"/>
  <c r="AA139" i="13"/>
  <c r="AA187" i="13"/>
  <c r="AA388" i="13"/>
  <c r="AA298" i="13"/>
  <c r="AA314" i="13"/>
  <c r="AD265" i="13"/>
  <c r="AD384" i="13"/>
  <c r="AD303" i="13"/>
  <c r="AD197" i="13"/>
  <c r="AD130" i="13"/>
  <c r="AD51" i="13"/>
  <c r="AD166" i="13"/>
  <c r="AD309" i="13"/>
  <c r="AA134" i="13"/>
  <c r="AA285" i="13"/>
  <c r="AA126" i="13"/>
  <c r="AA274" i="13"/>
  <c r="AA307" i="13"/>
  <c r="AD25" i="13"/>
  <c r="AD291" i="13"/>
  <c r="AA420" i="13"/>
  <c r="AA125" i="13"/>
  <c r="AA399" i="13"/>
  <c r="AA200" i="13"/>
  <c r="AA16" i="13"/>
  <c r="AA136" i="13"/>
  <c r="AA415" i="13"/>
  <c r="AA276" i="13"/>
  <c r="AA117" i="13"/>
  <c r="AD123" i="13"/>
  <c r="AD282" i="13"/>
  <c r="AD254" i="13"/>
  <c r="AD387" i="13"/>
  <c r="AD227" i="13"/>
  <c r="AA119" i="13"/>
  <c r="AD8" i="13"/>
  <c r="AD133" i="13"/>
  <c r="AD266" i="13"/>
  <c r="AD268" i="13"/>
  <c r="AD305" i="13"/>
  <c r="AD370" i="13"/>
  <c r="AD142" i="13"/>
  <c r="AD49" i="13"/>
  <c r="AD162" i="13"/>
  <c r="AD318" i="13"/>
  <c r="AD89" i="13"/>
  <c r="AD30" i="13"/>
  <c r="AD151" i="13"/>
  <c r="AD306" i="13"/>
  <c r="AA394" i="13"/>
  <c r="AA217" i="13"/>
  <c r="AA360" i="13"/>
  <c r="AA129" i="13"/>
  <c r="AD121" i="13"/>
  <c r="AD257" i="13"/>
  <c r="AD416" i="13"/>
  <c r="AD36" i="13"/>
  <c r="AD196" i="13"/>
  <c r="AD451" i="13"/>
  <c r="AA224" i="13"/>
  <c r="AD231" i="13"/>
  <c r="AD97" i="13"/>
  <c r="AD229" i="13"/>
  <c r="AD367" i="13"/>
  <c r="AA183" i="13"/>
  <c r="J14" i="19" s="1"/>
  <c r="AA379" i="13"/>
  <c r="J22" i="19" s="1"/>
  <c r="AA260" i="13"/>
  <c r="J18" i="19" s="1"/>
  <c r="AA14" i="13"/>
  <c r="J8" i="19" s="1"/>
  <c r="AA286" i="13"/>
  <c r="J19" i="19" s="1"/>
  <c r="AA104" i="13"/>
  <c r="AD219" i="13"/>
  <c r="AD163" i="13"/>
  <c r="AA230" i="13"/>
  <c r="AD9" i="13"/>
  <c r="AD267" i="13"/>
  <c r="AA346" i="13"/>
  <c r="AD83" i="13"/>
  <c r="AA246" i="13"/>
  <c r="AA40" i="13"/>
  <c r="AD112" i="13"/>
  <c r="AD398" i="13"/>
  <c r="AA211" i="13"/>
  <c r="AA7" i="13"/>
  <c r="AA400" i="13"/>
  <c r="AA380" i="13"/>
  <c r="AA429" i="13"/>
  <c r="AA239" i="13"/>
  <c r="AD26" i="13"/>
  <c r="AD6" i="13"/>
  <c r="AD220" i="13"/>
  <c r="AD454" i="13"/>
  <c r="AD46" i="13"/>
  <c r="AD63" i="13"/>
  <c r="AD175" i="13"/>
  <c r="AD330" i="13"/>
  <c r="AA454" i="13"/>
  <c r="AA292" i="13"/>
  <c r="AA425" i="13"/>
  <c r="AD81" i="13"/>
  <c r="AA426" i="13"/>
  <c r="AD16" i="13"/>
  <c r="AA188" i="13"/>
  <c r="AA212" i="13"/>
  <c r="AA184" i="13"/>
  <c r="AA417" i="13"/>
  <c r="AA385" i="13"/>
  <c r="AA327" i="13"/>
  <c r="AA402" i="13"/>
  <c r="AA223" i="13"/>
  <c r="AD119" i="13"/>
  <c r="AA33" i="13"/>
  <c r="AD156" i="13"/>
  <c r="AD299" i="13"/>
  <c r="AD319" i="13"/>
  <c r="AD216" i="13"/>
  <c r="AD17" i="13"/>
  <c r="AA29" i="13"/>
  <c r="AD23" i="13"/>
  <c r="AD146" i="13"/>
  <c r="AD283" i="13"/>
  <c r="AD328" i="13"/>
  <c r="AD410" i="13"/>
  <c r="AD273" i="13"/>
  <c r="AD58" i="13"/>
  <c r="AD61" i="13"/>
  <c r="AD173" i="13"/>
  <c r="AD342" i="13"/>
  <c r="AA232" i="13"/>
  <c r="AD50" i="13"/>
  <c r="AD165" i="13"/>
  <c r="AD322" i="13"/>
  <c r="AA446" i="13"/>
  <c r="AA383" i="13"/>
  <c r="AD185" i="13"/>
  <c r="AA45" i="13"/>
  <c r="AD143" i="13"/>
  <c r="AD279" i="13"/>
  <c r="AD172" i="13"/>
  <c r="AD411" i="13"/>
  <c r="AD24" i="13"/>
  <c r="AD331" i="13"/>
  <c r="AD356" i="13"/>
  <c r="AD189" i="13"/>
  <c r="AD108" i="13"/>
  <c r="AD244" i="13"/>
  <c r="AD385" i="13"/>
  <c r="AD315" i="13"/>
  <c r="AD109" i="13"/>
  <c r="AD199" i="13"/>
  <c r="AA240" i="13"/>
  <c r="J16" i="19" s="1"/>
  <c r="AD38" i="13"/>
  <c r="AD349" i="13"/>
  <c r="AA413" i="13"/>
  <c r="AD47" i="13"/>
  <c r="AD301" i="13"/>
  <c r="AA269" i="13"/>
  <c r="AA116" i="13"/>
  <c r="AA297" i="13"/>
  <c r="AA43" i="13"/>
  <c r="AD147" i="13"/>
  <c r="AD271" i="13"/>
  <c r="AA328" i="13"/>
  <c r="AA36" i="13"/>
  <c r="AA196" i="13"/>
  <c r="AA451" i="13"/>
  <c r="AD105" i="13"/>
  <c r="AA326" i="13"/>
  <c r="AD127" i="13"/>
  <c r="AD425" i="13"/>
  <c r="AD205" i="13"/>
  <c r="AD274" i="13"/>
  <c r="AD237" i="13"/>
  <c r="AD77" i="13"/>
  <c r="AD193" i="13"/>
  <c r="AD348" i="13"/>
  <c r="AA236" i="13"/>
  <c r="AA259" i="13"/>
  <c r="AA337" i="13"/>
  <c r="AA424" i="13"/>
  <c r="AA242" i="13"/>
  <c r="AD327" i="13"/>
  <c r="AA300" i="13"/>
  <c r="AA345" i="13"/>
  <c r="AA202" i="13"/>
  <c r="AA264" i="13"/>
  <c r="AA218" i="13"/>
  <c r="AA344" i="13"/>
  <c r="AA52" i="13"/>
  <c r="AA395" i="13"/>
  <c r="AD29" i="13"/>
  <c r="AD22" i="13"/>
  <c r="AD169" i="13"/>
  <c r="AD314" i="13"/>
  <c r="AA438" i="13"/>
  <c r="AD94" i="13"/>
  <c r="AD304" i="13"/>
  <c r="AD160" i="13"/>
  <c r="AD44" i="13"/>
  <c r="AD157" i="13"/>
  <c r="AD300" i="13"/>
  <c r="AD346" i="13"/>
  <c r="AD324" i="13"/>
  <c r="AA81" i="13"/>
  <c r="AD243" i="13"/>
  <c r="AD73" i="13"/>
  <c r="AD186" i="13"/>
  <c r="AD359" i="13"/>
  <c r="AA142" i="13"/>
  <c r="AD62" i="13"/>
  <c r="AD192" i="13"/>
  <c r="AD347" i="13"/>
  <c r="AA323" i="13"/>
  <c r="AA227" i="13"/>
  <c r="AD65" i="13"/>
  <c r="AD20" i="13"/>
  <c r="AD153" i="13"/>
  <c r="AD295" i="13"/>
  <c r="AD290" i="13"/>
  <c r="AD215" i="13"/>
  <c r="AD443" i="13"/>
  <c r="AD336" i="13"/>
  <c r="AD276" i="13"/>
  <c r="AD117" i="13"/>
  <c r="AD122" i="13"/>
  <c r="AD258" i="13"/>
  <c r="AD417" i="13"/>
  <c r="AA317" i="13"/>
  <c r="J20" i="19" s="1"/>
  <c r="AA110" i="13"/>
  <c r="J12" i="19" s="1"/>
  <c r="AA256" i="13"/>
  <c r="J17" i="19" s="1"/>
  <c r="AD260" i="13"/>
  <c r="AD14" i="13"/>
  <c r="AA432" i="13"/>
  <c r="AA204" i="13"/>
  <c r="AA401" i="13"/>
  <c r="AA332" i="13"/>
  <c r="AD134" i="13"/>
  <c r="AD59" i="13"/>
  <c r="AA321" i="13"/>
  <c r="AD210" i="13"/>
  <c r="AA262" i="13"/>
  <c r="AA111" i="13"/>
  <c r="AD249" i="13"/>
  <c r="AA414" i="13"/>
  <c r="AA350" i="13"/>
  <c r="AA390" i="13"/>
  <c r="AA245" i="13"/>
  <c r="AA335" i="13"/>
  <c r="AA418" i="13"/>
  <c r="AA169" i="13"/>
  <c r="AD440" i="13"/>
  <c r="AD184" i="13"/>
  <c r="AD421" i="13"/>
  <c r="AD360" i="13"/>
  <c r="AD45" i="13"/>
  <c r="AD120" i="13"/>
  <c r="AD253" i="13"/>
  <c r="AD407" i="13"/>
  <c r="AD90" i="13"/>
  <c r="AA127" i="13"/>
  <c r="AA205" i="13"/>
  <c r="AA403" i="13"/>
  <c r="AD308" i="13"/>
  <c r="AD365" i="13"/>
  <c r="AD329" i="13"/>
  <c r="AA369" i="13"/>
  <c r="AA421" i="13"/>
  <c r="AA436" i="13"/>
  <c r="AA84" i="13"/>
  <c r="AA435" i="13"/>
  <c r="AA305" i="13"/>
  <c r="AA370" i="13"/>
  <c r="AA261" i="13"/>
  <c r="AD70" i="13"/>
  <c r="AD233" i="13"/>
  <c r="AD368" i="13"/>
  <c r="AD262" i="13"/>
  <c r="AD323" i="13"/>
  <c r="AD40" i="13"/>
  <c r="AD87" i="13"/>
  <c r="AD371" i="13"/>
  <c r="AD52" i="13"/>
  <c r="AD395" i="13"/>
  <c r="AD37" i="13"/>
  <c r="AD57" i="13"/>
  <c r="AD113" i="13"/>
  <c r="AD269" i="13"/>
  <c r="AD278" i="13"/>
  <c r="AA213" i="13"/>
  <c r="AD104" i="13"/>
  <c r="AD252" i="13"/>
  <c r="AD406" i="13"/>
  <c r="AA386" i="13"/>
  <c r="AA250" i="13"/>
  <c r="AA46" i="13"/>
  <c r="AD79" i="13"/>
  <c r="AD139" i="13"/>
  <c r="AD361" i="13"/>
  <c r="AD294" i="13"/>
  <c r="AD11" i="13"/>
  <c r="AD190" i="13"/>
  <c r="AD39" i="13"/>
  <c r="AD168" i="13"/>
  <c r="AD313" i="13"/>
  <c r="AD174" i="13"/>
  <c r="AA396" i="13"/>
  <c r="AA387" i="13"/>
  <c r="AD72" i="13"/>
  <c r="AD341" i="13"/>
  <c r="AA367" i="13"/>
  <c r="AA391" i="13"/>
  <c r="AA163" i="13"/>
  <c r="AA160" i="13"/>
  <c r="AD171" i="13"/>
  <c r="AA352" i="13"/>
  <c r="AA270" i="13"/>
  <c r="AA411" i="13"/>
  <c r="AA24" i="13"/>
  <c r="AA331" i="13"/>
  <c r="AD412" i="13"/>
  <c r="AA182" i="13"/>
  <c r="AD31" i="13"/>
  <c r="AD125" i="13"/>
  <c r="AD452" i="13"/>
  <c r="AD399" i="13"/>
  <c r="AD201" i="13"/>
  <c r="AD95" i="13"/>
  <c r="AD211" i="13"/>
  <c r="AD363" i="13"/>
  <c r="AA194" i="13"/>
  <c r="AA392" i="13"/>
  <c r="AA423" i="13"/>
  <c r="AA254" i="13"/>
  <c r="AA92" i="13"/>
  <c r="AD344" i="13"/>
  <c r="AD297" i="13"/>
  <c r="AA26" i="13"/>
  <c r="AA220" i="13"/>
  <c r="AA68" i="13"/>
  <c r="AA408" i="13"/>
  <c r="AA164" i="13"/>
  <c r="AA343" i="13"/>
  <c r="AA311" i="13"/>
  <c r="AA190" i="13"/>
  <c r="AD41" i="13"/>
  <c r="AD179" i="13"/>
  <c r="AD339" i="13"/>
  <c r="AD48" i="13"/>
  <c r="AD394" i="13"/>
  <c r="AD250" i="13"/>
  <c r="AD82" i="13"/>
  <c r="AD56" i="13"/>
  <c r="AD170" i="13"/>
  <c r="AD340" i="13"/>
  <c r="AD136" i="13"/>
  <c r="AD415" i="13"/>
  <c r="AA83" i="13"/>
  <c r="AD213" i="13"/>
  <c r="AD92" i="13"/>
  <c r="AD207" i="13"/>
  <c r="AD405" i="13"/>
  <c r="AA58" i="13"/>
  <c r="AD74" i="13"/>
  <c r="AD208" i="13"/>
  <c r="AD362" i="13"/>
  <c r="AA149" i="13"/>
  <c r="AA17" i="13"/>
  <c r="AA214" i="13"/>
  <c r="AD53" i="13"/>
  <c r="AD167" i="13"/>
  <c r="AD312" i="13"/>
  <c r="AD272" i="13"/>
  <c r="AD390" i="13"/>
  <c r="AD245" i="13"/>
  <c r="AD335" i="13"/>
  <c r="AA185" i="13"/>
  <c r="AD33" i="13"/>
  <c r="AD144" i="13"/>
  <c r="AD281" i="13"/>
  <c r="AD178" i="13"/>
  <c r="AD238" i="13"/>
  <c r="AD54" i="13"/>
  <c r="AA364" i="13"/>
  <c r="AD194" i="13"/>
  <c r="AA222" i="13"/>
  <c r="AA412" i="13"/>
  <c r="AD100" i="13"/>
  <c r="AD372" i="13"/>
  <c r="AA179" i="13"/>
  <c r="AD34" i="13"/>
  <c r="AA34" i="13"/>
  <c r="AA255" i="13"/>
  <c r="AD206" i="13"/>
  <c r="AA248" i="13"/>
  <c r="AA419" i="13"/>
  <c r="AA215" i="13"/>
  <c r="AA443" i="13"/>
  <c r="AA336" i="13"/>
  <c r="AA13" i="13"/>
  <c r="AA280" i="13"/>
  <c r="AD12" i="13"/>
  <c r="AD337" i="13"/>
  <c r="AD138" i="13"/>
  <c r="AA105" i="13"/>
  <c r="AD129" i="13"/>
  <c r="AD106" i="13"/>
  <c r="AD240" i="13"/>
  <c r="AD381" i="13"/>
  <c r="AD453" i="13"/>
  <c r="AA265" i="13"/>
  <c r="AA303" i="13"/>
  <c r="AA128" i="13"/>
  <c r="AD408" i="13"/>
  <c r="AD164" i="13"/>
  <c r="AD13" i="13"/>
  <c r="AA12" i="13"/>
  <c r="AA452" i="13"/>
  <c r="AA122" i="13"/>
  <c r="AA308" i="13"/>
  <c r="AA365" i="13"/>
  <c r="AA131" i="13"/>
  <c r="AA191" i="13"/>
  <c r="AA124" i="13"/>
  <c r="AD55" i="13"/>
  <c r="AD198" i="13"/>
  <c r="AD354" i="13"/>
  <c r="AD230" i="13"/>
  <c r="AD446" i="13"/>
  <c r="AD15" i="13"/>
  <c r="AD255" i="13"/>
  <c r="AD71" i="13"/>
  <c r="AD180" i="13"/>
  <c r="AD355" i="13"/>
  <c r="AD402" i="13"/>
  <c r="AD223" i="13"/>
  <c r="AD284" i="13"/>
  <c r="AD159" i="13"/>
  <c r="AD103" i="13"/>
  <c r="AD251" i="13"/>
  <c r="AD102" i="13"/>
  <c r="AA243" i="13"/>
  <c r="AD93" i="13"/>
  <c r="AD239" i="13"/>
  <c r="AD375" i="13"/>
  <c r="AA329" i="13"/>
  <c r="AA304" i="13"/>
  <c r="AA130" i="13"/>
  <c r="AD68" i="13"/>
  <c r="AD176" i="13"/>
  <c r="AD333" i="13"/>
  <c r="AD32" i="13"/>
  <c r="AD148" i="13"/>
  <c r="AD228" i="13"/>
  <c r="AD209" i="13"/>
  <c r="AA65" i="13"/>
  <c r="AD21" i="13"/>
  <c r="AD154" i="13"/>
  <c r="AD296" i="13"/>
  <c r="AD307" i="13"/>
  <c r="AD288" i="13"/>
  <c r="AA146" i="13"/>
  <c r="J13" i="19" s="1"/>
  <c r="AD256" i="13"/>
  <c r="AA88" i="13"/>
  <c r="J11" i="19" s="1"/>
  <c r="AA351" i="13"/>
  <c r="J21" i="19" s="1"/>
  <c r="O24" i="31"/>
  <c r="M26" i="31"/>
  <c r="D41" i="31"/>
  <c r="D39" i="31"/>
  <c r="D40" i="31"/>
  <c r="K29" i="31"/>
  <c r="I33" i="31"/>
  <c r="M18" i="31"/>
  <c r="O13" i="31"/>
  <c r="J10" i="19" l="1"/>
  <c r="J23" i="19"/>
  <c r="J26" i="19"/>
  <c r="AN587" i="13"/>
  <c r="AN599" i="13"/>
  <c r="AK629" i="13"/>
  <c r="AK599" i="13"/>
  <c r="AK588" i="13"/>
  <c r="AK611" i="13"/>
  <c r="AN611" i="13" s="1"/>
  <c r="AK657" i="13"/>
  <c r="AN657" i="13" s="1"/>
  <c r="AK835" i="13"/>
  <c r="AN835" i="13" s="1"/>
  <c r="AK613" i="13"/>
  <c r="AK883" i="13"/>
  <c r="AK715" i="13"/>
  <c r="AN715" i="13" s="1"/>
  <c r="AK587" i="13"/>
  <c r="AK601" i="13"/>
  <c r="AN601" i="13" s="1"/>
  <c r="AK884" i="13"/>
  <c r="AN884" i="13" s="1"/>
  <c r="AK589" i="13"/>
  <c r="AK606" i="13"/>
  <c r="AK847" i="13"/>
  <c r="AK746" i="13"/>
  <c r="AK793" i="13"/>
  <c r="AN793" i="13" s="1"/>
  <c r="AK931" i="13"/>
  <c r="AN931" i="13" s="1"/>
  <c r="AK921" i="13"/>
  <c r="AN921" i="13" s="1"/>
  <c r="AK701" i="13"/>
  <c r="AN701" i="13" s="1"/>
  <c r="AK607" i="13"/>
  <c r="AN607" i="13" s="1"/>
  <c r="AK722" i="13"/>
  <c r="AN722" i="13" s="1"/>
  <c r="AK656" i="13"/>
  <c r="AK873" i="13"/>
  <c r="AN873" i="13" s="1"/>
  <c r="AK636" i="13"/>
  <c r="AN636" i="13" s="1"/>
  <c r="AK667" i="13"/>
  <c r="AN667" i="13" s="1"/>
  <c r="AK618" i="13"/>
  <c r="AK608" i="13"/>
  <c r="AN608" i="13" s="1"/>
  <c r="AK936" i="13"/>
  <c r="AK620" i="13"/>
  <c r="AN620" i="13" s="1"/>
  <c r="AK635" i="13"/>
  <c r="AK594" i="13"/>
  <c r="AN594" i="13" s="1"/>
  <c r="AK600" i="13"/>
  <c r="AK897" i="13"/>
  <c r="AK624" i="13"/>
  <c r="AK911" i="13"/>
  <c r="AN911" i="13" s="1"/>
  <c r="AK807" i="13"/>
  <c r="AN807" i="13" s="1"/>
  <c r="AK762" i="13"/>
  <c r="AN762" i="13" s="1"/>
  <c r="AK642" i="13"/>
  <c r="AN642" i="13" s="1"/>
  <c r="AK687" i="13"/>
  <c r="AN687" i="13" s="1"/>
  <c r="AK602" i="13"/>
  <c r="AK591" i="13"/>
  <c r="AN591" i="13" s="1"/>
  <c r="AK863" i="13"/>
  <c r="AN863" i="13" s="1"/>
  <c r="AK645" i="13"/>
  <c r="AN645" i="13" s="1"/>
  <c r="AK771" i="13"/>
  <c r="AK593" i="13"/>
  <c r="AK623" i="13"/>
  <c r="AK592" i="13"/>
  <c r="AK939" i="13"/>
  <c r="AK923" i="13"/>
  <c r="AK855" i="13"/>
  <c r="AK775" i="13"/>
  <c r="AN775" i="13" s="1"/>
  <c r="AK795" i="13"/>
  <c r="AN795" i="13" s="1"/>
  <c r="AK734" i="13"/>
  <c r="AK772" i="13"/>
  <c r="AK760" i="13"/>
  <c r="AN760" i="13" s="1"/>
  <c r="AK621" i="13"/>
  <c r="AN621" i="13" s="1"/>
  <c r="AK617" i="13"/>
  <c r="AK851" i="13"/>
  <c r="AN851" i="13" s="1"/>
  <c r="AK789" i="13"/>
  <c r="AN789" i="13" s="1"/>
  <c r="AK937" i="13"/>
  <c r="AN937" i="13" s="1"/>
  <c r="AK907" i="13"/>
  <c r="AN907" i="13" s="1"/>
  <c r="AK875" i="13"/>
  <c r="AN875" i="13" s="1"/>
  <c r="AK819" i="13"/>
  <c r="AN819" i="13" s="1"/>
  <c r="AK801" i="13"/>
  <c r="AK783" i="13"/>
  <c r="AN783" i="13" s="1"/>
  <c r="AK655" i="13"/>
  <c r="AN655" i="13" s="1"/>
  <c r="AK663" i="13"/>
  <c r="AN663" i="13" s="1"/>
  <c r="AK654" i="13"/>
  <c r="AK700" i="13"/>
  <c r="AN700" i="13" s="1"/>
  <c r="AK688" i="13"/>
  <c r="AK609" i="13"/>
  <c r="AN609" i="13" s="1"/>
  <c r="AK605" i="13"/>
  <c r="AK918" i="13"/>
  <c r="AN918" i="13" s="1"/>
  <c r="AK651" i="13"/>
  <c r="AN651" i="13" s="1"/>
  <c r="AK612" i="13"/>
  <c r="AN612" i="13" s="1"/>
  <c r="AK871" i="13"/>
  <c r="AN871" i="13" s="1"/>
  <c r="AK597" i="13"/>
  <c r="AN597" i="13" s="1"/>
  <c r="AK702" i="13"/>
  <c r="AN702" i="13" s="1"/>
  <c r="AK881" i="13"/>
  <c r="AN881" i="13" s="1"/>
  <c r="AK917" i="13"/>
  <c r="AN917" i="13" s="1"/>
  <c r="AK944" i="13"/>
  <c r="AN944" i="13" s="1"/>
  <c r="AK938" i="13"/>
  <c r="AN938" i="13" s="1"/>
  <c r="AK870" i="13"/>
  <c r="AN870" i="13" s="1"/>
  <c r="AK868" i="13"/>
  <c r="AN868" i="13" s="1"/>
  <c r="AK777" i="13"/>
  <c r="AK738" i="13"/>
  <c r="AK639" i="13"/>
  <c r="AN639" i="13" s="1"/>
  <c r="AK665" i="13"/>
  <c r="AN665" i="13" s="1"/>
  <c r="AK699" i="13"/>
  <c r="AK616" i="13"/>
  <c r="AN616" i="13" s="1"/>
  <c r="AK584" i="13"/>
  <c r="AN584" i="13" s="1"/>
  <c r="AK619" i="13"/>
  <c r="AK893" i="13"/>
  <c r="AK899" i="13"/>
  <c r="AN899" i="13" s="1"/>
  <c r="AK832" i="13"/>
  <c r="AN832" i="13" s="1"/>
  <c r="AK802" i="13"/>
  <c r="AN802" i="13" s="1"/>
  <c r="AK806" i="13"/>
  <c r="AN806" i="13" s="1"/>
  <c r="AK737" i="13"/>
  <c r="AN737" i="13" s="1"/>
  <c r="AK730" i="13"/>
  <c r="AN730" i="13" s="1"/>
  <c r="AK604" i="13"/>
  <c r="AN604" i="13" s="1"/>
  <c r="AK626" i="13"/>
  <c r="AN626" i="13" s="1"/>
  <c r="AK933" i="13"/>
  <c r="AK778" i="13"/>
  <c r="AN778" i="13" s="1"/>
  <c r="AK750" i="13"/>
  <c r="AN750" i="13" s="1"/>
  <c r="AK615" i="13"/>
  <c r="AK831" i="13"/>
  <c r="AN831" i="13" s="1"/>
  <c r="AK679" i="13"/>
  <c r="AN679" i="13" s="1"/>
  <c r="AK784" i="13"/>
  <c r="AK707" i="13"/>
  <c r="AN707" i="13" s="1"/>
  <c r="AK799" i="13"/>
  <c r="AN799" i="13" s="1"/>
  <c r="AK728" i="13"/>
  <c r="AN728" i="13" s="1"/>
  <c r="AK759" i="13"/>
  <c r="AK661" i="13"/>
  <c r="AN661" i="13" s="1"/>
  <c r="AK820" i="13"/>
  <c r="AK790" i="13"/>
  <c r="AN790" i="13" s="1"/>
  <c r="AK653" i="13"/>
  <c r="AN653" i="13" s="1"/>
  <c r="AK603" i="13"/>
  <c r="AN603" i="13" s="1"/>
  <c r="AK698" i="13"/>
  <c r="AK723" i="13"/>
  <c r="AN723" i="13" s="1"/>
  <c r="AK582" i="13"/>
  <c r="AK810" i="13"/>
  <c r="AN810" i="13" s="1"/>
  <c r="AK668" i="13"/>
  <c r="AN668" i="13" s="1"/>
  <c r="AK680" i="13"/>
  <c r="AN680" i="13" s="1"/>
  <c r="AK764" i="13"/>
  <c r="AN764" i="13" s="1"/>
  <c r="AK749" i="13"/>
  <c r="AN749" i="13" s="1"/>
  <c r="AK821" i="13"/>
  <c r="AK928" i="13"/>
  <c r="AN928" i="13" s="1"/>
  <c r="AK886" i="13"/>
  <c r="AN886" i="13" s="1"/>
  <c r="AK710" i="13"/>
  <c r="AN710" i="13" s="1"/>
  <c r="AK682" i="13"/>
  <c r="AK904" i="13"/>
  <c r="AN904" i="13" s="1"/>
  <c r="AK622" i="13"/>
  <c r="AK743" i="13"/>
  <c r="AN743" i="13" s="1"/>
  <c r="AK711" i="13"/>
  <c r="AN711" i="13" s="1"/>
  <c r="AK903" i="13"/>
  <c r="AN903" i="13" s="1"/>
  <c r="AK703" i="13"/>
  <c r="AN703" i="13" s="1"/>
  <c r="AK902" i="13"/>
  <c r="AN902" i="13" s="1"/>
  <c r="AK590" i="13"/>
  <c r="AN590" i="13" s="1"/>
  <c r="AK869" i="13"/>
  <c r="AN869" i="13" s="1"/>
  <c r="AK598" i="13"/>
  <c r="AN598" i="13" s="1"/>
  <c r="AK634" i="13"/>
  <c r="AK583" i="13"/>
  <c r="AN583" i="13" s="1"/>
  <c r="AK776" i="13"/>
  <c r="AK798" i="13"/>
  <c r="AK747" i="13"/>
  <c r="AK648" i="13"/>
  <c r="AN648" i="13" s="1"/>
  <c r="AK909" i="13"/>
  <c r="AN909" i="13" s="1"/>
  <c r="AK892" i="13"/>
  <c r="AK586" i="13"/>
  <c r="AN586" i="13" s="1"/>
  <c r="AK859" i="13"/>
  <c r="AN859" i="13" s="1"/>
  <c r="AK765" i="13"/>
  <c r="AK647" i="13"/>
  <c r="AK945" i="13"/>
  <c r="AN945" i="13" s="1"/>
  <c r="AK741" i="13"/>
  <c r="AN741" i="13" s="1"/>
  <c r="AK860" i="13"/>
  <c r="AN860" i="13" s="1"/>
  <c r="AK926" i="13"/>
  <c r="AN926" i="13" s="1"/>
  <c r="AK633" i="13"/>
  <c r="AN633" i="13" s="1"/>
  <c r="AK822" i="13"/>
  <c r="AN822" i="13" s="1"/>
  <c r="AK927" i="13"/>
  <c r="AN927" i="13" s="1"/>
  <c r="AK880" i="13"/>
  <c r="AN880" i="13" s="1"/>
  <c r="AK872" i="13"/>
  <c r="AK674" i="13"/>
  <c r="AN674" i="13" s="1"/>
  <c r="AK779" i="13"/>
  <c r="AN779" i="13" s="1"/>
  <c r="AK637" i="13"/>
  <c r="AK895" i="13"/>
  <c r="AN895" i="13" s="1"/>
  <c r="AK627" i="13"/>
  <c r="AN627" i="13" s="1"/>
  <c r="AK742" i="13"/>
  <c r="AN742" i="13" s="1"/>
  <c r="AK660" i="13"/>
  <c r="AN660" i="13" s="1"/>
  <c r="AK752" i="13"/>
  <c r="AK786" i="13"/>
  <c r="AK671" i="13"/>
  <c r="AN671" i="13" s="1"/>
  <c r="AK794" i="13"/>
  <c r="AK915" i="13"/>
  <c r="AN915" i="13" s="1"/>
  <c r="AK681" i="13"/>
  <c r="AN681" i="13" s="1"/>
  <c r="AK916" i="13"/>
  <c r="AN916" i="13" s="1"/>
  <c r="AK694" i="13"/>
  <c r="AK585" i="13"/>
  <c r="AN585" i="13" s="1"/>
  <c r="AK788" i="13"/>
  <c r="AN788" i="13" s="1"/>
  <c r="AK803" i="13"/>
  <c r="AN803" i="13" s="1"/>
  <c r="AK824" i="13"/>
  <c r="AN824" i="13" s="1"/>
  <c r="AK751" i="13"/>
  <c r="AK693" i="13"/>
  <c r="AN693" i="13" s="1"/>
  <c r="AK890" i="13"/>
  <c r="AN890" i="13" s="1"/>
  <c r="AK812" i="13"/>
  <c r="AN812" i="13" s="1"/>
  <c r="AK932" i="13"/>
  <c r="AN932" i="13" s="1"/>
  <c r="AK748" i="13"/>
  <c r="AN748" i="13" s="1"/>
  <c r="AK781" i="13"/>
  <c r="AN781" i="13" s="1"/>
  <c r="AK840" i="13"/>
  <c r="AN840" i="13" s="1"/>
  <c r="AK659" i="13"/>
  <c r="AN659" i="13" s="1"/>
  <c r="AK727" i="13"/>
  <c r="AK631" i="13"/>
  <c r="AN631" i="13" s="1"/>
  <c r="AK858" i="13"/>
  <c r="AN858" i="13" s="1"/>
  <c r="AK644" i="13"/>
  <c r="AN644" i="13" s="1"/>
  <c r="AK706" i="13"/>
  <c r="AN706" i="13" s="1"/>
  <c r="AK739" i="13"/>
  <c r="AN739" i="13" s="1"/>
  <c r="AK827" i="13"/>
  <c r="AN827" i="13" s="1"/>
  <c r="AK731" i="13"/>
  <c r="AN731" i="13" s="1"/>
  <c r="AK898" i="13"/>
  <c r="AK878" i="13"/>
  <c r="AK942" i="13"/>
  <c r="AN942" i="13" s="1"/>
  <c r="AK691" i="13"/>
  <c r="AN691" i="13" s="1"/>
  <c r="AK632" i="13"/>
  <c r="AN632" i="13" s="1"/>
  <c r="AK896" i="13"/>
  <c r="AN896" i="13" s="1"/>
  <c r="AK796" i="13"/>
  <c r="AN796" i="13" s="1"/>
  <c r="AK690" i="13"/>
  <c r="AN690" i="13" s="1"/>
  <c r="AK920" i="13"/>
  <c r="AK676" i="13"/>
  <c r="AN676" i="13" s="1"/>
  <c r="AK595" i="13"/>
  <c r="AN595" i="13" s="1"/>
  <c r="AK905" i="13"/>
  <c r="AN905" i="13" s="1"/>
  <c r="AK641" i="13"/>
  <c r="AN641" i="13" s="1"/>
  <c r="AK735" i="13"/>
  <c r="AN735" i="13" s="1"/>
  <c r="AK910" i="13"/>
  <c r="AK725" i="13"/>
  <c r="AN725" i="13" s="1"/>
  <c r="AK787" i="13"/>
  <c r="AN787" i="13" s="1"/>
  <c r="AK914" i="13"/>
  <c r="AN914" i="13" s="1"/>
  <c r="AK736" i="13"/>
  <c r="AK683" i="13"/>
  <c r="AN683" i="13" s="1"/>
  <c r="AK643" i="13"/>
  <c r="AN643" i="13" s="1"/>
  <c r="AK675" i="13"/>
  <c r="AN675" i="13" s="1"/>
  <c r="AK614" i="13"/>
  <c r="AK843" i="13"/>
  <c r="AN843" i="13" s="1"/>
  <c r="AK834" i="13"/>
  <c r="AN834" i="13" s="1"/>
  <c r="AK761" i="13"/>
  <c r="AN761" i="13" s="1"/>
  <c r="AK625" i="13"/>
  <c r="AN625" i="13" s="1"/>
  <c r="AK670" i="13"/>
  <c r="AK805" i="13"/>
  <c r="AN805" i="13" s="1"/>
  <c r="AK712" i="13"/>
  <c r="AN712" i="13" s="1"/>
  <c r="AK770" i="13"/>
  <c r="AK908" i="13"/>
  <c r="AN908" i="13" s="1"/>
  <c r="AK839" i="13"/>
  <c r="AN839" i="13" s="1"/>
  <c r="AK705" i="13"/>
  <c r="AK596" i="13"/>
  <c r="AN596" i="13" s="1"/>
  <c r="AK846" i="13"/>
  <c r="AN846" i="13" s="1"/>
  <c r="AK669" i="13"/>
  <c r="AN669" i="13" s="1"/>
  <c r="AK714" i="13"/>
  <c r="AN714" i="13" s="1"/>
  <c r="AK887" i="13"/>
  <c r="AN887" i="13" s="1"/>
  <c r="AK649" i="13"/>
  <c r="AN649" i="13" s="1"/>
  <c r="AK934" i="13"/>
  <c r="AN934" i="13" s="1"/>
  <c r="AK864" i="13"/>
  <c r="AN864" i="13" s="1"/>
  <c r="AK912" i="13"/>
  <c r="AN912" i="13" s="1"/>
  <c r="AK849" i="13"/>
  <c r="AN849" i="13" s="1"/>
  <c r="AK854" i="13"/>
  <c r="AN854" i="13" s="1"/>
  <c r="AK692" i="13"/>
  <c r="AN692" i="13" s="1"/>
  <c r="AK755" i="13"/>
  <c r="AK672" i="13"/>
  <c r="AN672" i="13" s="1"/>
  <c r="AK720" i="13"/>
  <c r="AN720" i="13" s="1"/>
  <c r="AK638" i="13"/>
  <c r="AN638" i="13" s="1"/>
  <c r="AK726" i="13"/>
  <c r="AN726" i="13" s="1"/>
  <c r="AK718" i="13"/>
  <c r="AK823" i="13"/>
  <c r="AN823" i="13" s="1"/>
  <c r="AK774" i="13"/>
  <c r="AN774" i="13" s="1"/>
  <c r="AK630" i="13"/>
  <c r="AN630" i="13" s="1"/>
  <c r="AK740" i="13"/>
  <c r="AN740" i="13" s="1"/>
  <c r="AK716" i="13"/>
  <c r="AN716" i="13" s="1"/>
  <c r="AK943" i="13"/>
  <c r="AN943" i="13" s="1"/>
  <c r="AK713" i="13"/>
  <c r="AN713" i="13" s="1"/>
  <c r="AK686" i="13"/>
  <c r="AN686" i="13" s="1"/>
  <c r="AK940" i="13"/>
  <c r="AN940" i="13" s="1"/>
  <c r="AK719" i="13"/>
  <c r="AN719" i="13" s="1"/>
  <c r="AK758" i="13"/>
  <c r="AK856" i="13"/>
  <c r="AN856" i="13" s="1"/>
  <c r="AK800" i="13"/>
  <c r="AK848" i="13"/>
  <c r="AN848" i="13" s="1"/>
  <c r="AK717" i="13"/>
  <c r="AK906" i="13"/>
  <c r="AN906" i="13" s="1"/>
  <c r="AK773" i="13"/>
  <c r="AN773" i="13" s="1"/>
  <c r="AK678" i="13"/>
  <c r="AN678" i="13" s="1"/>
  <c r="AK852" i="13"/>
  <c r="AN852" i="13" s="1"/>
  <c r="AK877" i="13"/>
  <c r="AN877" i="13" s="1"/>
  <c r="AK850" i="13"/>
  <c r="AN850" i="13" s="1"/>
  <c r="AK830" i="13"/>
  <c r="AN830" i="13" s="1"/>
  <c r="AK826" i="13"/>
  <c r="AN826" i="13" s="1"/>
  <c r="AK721" i="13"/>
  <c r="AN721" i="13" s="1"/>
  <c r="AK768" i="13"/>
  <c r="AN768" i="13" s="1"/>
  <c r="AK757" i="13"/>
  <c r="AN757" i="13" s="1"/>
  <c r="AK652" i="13"/>
  <c r="AN652" i="13" s="1"/>
  <c r="AK732" i="13"/>
  <c r="AN732" i="13" s="1"/>
  <c r="AK640" i="13"/>
  <c r="AN640" i="13" s="1"/>
  <c r="AK889" i="13"/>
  <c r="AN889" i="13" s="1"/>
  <c r="AK818" i="13"/>
  <c r="AN818" i="13" s="1"/>
  <c r="AK782" i="13"/>
  <c r="AN782" i="13" s="1"/>
  <c r="AK673" i="13"/>
  <c r="AN673" i="13" s="1"/>
  <c r="AK791" i="13"/>
  <c r="AN791" i="13" s="1"/>
  <c r="AK845" i="13"/>
  <c r="AN845" i="13" s="1"/>
  <c r="AK729" i="13"/>
  <c r="AK666" i="13"/>
  <c r="AK867" i="13"/>
  <c r="AN867" i="13" s="1"/>
  <c r="AK704" i="13"/>
  <c r="AN704" i="13" s="1"/>
  <c r="AK816" i="13"/>
  <c r="AN816" i="13" s="1"/>
  <c r="AK929" i="13"/>
  <c r="AN929" i="13" s="1"/>
  <c r="AK900" i="13"/>
  <c r="AN900" i="13" s="1"/>
  <c r="AK677" i="13"/>
  <c r="AN677" i="13" s="1"/>
  <c r="AK825" i="13"/>
  <c r="AN825" i="13" s="1"/>
  <c r="AK861" i="13"/>
  <c r="AN861" i="13" s="1"/>
  <c r="AK813" i="13"/>
  <c r="AN813" i="13" s="1"/>
  <c r="AK658" i="13"/>
  <c r="AN658" i="13" s="1"/>
  <c r="AK684" i="13"/>
  <c r="AN684" i="13" s="1"/>
  <c r="AK922" i="13"/>
  <c r="AN922" i="13" s="1"/>
  <c r="AK792" i="13"/>
  <c r="AN792" i="13" s="1"/>
  <c r="AK879" i="13"/>
  <c r="AN879" i="13" s="1"/>
  <c r="AK891" i="13"/>
  <c r="AN891" i="13" s="1"/>
  <c r="AK753" i="13"/>
  <c r="AK874" i="13"/>
  <c r="AN874" i="13" s="1"/>
  <c r="AK857" i="13"/>
  <c r="AN857" i="13" s="1"/>
  <c r="AK882" i="13"/>
  <c r="AN882" i="13" s="1"/>
  <c r="AK828" i="13"/>
  <c r="AN828" i="13" s="1"/>
  <c r="AK925" i="13"/>
  <c r="AN925" i="13" s="1"/>
  <c r="AK913" i="13"/>
  <c r="AN913" i="13" s="1"/>
  <c r="AK862" i="13"/>
  <c r="AN862" i="13" s="1"/>
  <c r="AK853" i="13"/>
  <c r="AN853" i="13" s="1"/>
  <c r="AK817" i="13"/>
  <c r="AN817" i="13" s="1"/>
  <c r="AK662" i="13"/>
  <c r="AN662" i="13" s="1"/>
  <c r="AK696" i="13"/>
  <c r="AN696" i="13" s="1"/>
  <c r="AK744" i="13"/>
  <c r="AN744" i="13" s="1"/>
  <c r="AK580" i="13"/>
  <c r="AN580" i="13" s="1"/>
  <c r="AK808" i="13"/>
  <c r="AN808" i="13" s="1"/>
  <c r="AK844" i="13"/>
  <c r="AN844" i="13" s="1"/>
  <c r="AK930" i="13"/>
  <c r="AK919" i="13"/>
  <c r="AN919" i="13" s="1"/>
  <c r="AK946" i="13"/>
  <c r="AN946" i="13" s="1"/>
  <c r="AK829" i="13"/>
  <c r="AN829" i="13" s="1"/>
  <c r="AK885" i="13"/>
  <c r="AK766" i="13"/>
  <c r="AN766" i="13" s="1"/>
  <c r="AK837" i="13"/>
  <c r="AN837" i="13" s="1"/>
  <c r="AK733" i="13"/>
  <c r="AN733" i="13" s="1"/>
  <c r="AK581" i="13"/>
  <c r="AN581" i="13" s="1"/>
  <c r="AK664" i="13"/>
  <c r="AN664" i="13" s="1"/>
  <c r="AK866" i="13"/>
  <c r="AN866" i="13" s="1"/>
  <c r="AK650" i="13"/>
  <c r="AN650" i="13" s="1"/>
  <c r="AK628" i="13"/>
  <c r="AK924" i="13"/>
  <c r="AN924" i="13" s="1"/>
  <c r="AK841" i="13"/>
  <c r="AN841" i="13" s="1"/>
  <c r="AK745" i="13"/>
  <c r="AN745" i="13" s="1"/>
  <c r="AK754" i="13"/>
  <c r="AK836" i="13"/>
  <c r="AN836" i="13" s="1"/>
  <c r="AK708" i="13"/>
  <c r="AN708" i="13" s="1"/>
  <c r="AK697" i="13"/>
  <c r="AN697" i="13" s="1"/>
  <c r="AK724" i="13"/>
  <c r="AN724" i="13" s="1"/>
  <c r="AK815" i="13"/>
  <c r="AN815" i="13" s="1"/>
  <c r="AK865" i="13"/>
  <c r="AN865" i="13" s="1"/>
  <c r="AK780" i="13"/>
  <c r="AN780" i="13" s="1"/>
  <c r="AK769" i="13"/>
  <c r="AN769" i="13" s="1"/>
  <c r="AK785" i="13"/>
  <c r="AN785" i="13" s="1"/>
  <c r="AK814" i="13"/>
  <c r="AN814" i="13" s="1"/>
  <c r="AK610" i="13"/>
  <c r="AN610" i="13" s="1"/>
  <c r="AK894" i="13"/>
  <c r="AN894" i="13" s="1"/>
  <c r="AK941" i="13"/>
  <c r="AN941" i="13" s="1"/>
  <c r="AK876" i="13"/>
  <c r="AK756" i="13"/>
  <c r="AN756" i="13" s="1"/>
  <c r="AK797" i="13"/>
  <c r="AN797" i="13" s="1"/>
  <c r="AK901" i="13"/>
  <c r="AN901" i="13" s="1"/>
  <c r="AK811" i="13"/>
  <c r="AN811" i="13" s="1"/>
  <c r="AK804" i="13"/>
  <c r="AN804" i="13" s="1"/>
  <c r="AK695" i="13"/>
  <c r="AN695" i="13" s="1"/>
  <c r="AK685" i="13"/>
  <c r="AN685" i="13" s="1"/>
  <c r="AK833" i="13"/>
  <c r="AN833" i="13" s="1"/>
  <c r="AK809" i="13"/>
  <c r="AN809" i="13" s="1"/>
  <c r="AK888" i="13"/>
  <c r="AN888" i="13" s="1"/>
  <c r="AK767" i="13"/>
  <c r="AN767" i="13" s="1"/>
  <c r="AK838" i="13"/>
  <c r="AN838" i="13" s="1"/>
  <c r="AK709" i="13"/>
  <c r="AN709" i="13" s="1"/>
  <c r="AK763" i="13"/>
  <c r="AK646" i="13"/>
  <c r="AN646" i="13" s="1"/>
  <c r="AK689" i="13"/>
  <c r="AN689" i="13" s="1"/>
  <c r="AK935" i="13"/>
  <c r="AN935" i="13" s="1"/>
  <c r="AK842" i="13"/>
  <c r="AN842" i="13" s="1"/>
  <c r="AK563" i="13"/>
  <c r="AN563" i="13" s="1"/>
  <c r="AK535" i="13"/>
  <c r="AN535" i="13" s="1"/>
  <c r="AK550" i="13"/>
  <c r="AK533" i="13"/>
  <c r="AN533" i="13" s="1"/>
  <c r="AK523" i="13"/>
  <c r="AN523" i="13" s="1"/>
  <c r="AK525" i="13"/>
  <c r="AN525" i="13" s="1"/>
  <c r="AK557" i="13"/>
  <c r="AN557" i="13" s="1"/>
  <c r="AK538" i="13"/>
  <c r="AN538" i="13" s="1"/>
  <c r="AK527" i="13"/>
  <c r="AN527" i="13" s="1"/>
  <c r="AK510" i="13"/>
  <c r="AN510" i="13" s="1"/>
  <c r="AK476" i="13"/>
  <c r="AN476" i="13" s="1"/>
  <c r="AK559" i="13"/>
  <c r="AN559" i="13" s="1"/>
  <c r="AK513" i="13"/>
  <c r="AN513" i="13" s="1"/>
  <c r="AK489" i="13"/>
  <c r="AN489" i="13" s="1"/>
  <c r="AK546" i="13"/>
  <c r="AK573" i="13"/>
  <c r="AN573" i="13" s="1"/>
  <c r="AK545" i="13"/>
  <c r="AN545" i="13" s="1"/>
  <c r="AK504" i="13"/>
  <c r="AN504" i="13" s="1"/>
  <c r="AK549" i="13"/>
  <c r="AN549" i="13" s="1"/>
  <c r="AK551" i="13"/>
  <c r="AN551" i="13" s="1"/>
  <c r="AK537" i="13"/>
  <c r="AN537" i="13" s="1"/>
  <c r="AK576" i="13"/>
  <c r="AN576" i="13" s="1"/>
  <c r="AK511" i="13"/>
  <c r="AN511" i="13" s="1"/>
  <c r="AK547" i="13"/>
  <c r="AK522" i="13"/>
  <c r="AK569" i="13"/>
  <c r="AN569" i="13" s="1"/>
  <c r="AK499" i="13"/>
  <c r="AK501" i="13"/>
  <c r="AN501" i="13" s="1"/>
  <c r="AK477" i="13"/>
  <c r="AN477" i="13" s="1"/>
  <c r="AK570" i="13"/>
  <c r="AN570" i="13" s="1"/>
  <c r="AK572" i="13"/>
  <c r="AN572" i="13" s="1"/>
  <c r="AK567" i="13"/>
  <c r="AN567" i="13" s="1"/>
  <c r="AK486" i="13"/>
  <c r="AK484" i="13"/>
  <c r="AK478" i="13"/>
  <c r="AN478" i="13" s="1"/>
  <c r="AK509" i="13"/>
  <c r="AN509" i="13" s="1"/>
  <c r="AK558" i="13"/>
  <c r="AN558" i="13" s="1"/>
  <c r="AK532" i="13"/>
  <c r="AN532" i="13" s="1"/>
  <c r="AK560" i="13"/>
  <c r="AK539" i="13"/>
  <c r="AN539" i="13" s="1"/>
  <c r="AK475" i="13"/>
  <c r="AN475" i="13" s="1"/>
  <c r="AK482" i="13"/>
  <c r="AK497" i="13"/>
  <c r="AK465" i="13"/>
  <c r="AK552" i="13"/>
  <c r="AN552" i="13" s="1"/>
  <c r="AK555" i="13"/>
  <c r="AN555" i="13" s="1"/>
  <c r="AK472" i="13"/>
  <c r="AN472" i="13" s="1"/>
  <c r="AK561" i="13"/>
  <c r="AN561" i="13" s="1"/>
  <c r="AK574" i="13"/>
  <c r="AN574" i="13" s="1"/>
  <c r="AK528" i="13"/>
  <c r="AK463" i="13"/>
  <c r="AN463" i="13" s="1"/>
  <c r="AK521" i="13"/>
  <c r="AK548" i="13"/>
  <c r="AN548" i="13" s="1"/>
  <c r="AK531" i="13"/>
  <c r="AK524" i="13"/>
  <c r="AN524" i="13" s="1"/>
  <c r="AK481" i="13"/>
  <c r="AN481" i="13" s="1"/>
  <c r="AK459" i="13"/>
  <c r="AN459" i="13" s="1"/>
  <c r="AK515" i="13"/>
  <c r="AK471" i="13"/>
  <c r="AK543" i="13"/>
  <c r="AN543" i="13" s="1"/>
  <c r="AK540" i="13"/>
  <c r="AN540" i="13" s="1"/>
  <c r="AK503" i="13"/>
  <c r="AN503" i="13" s="1"/>
  <c r="AK520" i="13"/>
  <c r="AN520" i="13" s="1"/>
  <c r="AK458" i="13"/>
  <c r="AN458" i="13" s="1"/>
  <c r="AK462" i="13"/>
  <c r="AN462" i="13" s="1"/>
  <c r="AK506" i="13"/>
  <c r="AN506" i="13" s="1"/>
  <c r="AK577" i="13"/>
  <c r="AN577" i="13" s="1"/>
  <c r="AK507" i="13"/>
  <c r="AN507" i="13" s="1"/>
  <c r="AK578" i="13"/>
  <c r="AN578" i="13" s="1"/>
  <c r="AK542" i="13"/>
  <c r="AN542" i="13" s="1"/>
  <c r="AK517" i="13"/>
  <c r="AN517" i="13" s="1"/>
  <c r="AK566" i="13"/>
  <c r="AN566" i="13" s="1"/>
  <c r="AK518" i="13"/>
  <c r="AN518" i="13" s="1"/>
  <c r="AK487" i="13"/>
  <c r="AN487" i="13" s="1"/>
  <c r="AK457" i="13"/>
  <c r="AK456" i="13"/>
  <c r="AK480" i="13"/>
  <c r="AN480" i="13" s="1"/>
  <c r="AK508" i="13"/>
  <c r="AK544" i="13"/>
  <c r="AN544" i="13" s="1"/>
  <c r="AK512" i="13"/>
  <c r="AN512" i="13" s="1"/>
  <c r="AK556" i="13"/>
  <c r="AN556" i="13" s="1"/>
  <c r="AK474" i="13"/>
  <c r="AN474" i="13" s="1"/>
  <c r="AK519" i="13"/>
  <c r="AN519" i="13" s="1"/>
  <c r="AK565" i="13"/>
  <c r="AN565" i="13" s="1"/>
  <c r="AK564" i="13"/>
  <c r="AN564" i="13" s="1"/>
  <c r="AK483" i="13"/>
  <c r="AN483" i="13" s="1"/>
  <c r="AK571" i="13"/>
  <c r="AN571" i="13" s="1"/>
  <c r="AK491" i="13"/>
  <c r="AK492" i="13"/>
  <c r="AN492" i="13" s="1"/>
  <c r="AK488" i="13"/>
  <c r="AN488" i="13" s="1"/>
  <c r="AK469" i="13"/>
  <c r="AN469" i="13" s="1"/>
  <c r="AK562" i="13"/>
  <c r="AN562" i="13" s="1"/>
  <c r="AK485" i="13"/>
  <c r="AN485" i="13" s="1"/>
  <c r="AK500" i="13"/>
  <c r="AN500" i="13" s="1"/>
  <c r="AK529" i="13"/>
  <c r="AN529" i="13" s="1"/>
  <c r="AK534" i="13"/>
  <c r="AN534" i="13" s="1"/>
  <c r="AK490" i="13"/>
  <c r="AN490" i="13" s="1"/>
  <c r="AK554" i="13"/>
  <c r="AN554" i="13" s="1"/>
  <c r="AK493" i="13"/>
  <c r="AN493" i="13" s="1"/>
  <c r="AK479" i="13"/>
  <c r="AN479" i="13" s="1"/>
  <c r="AK498" i="13"/>
  <c r="AN498" i="13" s="1"/>
  <c r="AK473" i="13"/>
  <c r="AN473" i="13" s="1"/>
  <c r="AK470" i="13"/>
  <c r="AN470" i="13" s="1"/>
  <c r="AK502" i="13"/>
  <c r="AN502" i="13" s="1"/>
  <c r="AK467" i="13"/>
  <c r="AN467" i="13" s="1"/>
  <c r="AK495" i="13"/>
  <c r="AN495" i="13" s="1"/>
  <c r="AK553" i="13"/>
  <c r="AN553" i="13" s="1"/>
  <c r="AK514" i="13"/>
  <c r="AN514" i="13" s="1"/>
  <c r="AK516" i="13"/>
  <c r="AN516" i="13" s="1"/>
  <c r="AK526" i="13"/>
  <c r="AN526" i="13" s="1"/>
  <c r="AK466" i="13"/>
  <c r="AN466" i="13" s="1"/>
  <c r="AK464" i="13"/>
  <c r="AN464" i="13" s="1"/>
  <c r="AK579" i="13"/>
  <c r="AN579" i="13" s="1"/>
  <c r="AK541" i="13"/>
  <c r="AN541" i="13" s="1"/>
  <c r="AK460" i="13"/>
  <c r="AN460" i="13" s="1"/>
  <c r="AK536" i="13"/>
  <c r="AN536" i="13" s="1"/>
  <c r="AK468" i="13"/>
  <c r="AK568" i="13"/>
  <c r="AN568" i="13" s="1"/>
  <c r="AK461" i="13"/>
  <c r="AN461" i="13" s="1"/>
  <c r="AK496" i="13"/>
  <c r="AN496" i="13" s="1"/>
  <c r="AK575" i="13"/>
  <c r="AN575" i="13" s="1"/>
  <c r="AK494" i="13"/>
  <c r="AN494" i="13" s="1"/>
  <c r="AK505" i="13"/>
  <c r="AN505" i="13" s="1"/>
  <c r="AK530" i="13"/>
  <c r="AN530" i="13" s="1"/>
  <c r="AN560" i="13"/>
  <c r="AN456" i="13"/>
  <c r="AN468" i="13"/>
  <c r="AN508" i="13"/>
  <c r="AN602" i="13"/>
  <c r="AN755" i="13"/>
  <c r="AN939" i="13"/>
  <c r="AN770" i="13"/>
  <c r="AN930" i="13"/>
  <c r="AN694" i="13"/>
  <c r="AN618" i="13"/>
  <c r="AN654" i="13"/>
  <c r="AN736" i="13"/>
  <c r="AN751" i="13"/>
  <c r="AN699" i="13"/>
  <c r="AN794" i="13"/>
  <c r="AN821" i="13"/>
  <c r="AN666" i="13"/>
  <c r="AN600" i="13"/>
  <c r="AN872" i="13"/>
  <c r="AN936" i="13"/>
  <c r="AN617" i="13"/>
  <c r="AN688" i="13"/>
  <c r="AN920" i="13"/>
  <c r="AN656" i="13"/>
  <c r="AN729" i="13"/>
  <c r="AN754" i="13"/>
  <c r="AN892" i="13"/>
  <c r="AN786" i="13"/>
  <c r="AN698" i="13"/>
  <c r="AN705" i="13"/>
  <c r="AN897" i="13"/>
  <c r="AN619" i="13"/>
  <c r="AN592" i="13"/>
  <c r="AN753" i="13"/>
  <c r="AN893" i="13"/>
  <c r="AN484" i="13"/>
  <c r="AN550" i="13"/>
  <c r="AN547" i="13"/>
  <c r="AN515" i="13"/>
  <c r="AN521" i="13"/>
  <c r="AN531" i="13"/>
  <c r="AN876" i="13"/>
  <c r="AN588" i="13"/>
  <c r="AN613" i="13"/>
  <c r="AN746" i="13"/>
  <c r="AN634" i="13"/>
  <c r="AN800" i="13"/>
  <c r="AN752" i="13"/>
  <c r="AN747" i="13"/>
  <c r="AN910" i="13"/>
  <c r="AN923" i="13"/>
  <c r="AN777" i="13"/>
  <c r="AN883" i="13"/>
  <c r="AN635" i="13"/>
  <c r="AN885" i="13"/>
  <c r="AN878" i="13"/>
  <c r="AN623" i="13"/>
  <c r="AN593" i="13"/>
  <c r="AN759" i="13"/>
  <c r="AN820" i="13"/>
  <c r="AN582" i="13"/>
  <c r="AN615" i="13"/>
  <c r="AN628" i="13"/>
  <c r="AN614" i="13"/>
  <c r="AN738" i="13"/>
  <c r="AN647" i="13"/>
  <c r="J27" i="19"/>
  <c r="AN624" i="13"/>
  <c r="AN482" i="13"/>
  <c r="AN546" i="13"/>
  <c r="AN522" i="13"/>
  <c r="AN528" i="13"/>
  <c r="AN471" i="13"/>
  <c r="AN486" i="13"/>
  <c r="AN499" i="13"/>
  <c r="AN465" i="13"/>
  <c r="AN457" i="13"/>
  <c r="AN497" i="13"/>
  <c r="AN491" i="13"/>
  <c r="AN589" i="13"/>
  <c r="AN629" i="13"/>
  <c r="AN847" i="13"/>
  <c r="AN606" i="13"/>
  <c r="AN670" i="13"/>
  <c r="AN682" i="13"/>
  <c r="AN637" i="13"/>
  <c r="AN784" i="13"/>
  <c r="AN898" i="13"/>
  <c r="AN855" i="13"/>
  <c r="AN798" i="13"/>
  <c r="AN605" i="13"/>
  <c r="AN776" i="13"/>
  <c r="AN717" i="13"/>
  <c r="AN801" i="13"/>
  <c r="AN622" i="13"/>
  <c r="AN771" i="13"/>
  <c r="AN758" i="13"/>
  <c r="AN933" i="13"/>
  <c r="AN734" i="13"/>
  <c r="AN765" i="13"/>
  <c r="AN718" i="13"/>
  <c r="AN763" i="13"/>
  <c r="AN727" i="13"/>
  <c r="AN772" i="13"/>
  <c r="AE455" i="13"/>
  <c r="AE89" i="13"/>
  <c r="AE423" i="13"/>
  <c r="AE129" i="13"/>
  <c r="AE301" i="13"/>
  <c r="AE336" i="13"/>
  <c r="AE440" i="13"/>
  <c r="AE22" i="13"/>
  <c r="AE107" i="13"/>
  <c r="AE233" i="13"/>
  <c r="AE303" i="13"/>
  <c r="AE434" i="13"/>
  <c r="AE10" i="13"/>
  <c r="AE58" i="13"/>
  <c r="AE322" i="13"/>
  <c r="AE383" i="13"/>
  <c r="AE445" i="13"/>
  <c r="AE164" i="13"/>
  <c r="AE255" i="13"/>
  <c r="AE295" i="13"/>
  <c r="AE399" i="13"/>
  <c r="AE216" i="13"/>
  <c r="AE60" i="13"/>
  <c r="AE130" i="13"/>
  <c r="AE208" i="13"/>
  <c r="AE342" i="13"/>
  <c r="AE59" i="13"/>
  <c r="AE21" i="13"/>
  <c r="AE102" i="13"/>
  <c r="AE386" i="13"/>
  <c r="AE67" i="13"/>
  <c r="AE9" i="13"/>
  <c r="AE95" i="13"/>
  <c r="AE296" i="13"/>
  <c r="AE377" i="13"/>
  <c r="AE429" i="13"/>
  <c r="AE317" i="13"/>
  <c r="AE305" i="13"/>
  <c r="AE339" i="13"/>
  <c r="AE448" i="13"/>
  <c r="AE28" i="13"/>
  <c r="AE114" i="13"/>
  <c r="AE190" i="13"/>
  <c r="AE235" i="13"/>
  <c r="AE376" i="13"/>
  <c r="AE442" i="13"/>
  <c r="AE12" i="13"/>
  <c r="AE135" i="13"/>
  <c r="AE276" i="13"/>
  <c r="AE330" i="13"/>
  <c r="AE454" i="13"/>
  <c r="AE359" i="13"/>
  <c r="AE88" i="13"/>
  <c r="AE166" i="13"/>
  <c r="AE257" i="13"/>
  <c r="AE306" i="13"/>
  <c r="AE411" i="13"/>
  <c r="AE256" i="13"/>
  <c r="AE65" i="13"/>
  <c r="AE141" i="13"/>
  <c r="AE210" i="13"/>
  <c r="AE125" i="13"/>
  <c r="AE23" i="13"/>
  <c r="AE119" i="13"/>
  <c r="AE228" i="13"/>
  <c r="AE294" i="13"/>
  <c r="AE388" i="13"/>
  <c r="AE156" i="13"/>
  <c r="AE43" i="13"/>
  <c r="AE167" i="13"/>
  <c r="AE230" i="13"/>
  <c r="AE309" i="13"/>
  <c r="AE382" i="13"/>
  <c r="AE435" i="13"/>
  <c r="AE252" i="13"/>
  <c r="AE363" i="13"/>
  <c r="AE52" i="13"/>
  <c r="AE142" i="13"/>
  <c r="AE231" i="13"/>
  <c r="AE313" i="13"/>
  <c r="AE349" i="13"/>
  <c r="AE452" i="13"/>
  <c r="AE131" i="13"/>
  <c r="AE237" i="13"/>
  <c r="AE387" i="13"/>
  <c r="AE70" i="13"/>
  <c r="AE18" i="13"/>
  <c r="AE77" i="13"/>
  <c r="AE148" i="13"/>
  <c r="AE217" i="13"/>
  <c r="AE338" i="13"/>
  <c r="AE394" i="13"/>
  <c r="AE61" i="13"/>
  <c r="AE390" i="13"/>
  <c r="AE100" i="13"/>
  <c r="AE168" i="13"/>
  <c r="AE415" i="13"/>
  <c r="AE273" i="13"/>
  <c r="AE82" i="13"/>
  <c r="AE154" i="13"/>
  <c r="AE214" i="13"/>
  <c r="AE372" i="13"/>
  <c r="AE149" i="13"/>
  <c r="AE27" i="13"/>
  <c r="AE126" i="13"/>
  <c r="AE189" i="13"/>
  <c r="AE238" i="13"/>
  <c r="AE304" i="13"/>
  <c r="AE187" i="13"/>
  <c r="AE45" i="13"/>
  <c r="AE112" i="13"/>
  <c r="AE173" i="13"/>
  <c r="AE234" i="13"/>
  <c r="AE393" i="13"/>
  <c r="AE311" i="13"/>
  <c r="AE371" i="13"/>
  <c r="AE78" i="13"/>
  <c r="AE153" i="13"/>
  <c r="AE245" i="13"/>
  <c r="AE354" i="13"/>
  <c r="AE50" i="13"/>
  <c r="AE138" i="13"/>
  <c r="AE199" i="13"/>
  <c r="AE241" i="13"/>
  <c r="AE341" i="13"/>
  <c r="AE389" i="13"/>
  <c r="AE165" i="13"/>
  <c r="AE24" i="13"/>
  <c r="AE85" i="13"/>
  <c r="AE226" i="13"/>
  <c r="AE282" i="13"/>
  <c r="AE101" i="13"/>
  <c r="AE36" i="13"/>
  <c r="AE113" i="13"/>
  <c r="AE180" i="13"/>
  <c r="AE266" i="13"/>
  <c r="AE332" i="13"/>
  <c r="AE430" i="13"/>
  <c r="AE209" i="13"/>
  <c r="AE29" i="13"/>
  <c r="AE143" i="13"/>
  <c r="AE191" i="13"/>
  <c r="AE323" i="13"/>
  <c r="AE433" i="13"/>
  <c r="AE213" i="13"/>
  <c r="AE123" i="13"/>
  <c r="AE177" i="13"/>
  <c r="AE327" i="13"/>
  <c r="AE406" i="13"/>
  <c r="AE446" i="13"/>
  <c r="AE384" i="13"/>
  <c r="AE83" i="13"/>
  <c r="AE357" i="13"/>
  <c r="AE39" i="13"/>
  <c r="AE64" i="13"/>
  <c r="AE155" i="13"/>
  <c r="AE201" i="13"/>
  <c r="AE343" i="13"/>
  <c r="AE402" i="13"/>
  <c r="AE181" i="13"/>
  <c r="AE30" i="13"/>
  <c r="AE94" i="13"/>
  <c r="AE159" i="13"/>
  <c r="AE291" i="13"/>
  <c r="AE356" i="13"/>
  <c r="AE405" i="13"/>
  <c r="AE132" i="13"/>
  <c r="AE40" i="13"/>
  <c r="AE120" i="13"/>
  <c r="AE186" i="13"/>
  <c r="AE274" i="13"/>
  <c r="AE348" i="13"/>
  <c r="AE6" i="13"/>
  <c r="AE96" i="13"/>
  <c r="AE174" i="13"/>
  <c r="AE232" i="13"/>
  <c r="AE439" i="13"/>
  <c r="AE277" i="13"/>
  <c r="AE35" i="13"/>
  <c r="AE150" i="13"/>
  <c r="AE202" i="13"/>
  <c r="AE253" i="13"/>
  <c r="AE329" i="13"/>
  <c r="AE437" i="13"/>
  <c r="AE63" i="13"/>
  <c r="AE136" i="13"/>
  <c r="AE183" i="13"/>
  <c r="AE250" i="13"/>
  <c r="AE337" i="13"/>
  <c r="AE410" i="13"/>
  <c r="AE34" i="13"/>
  <c r="AE400" i="13"/>
  <c r="AE193" i="13"/>
  <c r="AE293" i="13"/>
  <c r="AE347" i="13"/>
  <c r="AE72" i="13"/>
  <c r="AE215" i="13"/>
  <c r="AE425" i="13"/>
  <c r="AE365" i="13"/>
  <c r="AE46" i="13"/>
  <c r="AE111" i="13"/>
  <c r="AE184" i="13"/>
  <c r="AE251" i="13"/>
  <c r="AE316" i="13"/>
  <c r="AE368" i="13"/>
  <c r="AE227" i="13"/>
  <c r="AE144" i="13"/>
  <c r="AE287" i="13"/>
  <c r="AE366" i="13"/>
  <c r="AE108" i="13"/>
  <c r="AE117" i="13"/>
  <c r="AE302" i="13"/>
  <c r="AE449" i="13"/>
  <c r="AE15" i="13"/>
  <c r="AE53" i="13"/>
  <c r="AE267" i="13"/>
  <c r="AE344" i="13"/>
  <c r="AE443" i="13"/>
  <c r="AE76" i="13"/>
  <c r="AE195" i="13"/>
  <c r="AE281" i="13"/>
  <c r="AE369" i="13"/>
  <c r="AE421" i="13"/>
  <c r="AE395" i="13"/>
  <c r="AE324" i="13"/>
  <c r="AE162" i="13"/>
  <c r="AE178" i="13"/>
  <c r="AE422" i="13"/>
  <c r="AE192" i="13"/>
  <c r="AE33" i="13"/>
  <c r="AE447" i="13"/>
  <c r="AE206" i="13"/>
  <c r="AE283" i="13"/>
  <c r="AE260" i="13"/>
  <c r="AE416" i="13"/>
  <c r="AE331" i="13"/>
  <c r="AE172" i="13"/>
  <c r="AE196" i="13"/>
  <c r="AE428" i="13"/>
  <c r="AE244" i="13"/>
  <c r="AE51" i="13"/>
  <c r="AE451" i="13"/>
  <c r="AE220" i="13"/>
  <c r="AE380" i="13"/>
  <c r="AE288" i="13"/>
  <c r="AE413" i="13"/>
  <c r="AE361" i="13"/>
  <c r="AE205" i="13"/>
  <c r="AE243" i="13"/>
  <c r="AE249" i="13"/>
  <c r="AE284" i="13"/>
  <c r="AE106" i="13"/>
  <c r="AE11" i="13"/>
  <c r="AE262" i="13"/>
  <c r="AE73" i="13"/>
  <c r="AE355" i="13"/>
  <c r="AE325" i="13"/>
  <c r="AE118" i="13"/>
  <c r="AE412" i="13"/>
  <c r="AE219" i="13"/>
  <c r="AE431" i="13"/>
  <c r="AE275" i="13"/>
  <c r="AE289" i="13"/>
  <c r="AE17" i="13"/>
  <c r="AE375" i="13"/>
  <c r="AE268" i="13"/>
  <c r="AE312" i="13"/>
  <c r="AE54" i="13"/>
  <c r="AE362" i="13"/>
  <c r="AE38" i="13"/>
  <c r="AE335" i="13"/>
  <c r="AE147" i="13"/>
  <c r="AE223" i="13"/>
  <c r="AE16" i="13"/>
  <c r="AE279" i="13"/>
  <c r="AE320" i="13"/>
  <c r="AE71" i="13"/>
  <c r="AE381" i="13"/>
  <c r="AE198" i="13"/>
  <c r="AE57" i="13"/>
  <c r="AE353" i="13"/>
  <c r="AE160" i="13"/>
  <c r="AE427" i="13"/>
  <c r="AE261" i="13"/>
  <c r="AE66" i="13"/>
  <c r="AE97" i="13"/>
  <c r="AE360" i="13"/>
  <c r="AE137" i="13"/>
  <c r="AE37" i="13"/>
  <c r="AE298" i="13"/>
  <c r="AE441" i="13"/>
  <c r="AE185" i="13"/>
  <c r="AE299" i="13"/>
  <c r="AE91" i="13"/>
  <c r="AE370" i="13"/>
  <c r="AE124" i="13"/>
  <c r="AE374" i="13"/>
  <c r="AE161" i="13"/>
  <c r="AE340" i="13"/>
  <c r="AE171" i="13"/>
  <c r="AE197" i="13"/>
  <c r="AE438" i="13"/>
  <c r="AE239" i="13"/>
  <c r="AE352" i="13"/>
  <c r="AE403" i="13"/>
  <c r="AE25" i="13"/>
  <c r="AE271" i="13"/>
  <c r="AE290" i="13"/>
  <c r="AE265" i="13"/>
  <c r="AE204" i="13"/>
  <c r="AE13" i="13"/>
  <c r="AE450" i="13"/>
  <c r="AE47" i="13"/>
  <c r="AE7" i="13"/>
  <c r="AE75" i="13"/>
  <c r="AE246" i="13"/>
  <c r="AE49" i="13"/>
  <c r="AE179" i="13"/>
  <c r="AE229" i="13"/>
  <c r="AE254" i="13"/>
  <c r="AE26" i="13"/>
  <c r="AE116" i="13"/>
  <c r="AE326" i="13"/>
  <c r="AE408" i="13"/>
  <c r="AE103" i="13"/>
  <c r="AE308" i="13"/>
  <c r="AE350" i="13"/>
  <c r="AE444" i="13"/>
  <c r="AE263" i="13"/>
  <c r="AE264" i="13"/>
  <c r="AE432" i="13"/>
  <c r="AE300" i="13"/>
  <c r="AE134" i="13"/>
  <c r="AE333" i="13"/>
  <c r="AE151" i="13"/>
  <c r="AE146" i="13"/>
  <c r="AE92" i="13"/>
  <c r="AE80" i="13"/>
  <c r="AE158" i="13"/>
  <c r="AE207" i="13"/>
  <c r="AE104" i="13"/>
  <c r="AE345" i="13"/>
  <c r="AE278" i="13"/>
  <c r="AE297" i="13"/>
  <c r="AE392" i="13"/>
  <c r="AE56" i="13"/>
  <c r="AE157" i="13"/>
  <c r="AE409" i="13"/>
  <c r="AE240" i="13"/>
  <c r="AE110" i="13"/>
  <c r="AE259" i="13"/>
  <c r="AE41" i="13"/>
  <c r="AE62" i="13"/>
  <c r="AE169" i="13"/>
  <c r="AE55" i="13"/>
  <c r="AE222" i="13"/>
  <c r="AE292" i="13"/>
  <c r="AE99" i="13"/>
  <c r="AE74" i="13"/>
  <c r="AE321" i="13"/>
  <c r="AE133" i="13"/>
  <c r="AE258" i="13"/>
  <c r="AE328" i="13"/>
  <c r="AE373" i="13"/>
  <c r="AE414" i="13"/>
  <c r="AE109" i="13"/>
  <c r="AE358" i="13"/>
  <c r="AE86" i="13"/>
  <c r="AE404" i="13"/>
  <c r="AE224" i="13"/>
  <c r="AE152" i="13"/>
  <c r="AE122" i="13"/>
  <c r="AE127" i="13"/>
  <c r="AE170" i="13"/>
  <c r="AE280" i="13"/>
  <c r="AE115" i="13"/>
  <c r="AE367" i="13"/>
  <c r="AE211" i="13"/>
  <c r="AE319" i="13"/>
  <c r="AE218" i="13"/>
  <c r="AE68" i="13"/>
  <c r="AE270" i="13"/>
  <c r="AE87" i="13"/>
  <c r="AE69" i="13"/>
  <c r="AE200" i="13"/>
  <c r="AE128" i="13"/>
  <c r="AE42" i="13"/>
  <c r="AE286" i="13"/>
  <c r="AE364" i="13"/>
  <c r="AE436" i="13"/>
  <c r="AE453" i="13"/>
  <c r="AE334" i="13"/>
  <c r="AE212" i="13"/>
  <c r="AE420" i="13"/>
  <c r="AE79" i="13"/>
  <c r="AE105" i="13"/>
  <c r="AE242" i="13"/>
  <c r="AE90" i="13"/>
  <c r="AE84" i="13"/>
  <c r="AE236" i="13"/>
  <c r="AE31" i="13"/>
  <c r="AE314" i="13"/>
  <c r="AE269" i="13"/>
  <c r="AE419" i="13"/>
  <c r="AE175" i="13"/>
  <c r="AE346" i="13"/>
  <c r="AE401" i="13"/>
  <c r="AE396" i="13"/>
  <c r="AE310" i="13"/>
  <c r="AE8" i="13"/>
  <c r="AE385" i="13"/>
  <c r="AE407" i="13"/>
  <c r="AE98" i="13"/>
  <c r="AE203" i="13"/>
  <c r="AE140" i="13"/>
  <c r="AE163" i="13"/>
  <c r="AE397" i="13"/>
  <c r="AE351" i="13"/>
  <c r="AE379" i="13"/>
  <c r="AE285" i="13"/>
  <c r="AE221" i="13"/>
  <c r="AE398" i="13"/>
  <c r="AE188" i="13"/>
  <c r="AE248" i="13"/>
  <c r="AE418" i="13"/>
  <c r="AE391" i="13"/>
  <c r="AE424" i="13"/>
  <c r="AE315" i="13"/>
  <c r="AE32" i="13"/>
  <c r="AE426" i="13"/>
  <c r="AE48" i="13"/>
  <c r="AE81" i="13"/>
  <c r="AE247" i="13"/>
  <c r="AE19" i="13"/>
  <c r="AE14" i="13"/>
  <c r="AE194" i="13"/>
  <c r="AE182" i="13"/>
  <c r="AE176" i="13"/>
  <c r="AE417" i="13"/>
  <c r="AE93" i="13"/>
  <c r="AE225" i="13"/>
  <c r="AE378" i="13"/>
  <c r="AE318" i="13"/>
  <c r="AE272" i="13"/>
  <c r="AE145" i="13"/>
  <c r="AE139" i="13"/>
  <c r="AE121" i="13"/>
  <c r="AE20" i="13"/>
  <c r="AE307" i="13"/>
  <c r="AE44" i="13"/>
  <c r="AK450" i="13"/>
  <c r="AK363" i="13"/>
  <c r="AK225" i="13"/>
  <c r="AK173" i="13"/>
  <c r="AK371" i="13"/>
  <c r="AK125" i="13"/>
  <c r="AK211" i="13"/>
  <c r="AK254" i="13"/>
  <c r="AK311" i="13"/>
  <c r="AK83" i="13"/>
  <c r="AK176" i="13"/>
  <c r="AK222" i="13"/>
  <c r="AK280" i="13"/>
  <c r="AK161" i="13"/>
  <c r="AK214" i="13"/>
  <c r="AK119" i="13"/>
  <c r="AK24" i="13"/>
  <c r="AK25" i="13"/>
  <c r="AK33" i="13"/>
  <c r="AK57" i="13"/>
  <c r="AK64" i="13"/>
  <c r="AK84" i="13"/>
  <c r="AK121" i="13"/>
  <c r="AK157" i="13"/>
  <c r="AK236" i="13"/>
  <c r="AK221" i="13"/>
  <c r="AK209" i="13"/>
  <c r="AK308" i="13"/>
  <c r="AK441" i="13"/>
  <c r="AK136" i="13"/>
  <c r="AK228" i="13"/>
  <c r="AK307" i="13"/>
  <c r="AK74" i="13"/>
  <c r="AK213" i="13"/>
  <c r="AK387" i="13"/>
  <c r="AK370" i="13"/>
  <c r="AK182" i="13"/>
  <c r="AK106" i="13"/>
  <c r="AK137" i="13"/>
  <c r="AK355" i="13"/>
  <c r="AK130" i="13"/>
  <c r="AK50" i="13"/>
  <c r="AK37" i="13"/>
  <c r="AK66" i="13"/>
  <c r="AK193" i="13"/>
  <c r="AK245" i="13"/>
  <c r="AK17" i="13"/>
  <c r="AK65" i="13"/>
  <c r="AK192" i="13"/>
  <c r="AK35" i="13"/>
  <c r="AK190" i="13"/>
  <c r="AK232" i="13"/>
  <c r="AK127" i="13"/>
  <c r="AK53" i="13"/>
  <c r="AK126" i="13"/>
  <c r="AK150" i="13"/>
  <c r="AK181" i="13"/>
  <c r="AK278" i="13"/>
  <c r="AK43" i="13"/>
  <c r="AK197" i="13"/>
  <c r="AK317" i="13"/>
  <c r="AK277" i="13"/>
  <c r="AK261" i="13"/>
  <c r="AK326" i="13"/>
  <c r="AK411" i="13"/>
  <c r="AK314" i="13"/>
  <c r="AK437" i="13"/>
  <c r="AK6" i="13"/>
  <c r="AK30" i="13"/>
  <c r="AK41" i="13"/>
  <c r="AK28" i="13"/>
  <c r="AK7" i="13"/>
  <c r="AK46" i="13"/>
  <c r="AK262" i="13"/>
  <c r="AK301" i="13"/>
  <c r="AK296" i="13"/>
  <c r="AK320" i="13"/>
  <c r="AK302" i="13"/>
  <c r="AK348" i="13"/>
  <c r="AK332" i="13"/>
  <c r="AK338" i="13"/>
  <c r="AK313" i="13"/>
  <c r="AK319" i="13"/>
  <c r="AK455" i="13"/>
  <c r="AK149" i="13"/>
  <c r="AK339" i="13"/>
  <c r="AK400" i="13"/>
  <c r="AK375" i="13"/>
  <c r="AK85" i="13"/>
  <c r="AK170" i="13"/>
  <c r="AK215" i="13"/>
  <c r="AK383" i="13"/>
  <c r="AK244" i="13"/>
  <c r="AK51" i="13"/>
  <c r="AK242" i="13"/>
  <c r="AK131" i="13"/>
  <c r="AK148" i="13"/>
  <c r="AK107" i="13"/>
  <c r="AK55" i="13"/>
  <c r="AK49" i="13"/>
  <c r="AK13" i="13"/>
  <c r="AK40" i="13"/>
  <c r="AK97" i="13"/>
  <c r="AK198" i="13"/>
  <c r="AK36" i="13"/>
  <c r="AK185" i="13"/>
  <c r="AK250" i="13"/>
  <c r="AK321" i="13"/>
  <c r="AK256" i="13"/>
  <c r="AK239" i="13"/>
  <c r="AK438" i="13"/>
  <c r="AK264" i="13"/>
  <c r="AK155" i="13"/>
  <c r="AK118" i="13"/>
  <c r="AK12" i="13"/>
  <c r="AK47" i="13"/>
  <c r="AK42" i="13"/>
  <c r="AK169" i="13"/>
  <c r="AK199" i="13"/>
  <c r="AK23" i="13"/>
  <c r="AK208" i="13"/>
  <c r="AK139" i="13"/>
  <c r="AK179" i="13"/>
  <c r="AK103" i="13"/>
  <c r="AK235" i="13"/>
  <c r="AK227" i="13"/>
  <c r="AK112" i="13"/>
  <c r="AK325" i="13"/>
  <c r="AK382" i="13"/>
  <c r="AK167" i="13"/>
  <c r="AK275" i="13"/>
  <c r="AK367" i="13"/>
  <c r="AK423" i="13"/>
  <c r="AK68" i="13"/>
  <c r="AK229" i="13"/>
  <c r="AK44" i="13"/>
  <c r="AK184" i="13"/>
  <c r="AK166" i="13"/>
  <c r="AK212" i="13"/>
  <c r="AK340" i="13"/>
  <c r="AK154" i="13"/>
  <c r="AK113" i="13"/>
  <c r="AK78" i="13"/>
  <c r="AK31" i="13"/>
  <c r="AK56" i="13"/>
  <c r="AK72" i="13"/>
  <c r="AK11" i="13"/>
  <c r="AK96" i="13"/>
  <c r="AK226" i="13"/>
  <c r="AK115" i="13"/>
  <c r="AK151" i="13"/>
  <c r="AK163" i="13"/>
  <c r="AK205" i="13"/>
  <c r="AK240" i="13"/>
  <c r="AK251" i="13"/>
  <c r="AK282" i="13"/>
  <c r="AK283" i="13"/>
  <c r="AK263" i="13"/>
  <c r="AK337" i="13"/>
  <c r="AK328" i="13"/>
  <c r="AK342" i="13"/>
  <c r="AK327" i="13"/>
  <c r="AK384" i="13"/>
  <c r="AK312" i="13"/>
  <c r="AK416" i="13"/>
  <c r="AK143" i="13"/>
  <c r="AK22" i="13"/>
  <c r="AK294" i="13"/>
  <c r="AK101" i="13"/>
  <c r="AK120" i="13"/>
  <c r="AK175" i="13"/>
  <c r="AK310" i="13"/>
  <c r="AK269" i="13"/>
  <c r="AK344" i="13"/>
  <c r="AK351" i="13"/>
  <c r="AK430" i="13"/>
  <c r="AK409" i="13"/>
  <c r="AK381" i="13"/>
  <c r="AK434" i="13"/>
  <c r="AK366" i="13"/>
  <c r="AK389" i="13"/>
  <c r="AK417" i="13"/>
  <c r="AK407" i="13"/>
  <c r="AK429" i="13"/>
  <c r="AK16" i="13"/>
  <c r="AK200" i="13"/>
  <c r="AK323" i="13"/>
  <c r="AK350" i="13"/>
  <c r="AK394" i="13"/>
  <c r="AK440" i="13"/>
  <c r="AK378" i="13"/>
  <c r="AK452" i="13"/>
  <c r="AK432" i="13"/>
  <c r="AK104" i="13"/>
  <c r="AK210" i="13"/>
  <c r="AK10" i="13"/>
  <c r="AK91" i="13"/>
  <c r="AK90" i="13"/>
  <c r="AK77" i="13"/>
  <c r="AK196" i="13"/>
  <c r="AK109" i="13"/>
  <c r="AK156" i="13"/>
  <c r="AK257" i="13"/>
  <c r="AK285" i="13"/>
  <c r="AK288" i="13"/>
  <c r="AK356" i="13"/>
  <c r="AK316" i="13"/>
  <c r="AK422" i="13"/>
  <c r="AK447" i="13"/>
  <c r="AK252" i="13"/>
  <c r="AK124" i="13"/>
  <c r="AK276" i="13"/>
  <c r="AK92" i="13"/>
  <c r="AK132" i="13"/>
  <c r="AK253" i="13"/>
  <c r="AK289" i="13"/>
  <c r="AK336" i="13"/>
  <c r="AK306" i="13"/>
  <c r="AK357" i="13"/>
  <c r="AK361" i="13"/>
  <c r="AK401" i="13"/>
  <c r="AK424" i="13"/>
  <c r="AK453" i="13"/>
  <c r="AK191" i="13"/>
  <c r="AK218" i="13"/>
  <c r="AK34" i="13"/>
  <c r="AK178" i="13"/>
  <c r="AK413" i="13"/>
  <c r="AK142" i="13"/>
  <c r="AK48" i="13"/>
  <c r="AK18" i="13"/>
  <c r="AK58" i="13"/>
  <c r="AK62" i="13"/>
  <c r="AK89" i="13"/>
  <c r="AK108" i="13"/>
  <c r="AK162" i="13"/>
  <c r="AK224" i="13"/>
  <c r="AK292" i="13"/>
  <c r="AK364" i="13"/>
  <c r="AK318" i="13"/>
  <c r="AK365" i="13"/>
  <c r="AK324" i="13"/>
  <c r="AK372" i="13"/>
  <c r="AK419" i="13"/>
  <c r="AK410" i="13"/>
  <c r="AK395" i="13"/>
  <c r="AK431" i="13"/>
  <c r="AK52" i="13"/>
  <c r="AK133" i="13"/>
  <c r="AK203" i="13"/>
  <c r="AK231" i="13"/>
  <c r="AK186" i="13"/>
  <c r="AK268" i="13"/>
  <c r="AK138" i="13"/>
  <c r="AK241" i="13"/>
  <c r="AK258" i="13"/>
  <c r="AK354" i="13"/>
  <c r="AK330" i="13"/>
  <c r="AK442" i="13"/>
  <c r="AK402" i="13"/>
  <c r="AK443" i="13"/>
  <c r="AK446" i="13"/>
  <c r="AK435" i="13"/>
  <c r="AK347" i="13"/>
  <c r="AK164" i="13"/>
  <c r="AK160" i="13"/>
  <c r="AK19" i="13"/>
  <c r="AK59" i="13"/>
  <c r="AK204" i="13"/>
  <c r="AK71" i="13"/>
  <c r="AK145" i="13"/>
  <c r="AK114" i="13"/>
  <c r="AK233" i="13"/>
  <c r="AK293" i="13"/>
  <c r="AK388" i="13"/>
  <c r="AK300" i="13"/>
  <c r="AK376" i="13"/>
  <c r="AK428" i="13"/>
  <c r="AK444" i="13"/>
  <c r="AK206" i="13"/>
  <c r="AK449" i="13"/>
  <c r="AK102" i="13"/>
  <c r="AK29" i="13"/>
  <c r="AK95" i="13"/>
  <c r="AK172" i="13"/>
  <c r="AK144" i="13"/>
  <c r="AK187" i="13"/>
  <c r="AK303" i="13"/>
  <c r="AK360" i="13"/>
  <c r="AK299" i="13"/>
  <c r="AK329" i="13"/>
  <c r="AK309" i="13"/>
  <c r="AK369" i="13"/>
  <c r="AK426" i="13"/>
  <c r="AK406" i="13"/>
  <c r="AK393" i="13"/>
  <c r="AK331" i="13"/>
  <c r="AK15" i="13"/>
  <c r="AK377" i="13"/>
  <c r="AK99" i="13"/>
  <c r="AK135" i="13"/>
  <c r="AK341" i="13"/>
  <c r="AK61" i="13"/>
  <c r="AK448" i="13"/>
  <c r="AK260" i="13"/>
  <c r="AK201" i="13"/>
  <c r="AK141" i="13"/>
  <c r="AK105" i="13"/>
  <c r="AK399" i="13"/>
  <c r="AK216" i="13"/>
  <c r="AK247" i="13"/>
  <c r="AK87" i="13"/>
  <c r="AK346" i="13"/>
  <c r="AK271" i="13"/>
  <c r="AK174" i="13"/>
  <c r="AK129" i="13"/>
  <c r="AK290" i="13"/>
  <c r="AK128" i="13"/>
  <c r="AK349" i="13"/>
  <c r="AK88" i="13"/>
  <c r="AK368" i="13"/>
  <c r="AK202" i="13"/>
  <c r="AK73" i="13"/>
  <c r="AK403" i="13"/>
  <c r="AK171" i="13"/>
  <c r="AK223" i="13"/>
  <c r="AK122" i="13"/>
  <c r="AK392" i="13"/>
  <c r="AK334" i="13"/>
  <c r="AK353" i="13"/>
  <c r="AK249" i="13"/>
  <c r="AK94" i="13"/>
  <c r="AK98" i="13"/>
  <c r="AK335" i="13"/>
  <c r="AK266" i="13"/>
  <c r="AK305" i="13"/>
  <c r="AK405" i="13"/>
  <c r="AK75" i="13"/>
  <c r="AK9" i="13"/>
  <c r="AK398" i="13"/>
  <c r="AK238" i="13"/>
  <c r="AK8" i="13"/>
  <c r="AK298" i="13"/>
  <c r="AK207" i="13"/>
  <c r="AK38" i="13"/>
  <c r="AK391" i="13"/>
  <c r="AK273" i="13"/>
  <c r="AK255" i="13"/>
  <c r="AK421" i="13"/>
  <c r="AK81" i="13"/>
  <c r="AK284" i="13"/>
  <c r="AK352" i="13"/>
  <c r="AK134" i="13"/>
  <c r="AK412" i="13"/>
  <c r="AK158" i="13"/>
  <c r="AK322" i="13"/>
  <c r="AK287" i="13"/>
  <c r="AK76" i="13"/>
  <c r="AK39" i="13"/>
  <c r="AK291" i="13"/>
  <c r="AK168" i="13"/>
  <c r="AK451" i="13"/>
  <c r="AK80" i="13"/>
  <c r="AK246" i="13"/>
  <c r="AK259" i="13"/>
  <c r="AK219" i="13"/>
  <c r="AK21" i="13"/>
  <c r="AK445" i="13"/>
  <c r="AK362" i="13"/>
  <c r="AK272" i="13"/>
  <c r="AK315" i="13"/>
  <c r="AK93" i="13"/>
  <c r="AK195" i="13"/>
  <c r="AK188" i="13"/>
  <c r="AK32" i="13"/>
  <c r="AK380" i="13"/>
  <c r="AK454" i="13"/>
  <c r="AK79" i="13"/>
  <c r="AK230" i="13"/>
  <c r="AK63" i="13"/>
  <c r="AK397" i="13"/>
  <c r="AK270" i="13"/>
  <c r="AK26" i="13"/>
  <c r="AK425" i="13"/>
  <c r="AK295" i="13"/>
  <c r="AK267" i="13"/>
  <c r="AK153" i="13"/>
  <c r="AK117" i="13"/>
  <c r="AK70" i="13"/>
  <c r="AK180" i="13"/>
  <c r="AK420" i="13"/>
  <c r="AK374" i="13"/>
  <c r="AK359" i="13"/>
  <c r="AK274" i="13"/>
  <c r="AK286" i="13"/>
  <c r="AK159" i="13"/>
  <c r="AK123" i="13"/>
  <c r="AK60" i="13"/>
  <c r="AK234" i="13"/>
  <c r="AK304" i="13"/>
  <c r="AK243" i="13"/>
  <c r="AK147" i="13"/>
  <c r="AK111" i="13"/>
  <c r="AK100" i="13"/>
  <c r="AK194" i="13"/>
  <c r="AK418" i="13"/>
  <c r="AK358" i="13"/>
  <c r="AK386" i="13"/>
  <c r="AK436" i="13"/>
  <c r="AK281" i="13"/>
  <c r="AK146" i="13"/>
  <c r="AK385" i="13"/>
  <c r="AK86" i="13"/>
  <c r="AK152" i="13"/>
  <c r="AK297" i="13"/>
  <c r="AK140" i="13"/>
  <c r="AK396" i="13"/>
  <c r="AK415" i="13"/>
  <c r="AK404" i="13"/>
  <c r="AK237" i="13"/>
  <c r="AK220" i="13"/>
  <c r="AK439" i="13"/>
  <c r="AK248" i="13"/>
  <c r="AK45" i="13"/>
  <c r="AK279" i="13"/>
  <c r="AK217" i="13"/>
  <c r="AK433" i="13"/>
  <c r="AK379" i="13"/>
  <c r="AK69" i="13"/>
  <c r="AK345" i="13"/>
  <c r="AK67" i="13"/>
  <c r="AK14" i="13"/>
  <c r="AK390" i="13"/>
  <c r="AK373" i="13"/>
  <c r="AK265" i="13"/>
  <c r="AK110" i="13"/>
  <c r="AK333" i="13"/>
  <c r="AK408" i="13"/>
  <c r="AK183" i="13"/>
  <c r="AK116" i="13"/>
  <c r="AK189" i="13"/>
  <c r="AK54" i="13"/>
  <c r="AK165" i="13"/>
  <c r="AK27" i="13"/>
  <c r="AK82" i="13"/>
  <c r="AK177" i="13"/>
  <c r="AK414" i="13"/>
  <c r="AK427" i="13"/>
  <c r="AK343" i="13"/>
  <c r="AK20" i="13"/>
  <c r="I35" i="31"/>
  <c r="I37" i="31" s="1"/>
  <c r="G19" i="32"/>
  <c r="D32" i="31"/>
  <c r="D31" i="31"/>
  <c r="D30" i="31"/>
  <c r="D25" i="31"/>
  <c r="D23" i="31"/>
  <c r="D22" i="31"/>
  <c r="D21" i="31"/>
  <c r="D38" i="31"/>
  <c r="K33" i="31"/>
  <c r="M29" i="31"/>
  <c r="Q24" i="31"/>
  <c r="Q26" i="31" s="1"/>
  <c r="O26" i="31"/>
  <c r="E40" i="31"/>
  <c r="E39" i="31"/>
  <c r="Q13" i="31"/>
  <c r="Q18" i="31" s="1"/>
  <c r="O18" i="31"/>
  <c r="E41" i="31"/>
  <c r="I26" i="19" l="1"/>
  <c r="L26" i="19" s="1"/>
  <c r="I28" i="19"/>
  <c r="L28" i="19" s="1"/>
  <c r="I31" i="19"/>
  <c r="L31" i="19" s="1"/>
  <c r="I29" i="19"/>
  <c r="L29" i="19" s="1"/>
  <c r="I30" i="19"/>
  <c r="L30" i="19" s="1"/>
  <c r="I27" i="19"/>
  <c r="L27" i="19" s="1"/>
  <c r="I25" i="19"/>
  <c r="L25" i="19" s="1"/>
  <c r="AN185" i="13"/>
  <c r="AN432" i="13"/>
  <c r="AN279" i="13"/>
  <c r="AN265" i="13"/>
  <c r="AN408" i="13"/>
  <c r="E15" i="38"/>
  <c r="E20" i="40"/>
  <c r="E21" i="40"/>
  <c r="E19" i="40"/>
  <c r="E17" i="40"/>
  <c r="E18" i="40"/>
  <c r="E18" i="38"/>
  <c r="AN41" i="13"/>
  <c r="AN149" i="13"/>
  <c r="AN294" i="13"/>
  <c r="AN238" i="13"/>
  <c r="H19" i="32"/>
  <c r="E48" i="19"/>
  <c r="G25" i="32"/>
  <c r="H25" i="32" s="1"/>
  <c r="G14" i="32"/>
  <c r="G22" i="32"/>
  <c r="H22" i="32" s="1"/>
  <c r="G17" i="32"/>
  <c r="G24" i="32"/>
  <c r="H24" i="32" s="1"/>
  <c r="G16" i="32"/>
  <c r="H16" i="32" s="1"/>
  <c r="AN330" i="13"/>
  <c r="AN89" i="13"/>
  <c r="G26" i="32"/>
  <c r="G23" i="32"/>
  <c r="H23" i="32" s="1"/>
  <c r="AN54" i="13"/>
  <c r="AN454" i="13"/>
  <c r="G20" i="32"/>
  <c r="E49" i="19" s="1"/>
  <c r="G15" i="32"/>
  <c r="AN217" i="13"/>
  <c r="AN327" i="13"/>
  <c r="AN90" i="13"/>
  <c r="AN227" i="13"/>
  <c r="AN166" i="13"/>
  <c r="AN386" i="13"/>
  <c r="AN425" i="13"/>
  <c r="AN8" i="13"/>
  <c r="AN128" i="13"/>
  <c r="AN180" i="13"/>
  <c r="AN365" i="13"/>
  <c r="AN61" i="13"/>
  <c r="AN401" i="13"/>
  <c r="AN258" i="13"/>
  <c r="AN115" i="13"/>
  <c r="AN125" i="13"/>
  <c r="AN357" i="13"/>
  <c r="AN58" i="13"/>
  <c r="AN40" i="13"/>
  <c r="AN175" i="13"/>
  <c r="AN59" i="13"/>
  <c r="AN28" i="13"/>
  <c r="AN10" i="13"/>
  <c r="AN421" i="13"/>
  <c r="AN118" i="13"/>
  <c r="AN259" i="13"/>
  <c r="AN447" i="13"/>
  <c r="AN71" i="13"/>
  <c r="AN210" i="13"/>
  <c r="AN11" i="13"/>
  <c r="AN208" i="13"/>
  <c r="AN317" i="13"/>
  <c r="AN455" i="13"/>
  <c r="I24" i="19" s="1"/>
  <c r="L24" i="19" s="1"/>
  <c r="AN187" i="13"/>
  <c r="AN415" i="13"/>
  <c r="AN276" i="13"/>
  <c r="AN25" i="13"/>
  <c r="AN136" i="13"/>
  <c r="AN96" i="13"/>
  <c r="AN164" i="13"/>
  <c r="AN336" i="13"/>
  <c r="AN389" i="13"/>
  <c r="AN372" i="13"/>
  <c r="AN398" i="13"/>
  <c r="AN436" i="13"/>
  <c r="AN387" i="13"/>
  <c r="AN142" i="13"/>
  <c r="AN179" i="13"/>
  <c r="AN45" i="13"/>
  <c r="AN412" i="13"/>
  <c r="AN343" i="13"/>
  <c r="AN243" i="13"/>
  <c r="AN70" i="13"/>
  <c r="AN260" i="13"/>
  <c r="AN369" i="13"/>
  <c r="AN91" i="13"/>
  <c r="AN342" i="13"/>
  <c r="AN273" i="13"/>
  <c r="AN435" i="13"/>
  <c r="AN253" i="13"/>
  <c r="AN293" i="13"/>
  <c r="AN113" i="13"/>
  <c r="AN333" i="13"/>
  <c r="AN204" i="13"/>
  <c r="AN410" i="13"/>
  <c r="AN16" i="13"/>
  <c r="AN226" i="13"/>
  <c r="AN184" i="13"/>
  <c r="AN13" i="13"/>
  <c r="AN85" i="13"/>
  <c r="AN411" i="13"/>
  <c r="AN80" i="13"/>
  <c r="AN19" i="13"/>
  <c r="AN451" i="13"/>
  <c r="AN138" i="13"/>
  <c r="AN123" i="13"/>
  <c r="AN305" i="13"/>
  <c r="AN368" i="13"/>
  <c r="AN133" i="13"/>
  <c r="AN382" i="13"/>
  <c r="AN296" i="13"/>
  <c r="AN381" i="13"/>
  <c r="AN102" i="13"/>
  <c r="AN308" i="13"/>
  <c r="AN262" i="13"/>
  <c r="AN268" i="13"/>
  <c r="AN186" i="13"/>
  <c r="AN7" i="13"/>
  <c r="AN449" i="13"/>
  <c r="AN134" i="13"/>
  <c r="AN219" i="13"/>
  <c r="AN395" i="13"/>
  <c r="AN247" i="13"/>
  <c r="AN18" i="13"/>
  <c r="AN177" i="13"/>
  <c r="AN82" i="13"/>
  <c r="AN220" i="13"/>
  <c r="AN23" i="13"/>
  <c r="AN329" i="13"/>
  <c r="AN73" i="13"/>
  <c r="AN274" i="13"/>
  <c r="AN76" i="13"/>
  <c r="AN144" i="13"/>
  <c r="AN322" i="13"/>
  <c r="AN426" i="13"/>
  <c r="AN139" i="13"/>
  <c r="AN110" i="13"/>
  <c r="AN38" i="13"/>
  <c r="AN443" i="13"/>
  <c r="AN298" i="13"/>
  <c r="AN33" i="13"/>
  <c r="AN345" i="13"/>
  <c r="AN446" i="13"/>
  <c r="AN255" i="13"/>
  <c r="AN165" i="13"/>
  <c r="AN67" i="13"/>
  <c r="AN388" i="13"/>
  <c r="AN174" i="13"/>
  <c r="AN190" i="13"/>
  <c r="AN209" i="13"/>
  <c r="AN188" i="13"/>
  <c r="AN75" i="13"/>
  <c r="AN271" i="13"/>
  <c r="AN160" i="13"/>
  <c r="AN339" i="13"/>
  <c r="AN231" i="13"/>
  <c r="AN257" i="13"/>
  <c r="AN335" i="13"/>
  <c r="AN440" i="13"/>
  <c r="AN94" i="13"/>
  <c r="AN393" i="13"/>
  <c r="AN114" i="13"/>
  <c r="AN430" i="13"/>
  <c r="AN338" i="13"/>
  <c r="AN158" i="13"/>
  <c r="AN108" i="13"/>
  <c r="AN417" i="13"/>
  <c r="AN84" i="13"/>
  <c r="AN79" i="13"/>
  <c r="AN53" i="13"/>
  <c r="AN286" i="13"/>
  <c r="AN129" i="13"/>
  <c r="AN62" i="13"/>
  <c r="AN234" i="13"/>
  <c r="AN241" i="13"/>
  <c r="AN301" i="13"/>
  <c r="AN341" i="13"/>
  <c r="AN72" i="13"/>
  <c r="AN363" i="13"/>
  <c r="AN373" i="13"/>
  <c r="AN195" i="13"/>
  <c r="AN148" i="13"/>
  <c r="AN403" i="13"/>
  <c r="AN359" i="13"/>
  <c r="AN362" i="13"/>
  <c r="AN63" i="13"/>
  <c r="AN445" i="13"/>
  <c r="AN88" i="13"/>
  <c r="AN418" i="13"/>
  <c r="AN21" i="13"/>
  <c r="AN215" i="13"/>
  <c r="AN348" i="13"/>
  <c r="AN228" i="13"/>
  <c r="AN391" i="13"/>
  <c r="AN203" i="13"/>
  <c r="AN169" i="13"/>
  <c r="AN109" i="13"/>
  <c r="AN256" i="13"/>
  <c r="AN428" i="13"/>
  <c r="AN356" i="13"/>
  <c r="AN35" i="13"/>
  <c r="AN101" i="13"/>
  <c r="AN56" i="13"/>
  <c r="AN237" i="13"/>
  <c r="AN291" i="13"/>
  <c r="AN99" i="13"/>
  <c r="AN303" i="13"/>
  <c r="AN452" i="13"/>
  <c r="AN304" i="13"/>
  <c r="AN60" i="13"/>
  <c r="AN277" i="13"/>
  <c r="AN161" i="13"/>
  <c r="AN346" i="13"/>
  <c r="AN404" i="13"/>
  <c r="AN26" i="13"/>
  <c r="AN315" i="13"/>
  <c r="AN39" i="13"/>
  <c r="AN377" i="13"/>
  <c r="AN178" i="13"/>
  <c r="AN434" i="13"/>
  <c r="AN251" i="13"/>
  <c r="AN275" i="13"/>
  <c r="AN250" i="13"/>
  <c r="AN295" i="13"/>
  <c r="AN360" i="13"/>
  <c r="AN272" i="13"/>
  <c r="AN216" i="13"/>
  <c r="AN15" i="13"/>
  <c r="AN34" i="13"/>
  <c r="AN132" i="13"/>
  <c r="AN156" i="13"/>
  <c r="AN143" i="13"/>
  <c r="AN167" i="13"/>
  <c r="AN278" i="13"/>
  <c r="AN245" i="13"/>
  <c r="AN153" i="13"/>
  <c r="AN311" i="13"/>
  <c r="AN439" i="13"/>
  <c r="AN81" i="13"/>
  <c r="AN405" i="13"/>
  <c r="AN189" i="13"/>
  <c r="AN399" i="13"/>
  <c r="AN233" i="13"/>
  <c r="AN409" i="13"/>
  <c r="AN116" i="13"/>
  <c r="AN100" i="13"/>
  <c r="AN374" i="13"/>
  <c r="AN95" i="13"/>
  <c r="AN162" i="13"/>
  <c r="AN191" i="13"/>
  <c r="AN196" i="13"/>
  <c r="AN155" i="13"/>
  <c r="AN223" i="13"/>
  <c r="AN48" i="13"/>
  <c r="AN107" i="13"/>
  <c r="AN390" i="13"/>
  <c r="AN376" i="13"/>
  <c r="AN270" i="13"/>
  <c r="AN331" i="13"/>
  <c r="AN224" i="13"/>
  <c r="AN111" i="13"/>
  <c r="AN230" i="13"/>
  <c r="AN249" i="13"/>
  <c r="AN349" i="13"/>
  <c r="AN141" i="13"/>
  <c r="AN29" i="13"/>
  <c r="AN442" i="13"/>
  <c r="AN323" i="13"/>
  <c r="AN384" i="13"/>
  <c r="AN12" i="13"/>
  <c r="AN97" i="13"/>
  <c r="AN126" i="13"/>
  <c r="AN55" i="13"/>
  <c r="AN37" i="13"/>
  <c r="AN182" i="13"/>
  <c r="AN152" i="13"/>
  <c r="AN292" i="13"/>
  <c r="AN424" i="13"/>
  <c r="AN344" i="13"/>
  <c r="AN263" i="13"/>
  <c r="AN51" i="13"/>
  <c r="AN302" i="13"/>
  <c r="AN106" i="13"/>
  <c r="AN321" i="13"/>
  <c r="AN254" i="13"/>
  <c r="AN450" i="13"/>
  <c r="AN194" i="13"/>
  <c r="AN171" i="13"/>
  <c r="AN290" i="13"/>
  <c r="AN394" i="13"/>
  <c r="AN269" i="13"/>
  <c r="AN154" i="13"/>
  <c r="AN423" i="13"/>
  <c r="AN235" i="13"/>
  <c r="AN42" i="13"/>
  <c r="AN320" i="13"/>
  <c r="AN64" i="13"/>
  <c r="AN371" i="13"/>
  <c r="AN366" i="13"/>
  <c r="AN429" i="13"/>
  <c r="AN131" i="13"/>
  <c r="AN150" i="13"/>
  <c r="AN65" i="13"/>
  <c r="E35" i="24"/>
  <c r="E27" i="24"/>
  <c r="E19" i="24"/>
  <c r="E11" i="24"/>
  <c r="E18" i="22"/>
  <c r="E13" i="40"/>
  <c r="E9" i="38"/>
  <c r="E34" i="24"/>
  <c r="E26" i="24"/>
  <c r="E18" i="24"/>
  <c r="E10" i="24"/>
  <c r="E17" i="22"/>
  <c r="E11" i="22"/>
  <c r="E14" i="40"/>
  <c r="E10" i="38"/>
  <c r="E33" i="24"/>
  <c r="E25" i="24"/>
  <c r="E17" i="24"/>
  <c r="E9" i="24"/>
  <c r="E16" i="22"/>
  <c r="E10" i="22"/>
  <c r="E15" i="40"/>
  <c r="E11" i="38"/>
  <c r="E32" i="24"/>
  <c r="E24" i="24"/>
  <c r="E16" i="24"/>
  <c r="E15" i="22"/>
  <c r="E9" i="22"/>
  <c r="E16" i="40"/>
  <c r="E12" i="38"/>
  <c r="E31" i="24"/>
  <c r="E23" i="24"/>
  <c r="E15" i="24"/>
  <c r="E14" i="22"/>
  <c r="E9" i="40"/>
  <c r="E9" i="32"/>
  <c r="E13" i="38"/>
  <c r="E30" i="24"/>
  <c r="E22" i="24"/>
  <c r="E14" i="24"/>
  <c r="E10" i="40"/>
  <c r="E14" i="38"/>
  <c r="E29" i="24"/>
  <c r="E21" i="24"/>
  <c r="E13" i="24"/>
  <c r="E13" i="22"/>
  <c r="E11" i="40"/>
  <c r="E16" i="38"/>
  <c r="E36" i="24"/>
  <c r="E28" i="24"/>
  <c r="E20" i="24"/>
  <c r="E12" i="24"/>
  <c r="E19" i="22"/>
  <c r="E12" i="22"/>
  <c r="E12" i="40"/>
  <c r="E17" i="38"/>
  <c r="AN427" i="13"/>
  <c r="AN14" i="13"/>
  <c r="AN140" i="13"/>
  <c r="AN380" i="13"/>
  <c r="AN207" i="13"/>
  <c r="AN87" i="13"/>
  <c r="AN347" i="13"/>
  <c r="AN318" i="13"/>
  <c r="AN289" i="13"/>
  <c r="AN422" i="13"/>
  <c r="AN328" i="13"/>
  <c r="AN198" i="13"/>
  <c r="AN414" i="13"/>
  <c r="AN183" i="13"/>
  <c r="AN358" i="13"/>
  <c r="AN420" i="13"/>
  <c r="AN32" i="13"/>
  <c r="AN284" i="13"/>
  <c r="AN122" i="13"/>
  <c r="AN406" i="13"/>
  <c r="AN431" i="13"/>
  <c r="AN453" i="13"/>
  <c r="AN316" i="13"/>
  <c r="AN378" i="13"/>
  <c r="AN407" i="13"/>
  <c r="AN351" i="13"/>
  <c r="AN337" i="13"/>
  <c r="AN151" i="13"/>
  <c r="AN78" i="13"/>
  <c r="AN112" i="13"/>
  <c r="AN199" i="13"/>
  <c r="AN261" i="13"/>
  <c r="AN121" i="13"/>
  <c r="AN307" i="13"/>
  <c r="AN367" i="13"/>
  <c r="I39" i="31"/>
  <c r="I38" i="31"/>
  <c r="AN416" i="13"/>
  <c r="I40" i="31"/>
  <c r="AN379" i="13"/>
  <c r="AN385" i="13"/>
  <c r="AN159" i="13"/>
  <c r="AN117" i="13"/>
  <c r="AN246" i="13"/>
  <c r="AN105" i="13"/>
  <c r="AN300" i="13"/>
  <c r="AN402" i="13"/>
  <c r="AN419" i="13"/>
  <c r="AN361" i="13"/>
  <c r="AN285" i="13"/>
  <c r="AN350" i="13"/>
  <c r="AN312" i="13"/>
  <c r="AN282" i="13"/>
  <c r="AN340" i="13"/>
  <c r="AN370" i="13"/>
  <c r="I41" i="31"/>
  <c r="AN397" i="13"/>
  <c r="AN98" i="13"/>
  <c r="AN172" i="13"/>
  <c r="AN288" i="13"/>
  <c r="AN283" i="13"/>
  <c r="AN30" i="13"/>
  <c r="AN193" i="13"/>
  <c r="AN441" i="13"/>
  <c r="AN103" i="13"/>
  <c r="AN47" i="13"/>
  <c r="AN6" i="13"/>
  <c r="AN43" i="13"/>
  <c r="AN281" i="13"/>
  <c r="AN353" i="13"/>
  <c r="AN202" i="13"/>
  <c r="AN201" i="13"/>
  <c r="AN299" i="13"/>
  <c r="AN324" i="13"/>
  <c r="AN200" i="13"/>
  <c r="AN120" i="13"/>
  <c r="AN240" i="13"/>
  <c r="AN50" i="13"/>
  <c r="AN213" i="13"/>
  <c r="AN192" i="13"/>
  <c r="AN36" i="13"/>
  <c r="AN392" i="13"/>
  <c r="AN52" i="13"/>
  <c r="AN375" i="13"/>
  <c r="AN332" i="13"/>
  <c r="AN157" i="13"/>
  <c r="AN145" i="13"/>
  <c r="AN364" i="13"/>
  <c r="AN214" i="13"/>
  <c r="AN69" i="13"/>
  <c r="AN86" i="13"/>
  <c r="AN287" i="13"/>
  <c r="AN135" i="13"/>
  <c r="AN244" i="13"/>
  <c r="AN127" i="13"/>
  <c r="AN280" i="13"/>
  <c r="AN74" i="13"/>
  <c r="AN229" i="13"/>
  <c r="AN239" i="13"/>
  <c r="K35" i="31"/>
  <c r="AN27" i="13"/>
  <c r="AN93" i="13"/>
  <c r="AN309" i="13"/>
  <c r="AN310" i="13"/>
  <c r="AN49" i="13"/>
  <c r="AN383" i="13"/>
  <c r="AN197" i="13"/>
  <c r="AN232" i="13"/>
  <c r="AN66" i="13"/>
  <c r="AN57" i="13"/>
  <c r="AN173" i="13"/>
  <c r="AN176" i="13"/>
  <c r="AN170" i="13"/>
  <c r="AN438" i="13"/>
  <c r="AN413" i="13"/>
  <c r="AN124" i="13"/>
  <c r="AN437" i="13"/>
  <c r="AN242" i="13"/>
  <c r="AN68" i="13"/>
  <c r="AN104" i="13"/>
  <c r="G12" i="32"/>
  <c r="G21" i="32"/>
  <c r="AN9" i="13"/>
  <c r="AN20" i="13"/>
  <c r="AN147" i="13"/>
  <c r="AN267" i="13"/>
  <c r="AN306" i="13"/>
  <c r="AN313" i="13"/>
  <c r="AN221" i="13"/>
  <c r="AN83" i="13"/>
  <c r="AN218" i="13"/>
  <c r="AN222" i="13"/>
  <c r="AN433" i="13"/>
  <c r="G18" i="32"/>
  <c r="AN396" i="13"/>
  <c r="AN168" i="13"/>
  <c r="AN334" i="13"/>
  <c r="AN354" i="13"/>
  <c r="AN205" i="13"/>
  <c r="AN46" i="13"/>
  <c r="AN181" i="13"/>
  <c r="AN130" i="13"/>
  <c r="AN236" i="13"/>
  <c r="AN24" i="13"/>
  <c r="AN319" i="13"/>
  <c r="AN326" i="13"/>
  <c r="AN252" i="13"/>
  <c r="AN146" i="13"/>
  <c r="AN352" i="13"/>
  <c r="AN448" i="13"/>
  <c r="AN206" i="13"/>
  <c r="AN163" i="13"/>
  <c r="AN31" i="13"/>
  <c r="AN355" i="13"/>
  <c r="AN119" i="13"/>
  <c r="AN44" i="13"/>
  <c r="AN314" i="13"/>
  <c r="AN211" i="13"/>
  <c r="AN264" i="13"/>
  <c r="AN248" i="13"/>
  <c r="AN297" i="13"/>
  <c r="AN266" i="13"/>
  <c r="AN444" i="13"/>
  <c r="AN77" i="13"/>
  <c r="AN22" i="13"/>
  <c r="AN400" i="13"/>
  <c r="AN17" i="13"/>
  <c r="AN137" i="13"/>
  <c r="AN225" i="13"/>
  <c r="AN212" i="13"/>
  <c r="AN92" i="13"/>
  <c r="AN325" i="13"/>
  <c r="O29" i="31"/>
  <c r="M33" i="31"/>
  <c r="E38" i="31"/>
  <c r="E59" i="19" l="1"/>
  <c r="E44" i="19"/>
  <c r="E41" i="19"/>
  <c r="H14" i="32"/>
  <c r="E39" i="19"/>
  <c r="H17" i="32"/>
  <c r="E42" i="19"/>
  <c r="H26" i="32"/>
  <c r="E60" i="19"/>
  <c r="E53" i="19"/>
  <c r="E54" i="19"/>
  <c r="E50" i="19"/>
  <c r="H15" i="32"/>
  <c r="E40" i="19"/>
  <c r="H20" i="32"/>
  <c r="E51" i="19"/>
  <c r="H12" i="32"/>
  <c r="E38" i="19"/>
  <c r="H18" i="32"/>
  <c r="E45" i="19"/>
  <c r="H21" i="32"/>
  <c r="E37" i="19"/>
  <c r="I22" i="19"/>
  <c r="L22" i="19" s="1"/>
  <c r="I14" i="19"/>
  <c r="L14" i="19" s="1"/>
  <c r="I23" i="19"/>
  <c r="L23" i="19" s="1"/>
  <c r="I21" i="19"/>
  <c r="L21" i="19" s="1"/>
  <c r="I20" i="19"/>
  <c r="L20" i="19" s="1"/>
  <c r="I19" i="19"/>
  <c r="L19" i="19" s="1"/>
  <c r="I16" i="19"/>
  <c r="L16" i="19" s="1"/>
  <c r="I15" i="19"/>
  <c r="L15" i="19" s="1"/>
  <c r="I13" i="19"/>
  <c r="L13" i="19" s="1"/>
  <c r="I12" i="19"/>
  <c r="L12" i="19" s="1"/>
  <c r="I10" i="19"/>
  <c r="L10" i="19" s="1"/>
  <c r="I18" i="19"/>
  <c r="L18" i="19" s="1"/>
  <c r="I17" i="19"/>
  <c r="L17" i="19" s="1"/>
  <c r="M35" i="31"/>
  <c r="M37" i="31" s="1"/>
  <c r="K37" i="31"/>
  <c r="F17" i="40" s="1"/>
  <c r="Q29" i="31"/>
  <c r="Q33" i="31" s="1"/>
  <c r="O33" i="31"/>
  <c r="G17" i="40" l="1"/>
  <c r="F19" i="40"/>
  <c r="F18" i="40"/>
  <c r="G18" i="40" s="1"/>
  <c r="F18" i="38"/>
  <c r="G18" i="38" s="1"/>
  <c r="F20" i="40"/>
  <c r="G20" i="40" s="1"/>
  <c r="F21" i="40"/>
  <c r="G21" i="40" s="1"/>
  <c r="G19" i="40"/>
  <c r="F10" i="22"/>
  <c r="G10" i="22" s="1"/>
  <c r="F15" i="38"/>
  <c r="G15" i="38" s="1"/>
  <c r="F23" i="24"/>
  <c r="G23" i="24" s="1"/>
  <c r="F11" i="22"/>
  <c r="G11" i="22" s="1"/>
  <c r="F14" i="24"/>
  <c r="G14" i="24" s="1"/>
  <c r="F15" i="24"/>
  <c r="G15" i="24" s="1"/>
  <c r="F14" i="22"/>
  <c r="G14" i="22" s="1"/>
  <c r="F17" i="22"/>
  <c r="G17" i="22" s="1"/>
  <c r="F13" i="40"/>
  <c r="G13" i="40" s="1"/>
  <c r="F9" i="32"/>
  <c r="G9" i="32" s="1"/>
  <c r="F9" i="38"/>
  <c r="G9" i="38" s="1"/>
  <c r="F14" i="40"/>
  <c r="G14" i="40" s="1"/>
  <c r="F10" i="38"/>
  <c r="G10" i="38" s="1"/>
  <c r="F15" i="40"/>
  <c r="G15" i="40" s="1"/>
  <c r="F11" i="38"/>
  <c r="G11" i="38" s="1"/>
  <c r="F16" i="40"/>
  <c r="G16" i="40" s="1"/>
  <c r="F12" i="38"/>
  <c r="G12" i="38" s="1"/>
  <c r="F9" i="40"/>
  <c r="G9" i="40" s="1"/>
  <c r="F13" i="38"/>
  <c r="G13" i="38" s="1"/>
  <c r="F10" i="40"/>
  <c r="G10" i="40" s="1"/>
  <c r="F14" i="38"/>
  <c r="G14" i="38" s="1"/>
  <c r="F11" i="40"/>
  <c r="G11" i="40" s="1"/>
  <c r="F16" i="38"/>
  <c r="G16" i="38" s="1"/>
  <c r="F12" i="40"/>
  <c r="G12" i="40"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H17" i="40" s="1"/>
  <c r="Q35" i="31"/>
  <c r="G25" i="22"/>
  <c r="D25"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E438" i="13"/>
  <c r="E439" i="13"/>
  <c r="E440" i="13"/>
  <c r="E441" i="13"/>
  <c r="E442" i="13"/>
  <c r="E443" i="13"/>
  <c r="E444" i="13"/>
  <c r="E445" i="13"/>
  <c r="E446" i="13"/>
  <c r="E447" i="13"/>
  <c r="E448" i="13"/>
  <c r="E449" i="13"/>
  <c r="E450" i="13"/>
  <c r="E451" i="13"/>
  <c r="E452" i="13"/>
  <c r="E453" i="13"/>
  <c r="E454" i="13"/>
  <c r="E455"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D438" i="13"/>
  <c r="D439" i="13"/>
  <c r="D440" i="13"/>
  <c r="D441" i="13"/>
  <c r="D442" i="13"/>
  <c r="D443" i="13"/>
  <c r="D444" i="13"/>
  <c r="D445" i="13"/>
  <c r="D446" i="13"/>
  <c r="D447" i="13"/>
  <c r="D448" i="13"/>
  <c r="D449" i="13"/>
  <c r="D450" i="13"/>
  <c r="D451" i="13"/>
  <c r="D452" i="13"/>
  <c r="D453" i="13"/>
  <c r="D454" i="13"/>
  <c r="D455"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C438" i="13"/>
  <c r="C439" i="13"/>
  <c r="C440" i="13"/>
  <c r="C441" i="13"/>
  <c r="C442" i="13"/>
  <c r="C443" i="13"/>
  <c r="C444" i="13"/>
  <c r="C445" i="13"/>
  <c r="C446" i="13"/>
  <c r="C447" i="13"/>
  <c r="C448" i="13"/>
  <c r="C449" i="13"/>
  <c r="C450" i="13"/>
  <c r="C451" i="13"/>
  <c r="C452" i="13"/>
  <c r="C453" i="13"/>
  <c r="C454" i="13"/>
  <c r="C455" i="13"/>
  <c r="D26" i="22"/>
  <c r="D24" i="22"/>
  <c r="D23" i="22"/>
  <c r="D22" i="22"/>
  <c r="H19" i="40" l="1"/>
  <c r="H21" i="40"/>
  <c r="H20" i="40"/>
  <c r="H18" i="38"/>
  <c r="H18" i="40"/>
  <c r="H10" i="22"/>
  <c r="H15" i="38"/>
  <c r="H22" i="24"/>
  <c r="O39" i="31"/>
  <c r="H17" i="24"/>
  <c r="H12" i="22"/>
  <c r="H10" i="24"/>
  <c r="H25" i="24"/>
  <c r="H26" i="24"/>
  <c r="H24" i="24"/>
  <c r="H19" i="22"/>
  <c r="H13" i="24"/>
  <c r="H18" i="24"/>
  <c r="H32" i="24"/>
  <c r="H33" i="24"/>
  <c r="H30" i="24"/>
  <c r="H15" i="22"/>
  <c r="H12" i="24"/>
  <c r="Q37" i="31"/>
  <c r="I17" i="40" s="1"/>
  <c r="H13" i="22"/>
  <c r="H11" i="24"/>
  <c r="H15" i="24"/>
  <c r="O38" i="31"/>
  <c r="H14" i="24"/>
  <c r="H20" i="24"/>
  <c r="H19" i="24"/>
  <c r="H21" i="24"/>
  <c r="H16" i="24"/>
  <c r="H34" i="24"/>
  <c r="H31" i="24"/>
  <c r="H36" i="24"/>
  <c r="H29" i="24"/>
  <c r="H17" i="22"/>
  <c r="I17" i="22" s="1"/>
  <c r="H13" i="40"/>
  <c r="I13" i="40" s="1"/>
  <c r="H9" i="32"/>
  <c r="I9" i="32" s="1"/>
  <c r="H9" i="38"/>
  <c r="H14" i="40"/>
  <c r="H10" i="38"/>
  <c r="H15" i="40"/>
  <c r="H11" i="38"/>
  <c r="H16" i="40"/>
  <c r="H12" i="38"/>
  <c r="I12" i="38" s="1"/>
  <c r="H9" i="40"/>
  <c r="I9" i="40" s="1"/>
  <c r="H13" i="38"/>
  <c r="H10" i="40"/>
  <c r="H14" i="38"/>
  <c r="H11" i="40"/>
  <c r="H16" i="38"/>
  <c r="H12" i="40"/>
  <c r="H17" i="38"/>
  <c r="H18" i="22"/>
  <c r="O41" i="31"/>
  <c r="H9" i="24"/>
  <c r="H16" i="22"/>
  <c r="I16" i="22" s="1"/>
  <c r="H14" i="22"/>
  <c r="I14" i="22" s="1"/>
  <c r="O40" i="31"/>
  <c r="Q40" i="31" s="1"/>
  <c r="H27" i="24"/>
  <c r="I27" i="24" s="1"/>
  <c r="H35" i="24"/>
  <c r="H28" i="24"/>
  <c r="H11" i="22"/>
  <c r="H9" i="22"/>
  <c r="H23" i="24"/>
  <c r="H25" i="22"/>
  <c r="I29" i="24" l="1"/>
  <c r="I14" i="24"/>
  <c r="I18" i="40"/>
  <c r="Q38" i="31"/>
  <c r="I18" i="38"/>
  <c r="I15" i="24"/>
  <c r="I20" i="40"/>
  <c r="I9" i="24"/>
  <c r="I10" i="40"/>
  <c r="I11" i="24"/>
  <c r="Q41" i="31"/>
  <c r="I13" i="38"/>
  <c r="I13" i="22"/>
  <c r="I19" i="40"/>
  <c r="I21" i="40"/>
  <c r="I19" i="22"/>
  <c r="I10" i="22"/>
  <c r="I24" i="24"/>
  <c r="I36" i="24"/>
  <c r="I11" i="22"/>
  <c r="I11" i="38"/>
  <c r="I31" i="24"/>
  <c r="I18" i="22"/>
  <c r="I17" i="38"/>
  <c r="I10" i="24"/>
  <c r="I12" i="22"/>
  <c r="I34" i="24"/>
  <c r="I9" i="22"/>
  <c r="I12" i="40"/>
  <c r="I15" i="40"/>
  <c r="I16" i="40"/>
  <c r="I15" i="22"/>
  <c r="I10" i="38"/>
  <c r="I16" i="24"/>
  <c r="I30" i="24"/>
  <c r="I28" i="24"/>
  <c r="I21" i="24"/>
  <c r="I22" i="24"/>
  <c r="I23" i="24"/>
  <c r="I16" i="38"/>
  <c r="I11" i="40"/>
  <c r="I35" i="24"/>
  <c r="I14" i="38"/>
  <c r="I14" i="40"/>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K455" i="13" l="1"/>
  <c r="BK454" i="13"/>
  <c r="BK453" i="13"/>
  <c r="BK452" i="13"/>
  <c r="BK451" i="13"/>
  <c r="BK450" i="13"/>
  <c r="BK449" i="13"/>
  <c r="BK448" i="13"/>
  <c r="BK447" i="13"/>
  <c r="BK446" i="13"/>
  <c r="BK445" i="13"/>
  <c r="BK444" i="13"/>
  <c r="BK443" i="13"/>
  <c r="BK442" i="13"/>
  <c r="BK441" i="13"/>
  <c r="BK440" i="13"/>
  <c r="BK439" i="13"/>
  <c r="BK438" i="13"/>
  <c r="BK228" i="13"/>
  <c r="BK227" i="13"/>
  <c r="BK226" i="13"/>
  <c r="BK225" i="13"/>
  <c r="BK224" i="13"/>
  <c r="BK223" i="13"/>
  <c r="BK222" i="13"/>
  <c r="BK206" i="13"/>
  <c r="BK205" i="13"/>
  <c r="BK204" i="13"/>
  <c r="BK203" i="13"/>
  <c r="BK202" i="13"/>
  <c r="BK201" i="13"/>
  <c r="BK200" i="13"/>
  <c r="BK199" i="13"/>
  <c r="BK198" i="13"/>
  <c r="BK197" i="13"/>
  <c r="BK196" i="13"/>
  <c r="BK195" i="13"/>
  <c r="BK194" i="13"/>
  <c r="BK193" i="13"/>
  <c r="BK175" i="13"/>
  <c r="BK174" i="13"/>
  <c r="BK173" i="13"/>
  <c r="BK172" i="13"/>
  <c r="BK171" i="13"/>
  <c r="BK170" i="13"/>
  <c r="BK169" i="13"/>
  <c r="BK168" i="13"/>
  <c r="BK167" i="13"/>
  <c r="BK166" i="13"/>
  <c r="BK165" i="13"/>
  <c r="BK138" i="13"/>
  <c r="BK137" i="13"/>
  <c r="BK136" i="13"/>
  <c r="BK135" i="13"/>
  <c r="BK134" i="13"/>
  <c r="BK133" i="13"/>
  <c r="BK132" i="13"/>
  <c r="BK131" i="13"/>
  <c r="BK130" i="13"/>
  <c r="BK129" i="13"/>
  <c r="BK128" i="13"/>
  <c r="BK119" i="13"/>
  <c r="BK118" i="13"/>
  <c r="BK117" i="13"/>
  <c r="BK116" i="13"/>
  <c r="BK115" i="13"/>
  <c r="BK114" i="13"/>
  <c r="BK113" i="13"/>
  <c r="BK112" i="13"/>
  <c r="BK111" i="13"/>
  <c r="BK110" i="13"/>
  <c r="BK109" i="13"/>
  <c r="BK108" i="13"/>
  <c r="BK107" i="13"/>
  <c r="BK106" i="13"/>
  <c r="BK105" i="13"/>
  <c r="BK104" i="13"/>
  <c r="BK103" i="13"/>
  <c r="BK102" i="13"/>
  <c r="BK101" i="13"/>
  <c r="BK100" i="13"/>
  <c r="BK99" i="13"/>
  <c r="BK98" i="13"/>
  <c r="BK97" i="13"/>
  <c r="BK96" i="13"/>
  <c r="BK95" i="13"/>
  <c r="BK94" i="13"/>
  <c r="BK93" i="13"/>
  <c r="BK92" i="13"/>
  <c r="BK91" i="13"/>
  <c r="BK90" i="13"/>
  <c r="BK89" i="13"/>
  <c r="BK88" i="13"/>
  <c r="BK87" i="13"/>
  <c r="BK86" i="13"/>
  <c r="BK85" i="13"/>
  <c r="BK84" i="13"/>
  <c r="BK83" i="13"/>
  <c r="BK82" i="13"/>
  <c r="BK81" i="13"/>
  <c r="BK80" i="13"/>
  <c r="BK79" i="13"/>
  <c r="BK78" i="13"/>
  <c r="BK77" i="13"/>
  <c r="BK76" i="13"/>
  <c r="BK75" i="13"/>
  <c r="BK74" i="13"/>
  <c r="BK73" i="13"/>
  <c r="BK72" i="13"/>
  <c r="BK71" i="13"/>
  <c r="BK70" i="13"/>
  <c r="BK69" i="13"/>
  <c r="BK68" i="13"/>
  <c r="BK67" i="13"/>
  <c r="BK66" i="13"/>
  <c r="BK65" i="13"/>
  <c r="BK64" i="13"/>
  <c r="BK63" i="13"/>
  <c r="BK62" i="13"/>
  <c r="BK61" i="13"/>
  <c r="BK60" i="13"/>
  <c r="BK59" i="13"/>
  <c r="BK58" i="13"/>
  <c r="BK57" i="13"/>
  <c r="BK56" i="13"/>
  <c r="BK55" i="13"/>
  <c r="BK54" i="13"/>
  <c r="BK53" i="13"/>
  <c r="BK52" i="13"/>
  <c r="BK51" i="13"/>
  <c r="BK50" i="13"/>
  <c r="BK49" i="13"/>
  <c r="BK48" i="13"/>
  <c r="BK47" i="13"/>
  <c r="BK46" i="13"/>
  <c r="BK45" i="13"/>
  <c r="BK44" i="13"/>
  <c r="BK43" i="13"/>
  <c r="BK42" i="13"/>
  <c r="BK41" i="13"/>
  <c r="BK40" i="13"/>
  <c r="BK39" i="13"/>
  <c r="BK38" i="13"/>
  <c r="BK37" i="13"/>
  <c r="BK36" i="13"/>
  <c r="BK35" i="13"/>
  <c r="BK34" i="13"/>
  <c r="BK33" i="13"/>
  <c r="BK32" i="13"/>
  <c r="BK31" i="13"/>
  <c r="BK30" i="13"/>
  <c r="BK29" i="13"/>
  <c r="BK28" i="13"/>
  <c r="BK27" i="13"/>
  <c r="BK26" i="13"/>
  <c r="BK25" i="13"/>
  <c r="BK24" i="13"/>
  <c r="BK23" i="13"/>
  <c r="BK22" i="13"/>
  <c r="BK21" i="13"/>
  <c r="BK20" i="13"/>
  <c r="BK19" i="13"/>
  <c r="BK18" i="13"/>
  <c r="BK17" i="13"/>
  <c r="BK16" i="13"/>
  <c r="BK15" i="13"/>
  <c r="BK14" i="13"/>
  <c r="BK13" i="13"/>
  <c r="BK12" i="13"/>
  <c r="BK11" i="13"/>
  <c r="BK10" i="13"/>
  <c r="BK9" i="13"/>
  <c r="BK8" i="13"/>
  <c r="BK7" i="13"/>
  <c r="BK6" i="13"/>
  <c r="BK5" i="13"/>
  <c r="AP455" i="13"/>
  <c r="AP454" i="13"/>
  <c r="AP453" i="13"/>
  <c r="AP452" i="13"/>
  <c r="AP451" i="13"/>
  <c r="AP450" i="13"/>
  <c r="AP449" i="13"/>
  <c r="AP448" i="13"/>
  <c r="AP447" i="13"/>
  <c r="AP446" i="13"/>
  <c r="AP445" i="13"/>
  <c r="AP444" i="13"/>
  <c r="AP443" i="13"/>
  <c r="AP442" i="13"/>
  <c r="AP441" i="13"/>
  <c r="AP440" i="13"/>
  <c r="AP439" i="13"/>
  <c r="AP438" i="13"/>
  <c r="AP228" i="13"/>
  <c r="AP227" i="13"/>
  <c r="AP226" i="13"/>
  <c r="AP225" i="13"/>
  <c r="AP224" i="13"/>
  <c r="AP223" i="13"/>
  <c r="AP222" i="13"/>
  <c r="AP206" i="13"/>
  <c r="AP205" i="13"/>
  <c r="AP204" i="13"/>
  <c r="AP203" i="13"/>
  <c r="AP202" i="13"/>
  <c r="AP201" i="13"/>
  <c r="AP200" i="13"/>
  <c r="AP199" i="13"/>
  <c r="AP198" i="13"/>
  <c r="AP197" i="13"/>
  <c r="AP196" i="13"/>
  <c r="AP195" i="13"/>
  <c r="AP194" i="13"/>
  <c r="AP193" i="13"/>
  <c r="AP175" i="13"/>
  <c r="AP174" i="13"/>
  <c r="AP173" i="13"/>
  <c r="AP172" i="13"/>
  <c r="AP171" i="13"/>
  <c r="AP170" i="13"/>
  <c r="AP169" i="13"/>
  <c r="AP168" i="13"/>
  <c r="AP167" i="13"/>
  <c r="AP166" i="13"/>
  <c r="AP165" i="13"/>
  <c r="AP138" i="13"/>
  <c r="AP137" i="13"/>
  <c r="AP136" i="13"/>
  <c r="AP135" i="13"/>
  <c r="AP134" i="13"/>
  <c r="AP133" i="13"/>
  <c r="AP132" i="13"/>
  <c r="AP131" i="13"/>
  <c r="AP130" i="13"/>
  <c r="AP129" i="13"/>
  <c r="AP128" i="13"/>
  <c r="AP119" i="13"/>
  <c r="AP118" i="13"/>
  <c r="AP117" i="13"/>
  <c r="AP116" i="13"/>
  <c r="AP115" i="13"/>
  <c r="AP114" i="13"/>
  <c r="AP113" i="13"/>
  <c r="AP112" i="13"/>
  <c r="AP111" i="13"/>
  <c r="AP110" i="13"/>
  <c r="AP109" i="13"/>
  <c r="AP108" i="13"/>
  <c r="AP107" i="13"/>
  <c r="AP106" i="13"/>
  <c r="AP105" i="13"/>
  <c r="AP104" i="13"/>
  <c r="AP103" i="13"/>
  <c r="AP102" i="13"/>
  <c r="AP101" i="13"/>
  <c r="AP100" i="13"/>
  <c r="AP99" i="13"/>
  <c r="AP98" i="13"/>
  <c r="AP97" i="13"/>
  <c r="AP96" i="13"/>
  <c r="AP95" i="13"/>
  <c r="AP94" i="13"/>
  <c r="AP93" i="13"/>
  <c r="AP92" i="13"/>
  <c r="AP91" i="13"/>
  <c r="AP90" i="13"/>
  <c r="AP89" i="13"/>
  <c r="AP88" i="13"/>
  <c r="AP87" i="13"/>
  <c r="AP86" i="13"/>
  <c r="AP85" i="13"/>
  <c r="AP84" i="13"/>
  <c r="AP83" i="13"/>
  <c r="AP82" i="13"/>
  <c r="AP81" i="13"/>
  <c r="AP80" i="13"/>
  <c r="AP79" i="13"/>
  <c r="AP78" i="13"/>
  <c r="AP77" i="13"/>
  <c r="AP76" i="13"/>
  <c r="AP75" i="13"/>
  <c r="AP74" i="13"/>
  <c r="AP73" i="13"/>
  <c r="AP72" i="13"/>
  <c r="AP71" i="13"/>
  <c r="AP70" i="13"/>
  <c r="AP69" i="13"/>
  <c r="AP68" i="13"/>
  <c r="AP67" i="13"/>
  <c r="AP66" i="13"/>
  <c r="AP65" i="13"/>
  <c r="AP64" i="13"/>
  <c r="AP63" i="13"/>
  <c r="AP62" i="13"/>
  <c r="AP61" i="13"/>
  <c r="AP60" i="13"/>
  <c r="AP59" i="13"/>
  <c r="AP58" i="13"/>
  <c r="AP57" i="13"/>
  <c r="AP56" i="13"/>
  <c r="AP55" i="13"/>
  <c r="AP54" i="13"/>
  <c r="AP53" i="13"/>
  <c r="AP52" i="13"/>
  <c r="AP51" i="13"/>
  <c r="AP50" i="13"/>
  <c r="AP49" i="13"/>
  <c r="AP48" i="13"/>
  <c r="AP47" i="13"/>
  <c r="AP46" i="13"/>
  <c r="AP45" i="13"/>
  <c r="AP44" i="13"/>
  <c r="AP43" i="13"/>
  <c r="AP42" i="13"/>
  <c r="AP41" i="13"/>
  <c r="AP40" i="13"/>
  <c r="AP39" i="13"/>
  <c r="AP38" i="13"/>
  <c r="AP37" i="13"/>
  <c r="AP36" i="13"/>
  <c r="AP35" i="13"/>
  <c r="AP34" i="13"/>
  <c r="AP33" i="13"/>
  <c r="AP32" i="13"/>
  <c r="AP31" i="13"/>
  <c r="AP30" i="13"/>
  <c r="AP29" i="13"/>
  <c r="AP28" i="13"/>
  <c r="AP27" i="13"/>
  <c r="AP26" i="13"/>
  <c r="AP25" i="13"/>
  <c r="AP24" i="13"/>
  <c r="AP23" i="13"/>
  <c r="AP22" i="13"/>
  <c r="AP21" i="13"/>
  <c r="AP20" i="13"/>
  <c r="AP19" i="13"/>
  <c r="AP18" i="13"/>
  <c r="AP17" i="13"/>
  <c r="AP16" i="13"/>
  <c r="AP15" i="13"/>
  <c r="AP14" i="13"/>
  <c r="AP13" i="13"/>
  <c r="AP12" i="13"/>
  <c r="AP11" i="13"/>
  <c r="AP10" i="13"/>
  <c r="AP9" i="13"/>
  <c r="AP8" i="13"/>
  <c r="AP7" i="13"/>
  <c r="AP6" i="13"/>
  <c r="AP5" i="13"/>
  <c r="AQ5" i="13" l="1"/>
  <c r="AX5" i="13"/>
  <c r="BF5" i="13"/>
  <c r="AY5" i="13"/>
  <c r="BI5" i="13"/>
  <c r="BH5" i="13"/>
  <c r="BG5" i="13"/>
  <c r="AZ5" i="13"/>
  <c r="AS5" i="13"/>
  <c r="BC5" i="13"/>
  <c r="BB5" i="13"/>
  <c r="BA5" i="13"/>
  <c r="AT5" i="13"/>
  <c r="BD5" i="13"/>
  <c r="BE5" i="13"/>
  <c r="AW5" i="13"/>
  <c r="AR5" i="13"/>
  <c r="AV5" i="13"/>
  <c r="AU5" i="13"/>
  <c r="AT21" i="13"/>
  <c r="BI21" i="13"/>
  <c r="BF21" i="13"/>
  <c r="AZ21" i="13"/>
  <c r="AS21" i="13"/>
  <c r="BC21" i="13"/>
  <c r="BB21" i="13"/>
  <c r="AU21" i="13"/>
  <c r="BD21" i="13"/>
  <c r="AW21" i="13"/>
  <c r="AV21" i="13"/>
  <c r="BE21" i="13"/>
  <c r="AQ21" i="13"/>
  <c r="AY21" i="13"/>
  <c r="BG21" i="13"/>
  <c r="AX21" i="13"/>
  <c r="BA21" i="13"/>
  <c r="AR21" i="13"/>
  <c r="BH21" i="13"/>
  <c r="BA25" i="13"/>
  <c r="AT25" i="13"/>
  <c r="BH25" i="13"/>
  <c r="AV25" i="13"/>
  <c r="AQ25" i="13"/>
  <c r="AU25" i="13"/>
  <c r="BE25" i="13"/>
  <c r="BD25" i="13"/>
  <c r="BI25" i="13"/>
  <c r="BB25" i="13"/>
  <c r="AZ25" i="13"/>
  <c r="AR25" i="13"/>
  <c r="AY25" i="13"/>
  <c r="BC25" i="13"/>
  <c r="BF25" i="13"/>
  <c r="AS25" i="13"/>
  <c r="BG25" i="13"/>
  <c r="AX25" i="13"/>
  <c r="AW25" i="13"/>
  <c r="AQ29" i="13"/>
  <c r="AV29" i="13"/>
  <c r="BD29" i="13"/>
  <c r="BE29" i="13"/>
  <c r="BI29" i="13"/>
  <c r="AX29" i="13"/>
  <c r="BG29" i="13"/>
  <c r="BF29" i="13"/>
  <c r="AY29" i="13"/>
  <c r="BC29" i="13"/>
  <c r="BA29" i="13"/>
  <c r="AS29" i="13"/>
  <c r="AW29" i="13"/>
  <c r="AU29" i="13"/>
  <c r="AR29" i="13"/>
  <c r="BB29" i="13"/>
  <c r="AZ29" i="13"/>
  <c r="BH29" i="13"/>
  <c r="AT29" i="13"/>
  <c r="AY33" i="13"/>
  <c r="AX33" i="13"/>
  <c r="BC33" i="13"/>
  <c r="BH33" i="13"/>
  <c r="BA33" i="13"/>
  <c r="AS33" i="13"/>
  <c r="AT33" i="13"/>
  <c r="BF33" i="13"/>
  <c r="AU33" i="13"/>
  <c r="AZ33" i="13"/>
  <c r="BI33" i="13"/>
  <c r="BB33" i="13"/>
  <c r="BD33" i="13"/>
  <c r="AV33" i="13"/>
  <c r="AR33" i="13"/>
  <c r="AW33" i="13"/>
  <c r="AQ33" i="13"/>
  <c r="BE33" i="13"/>
  <c r="BG33" i="13"/>
  <c r="AV37" i="13"/>
  <c r="BE37" i="13"/>
  <c r="BD37" i="13"/>
  <c r="BC37" i="13"/>
  <c r="BG37" i="13"/>
  <c r="BF37" i="13"/>
  <c r="AY37" i="13"/>
  <c r="AT37" i="13"/>
  <c r="AR37" i="13"/>
  <c r="BB37" i="13"/>
  <c r="BA37" i="13"/>
  <c r="AS37" i="13"/>
  <c r="BI37" i="13"/>
  <c r="AX37" i="13"/>
  <c r="AW37" i="13"/>
  <c r="AU37" i="13"/>
  <c r="AZ37" i="13"/>
  <c r="BH37" i="13"/>
  <c r="AQ37" i="13"/>
  <c r="BC41" i="13"/>
  <c r="BH41" i="13"/>
  <c r="BA41" i="13"/>
  <c r="AZ41" i="13"/>
  <c r="AY41" i="13"/>
  <c r="AW41" i="13"/>
  <c r="BB41" i="13"/>
  <c r="AU41" i="13"/>
  <c r="AT41" i="13"/>
  <c r="AS41" i="13"/>
  <c r="AQ41" i="13"/>
  <c r="AR41" i="13"/>
  <c r="BD41" i="13"/>
  <c r="BF41" i="13"/>
  <c r="BI41" i="13"/>
  <c r="BE41" i="13"/>
  <c r="AV41" i="13"/>
  <c r="BG41" i="13"/>
  <c r="AX41" i="13"/>
  <c r="BD45" i="13"/>
  <c r="BI45" i="13"/>
  <c r="AY45" i="13"/>
  <c r="AT45" i="13"/>
  <c r="BF45" i="13"/>
  <c r="AZ45" i="13"/>
  <c r="AS45" i="13"/>
  <c r="BC45" i="13"/>
  <c r="BH45" i="13"/>
  <c r="BG45" i="13"/>
  <c r="AW45" i="13"/>
  <c r="BA45" i="13"/>
  <c r="AQ45" i="13"/>
  <c r="BE45" i="13"/>
  <c r="BB45" i="13"/>
  <c r="AX45" i="13"/>
  <c r="AV45" i="13"/>
  <c r="AR45" i="13"/>
  <c r="AU45" i="13"/>
  <c r="BA49" i="13"/>
  <c r="AZ49" i="13"/>
  <c r="AS49" i="13"/>
  <c r="AR49" i="13"/>
  <c r="AQ49" i="13"/>
  <c r="AU49" i="13"/>
  <c r="BE49" i="13"/>
  <c r="AX49" i="13"/>
  <c r="BB49" i="13"/>
  <c r="BH49" i="13"/>
  <c r="AY49" i="13"/>
  <c r="BI49" i="13"/>
  <c r="AT49" i="13"/>
  <c r="AW49" i="13"/>
  <c r="AV49" i="13"/>
  <c r="BF49" i="13"/>
  <c r="BD49" i="13"/>
  <c r="BC49" i="13"/>
  <c r="BG49" i="13"/>
  <c r="AQ53" i="13"/>
  <c r="AV53" i="13"/>
  <c r="AU53" i="13"/>
  <c r="BE53" i="13"/>
  <c r="BI53" i="13"/>
  <c r="AX53" i="13"/>
  <c r="BD53" i="13"/>
  <c r="BF53" i="13"/>
  <c r="AY53" i="13"/>
  <c r="BH53" i="13"/>
  <c r="AZ53" i="13"/>
  <c r="BB53" i="13"/>
  <c r="AT53" i="13"/>
  <c r="BA53" i="13"/>
  <c r="BC53" i="13"/>
  <c r="AS53" i="13"/>
  <c r="AW53" i="13"/>
  <c r="BG53" i="13"/>
  <c r="AR53" i="13"/>
  <c r="AY57" i="13"/>
  <c r="AX57" i="13"/>
  <c r="BC57" i="13"/>
  <c r="BH57" i="13"/>
  <c r="BA57" i="13"/>
  <c r="AS57" i="13"/>
  <c r="AR57" i="13"/>
  <c r="AW57" i="13"/>
  <c r="BB57" i="13"/>
  <c r="AU57" i="13"/>
  <c r="BF57" i="13"/>
  <c r="AQ57" i="13"/>
  <c r="BD57" i="13"/>
  <c r="AV57" i="13"/>
  <c r="AT57" i="13"/>
  <c r="BG57" i="13"/>
  <c r="BI57" i="13"/>
  <c r="AZ57" i="13"/>
  <c r="BE57" i="13"/>
  <c r="BF61" i="13"/>
  <c r="BE61" i="13"/>
  <c r="AX61" i="13"/>
  <c r="BC61" i="13"/>
  <c r="BA61" i="13"/>
  <c r="BH61" i="13"/>
  <c r="AR61" i="13"/>
  <c r="AQ61" i="13"/>
  <c r="AU61" i="13"/>
  <c r="AY61" i="13"/>
  <c r="BB61" i="13"/>
  <c r="AV61" i="13"/>
  <c r="BG61" i="13"/>
  <c r="BD61" i="13"/>
  <c r="AZ61" i="13"/>
  <c r="BI61" i="13"/>
  <c r="AS61" i="13"/>
  <c r="AW61" i="13"/>
  <c r="AT61" i="13"/>
  <c r="BC65" i="13"/>
  <c r="BH65" i="13"/>
  <c r="BG65" i="13"/>
  <c r="BF65" i="13"/>
  <c r="AY65" i="13"/>
  <c r="AW65" i="13"/>
  <c r="BB65" i="13"/>
  <c r="BA65" i="13"/>
  <c r="AZ65" i="13"/>
  <c r="AS65" i="13"/>
  <c r="AV65" i="13"/>
  <c r="AT65" i="13"/>
  <c r="BI65" i="13"/>
  <c r="BD65" i="13"/>
  <c r="BE65" i="13"/>
  <c r="AR65" i="13"/>
  <c r="AU65" i="13"/>
  <c r="AX65" i="13"/>
  <c r="AQ65" i="13"/>
  <c r="AZ69" i="13"/>
  <c r="BI69" i="13"/>
  <c r="BF69" i="13"/>
  <c r="BG69" i="13"/>
  <c r="BE69" i="13"/>
  <c r="BD69" i="13"/>
  <c r="BC69" i="13"/>
  <c r="BH69" i="13"/>
  <c r="BA69" i="13"/>
  <c r="AX69" i="13"/>
  <c r="BB69" i="13"/>
  <c r="AW69" i="13"/>
  <c r="AT69" i="13"/>
  <c r="AY69" i="13"/>
  <c r="AQ69" i="13"/>
  <c r="AS69" i="13"/>
  <c r="AV69" i="13"/>
  <c r="AU69" i="13"/>
  <c r="AR69" i="13"/>
  <c r="BA73" i="13"/>
  <c r="AT73" i="13"/>
  <c r="AV73" i="13"/>
  <c r="BH73" i="13"/>
  <c r="AQ73" i="13"/>
  <c r="BG73" i="13"/>
  <c r="BE73" i="13"/>
  <c r="AX73" i="13"/>
  <c r="AW73" i="13"/>
  <c r="AU73" i="13"/>
  <c r="AY73" i="13"/>
  <c r="AR73" i="13"/>
  <c r="BB73" i="13"/>
  <c r="AZ73" i="13"/>
  <c r="BC73" i="13"/>
  <c r="AS73" i="13"/>
  <c r="BI73" i="13"/>
  <c r="BF73" i="13"/>
  <c r="BD73" i="13"/>
  <c r="AQ77" i="13"/>
  <c r="BG77" i="13"/>
  <c r="BF77" i="13"/>
  <c r="BE77" i="13"/>
  <c r="BI77" i="13"/>
  <c r="BH77" i="13"/>
  <c r="BA77" i="13"/>
  <c r="AZ77" i="13"/>
  <c r="AY77" i="13"/>
  <c r="BC77" i="13"/>
  <c r="AU77" i="13"/>
  <c r="AS77" i="13"/>
  <c r="AW77" i="13"/>
  <c r="AX77" i="13"/>
  <c r="AR77" i="13"/>
  <c r="BD77" i="13"/>
  <c r="BB77" i="13"/>
  <c r="AT77" i="13"/>
  <c r="AV77" i="13"/>
  <c r="AY81" i="13"/>
  <c r="AR81" i="13"/>
  <c r="AQ81" i="13"/>
  <c r="AV81" i="13"/>
  <c r="AU81" i="13"/>
  <c r="AS81" i="13"/>
  <c r="BI81" i="13"/>
  <c r="AZ81" i="13"/>
  <c r="AT81" i="13"/>
  <c r="BF81" i="13"/>
  <c r="BC81" i="13"/>
  <c r="BG81" i="13"/>
  <c r="BD81" i="13"/>
  <c r="BB81" i="13"/>
  <c r="AX81" i="13"/>
  <c r="BA81" i="13"/>
  <c r="AW81" i="13"/>
  <c r="BE81" i="13"/>
  <c r="BH81" i="13"/>
  <c r="BG85" i="13"/>
  <c r="BF85" i="13"/>
  <c r="BE85" i="13"/>
  <c r="BD85" i="13"/>
  <c r="BC85" i="13"/>
  <c r="BA85" i="13"/>
  <c r="AZ85" i="13"/>
  <c r="AY85" i="13"/>
  <c r="AX85" i="13"/>
  <c r="AW85" i="13"/>
  <c r="AV85" i="13"/>
  <c r="BH85" i="13"/>
  <c r="AT85" i="13"/>
  <c r="AR85" i="13"/>
  <c r="AS85" i="13"/>
  <c r="BI85" i="13"/>
  <c r="AU85" i="13"/>
  <c r="AQ85" i="13"/>
  <c r="BB85" i="13"/>
  <c r="BC89" i="13"/>
  <c r="BH89" i="13"/>
  <c r="BA89" i="13"/>
  <c r="AZ89" i="13"/>
  <c r="AS89" i="13"/>
  <c r="AW89" i="13"/>
  <c r="BB89" i="13"/>
  <c r="AU89" i="13"/>
  <c r="AT89" i="13"/>
  <c r="BD89" i="13"/>
  <c r="AQ89" i="13"/>
  <c r="AR89" i="13"/>
  <c r="AX89" i="13"/>
  <c r="BF89" i="13"/>
  <c r="BG89" i="13"/>
  <c r="BE89" i="13"/>
  <c r="AV89" i="13"/>
  <c r="AY89" i="13"/>
  <c r="BI89" i="13"/>
  <c r="BD93" i="13"/>
  <c r="BI93" i="13"/>
  <c r="BF93" i="13"/>
  <c r="BG93" i="13"/>
  <c r="BE93" i="13"/>
  <c r="AX93" i="13"/>
  <c r="BC93" i="13"/>
  <c r="BH93" i="13"/>
  <c r="BA93" i="13"/>
  <c r="AY93" i="13"/>
  <c r="AW93" i="13"/>
  <c r="AU93" i="13"/>
  <c r="AT93" i="13"/>
  <c r="AZ93" i="13"/>
  <c r="AQ93" i="13"/>
  <c r="AS93" i="13"/>
  <c r="BB93" i="13"/>
  <c r="AV93" i="13"/>
  <c r="AR93" i="13"/>
  <c r="AU97" i="13"/>
  <c r="AT97" i="13"/>
  <c r="AS97" i="13"/>
  <c r="BI97" i="13"/>
  <c r="BB97" i="13"/>
  <c r="BH97" i="13"/>
  <c r="AV97" i="13"/>
  <c r="BD97" i="13"/>
  <c r="BC97" i="13"/>
  <c r="AZ97" i="13"/>
  <c r="AR97" i="13"/>
  <c r="BG97" i="13"/>
  <c r="BE97" i="13"/>
  <c r="AW97" i="13"/>
  <c r="BF97" i="13"/>
  <c r="AY97" i="13"/>
  <c r="AX97" i="13"/>
  <c r="AQ97" i="13"/>
  <c r="BA97" i="13"/>
  <c r="AQ101" i="13"/>
  <c r="AV101" i="13"/>
  <c r="BF101" i="13"/>
  <c r="BE101" i="13"/>
  <c r="BI101" i="13"/>
  <c r="AR101" i="13"/>
  <c r="BG101" i="13"/>
  <c r="AZ101" i="13"/>
  <c r="AY101" i="13"/>
  <c r="BH101" i="13"/>
  <c r="AT101" i="13"/>
  <c r="BB101" i="13"/>
  <c r="BD101" i="13"/>
  <c r="AW101" i="13"/>
  <c r="AX101" i="13"/>
  <c r="BA101" i="13"/>
  <c r="BC101" i="13"/>
  <c r="AU101" i="13"/>
  <c r="AS101" i="13"/>
  <c r="AY105" i="13"/>
  <c r="AR105" i="13"/>
  <c r="AQ105" i="13"/>
  <c r="AV105" i="13"/>
  <c r="AU105" i="13"/>
  <c r="AS105" i="13"/>
  <c r="BI105" i="13"/>
  <c r="BF105" i="13"/>
  <c r="AZ105" i="13"/>
  <c r="AT105" i="13"/>
  <c r="BD105" i="13"/>
  <c r="BH105" i="13"/>
  <c r="BE105" i="13"/>
  <c r="BB105" i="13"/>
  <c r="AX105" i="13"/>
  <c r="BG105" i="13"/>
  <c r="BC105" i="13"/>
  <c r="BA105" i="13"/>
  <c r="AW105" i="13"/>
  <c r="BG109" i="13"/>
  <c r="BF109" i="13"/>
  <c r="AY109" i="13"/>
  <c r="AX109" i="13"/>
  <c r="BC109" i="13"/>
  <c r="BA109" i="13"/>
  <c r="AZ109" i="13"/>
  <c r="AS109" i="13"/>
  <c r="AR109" i="13"/>
  <c r="AW109" i="13"/>
  <c r="BE109" i="13"/>
  <c r="BI109" i="13"/>
  <c r="AU109" i="13"/>
  <c r="AV109" i="13"/>
  <c r="AQ109" i="13"/>
  <c r="BB109" i="13"/>
  <c r="BH109" i="13"/>
  <c r="AT109" i="13"/>
  <c r="BD109" i="13"/>
  <c r="AW113" i="13"/>
  <c r="BB113" i="13"/>
  <c r="AU113" i="13"/>
  <c r="BD113" i="13"/>
  <c r="AR113" i="13"/>
  <c r="AQ113" i="13"/>
  <c r="AV113" i="13"/>
  <c r="BF113" i="13"/>
  <c r="BE113" i="13"/>
  <c r="BH113" i="13"/>
  <c r="AT113" i="13"/>
  <c r="BI113" i="13"/>
  <c r="BG113" i="13"/>
  <c r="AY113" i="13"/>
  <c r="AZ113" i="13"/>
  <c r="BC113" i="13"/>
  <c r="AS113" i="13"/>
  <c r="AX113" i="13"/>
  <c r="BA113" i="13"/>
  <c r="BF117" i="13"/>
  <c r="AT117" i="13"/>
  <c r="AQ117" i="13"/>
  <c r="AZ117" i="13"/>
  <c r="BE117" i="13"/>
  <c r="BD117" i="13"/>
  <c r="BI117" i="13"/>
  <c r="BH117" i="13"/>
  <c r="BG117" i="13"/>
  <c r="AX117" i="13"/>
  <c r="BB117" i="13"/>
  <c r="AR117" i="13"/>
  <c r="BA117" i="13"/>
  <c r="BC117" i="13"/>
  <c r="AU117" i="13"/>
  <c r="AY117" i="13"/>
  <c r="AW117" i="13"/>
  <c r="AS117" i="13"/>
  <c r="AV117" i="13"/>
  <c r="AU129" i="13"/>
  <c r="AT129" i="13"/>
  <c r="AS129" i="13"/>
  <c r="BI129" i="13"/>
  <c r="AV129" i="13"/>
  <c r="BB129" i="13"/>
  <c r="BH129" i="13"/>
  <c r="BD129" i="13"/>
  <c r="BC129" i="13"/>
  <c r="BA129" i="13"/>
  <c r="AY129" i="13"/>
  <c r="AQ129" i="13"/>
  <c r="BF129" i="13"/>
  <c r="AX129" i="13"/>
  <c r="BE129" i="13"/>
  <c r="AR129" i="13"/>
  <c r="BG129" i="13"/>
  <c r="AW129" i="13"/>
  <c r="AZ129" i="13"/>
  <c r="BI133" i="13"/>
  <c r="BD133" i="13"/>
  <c r="BG133" i="13"/>
  <c r="BF133" i="13"/>
  <c r="AY133" i="13"/>
  <c r="BC133" i="13"/>
  <c r="BH133" i="13"/>
  <c r="BA133" i="13"/>
  <c r="AZ133" i="13"/>
  <c r="AS133" i="13"/>
  <c r="AV133" i="13"/>
  <c r="BE133" i="13"/>
  <c r="AW133" i="13"/>
  <c r="AU133" i="13"/>
  <c r="AR133" i="13"/>
  <c r="BB133" i="13"/>
  <c r="AX133" i="13"/>
  <c r="AQ133" i="13"/>
  <c r="AT133" i="13"/>
  <c r="AY137" i="13"/>
  <c r="AR137" i="13"/>
  <c r="AQ137" i="13"/>
  <c r="AZ137" i="13"/>
  <c r="BF137" i="13"/>
  <c r="AS137" i="13"/>
  <c r="BI137" i="13"/>
  <c r="BH137" i="13"/>
  <c r="BG137" i="13"/>
  <c r="AT137" i="13"/>
  <c r="BC137" i="13"/>
  <c r="BA137" i="13"/>
  <c r="BE137" i="13"/>
  <c r="BB137" i="13"/>
  <c r="BD137" i="13"/>
  <c r="AV137" i="13"/>
  <c r="AX137" i="13"/>
  <c r="AU137" i="13"/>
  <c r="AW137" i="13"/>
  <c r="BG167" i="13"/>
  <c r="AZ167" i="13"/>
  <c r="AS167" i="13"/>
  <c r="AR167" i="13"/>
  <c r="AQ167" i="13"/>
  <c r="BA167" i="13"/>
  <c r="AT167" i="13"/>
  <c r="AV167" i="13"/>
  <c r="BI167" i="13"/>
  <c r="BH167" i="13"/>
  <c r="BF167" i="13"/>
  <c r="AX167" i="13"/>
  <c r="BE167" i="13"/>
  <c r="BC167" i="13"/>
  <c r="AU167" i="13"/>
  <c r="BB167" i="13"/>
  <c r="AY167" i="13"/>
  <c r="BD167" i="13"/>
  <c r="AW167" i="13"/>
  <c r="AW171" i="13"/>
  <c r="BB171" i="13"/>
  <c r="BA171" i="13"/>
  <c r="AT171" i="13"/>
  <c r="AS171" i="13"/>
  <c r="AQ171" i="13"/>
  <c r="AV171" i="13"/>
  <c r="AU171" i="13"/>
  <c r="AX171" i="13"/>
  <c r="BC171" i="13"/>
  <c r="BG171" i="13"/>
  <c r="AY171" i="13"/>
  <c r="BD171" i="13"/>
  <c r="BF171" i="13"/>
  <c r="BI171" i="13"/>
  <c r="BE171" i="13"/>
  <c r="BH171" i="13"/>
  <c r="AZ171" i="13"/>
  <c r="AR171" i="13"/>
  <c r="BF175" i="13"/>
  <c r="AZ175" i="13"/>
  <c r="AQ175" i="13"/>
  <c r="AT175" i="13"/>
  <c r="BE175" i="13"/>
  <c r="BD175" i="13"/>
  <c r="BI175" i="13"/>
  <c r="BH175" i="13"/>
  <c r="BG175" i="13"/>
  <c r="AR175" i="13"/>
  <c r="AV175" i="13"/>
  <c r="AS175" i="13"/>
  <c r="BB175" i="13"/>
  <c r="AX175" i="13"/>
  <c r="BA175" i="13"/>
  <c r="BC175" i="13"/>
  <c r="AU175" i="13"/>
  <c r="AY175" i="13"/>
  <c r="AW175" i="13"/>
  <c r="AU196" i="13"/>
  <c r="AV196" i="13"/>
  <c r="BH196" i="13"/>
  <c r="BI196" i="13"/>
  <c r="BB196" i="13"/>
  <c r="BF196" i="13"/>
  <c r="BE196" i="13"/>
  <c r="BD196" i="13"/>
  <c r="BC196" i="13"/>
  <c r="AT196" i="13"/>
  <c r="AR196" i="13"/>
  <c r="AW196" i="13"/>
  <c r="BG196" i="13"/>
  <c r="AY196" i="13"/>
  <c r="AX196" i="13"/>
  <c r="BA196" i="13"/>
  <c r="AQ196" i="13"/>
  <c r="AZ196" i="13"/>
  <c r="AS196" i="13"/>
  <c r="BI200" i="13"/>
  <c r="AX200" i="13"/>
  <c r="BG200" i="13"/>
  <c r="BF200" i="13"/>
  <c r="BE200" i="13"/>
  <c r="BC200" i="13"/>
  <c r="BH200" i="13"/>
  <c r="BA200" i="13"/>
  <c r="AZ200" i="13"/>
  <c r="AY200" i="13"/>
  <c r="AQ200" i="13"/>
  <c r="BD200" i="13"/>
  <c r="BB200" i="13"/>
  <c r="AT200" i="13"/>
  <c r="AU200" i="13"/>
  <c r="AR200" i="13"/>
  <c r="AV200" i="13"/>
  <c r="AS200" i="13"/>
  <c r="AW200" i="13"/>
  <c r="AY204" i="13"/>
  <c r="AR204" i="13"/>
  <c r="AW204" i="13"/>
  <c r="BB204" i="13"/>
  <c r="AU204" i="13"/>
  <c r="AS204" i="13"/>
  <c r="AT204" i="13"/>
  <c r="AQ204" i="13"/>
  <c r="AV204" i="13"/>
  <c r="AZ204" i="13"/>
  <c r="BE204" i="13"/>
  <c r="BC204" i="13"/>
  <c r="BA204" i="13"/>
  <c r="BI204" i="13"/>
  <c r="BF204" i="13"/>
  <c r="BD204" i="13"/>
  <c r="BH204" i="13"/>
  <c r="AX204" i="13"/>
  <c r="BG204" i="13"/>
  <c r="BG223" i="13"/>
  <c r="BF223" i="13"/>
  <c r="BE223" i="13"/>
  <c r="AX223" i="13"/>
  <c r="BC223" i="13"/>
  <c r="BA223" i="13"/>
  <c r="AZ223" i="13"/>
  <c r="AY223" i="13"/>
  <c r="AR223" i="13"/>
  <c r="AW223" i="13"/>
  <c r="AV223" i="13"/>
  <c r="BI223" i="13"/>
  <c r="AS223" i="13"/>
  <c r="AU223" i="13"/>
  <c r="AQ223" i="13"/>
  <c r="AT223" i="13"/>
  <c r="BD223" i="13"/>
  <c r="BB223" i="13"/>
  <c r="BH223" i="13"/>
  <c r="AW227" i="13"/>
  <c r="BB227" i="13"/>
  <c r="BA227" i="13"/>
  <c r="AT227" i="13"/>
  <c r="BD227" i="13"/>
  <c r="AQ227" i="13"/>
  <c r="AV227" i="13"/>
  <c r="AU227" i="13"/>
  <c r="BE227" i="13"/>
  <c r="BH227" i="13"/>
  <c r="AZ227" i="13"/>
  <c r="BI227" i="13"/>
  <c r="AX227" i="13"/>
  <c r="AY227" i="13"/>
  <c r="AR227" i="13"/>
  <c r="BG227" i="13"/>
  <c r="BC227" i="13"/>
  <c r="BF227" i="13"/>
  <c r="AS227" i="13"/>
  <c r="AZ440" i="13"/>
  <c r="AT440" i="13"/>
  <c r="AQ440" i="13"/>
  <c r="AV440" i="13"/>
  <c r="BE440" i="13"/>
  <c r="BD440" i="13"/>
  <c r="BI440" i="13"/>
  <c r="BF440" i="13"/>
  <c r="BG440" i="13"/>
  <c r="AY440" i="13"/>
  <c r="BC440" i="13"/>
  <c r="BA440" i="13"/>
  <c r="AS440" i="13"/>
  <c r="AW440" i="13"/>
  <c r="AU440" i="13"/>
  <c r="AX440" i="13"/>
  <c r="BH440" i="13"/>
  <c r="AR440" i="13"/>
  <c r="BB440" i="13"/>
  <c r="AU444" i="13"/>
  <c r="AT444" i="13"/>
  <c r="BD444" i="13"/>
  <c r="BI444" i="13"/>
  <c r="BB444" i="13"/>
  <c r="AV444" i="13"/>
  <c r="BE444" i="13"/>
  <c r="AX444" i="13"/>
  <c r="BC444" i="13"/>
  <c r="BA444" i="13"/>
  <c r="AS444" i="13"/>
  <c r="AQ444" i="13"/>
  <c r="AR444" i="13"/>
  <c r="BF444" i="13"/>
  <c r="BG444" i="13"/>
  <c r="AW444" i="13"/>
  <c r="AZ444" i="13"/>
  <c r="AY444" i="13"/>
  <c r="BH444" i="13"/>
  <c r="AW448" i="13"/>
  <c r="AV448" i="13"/>
  <c r="AU448" i="13"/>
  <c r="AX448" i="13"/>
  <c r="BD448" i="13"/>
  <c r="AQ448" i="13"/>
  <c r="AR448" i="13"/>
  <c r="BF448" i="13"/>
  <c r="BE448" i="13"/>
  <c r="BC448" i="13"/>
  <c r="BA448" i="13"/>
  <c r="AS448" i="13"/>
  <c r="BH448" i="13"/>
  <c r="AZ448" i="13"/>
  <c r="BG448" i="13"/>
  <c r="AT448" i="13"/>
  <c r="BB448" i="13"/>
  <c r="AY448" i="13"/>
  <c r="BI448" i="13"/>
  <c r="AY452" i="13"/>
  <c r="AR452" i="13"/>
  <c r="AW452" i="13"/>
  <c r="AV452" i="13"/>
  <c r="AU452" i="13"/>
  <c r="AS452" i="13"/>
  <c r="BF452" i="13"/>
  <c r="AQ452" i="13"/>
  <c r="AZ452" i="13"/>
  <c r="AT452" i="13"/>
  <c r="BD452" i="13"/>
  <c r="BH452" i="13"/>
  <c r="AX452" i="13"/>
  <c r="BB452" i="13"/>
  <c r="BI452" i="13"/>
  <c r="BG452" i="13"/>
  <c r="BE452" i="13"/>
  <c r="BC452" i="13"/>
  <c r="BA452" i="13"/>
  <c r="BC17" i="13"/>
  <c r="BB17" i="13"/>
  <c r="AU17" i="13"/>
  <c r="AT17" i="13"/>
  <c r="AS17" i="13"/>
  <c r="AW17" i="13"/>
  <c r="AV17" i="13"/>
  <c r="AX17" i="13"/>
  <c r="AR17" i="13"/>
  <c r="BD17" i="13"/>
  <c r="AQ17" i="13"/>
  <c r="BG17" i="13"/>
  <c r="BE17" i="13"/>
  <c r="BA17" i="13"/>
  <c r="AY17" i="13"/>
  <c r="AZ17" i="13"/>
  <c r="BI17" i="13"/>
  <c r="BF17" i="13"/>
  <c r="BH17" i="13"/>
  <c r="AZ14" i="13"/>
  <c r="AS14" i="13"/>
  <c r="AR14" i="13"/>
  <c r="AQ14" i="13"/>
  <c r="BA14" i="13"/>
  <c r="AT14" i="13"/>
  <c r="AU14" i="13"/>
  <c r="BI14" i="13"/>
  <c r="BH14" i="13"/>
  <c r="BG14" i="13"/>
  <c r="BF14" i="13"/>
  <c r="AX14" i="13"/>
  <c r="AV14" i="13"/>
  <c r="BE14" i="13"/>
  <c r="BC14" i="13"/>
  <c r="BD14" i="13"/>
  <c r="AW14" i="13"/>
  <c r="BB14" i="13"/>
  <c r="AY14" i="13"/>
  <c r="AV18" i="13"/>
  <c r="AU18" i="13"/>
  <c r="AT18" i="13"/>
  <c r="BD18" i="13"/>
  <c r="BI18" i="13"/>
  <c r="AW18" i="13"/>
  <c r="BC18" i="13"/>
  <c r="BE18" i="13"/>
  <c r="AX18" i="13"/>
  <c r="BA18" i="13"/>
  <c r="AS18" i="13"/>
  <c r="BH18" i="13"/>
  <c r="BF18" i="13"/>
  <c r="AR18" i="13"/>
  <c r="AY18" i="13"/>
  <c r="BB18" i="13"/>
  <c r="AQ18" i="13"/>
  <c r="BG18" i="13"/>
  <c r="AZ18" i="13"/>
  <c r="BD22" i="13"/>
  <c r="BC22" i="13"/>
  <c r="BH22" i="13"/>
  <c r="BA22" i="13"/>
  <c r="AT22" i="13"/>
  <c r="AW22" i="13"/>
  <c r="AV22" i="13"/>
  <c r="AZ22" i="13"/>
  <c r="AX22" i="13"/>
  <c r="AQ22" i="13"/>
  <c r="BG22" i="13"/>
  <c r="AY22" i="13"/>
  <c r="AR22" i="13"/>
  <c r="BE22" i="13"/>
  <c r="AU22" i="13"/>
  <c r="AS22" i="13"/>
  <c r="BI22" i="13"/>
  <c r="BB22" i="13"/>
  <c r="BF22" i="13"/>
  <c r="BE26" i="13"/>
  <c r="BD26" i="13"/>
  <c r="BA26" i="13"/>
  <c r="AQ26" i="13"/>
  <c r="BF26" i="13"/>
  <c r="AY26" i="13"/>
  <c r="AX26" i="13"/>
  <c r="BI26" i="13"/>
  <c r="AT26" i="13"/>
  <c r="BG26" i="13"/>
  <c r="BB26" i="13"/>
  <c r="BC26" i="13"/>
  <c r="AV26" i="13"/>
  <c r="AS26" i="13"/>
  <c r="AZ26" i="13"/>
  <c r="BH26" i="13"/>
  <c r="AU26" i="13"/>
  <c r="AR26" i="13"/>
  <c r="AW26" i="13"/>
  <c r="BH30" i="13"/>
  <c r="BA30" i="13"/>
  <c r="AZ30" i="13"/>
  <c r="AY30" i="13"/>
  <c r="AX30" i="13"/>
  <c r="BB30" i="13"/>
  <c r="AU30" i="13"/>
  <c r="AT30" i="13"/>
  <c r="AS30" i="13"/>
  <c r="AR30" i="13"/>
  <c r="BF30" i="13"/>
  <c r="BD30" i="13"/>
  <c r="AV30" i="13"/>
  <c r="BI30" i="13"/>
  <c r="BC30" i="13"/>
  <c r="AW30" i="13"/>
  <c r="BE30" i="13"/>
  <c r="AQ30" i="13"/>
  <c r="BG30" i="13"/>
  <c r="AR34" i="13"/>
  <c r="AQ34" i="13"/>
  <c r="AY34" i="13"/>
  <c r="AS34" i="13"/>
  <c r="BE34" i="13"/>
  <c r="BC34" i="13"/>
  <c r="AV34" i="13"/>
  <c r="BF34" i="13"/>
  <c r="BD34" i="13"/>
  <c r="AW34" i="13"/>
  <c r="BG34" i="13"/>
  <c r="AZ34" i="13"/>
  <c r="AX34" i="13"/>
  <c r="BH34" i="13"/>
  <c r="BA34" i="13"/>
  <c r="AT34" i="13"/>
  <c r="BB34" i="13"/>
  <c r="BI34" i="13"/>
  <c r="AU34" i="13"/>
  <c r="AZ38" i="13"/>
  <c r="AS38" i="13"/>
  <c r="AR38" i="13"/>
  <c r="AW38" i="13"/>
  <c r="AV38" i="13"/>
  <c r="BF38" i="13"/>
  <c r="AU38" i="13"/>
  <c r="BI38" i="13"/>
  <c r="BB38" i="13"/>
  <c r="BD38" i="13"/>
  <c r="BC38" i="13"/>
  <c r="AT38" i="13"/>
  <c r="BG38" i="13"/>
  <c r="BA38" i="13"/>
  <c r="BE38" i="13"/>
  <c r="AQ38" i="13"/>
  <c r="AY38" i="13"/>
  <c r="BH38" i="13"/>
  <c r="AX38" i="13"/>
  <c r="AV42" i="13"/>
  <c r="AQ42" i="13"/>
  <c r="AW42" i="13"/>
  <c r="BI42" i="13"/>
  <c r="BC42" i="13"/>
  <c r="BG42" i="13"/>
  <c r="BF42" i="13"/>
  <c r="BE42" i="13"/>
  <c r="BD42" i="13"/>
  <c r="BB42" i="13"/>
  <c r="AT42" i="13"/>
  <c r="AR42" i="13"/>
  <c r="BA42" i="13"/>
  <c r="AY42" i="13"/>
  <c r="BH42" i="13"/>
  <c r="AX42" i="13"/>
  <c r="AU42" i="13"/>
  <c r="AS42" i="13"/>
  <c r="AZ42" i="13"/>
  <c r="BD46" i="13"/>
  <c r="BI46" i="13"/>
  <c r="BE46" i="13"/>
  <c r="BG46" i="13"/>
  <c r="AZ46" i="13"/>
  <c r="AY46" i="13"/>
  <c r="BH46" i="13"/>
  <c r="AU46" i="13"/>
  <c r="BC46" i="13"/>
  <c r="BB46" i="13"/>
  <c r="BF46" i="13"/>
  <c r="AX46" i="13"/>
  <c r="AW46" i="13"/>
  <c r="AV46" i="13"/>
  <c r="AT46" i="13"/>
  <c r="BA46" i="13"/>
  <c r="AS46" i="13"/>
  <c r="AR46" i="13"/>
  <c r="AQ46" i="13"/>
  <c r="BE50" i="13"/>
  <c r="BD50" i="13"/>
  <c r="BC50" i="13"/>
  <c r="BH50" i="13"/>
  <c r="BF50" i="13"/>
  <c r="AS50" i="13"/>
  <c r="BI50" i="13"/>
  <c r="BB50" i="13"/>
  <c r="AZ50" i="13"/>
  <c r="AW50" i="13"/>
  <c r="AV50" i="13"/>
  <c r="AU50" i="13"/>
  <c r="AY50" i="13"/>
  <c r="BA50" i="13"/>
  <c r="AX50" i="13"/>
  <c r="BG50" i="13"/>
  <c r="AR50" i="13"/>
  <c r="AT50" i="13"/>
  <c r="AQ50" i="13"/>
  <c r="BH54" i="13"/>
  <c r="BA54" i="13"/>
  <c r="AT54" i="13"/>
  <c r="AS54" i="13"/>
  <c r="AR54" i="13"/>
  <c r="BB54" i="13"/>
  <c r="AU54" i="13"/>
  <c r="AW54" i="13"/>
  <c r="BI54" i="13"/>
  <c r="BC54" i="13"/>
  <c r="BG54" i="13"/>
  <c r="AY54" i="13"/>
  <c r="BF54" i="13"/>
  <c r="BD54" i="13"/>
  <c r="BE54" i="13"/>
  <c r="AX54" i="13"/>
  <c r="AZ54" i="13"/>
  <c r="AQ54" i="13"/>
  <c r="AV54" i="13"/>
  <c r="AR58" i="13"/>
  <c r="AQ58" i="13"/>
  <c r="AV58" i="13"/>
  <c r="AY58" i="13"/>
  <c r="AS58" i="13"/>
  <c r="BI58" i="13"/>
  <c r="BH58" i="13"/>
  <c r="AU58" i="13"/>
  <c r="BC58" i="13"/>
  <c r="BB58" i="13"/>
  <c r="BF58" i="13"/>
  <c r="BD58" i="13"/>
  <c r="AW58" i="13"/>
  <c r="BG58" i="13"/>
  <c r="AZ58" i="13"/>
  <c r="AT58" i="13"/>
  <c r="AX58" i="13"/>
  <c r="BE58" i="13"/>
  <c r="BA58" i="13"/>
  <c r="AZ62" i="13"/>
  <c r="AY62" i="13"/>
  <c r="AR62" i="13"/>
  <c r="AW62" i="13"/>
  <c r="AV62" i="13"/>
  <c r="BE62" i="13"/>
  <c r="BA62" i="13"/>
  <c r="BH62" i="13"/>
  <c r="BF62" i="13"/>
  <c r="BI62" i="13"/>
  <c r="BB62" i="13"/>
  <c r="AS62" i="13"/>
  <c r="AX62" i="13"/>
  <c r="AT62" i="13"/>
  <c r="BC62" i="13"/>
  <c r="BG62" i="13"/>
  <c r="AQ62" i="13"/>
  <c r="BD62" i="13"/>
  <c r="AU62" i="13"/>
  <c r="AV66" i="13"/>
  <c r="AU66" i="13"/>
  <c r="AW66" i="13"/>
  <c r="BC66" i="13"/>
  <c r="AQ66" i="13"/>
  <c r="BI66" i="13"/>
  <c r="BF66" i="13"/>
  <c r="BE66" i="13"/>
  <c r="BD66" i="13"/>
  <c r="BA66" i="13"/>
  <c r="AS66" i="13"/>
  <c r="BH66" i="13"/>
  <c r="AZ66" i="13"/>
  <c r="AX66" i="13"/>
  <c r="BG66" i="13"/>
  <c r="AT66" i="13"/>
  <c r="BB66" i="13"/>
  <c r="AY66" i="13"/>
  <c r="AR66" i="13"/>
  <c r="BD70" i="13"/>
  <c r="BC70" i="13"/>
  <c r="BH70" i="13"/>
  <c r="BA70" i="13"/>
  <c r="AT70" i="13"/>
  <c r="AR70" i="13"/>
  <c r="AS70" i="13"/>
  <c r="AU70" i="13"/>
  <c r="AY70" i="13"/>
  <c r="BI70" i="13"/>
  <c r="BB70" i="13"/>
  <c r="BF70" i="13"/>
  <c r="AW70" i="13"/>
  <c r="AV70" i="13"/>
  <c r="AZ70" i="13"/>
  <c r="AX70" i="13"/>
  <c r="AQ70" i="13"/>
  <c r="BG70" i="13"/>
  <c r="BE70" i="13"/>
  <c r="AU74" i="13"/>
  <c r="BA74" i="13"/>
  <c r="BI74" i="13"/>
  <c r="BH74" i="13"/>
  <c r="BE74" i="13"/>
  <c r="AX74" i="13"/>
  <c r="AQ74" i="13"/>
  <c r="BF74" i="13"/>
  <c r="AR74" i="13"/>
  <c r="BB74" i="13"/>
  <c r="AY74" i="13"/>
  <c r="AT74" i="13"/>
  <c r="AW74" i="13"/>
  <c r="AS74" i="13"/>
  <c r="AV74" i="13"/>
  <c r="BD74" i="13"/>
  <c r="BG74" i="13"/>
  <c r="AZ74" i="13"/>
  <c r="BC74" i="13"/>
  <c r="BH78" i="13"/>
  <c r="BG78" i="13"/>
  <c r="BF78" i="13"/>
  <c r="BE78" i="13"/>
  <c r="AX78" i="13"/>
  <c r="BB78" i="13"/>
  <c r="BA78" i="13"/>
  <c r="AZ78" i="13"/>
  <c r="AY78" i="13"/>
  <c r="AR78" i="13"/>
  <c r="AQ78" i="13"/>
  <c r="BD78" i="13"/>
  <c r="AV78" i="13"/>
  <c r="AT78" i="13"/>
  <c r="BC78" i="13"/>
  <c r="AS78" i="13"/>
  <c r="AW78" i="13"/>
  <c r="AU78" i="13"/>
  <c r="BI78" i="13"/>
  <c r="AR82" i="13"/>
  <c r="AQ82" i="13"/>
  <c r="AV82" i="13"/>
  <c r="AU82" i="13"/>
  <c r="AT82" i="13"/>
  <c r="AX82" i="13"/>
  <c r="AY82" i="13"/>
  <c r="BG82" i="13"/>
  <c r="AZ82" i="13"/>
  <c r="BI82" i="13"/>
  <c r="BH82" i="13"/>
  <c r="BA82" i="13"/>
  <c r="BC82" i="13"/>
  <c r="BB82" i="13"/>
  <c r="BE82" i="13"/>
  <c r="AW82" i="13"/>
  <c r="BD82" i="13"/>
  <c r="AS82" i="13"/>
  <c r="BF82" i="13"/>
  <c r="AZ86" i="13"/>
  <c r="AS86" i="13"/>
  <c r="BG86" i="13"/>
  <c r="AW86" i="13"/>
  <c r="AV86" i="13"/>
  <c r="BE86" i="13"/>
  <c r="AR86" i="13"/>
  <c r="AQ86" i="13"/>
  <c r="AY86" i="13"/>
  <c r="AU86" i="13"/>
  <c r="BH86" i="13"/>
  <c r="AX86" i="13"/>
  <c r="BA86" i="13"/>
  <c r="BF86" i="13"/>
  <c r="BI86" i="13"/>
  <c r="AT86" i="13"/>
  <c r="BC86" i="13"/>
  <c r="BD86" i="13"/>
  <c r="BB86" i="13"/>
  <c r="AV90" i="13"/>
  <c r="AU90" i="13"/>
  <c r="AT90" i="13"/>
  <c r="AS90" i="13"/>
  <c r="AR90" i="13"/>
  <c r="BI90" i="13"/>
  <c r="AW90" i="13"/>
  <c r="BC90" i="13"/>
  <c r="AQ90" i="13"/>
  <c r="BB90" i="13"/>
  <c r="AZ90" i="13"/>
  <c r="AX90" i="13"/>
  <c r="BG90" i="13"/>
  <c r="BE90" i="13"/>
  <c r="BF90" i="13"/>
  <c r="AY90" i="13"/>
  <c r="BH90" i="13"/>
  <c r="BD90" i="13"/>
  <c r="BA90" i="13"/>
  <c r="BD94" i="13"/>
  <c r="BI94" i="13"/>
  <c r="BE94" i="13"/>
  <c r="BG94" i="13"/>
  <c r="BF94" i="13"/>
  <c r="AX94" i="13"/>
  <c r="AW94" i="13"/>
  <c r="AV94" i="13"/>
  <c r="AZ94" i="13"/>
  <c r="AS94" i="13"/>
  <c r="BH94" i="13"/>
  <c r="AU94" i="13"/>
  <c r="AQ94" i="13"/>
  <c r="AT94" i="13"/>
  <c r="AY94" i="13"/>
  <c r="BB94" i="13"/>
  <c r="AR94" i="13"/>
  <c r="BA94" i="13"/>
  <c r="BC94" i="13"/>
  <c r="BE98" i="13"/>
  <c r="AX98" i="13"/>
  <c r="BC98" i="13"/>
  <c r="BH98" i="13"/>
  <c r="AT98" i="13"/>
  <c r="AR98" i="13"/>
  <c r="AQ98" i="13"/>
  <c r="BG98" i="13"/>
  <c r="AY98" i="13"/>
  <c r="BA98" i="13"/>
  <c r="AU98" i="13"/>
  <c r="AZ98" i="13"/>
  <c r="AS98" i="13"/>
  <c r="BB98" i="13"/>
  <c r="BD98" i="13"/>
  <c r="AV98" i="13"/>
  <c r="BF98" i="13"/>
  <c r="BI98" i="13"/>
  <c r="AW98" i="13"/>
  <c r="BH102" i="13"/>
  <c r="BG102" i="13"/>
  <c r="AZ102" i="13"/>
  <c r="AY102" i="13"/>
  <c r="AR102" i="13"/>
  <c r="BB102" i="13"/>
  <c r="BA102" i="13"/>
  <c r="AT102" i="13"/>
  <c r="AS102" i="13"/>
  <c r="BC102" i="13"/>
  <c r="BI102" i="13"/>
  <c r="BE102" i="13"/>
  <c r="AU102" i="13"/>
  <c r="BD102" i="13"/>
  <c r="AV102" i="13"/>
  <c r="AW102" i="13"/>
  <c r="BF102" i="13"/>
  <c r="AX102" i="13"/>
  <c r="AQ102" i="13"/>
  <c r="AR106" i="13"/>
  <c r="AW106" i="13"/>
  <c r="BB106" i="13"/>
  <c r="AU106" i="13"/>
  <c r="AS106" i="13"/>
  <c r="BD106" i="13"/>
  <c r="BC106" i="13"/>
  <c r="AV106" i="13"/>
  <c r="AZ106" i="13"/>
  <c r="AY106" i="13"/>
  <c r="BE106" i="13"/>
  <c r="BA106" i="13"/>
  <c r="AX106" i="13"/>
  <c r="BG106" i="13"/>
  <c r="BH106" i="13"/>
  <c r="BI106" i="13"/>
  <c r="BF106" i="13"/>
  <c r="AQ106" i="13"/>
  <c r="AT106" i="13"/>
  <c r="AZ110" i="13"/>
  <c r="AY110" i="13"/>
  <c r="AR110" i="13"/>
  <c r="AQ110" i="13"/>
  <c r="BA110" i="13"/>
  <c r="AT110" i="13"/>
  <c r="BD110" i="13"/>
  <c r="AW110" i="13"/>
  <c r="AU110" i="13"/>
  <c r="BG110" i="13"/>
  <c r="AX110" i="13"/>
  <c r="BH110" i="13"/>
  <c r="BI110" i="13"/>
  <c r="BF110" i="13"/>
  <c r="BC110" i="13"/>
  <c r="AS110" i="13"/>
  <c r="BB110" i="13"/>
  <c r="AV110" i="13"/>
  <c r="BE110" i="13"/>
  <c r="AV114" i="13"/>
  <c r="AU114" i="13"/>
  <c r="AT114" i="13"/>
  <c r="AS114" i="13"/>
  <c r="AW114" i="13"/>
  <c r="BI114" i="13"/>
  <c r="BC114" i="13"/>
  <c r="AQ114" i="13"/>
  <c r="BD114" i="13"/>
  <c r="BA114" i="13"/>
  <c r="AY114" i="13"/>
  <c r="BH114" i="13"/>
  <c r="BF114" i="13"/>
  <c r="AX114" i="13"/>
  <c r="BE114" i="13"/>
  <c r="BB114" i="13"/>
  <c r="AR114" i="13"/>
  <c r="AZ114" i="13"/>
  <c r="BG114" i="13"/>
  <c r="BD118" i="13"/>
  <c r="BI118" i="13"/>
  <c r="BH118" i="13"/>
  <c r="BG118" i="13"/>
  <c r="AZ118" i="13"/>
  <c r="BC118" i="13"/>
  <c r="AV118" i="13"/>
  <c r="BF118" i="13"/>
  <c r="AR118" i="13"/>
  <c r="AQ118" i="13"/>
  <c r="BA118" i="13"/>
  <c r="AS118" i="13"/>
  <c r="AW118" i="13"/>
  <c r="AT118" i="13"/>
  <c r="AU118" i="13"/>
  <c r="BB118" i="13"/>
  <c r="AX118" i="13"/>
  <c r="AY118" i="13"/>
  <c r="BE118" i="13"/>
  <c r="BG130" i="13"/>
  <c r="BD130" i="13"/>
  <c r="BI130" i="13"/>
  <c r="BA130" i="13"/>
  <c r="AZ130" i="13"/>
  <c r="AS130" i="13"/>
  <c r="BC130" i="13"/>
  <c r="BB130" i="13"/>
  <c r="AT130" i="13"/>
  <c r="AX130" i="13"/>
  <c r="AW130" i="13"/>
  <c r="AV130" i="13"/>
  <c r="BE130" i="13"/>
  <c r="AQ130" i="13"/>
  <c r="AY130" i="13"/>
  <c r="BH130" i="13"/>
  <c r="AU130" i="13"/>
  <c r="BF130" i="13"/>
  <c r="AR130" i="13"/>
  <c r="BH134" i="13"/>
  <c r="BA134" i="13"/>
  <c r="AZ134" i="13"/>
  <c r="AY134" i="13"/>
  <c r="AX134" i="13"/>
  <c r="BB134" i="13"/>
  <c r="AU134" i="13"/>
  <c r="AT134" i="13"/>
  <c r="AS134" i="13"/>
  <c r="AR134" i="13"/>
  <c r="BF134" i="13"/>
  <c r="BD134" i="13"/>
  <c r="AV134" i="13"/>
  <c r="BI134" i="13"/>
  <c r="AW134" i="13"/>
  <c r="BC134" i="13"/>
  <c r="BE134" i="13"/>
  <c r="BG134" i="13"/>
  <c r="AQ134" i="13"/>
  <c r="AR138" i="13"/>
  <c r="AW138" i="13"/>
  <c r="BB138" i="13"/>
  <c r="BA138" i="13"/>
  <c r="AT138" i="13"/>
  <c r="BI138" i="13"/>
  <c r="BH138" i="13"/>
  <c r="AU138" i="13"/>
  <c r="AX138" i="13"/>
  <c r="AQ138" i="13"/>
  <c r="AS138" i="13"/>
  <c r="AZ138" i="13"/>
  <c r="BD138" i="13"/>
  <c r="AV138" i="13"/>
  <c r="BE138" i="13"/>
  <c r="BG138" i="13"/>
  <c r="BC138" i="13"/>
  <c r="BF138" i="13"/>
  <c r="AY138" i="13"/>
  <c r="AZ168" i="13"/>
  <c r="AY168" i="13"/>
  <c r="AR168" i="13"/>
  <c r="AW168" i="13"/>
  <c r="BB168" i="13"/>
  <c r="BF168" i="13"/>
  <c r="AS168" i="13"/>
  <c r="BI168" i="13"/>
  <c r="BH168" i="13"/>
  <c r="AT168" i="13"/>
  <c r="BD168" i="13"/>
  <c r="BC168" i="13"/>
  <c r="AV168" i="13"/>
  <c r="AX168" i="13"/>
  <c r="BG168" i="13"/>
  <c r="AU168" i="13"/>
  <c r="BA168" i="13"/>
  <c r="BE168" i="13"/>
  <c r="AQ168" i="13"/>
  <c r="AV172" i="13"/>
  <c r="AU172" i="13"/>
  <c r="AQ172" i="13"/>
  <c r="AW172" i="13"/>
  <c r="BC172" i="13"/>
  <c r="BI172" i="13"/>
  <c r="BF172" i="13"/>
  <c r="BE172" i="13"/>
  <c r="BD172" i="13"/>
  <c r="BB172" i="13"/>
  <c r="AT172" i="13"/>
  <c r="AR172" i="13"/>
  <c r="BG172" i="13"/>
  <c r="AY172" i="13"/>
  <c r="BH172" i="13"/>
  <c r="AX172" i="13"/>
  <c r="BA172" i="13"/>
  <c r="AZ172" i="13"/>
  <c r="AS172" i="13"/>
  <c r="BD193" i="13"/>
  <c r="BC193" i="13"/>
  <c r="BB193" i="13"/>
  <c r="BA193" i="13"/>
  <c r="AT193" i="13"/>
  <c r="BI193" i="13"/>
  <c r="AV193" i="13"/>
  <c r="BF193" i="13"/>
  <c r="AX193" i="13"/>
  <c r="AQ193" i="13"/>
  <c r="BG193" i="13"/>
  <c r="BE193" i="13"/>
  <c r="AW193" i="13"/>
  <c r="AZ193" i="13"/>
  <c r="AR193" i="13"/>
  <c r="BH193" i="13"/>
  <c r="AS193" i="13"/>
  <c r="AY193" i="13"/>
  <c r="AU193" i="13"/>
  <c r="BA197" i="13"/>
  <c r="BG197" i="13"/>
  <c r="BI197" i="13"/>
  <c r="AU197" i="13"/>
  <c r="BF197" i="13"/>
  <c r="AY197" i="13"/>
  <c r="AR197" i="13"/>
  <c r="BH197" i="13"/>
  <c r="AZ197" i="13"/>
  <c r="AS197" i="13"/>
  <c r="BC197" i="13"/>
  <c r="BB197" i="13"/>
  <c r="AT197" i="13"/>
  <c r="AW197" i="13"/>
  <c r="BE197" i="13"/>
  <c r="AQ197" i="13"/>
  <c r="BD197" i="13"/>
  <c r="AX197" i="13"/>
  <c r="AV197" i="13"/>
  <c r="BH201" i="13"/>
  <c r="BG201" i="13"/>
  <c r="BB201" i="13"/>
  <c r="BI201" i="13"/>
  <c r="BF201" i="13"/>
  <c r="AY201" i="13"/>
  <c r="AX201" i="13"/>
  <c r="BA201" i="13"/>
  <c r="AZ201" i="13"/>
  <c r="AS201" i="13"/>
  <c r="AR201" i="13"/>
  <c r="AQ201" i="13"/>
  <c r="BD201" i="13"/>
  <c r="AT201" i="13"/>
  <c r="AW201" i="13"/>
  <c r="BC201" i="13"/>
  <c r="AV201" i="13"/>
  <c r="BE201" i="13"/>
  <c r="AU201" i="13"/>
  <c r="AR205" i="13"/>
  <c r="AW205" i="13"/>
  <c r="BB205" i="13"/>
  <c r="AU205" i="13"/>
  <c r="AT205" i="13"/>
  <c r="AS205" i="13"/>
  <c r="BE205" i="13"/>
  <c r="BA205" i="13"/>
  <c r="BD205" i="13"/>
  <c r="BC205" i="13"/>
  <c r="AV205" i="13"/>
  <c r="BF205" i="13"/>
  <c r="BH205" i="13"/>
  <c r="AQ205" i="13"/>
  <c r="AX205" i="13"/>
  <c r="BG205" i="13"/>
  <c r="BI205" i="13"/>
  <c r="AY205" i="13"/>
  <c r="AZ205" i="13"/>
  <c r="AZ224" i="13"/>
  <c r="AS224" i="13"/>
  <c r="AR224" i="13"/>
  <c r="AW224" i="13"/>
  <c r="AV224" i="13"/>
  <c r="AY224" i="13"/>
  <c r="AU224" i="13"/>
  <c r="BH224" i="13"/>
  <c r="BF224" i="13"/>
  <c r="BA224" i="13"/>
  <c r="BI224" i="13"/>
  <c r="BB224" i="13"/>
  <c r="BD224" i="13"/>
  <c r="BG224" i="13"/>
  <c r="AT224" i="13"/>
  <c r="AQ224" i="13"/>
  <c r="BE224" i="13"/>
  <c r="AX224" i="13"/>
  <c r="BC224" i="13"/>
  <c r="AV228" i="13"/>
  <c r="AU228" i="13"/>
  <c r="AT228" i="13"/>
  <c r="AS228" i="13"/>
  <c r="AR228" i="13"/>
  <c r="BC228" i="13"/>
  <c r="BI228" i="13"/>
  <c r="AW228" i="13"/>
  <c r="AQ228" i="13"/>
  <c r="BB228" i="13"/>
  <c r="AZ228" i="13"/>
  <c r="AX228" i="13"/>
  <c r="BG228" i="13"/>
  <c r="BE228" i="13"/>
  <c r="BF228" i="13"/>
  <c r="AY228" i="13"/>
  <c r="BA228" i="13"/>
  <c r="BD228" i="13"/>
  <c r="BH228" i="13"/>
  <c r="BD441" i="13"/>
  <c r="BC441" i="13"/>
  <c r="BH441" i="13"/>
  <c r="BA441" i="13"/>
  <c r="AZ441" i="13"/>
  <c r="AX441" i="13"/>
  <c r="AQ441" i="13"/>
  <c r="BG441" i="13"/>
  <c r="AT441" i="13"/>
  <c r="AV441" i="13"/>
  <c r="AR441" i="13"/>
  <c r="AY441" i="13"/>
  <c r="AU441" i="13"/>
  <c r="BE441" i="13"/>
  <c r="BI441" i="13"/>
  <c r="BB441" i="13"/>
  <c r="AS441" i="13"/>
  <c r="AW441" i="13"/>
  <c r="BF441" i="13"/>
  <c r="BE445" i="13"/>
  <c r="BD445" i="13"/>
  <c r="BI445" i="13"/>
  <c r="BH445" i="13"/>
  <c r="AY445" i="13"/>
  <c r="AR445" i="13"/>
  <c r="AQ445" i="13"/>
  <c r="BF445" i="13"/>
  <c r="AS445" i="13"/>
  <c r="AU445" i="13"/>
  <c r="BB445" i="13"/>
  <c r="AZ445" i="13"/>
  <c r="BC445" i="13"/>
  <c r="BA445" i="13"/>
  <c r="BG445" i="13"/>
  <c r="AX445" i="13"/>
  <c r="AW445" i="13"/>
  <c r="AT445" i="13"/>
  <c r="AV445" i="13"/>
  <c r="BH449" i="13"/>
  <c r="BG449" i="13"/>
  <c r="AQ449" i="13"/>
  <c r="BE449" i="13"/>
  <c r="AX449" i="13"/>
  <c r="BB449" i="13"/>
  <c r="BA449" i="13"/>
  <c r="BF449" i="13"/>
  <c r="AY449" i="13"/>
  <c r="AR449" i="13"/>
  <c r="AW449" i="13"/>
  <c r="AT449" i="13"/>
  <c r="AU449" i="13"/>
  <c r="AS449" i="13"/>
  <c r="AV449" i="13"/>
  <c r="BC449" i="13"/>
  <c r="BI449" i="13"/>
  <c r="AZ449" i="13"/>
  <c r="BD449" i="13"/>
  <c r="AR453" i="13"/>
  <c r="AW453" i="13"/>
  <c r="BB453" i="13"/>
  <c r="AU453" i="13"/>
  <c r="AY453" i="13"/>
  <c r="BD453" i="13"/>
  <c r="BC453" i="13"/>
  <c r="AV453" i="13"/>
  <c r="AZ453" i="13"/>
  <c r="BI453" i="13"/>
  <c r="BF453" i="13"/>
  <c r="AX453" i="13"/>
  <c r="AQ453" i="13"/>
  <c r="BG453" i="13"/>
  <c r="AT453" i="13"/>
  <c r="AS453" i="13"/>
  <c r="BE453" i="13"/>
  <c r="BA453" i="13"/>
  <c r="BH453" i="13"/>
  <c r="BH13" i="13"/>
  <c r="BE13" i="13"/>
  <c r="AX13" i="13"/>
  <c r="BC13" i="13"/>
  <c r="BG13" i="13"/>
  <c r="BF13" i="13"/>
  <c r="AY13" i="13"/>
  <c r="AR13" i="13"/>
  <c r="AW13" i="13"/>
  <c r="AU13" i="13"/>
  <c r="BD13" i="13"/>
  <c r="BB13" i="13"/>
  <c r="AZ13" i="13"/>
  <c r="AV13" i="13"/>
  <c r="AS13" i="13"/>
  <c r="BI13" i="13"/>
  <c r="AT13" i="13"/>
  <c r="AQ13" i="13"/>
  <c r="BA13" i="13"/>
  <c r="BH6" i="13"/>
  <c r="BG6" i="13"/>
  <c r="BF6" i="13"/>
  <c r="AY6" i="13"/>
  <c r="AR6" i="13"/>
  <c r="BB6" i="13"/>
  <c r="BA6" i="13"/>
  <c r="AZ6" i="13"/>
  <c r="AS6" i="13"/>
  <c r="AW6" i="13"/>
  <c r="BI6" i="13"/>
  <c r="BE6" i="13"/>
  <c r="AU6" i="13"/>
  <c r="BD6" i="13"/>
  <c r="AV6" i="13"/>
  <c r="AQ6" i="13"/>
  <c r="BC6" i="13"/>
  <c r="AT6" i="13"/>
  <c r="AX6" i="13"/>
  <c r="AU7" i="13"/>
  <c r="BE7" i="13"/>
  <c r="BD7" i="13"/>
  <c r="BI7" i="13"/>
  <c r="BB7" i="13"/>
  <c r="BF7" i="13"/>
  <c r="AY7" i="13"/>
  <c r="AX7" i="13"/>
  <c r="BC7" i="13"/>
  <c r="AT7" i="13"/>
  <c r="BH7" i="13"/>
  <c r="BG7" i="13"/>
  <c r="AS7" i="13"/>
  <c r="AW7" i="13"/>
  <c r="AR7" i="13"/>
  <c r="BA7" i="13"/>
  <c r="AQ7" i="13"/>
  <c r="AZ7" i="13"/>
  <c r="AV7" i="13"/>
  <c r="BI11" i="13"/>
  <c r="BH11" i="13"/>
  <c r="BG11" i="13"/>
  <c r="AZ11" i="13"/>
  <c r="AY11" i="13"/>
  <c r="BC11" i="13"/>
  <c r="BB11" i="13"/>
  <c r="BA11" i="13"/>
  <c r="AT11" i="13"/>
  <c r="AS11" i="13"/>
  <c r="AW11" i="13"/>
  <c r="AV11" i="13"/>
  <c r="AU11" i="13"/>
  <c r="AR11" i="13"/>
  <c r="BD11" i="13"/>
  <c r="BF11" i="13"/>
  <c r="BE11" i="13"/>
  <c r="AX11" i="13"/>
  <c r="AQ11" i="13"/>
  <c r="AS15" i="13"/>
  <c r="BI15" i="13"/>
  <c r="AT15" i="13"/>
  <c r="AZ15" i="13"/>
  <c r="BF15" i="13"/>
  <c r="BE15" i="13"/>
  <c r="AR15" i="13"/>
  <c r="BH15" i="13"/>
  <c r="BA15" i="13"/>
  <c r="AY15" i="13"/>
  <c r="BC15" i="13"/>
  <c r="BB15" i="13"/>
  <c r="AU15" i="13"/>
  <c r="AW15" i="13"/>
  <c r="AX15" i="13"/>
  <c r="AQ15" i="13"/>
  <c r="AV15" i="13"/>
  <c r="BD15" i="13"/>
  <c r="BG15" i="13"/>
  <c r="BG19" i="13"/>
  <c r="AZ19" i="13"/>
  <c r="AS19" i="13"/>
  <c r="AR19" i="13"/>
  <c r="AW19" i="13"/>
  <c r="BA19" i="13"/>
  <c r="AT19" i="13"/>
  <c r="BB19" i="13"/>
  <c r="AV19" i="13"/>
  <c r="AQ19" i="13"/>
  <c r="AY19" i="13"/>
  <c r="BC19" i="13"/>
  <c r="AU19" i="13"/>
  <c r="BD19" i="13"/>
  <c r="BH19" i="13"/>
  <c r="BE19" i="13"/>
  <c r="AX19" i="13"/>
  <c r="BF19" i="13"/>
  <c r="BI19" i="13"/>
  <c r="AW23" i="13"/>
  <c r="BB23" i="13"/>
  <c r="AU23" i="13"/>
  <c r="AR23" i="13"/>
  <c r="BD23" i="13"/>
  <c r="AQ23" i="13"/>
  <c r="AV23" i="13"/>
  <c r="BF23" i="13"/>
  <c r="BE23" i="13"/>
  <c r="AX23" i="13"/>
  <c r="AZ23" i="13"/>
  <c r="BH23" i="13"/>
  <c r="AT23" i="13"/>
  <c r="BA23" i="13"/>
  <c r="BI23" i="13"/>
  <c r="AY23" i="13"/>
  <c r="BC23" i="13"/>
  <c r="AS23" i="13"/>
  <c r="BG23" i="13"/>
  <c r="BE27" i="13"/>
  <c r="BD27" i="13"/>
  <c r="BC27" i="13"/>
  <c r="BB27" i="13"/>
  <c r="BA27" i="13"/>
  <c r="AX27" i="13"/>
  <c r="AQ27" i="13"/>
  <c r="BG27" i="13"/>
  <c r="AY27" i="13"/>
  <c r="AR27" i="13"/>
  <c r="BH27" i="13"/>
  <c r="AU27" i="13"/>
  <c r="AS27" i="13"/>
  <c r="AV27" i="13"/>
  <c r="AW27" i="13"/>
  <c r="BF27" i="13"/>
  <c r="AT27" i="13"/>
  <c r="AZ27" i="13"/>
  <c r="BI27" i="13"/>
  <c r="AU31" i="13"/>
  <c r="AT31" i="13"/>
  <c r="BB31" i="13"/>
  <c r="BH31" i="13"/>
  <c r="AQ31" i="13"/>
  <c r="AV31" i="13"/>
  <c r="BE31" i="13"/>
  <c r="BD31" i="13"/>
  <c r="BI31" i="13"/>
  <c r="BA31" i="13"/>
  <c r="AS31" i="13"/>
  <c r="AW31" i="13"/>
  <c r="BF31" i="13"/>
  <c r="AX31" i="13"/>
  <c r="BG31" i="13"/>
  <c r="BC31" i="13"/>
  <c r="AZ31" i="13"/>
  <c r="AR31" i="13"/>
  <c r="AY31" i="13"/>
  <c r="BI35" i="13"/>
  <c r="AX35" i="13"/>
  <c r="BG35" i="13"/>
  <c r="BF35" i="13"/>
  <c r="AY35" i="13"/>
  <c r="BC35" i="13"/>
  <c r="BH35" i="13"/>
  <c r="BA35" i="13"/>
  <c r="AZ35" i="13"/>
  <c r="AS35" i="13"/>
  <c r="BB35" i="13"/>
  <c r="AT35" i="13"/>
  <c r="AV35" i="13"/>
  <c r="BE35" i="13"/>
  <c r="AQ35" i="13"/>
  <c r="AU35" i="13"/>
  <c r="AR35" i="13"/>
  <c r="AW35" i="13"/>
  <c r="BD35" i="13"/>
  <c r="AS39" i="13"/>
  <c r="AR39" i="13"/>
  <c r="AQ39" i="13"/>
  <c r="AV39" i="13"/>
  <c r="AU39" i="13"/>
  <c r="BD39" i="13"/>
  <c r="AW39" i="13"/>
  <c r="AT39" i="13"/>
  <c r="BE39" i="13"/>
  <c r="AX39" i="13"/>
  <c r="BF39" i="13"/>
  <c r="BG39" i="13"/>
  <c r="BI39" i="13"/>
  <c r="BA39" i="13"/>
  <c r="AY39" i="13"/>
  <c r="BB39" i="13"/>
  <c r="AZ39" i="13"/>
  <c r="BC39" i="13"/>
  <c r="BH39" i="13"/>
  <c r="BG43" i="13"/>
  <c r="BF43" i="13"/>
  <c r="BE43" i="13"/>
  <c r="AX43" i="13"/>
  <c r="AW43" i="13"/>
  <c r="AZ43" i="13"/>
  <c r="AS43" i="13"/>
  <c r="BC43" i="13"/>
  <c r="BA43" i="13"/>
  <c r="AT43" i="13"/>
  <c r="BD43" i="13"/>
  <c r="AQ43" i="13"/>
  <c r="BH43" i="13"/>
  <c r="BI43" i="13"/>
  <c r="AV43" i="13"/>
  <c r="BB43" i="13"/>
  <c r="AU43" i="13"/>
  <c r="AY43" i="13"/>
  <c r="AR43" i="13"/>
  <c r="AW47" i="13"/>
  <c r="AV47" i="13"/>
  <c r="BD47" i="13"/>
  <c r="AR47" i="13"/>
  <c r="AX47" i="13"/>
  <c r="AQ47" i="13"/>
  <c r="BG47" i="13"/>
  <c r="BF47" i="13"/>
  <c r="BE47" i="13"/>
  <c r="BI47" i="13"/>
  <c r="BA47" i="13"/>
  <c r="AY47" i="13"/>
  <c r="BC47" i="13"/>
  <c r="AU47" i="13"/>
  <c r="AS47" i="13"/>
  <c r="AT47" i="13"/>
  <c r="BH47" i="13"/>
  <c r="AZ47" i="13"/>
  <c r="BB47" i="13"/>
  <c r="BE51" i="13"/>
  <c r="BD51" i="13"/>
  <c r="BC51" i="13"/>
  <c r="BH51" i="13"/>
  <c r="BA51" i="13"/>
  <c r="AY51" i="13"/>
  <c r="AX51" i="13"/>
  <c r="AW51" i="13"/>
  <c r="BB51" i="13"/>
  <c r="AU51" i="13"/>
  <c r="AR51" i="13"/>
  <c r="AV51" i="13"/>
  <c r="AS51" i="13"/>
  <c r="AT51" i="13"/>
  <c r="BF51" i="13"/>
  <c r="BG51" i="13"/>
  <c r="BI51" i="13"/>
  <c r="AZ51" i="13"/>
  <c r="AQ51" i="13"/>
  <c r="AU55" i="13"/>
  <c r="AT55" i="13"/>
  <c r="AS55" i="13"/>
  <c r="AR55" i="13"/>
  <c r="AQ55" i="13"/>
  <c r="BF55" i="13"/>
  <c r="AY55" i="13"/>
  <c r="BI55" i="13"/>
  <c r="BG55" i="13"/>
  <c r="AZ55" i="13"/>
  <c r="BH55" i="13"/>
  <c r="BC55" i="13"/>
  <c r="BE55" i="13"/>
  <c r="BA55" i="13"/>
  <c r="BD55" i="13"/>
  <c r="BB55" i="13"/>
  <c r="AX55" i="13"/>
  <c r="AW55" i="13"/>
  <c r="AV55" i="13"/>
  <c r="BI59" i="13"/>
  <c r="BH59" i="13"/>
  <c r="BG59" i="13"/>
  <c r="BF59" i="13"/>
  <c r="AY59" i="13"/>
  <c r="BC59" i="13"/>
  <c r="BB59" i="13"/>
  <c r="BA59" i="13"/>
  <c r="AZ59" i="13"/>
  <c r="AS59" i="13"/>
  <c r="AW59" i="13"/>
  <c r="AU59" i="13"/>
  <c r="AX59" i="13"/>
  <c r="AQ59" i="13"/>
  <c r="AR59" i="13"/>
  <c r="BD59" i="13"/>
  <c r="AT59" i="13"/>
  <c r="AV59" i="13"/>
  <c r="BE59" i="13"/>
  <c r="AS63" i="13"/>
  <c r="AZ63" i="13"/>
  <c r="AQ63" i="13"/>
  <c r="AV63" i="13"/>
  <c r="AT63" i="13"/>
  <c r="BD63" i="13"/>
  <c r="BI63" i="13"/>
  <c r="BF63" i="13"/>
  <c r="BG63" i="13"/>
  <c r="BE63" i="13"/>
  <c r="BC63" i="13"/>
  <c r="BA63" i="13"/>
  <c r="AR63" i="13"/>
  <c r="AU63" i="13"/>
  <c r="AW63" i="13"/>
  <c r="AY63" i="13"/>
  <c r="BH63" i="13"/>
  <c r="AX63" i="13"/>
  <c r="BB63" i="13"/>
  <c r="BG67" i="13"/>
  <c r="AZ67" i="13"/>
  <c r="AY67" i="13"/>
  <c r="AX67" i="13"/>
  <c r="AW67" i="13"/>
  <c r="BF67" i="13"/>
  <c r="AS67" i="13"/>
  <c r="BI67" i="13"/>
  <c r="AT67" i="13"/>
  <c r="BH67" i="13"/>
  <c r="BC67" i="13"/>
  <c r="AU67" i="13"/>
  <c r="AR67" i="13"/>
  <c r="BB67" i="13"/>
  <c r="AQ67" i="13"/>
  <c r="BD67" i="13"/>
  <c r="AV67" i="13"/>
  <c r="BA67" i="13"/>
  <c r="BE67" i="13"/>
  <c r="AW71" i="13"/>
  <c r="BB71" i="13"/>
  <c r="AU71" i="13"/>
  <c r="AT71" i="13"/>
  <c r="AS71" i="13"/>
  <c r="AQ71" i="13"/>
  <c r="AV71" i="13"/>
  <c r="AR71" i="13"/>
  <c r="AX71" i="13"/>
  <c r="BD71" i="13"/>
  <c r="BF71" i="13"/>
  <c r="BH71" i="13"/>
  <c r="AZ71" i="13"/>
  <c r="BC71" i="13"/>
  <c r="AY71" i="13"/>
  <c r="BG71" i="13"/>
  <c r="BI71" i="13"/>
  <c r="BA71" i="13"/>
  <c r="BE71" i="13"/>
  <c r="BE75" i="13"/>
  <c r="AX75" i="13"/>
  <c r="AW75" i="13"/>
  <c r="BB75" i="13"/>
  <c r="BA75" i="13"/>
  <c r="AY75" i="13"/>
  <c r="AR75" i="13"/>
  <c r="AQ75" i="13"/>
  <c r="AV75" i="13"/>
  <c r="AU75" i="13"/>
  <c r="AS75" i="13"/>
  <c r="AZ75" i="13"/>
  <c r="AT75" i="13"/>
  <c r="BH75" i="13"/>
  <c r="BD75" i="13"/>
  <c r="BF75" i="13"/>
  <c r="BI75" i="13"/>
  <c r="BG75" i="13"/>
  <c r="BC75" i="13"/>
  <c r="AU79" i="13"/>
  <c r="BF79" i="13"/>
  <c r="BE79" i="13"/>
  <c r="AX79" i="13"/>
  <c r="BC79" i="13"/>
  <c r="AZ79" i="13"/>
  <c r="AY79" i="13"/>
  <c r="AR79" i="13"/>
  <c r="AW79" i="13"/>
  <c r="BB79" i="13"/>
  <c r="BI79" i="13"/>
  <c r="BG79" i="13"/>
  <c r="AS79" i="13"/>
  <c r="AQ79" i="13"/>
  <c r="AV79" i="13"/>
  <c r="BA79" i="13"/>
  <c r="BH79" i="13"/>
  <c r="AT79" i="13"/>
  <c r="BD79" i="13"/>
  <c r="BI83" i="13"/>
  <c r="AR83" i="13"/>
  <c r="BG83" i="13"/>
  <c r="BF83" i="13"/>
  <c r="AY83" i="13"/>
  <c r="BC83" i="13"/>
  <c r="BH83" i="13"/>
  <c r="BA83" i="13"/>
  <c r="AZ83" i="13"/>
  <c r="AS83" i="13"/>
  <c r="BB83" i="13"/>
  <c r="AT83" i="13"/>
  <c r="AV83" i="13"/>
  <c r="BE83" i="13"/>
  <c r="BD83" i="13"/>
  <c r="AW83" i="13"/>
  <c r="AX83" i="13"/>
  <c r="AQ83" i="13"/>
  <c r="AU83" i="13"/>
  <c r="AS87" i="13"/>
  <c r="AR87" i="13"/>
  <c r="AW87" i="13"/>
  <c r="AV87" i="13"/>
  <c r="AU87" i="13"/>
  <c r="AZ87" i="13"/>
  <c r="BF87" i="13"/>
  <c r="AQ87" i="13"/>
  <c r="AT87" i="13"/>
  <c r="BD87" i="13"/>
  <c r="BH87" i="13"/>
  <c r="AX87" i="13"/>
  <c r="BG87" i="13"/>
  <c r="BI87" i="13"/>
  <c r="BA87" i="13"/>
  <c r="BE87" i="13"/>
  <c r="BC87" i="13"/>
  <c r="AY87" i="13"/>
  <c r="BB87" i="13"/>
  <c r="BA91" i="13"/>
  <c r="AT91" i="13"/>
  <c r="BB91" i="13"/>
  <c r="BH91" i="13"/>
  <c r="AQ91" i="13"/>
  <c r="AU91" i="13"/>
  <c r="BE91" i="13"/>
  <c r="BD91" i="13"/>
  <c r="BI91" i="13"/>
  <c r="AV91" i="13"/>
  <c r="BG91" i="13"/>
  <c r="AS91" i="13"/>
  <c r="AW91" i="13"/>
  <c r="BF91" i="13"/>
  <c r="AX91" i="13"/>
  <c r="AY91" i="13"/>
  <c r="AR91" i="13"/>
  <c r="BC91" i="13"/>
  <c r="AZ91" i="13"/>
  <c r="AW95" i="13"/>
  <c r="BB95" i="13"/>
  <c r="AU95" i="13"/>
  <c r="AT95" i="13"/>
  <c r="BD95" i="13"/>
  <c r="AQ95" i="13"/>
  <c r="AV95" i="13"/>
  <c r="AX95" i="13"/>
  <c r="BE95" i="13"/>
  <c r="BI95" i="13"/>
  <c r="BG95" i="13"/>
  <c r="AY95" i="13"/>
  <c r="BC95" i="13"/>
  <c r="BA95" i="13"/>
  <c r="AS95" i="13"/>
  <c r="BH95" i="13"/>
  <c r="BF95" i="13"/>
  <c r="AR95" i="13"/>
  <c r="AZ95" i="13"/>
  <c r="BE99" i="13"/>
  <c r="BD99" i="13"/>
  <c r="BC99" i="13"/>
  <c r="BB99" i="13"/>
  <c r="BA99" i="13"/>
  <c r="AY99" i="13"/>
  <c r="AX99" i="13"/>
  <c r="AW99" i="13"/>
  <c r="AV99" i="13"/>
  <c r="AU99" i="13"/>
  <c r="AR99" i="13"/>
  <c r="BF99" i="13"/>
  <c r="AQ99" i="13"/>
  <c r="AS99" i="13"/>
  <c r="BH99" i="13"/>
  <c r="AZ99" i="13"/>
  <c r="BG99" i="13"/>
  <c r="BI99" i="13"/>
  <c r="AT99" i="13"/>
  <c r="BF103" i="13"/>
  <c r="BE103" i="13"/>
  <c r="BD103" i="13"/>
  <c r="BI103" i="13"/>
  <c r="BG103" i="13"/>
  <c r="AZ103" i="13"/>
  <c r="AY103" i="13"/>
  <c r="AX103" i="13"/>
  <c r="BC103" i="13"/>
  <c r="AU103" i="13"/>
  <c r="BH103" i="13"/>
  <c r="AQ103" i="13"/>
  <c r="AT103" i="13"/>
  <c r="AR103" i="13"/>
  <c r="BA103" i="13"/>
  <c r="AW103" i="13"/>
  <c r="AV103" i="13"/>
  <c r="AS103" i="13"/>
  <c r="BB103" i="13"/>
  <c r="BI107" i="13"/>
  <c r="BH107" i="13"/>
  <c r="BA107" i="13"/>
  <c r="AZ107" i="13"/>
  <c r="AY107" i="13"/>
  <c r="BC107" i="13"/>
  <c r="BB107" i="13"/>
  <c r="AU107" i="13"/>
  <c r="AT107" i="13"/>
  <c r="AW107" i="13"/>
  <c r="BD107" i="13"/>
  <c r="AS107" i="13"/>
  <c r="AQ107" i="13"/>
  <c r="BF107" i="13"/>
  <c r="AR107" i="13"/>
  <c r="BE107" i="13"/>
  <c r="AV107" i="13"/>
  <c r="AX107" i="13"/>
  <c r="BG107" i="13"/>
  <c r="AS111" i="13"/>
  <c r="BF111" i="13"/>
  <c r="AQ111" i="13"/>
  <c r="AV111" i="13"/>
  <c r="AU111" i="13"/>
  <c r="BD111" i="13"/>
  <c r="BI111" i="13"/>
  <c r="AT111" i="13"/>
  <c r="AZ111" i="13"/>
  <c r="BE111" i="13"/>
  <c r="BC111" i="13"/>
  <c r="BG111" i="13"/>
  <c r="AX111" i="13"/>
  <c r="BB111" i="13"/>
  <c r="AR111" i="13"/>
  <c r="BA111" i="13"/>
  <c r="AW111" i="13"/>
  <c r="BH111" i="13"/>
  <c r="AY111" i="13"/>
  <c r="BA115" i="13"/>
  <c r="AZ115" i="13"/>
  <c r="AS115" i="13"/>
  <c r="BB115" i="13"/>
  <c r="AQ115" i="13"/>
  <c r="AU115" i="13"/>
  <c r="AT115" i="13"/>
  <c r="BD115" i="13"/>
  <c r="BI115" i="13"/>
  <c r="BH115" i="13"/>
  <c r="BF115" i="13"/>
  <c r="AR115" i="13"/>
  <c r="BE115" i="13"/>
  <c r="BC115" i="13"/>
  <c r="AX115" i="13"/>
  <c r="BG115" i="13"/>
  <c r="AW115" i="13"/>
  <c r="AV115" i="13"/>
  <c r="AY115" i="13"/>
  <c r="AQ119" i="13"/>
  <c r="BD119" i="13"/>
  <c r="BF119" i="13"/>
  <c r="BE119" i="13"/>
  <c r="BI119" i="13"/>
  <c r="BH119" i="13"/>
  <c r="BG119" i="13"/>
  <c r="AZ119" i="13"/>
  <c r="AY119" i="13"/>
  <c r="AW119" i="13"/>
  <c r="AU119" i="13"/>
  <c r="AR119" i="13"/>
  <c r="BB119" i="13"/>
  <c r="AT119" i="13"/>
  <c r="BA119" i="13"/>
  <c r="AX119" i="13"/>
  <c r="AV119" i="13"/>
  <c r="AS119" i="13"/>
  <c r="BC119" i="13"/>
  <c r="BE131" i="13"/>
  <c r="AX131" i="13"/>
  <c r="AW131" i="13"/>
  <c r="BB131" i="13"/>
  <c r="BA131" i="13"/>
  <c r="AY131" i="13"/>
  <c r="AR131" i="13"/>
  <c r="AQ131" i="13"/>
  <c r="AV131" i="13"/>
  <c r="AU131" i="13"/>
  <c r="AS131" i="13"/>
  <c r="AZ131" i="13"/>
  <c r="AT131" i="13"/>
  <c r="BC131" i="13"/>
  <c r="BH131" i="13"/>
  <c r="BD131" i="13"/>
  <c r="BF131" i="13"/>
  <c r="BG131" i="13"/>
  <c r="BI131" i="13"/>
  <c r="AV135" i="13"/>
  <c r="BE135" i="13"/>
  <c r="AX135" i="13"/>
  <c r="BC135" i="13"/>
  <c r="BG135" i="13"/>
  <c r="BF135" i="13"/>
  <c r="AY135" i="13"/>
  <c r="AR135" i="13"/>
  <c r="AW135" i="13"/>
  <c r="AT135" i="13"/>
  <c r="BI135" i="13"/>
  <c r="BA135" i="13"/>
  <c r="AS135" i="13"/>
  <c r="AQ135" i="13"/>
  <c r="AZ135" i="13"/>
  <c r="BD135" i="13"/>
  <c r="BH135" i="13"/>
  <c r="AU135" i="13"/>
  <c r="BB135" i="13"/>
  <c r="BC165" i="13"/>
  <c r="BB165" i="13"/>
  <c r="AU165" i="13"/>
  <c r="AT165" i="13"/>
  <c r="AS165" i="13"/>
  <c r="AW165" i="13"/>
  <c r="AV165" i="13"/>
  <c r="BD165" i="13"/>
  <c r="AX165" i="13"/>
  <c r="AR165" i="13"/>
  <c r="BH165" i="13"/>
  <c r="AZ165" i="13"/>
  <c r="BG165" i="13"/>
  <c r="BE165" i="13"/>
  <c r="AQ165" i="13"/>
  <c r="BA165" i="13"/>
  <c r="BI165" i="13"/>
  <c r="BF165" i="13"/>
  <c r="AY165" i="13"/>
  <c r="AS169" i="13"/>
  <c r="AT169" i="13"/>
  <c r="AQ169" i="13"/>
  <c r="BF169" i="13"/>
  <c r="AZ169" i="13"/>
  <c r="BI169" i="13"/>
  <c r="BH169" i="13"/>
  <c r="BG169" i="13"/>
  <c r="BD169" i="13"/>
  <c r="AW169" i="13"/>
  <c r="AU169" i="13"/>
  <c r="AY169" i="13"/>
  <c r="BB169" i="13"/>
  <c r="AX169" i="13"/>
  <c r="AV169" i="13"/>
  <c r="AR169" i="13"/>
  <c r="BA169" i="13"/>
  <c r="BE169" i="13"/>
  <c r="BC169" i="13"/>
  <c r="BA173" i="13"/>
  <c r="AT173" i="13"/>
  <c r="AS173" i="13"/>
  <c r="BB173" i="13"/>
  <c r="AQ173" i="13"/>
  <c r="AU173" i="13"/>
  <c r="AV173" i="13"/>
  <c r="BD173" i="13"/>
  <c r="BI173" i="13"/>
  <c r="BH173" i="13"/>
  <c r="BG173" i="13"/>
  <c r="AY173" i="13"/>
  <c r="AW173" i="13"/>
  <c r="BF173" i="13"/>
  <c r="AX173" i="13"/>
  <c r="BC173" i="13"/>
  <c r="AZ173" i="13"/>
  <c r="BE173" i="13"/>
  <c r="AR173" i="13"/>
  <c r="AQ194" i="13"/>
  <c r="AV194" i="13"/>
  <c r="AU194" i="13"/>
  <c r="AR194" i="13"/>
  <c r="BI194" i="13"/>
  <c r="AX194" i="13"/>
  <c r="BD194" i="13"/>
  <c r="BF194" i="13"/>
  <c r="BE194" i="13"/>
  <c r="BB194" i="13"/>
  <c r="AT194" i="13"/>
  <c r="BC194" i="13"/>
  <c r="BG194" i="13"/>
  <c r="AY194" i="13"/>
  <c r="AZ194" i="13"/>
  <c r="AW194" i="13"/>
  <c r="AS194" i="13"/>
  <c r="BH194" i="13"/>
  <c r="BA194" i="13"/>
  <c r="BE198" i="13"/>
  <c r="BD198" i="13"/>
  <c r="BC198" i="13"/>
  <c r="BB198" i="13"/>
  <c r="BA198" i="13"/>
  <c r="AY198" i="13"/>
  <c r="AX198" i="13"/>
  <c r="AW198" i="13"/>
  <c r="AV198" i="13"/>
  <c r="AU198" i="13"/>
  <c r="BF198" i="13"/>
  <c r="BH198" i="13"/>
  <c r="AR198" i="13"/>
  <c r="BG198" i="13"/>
  <c r="BI198" i="13"/>
  <c r="AZ198" i="13"/>
  <c r="AQ198" i="13"/>
  <c r="AT198" i="13"/>
  <c r="AS198" i="13"/>
  <c r="BF202" i="13"/>
  <c r="BE202" i="13"/>
  <c r="BD202" i="13"/>
  <c r="BC202" i="13"/>
  <c r="BG202" i="13"/>
  <c r="AZ202" i="13"/>
  <c r="AY202" i="13"/>
  <c r="AX202" i="13"/>
  <c r="AW202" i="13"/>
  <c r="AU202" i="13"/>
  <c r="AV202" i="13"/>
  <c r="BH202" i="13"/>
  <c r="AT202" i="13"/>
  <c r="AR202" i="13"/>
  <c r="AS202" i="13"/>
  <c r="BI202" i="13"/>
  <c r="BA202" i="13"/>
  <c r="AQ202" i="13"/>
  <c r="BB202" i="13"/>
  <c r="BC206" i="13"/>
  <c r="BH206" i="13"/>
  <c r="BA206" i="13"/>
  <c r="AZ206" i="13"/>
  <c r="AS206" i="13"/>
  <c r="AW206" i="13"/>
  <c r="BB206" i="13"/>
  <c r="AU206" i="13"/>
  <c r="AT206" i="13"/>
  <c r="AR206" i="13"/>
  <c r="BI206" i="13"/>
  <c r="BG206" i="13"/>
  <c r="AY206" i="13"/>
  <c r="AQ206" i="13"/>
  <c r="BD206" i="13"/>
  <c r="AV206" i="13"/>
  <c r="BF206" i="13"/>
  <c r="BE206" i="13"/>
  <c r="AX206" i="13"/>
  <c r="AS225" i="13"/>
  <c r="AX225" i="13"/>
  <c r="BC225" i="13"/>
  <c r="BB225" i="13"/>
  <c r="AU225" i="13"/>
  <c r="AZ225" i="13"/>
  <c r="AR225" i="13"/>
  <c r="AW225" i="13"/>
  <c r="AV225" i="13"/>
  <c r="BD225" i="13"/>
  <c r="BH225" i="13"/>
  <c r="BE225" i="13"/>
  <c r="BI225" i="13"/>
  <c r="AY225" i="13"/>
  <c r="AQ225" i="13"/>
  <c r="AT225" i="13"/>
  <c r="BG225" i="13"/>
  <c r="BF225" i="13"/>
  <c r="BA225" i="13"/>
  <c r="BA438" i="13"/>
  <c r="AZ438" i="13"/>
  <c r="AY438" i="13"/>
  <c r="AR438" i="13"/>
  <c r="AQ438" i="13"/>
  <c r="AU438" i="13"/>
  <c r="AT438" i="13"/>
  <c r="AS438" i="13"/>
  <c r="BI438" i="13"/>
  <c r="AV438" i="13"/>
  <c r="BF438" i="13"/>
  <c r="AX438" i="13"/>
  <c r="BC438" i="13"/>
  <c r="BH438" i="13"/>
  <c r="BB438" i="13"/>
  <c r="BE438" i="13"/>
  <c r="BD438" i="13"/>
  <c r="BG438" i="13"/>
  <c r="AW438" i="13"/>
  <c r="AQ442" i="13"/>
  <c r="AV442" i="13"/>
  <c r="BI442" i="13"/>
  <c r="AR442" i="13"/>
  <c r="AW442" i="13"/>
  <c r="BA442" i="13"/>
  <c r="AZ442" i="13"/>
  <c r="AY442" i="13"/>
  <c r="BH442" i="13"/>
  <c r="AU442" i="13"/>
  <c r="AT442" i="13"/>
  <c r="AS442" i="13"/>
  <c r="BC442" i="13"/>
  <c r="BF442" i="13"/>
  <c r="BB442" i="13"/>
  <c r="BD442" i="13"/>
  <c r="AX442" i="13"/>
  <c r="BE442" i="13"/>
  <c r="BG442" i="13"/>
  <c r="BE446" i="13"/>
  <c r="BD446" i="13"/>
  <c r="BC446" i="13"/>
  <c r="BB446" i="13"/>
  <c r="BA446" i="13"/>
  <c r="AY446" i="13"/>
  <c r="AX446" i="13"/>
  <c r="AW446" i="13"/>
  <c r="AV446" i="13"/>
  <c r="AU446" i="13"/>
  <c r="AR446" i="13"/>
  <c r="AZ446" i="13"/>
  <c r="BI446" i="13"/>
  <c r="BG446" i="13"/>
  <c r="AS446" i="13"/>
  <c r="AQ446" i="13"/>
  <c r="BF446" i="13"/>
  <c r="BH446" i="13"/>
  <c r="AT446" i="13"/>
  <c r="BB450" i="13"/>
  <c r="BE450" i="13"/>
  <c r="AX450" i="13"/>
  <c r="BC450" i="13"/>
  <c r="BG450" i="13"/>
  <c r="BF450" i="13"/>
  <c r="AY450" i="13"/>
  <c r="AR450" i="13"/>
  <c r="AW450" i="13"/>
  <c r="AT450" i="13"/>
  <c r="BI450" i="13"/>
  <c r="BA450" i="13"/>
  <c r="AS450" i="13"/>
  <c r="AQ450" i="13"/>
  <c r="AV450" i="13"/>
  <c r="AU450" i="13"/>
  <c r="BH450" i="13"/>
  <c r="AZ450" i="13"/>
  <c r="BD450" i="13"/>
  <c r="AQ454" i="13"/>
  <c r="AV454" i="13"/>
  <c r="BF454" i="13"/>
  <c r="BE454" i="13"/>
  <c r="BI454" i="13"/>
  <c r="AR454" i="13"/>
  <c r="BG454" i="13"/>
  <c r="AZ454" i="13"/>
  <c r="AY454" i="13"/>
  <c r="BB454" i="13"/>
  <c r="BD454" i="13"/>
  <c r="BC454" i="13"/>
  <c r="BA454" i="13"/>
  <c r="AS454" i="13"/>
  <c r="BH454" i="13"/>
  <c r="AU454" i="13"/>
  <c r="AX454" i="13"/>
  <c r="AW454" i="13"/>
  <c r="AT454" i="13"/>
  <c r="AY9" i="13"/>
  <c r="AR9" i="13"/>
  <c r="AW9" i="13"/>
  <c r="AV9" i="13"/>
  <c r="AU9" i="13"/>
  <c r="BD9" i="13"/>
  <c r="BC9" i="13"/>
  <c r="AZ9" i="13"/>
  <c r="AX9" i="13"/>
  <c r="AQ9" i="13"/>
  <c r="BG9" i="13"/>
  <c r="BF9" i="13"/>
  <c r="BA9" i="13"/>
  <c r="BH9" i="13"/>
  <c r="BE9" i="13"/>
  <c r="BB9" i="13"/>
  <c r="AS9" i="13"/>
  <c r="AT9" i="13"/>
  <c r="BI9" i="13"/>
  <c r="AR10" i="13"/>
  <c r="AW10" i="13"/>
  <c r="AV10" i="13"/>
  <c r="AU10" i="13"/>
  <c r="AS10" i="13"/>
  <c r="AY10" i="13"/>
  <c r="AQ10" i="13"/>
  <c r="BE10" i="13"/>
  <c r="BF10" i="13"/>
  <c r="BD10" i="13"/>
  <c r="BH10" i="13"/>
  <c r="AZ10" i="13"/>
  <c r="AX10" i="13"/>
  <c r="BB10" i="13"/>
  <c r="AT10" i="13"/>
  <c r="BI10" i="13"/>
  <c r="BG10" i="13"/>
  <c r="BA10" i="13"/>
  <c r="BC10" i="13"/>
  <c r="BF8" i="13"/>
  <c r="BE8" i="13"/>
  <c r="AX8" i="13"/>
  <c r="BC8" i="13"/>
  <c r="BB8" i="13"/>
  <c r="AZ8" i="13"/>
  <c r="AY8" i="13"/>
  <c r="AR8" i="13"/>
  <c r="AW8" i="13"/>
  <c r="AV8" i="13"/>
  <c r="BA8" i="13"/>
  <c r="BI8" i="13"/>
  <c r="AS8" i="13"/>
  <c r="AQ8" i="13"/>
  <c r="BG8" i="13"/>
  <c r="BH8" i="13"/>
  <c r="AT8" i="13"/>
  <c r="AU8" i="13"/>
  <c r="BD8" i="13"/>
  <c r="BB12" i="13"/>
  <c r="BA12" i="13"/>
  <c r="AZ12" i="13"/>
  <c r="AY12" i="13"/>
  <c r="AR12" i="13"/>
  <c r="AV12" i="13"/>
  <c r="AU12" i="13"/>
  <c r="AT12" i="13"/>
  <c r="AS12" i="13"/>
  <c r="AQ12" i="13"/>
  <c r="BH12" i="13"/>
  <c r="BF12" i="13"/>
  <c r="AX12" i="13"/>
  <c r="AW12" i="13"/>
  <c r="BC12" i="13"/>
  <c r="BD12" i="13"/>
  <c r="BG12" i="13"/>
  <c r="BE12" i="13"/>
  <c r="BI12" i="13"/>
  <c r="AY16" i="13"/>
  <c r="AQ16" i="13"/>
  <c r="AV16" i="13"/>
  <c r="BF16" i="13"/>
  <c r="BD16" i="13"/>
  <c r="BI16" i="13"/>
  <c r="AS16" i="13"/>
  <c r="BG16" i="13"/>
  <c r="BC16" i="13"/>
  <c r="BA16" i="13"/>
  <c r="BE16" i="13"/>
  <c r="AW16" i="13"/>
  <c r="AU16" i="13"/>
  <c r="AX16" i="13"/>
  <c r="BH16" i="13"/>
  <c r="AZ16" i="13"/>
  <c r="AT16" i="13"/>
  <c r="AR16" i="13"/>
  <c r="BB16" i="13"/>
  <c r="AT20" i="13"/>
  <c r="AS20" i="13"/>
  <c r="AR20" i="13"/>
  <c r="AQ20" i="13"/>
  <c r="BG20" i="13"/>
  <c r="AU20" i="13"/>
  <c r="BA20" i="13"/>
  <c r="BI20" i="13"/>
  <c r="BH20" i="13"/>
  <c r="AY20" i="13"/>
  <c r="AW20" i="13"/>
  <c r="BF20" i="13"/>
  <c r="BD20" i="13"/>
  <c r="BB20" i="13"/>
  <c r="BE20" i="13"/>
  <c r="AX20" i="13"/>
  <c r="BC20" i="13"/>
  <c r="AZ20" i="13"/>
  <c r="AV20" i="13"/>
  <c r="BI24" i="13"/>
  <c r="AW24" i="13"/>
  <c r="AQ24" i="13"/>
  <c r="BD24" i="13"/>
  <c r="BH24" i="13"/>
  <c r="BG24" i="13"/>
  <c r="BF24" i="13"/>
  <c r="BE24" i="13"/>
  <c r="AX24" i="13"/>
  <c r="AV24" i="13"/>
  <c r="AT24" i="13"/>
  <c r="BC24" i="13"/>
  <c r="BA24" i="13"/>
  <c r="AY24" i="13"/>
  <c r="AZ24" i="13"/>
  <c r="AS24" i="13"/>
  <c r="AU24" i="13"/>
  <c r="AR24" i="13"/>
  <c r="BB24" i="13"/>
  <c r="AX28" i="13"/>
  <c r="AW28" i="13"/>
  <c r="BB28" i="13"/>
  <c r="BA28" i="13"/>
  <c r="AT28" i="13"/>
  <c r="AR28" i="13"/>
  <c r="AY28" i="13"/>
  <c r="BG28" i="13"/>
  <c r="BE28" i="13"/>
  <c r="BI28" i="13"/>
  <c r="BH28" i="13"/>
  <c r="AU28" i="13"/>
  <c r="BC28" i="13"/>
  <c r="AV28" i="13"/>
  <c r="BF28" i="13"/>
  <c r="AQ28" i="13"/>
  <c r="AS28" i="13"/>
  <c r="AZ28" i="13"/>
  <c r="BD28" i="13"/>
  <c r="BF32" i="13"/>
  <c r="AY32" i="13"/>
  <c r="AR32" i="13"/>
  <c r="AW32" i="13"/>
  <c r="AV32" i="13"/>
  <c r="BE32" i="13"/>
  <c r="BA32" i="13"/>
  <c r="BH32" i="13"/>
  <c r="BI32" i="13"/>
  <c r="BB32" i="13"/>
  <c r="AS32" i="13"/>
  <c r="AX32" i="13"/>
  <c r="AU32" i="13"/>
  <c r="AZ32" i="13"/>
  <c r="BC32" i="13"/>
  <c r="AT32" i="13"/>
  <c r="AQ32" i="13"/>
  <c r="BD32" i="13"/>
  <c r="BG32" i="13"/>
  <c r="BB36" i="13"/>
  <c r="AU36" i="13"/>
  <c r="AT36" i="13"/>
  <c r="AS36" i="13"/>
  <c r="AR36" i="13"/>
  <c r="AV36" i="13"/>
  <c r="AQ36" i="13"/>
  <c r="BC36" i="13"/>
  <c r="AW36" i="13"/>
  <c r="BI36" i="13"/>
  <c r="BA36" i="13"/>
  <c r="AY36" i="13"/>
  <c r="BF36" i="13"/>
  <c r="BD36" i="13"/>
  <c r="BG36" i="13"/>
  <c r="AZ36" i="13"/>
  <c r="BH36" i="13"/>
  <c r="BE36" i="13"/>
  <c r="AX36" i="13"/>
  <c r="BI40" i="13"/>
  <c r="AS40" i="13"/>
  <c r="BG40" i="13"/>
  <c r="AZ40" i="13"/>
  <c r="AX40" i="13"/>
  <c r="AQ40" i="13"/>
  <c r="BA40" i="13"/>
  <c r="BE40" i="13"/>
  <c r="AR40" i="13"/>
  <c r="BH40" i="13"/>
  <c r="AU40" i="13"/>
  <c r="AY40" i="13"/>
  <c r="BC40" i="13"/>
  <c r="BB40" i="13"/>
  <c r="BF40" i="13"/>
  <c r="AV40" i="13"/>
  <c r="AT40" i="13"/>
  <c r="BD40" i="13"/>
  <c r="AW40" i="13"/>
  <c r="AT44" i="13"/>
  <c r="BD44" i="13"/>
  <c r="BI44" i="13"/>
  <c r="BA44" i="13"/>
  <c r="BG44" i="13"/>
  <c r="BE44" i="13"/>
  <c r="AR44" i="13"/>
  <c r="AQ44" i="13"/>
  <c r="AY44" i="13"/>
  <c r="BH44" i="13"/>
  <c r="AU44" i="13"/>
  <c r="AZ44" i="13"/>
  <c r="AW44" i="13"/>
  <c r="AS44" i="13"/>
  <c r="BB44" i="13"/>
  <c r="AX44" i="13"/>
  <c r="AV44" i="13"/>
  <c r="BF44" i="13"/>
  <c r="BC44" i="13"/>
  <c r="AW48" i="13"/>
  <c r="BC48" i="13"/>
  <c r="BE48" i="13"/>
  <c r="BD48" i="13"/>
  <c r="BH48" i="13"/>
  <c r="BG48" i="13"/>
  <c r="BF48" i="13"/>
  <c r="AY48" i="13"/>
  <c r="AX48" i="13"/>
  <c r="AU48" i="13"/>
  <c r="BI48" i="13"/>
  <c r="BB48" i="13"/>
  <c r="AZ48" i="13"/>
  <c r="AR48" i="13"/>
  <c r="AS48" i="13"/>
  <c r="AV48" i="13"/>
  <c r="AQ48" i="13"/>
  <c r="BA48" i="13"/>
  <c r="AT48" i="13"/>
  <c r="AX52" i="13"/>
  <c r="AW52" i="13"/>
  <c r="BB52" i="13"/>
  <c r="BA52" i="13"/>
  <c r="AZ52" i="13"/>
  <c r="BD52" i="13"/>
  <c r="AQ52" i="13"/>
  <c r="BE52" i="13"/>
  <c r="BF52" i="13"/>
  <c r="AR52" i="13"/>
  <c r="AS52" i="13"/>
  <c r="BG52" i="13"/>
  <c r="AT52" i="13"/>
  <c r="BI52" i="13"/>
  <c r="BH52" i="13"/>
  <c r="AU52" i="13"/>
  <c r="AY52" i="13"/>
  <c r="AV52" i="13"/>
  <c r="BC52" i="13"/>
  <c r="BF56" i="13"/>
  <c r="AY56" i="13"/>
  <c r="AR56" i="13"/>
  <c r="AQ56" i="13"/>
  <c r="BA56" i="13"/>
  <c r="AT56" i="13"/>
  <c r="AX56" i="13"/>
  <c r="BH56" i="13"/>
  <c r="BG56" i="13"/>
  <c r="BI56" i="13"/>
  <c r="BB56" i="13"/>
  <c r="BE56" i="13"/>
  <c r="BD56" i="13"/>
  <c r="AU56" i="13"/>
  <c r="BC56" i="13"/>
  <c r="AZ56" i="13"/>
  <c r="AW56" i="13"/>
  <c r="AS56" i="13"/>
  <c r="AV56" i="13"/>
  <c r="BB60" i="13"/>
  <c r="BA60" i="13"/>
  <c r="AT60" i="13"/>
  <c r="AS60" i="13"/>
  <c r="AQ60" i="13"/>
  <c r="AV60" i="13"/>
  <c r="AU60" i="13"/>
  <c r="BI60" i="13"/>
  <c r="BD60" i="13"/>
  <c r="BC60" i="13"/>
  <c r="BH60" i="13"/>
  <c r="AZ60" i="13"/>
  <c r="AR60" i="13"/>
  <c r="AW60" i="13"/>
  <c r="BE60" i="13"/>
  <c r="BF60" i="13"/>
  <c r="AY60" i="13"/>
  <c r="BG60" i="13"/>
  <c r="AX60" i="13"/>
  <c r="BI64" i="13"/>
  <c r="BH64" i="13"/>
  <c r="BA64" i="13"/>
  <c r="AZ64" i="13"/>
  <c r="BD64" i="13"/>
  <c r="AW64" i="13"/>
  <c r="BG64" i="13"/>
  <c r="AT64" i="13"/>
  <c r="AX64" i="13"/>
  <c r="AQ64" i="13"/>
  <c r="AU64" i="13"/>
  <c r="BE64" i="13"/>
  <c r="AR64" i="13"/>
  <c r="BB64" i="13"/>
  <c r="AY64" i="13"/>
  <c r="AS64" i="13"/>
  <c r="BF64" i="13"/>
  <c r="BC64" i="13"/>
  <c r="AV64" i="13"/>
  <c r="AT68" i="13"/>
  <c r="BD68" i="13"/>
  <c r="BC68" i="13"/>
  <c r="BH68" i="13"/>
  <c r="BA68" i="13"/>
  <c r="AZ68" i="13"/>
  <c r="AX68" i="13"/>
  <c r="AQ68" i="13"/>
  <c r="AU68" i="13"/>
  <c r="AR68" i="13"/>
  <c r="BG68" i="13"/>
  <c r="BE68" i="13"/>
  <c r="BF68" i="13"/>
  <c r="AW68" i="13"/>
  <c r="AY68" i="13"/>
  <c r="BB68" i="13"/>
  <c r="AS68" i="13"/>
  <c r="AV68" i="13"/>
  <c r="BI68" i="13"/>
  <c r="BG72" i="13"/>
  <c r="BF72" i="13"/>
  <c r="AY72" i="13"/>
  <c r="AR72" i="13"/>
  <c r="BH72" i="13"/>
  <c r="BA72" i="13"/>
  <c r="AZ72" i="13"/>
  <c r="AS72" i="13"/>
  <c r="BI72" i="13"/>
  <c r="AV72" i="13"/>
  <c r="BE72" i="13"/>
  <c r="AW72" i="13"/>
  <c r="AU72" i="13"/>
  <c r="BD72" i="13"/>
  <c r="BB72" i="13"/>
  <c r="AQ72" i="13"/>
  <c r="BC72" i="13"/>
  <c r="AX72" i="13"/>
  <c r="AT72" i="13"/>
  <c r="AX76" i="13"/>
  <c r="BC76" i="13"/>
  <c r="BH76" i="13"/>
  <c r="BA76" i="13"/>
  <c r="AT76" i="13"/>
  <c r="BI76" i="13"/>
  <c r="BB76" i="13"/>
  <c r="BF76" i="13"/>
  <c r="BD76" i="13"/>
  <c r="AW76" i="13"/>
  <c r="AV76" i="13"/>
  <c r="AZ76" i="13"/>
  <c r="AR76" i="13"/>
  <c r="AQ76" i="13"/>
  <c r="BG76" i="13"/>
  <c r="BE76" i="13"/>
  <c r="AY76" i="13"/>
  <c r="AS76" i="13"/>
  <c r="AU76" i="13"/>
  <c r="BF80" i="13"/>
  <c r="BE80" i="13"/>
  <c r="AX80" i="13"/>
  <c r="BC80" i="13"/>
  <c r="BB80" i="13"/>
  <c r="AZ80" i="13"/>
  <c r="AS80" i="13"/>
  <c r="BI80" i="13"/>
  <c r="AV80" i="13"/>
  <c r="AT80" i="13"/>
  <c r="BD80" i="13"/>
  <c r="AW80" i="13"/>
  <c r="BG80" i="13"/>
  <c r="AY80" i="13"/>
  <c r="BH80" i="13"/>
  <c r="AR80" i="13"/>
  <c r="BA80" i="13"/>
  <c r="AQ80" i="13"/>
  <c r="AU80" i="13"/>
  <c r="BB84" i="13"/>
  <c r="AU84" i="13"/>
  <c r="AQ84" i="13"/>
  <c r="BI84" i="13"/>
  <c r="BC84" i="13"/>
  <c r="AV84" i="13"/>
  <c r="BF84" i="13"/>
  <c r="BE84" i="13"/>
  <c r="BD84" i="13"/>
  <c r="AW84" i="13"/>
  <c r="BA84" i="13"/>
  <c r="AS84" i="13"/>
  <c r="AZ84" i="13"/>
  <c r="AX84" i="13"/>
  <c r="AY84" i="13"/>
  <c r="BH84" i="13"/>
  <c r="AR84" i="13"/>
  <c r="AT84" i="13"/>
  <c r="BG84" i="13"/>
  <c r="BI88" i="13"/>
  <c r="BH88" i="13"/>
  <c r="BG88" i="13"/>
  <c r="AZ88" i="13"/>
  <c r="BC88" i="13"/>
  <c r="AV88" i="13"/>
  <c r="BF88" i="13"/>
  <c r="BD88" i="13"/>
  <c r="AX88" i="13"/>
  <c r="AQ88" i="13"/>
  <c r="BA88" i="13"/>
  <c r="AS88" i="13"/>
  <c r="AW88" i="13"/>
  <c r="AT88" i="13"/>
  <c r="AU88" i="13"/>
  <c r="BB88" i="13"/>
  <c r="BE88" i="13"/>
  <c r="AY88" i="13"/>
  <c r="AR88" i="13"/>
  <c r="AT92" i="13"/>
  <c r="AS92" i="13"/>
  <c r="BA92" i="13"/>
  <c r="AQ92" i="13"/>
  <c r="BG92" i="13"/>
  <c r="BF92" i="13"/>
  <c r="AY92" i="13"/>
  <c r="BI92" i="13"/>
  <c r="BB92" i="13"/>
  <c r="AZ92" i="13"/>
  <c r="BD92" i="13"/>
  <c r="BC92" i="13"/>
  <c r="AV92" i="13"/>
  <c r="AR92" i="13"/>
  <c r="AU92" i="13"/>
  <c r="AW92" i="13"/>
  <c r="BE92" i="13"/>
  <c r="BH92" i="13"/>
  <c r="AX92" i="13"/>
  <c r="AW96" i="13"/>
  <c r="BF96" i="13"/>
  <c r="BE96" i="13"/>
  <c r="BD96" i="13"/>
  <c r="BH96" i="13"/>
  <c r="BG96" i="13"/>
  <c r="AZ96" i="13"/>
  <c r="AY96" i="13"/>
  <c r="AX96" i="13"/>
  <c r="AU96" i="13"/>
  <c r="BC96" i="13"/>
  <c r="BB96" i="13"/>
  <c r="AT96" i="13"/>
  <c r="AR96" i="13"/>
  <c r="BA96" i="13"/>
  <c r="BI96" i="13"/>
  <c r="AV96" i="13"/>
  <c r="AS96" i="13"/>
  <c r="AQ96" i="13"/>
  <c r="AX100" i="13"/>
  <c r="AW100" i="13"/>
  <c r="BB100" i="13"/>
  <c r="BA100" i="13"/>
  <c r="AT100" i="13"/>
  <c r="BI100" i="13"/>
  <c r="BH100" i="13"/>
  <c r="AU100" i="13"/>
  <c r="BD100" i="13"/>
  <c r="AQ100" i="13"/>
  <c r="BE100" i="13"/>
  <c r="AZ100" i="13"/>
  <c r="AV100" i="13"/>
  <c r="AR100" i="13"/>
  <c r="BG100" i="13"/>
  <c r="AS100" i="13"/>
  <c r="BC100" i="13"/>
  <c r="BF100" i="13"/>
  <c r="AY100" i="13"/>
  <c r="BF104" i="13"/>
  <c r="BA104" i="13"/>
  <c r="BD104" i="13"/>
  <c r="BC104" i="13"/>
  <c r="BB104" i="13"/>
  <c r="BE104" i="13"/>
  <c r="AR104" i="13"/>
  <c r="BH104" i="13"/>
  <c r="AZ104" i="13"/>
  <c r="AY104" i="13"/>
  <c r="BI104" i="13"/>
  <c r="AV104" i="13"/>
  <c r="AS104" i="13"/>
  <c r="AU104" i="13"/>
  <c r="AX104" i="13"/>
  <c r="BG104" i="13"/>
  <c r="AW104" i="13"/>
  <c r="AQ104" i="13"/>
  <c r="AT104" i="13"/>
  <c r="BB108" i="13"/>
  <c r="BG108" i="13"/>
  <c r="BF108" i="13"/>
  <c r="AY108" i="13"/>
  <c r="AR108" i="13"/>
  <c r="AV108" i="13"/>
  <c r="BA108" i="13"/>
  <c r="AZ108" i="13"/>
  <c r="AS108" i="13"/>
  <c r="AW108" i="13"/>
  <c r="BH108" i="13"/>
  <c r="BI108" i="13"/>
  <c r="AX108" i="13"/>
  <c r="BC108" i="13"/>
  <c r="AT108" i="13"/>
  <c r="BD108" i="13"/>
  <c r="AQ108" i="13"/>
  <c r="AU108" i="13"/>
  <c r="BE108" i="13"/>
  <c r="AS112" i="13"/>
  <c r="AQ112" i="13"/>
  <c r="BE112" i="13"/>
  <c r="BF112" i="13"/>
  <c r="AR112" i="13"/>
  <c r="BH112" i="13"/>
  <c r="BA112" i="13"/>
  <c r="AY112" i="13"/>
  <c r="BD112" i="13"/>
  <c r="BC112" i="13"/>
  <c r="AV112" i="13"/>
  <c r="AZ112" i="13"/>
  <c r="BI112" i="13"/>
  <c r="AU112" i="13"/>
  <c r="BG112" i="13"/>
  <c r="AW112" i="13"/>
  <c r="AT112" i="13"/>
  <c r="BB112" i="13"/>
  <c r="AX112" i="13"/>
  <c r="AT116" i="13"/>
  <c r="AS116" i="13"/>
  <c r="BA116" i="13"/>
  <c r="AQ116" i="13"/>
  <c r="BG116" i="13"/>
  <c r="BE116" i="13"/>
  <c r="AR116" i="13"/>
  <c r="BH116" i="13"/>
  <c r="BF116" i="13"/>
  <c r="AY116" i="13"/>
  <c r="BI116" i="13"/>
  <c r="BB116" i="13"/>
  <c r="AZ116" i="13"/>
  <c r="BC116" i="13"/>
  <c r="AU116" i="13"/>
  <c r="AW116" i="13"/>
  <c r="AX116" i="13"/>
  <c r="AV116" i="13"/>
  <c r="BD116" i="13"/>
  <c r="AQ128" i="13"/>
  <c r="BF128" i="13"/>
  <c r="BE128" i="13"/>
  <c r="BD128" i="13"/>
  <c r="BH128" i="13"/>
  <c r="BG128" i="13"/>
  <c r="AZ128" i="13"/>
  <c r="AY128" i="13"/>
  <c r="AX128" i="13"/>
  <c r="AV128" i="13"/>
  <c r="BC128" i="13"/>
  <c r="AW128" i="13"/>
  <c r="BA128" i="13"/>
  <c r="AS128" i="13"/>
  <c r="AT128" i="13"/>
  <c r="BI128" i="13"/>
  <c r="BB128" i="13"/>
  <c r="AU128" i="13"/>
  <c r="AR128" i="13"/>
  <c r="AX132" i="13"/>
  <c r="BC132" i="13"/>
  <c r="BH132" i="13"/>
  <c r="BA132" i="13"/>
  <c r="AT132" i="13"/>
  <c r="AR132" i="13"/>
  <c r="AQ132" i="13"/>
  <c r="BG132" i="13"/>
  <c r="BE132" i="13"/>
  <c r="BI132" i="13"/>
  <c r="BB132" i="13"/>
  <c r="BF132" i="13"/>
  <c r="AS132" i="13"/>
  <c r="AZ132" i="13"/>
  <c r="BD132" i="13"/>
  <c r="AV132" i="13"/>
  <c r="AY132" i="13"/>
  <c r="AU132" i="13"/>
  <c r="AW132" i="13"/>
  <c r="BF136" i="13"/>
  <c r="BE136" i="13"/>
  <c r="BD136" i="13"/>
  <c r="BI136" i="13"/>
  <c r="BH136" i="13"/>
  <c r="BG136" i="13"/>
  <c r="AX136" i="13"/>
  <c r="AW136" i="13"/>
  <c r="AY136" i="13"/>
  <c r="AR136" i="13"/>
  <c r="AQ136" i="13"/>
  <c r="AS136" i="13"/>
  <c r="BB136" i="13"/>
  <c r="BA136" i="13"/>
  <c r="AV136" i="13"/>
  <c r="BC136" i="13"/>
  <c r="AZ136" i="13"/>
  <c r="AT136" i="13"/>
  <c r="AU136" i="13"/>
  <c r="BB166" i="13"/>
  <c r="BA166" i="13"/>
  <c r="AZ166" i="13"/>
  <c r="AS166" i="13"/>
  <c r="AR166" i="13"/>
  <c r="AV166" i="13"/>
  <c r="AU166" i="13"/>
  <c r="AT166" i="13"/>
  <c r="BC166" i="13"/>
  <c r="AQ166" i="13"/>
  <c r="BG166" i="13"/>
  <c r="AY166" i="13"/>
  <c r="BI166" i="13"/>
  <c r="BD166" i="13"/>
  <c r="AW166" i="13"/>
  <c r="BF166" i="13"/>
  <c r="AX166" i="13"/>
  <c r="BE166" i="13"/>
  <c r="BH166" i="13"/>
  <c r="AS170" i="13"/>
  <c r="AQ170" i="13"/>
  <c r="AY170" i="13"/>
  <c r="BF170" i="13"/>
  <c r="AX170" i="13"/>
  <c r="AW170" i="13"/>
  <c r="BG170" i="13"/>
  <c r="AT170" i="13"/>
  <c r="BI170" i="13"/>
  <c r="BB170" i="13"/>
  <c r="AU170" i="13"/>
  <c r="AR170" i="13"/>
  <c r="BA170" i="13"/>
  <c r="BD170" i="13"/>
  <c r="BC170" i="13"/>
  <c r="AZ170" i="13"/>
  <c r="BH170" i="13"/>
  <c r="BE170" i="13"/>
  <c r="AV170" i="13"/>
  <c r="AT174" i="13"/>
  <c r="AS174" i="13"/>
  <c r="AU174" i="13"/>
  <c r="AQ174" i="13"/>
  <c r="BG174" i="13"/>
  <c r="BA174" i="13"/>
  <c r="AX174" i="13"/>
  <c r="AW174" i="13"/>
  <c r="BE174" i="13"/>
  <c r="AR174" i="13"/>
  <c r="BH174" i="13"/>
  <c r="BF174" i="13"/>
  <c r="BI174" i="13"/>
  <c r="AZ174" i="13"/>
  <c r="BC174" i="13"/>
  <c r="AV174" i="13"/>
  <c r="AY174" i="13"/>
  <c r="BD174" i="13"/>
  <c r="BB174" i="13"/>
  <c r="BI195" i="13"/>
  <c r="BF195" i="13"/>
  <c r="BE195" i="13"/>
  <c r="BD195" i="13"/>
  <c r="BH195" i="13"/>
  <c r="BG195" i="13"/>
  <c r="AZ195" i="13"/>
  <c r="AY195" i="13"/>
  <c r="AX195" i="13"/>
  <c r="AU195" i="13"/>
  <c r="BC195" i="13"/>
  <c r="BB195" i="13"/>
  <c r="AT195" i="13"/>
  <c r="AR195" i="13"/>
  <c r="AS195" i="13"/>
  <c r="AV195" i="13"/>
  <c r="AW195" i="13"/>
  <c r="AQ195" i="13"/>
  <c r="BA195" i="13"/>
  <c r="AX199" i="13"/>
  <c r="AW199" i="13"/>
  <c r="BB199" i="13"/>
  <c r="BA199" i="13"/>
  <c r="AT199" i="13"/>
  <c r="BD199" i="13"/>
  <c r="AQ199" i="13"/>
  <c r="AS199" i="13"/>
  <c r="AZ199" i="13"/>
  <c r="BI199" i="13"/>
  <c r="BH199" i="13"/>
  <c r="AU199" i="13"/>
  <c r="AY199" i="13"/>
  <c r="BE199" i="13"/>
  <c r="AV199" i="13"/>
  <c r="AR199" i="13"/>
  <c r="BG199" i="13"/>
  <c r="BC199" i="13"/>
  <c r="BF199" i="13"/>
  <c r="BF203" i="13"/>
  <c r="BE203" i="13"/>
  <c r="AX203" i="13"/>
  <c r="AW203" i="13"/>
  <c r="BB203" i="13"/>
  <c r="AT203" i="13"/>
  <c r="BD203" i="13"/>
  <c r="AQ203" i="13"/>
  <c r="AU203" i="13"/>
  <c r="BA203" i="13"/>
  <c r="AR203" i="13"/>
  <c r="BG203" i="13"/>
  <c r="AY203" i="13"/>
  <c r="BH203" i="13"/>
  <c r="AS203" i="13"/>
  <c r="AZ203" i="13"/>
  <c r="BI203" i="13"/>
  <c r="BC203" i="13"/>
  <c r="AV203" i="13"/>
  <c r="BB222" i="13"/>
  <c r="BA222" i="13"/>
  <c r="AZ222" i="13"/>
  <c r="AS222" i="13"/>
  <c r="AR222" i="13"/>
  <c r="AV222" i="13"/>
  <c r="AU222" i="13"/>
  <c r="AT222" i="13"/>
  <c r="AQ222" i="13"/>
  <c r="BI222" i="13"/>
  <c r="BG222" i="13"/>
  <c r="AY222" i="13"/>
  <c r="AW222" i="13"/>
  <c r="BD222" i="13"/>
  <c r="BE222" i="13"/>
  <c r="BH222" i="13"/>
  <c r="AX222" i="13"/>
  <c r="BC222" i="13"/>
  <c r="BF222" i="13"/>
  <c r="BI226" i="13"/>
  <c r="BH226" i="13"/>
  <c r="BG226" i="13"/>
  <c r="BF226" i="13"/>
  <c r="BD226" i="13"/>
  <c r="AW226" i="13"/>
  <c r="AR226" i="13"/>
  <c r="AX226" i="13"/>
  <c r="AV226" i="13"/>
  <c r="AS226" i="13"/>
  <c r="AY226" i="13"/>
  <c r="BC226" i="13"/>
  <c r="BE226" i="13"/>
  <c r="AZ226" i="13"/>
  <c r="BB226" i="13"/>
  <c r="AQ226" i="13"/>
  <c r="BA226" i="13"/>
  <c r="AT226" i="13"/>
  <c r="AU226" i="13"/>
  <c r="AT439" i="13"/>
  <c r="BD439" i="13"/>
  <c r="BI439" i="13"/>
  <c r="BA439" i="13"/>
  <c r="BG439" i="13"/>
  <c r="AZ439" i="13"/>
  <c r="AX439" i="13"/>
  <c r="AW439" i="13"/>
  <c r="AV439" i="13"/>
  <c r="BE439" i="13"/>
  <c r="AR439" i="13"/>
  <c r="AQ439" i="13"/>
  <c r="AU439" i="13"/>
  <c r="BC439" i="13"/>
  <c r="BF439" i="13"/>
  <c r="BH439" i="13"/>
  <c r="AY439" i="13"/>
  <c r="BB439" i="13"/>
  <c r="AS439" i="13"/>
  <c r="BG443" i="13"/>
  <c r="AQ443" i="13"/>
  <c r="BE443" i="13"/>
  <c r="BD443" i="13"/>
  <c r="BH443" i="13"/>
  <c r="BA443" i="13"/>
  <c r="BF443" i="13"/>
  <c r="AY443" i="13"/>
  <c r="AX443" i="13"/>
  <c r="BI443" i="13"/>
  <c r="BC443" i="13"/>
  <c r="BB443" i="13"/>
  <c r="AZ443" i="13"/>
  <c r="AR443" i="13"/>
  <c r="AU443" i="13"/>
  <c r="AT443" i="13"/>
  <c r="AW443" i="13"/>
  <c r="AV443" i="13"/>
  <c r="AS443" i="13"/>
  <c r="AX447" i="13"/>
  <c r="BC447" i="13"/>
  <c r="BH447" i="13"/>
  <c r="BA447" i="13"/>
  <c r="AT447" i="13"/>
  <c r="AY447" i="13"/>
  <c r="AS447" i="13"/>
  <c r="AU447" i="13"/>
  <c r="AR447" i="13"/>
  <c r="BG447" i="13"/>
  <c r="BI447" i="13"/>
  <c r="BB447" i="13"/>
  <c r="BF447" i="13"/>
  <c r="BD447" i="13"/>
  <c r="AW447" i="13"/>
  <c r="AV447" i="13"/>
  <c r="AZ447" i="13"/>
  <c r="AQ447" i="13"/>
  <c r="BE447" i="13"/>
  <c r="BF451" i="13"/>
  <c r="BE451" i="13"/>
  <c r="BD451" i="13"/>
  <c r="BI451" i="13"/>
  <c r="BH451" i="13"/>
  <c r="AZ451" i="13"/>
  <c r="AS451" i="13"/>
  <c r="BG451" i="13"/>
  <c r="BB451" i="13"/>
  <c r="AT451" i="13"/>
  <c r="AU451" i="13"/>
  <c r="BC451" i="13"/>
  <c r="AV451" i="13"/>
  <c r="BA451" i="13"/>
  <c r="AW451" i="13"/>
  <c r="AQ451" i="13"/>
  <c r="AY451" i="13"/>
  <c r="AX451" i="13"/>
  <c r="AR451" i="13"/>
  <c r="BB455" i="13"/>
  <c r="BA455" i="13"/>
  <c r="AZ455" i="13"/>
  <c r="AS455" i="13"/>
  <c r="AW455" i="13"/>
  <c r="AV455" i="13"/>
  <c r="AU455" i="13"/>
  <c r="AT455" i="13"/>
  <c r="BD455" i="13"/>
  <c r="BI455" i="13"/>
  <c r="BH455" i="13"/>
  <c r="BF455" i="13"/>
  <c r="AR455" i="13"/>
  <c r="BC455" i="13"/>
  <c r="BE455" i="13"/>
  <c r="AX455" i="13"/>
  <c r="BG455" i="13"/>
  <c r="AY455" i="13"/>
  <c r="AQ455" i="13"/>
  <c r="BX5" i="13"/>
  <c r="BW5" i="13"/>
  <c r="BV5" i="13"/>
  <c r="BU5" i="13"/>
  <c r="BT5" i="13"/>
  <c r="BR5" i="13"/>
  <c r="BQ5" i="13"/>
  <c r="BP5" i="13"/>
  <c r="BO5" i="13"/>
  <c r="BN5" i="13"/>
  <c r="CD5" i="13"/>
  <c r="CB5" i="13"/>
  <c r="BZ5" i="13"/>
  <c r="BM5" i="13"/>
  <c r="BS5" i="13"/>
  <c r="CC5" i="13"/>
  <c r="CA5" i="13"/>
  <c r="BL5" i="13"/>
  <c r="BY5" i="13"/>
  <c r="CB9" i="13"/>
  <c r="BU9" i="13"/>
  <c r="BN9" i="13"/>
  <c r="CD9" i="13"/>
  <c r="CC9" i="13"/>
  <c r="BV9" i="13"/>
  <c r="BO9" i="13"/>
  <c r="BY9" i="13"/>
  <c r="BX9" i="13"/>
  <c r="CA9" i="13"/>
  <c r="BM9" i="13"/>
  <c r="BW9" i="13"/>
  <c r="BZ9" i="13"/>
  <c r="BR9" i="13"/>
  <c r="BS9" i="13"/>
  <c r="BQ9" i="13"/>
  <c r="BL9" i="13"/>
  <c r="BP9" i="13"/>
  <c r="BT9" i="13"/>
  <c r="CD13" i="13"/>
  <c r="CC13" i="13"/>
  <c r="BV13" i="13"/>
  <c r="BO13" i="13"/>
  <c r="BM13" i="13"/>
  <c r="BW13" i="13"/>
  <c r="CA13" i="13"/>
  <c r="BN13" i="13"/>
  <c r="BY13" i="13"/>
  <c r="BR13" i="13"/>
  <c r="CB13" i="13"/>
  <c r="BZ13" i="13"/>
  <c r="BS13" i="13"/>
  <c r="BL13" i="13"/>
  <c r="BP13" i="13"/>
  <c r="BT13" i="13"/>
  <c r="BX13" i="13"/>
  <c r="BQ13" i="13"/>
  <c r="BU13" i="13"/>
  <c r="BZ17" i="13"/>
  <c r="BS17" i="13"/>
  <c r="BR17" i="13"/>
  <c r="BQ17" i="13"/>
  <c r="CA17" i="13"/>
  <c r="BT17" i="13"/>
  <c r="BM17" i="13"/>
  <c r="BL17" i="13"/>
  <c r="CB17" i="13"/>
  <c r="BO17" i="13"/>
  <c r="BX17" i="13"/>
  <c r="BP17" i="13"/>
  <c r="BN17" i="13"/>
  <c r="CC17" i="13"/>
  <c r="BY17" i="13"/>
  <c r="BW17" i="13"/>
  <c r="BV17" i="13"/>
  <c r="BU17" i="13"/>
  <c r="CD17" i="13"/>
  <c r="BW21" i="13"/>
  <c r="BP21" i="13"/>
  <c r="BZ21" i="13"/>
  <c r="BS21" i="13"/>
  <c r="BR21" i="13"/>
  <c r="BQ21" i="13"/>
  <c r="CA21" i="13"/>
  <c r="BT21" i="13"/>
  <c r="BM21" i="13"/>
  <c r="BL21" i="13"/>
  <c r="CC21" i="13"/>
  <c r="BO21" i="13"/>
  <c r="BX21" i="13"/>
  <c r="CB21" i="13"/>
  <c r="BN21" i="13"/>
  <c r="BU21" i="13"/>
  <c r="BY21" i="13"/>
  <c r="CD21" i="13"/>
  <c r="BV21" i="13"/>
  <c r="BS25" i="13"/>
  <c r="BR25" i="13"/>
  <c r="BQ25" i="13"/>
  <c r="CA25" i="13"/>
  <c r="BT25" i="13"/>
  <c r="BM25" i="13"/>
  <c r="CC25" i="13"/>
  <c r="BP25" i="13"/>
  <c r="BN25" i="13"/>
  <c r="BX25" i="13"/>
  <c r="CB25" i="13"/>
  <c r="BO25" i="13"/>
  <c r="BV25" i="13"/>
  <c r="BY25" i="13"/>
  <c r="BL25" i="13"/>
  <c r="BZ25" i="13"/>
  <c r="CD25" i="13"/>
  <c r="BW25" i="13"/>
  <c r="BU25" i="13"/>
  <c r="BU29" i="13"/>
  <c r="BN29" i="13"/>
  <c r="CD29" i="13"/>
  <c r="CC29" i="13"/>
  <c r="BV29" i="13"/>
  <c r="BO29" i="13"/>
  <c r="BY29" i="13"/>
  <c r="BX29" i="13"/>
  <c r="BW29" i="13"/>
  <c r="BP29" i="13"/>
  <c r="BT29" i="13"/>
  <c r="BL29" i="13"/>
  <c r="BS29" i="13"/>
  <c r="BQ29" i="13"/>
  <c r="CA29" i="13"/>
  <c r="BM29" i="13"/>
  <c r="CB29" i="13"/>
  <c r="BR29" i="13"/>
  <c r="BZ29" i="13"/>
  <c r="CB33" i="13"/>
  <c r="BU33" i="13"/>
  <c r="BN33" i="13"/>
  <c r="CD33" i="13"/>
  <c r="CC33" i="13"/>
  <c r="BV33" i="13"/>
  <c r="BO33" i="13"/>
  <c r="BY33" i="13"/>
  <c r="BX33" i="13"/>
  <c r="BQ33" i="13"/>
  <c r="BT33" i="13"/>
  <c r="BL33" i="13"/>
  <c r="BP33" i="13"/>
  <c r="BS33" i="13"/>
  <c r="BW33" i="13"/>
  <c r="BR33" i="13"/>
  <c r="CA33" i="13"/>
  <c r="BZ33" i="13"/>
  <c r="BM33" i="13"/>
  <c r="CD37" i="13"/>
  <c r="CC37" i="13"/>
  <c r="BV37" i="13"/>
  <c r="BO37" i="13"/>
  <c r="BS37" i="13"/>
  <c r="BL37" i="13"/>
  <c r="BP37" i="13"/>
  <c r="BT37" i="13"/>
  <c r="BX37" i="13"/>
  <c r="BQ37" i="13"/>
  <c r="BU37" i="13"/>
  <c r="BR37" i="13"/>
  <c r="BY37" i="13"/>
  <c r="CB37" i="13"/>
  <c r="BZ37" i="13"/>
  <c r="BW37" i="13"/>
  <c r="CA37" i="13"/>
  <c r="BN37" i="13"/>
  <c r="BM37" i="13"/>
  <c r="BZ41" i="13"/>
  <c r="BS41" i="13"/>
  <c r="BR41" i="13"/>
  <c r="BQ41" i="13"/>
  <c r="CA41" i="13"/>
  <c r="BT41" i="13"/>
  <c r="BM41" i="13"/>
  <c r="BL41" i="13"/>
  <c r="CB41" i="13"/>
  <c r="BY41" i="13"/>
  <c r="BW41" i="13"/>
  <c r="BU41" i="13"/>
  <c r="CD41" i="13"/>
  <c r="BV41" i="13"/>
  <c r="BO41" i="13"/>
  <c r="BX41" i="13"/>
  <c r="BP41" i="13"/>
  <c r="BN41" i="13"/>
  <c r="CC41" i="13"/>
  <c r="BW45" i="13"/>
  <c r="BP45" i="13"/>
  <c r="BZ45" i="13"/>
  <c r="BS45" i="13"/>
  <c r="BR45" i="13"/>
  <c r="BQ45" i="13"/>
  <c r="CA45" i="13"/>
  <c r="BT45" i="13"/>
  <c r="BM45" i="13"/>
  <c r="BL45" i="13"/>
  <c r="BV45" i="13"/>
  <c r="BY45" i="13"/>
  <c r="BU45" i="13"/>
  <c r="CD45" i="13"/>
  <c r="BN45" i="13"/>
  <c r="CC45" i="13"/>
  <c r="BX45" i="13"/>
  <c r="CB45" i="13"/>
  <c r="BO45" i="13"/>
  <c r="BS49" i="13"/>
  <c r="BR49" i="13"/>
  <c r="BQ49" i="13"/>
  <c r="CA49" i="13"/>
  <c r="BT49" i="13"/>
  <c r="BY49" i="13"/>
  <c r="BL49" i="13"/>
  <c r="BV49" i="13"/>
  <c r="BZ49" i="13"/>
  <c r="CD49" i="13"/>
  <c r="BW49" i="13"/>
  <c r="BU49" i="13"/>
  <c r="CB49" i="13"/>
  <c r="BX49" i="13"/>
  <c r="BO49" i="13"/>
  <c r="BP49" i="13"/>
  <c r="BN49" i="13"/>
  <c r="BM49" i="13"/>
  <c r="CC49" i="13"/>
  <c r="BU53" i="13"/>
  <c r="BN53" i="13"/>
  <c r="CD53" i="13"/>
  <c r="CC53" i="13"/>
  <c r="BV53" i="13"/>
  <c r="BO53" i="13"/>
  <c r="BY53" i="13"/>
  <c r="BX53" i="13"/>
  <c r="BW53" i="13"/>
  <c r="BP53" i="13"/>
  <c r="CA53" i="13"/>
  <c r="BM53" i="13"/>
  <c r="CB53" i="13"/>
  <c r="BZ53" i="13"/>
  <c r="BR53" i="13"/>
  <c r="BT53" i="13"/>
  <c r="BL53" i="13"/>
  <c r="BS53" i="13"/>
  <c r="BQ53" i="13"/>
  <c r="CB57" i="13"/>
  <c r="BU57" i="13"/>
  <c r="BN57" i="13"/>
  <c r="CD57" i="13"/>
  <c r="CC57" i="13"/>
  <c r="BV57" i="13"/>
  <c r="BO57" i="13"/>
  <c r="BY57" i="13"/>
  <c r="BX57" i="13"/>
  <c r="CA57" i="13"/>
  <c r="BM57" i="13"/>
  <c r="BW57" i="13"/>
  <c r="BZ57" i="13"/>
  <c r="BR57" i="13"/>
  <c r="BP57" i="13"/>
  <c r="BT57" i="13"/>
  <c r="BS57" i="13"/>
  <c r="BQ57" i="13"/>
  <c r="BL57" i="13"/>
  <c r="CD61" i="13"/>
  <c r="CC61" i="13"/>
  <c r="BV61" i="13"/>
  <c r="BO61" i="13"/>
  <c r="BY61" i="13"/>
  <c r="BR61" i="13"/>
  <c r="CB61" i="13"/>
  <c r="BZ61" i="13"/>
  <c r="BM61" i="13"/>
  <c r="BW61" i="13"/>
  <c r="CA61" i="13"/>
  <c r="BN61" i="13"/>
  <c r="BX61" i="13"/>
  <c r="BU61" i="13"/>
  <c r="BQ61" i="13"/>
  <c r="BT61" i="13"/>
  <c r="BL61" i="13"/>
  <c r="BS61" i="13"/>
  <c r="BP61" i="13"/>
  <c r="BZ65" i="13"/>
  <c r="BS65" i="13"/>
  <c r="BR65" i="13"/>
  <c r="BQ65" i="13"/>
  <c r="CA65" i="13"/>
  <c r="BT65" i="13"/>
  <c r="BM65" i="13"/>
  <c r="BL65" i="13"/>
  <c r="CB65" i="13"/>
  <c r="BO65" i="13"/>
  <c r="BX65" i="13"/>
  <c r="BP65" i="13"/>
  <c r="BN65" i="13"/>
  <c r="CC65" i="13"/>
  <c r="BY65" i="13"/>
  <c r="BW65" i="13"/>
  <c r="BU65" i="13"/>
  <c r="CD65" i="13"/>
  <c r="BV65" i="13"/>
  <c r="BW69" i="13"/>
  <c r="BP69" i="13"/>
  <c r="BZ69" i="13"/>
  <c r="BS69" i="13"/>
  <c r="BR69" i="13"/>
  <c r="BQ69" i="13"/>
  <c r="CA69" i="13"/>
  <c r="BT69" i="13"/>
  <c r="BM69" i="13"/>
  <c r="BL69" i="13"/>
  <c r="CC69" i="13"/>
  <c r="BO69" i="13"/>
  <c r="BX69" i="13"/>
  <c r="CB69" i="13"/>
  <c r="BN69" i="13"/>
  <c r="CD69" i="13"/>
  <c r="BV69" i="13"/>
  <c r="BU69" i="13"/>
  <c r="BY69" i="13"/>
  <c r="BS73" i="13"/>
  <c r="BR73" i="13"/>
  <c r="BQ73" i="13"/>
  <c r="CA73" i="13"/>
  <c r="BT73" i="13"/>
  <c r="BX73" i="13"/>
  <c r="CB73" i="13"/>
  <c r="BO73" i="13"/>
  <c r="BM73" i="13"/>
  <c r="CC73" i="13"/>
  <c r="BP73" i="13"/>
  <c r="BN73" i="13"/>
  <c r="BW73" i="13"/>
  <c r="CD73" i="13"/>
  <c r="BU73" i="13"/>
  <c r="BY73" i="13"/>
  <c r="BL73" i="13"/>
  <c r="BV73" i="13"/>
  <c r="BZ73" i="13"/>
  <c r="BU77" i="13"/>
  <c r="BN77" i="13"/>
  <c r="CD77" i="13"/>
  <c r="CC77" i="13"/>
  <c r="BV77" i="13"/>
  <c r="BO77" i="13"/>
  <c r="BY77" i="13"/>
  <c r="BX77" i="13"/>
  <c r="BW77" i="13"/>
  <c r="BP77" i="13"/>
  <c r="BT77" i="13"/>
  <c r="BL77" i="13"/>
  <c r="BS77" i="13"/>
  <c r="BQ77" i="13"/>
  <c r="CA77" i="13"/>
  <c r="BM77" i="13"/>
  <c r="CB77" i="13"/>
  <c r="BZ77" i="13"/>
  <c r="BR77" i="13"/>
  <c r="CB81" i="13"/>
  <c r="BU81" i="13"/>
  <c r="BN81" i="13"/>
  <c r="CD81" i="13"/>
  <c r="CC81" i="13"/>
  <c r="BV81" i="13"/>
  <c r="BO81" i="13"/>
  <c r="BY81" i="13"/>
  <c r="BX81" i="13"/>
  <c r="BQ81" i="13"/>
  <c r="BT81" i="13"/>
  <c r="BL81" i="13"/>
  <c r="BP81" i="13"/>
  <c r="BS81" i="13"/>
  <c r="BZ81" i="13"/>
  <c r="BM81" i="13"/>
  <c r="BW81" i="13"/>
  <c r="BR81" i="13"/>
  <c r="CA81" i="13"/>
  <c r="CD85" i="13"/>
  <c r="CC85" i="13"/>
  <c r="BV85" i="13"/>
  <c r="BO85" i="13"/>
  <c r="BX85" i="13"/>
  <c r="BQ85" i="13"/>
  <c r="BU85" i="13"/>
  <c r="BS85" i="13"/>
  <c r="BL85" i="13"/>
  <c r="BP85" i="13"/>
  <c r="BT85" i="13"/>
  <c r="BW85" i="13"/>
  <c r="CA85" i="13"/>
  <c r="BM85" i="13"/>
  <c r="BN85" i="13"/>
  <c r="BR85" i="13"/>
  <c r="CB85" i="13"/>
  <c r="BZ85" i="13"/>
  <c r="BY85" i="13"/>
  <c r="BZ89" i="13"/>
  <c r="BS89" i="13"/>
  <c r="BR89" i="13"/>
  <c r="BQ89" i="13"/>
  <c r="CA89" i="13"/>
  <c r="BT89" i="13"/>
  <c r="BM89" i="13"/>
  <c r="BL89" i="13"/>
  <c r="CB89" i="13"/>
  <c r="BY89" i="13"/>
  <c r="BW89" i="13"/>
  <c r="BU89" i="13"/>
  <c r="CD89" i="13"/>
  <c r="BV89" i="13"/>
  <c r="BO89" i="13"/>
  <c r="BX89" i="13"/>
  <c r="BP89" i="13"/>
  <c r="CC89" i="13"/>
  <c r="BN89" i="13"/>
  <c r="BW93" i="13"/>
  <c r="BP93" i="13"/>
  <c r="BZ93" i="13"/>
  <c r="BS93" i="13"/>
  <c r="BR93" i="13"/>
  <c r="BQ93" i="13"/>
  <c r="CA93" i="13"/>
  <c r="BT93" i="13"/>
  <c r="BM93" i="13"/>
  <c r="BL93" i="13"/>
  <c r="BV93" i="13"/>
  <c r="BY93" i="13"/>
  <c r="BU93" i="13"/>
  <c r="CD93" i="13"/>
  <c r="CB93" i="13"/>
  <c r="BO93" i="13"/>
  <c r="BN93" i="13"/>
  <c r="CC93" i="13"/>
  <c r="BX93" i="13"/>
  <c r="BS97" i="13"/>
  <c r="BR97" i="13"/>
  <c r="BQ97" i="13"/>
  <c r="CA97" i="13"/>
  <c r="BT97" i="13"/>
  <c r="CD97" i="13"/>
  <c r="BW97" i="13"/>
  <c r="BU97" i="13"/>
  <c r="BY97" i="13"/>
  <c r="BL97" i="13"/>
  <c r="BV97" i="13"/>
  <c r="BZ97" i="13"/>
  <c r="CC97" i="13"/>
  <c r="BN97" i="13"/>
  <c r="BM97" i="13"/>
  <c r="BP97" i="13"/>
  <c r="CB97" i="13"/>
  <c r="BO97" i="13"/>
  <c r="BX97" i="13"/>
  <c r="BU101" i="13"/>
  <c r="BN101" i="13"/>
  <c r="CD101" i="13"/>
  <c r="CC101" i="13"/>
  <c r="BV101" i="13"/>
  <c r="BO101" i="13"/>
  <c r="BY101" i="13"/>
  <c r="BX101" i="13"/>
  <c r="BW101" i="13"/>
  <c r="BP101" i="13"/>
  <c r="CA101" i="13"/>
  <c r="BM101" i="13"/>
  <c r="CB101" i="13"/>
  <c r="BZ101" i="13"/>
  <c r="BR101" i="13"/>
  <c r="BT101" i="13"/>
  <c r="BL101" i="13"/>
  <c r="BS101" i="13"/>
  <c r="BQ101" i="13"/>
  <c r="CB105" i="13"/>
  <c r="BU105" i="13"/>
  <c r="BN105" i="13"/>
  <c r="CD105" i="13"/>
  <c r="CC105" i="13"/>
  <c r="BV105" i="13"/>
  <c r="BO105" i="13"/>
  <c r="BY105" i="13"/>
  <c r="BX105" i="13"/>
  <c r="CA105" i="13"/>
  <c r="BM105" i="13"/>
  <c r="BW105" i="13"/>
  <c r="BZ105" i="13"/>
  <c r="BR105" i="13"/>
  <c r="BS105" i="13"/>
  <c r="BQ105" i="13"/>
  <c r="BL105" i="13"/>
  <c r="BP105" i="13"/>
  <c r="BT105" i="13"/>
  <c r="CD109" i="13"/>
  <c r="CC109" i="13"/>
  <c r="BV109" i="13"/>
  <c r="BO109" i="13"/>
  <c r="BM109" i="13"/>
  <c r="BW109" i="13"/>
  <c r="CA109" i="13"/>
  <c r="BN109" i="13"/>
  <c r="BY109" i="13"/>
  <c r="BR109" i="13"/>
  <c r="CB109" i="13"/>
  <c r="BZ109" i="13"/>
  <c r="BL109" i="13"/>
  <c r="BT109" i="13"/>
  <c r="BS109" i="13"/>
  <c r="BP109" i="13"/>
  <c r="BU109" i="13"/>
  <c r="BX109" i="13"/>
  <c r="BQ109" i="13"/>
  <c r="BZ113" i="13"/>
  <c r="BS113" i="13"/>
  <c r="BR113" i="13"/>
  <c r="BQ113" i="13"/>
  <c r="CA113" i="13"/>
  <c r="BT113" i="13"/>
  <c r="BM113" i="13"/>
  <c r="BL113" i="13"/>
  <c r="CB113" i="13"/>
  <c r="BO113" i="13"/>
  <c r="BX113" i="13"/>
  <c r="BP113" i="13"/>
  <c r="BN113" i="13"/>
  <c r="CC113" i="13"/>
  <c r="BY113" i="13"/>
  <c r="BW113" i="13"/>
  <c r="BU113" i="13"/>
  <c r="CD113" i="13"/>
  <c r="BV113" i="13"/>
  <c r="BW117" i="13"/>
  <c r="BP117" i="13"/>
  <c r="BZ117" i="13"/>
  <c r="BS117" i="13"/>
  <c r="BR117" i="13"/>
  <c r="BQ117" i="13"/>
  <c r="CA117" i="13"/>
  <c r="BT117" i="13"/>
  <c r="BM117" i="13"/>
  <c r="BL117" i="13"/>
  <c r="CC117" i="13"/>
  <c r="BO117" i="13"/>
  <c r="BX117" i="13"/>
  <c r="CB117" i="13"/>
  <c r="BN117" i="13"/>
  <c r="BU117" i="13"/>
  <c r="BY117" i="13"/>
  <c r="CD117" i="13"/>
  <c r="BV117" i="13"/>
  <c r="BS129" i="13"/>
  <c r="BR129" i="13"/>
  <c r="BQ129" i="13"/>
  <c r="CA129" i="13"/>
  <c r="BT129" i="13"/>
  <c r="BM129" i="13"/>
  <c r="CC129" i="13"/>
  <c r="BP129" i="13"/>
  <c r="BN129" i="13"/>
  <c r="BX129" i="13"/>
  <c r="CB129" i="13"/>
  <c r="BO129" i="13"/>
  <c r="BL129" i="13"/>
  <c r="BY129" i="13"/>
  <c r="BV129" i="13"/>
  <c r="BZ129" i="13"/>
  <c r="BW129" i="13"/>
  <c r="CD129" i="13"/>
  <c r="BU129" i="13"/>
  <c r="BU133" i="13"/>
  <c r="BN133" i="13"/>
  <c r="CD133" i="13"/>
  <c r="CC133" i="13"/>
  <c r="BV133" i="13"/>
  <c r="BO133" i="13"/>
  <c r="BY133" i="13"/>
  <c r="BX133" i="13"/>
  <c r="BW133" i="13"/>
  <c r="BP133" i="13"/>
  <c r="BT133" i="13"/>
  <c r="BL133" i="13"/>
  <c r="BS133" i="13"/>
  <c r="BQ133" i="13"/>
  <c r="CA133" i="13"/>
  <c r="BM133" i="13"/>
  <c r="CB133" i="13"/>
  <c r="BZ133" i="13"/>
  <c r="BR133" i="13"/>
  <c r="CB137" i="13"/>
  <c r="BU137" i="13"/>
  <c r="BN137" i="13"/>
  <c r="CD137" i="13"/>
  <c r="CC137" i="13"/>
  <c r="BV137" i="13"/>
  <c r="BO137" i="13"/>
  <c r="BY137" i="13"/>
  <c r="BX137" i="13"/>
  <c r="BQ137" i="13"/>
  <c r="BT137" i="13"/>
  <c r="BL137" i="13"/>
  <c r="BP137" i="13"/>
  <c r="BS137" i="13"/>
  <c r="BW137" i="13"/>
  <c r="BR137" i="13"/>
  <c r="CA137" i="13"/>
  <c r="BZ137" i="13"/>
  <c r="BM137" i="13"/>
  <c r="CD167" i="13"/>
  <c r="CC167" i="13"/>
  <c r="BV167" i="13"/>
  <c r="BO167" i="13"/>
  <c r="BS167" i="13"/>
  <c r="BL167" i="13"/>
  <c r="BP167" i="13"/>
  <c r="BT167" i="13"/>
  <c r="BX167" i="13"/>
  <c r="BQ167" i="13"/>
  <c r="BU167" i="13"/>
  <c r="BY167" i="13"/>
  <c r="BZ167" i="13"/>
  <c r="BR167" i="13"/>
  <c r="CB167" i="13"/>
  <c r="BM167" i="13"/>
  <c r="BW167" i="13"/>
  <c r="CA167" i="13"/>
  <c r="BN167" i="13"/>
  <c r="BZ171" i="13"/>
  <c r="BS171" i="13"/>
  <c r="BR171" i="13"/>
  <c r="BQ171" i="13"/>
  <c r="CA171" i="13"/>
  <c r="BT171" i="13"/>
  <c r="BM171" i="13"/>
  <c r="BL171" i="13"/>
  <c r="CB171" i="13"/>
  <c r="BY171" i="13"/>
  <c r="BW171" i="13"/>
  <c r="BU171" i="13"/>
  <c r="CD171" i="13"/>
  <c r="BV171" i="13"/>
  <c r="BO171" i="13"/>
  <c r="BX171" i="13"/>
  <c r="BP171" i="13"/>
  <c r="BN171" i="13"/>
  <c r="CC171" i="13"/>
  <c r="BW175" i="13"/>
  <c r="BP175" i="13"/>
  <c r="BZ175" i="13"/>
  <c r="BS175" i="13"/>
  <c r="BR175" i="13"/>
  <c r="BQ175" i="13"/>
  <c r="CA175" i="13"/>
  <c r="BT175" i="13"/>
  <c r="BM175" i="13"/>
  <c r="BL175" i="13"/>
  <c r="BV175" i="13"/>
  <c r="BY175" i="13"/>
  <c r="BU175" i="13"/>
  <c r="CD175" i="13"/>
  <c r="CC175" i="13"/>
  <c r="BO175" i="13"/>
  <c r="BX175" i="13"/>
  <c r="BN175" i="13"/>
  <c r="CB175" i="13"/>
  <c r="CD196" i="13"/>
  <c r="CC196" i="13"/>
  <c r="BV196" i="13"/>
  <c r="BO196" i="13"/>
  <c r="BS196" i="13"/>
  <c r="BR196" i="13"/>
  <c r="BQ196" i="13"/>
  <c r="CA196" i="13"/>
  <c r="BT196" i="13"/>
  <c r="BM196" i="13"/>
  <c r="CB196" i="13"/>
  <c r="BN196" i="13"/>
  <c r="BL196" i="13"/>
  <c r="BU196" i="13"/>
  <c r="BY196" i="13"/>
  <c r="BZ196" i="13"/>
  <c r="BX196" i="13"/>
  <c r="BW196" i="13"/>
  <c r="BP196" i="13"/>
  <c r="BO200" i="13"/>
  <c r="BY200" i="13"/>
  <c r="BX200" i="13"/>
  <c r="BW200" i="13"/>
  <c r="BP200" i="13"/>
  <c r="BT200" i="13"/>
  <c r="CD200" i="13"/>
  <c r="BQ200" i="13"/>
  <c r="CA200" i="13"/>
  <c r="BN200" i="13"/>
  <c r="BR200" i="13"/>
  <c r="CB200" i="13"/>
  <c r="BU200" i="13"/>
  <c r="BS200" i="13"/>
  <c r="BL200" i="13"/>
  <c r="BV200" i="13"/>
  <c r="BZ200" i="13"/>
  <c r="BM200" i="13"/>
  <c r="CC200" i="13"/>
  <c r="CB204" i="13"/>
  <c r="BU204" i="13"/>
  <c r="BN204" i="13"/>
  <c r="CD204" i="13"/>
  <c r="CC204" i="13"/>
  <c r="BV204" i="13"/>
  <c r="BO204" i="13"/>
  <c r="BY204" i="13"/>
  <c r="BX204" i="13"/>
  <c r="CA204" i="13"/>
  <c r="BM204" i="13"/>
  <c r="BW204" i="13"/>
  <c r="BZ204" i="13"/>
  <c r="BR204" i="13"/>
  <c r="BQ204" i="13"/>
  <c r="BT204" i="13"/>
  <c r="BL204" i="13"/>
  <c r="BP204" i="13"/>
  <c r="BS204" i="13"/>
  <c r="BS223" i="13"/>
  <c r="BR223" i="13"/>
  <c r="BQ223" i="13"/>
  <c r="CA223" i="13"/>
  <c r="BT223" i="13"/>
  <c r="CD223" i="13"/>
  <c r="CC223" i="13"/>
  <c r="BV223" i="13"/>
  <c r="BO223" i="13"/>
  <c r="BX223" i="13"/>
  <c r="BZ223" i="13"/>
  <c r="BY223" i="13"/>
  <c r="BW223" i="13"/>
  <c r="BP223" i="13"/>
  <c r="CB223" i="13"/>
  <c r="BM223" i="13"/>
  <c r="BU223" i="13"/>
  <c r="BN223" i="13"/>
  <c r="BL223" i="13"/>
  <c r="CA227" i="13"/>
  <c r="BT227" i="13"/>
  <c r="BM227" i="13"/>
  <c r="BL227" i="13"/>
  <c r="CB227" i="13"/>
  <c r="BZ227" i="13"/>
  <c r="CD227" i="13"/>
  <c r="BW227" i="13"/>
  <c r="BN227" i="13"/>
  <c r="BX227" i="13"/>
  <c r="BQ227" i="13"/>
  <c r="BU227" i="13"/>
  <c r="BY227" i="13"/>
  <c r="BR227" i="13"/>
  <c r="BV227" i="13"/>
  <c r="BS227" i="13"/>
  <c r="CC227" i="13"/>
  <c r="BP227" i="13"/>
  <c r="BO227" i="13"/>
  <c r="BW440" i="13"/>
  <c r="BP440" i="13"/>
  <c r="BZ440" i="13"/>
  <c r="BS440" i="13"/>
  <c r="BR440" i="13"/>
  <c r="BQ440" i="13"/>
  <c r="CA440" i="13"/>
  <c r="BT440" i="13"/>
  <c r="BM440" i="13"/>
  <c r="BL440" i="13"/>
  <c r="CC440" i="13"/>
  <c r="BO440" i="13"/>
  <c r="BX440" i="13"/>
  <c r="CB440" i="13"/>
  <c r="BN440" i="13"/>
  <c r="BV440" i="13"/>
  <c r="BY440" i="13"/>
  <c r="BU440" i="13"/>
  <c r="CD440" i="13"/>
  <c r="CD444" i="13"/>
  <c r="CC444" i="13"/>
  <c r="BV444" i="13"/>
  <c r="BO444" i="13"/>
  <c r="BS444" i="13"/>
  <c r="BR444" i="13"/>
  <c r="BQ444" i="13"/>
  <c r="CA444" i="13"/>
  <c r="BT444" i="13"/>
  <c r="BM444" i="13"/>
  <c r="CB444" i="13"/>
  <c r="BN444" i="13"/>
  <c r="BL444" i="13"/>
  <c r="BU444" i="13"/>
  <c r="BX444" i="13"/>
  <c r="BW444" i="13"/>
  <c r="BP444" i="13"/>
  <c r="BY444" i="13"/>
  <c r="BZ444" i="13"/>
  <c r="BO448" i="13"/>
  <c r="BY448" i="13"/>
  <c r="BX448" i="13"/>
  <c r="BW448" i="13"/>
  <c r="BP448" i="13"/>
  <c r="BZ448" i="13"/>
  <c r="BM448" i="13"/>
  <c r="CC448" i="13"/>
  <c r="BT448" i="13"/>
  <c r="CD448" i="13"/>
  <c r="BQ448" i="13"/>
  <c r="CA448" i="13"/>
  <c r="BN448" i="13"/>
  <c r="BR448" i="13"/>
  <c r="CB448" i="13"/>
  <c r="BL448" i="13"/>
  <c r="BV448" i="13"/>
  <c r="BU448" i="13"/>
  <c r="BS448" i="13"/>
  <c r="CB452" i="13"/>
  <c r="BU452" i="13"/>
  <c r="BN452" i="13"/>
  <c r="CD452" i="13"/>
  <c r="CC452" i="13"/>
  <c r="BV452" i="13"/>
  <c r="BO452" i="13"/>
  <c r="BY452" i="13"/>
  <c r="BX452" i="13"/>
  <c r="BQ452" i="13"/>
  <c r="BT452" i="13"/>
  <c r="BL452" i="13"/>
  <c r="BP452" i="13"/>
  <c r="BS452" i="13"/>
  <c r="CA452" i="13"/>
  <c r="BM452" i="13"/>
  <c r="BW452" i="13"/>
  <c r="BZ452" i="13"/>
  <c r="BR452" i="13"/>
  <c r="BY6" i="13"/>
  <c r="BX6" i="13"/>
  <c r="BW6" i="13"/>
  <c r="BP6" i="13"/>
  <c r="BZ6" i="13"/>
  <c r="BS6" i="13"/>
  <c r="BR6" i="13"/>
  <c r="BQ6" i="13"/>
  <c r="CA6" i="13"/>
  <c r="BT6" i="13"/>
  <c r="BL6" i="13"/>
  <c r="BU6" i="13"/>
  <c r="BM6" i="13"/>
  <c r="CB6" i="13"/>
  <c r="CD6" i="13"/>
  <c r="BV6" i="13"/>
  <c r="BN6" i="13"/>
  <c r="CC6" i="13"/>
  <c r="BO6" i="13"/>
  <c r="BV10" i="13"/>
  <c r="BO10" i="13"/>
  <c r="BY10" i="13"/>
  <c r="BX10" i="13"/>
  <c r="BW10" i="13"/>
  <c r="BP10" i="13"/>
  <c r="BT10" i="13"/>
  <c r="CD10" i="13"/>
  <c r="BQ10" i="13"/>
  <c r="CB10" i="13"/>
  <c r="BZ10" i="13"/>
  <c r="BM10" i="13"/>
  <c r="CC10" i="13"/>
  <c r="CA10" i="13"/>
  <c r="BR10" i="13"/>
  <c r="BU10" i="13"/>
  <c r="BL10" i="13"/>
  <c r="BS10" i="13"/>
  <c r="BN10" i="13"/>
  <c r="CD14" i="13"/>
  <c r="CC14" i="13"/>
  <c r="BV14" i="13"/>
  <c r="BO14" i="13"/>
  <c r="BY14" i="13"/>
  <c r="BW14" i="13"/>
  <c r="CA14" i="13"/>
  <c r="BN14" i="13"/>
  <c r="BX14" i="13"/>
  <c r="BQ14" i="13"/>
  <c r="BU14" i="13"/>
  <c r="BS14" i="13"/>
  <c r="BL14" i="13"/>
  <c r="BT14" i="13"/>
  <c r="CB14" i="13"/>
  <c r="BM14" i="13"/>
  <c r="BP14" i="13"/>
  <c r="BR14" i="13"/>
  <c r="BZ14" i="13"/>
  <c r="BT18" i="13"/>
  <c r="BM18" i="13"/>
  <c r="BL18" i="13"/>
  <c r="CB18" i="13"/>
  <c r="BU18" i="13"/>
  <c r="BN18" i="13"/>
  <c r="CD18" i="13"/>
  <c r="CC18" i="13"/>
  <c r="BV18" i="13"/>
  <c r="BO18" i="13"/>
  <c r="BY18" i="13"/>
  <c r="BW18" i="13"/>
  <c r="BQ18" i="13"/>
  <c r="BX18" i="13"/>
  <c r="BP18" i="13"/>
  <c r="BZ18" i="13"/>
  <c r="BR18" i="13"/>
  <c r="CA18" i="13"/>
  <c r="BS18" i="13"/>
  <c r="CA22" i="13"/>
  <c r="BT22" i="13"/>
  <c r="BM22" i="13"/>
  <c r="BL22" i="13"/>
  <c r="BV22" i="13"/>
  <c r="BZ22" i="13"/>
  <c r="CD22" i="13"/>
  <c r="BW22" i="13"/>
  <c r="CB22" i="13"/>
  <c r="BO22" i="13"/>
  <c r="BS22" i="13"/>
  <c r="CC22" i="13"/>
  <c r="BN22" i="13"/>
  <c r="BQ22" i="13"/>
  <c r="BY22" i="13"/>
  <c r="BU22" i="13"/>
  <c r="BR22" i="13"/>
  <c r="BX22" i="13"/>
  <c r="BP22" i="13"/>
  <c r="BR26" i="13"/>
  <c r="BQ26" i="13"/>
  <c r="CA26" i="13"/>
  <c r="BT26" i="13"/>
  <c r="BM26" i="13"/>
  <c r="CC26" i="13"/>
  <c r="BP26" i="13"/>
  <c r="BN26" i="13"/>
  <c r="CD26" i="13"/>
  <c r="BW26" i="13"/>
  <c r="BU26" i="13"/>
  <c r="BY26" i="13"/>
  <c r="BV26" i="13"/>
  <c r="BX26" i="13"/>
  <c r="BO26" i="13"/>
  <c r="BL26" i="13"/>
  <c r="BZ26" i="13"/>
  <c r="CB26" i="13"/>
  <c r="BS26" i="13"/>
  <c r="BY30" i="13"/>
  <c r="BX30" i="13"/>
  <c r="BW30" i="13"/>
  <c r="BP30" i="13"/>
  <c r="BZ30" i="13"/>
  <c r="BS30" i="13"/>
  <c r="BR30" i="13"/>
  <c r="BQ30" i="13"/>
  <c r="CA30" i="13"/>
  <c r="BM30" i="13"/>
  <c r="CB30" i="13"/>
  <c r="BV30" i="13"/>
  <c r="BT30" i="13"/>
  <c r="BL30" i="13"/>
  <c r="BU30" i="13"/>
  <c r="CD30" i="13"/>
  <c r="BN30" i="13"/>
  <c r="CC30" i="13"/>
  <c r="BO30" i="13"/>
  <c r="BV34" i="13"/>
  <c r="BO34" i="13"/>
  <c r="BY34" i="13"/>
  <c r="BX34" i="13"/>
  <c r="BW34" i="13"/>
  <c r="CB34" i="13"/>
  <c r="BZ34" i="13"/>
  <c r="BM34" i="13"/>
  <c r="CC34" i="13"/>
  <c r="BU34" i="13"/>
  <c r="BS34" i="13"/>
  <c r="BL34" i="13"/>
  <c r="BP34" i="13"/>
  <c r="CD34" i="13"/>
  <c r="CA34" i="13"/>
  <c r="BR34" i="13"/>
  <c r="BN34" i="13"/>
  <c r="BQ34" i="13"/>
  <c r="BT34" i="13"/>
  <c r="CD38" i="13"/>
  <c r="CC38" i="13"/>
  <c r="BV38" i="13"/>
  <c r="BO38" i="13"/>
  <c r="BY38" i="13"/>
  <c r="BL38" i="13"/>
  <c r="BP38" i="13"/>
  <c r="BT38" i="13"/>
  <c r="BW38" i="13"/>
  <c r="CA38" i="13"/>
  <c r="BN38" i="13"/>
  <c r="BR38" i="13"/>
  <c r="BZ38" i="13"/>
  <c r="BQ38" i="13"/>
  <c r="BS38" i="13"/>
  <c r="CB38" i="13"/>
  <c r="BM38" i="13"/>
  <c r="BX38" i="13"/>
  <c r="BU38" i="13"/>
  <c r="BT42" i="13"/>
  <c r="BM42" i="13"/>
  <c r="BL42" i="13"/>
  <c r="CB42" i="13"/>
  <c r="BU42" i="13"/>
  <c r="BN42" i="13"/>
  <c r="CD42" i="13"/>
  <c r="CC42" i="13"/>
  <c r="BV42" i="13"/>
  <c r="BO42" i="13"/>
  <c r="BX42" i="13"/>
  <c r="BP42" i="13"/>
  <c r="CA42" i="13"/>
  <c r="BY42" i="13"/>
  <c r="BW42" i="13"/>
  <c r="BZ42" i="13"/>
  <c r="BS42" i="13"/>
  <c r="BQ42" i="13"/>
  <c r="BR42" i="13"/>
  <c r="CA46" i="13"/>
  <c r="BT46" i="13"/>
  <c r="BM46" i="13"/>
  <c r="BL46" i="13"/>
  <c r="CB46" i="13"/>
  <c r="BO46" i="13"/>
  <c r="BS46" i="13"/>
  <c r="CC46" i="13"/>
  <c r="BU46" i="13"/>
  <c r="BY46" i="13"/>
  <c r="BR46" i="13"/>
  <c r="BZ46" i="13"/>
  <c r="BW46" i="13"/>
  <c r="BN46" i="13"/>
  <c r="BQ46" i="13"/>
  <c r="BP46" i="13"/>
  <c r="BX46" i="13"/>
  <c r="BV46" i="13"/>
  <c r="CD46" i="13"/>
  <c r="BR50" i="13"/>
  <c r="BQ50" i="13"/>
  <c r="CA50" i="13"/>
  <c r="BT50" i="13"/>
  <c r="BM50" i="13"/>
  <c r="BL50" i="13"/>
  <c r="BV50" i="13"/>
  <c r="BZ50" i="13"/>
  <c r="CC50" i="13"/>
  <c r="BP50" i="13"/>
  <c r="BN50" i="13"/>
  <c r="CB50" i="13"/>
  <c r="BS50" i="13"/>
  <c r="CD50" i="13"/>
  <c r="BU50" i="13"/>
  <c r="BX50" i="13"/>
  <c r="BO50" i="13"/>
  <c r="BW50" i="13"/>
  <c r="BY50" i="13"/>
  <c r="BY54" i="13"/>
  <c r="BX54" i="13"/>
  <c r="BW54" i="13"/>
  <c r="BP54" i="13"/>
  <c r="BZ54" i="13"/>
  <c r="BS54" i="13"/>
  <c r="BR54" i="13"/>
  <c r="BQ54" i="13"/>
  <c r="CA54" i="13"/>
  <c r="BT54" i="13"/>
  <c r="BL54" i="13"/>
  <c r="BU54" i="13"/>
  <c r="BN54" i="13"/>
  <c r="BM54" i="13"/>
  <c r="CB54" i="13"/>
  <c r="CC54" i="13"/>
  <c r="CD54" i="13"/>
  <c r="BV54" i="13"/>
  <c r="BO54" i="13"/>
  <c r="BV58" i="13"/>
  <c r="BO58" i="13"/>
  <c r="BY58" i="13"/>
  <c r="BX58" i="13"/>
  <c r="BW58" i="13"/>
  <c r="BU58" i="13"/>
  <c r="BS58" i="13"/>
  <c r="BL58" i="13"/>
  <c r="CA58" i="13"/>
  <c r="BN58" i="13"/>
  <c r="BR58" i="13"/>
  <c r="CB58" i="13"/>
  <c r="BM58" i="13"/>
  <c r="BP58" i="13"/>
  <c r="CD58" i="13"/>
  <c r="BT58" i="13"/>
  <c r="BQ58" i="13"/>
  <c r="BZ58" i="13"/>
  <c r="CC58" i="13"/>
  <c r="CD62" i="13"/>
  <c r="CC62" i="13"/>
  <c r="BV62" i="13"/>
  <c r="BO62" i="13"/>
  <c r="BY62" i="13"/>
  <c r="BR62" i="13"/>
  <c r="CB62" i="13"/>
  <c r="BZ62" i="13"/>
  <c r="BM62" i="13"/>
  <c r="BL62" i="13"/>
  <c r="BP62" i="13"/>
  <c r="BT62" i="13"/>
  <c r="BX62" i="13"/>
  <c r="BU62" i="13"/>
  <c r="BW62" i="13"/>
  <c r="BN62" i="13"/>
  <c r="BQ62" i="13"/>
  <c r="BS62" i="13"/>
  <c r="CA62" i="13"/>
  <c r="BT66" i="13"/>
  <c r="BM66" i="13"/>
  <c r="BL66" i="13"/>
  <c r="CB66" i="13"/>
  <c r="BU66" i="13"/>
  <c r="BN66" i="13"/>
  <c r="CD66" i="13"/>
  <c r="CC66" i="13"/>
  <c r="BV66" i="13"/>
  <c r="BO66" i="13"/>
  <c r="BY66" i="13"/>
  <c r="BW66" i="13"/>
  <c r="BX66" i="13"/>
  <c r="BP66" i="13"/>
  <c r="BS66" i="13"/>
  <c r="BZ66" i="13"/>
  <c r="BR66" i="13"/>
  <c r="CA66" i="13"/>
  <c r="BQ66" i="13"/>
  <c r="CA70" i="13"/>
  <c r="BT70" i="13"/>
  <c r="BM70" i="13"/>
  <c r="BL70" i="13"/>
  <c r="BU70" i="13"/>
  <c r="BY70" i="13"/>
  <c r="BR70" i="13"/>
  <c r="BP70" i="13"/>
  <c r="BN70" i="13"/>
  <c r="BX70" i="13"/>
  <c r="BQ70" i="13"/>
  <c r="BO70" i="13"/>
  <c r="CC70" i="13"/>
  <c r="BZ70" i="13"/>
  <c r="BW70" i="13"/>
  <c r="BV70" i="13"/>
  <c r="CD70" i="13"/>
  <c r="CB70" i="13"/>
  <c r="BS70" i="13"/>
  <c r="BR74" i="13"/>
  <c r="BQ74" i="13"/>
  <c r="CA74" i="13"/>
  <c r="BT74" i="13"/>
  <c r="BM74" i="13"/>
  <c r="BX74" i="13"/>
  <c r="CB74" i="13"/>
  <c r="BO74" i="13"/>
  <c r="BS74" i="13"/>
  <c r="BL74" i="13"/>
  <c r="BV74" i="13"/>
  <c r="BZ74" i="13"/>
  <c r="BW74" i="13"/>
  <c r="BY74" i="13"/>
  <c r="BP74" i="13"/>
  <c r="CD74" i="13"/>
  <c r="BU74" i="13"/>
  <c r="CC74" i="13"/>
  <c r="BN74" i="13"/>
  <c r="BY78" i="13"/>
  <c r="BX78" i="13"/>
  <c r="BW78" i="13"/>
  <c r="BP78" i="13"/>
  <c r="BZ78" i="13"/>
  <c r="BS78" i="13"/>
  <c r="BR78" i="13"/>
  <c r="BQ78" i="13"/>
  <c r="CA78" i="13"/>
  <c r="BM78" i="13"/>
  <c r="CB78" i="13"/>
  <c r="BV78" i="13"/>
  <c r="BT78" i="13"/>
  <c r="BL78" i="13"/>
  <c r="BU78" i="13"/>
  <c r="CD78" i="13"/>
  <c r="BN78" i="13"/>
  <c r="CC78" i="13"/>
  <c r="BO78" i="13"/>
  <c r="BV82" i="13"/>
  <c r="BO82" i="13"/>
  <c r="BY82" i="13"/>
  <c r="BX82" i="13"/>
  <c r="BW82" i="13"/>
  <c r="CA82" i="13"/>
  <c r="BN82" i="13"/>
  <c r="BR82" i="13"/>
  <c r="BP82" i="13"/>
  <c r="BT82" i="13"/>
  <c r="CD82" i="13"/>
  <c r="BQ82" i="13"/>
  <c r="BS82" i="13"/>
  <c r="CB82" i="13"/>
  <c r="BM82" i="13"/>
  <c r="BZ82" i="13"/>
  <c r="CC82" i="13"/>
  <c r="BU82" i="13"/>
  <c r="BL82" i="13"/>
  <c r="CD86" i="13"/>
  <c r="CC86" i="13"/>
  <c r="BV86" i="13"/>
  <c r="BO86" i="13"/>
  <c r="BY86" i="13"/>
  <c r="BX86" i="13"/>
  <c r="BQ86" i="13"/>
  <c r="BU86" i="13"/>
  <c r="BS86" i="13"/>
  <c r="BR86" i="13"/>
  <c r="CB86" i="13"/>
  <c r="BZ86" i="13"/>
  <c r="BM86" i="13"/>
  <c r="CA86" i="13"/>
  <c r="BL86" i="13"/>
  <c r="BT86" i="13"/>
  <c r="BW86" i="13"/>
  <c r="BN86" i="13"/>
  <c r="BP86" i="13"/>
  <c r="BT90" i="13"/>
  <c r="BM90" i="13"/>
  <c r="BL90" i="13"/>
  <c r="CB90" i="13"/>
  <c r="BU90" i="13"/>
  <c r="BN90" i="13"/>
  <c r="CD90" i="13"/>
  <c r="CC90" i="13"/>
  <c r="BV90" i="13"/>
  <c r="BO90" i="13"/>
  <c r="BX90" i="13"/>
  <c r="BP90" i="13"/>
  <c r="BR90" i="13"/>
  <c r="BY90" i="13"/>
  <c r="BW90" i="13"/>
  <c r="BZ90" i="13"/>
  <c r="BS90" i="13"/>
  <c r="BQ90" i="13"/>
  <c r="CA90" i="13"/>
  <c r="CA94" i="13"/>
  <c r="BT94" i="13"/>
  <c r="BM94" i="13"/>
  <c r="BL94" i="13"/>
  <c r="BP94" i="13"/>
  <c r="BN94" i="13"/>
  <c r="BX94" i="13"/>
  <c r="BQ94" i="13"/>
  <c r="BV94" i="13"/>
  <c r="BZ94" i="13"/>
  <c r="CD94" i="13"/>
  <c r="BW94" i="13"/>
  <c r="BU94" i="13"/>
  <c r="BR94" i="13"/>
  <c r="BO94" i="13"/>
  <c r="CC94" i="13"/>
  <c r="CB94" i="13"/>
  <c r="BS94" i="13"/>
  <c r="BY94" i="13"/>
  <c r="BR98" i="13"/>
  <c r="BQ98" i="13"/>
  <c r="CA98" i="13"/>
  <c r="BT98" i="13"/>
  <c r="BM98" i="13"/>
  <c r="CD98" i="13"/>
  <c r="BW98" i="13"/>
  <c r="BU98" i="13"/>
  <c r="BY98" i="13"/>
  <c r="BX98" i="13"/>
  <c r="CB98" i="13"/>
  <c r="BO98" i="13"/>
  <c r="BS98" i="13"/>
  <c r="CC98" i="13"/>
  <c r="BN98" i="13"/>
  <c r="BV98" i="13"/>
  <c r="BP98" i="13"/>
  <c r="BL98" i="13"/>
  <c r="BZ98" i="13"/>
  <c r="BY102" i="13"/>
  <c r="BX102" i="13"/>
  <c r="BW102" i="13"/>
  <c r="BP102" i="13"/>
  <c r="BZ102" i="13"/>
  <c r="BS102" i="13"/>
  <c r="BR102" i="13"/>
  <c r="BQ102" i="13"/>
  <c r="CA102" i="13"/>
  <c r="BT102" i="13"/>
  <c r="BL102" i="13"/>
  <c r="BU102" i="13"/>
  <c r="BM102" i="13"/>
  <c r="CB102" i="13"/>
  <c r="CD102" i="13"/>
  <c r="BV102" i="13"/>
  <c r="BN102" i="13"/>
  <c r="CC102" i="13"/>
  <c r="BO102" i="13"/>
  <c r="BV106" i="13"/>
  <c r="BO106" i="13"/>
  <c r="BY106" i="13"/>
  <c r="BX106" i="13"/>
  <c r="BW106" i="13"/>
  <c r="BP106" i="13"/>
  <c r="BT106" i="13"/>
  <c r="CD106" i="13"/>
  <c r="BQ106" i="13"/>
  <c r="CB106" i="13"/>
  <c r="BZ106" i="13"/>
  <c r="BM106" i="13"/>
  <c r="CC106" i="13"/>
  <c r="BN106" i="13"/>
  <c r="BS106" i="13"/>
  <c r="BU106" i="13"/>
  <c r="BL106" i="13"/>
  <c r="CA106" i="13"/>
  <c r="BR106" i="13"/>
  <c r="CD110" i="13"/>
  <c r="CC110" i="13"/>
  <c r="BV110" i="13"/>
  <c r="BO110" i="13"/>
  <c r="BY110" i="13"/>
  <c r="BW110" i="13"/>
  <c r="CA110" i="13"/>
  <c r="BN110" i="13"/>
  <c r="BX110" i="13"/>
  <c r="BQ110" i="13"/>
  <c r="BU110" i="13"/>
  <c r="BS110" i="13"/>
  <c r="BP110" i="13"/>
  <c r="BR110" i="13"/>
  <c r="BZ110" i="13"/>
  <c r="BL110" i="13"/>
  <c r="BT110" i="13"/>
  <c r="CB110" i="13"/>
  <c r="BM110" i="13"/>
  <c r="BT114" i="13"/>
  <c r="BM114" i="13"/>
  <c r="BL114" i="13"/>
  <c r="CB114" i="13"/>
  <c r="BU114" i="13"/>
  <c r="BN114" i="13"/>
  <c r="CD114" i="13"/>
  <c r="CC114" i="13"/>
  <c r="BV114" i="13"/>
  <c r="BO114" i="13"/>
  <c r="BY114" i="13"/>
  <c r="BW114" i="13"/>
  <c r="BX114" i="13"/>
  <c r="BP114" i="13"/>
  <c r="BZ114" i="13"/>
  <c r="BR114" i="13"/>
  <c r="CA114" i="13"/>
  <c r="BS114" i="13"/>
  <c r="BQ114" i="13"/>
  <c r="CA118" i="13"/>
  <c r="BT118" i="13"/>
  <c r="BM118" i="13"/>
  <c r="BL118" i="13"/>
  <c r="BV118" i="13"/>
  <c r="BZ118" i="13"/>
  <c r="CD118" i="13"/>
  <c r="BW118" i="13"/>
  <c r="CB118" i="13"/>
  <c r="BO118" i="13"/>
  <c r="BS118" i="13"/>
  <c r="CC118" i="13"/>
  <c r="BP118" i="13"/>
  <c r="BX118" i="13"/>
  <c r="BU118" i="13"/>
  <c r="BR118" i="13"/>
  <c r="BY118" i="13"/>
  <c r="BN118" i="13"/>
  <c r="BQ118" i="13"/>
  <c r="BR130" i="13"/>
  <c r="BQ130" i="13"/>
  <c r="CA130" i="13"/>
  <c r="BT130" i="13"/>
  <c r="BM130" i="13"/>
  <c r="BL130" i="13"/>
  <c r="CB130" i="13"/>
  <c r="BU130" i="13"/>
  <c r="BN130" i="13"/>
  <c r="BW130" i="13"/>
  <c r="BZ130" i="13"/>
  <c r="CD130" i="13"/>
  <c r="BV130" i="13"/>
  <c r="BY130" i="13"/>
  <c r="BX130" i="13"/>
  <c r="BP130" i="13"/>
  <c r="BS130" i="13"/>
  <c r="CC130" i="13"/>
  <c r="BO130" i="13"/>
  <c r="BY134" i="13"/>
  <c r="BX134" i="13"/>
  <c r="BW134" i="13"/>
  <c r="BP134" i="13"/>
  <c r="BZ134" i="13"/>
  <c r="BS134" i="13"/>
  <c r="BR134" i="13"/>
  <c r="BQ134" i="13"/>
  <c r="CA134" i="13"/>
  <c r="BM134" i="13"/>
  <c r="CB134" i="13"/>
  <c r="BT134" i="13"/>
  <c r="BL134" i="13"/>
  <c r="BU134" i="13"/>
  <c r="BN134" i="13"/>
  <c r="CC134" i="13"/>
  <c r="BO134" i="13"/>
  <c r="BV134" i="13"/>
  <c r="CD134" i="13"/>
  <c r="BV138" i="13"/>
  <c r="BO138" i="13"/>
  <c r="BY138" i="13"/>
  <c r="BX138" i="13"/>
  <c r="BW138" i="13"/>
  <c r="CB138" i="13"/>
  <c r="BZ138" i="13"/>
  <c r="BM138" i="13"/>
  <c r="CC138" i="13"/>
  <c r="BU138" i="13"/>
  <c r="BS138" i="13"/>
  <c r="BT138" i="13"/>
  <c r="BL138" i="13"/>
  <c r="BN138" i="13"/>
  <c r="BQ138" i="13"/>
  <c r="CA138" i="13"/>
  <c r="BR138" i="13"/>
  <c r="CD138" i="13"/>
  <c r="BP138" i="13"/>
  <c r="CD168" i="13"/>
  <c r="CC168" i="13"/>
  <c r="BV168" i="13"/>
  <c r="BO168" i="13"/>
  <c r="BY168" i="13"/>
  <c r="BX168" i="13"/>
  <c r="BW168" i="13"/>
  <c r="BP168" i="13"/>
  <c r="BZ168" i="13"/>
  <c r="BS168" i="13"/>
  <c r="CB168" i="13"/>
  <c r="BN168" i="13"/>
  <c r="BR168" i="13"/>
  <c r="CA168" i="13"/>
  <c r="BM168" i="13"/>
  <c r="BL168" i="13"/>
  <c r="BU168" i="13"/>
  <c r="BQ168" i="13"/>
  <c r="BT168" i="13"/>
  <c r="BT172" i="13"/>
  <c r="BM172" i="13"/>
  <c r="BL172" i="13"/>
  <c r="CB172" i="13"/>
  <c r="BU172" i="13"/>
  <c r="BN172" i="13"/>
  <c r="CD172" i="13"/>
  <c r="CC172" i="13"/>
  <c r="BV172" i="13"/>
  <c r="BO172" i="13"/>
  <c r="BX172" i="13"/>
  <c r="BP172" i="13"/>
  <c r="BY172" i="13"/>
  <c r="BW172" i="13"/>
  <c r="BS172" i="13"/>
  <c r="BQ172" i="13"/>
  <c r="BR172" i="13"/>
  <c r="CA172" i="13"/>
  <c r="BZ172" i="13"/>
  <c r="CA193" i="13"/>
  <c r="BT193" i="13"/>
  <c r="BM193" i="13"/>
  <c r="BL193" i="13"/>
  <c r="CB193" i="13"/>
  <c r="BO193" i="13"/>
  <c r="BS193" i="13"/>
  <c r="CC193" i="13"/>
  <c r="BZ193" i="13"/>
  <c r="BX193" i="13"/>
  <c r="BV193" i="13"/>
  <c r="BN193" i="13"/>
  <c r="BR193" i="13"/>
  <c r="BU193" i="13"/>
  <c r="CD193" i="13"/>
  <c r="BQ193" i="13"/>
  <c r="BP193" i="13"/>
  <c r="BY193" i="13"/>
  <c r="BW193" i="13"/>
  <c r="BL197" i="13"/>
  <c r="CB197" i="13"/>
  <c r="BU197" i="13"/>
  <c r="BN197" i="13"/>
  <c r="BR197" i="13"/>
  <c r="BV197" i="13"/>
  <c r="BZ197" i="13"/>
  <c r="BM197" i="13"/>
  <c r="CC197" i="13"/>
  <c r="BP197" i="13"/>
  <c r="BT197" i="13"/>
  <c r="CD197" i="13"/>
  <c r="BW197" i="13"/>
  <c r="CA197" i="13"/>
  <c r="BY197" i="13"/>
  <c r="BX197" i="13"/>
  <c r="BQ197" i="13"/>
  <c r="BO197" i="13"/>
  <c r="BS197" i="13"/>
  <c r="BY201" i="13"/>
  <c r="BX201" i="13"/>
  <c r="BW201" i="13"/>
  <c r="BP201" i="13"/>
  <c r="BZ201" i="13"/>
  <c r="BS201" i="13"/>
  <c r="BR201" i="13"/>
  <c r="BQ201" i="13"/>
  <c r="CA201" i="13"/>
  <c r="BT201" i="13"/>
  <c r="BL201" i="13"/>
  <c r="BU201" i="13"/>
  <c r="BM201" i="13"/>
  <c r="CB201" i="13"/>
  <c r="CD201" i="13"/>
  <c r="BV201" i="13"/>
  <c r="BN201" i="13"/>
  <c r="CC201" i="13"/>
  <c r="BO201" i="13"/>
  <c r="BV205" i="13"/>
  <c r="BO205" i="13"/>
  <c r="BY205" i="13"/>
  <c r="BX205" i="13"/>
  <c r="BW205" i="13"/>
  <c r="BU205" i="13"/>
  <c r="BS205" i="13"/>
  <c r="BL205" i="13"/>
  <c r="CA205" i="13"/>
  <c r="BM205" i="13"/>
  <c r="BQ205" i="13"/>
  <c r="BZ205" i="13"/>
  <c r="CD205" i="13"/>
  <c r="BP205" i="13"/>
  <c r="BN205" i="13"/>
  <c r="CC205" i="13"/>
  <c r="CB205" i="13"/>
  <c r="BT205" i="13"/>
  <c r="BR205" i="13"/>
  <c r="BX224" i="13"/>
  <c r="BW224" i="13"/>
  <c r="BP224" i="13"/>
  <c r="BZ224" i="13"/>
  <c r="BS224" i="13"/>
  <c r="BR224" i="13"/>
  <c r="CB224" i="13"/>
  <c r="BO224" i="13"/>
  <c r="BM224" i="13"/>
  <c r="BL224" i="13"/>
  <c r="BV224" i="13"/>
  <c r="BT224" i="13"/>
  <c r="CC224" i="13"/>
  <c r="CA224" i="13"/>
  <c r="BN224" i="13"/>
  <c r="CD224" i="13"/>
  <c r="BQ224" i="13"/>
  <c r="BU224" i="13"/>
  <c r="BY224" i="13"/>
  <c r="BT228" i="13"/>
  <c r="BM228" i="13"/>
  <c r="BL228" i="13"/>
  <c r="CB228" i="13"/>
  <c r="BU228" i="13"/>
  <c r="BN228" i="13"/>
  <c r="CD228" i="13"/>
  <c r="CC228" i="13"/>
  <c r="BV228" i="13"/>
  <c r="BO228" i="13"/>
  <c r="BY228" i="13"/>
  <c r="BW228" i="13"/>
  <c r="BX228" i="13"/>
  <c r="BP228" i="13"/>
  <c r="BZ228" i="13"/>
  <c r="BR228" i="13"/>
  <c r="CA228" i="13"/>
  <c r="BS228" i="13"/>
  <c r="BQ228" i="13"/>
  <c r="CA441" i="13"/>
  <c r="BT441" i="13"/>
  <c r="BM441" i="13"/>
  <c r="BU441" i="13"/>
  <c r="BY441" i="13"/>
  <c r="BR441" i="13"/>
  <c r="BQ441" i="13"/>
  <c r="BV441" i="13"/>
  <c r="BN441" i="13"/>
  <c r="BL441" i="13"/>
  <c r="BP441" i="13"/>
  <c r="BS441" i="13"/>
  <c r="CC441" i="13"/>
  <c r="CB441" i="13"/>
  <c r="BZ441" i="13"/>
  <c r="BX441" i="13"/>
  <c r="CD441" i="13"/>
  <c r="BW441" i="13"/>
  <c r="BO441" i="13"/>
  <c r="BL445" i="13"/>
  <c r="CB445" i="13"/>
  <c r="BU445" i="13"/>
  <c r="BN445" i="13"/>
  <c r="BX445" i="13"/>
  <c r="BQ445" i="13"/>
  <c r="BO445" i="13"/>
  <c r="BS445" i="13"/>
  <c r="BR445" i="13"/>
  <c r="BV445" i="13"/>
  <c r="BZ445" i="13"/>
  <c r="BM445" i="13"/>
  <c r="CC445" i="13"/>
  <c r="BP445" i="13"/>
  <c r="BT445" i="13"/>
  <c r="CD445" i="13"/>
  <c r="BW445" i="13"/>
  <c r="CA445" i="13"/>
  <c r="BY445" i="13"/>
  <c r="BY449" i="13"/>
  <c r="BX449" i="13"/>
  <c r="BW449" i="13"/>
  <c r="BP449" i="13"/>
  <c r="BZ449" i="13"/>
  <c r="BS449" i="13"/>
  <c r="BR449" i="13"/>
  <c r="BQ449" i="13"/>
  <c r="CA449" i="13"/>
  <c r="BM449" i="13"/>
  <c r="CB449" i="13"/>
  <c r="BT449" i="13"/>
  <c r="BL449" i="13"/>
  <c r="BU449" i="13"/>
  <c r="BN449" i="13"/>
  <c r="CC449" i="13"/>
  <c r="BO449" i="13"/>
  <c r="CD449" i="13"/>
  <c r="BV449" i="13"/>
  <c r="CB453" i="13"/>
  <c r="BU453" i="13"/>
  <c r="BN453" i="13"/>
  <c r="CD453" i="13"/>
  <c r="CC453" i="13"/>
  <c r="CA453" i="13"/>
  <c r="BY453" i="13"/>
  <c r="BR453" i="13"/>
  <c r="BO453" i="13"/>
  <c r="BS453" i="13"/>
  <c r="BL453" i="13"/>
  <c r="BP453" i="13"/>
  <c r="BT453" i="13"/>
  <c r="BX453" i="13"/>
  <c r="BQ453" i="13"/>
  <c r="BW453" i="13"/>
  <c r="BV453" i="13"/>
  <c r="BZ453" i="13"/>
  <c r="BM453" i="13"/>
  <c r="BM7" i="13"/>
  <c r="BL7" i="13"/>
  <c r="CB7" i="13"/>
  <c r="BU7" i="13"/>
  <c r="BN7" i="13"/>
  <c r="BY7" i="13"/>
  <c r="BR7" i="13"/>
  <c r="BV7" i="13"/>
  <c r="BZ7" i="13"/>
  <c r="CD7" i="13"/>
  <c r="BW7" i="13"/>
  <c r="CA7" i="13"/>
  <c r="BX7" i="13"/>
  <c r="BQ7" i="13"/>
  <c r="BO7" i="13"/>
  <c r="BT7" i="13"/>
  <c r="BS7" i="13"/>
  <c r="CC7" i="13"/>
  <c r="BP7" i="13"/>
  <c r="BO11" i="13"/>
  <c r="BY11" i="13"/>
  <c r="BX11" i="13"/>
  <c r="BW11" i="13"/>
  <c r="BP11" i="13"/>
  <c r="BZ11" i="13"/>
  <c r="BS11" i="13"/>
  <c r="BR11" i="13"/>
  <c r="BQ11" i="13"/>
  <c r="BN11" i="13"/>
  <c r="CC11" i="13"/>
  <c r="CA11" i="13"/>
  <c r="BM11" i="13"/>
  <c r="CB11" i="13"/>
  <c r="BU11" i="13"/>
  <c r="CD11" i="13"/>
  <c r="BV11" i="13"/>
  <c r="BT11" i="13"/>
  <c r="BL11" i="13"/>
  <c r="CC15" i="13"/>
  <c r="BV15" i="13"/>
  <c r="BO15" i="13"/>
  <c r="BY15" i="13"/>
  <c r="BX15" i="13"/>
  <c r="BW15" i="13"/>
  <c r="BP15" i="13"/>
  <c r="BZ15" i="13"/>
  <c r="BS15" i="13"/>
  <c r="BR15" i="13"/>
  <c r="CB15" i="13"/>
  <c r="BN15" i="13"/>
  <c r="CA15" i="13"/>
  <c r="BM15" i="13"/>
  <c r="BT15" i="13"/>
  <c r="CD15" i="13"/>
  <c r="BQ15" i="13"/>
  <c r="BL15" i="13"/>
  <c r="BU15" i="13"/>
  <c r="BY19" i="13"/>
  <c r="BX19" i="13"/>
  <c r="BW19" i="13"/>
  <c r="BP19" i="13"/>
  <c r="BZ19" i="13"/>
  <c r="BR19" i="13"/>
  <c r="CB19" i="13"/>
  <c r="BO19" i="13"/>
  <c r="BM19" i="13"/>
  <c r="CC19" i="13"/>
  <c r="CA19" i="13"/>
  <c r="BN19" i="13"/>
  <c r="CD19" i="13"/>
  <c r="BQ19" i="13"/>
  <c r="BU19" i="13"/>
  <c r="BS19" i="13"/>
  <c r="BL19" i="13"/>
  <c r="BV19" i="13"/>
  <c r="BT19" i="13"/>
  <c r="CA23" i="13"/>
  <c r="BT23" i="13"/>
  <c r="BM23" i="13"/>
  <c r="BL23" i="13"/>
  <c r="CB23" i="13"/>
  <c r="BU23" i="13"/>
  <c r="BN23" i="13"/>
  <c r="CD23" i="13"/>
  <c r="CC23" i="13"/>
  <c r="BV23" i="13"/>
  <c r="BS23" i="13"/>
  <c r="BQ23" i="13"/>
  <c r="BO23" i="13"/>
  <c r="BX23" i="13"/>
  <c r="BP23" i="13"/>
  <c r="BZ23" i="13"/>
  <c r="BR23" i="13"/>
  <c r="BY23" i="13"/>
  <c r="BW23" i="13"/>
  <c r="BQ27" i="13"/>
  <c r="CA27" i="13"/>
  <c r="BT27" i="13"/>
  <c r="BM27" i="13"/>
  <c r="BL27" i="13"/>
  <c r="CB27" i="13"/>
  <c r="BU27" i="13"/>
  <c r="BN27" i="13"/>
  <c r="CD27" i="13"/>
  <c r="BP27" i="13"/>
  <c r="BS27" i="13"/>
  <c r="CC27" i="13"/>
  <c r="BO27" i="13"/>
  <c r="BX27" i="13"/>
  <c r="BV27" i="13"/>
  <c r="BZ27" i="13"/>
  <c r="BY27" i="13"/>
  <c r="BW27" i="13"/>
  <c r="BR27" i="13"/>
  <c r="BM31" i="13"/>
  <c r="BL31" i="13"/>
  <c r="CB31" i="13"/>
  <c r="BU31" i="13"/>
  <c r="BN31" i="13"/>
  <c r="BX31" i="13"/>
  <c r="BQ31" i="13"/>
  <c r="BO31" i="13"/>
  <c r="BS31" i="13"/>
  <c r="CC31" i="13"/>
  <c r="BP31" i="13"/>
  <c r="BT31" i="13"/>
  <c r="CD31" i="13"/>
  <c r="BW31" i="13"/>
  <c r="CA31" i="13"/>
  <c r="BR31" i="13"/>
  <c r="BZ31" i="13"/>
  <c r="BV31" i="13"/>
  <c r="BY31" i="13"/>
  <c r="BO35" i="13"/>
  <c r="BY35" i="13"/>
  <c r="BX35" i="13"/>
  <c r="BW35" i="13"/>
  <c r="BP35" i="13"/>
  <c r="BZ35" i="13"/>
  <c r="BS35" i="13"/>
  <c r="BR35" i="13"/>
  <c r="BQ35" i="13"/>
  <c r="BU35" i="13"/>
  <c r="CD35" i="13"/>
  <c r="BV35" i="13"/>
  <c r="BT35" i="13"/>
  <c r="BL35" i="13"/>
  <c r="BN35" i="13"/>
  <c r="CC35" i="13"/>
  <c r="CA35" i="13"/>
  <c r="BM35" i="13"/>
  <c r="CB35" i="13"/>
  <c r="CC39" i="13"/>
  <c r="BV39" i="13"/>
  <c r="BO39" i="13"/>
  <c r="BY39" i="13"/>
  <c r="BX39" i="13"/>
  <c r="BW39" i="13"/>
  <c r="BP39" i="13"/>
  <c r="BZ39" i="13"/>
  <c r="BS39" i="13"/>
  <c r="BR39" i="13"/>
  <c r="BU39" i="13"/>
  <c r="CD39" i="13"/>
  <c r="BQ39" i="13"/>
  <c r="BT39" i="13"/>
  <c r="BL39" i="13"/>
  <c r="BM39" i="13"/>
  <c r="CB39" i="13"/>
  <c r="CA39" i="13"/>
  <c r="BN39" i="13"/>
  <c r="BY43" i="13"/>
  <c r="BX43" i="13"/>
  <c r="BW43" i="13"/>
  <c r="BP43" i="13"/>
  <c r="BZ43" i="13"/>
  <c r="CD43" i="13"/>
  <c r="BQ43" i="13"/>
  <c r="BU43" i="13"/>
  <c r="BS43" i="13"/>
  <c r="BL43" i="13"/>
  <c r="BV43" i="13"/>
  <c r="BT43" i="13"/>
  <c r="BM43" i="13"/>
  <c r="CA43" i="13"/>
  <c r="CC43" i="13"/>
  <c r="BN43" i="13"/>
  <c r="CB43" i="13"/>
  <c r="BO43" i="13"/>
  <c r="BR43" i="13"/>
  <c r="CA47" i="13"/>
  <c r="BT47" i="13"/>
  <c r="BM47" i="13"/>
  <c r="BL47" i="13"/>
  <c r="CB47" i="13"/>
  <c r="BU47" i="13"/>
  <c r="BN47" i="13"/>
  <c r="CD47" i="13"/>
  <c r="CC47" i="13"/>
  <c r="BV47" i="13"/>
  <c r="BZ47" i="13"/>
  <c r="BR47" i="13"/>
  <c r="BY47" i="13"/>
  <c r="BW47" i="13"/>
  <c r="BS47" i="13"/>
  <c r="BQ47" i="13"/>
  <c r="BP47" i="13"/>
  <c r="BO47" i="13"/>
  <c r="BX47" i="13"/>
  <c r="BQ51" i="13"/>
  <c r="CA51" i="13"/>
  <c r="BT51" i="13"/>
  <c r="BM51" i="13"/>
  <c r="BL51" i="13"/>
  <c r="CB51" i="13"/>
  <c r="BU51" i="13"/>
  <c r="BN51" i="13"/>
  <c r="CD51" i="13"/>
  <c r="BW51" i="13"/>
  <c r="BZ51" i="13"/>
  <c r="BR51" i="13"/>
  <c r="BV51" i="13"/>
  <c r="BY51" i="13"/>
  <c r="BO51" i="13"/>
  <c r="BS51" i="13"/>
  <c r="CC51" i="13"/>
  <c r="BX51" i="13"/>
  <c r="BP51" i="13"/>
  <c r="BM55" i="13"/>
  <c r="BL55" i="13"/>
  <c r="CB55" i="13"/>
  <c r="BU55" i="13"/>
  <c r="BN55" i="13"/>
  <c r="CD55" i="13"/>
  <c r="BW55" i="13"/>
  <c r="CA55" i="13"/>
  <c r="BY55" i="13"/>
  <c r="BR55" i="13"/>
  <c r="BV55" i="13"/>
  <c r="BZ55" i="13"/>
  <c r="CC55" i="13"/>
  <c r="BP55" i="13"/>
  <c r="BS55" i="13"/>
  <c r="BT55" i="13"/>
  <c r="BO55" i="13"/>
  <c r="BX55" i="13"/>
  <c r="BQ55" i="13"/>
  <c r="BO59" i="13"/>
  <c r="BY59" i="13"/>
  <c r="BX59" i="13"/>
  <c r="BW59" i="13"/>
  <c r="BP59" i="13"/>
  <c r="BZ59" i="13"/>
  <c r="BS59" i="13"/>
  <c r="BR59" i="13"/>
  <c r="BQ59" i="13"/>
  <c r="BN59" i="13"/>
  <c r="CC59" i="13"/>
  <c r="CA59" i="13"/>
  <c r="BM59" i="13"/>
  <c r="CB59" i="13"/>
  <c r="BU59" i="13"/>
  <c r="CD59" i="13"/>
  <c r="BV59" i="13"/>
  <c r="BL59" i="13"/>
  <c r="BT59" i="13"/>
  <c r="CC63" i="13"/>
  <c r="BV63" i="13"/>
  <c r="BO63" i="13"/>
  <c r="BY63" i="13"/>
  <c r="BX63" i="13"/>
  <c r="BW63" i="13"/>
  <c r="BP63" i="13"/>
  <c r="BZ63" i="13"/>
  <c r="BS63" i="13"/>
  <c r="BR63" i="13"/>
  <c r="CB63" i="13"/>
  <c r="BN63" i="13"/>
  <c r="CA63" i="13"/>
  <c r="BM63" i="13"/>
  <c r="BQ63" i="13"/>
  <c r="BL63" i="13"/>
  <c r="BU63" i="13"/>
  <c r="BT63" i="13"/>
  <c r="CD63" i="13"/>
  <c r="BY67" i="13"/>
  <c r="BX67" i="13"/>
  <c r="BW67" i="13"/>
  <c r="BP67" i="13"/>
  <c r="BZ67" i="13"/>
  <c r="BM67" i="13"/>
  <c r="CC67" i="13"/>
  <c r="CA67" i="13"/>
  <c r="BN67" i="13"/>
  <c r="BR67" i="13"/>
  <c r="CB67" i="13"/>
  <c r="BO67" i="13"/>
  <c r="BL67" i="13"/>
  <c r="BT67" i="13"/>
  <c r="BS67" i="13"/>
  <c r="BV67" i="13"/>
  <c r="CD67" i="13"/>
  <c r="BQ67" i="13"/>
  <c r="BU67" i="13"/>
  <c r="CA71" i="13"/>
  <c r="BT71" i="13"/>
  <c r="BM71" i="13"/>
  <c r="BL71" i="13"/>
  <c r="CB71" i="13"/>
  <c r="BU71" i="13"/>
  <c r="BN71" i="13"/>
  <c r="CD71" i="13"/>
  <c r="CC71" i="13"/>
  <c r="BV71" i="13"/>
  <c r="BS71" i="13"/>
  <c r="BQ71" i="13"/>
  <c r="BO71" i="13"/>
  <c r="BX71" i="13"/>
  <c r="BP71" i="13"/>
  <c r="BZ71" i="13"/>
  <c r="BR71" i="13"/>
  <c r="BY71" i="13"/>
  <c r="BW71" i="13"/>
  <c r="BQ75" i="13"/>
  <c r="CA75" i="13"/>
  <c r="BT75" i="13"/>
  <c r="BM75" i="13"/>
  <c r="BL75" i="13"/>
  <c r="CB75" i="13"/>
  <c r="BU75" i="13"/>
  <c r="BN75" i="13"/>
  <c r="CD75" i="13"/>
  <c r="BP75" i="13"/>
  <c r="BS75" i="13"/>
  <c r="CC75" i="13"/>
  <c r="BO75" i="13"/>
  <c r="BX75" i="13"/>
  <c r="BY75" i="13"/>
  <c r="BW75" i="13"/>
  <c r="BR75" i="13"/>
  <c r="BV75" i="13"/>
  <c r="BZ75" i="13"/>
  <c r="BM79" i="13"/>
  <c r="BL79" i="13"/>
  <c r="CB79" i="13"/>
  <c r="BU79" i="13"/>
  <c r="BN79" i="13"/>
  <c r="BS79" i="13"/>
  <c r="CC79" i="13"/>
  <c r="BP79" i="13"/>
  <c r="BT79" i="13"/>
  <c r="BX79" i="13"/>
  <c r="BQ79" i="13"/>
  <c r="BO79" i="13"/>
  <c r="BY79" i="13"/>
  <c r="BR79" i="13"/>
  <c r="BZ79" i="13"/>
  <c r="BV79" i="13"/>
  <c r="CD79" i="13"/>
  <c r="CA79" i="13"/>
  <c r="BW79" i="13"/>
  <c r="BO83" i="13"/>
  <c r="BY83" i="13"/>
  <c r="BX83" i="13"/>
  <c r="BW83" i="13"/>
  <c r="BP83" i="13"/>
  <c r="BZ83" i="13"/>
  <c r="BS83" i="13"/>
  <c r="BR83" i="13"/>
  <c r="BQ83" i="13"/>
  <c r="BU83" i="13"/>
  <c r="CD83" i="13"/>
  <c r="BV83" i="13"/>
  <c r="BT83" i="13"/>
  <c r="BL83" i="13"/>
  <c r="BN83" i="13"/>
  <c r="CC83" i="13"/>
  <c r="CA83" i="13"/>
  <c r="BM83" i="13"/>
  <c r="CB83" i="13"/>
  <c r="CC87" i="13"/>
  <c r="BV87" i="13"/>
  <c r="BO87" i="13"/>
  <c r="BY87" i="13"/>
  <c r="BX87" i="13"/>
  <c r="BW87" i="13"/>
  <c r="BP87" i="13"/>
  <c r="BZ87" i="13"/>
  <c r="BS87" i="13"/>
  <c r="BR87" i="13"/>
  <c r="BU87" i="13"/>
  <c r="CD87" i="13"/>
  <c r="BQ87" i="13"/>
  <c r="BT87" i="13"/>
  <c r="BL87" i="13"/>
  <c r="CA87" i="13"/>
  <c r="BN87" i="13"/>
  <c r="BM87" i="13"/>
  <c r="CB87" i="13"/>
  <c r="BY91" i="13"/>
  <c r="BX91" i="13"/>
  <c r="BW91" i="13"/>
  <c r="BP91" i="13"/>
  <c r="BZ91" i="13"/>
  <c r="BS91" i="13"/>
  <c r="BL91" i="13"/>
  <c r="BV91" i="13"/>
  <c r="BT91" i="13"/>
  <c r="CD91" i="13"/>
  <c r="BQ91" i="13"/>
  <c r="BU91" i="13"/>
  <c r="BR91" i="13"/>
  <c r="BO91" i="13"/>
  <c r="CB91" i="13"/>
  <c r="CC91" i="13"/>
  <c r="BN91" i="13"/>
  <c r="CA91" i="13"/>
  <c r="BM91" i="13"/>
  <c r="CA95" i="13"/>
  <c r="BT95" i="13"/>
  <c r="BM95" i="13"/>
  <c r="BL95" i="13"/>
  <c r="CB95" i="13"/>
  <c r="BU95" i="13"/>
  <c r="BN95" i="13"/>
  <c r="CD95" i="13"/>
  <c r="CC95" i="13"/>
  <c r="BV95" i="13"/>
  <c r="BZ95" i="13"/>
  <c r="BR95" i="13"/>
  <c r="BY95" i="13"/>
  <c r="BW95" i="13"/>
  <c r="BS95" i="13"/>
  <c r="BQ95" i="13"/>
  <c r="BO95" i="13"/>
  <c r="BX95" i="13"/>
  <c r="BP95" i="13"/>
  <c r="BQ99" i="13"/>
  <c r="CA99" i="13"/>
  <c r="BT99" i="13"/>
  <c r="BM99" i="13"/>
  <c r="BL99" i="13"/>
  <c r="CB99" i="13"/>
  <c r="BU99" i="13"/>
  <c r="BN99" i="13"/>
  <c r="CD99" i="13"/>
  <c r="BW99" i="13"/>
  <c r="BZ99" i="13"/>
  <c r="BR99" i="13"/>
  <c r="BV99" i="13"/>
  <c r="BY99" i="13"/>
  <c r="CC99" i="13"/>
  <c r="BX99" i="13"/>
  <c r="BP99" i="13"/>
  <c r="BO99" i="13"/>
  <c r="BS99" i="13"/>
  <c r="BM103" i="13"/>
  <c r="BL103" i="13"/>
  <c r="CB103" i="13"/>
  <c r="BU103" i="13"/>
  <c r="BN103" i="13"/>
  <c r="BY103" i="13"/>
  <c r="BR103" i="13"/>
  <c r="BV103" i="13"/>
  <c r="BZ103" i="13"/>
  <c r="CD103" i="13"/>
  <c r="BW103" i="13"/>
  <c r="CA103" i="13"/>
  <c r="BX103" i="13"/>
  <c r="BO103" i="13"/>
  <c r="BQ103" i="13"/>
  <c r="BP103" i="13"/>
  <c r="BT103" i="13"/>
  <c r="BS103" i="13"/>
  <c r="CC103" i="13"/>
  <c r="BO107" i="13"/>
  <c r="BY107" i="13"/>
  <c r="BX107" i="13"/>
  <c r="BW107" i="13"/>
  <c r="BP107" i="13"/>
  <c r="BZ107" i="13"/>
  <c r="BS107" i="13"/>
  <c r="BR107" i="13"/>
  <c r="BQ107" i="13"/>
  <c r="BN107" i="13"/>
  <c r="CC107" i="13"/>
  <c r="CA107" i="13"/>
  <c r="BM107" i="13"/>
  <c r="CB107" i="13"/>
  <c r="BU107" i="13"/>
  <c r="CD107" i="13"/>
  <c r="BV107" i="13"/>
  <c r="BT107" i="13"/>
  <c r="BL107" i="13"/>
  <c r="CC111" i="13"/>
  <c r="BV111" i="13"/>
  <c r="BO111" i="13"/>
  <c r="BY111" i="13"/>
  <c r="BX111" i="13"/>
  <c r="BW111" i="13"/>
  <c r="BP111" i="13"/>
  <c r="BZ111" i="13"/>
  <c r="BS111" i="13"/>
  <c r="BR111" i="13"/>
  <c r="CB111" i="13"/>
  <c r="BN111" i="13"/>
  <c r="CA111" i="13"/>
  <c r="BM111" i="13"/>
  <c r="BT111" i="13"/>
  <c r="CD111" i="13"/>
  <c r="BQ111" i="13"/>
  <c r="BL111" i="13"/>
  <c r="BU111" i="13"/>
  <c r="BY115" i="13"/>
  <c r="BX115" i="13"/>
  <c r="BW115" i="13"/>
  <c r="BP115" i="13"/>
  <c r="BZ115" i="13"/>
  <c r="BR115" i="13"/>
  <c r="CB115" i="13"/>
  <c r="BO115" i="13"/>
  <c r="BM115" i="13"/>
  <c r="CC115" i="13"/>
  <c r="CA115" i="13"/>
  <c r="BN115" i="13"/>
  <c r="CD115" i="13"/>
  <c r="BU115" i="13"/>
  <c r="BQ115" i="13"/>
  <c r="BT115" i="13"/>
  <c r="BS115" i="13"/>
  <c r="BL115" i="13"/>
  <c r="BV115" i="13"/>
  <c r="CA119" i="13"/>
  <c r="BT119" i="13"/>
  <c r="BM119" i="13"/>
  <c r="BL119" i="13"/>
  <c r="CB119" i="13"/>
  <c r="BU119" i="13"/>
  <c r="BN119" i="13"/>
  <c r="CD119" i="13"/>
  <c r="CC119" i="13"/>
  <c r="BV119" i="13"/>
  <c r="BS119" i="13"/>
  <c r="BQ119" i="13"/>
  <c r="BO119" i="13"/>
  <c r="BX119" i="13"/>
  <c r="BP119" i="13"/>
  <c r="BZ119" i="13"/>
  <c r="BR119" i="13"/>
  <c r="BW119" i="13"/>
  <c r="BY119" i="13"/>
  <c r="BQ131" i="13"/>
  <c r="CA131" i="13"/>
  <c r="BT131" i="13"/>
  <c r="BM131" i="13"/>
  <c r="BL131" i="13"/>
  <c r="CB131" i="13"/>
  <c r="BU131" i="13"/>
  <c r="BN131" i="13"/>
  <c r="CD131" i="13"/>
  <c r="BP131" i="13"/>
  <c r="BS131" i="13"/>
  <c r="CC131" i="13"/>
  <c r="BO131" i="13"/>
  <c r="BX131" i="13"/>
  <c r="BV131" i="13"/>
  <c r="BZ131" i="13"/>
  <c r="BY131" i="13"/>
  <c r="BR131" i="13"/>
  <c r="BW131" i="13"/>
  <c r="BM135" i="13"/>
  <c r="BL135" i="13"/>
  <c r="CB135" i="13"/>
  <c r="BU135" i="13"/>
  <c r="BN135" i="13"/>
  <c r="BX135" i="13"/>
  <c r="BQ135" i="13"/>
  <c r="BO135" i="13"/>
  <c r="BS135" i="13"/>
  <c r="CC135" i="13"/>
  <c r="BP135" i="13"/>
  <c r="BT135" i="13"/>
  <c r="CD135" i="13"/>
  <c r="BW135" i="13"/>
  <c r="CA135" i="13"/>
  <c r="BY135" i="13"/>
  <c r="BR135" i="13"/>
  <c r="BV135" i="13"/>
  <c r="BZ135" i="13"/>
  <c r="BO165" i="13"/>
  <c r="BY165" i="13"/>
  <c r="BX165" i="13"/>
  <c r="BW165" i="13"/>
  <c r="BP165" i="13"/>
  <c r="BZ165" i="13"/>
  <c r="BS165" i="13"/>
  <c r="BR165" i="13"/>
  <c r="BQ165" i="13"/>
  <c r="BU165" i="13"/>
  <c r="CD165" i="13"/>
  <c r="BV165" i="13"/>
  <c r="BT165" i="13"/>
  <c r="BL165" i="13"/>
  <c r="BN165" i="13"/>
  <c r="CC165" i="13"/>
  <c r="BM165" i="13"/>
  <c r="CB165" i="13"/>
  <c r="CA165" i="13"/>
  <c r="CC169" i="13"/>
  <c r="BV169" i="13"/>
  <c r="BO169" i="13"/>
  <c r="BY169" i="13"/>
  <c r="BX169" i="13"/>
  <c r="BW169" i="13"/>
  <c r="BP169" i="13"/>
  <c r="BZ169" i="13"/>
  <c r="BS169" i="13"/>
  <c r="BU169" i="13"/>
  <c r="CD169" i="13"/>
  <c r="BQ169" i="13"/>
  <c r="BT169" i="13"/>
  <c r="BR169" i="13"/>
  <c r="BM169" i="13"/>
  <c r="CB169" i="13"/>
  <c r="BL169" i="13"/>
  <c r="CA169" i="13"/>
  <c r="BN169" i="13"/>
  <c r="BM173" i="13"/>
  <c r="BL173" i="13"/>
  <c r="CB173" i="13"/>
  <c r="BU173" i="13"/>
  <c r="BN173" i="13"/>
  <c r="BY173" i="13"/>
  <c r="BX173" i="13"/>
  <c r="BW173" i="13"/>
  <c r="BP173" i="13"/>
  <c r="BZ173" i="13"/>
  <c r="BS173" i="13"/>
  <c r="BQ173" i="13"/>
  <c r="CA173" i="13"/>
  <c r="BT173" i="13"/>
  <c r="BR173" i="13"/>
  <c r="CD173" i="13"/>
  <c r="BV173" i="13"/>
  <c r="CC173" i="13"/>
  <c r="BO173" i="13"/>
  <c r="BU194" i="13"/>
  <c r="BN194" i="13"/>
  <c r="CD194" i="13"/>
  <c r="CC194" i="13"/>
  <c r="BV194" i="13"/>
  <c r="BO194" i="13"/>
  <c r="BS194" i="13"/>
  <c r="BL194" i="13"/>
  <c r="BP194" i="13"/>
  <c r="BZ194" i="13"/>
  <c r="BM194" i="13"/>
  <c r="BW194" i="13"/>
  <c r="BT194" i="13"/>
  <c r="BX194" i="13"/>
  <c r="BQ194" i="13"/>
  <c r="CA194" i="13"/>
  <c r="BY194" i="13"/>
  <c r="BR194" i="13"/>
  <c r="CB194" i="13"/>
  <c r="BQ198" i="13"/>
  <c r="CA198" i="13"/>
  <c r="BT198" i="13"/>
  <c r="BM198" i="13"/>
  <c r="BL198" i="13"/>
  <c r="CB198" i="13"/>
  <c r="BU198" i="13"/>
  <c r="BN198" i="13"/>
  <c r="CD198" i="13"/>
  <c r="BW198" i="13"/>
  <c r="BZ198" i="13"/>
  <c r="BR198" i="13"/>
  <c r="BV198" i="13"/>
  <c r="BY198" i="13"/>
  <c r="BP198" i="13"/>
  <c r="BS198" i="13"/>
  <c r="CC198" i="13"/>
  <c r="BO198" i="13"/>
  <c r="BX198" i="13"/>
  <c r="BY202" i="13"/>
  <c r="BX202" i="13"/>
  <c r="BW202" i="13"/>
  <c r="BP202" i="13"/>
  <c r="BZ202" i="13"/>
  <c r="BM202" i="13"/>
  <c r="BL202" i="13"/>
  <c r="CB202" i="13"/>
  <c r="BU202" i="13"/>
  <c r="BN202" i="13"/>
  <c r="CC202" i="13"/>
  <c r="BO202" i="13"/>
  <c r="CD202" i="13"/>
  <c r="BV202" i="13"/>
  <c r="CA202" i="13"/>
  <c r="BS202" i="13"/>
  <c r="BT202" i="13"/>
  <c r="BR202" i="13"/>
  <c r="BQ202" i="13"/>
  <c r="BZ206" i="13"/>
  <c r="BS206" i="13"/>
  <c r="BR206" i="13"/>
  <c r="BQ206" i="13"/>
  <c r="BU206" i="13"/>
  <c r="BY206" i="13"/>
  <c r="BL206" i="13"/>
  <c r="BV206" i="13"/>
  <c r="BO206" i="13"/>
  <c r="BM206" i="13"/>
  <c r="CC206" i="13"/>
  <c r="BP206" i="13"/>
  <c r="BT206" i="13"/>
  <c r="CD206" i="13"/>
  <c r="BW206" i="13"/>
  <c r="BN206" i="13"/>
  <c r="BX206" i="13"/>
  <c r="CB206" i="13"/>
  <c r="CA206" i="13"/>
  <c r="CC225" i="13"/>
  <c r="BV225" i="13"/>
  <c r="BO225" i="13"/>
  <c r="BY225" i="13"/>
  <c r="BX225" i="13"/>
  <c r="BW225" i="13"/>
  <c r="BP225" i="13"/>
  <c r="BZ225" i="13"/>
  <c r="BS225" i="13"/>
  <c r="BR225" i="13"/>
  <c r="CB225" i="13"/>
  <c r="BN225" i="13"/>
  <c r="CA225" i="13"/>
  <c r="BM225" i="13"/>
  <c r="BU225" i="13"/>
  <c r="CD225" i="13"/>
  <c r="BL225" i="13"/>
  <c r="BQ225" i="13"/>
  <c r="BT225" i="13"/>
  <c r="BM438" i="13"/>
  <c r="BL438" i="13"/>
  <c r="CB438" i="13"/>
  <c r="BU438" i="13"/>
  <c r="BN438" i="13"/>
  <c r="BY438" i="13"/>
  <c r="BX438" i="13"/>
  <c r="BW438" i="13"/>
  <c r="BP438" i="13"/>
  <c r="BZ438" i="13"/>
  <c r="BR438" i="13"/>
  <c r="CA438" i="13"/>
  <c r="BS438" i="13"/>
  <c r="BQ438" i="13"/>
  <c r="BT438" i="13"/>
  <c r="CC438" i="13"/>
  <c r="BO438" i="13"/>
  <c r="BV438" i="13"/>
  <c r="CD438" i="13"/>
  <c r="BU442" i="13"/>
  <c r="BN442" i="13"/>
  <c r="CD442" i="13"/>
  <c r="CC442" i="13"/>
  <c r="BV442" i="13"/>
  <c r="CA442" i="13"/>
  <c r="BY442" i="13"/>
  <c r="BR442" i="13"/>
  <c r="CB442" i="13"/>
  <c r="BO442" i="13"/>
  <c r="BS442" i="13"/>
  <c r="BL442" i="13"/>
  <c r="BP442" i="13"/>
  <c r="BZ442" i="13"/>
  <c r="BM442" i="13"/>
  <c r="BW442" i="13"/>
  <c r="BX442" i="13"/>
  <c r="BQ442" i="13"/>
  <c r="BT442" i="13"/>
  <c r="BQ446" i="13"/>
  <c r="CA446" i="13"/>
  <c r="BT446" i="13"/>
  <c r="BM446" i="13"/>
  <c r="BL446" i="13"/>
  <c r="CB446" i="13"/>
  <c r="BU446" i="13"/>
  <c r="BN446" i="13"/>
  <c r="CD446" i="13"/>
  <c r="BP446" i="13"/>
  <c r="BS446" i="13"/>
  <c r="CC446" i="13"/>
  <c r="BO446" i="13"/>
  <c r="BX446" i="13"/>
  <c r="BW446" i="13"/>
  <c r="BZ446" i="13"/>
  <c r="BR446" i="13"/>
  <c r="BY446" i="13"/>
  <c r="BV446" i="13"/>
  <c r="BY450" i="13"/>
  <c r="BX450" i="13"/>
  <c r="BW450" i="13"/>
  <c r="BP450" i="13"/>
  <c r="BZ450" i="13"/>
  <c r="BM450" i="13"/>
  <c r="BL450" i="13"/>
  <c r="CB450" i="13"/>
  <c r="BU450" i="13"/>
  <c r="BN450" i="13"/>
  <c r="CC450" i="13"/>
  <c r="BO450" i="13"/>
  <c r="CD450" i="13"/>
  <c r="BV450" i="13"/>
  <c r="BS450" i="13"/>
  <c r="BT450" i="13"/>
  <c r="BR450" i="13"/>
  <c r="BQ450" i="13"/>
  <c r="CA450" i="13"/>
  <c r="BZ454" i="13"/>
  <c r="BS454" i="13"/>
  <c r="BR454" i="13"/>
  <c r="BQ454" i="13"/>
  <c r="CA454" i="13"/>
  <c r="BN454" i="13"/>
  <c r="BX454" i="13"/>
  <c r="CB454" i="13"/>
  <c r="BU454" i="13"/>
  <c r="BY454" i="13"/>
  <c r="BL454" i="13"/>
  <c r="BV454" i="13"/>
  <c r="BO454" i="13"/>
  <c r="BM454" i="13"/>
  <c r="CC454" i="13"/>
  <c r="BP454" i="13"/>
  <c r="BW454" i="13"/>
  <c r="BT454" i="13"/>
  <c r="CD454" i="13"/>
  <c r="BL8" i="13"/>
  <c r="CB8" i="13"/>
  <c r="BU8" i="13"/>
  <c r="BN8" i="13"/>
  <c r="BR8" i="13"/>
  <c r="BV8" i="13"/>
  <c r="BZ8" i="13"/>
  <c r="BM8" i="13"/>
  <c r="CC8" i="13"/>
  <c r="BP8" i="13"/>
  <c r="BT8" i="13"/>
  <c r="BX8" i="13"/>
  <c r="BO8" i="13"/>
  <c r="BW8" i="13"/>
  <c r="BY8" i="13"/>
  <c r="BQ8" i="13"/>
  <c r="BS8" i="13"/>
  <c r="CD8" i="13"/>
  <c r="CA8" i="13"/>
  <c r="BZ12" i="13"/>
  <c r="BS12" i="13"/>
  <c r="BR12" i="13"/>
  <c r="BQ12" i="13"/>
  <c r="CA12" i="13"/>
  <c r="BT12" i="13"/>
  <c r="BM12" i="13"/>
  <c r="BL12" i="13"/>
  <c r="CB12" i="13"/>
  <c r="BU12" i="13"/>
  <c r="CD12" i="13"/>
  <c r="BV12" i="13"/>
  <c r="BN12" i="13"/>
  <c r="CC12" i="13"/>
  <c r="BO12" i="13"/>
  <c r="BY12" i="13"/>
  <c r="BW12" i="13"/>
  <c r="BX12" i="13"/>
  <c r="BP12" i="13"/>
  <c r="BP16" i="13"/>
  <c r="BZ16" i="13"/>
  <c r="BS16" i="13"/>
  <c r="BR16" i="13"/>
  <c r="BQ16" i="13"/>
  <c r="BU16" i="13"/>
  <c r="BY16" i="13"/>
  <c r="BL16" i="13"/>
  <c r="CA16" i="13"/>
  <c r="BN16" i="13"/>
  <c r="BX16" i="13"/>
  <c r="BO16" i="13"/>
  <c r="CC16" i="13"/>
  <c r="BT16" i="13"/>
  <c r="BW16" i="13"/>
  <c r="BV16" i="13"/>
  <c r="CD16" i="13"/>
  <c r="CB16" i="13"/>
  <c r="BM16" i="13"/>
  <c r="BX20" i="13"/>
  <c r="BW20" i="13"/>
  <c r="BP20" i="13"/>
  <c r="BZ20" i="13"/>
  <c r="BS20" i="13"/>
  <c r="BR20" i="13"/>
  <c r="CB20" i="13"/>
  <c r="BO20" i="13"/>
  <c r="BM20" i="13"/>
  <c r="BL20" i="13"/>
  <c r="BV20" i="13"/>
  <c r="BT20" i="13"/>
  <c r="BQ20" i="13"/>
  <c r="BY20" i="13"/>
  <c r="CA20" i="13"/>
  <c r="CD20" i="13"/>
  <c r="BU20" i="13"/>
  <c r="CC20" i="13"/>
  <c r="BN20" i="13"/>
  <c r="BN24" i="13"/>
  <c r="CD24" i="13"/>
  <c r="CC24" i="13"/>
  <c r="BV24" i="13"/>
  <c r="BO24" i="13"/>
  <c r="BY24" i="13"/>
  <c r="BX24" i="13"/>
  <c r="BW24" i="13"/>
  <c r="BP24" i="13"/>
  <c r="BZ24" i="13"/>
  <c r="BR24" i="13"/>
  <c r="CA24" i="13"/>
  <c r="BS24" i="13"/>
  <c r="BQ24" i="13"/>
  <c r="BT24" i="13"/>
  <c r="BM24" i="13"/>
  <c r="CB24" i="13"/>
  <c r="BL24" i="13"/>
  <c r="BU24" i="13"/>
  <c r="CB28" i="13"/>
  <c r="BU28" i="13"/>
  <c r="BN28" i="13"/>
  <c r="CD28" i="13"/>
  <c r="CC28" i="13"/>
  <c r="CA28" i="13"/>
  <c r="BY28" i="13"/>
  <c r="BR28" i="13"/>
  <c r="BP28" i="13"/>
  <c r="BT28" i="13"/>
  <c r="BX28" i="13"/>
  <c r="BQ28" i="13"/>
  <c r="BS28" i="13"/>
  <c r="BV28" i="13"/>
  <c r="BM28" i="13"/>
  <c r="BZ28" i="13"/>
  <c r="BW28" i="13"/>
  <c r="BO28" i="13"/>
  <c r="BL28" i="13"/>
  <c r="BL32" i="13"/>
  <c r="CB32" i="13"/>
  <c r="BU32" i="13"/>
  <c r="BN32" i="13"/>
  <c r="BX32" i="13"/>
  <c r="BQ32" i="13"/>
  <c r="BO32" i="13"/>
  <c r="BS32" i="13"/>
  <c r="BR32" i="13"/>
  <c r="BV32" i="13"/>
  <c r="BZ32" i="13"/>
  <c r="BM32" i="13"/>
  <c r="CD32" i="13"/>
  <c r="CA32" i="13"/>
  <c r="CC32" i="13"/>
  <c r="BT32" i="13"/>
  <c r="BW32" i="13"/>
  <c r="BY32" i="13"/>
  <c r="BP32" i="13"/>
  <c r="BZ36" i="13"/>
  <c r="BS36" i="13"/>
  <c r="BR36" i="13"/>
  <c r="BQ36" i="13"/>
  <c r="CA36" i="13"/>
  <c r="BT36" i="13"/>
  <c r="BM36" i="13"/>
  <c r="BL36" i="13"/>
  <c r="CB36" i="13"/>
  <c r="BU36" i="13"/>
  <c r="BN36" i="13"/>
  <c r="CC36" i="13"/>
  <c r="BO36" i="13"/>
  <c r="BW36" i="13"/>
  <c r="CD36" i="13"/>
  <c r="BV36" i="13"/>
  <c r="BX36" i="13"/>
  <c r="BP36" i="13"/>
  <c r="BY36" i="13"/>
  <c r="BP40" i="13"/>
  <c r="BZ40" i="13"/>
  <c r="BS40" i="13"/>
  <c r="BR40" i="13"/>
  <c r="BQ40" i="13"/>
  <c r="CA40" i="13"/>
  <c r="BN40" i="13"/>
  <c r="BX40" i="13"/>
  <c r="BV40" i="13"/>
  <c r="BT40" i="13"/>
  <c r="CD40" i="13"/>
  <c r="BW40" i="13"/>
  <c r="BU40" i="13"/>
  <c r="BL40" i="13"/>
  <c r="BO40" i="13"/>
  <c r="CC40" i="13"/>
  <c r="CB40" i="13"/>
  <c r="BM40" i="13"/>
  <c r="BY40" i="13"/>
  <c r="BX44" i="13"/>
  <c r="BW44" i="13"/>
  <c r="BP44" i="13"/>
  <c r="BZ44" i="13"/>
  <c r="BS44" i="13"/>
  <c r="CD44" i="13"/>
  <c r="BQ44" i="13"/>
  <c r="BU44" i="13"/>
  <c r="BY44" i="13"/>
  <c r="BR44" i="13"/>
  <c r="CB44" i="13"/>
  <c r="BO44" i="13"/>
  <c r="BM44" i="13"/>
  <c r="CC44" i="13"/>
  <c r="BN44" i="13"/>
  <c r="BV44" i="13"/>
  <c r="CA44" i="13"/>
  <c r="BL44" i="13"/>
  <c r="BT44" i="13"/>
  <c r="BN48" i="13"/>
  <c r="CD48" i="13"/>
  <c r="CC48" i="13"/>
  <c r="BV48" i="13"/>
  <c r="BO48" i="13"/>
  <c r="BY48" i="13"/>
  <c r="BX48" i="13"/>
  <c r="BW48" i="13"/>
  <c r="BP48" i="13"/>
  <c r="BS48" i="13"/>
  <c r="BQ48" i="13"/>
  <c r="BZ48" i="13"/>
  <c r="BR48" i="13"/>
  <c r="CA48" i="13"/>
  <c r="BM48" i="13"/>
  <c r="BT48" i="13"/>
  <c r="BL48" i="13"/>
  <c r="BU48" i="13"/>
  <c r="CB48" i="13"/>
  <c r="CB52" i="13"/>
  <c r="BU52" i="13"/>
  <c r="BN52" i="13"/>
  <c r="CD52" i="13"/>
  <c r="CC52" i="13"/>
  <c r="BP52" i="13"/>
  <c r="BT52" i="13"/>
  <c r="BX52" i="13"/>
  <c r="BQ52" i="13"/>
  <c r="BV52" i="13"/>
  <c r="BZ52" i="13"/>
  <c r="BM52" i="13"/>
  <c r="BW52" i="13"/>
  <c r="BY52" i="13"/>
  <c r="BS52" i="13"/>
  <c r="BO52" i="13"/>
  <c r="BL52" i="13"/>
  <c r="CA52" i="13"/>
  <c r="BR52" i="13"/>
  <c r="BL56" i="13"/>
  <c r="CB56" i="13"/>
  <c r="BU56" i="13"/>
  <c r="BN56" i="13"/>
  <c r="CD56" i="13"/>
  <c r="BW56" i="13"/>
  <c r="CA56" i="13"/>
  <c r="BY56" i="13"/>
  <c r="BX56" i="13"/>
  <c r="BQ56" i="13"/>
  <c r="BO56" i="13"/>
  <c r="BS56" i="13"/>
  <c r="BP56" i="13"/>
  <c r="BR56" i="13"/>
  <c r="BZ56" i="13"/>
  <c r="CC56" i="13"/>
  <c r="BT56" i="13"/>
  <c r="BV56" i="13"/>
  <c r="BM56" i="13"/>
  <c r="BZ60" i="13"/>
  <c r="BS60" i="13"/>
  <c r="BR60" i="13"/>
  <c r="BQ60" i="13"/>
  <c r="CA60" i="13"/>
  <c r="BT60" i="13"/>
  <c r="BM60" i="13"/>
  <c r="BL60" i="13"/>
  <c r="CB60" i="13"/>
  <c r="BU60" i="13"/>
  <c r="CD60" i="13"/>
  <c r="BV60" i="13"/>
  <c r="BX60" i="13"/>
  <c r="BP60" i="13"/>
  <c r="BN60" i="13"/>
  <c r="CC60" i="13"/>
  <c r="BO60" i="13"/>
  <c r="BY60" i="13"/>
  <c r="BW60" i="13"/>
  <c r="BP64" i="13"/>
  <c r="BZ64" i="13"/>
  <c r="BS64" i="13"/>
  <c r="BR64" i="13"/>
  <c r="BQ64" i="13"/>
  <c r="BV64" i="13"/>
  <c r="BT64" i="13"/>
  <c r="CD64" i="13"/>
  <c r="BW64" i="13"/>
  <c r="CB64" i="13"/>
  <c r="BO64" i="13"/>
  <c r="BM64" i="13"/>
  <c r="CC64" i="13"/>
  <c r="CA64" i="13"/>
  <c r="BX64" i="13"/>
  <c r="BU64" i="13"/>
  <c r="BL64" i="13"/>
  <c r="BY64" i="13"/>
  <c r="BN64" i="13"/>
  <c r="BX68" i="13"/>
  <c r="BW68" i="13"/>
  <c r="BP68" i="13"/>
  <c r="BZ68" i="13"/>
  <c r="BS68" i="13"/>
  <c r="CC68" i="13"/>
  <c r="CA68" i="13"/>
  <c r="BN68" i="13"/>
  <c r="CD68" i="13"/>
  <c r="BQ68" i="13"/>
  <c r="BU68" i="13"/>
  <c r="BY68" i="13"/>
  <c r="BL68" i="13"/>
  <c r="BT68" i="13"/>
  <c r="CB68" i="13"/>
  <c r="BM68" i="13"/>
  <c r="BV68" i="13"/>
  <c r="BR68" i="13"/>
  <c r="BO68" i="13"/>
  <c r="BN72" i="13"/>
  <c r="CD72" i="13"/>
  <c r="CC72" i="13"/>
  <c r="BV72" i="13"/>
  <c r="BO72" i="13"/>
  <c r="BY72" i="13"/>
  <c r="BX72" i="13"/>
  <c r="BW72" i="13"/>
  <c r="BP72" i="13"/>
  <c r="BZ72" i="13"/>
  <c r="BR72" i="13"/>
  <c r="CA72" i="13"/>
  <c r="BU72" i="13"/>
  <c r="BL72" i="13"/>
  <c r="BS72" i="13"/>
  <c r="BQ72" i="13"/>
  <c r="BT72" i="13"/>
  <c r="BM72" i="13"/>
  <c r="CB72" i="13"/>
  <c r="CB76" i="13"/>
  <c r="BU76" i="13"/>
  <c r="BN76" i="13"/>
  <c r="CD76" i="13"/>
  <c r="CC76" i="13"/>
  <c r="BV76" i="13"/>
  <c r="BZ76" i="13"/>
  <c r="BM76" i="13"/>
  <c r="BW76" i="13"/>
  <c r="BO76" i="13"/>
  <c r="BS76" i="13"/>
  <c r="BL76" i="13"/>
  <c r="BT76" i="13"/>
  <c r="BQ76" i="13"/>
  <c r="BY76" i="13"/>
  <c r="CA76" i="13"/>
  <c r="BR76" i="13"/>
  <c r="BX76" i="13"/>
  <c r="BP76" i="13"/>
  <c r="BL80" i="13"/>
  <c r="CB80" i="13"/>
  <c r="BU80" i="13"/>
  <c r="BN80" i="13"/>
  <c r="CC80" i="13"/>
  <c r="BP80" i="13"/>
  <c r="BT80" i="13"/>
  <c r="CD80" i="13"/>
  <c r="BW80" i="13"/>
  <c r="CA80" i="13"/>
  <c r="BY80" i="13"/>
  <c r="BV80" i="13"/>
  <c r="BM80" i="13"/>
  <c r="BX80" i="13"/>
  <c r="BO80" i="13"/>
  <c r="BR80" i="13"/>
  <c r="BZ80" i="13"/>
  <c r="BQ80" i="13"/>
  <c r="BS80" i="13"/>
  <c r="BZ84" i="13"/>
  <c r="BS84" i="13"/>
  <c r="BR84" i="13"/>
  <c r="BQ84" i="13"/>
  <c r="CA84" i="13"/>
  <c r="BT84" i="13"/>
  <c r="BM84" i="13"/>
  <c r="BL84" i="13"/>
  <c r="CB84" i="13"/>
  <c r="BU84" i="13"/>
  <c r="BN84" i="13"/>
  <c r="CC84" i="13"/>
  <c r="BO84" i="13"/>
  <c r="BW84" i="13"/>
  <c r="CD84" i="13"/>
  <c r="BV84" i="13"/>
  <c r="BX84" i="13"/>
  <c r="BP84" i="13"/>
  <c r="BY84" i="13"/>
  <c r="BP88" i="13"/>
  <c r="BZ88" i="13"/>
  <c r="BS88" i="13"/>
  <c r="BR88" i="13"/>
  <c r="BQ88" i="13"/>
  <c r="CB88" i="13"/>
  <c r="BO88" i="13"/>
  <c r="BM88" i="13"/>
  <c r="CC88" i="13"/>
  <c r="BU88" i="13"/>
  <c r="BY88" i="13"/>
  <c r="BL88" i="13"/>
  <c r="BV88" i="13"/>
  <c r="CD88" i="13"/>
  <c r="CA88" i="13"/>
  <c r="BX88" i="13"/>
  <c r="BN88" i="13"/>
  <c r="BW88" i="13"/>
  <c r="BT88" i="13"/>
  <c r="BX92" i="13"/>
  <c r="BW92" i="13"/>
  <c r="BP92" i="13"/>
  <c r="BZ92" i="13"/>
  <c r="BS92" i="13"/>
  <c r="BL92" i="13"/>
  <c r="BV92" i="13"/>
  <c r="BT92" i="13"/>
  <c r="CC92" i="13"/>
  <c r="CA92" i="13"/>
  <c r="BN92" i="13"/>
  <c r="BR92" i="13"/>
  <c r="BO92" i="13"/>
  <c r="BQ92" i="13"/>
  <c r="BY92" i="13"/>
  <c r="CB92" i="13"/>
  <c r="BM92" i="13"/>
  <c r="CD92" i="13"/>
  <c r="BU92" i="13"/>
  <c r="BN96" i="13"/>
  <c r="CD96" i="13"/>
  <c r="CC96" i="13"/>
  <c r="BV96" i="13"/>
  <c r="BO96" i="13"/>
  <c r="BY96" i="13"/>
  <c r="BX96" i="13"/>
  <c r="BW96" i="13"/>
  <c r="BP96" i="13"/>
  <c r="BS96" i="13"/>
  <c r="BQ96" i="13"/>
  <c r="BZ96" i="13"/>
  <c r="BR96" i="13"/>
  <c r="CA96" i="13"/>
  <c r="BT96" i="13"/>
  <c r="BL96" i="13"/>
  <c r="BU96" i="13"/>
  <c r="CB96" i="13"/>
  <c r="BM96" i="13"/>
  <c r="CB100" i="13"/>
  <c r="BU100" i="13"/>
  <c r="BN100" i="13"/>
  <c r="CD100" i="13"/>
  <c r="CC100" i="13"/>
  <c r="BO100" i="13"/>
  <c r="BS100" i="13"/>
  <c r="BL100" i="13"/>
  <c r="CA100" i="13"/>
  <c r="BY100" i="13"/>
  <c r="BR100" i="13"/>
  <c r="BZ100" i="13"/>
  <c r="BW100" i="13"/>
  <c r="BT100" i="13"/>
  <c r="BQ100" i="13"/>
  <c r="BP100" i="13"/>
  <c r="BX100" i="13"/>
  <c r="BV100" i="13"/>
  <c r="BM100" i="13"/>
  <c r="BL104" i="13"/>
  <c r="CB104" i="13"/>
  <c r="BU104" i="13"/>
  <c r="BN104" i="13"/>
  <c r="BR104" i="13"/>
  <c r="BV104" i="13"/>
  <c r="BZ104" i="13"/>
  <c r="BM104" i="13"/>
  <c r="CC104" i="13"/>
  <c r="BP104" i="13"/>
  <c r="BT104" i="13"/>
  <c r="BQ104" i="13"/>
  <c r="BS104" i="13"/>
  <c r="CD104" i="13"/>
  <c r="CA104" i="13"/>
  <c r="BX104" i="13"/>
  <c r="BO104" i="13"/>
  <c r="BW104" i="13"/>
  <c r="BY104" i="13"/>
  <c r="BZ108" i="13"/>
  <c r="BS108" i="13"/>
  <c r="BR108" i="13"/>
  <c r="BQ108" i="13"/>
  <c r="CA108" i="13"/>
  <c r="BT108" i="13"/>
  <c r="BM108" i="13"/>
  <c r="BL108" i="13"/>
  <c r="CB108" i="13"/>
  <c r="BU108" i="13"/>
  <c r="CD108" i="13"/>
  <c r="BV108" i="13"/>
  <c r="BN108" i="13"/>
  <c r="CC108" i="13"/>
  <c r="BO108" i="13"/>
  <c r="BY108" i="13"/>
  <c r="BW108" i="13"/>
  <c r="BX108" i="13"/>
  <c r="BP108" i="13"/>
  <c r="BP112" i="13"/>
  <c r="BZ112" i="13"/>
  <c r="BS112" i="13"/>
  <c r="BR112" i="13"/>
  <c r="BQ112" i="13"/>
  <c r="BU112" i="13"/>
  <c r="BY112" i="13"/>
  <c r="BL112" i="13"/>
  <c r="CA112" i="13"/>
  <c r="BN112" i="13"/>
  <c r="BX112" i="13"/>
  <c r="CB112" i="13"/>
  <c r="BM112" i="13"/>
  <c r="BV112" i="13"/>
  <c r="CD112" i="13"/>
  <c r="BT112" i="13"/>
  <c r="BW112" i="13"/>
  <c r="BO112" i="13"/>
  <c r="CC112" i="13"/>
  <c r="BX116" i="13"/>
  <c r="BW116" i="13"/>
  <c r="BP116" i="13"/>
  <c r="BZ116" i="13"/>
  <c r="BS116" i="13"/>
  <c r="BR116" i="13"/>
  <c r="BQ116" i="13"/>
  <c r="CA116" i="13"/>
  <c r="BT116" i="13"/>
  <c r="BM116" i="13"/>
  <c r="CD116" i="13"/>
  <c r="BV116" i="13"/>
  <c r="BY116" i="13"/>
  <c r="BL116" i="13"/>
  <c r="BU116" i="13"/>
  <c r="CC116" i="13"/>
  <c r="BO116" i="13"/>
  <c r="CB116" i="13"/>
  <c r="BN116" i="13"/>
  <c r="BN128" i="13"/>
  <c r="CD128" i="13"/>
  <c r="CC128" i="13"/>
  <c r="BV128" i="13"/>
  <c r="BO128" i="13"/>
  <c r="BY128" i="13"/>
  <c r="BX128" i="13"/>
  <c r="BW128" i="13"/>
  <c r="BP128" i="13"/>
  <c r="BZ128" i="13"/>
  <c r="BR128" i="13"/>
  <c r="CA128" i="13"/>
  <c r="BS128" i="13"/>
  <c r="BQ128" i="13"/>
  <c r="BM128" i="13"/>
  <c r="CB128" i="13"/>
  <c r="BT128" i="13"/>
  <c r="BL128" i="13"/>
  <c r="BU128" i="13"/>
  <c r="CB132" i="13"/>
  <c r="BU132" i="13"/>
  <c r="BN132" i="13"/>
  <c r="CD132" i="13"/>
  <c r="CC132" i="13"/>
  <c r="CA132" i="13"/>
  <c r="BY132" i="13"/>
  <c r="BR132" i="13"/>
  <c r="BP132" i="13"/>
  <c r="BT132" i="13"/>
  <c r="BX132" i="13"/>
  <c r="BQ132" i="13"/>
  <c r="BO132" i="13"/>
  <c r="BL132" i="13"/>
  <c r="BZ132" i="13"/>
  <c r="BW132" i="13"/>
  <c r="BV132" i="13"/>
  <c r="BM132" i="13"/>
  <c r="BS132" i="13"/>
  <c r="BL136" i="13"/>
  <c r="CB136" i="13"/>
  <c r="BU136" i="13"/>
  <c r="BN136" i="13"/>
  <c r="CD136" i="13"/>
  <c r="CC136" i="13"/>
  <c r="BV136" i="13"/>
  <c r="BO136" i="13"/>
  <c r="BY136" i="13"/>
  <c r="BR136" i="13"/>
  <c r="CA136" i="13"/>
  <c r="BM136" i="13"/>
  <c r="BW136" i="13"/>
  <c r="BZ136" i="13"/>
  <c r="BQ136" i="13"/>
  <c r="BT136" i="13"/>
  <c r="BX136" i="13"/>
  <c r="BP136" i="13"/>
  <c r="BS136" i="13"/>
  <c r="BZ166" i="13"/>
  <c r="BS166" i="13"/>
  <c r="BR166" i="13"/>
  <c r="BQ166" i="13"/>
  <c r="CA166" i="13"/>
  <c r="BT166" i="13"/>
  <c r="BM166" i="13"/>
  <c r="BL166" i="13"/>
  <c r="CB166" i="13"/>
  <c r="BU166" i="13"/>
  <c r="BN166" i="13"/>
  <c r="CC166" i="13"/>
  <c r="BO166" i="13"/>
  <c r="CD166" i="13"/>
  <c r="BV166" i="13"/>
  <c r="BX166" i="13"/>
  <c r="BP166" i="13"/>
  <c r="BY166" i="13"/>
  <c r="BW166" i="13"/>
  <c r="BP170" i="13"/>
  <c r="BZ170" i="13"/>
  <c r="BS170" i="13"/>
  <c r="BR170" i="13"/>
  <c r="BQ170" i="13"/>
  <c r="CA170" i="13"/>
  <c r="BN170" i="13"/>
  <c r="BX170" i="13"/>
  <c r="BU170" i="13"/>
  <c r="BM170" i="13"/>
  <c r="BW170" i="13"/>
  <c r="BO170" i="13"/>
  <c r="CD170" i="13"/>
  <c r="BV170" i="13"/>
  <c r="BY170" i="13"/>
  <c r="CC170" i="13"/>
  <c r="CB170" i="13"/>
  <c r="BT170" i="13"/>
  <c r="BL170" i="13"/>
  <c r="BX174" i="13"/>
  <c r="BW174" i="13"/>
  <c r="BR174" i="13"/>
  <c r="BQ174" i="13"/>
  <c r="CA174" i="13"/>
  <c r="BT174" i="13"/>
  <c r="BM174" i="13"/>
  <c r="CC174" i="13"/>
  <c r="BU174" i="13"/>
  <c r="BY174" i="13"/>
  <c r="CB174" i="13"/>
  <c r="BO174" i="13"/>
  <c r="BS174" i="13"/>
  <c r="CD174" i="13"/>
  <c r="BV174" i="13"/>
  <c r="BZ174" i="13"/>
  <c r="BL174" i="13"/>
  <c r="BP174" i="13"/>
  <c r="BN174" i="13"/>
  <c r="BN195" i="13"/>
  <c r="CD195" i="13"/>
  <c r="CC195" i="13"/>
  <c r="BV195" i="13"/>
  <c r="BO195" i="13"/>
  <c r="BY195" i="13"/>
  <c r="BX195" i="13"/>
  <c r="BW195" i="13"/>
  <c r="BP195" i="13"/>
  <c r="BS195" i="13"/>
  <c r="BQ195" i="13"/>
  <c r="BZ195" i="13"/>
  <c r="BR195" i="13"/>
  <c r="CA195" i="13"/>
  <c r="BT195" i="13"/>
  <c r="BL195" i="13"/>
  <c r="BU195" i="13"/>
  <c r="BM195" i="13"/>
  <c r="CB195" i="13"/>
  <c r="CB199" i="13"/>
  <c r="BU199" i="13"/>
  <c r="BN199" i="13"/>
  <c r="CD199" i="13"/>
  <c r="CC199" i="13"/>
  <c r="BP199" i="13"/>
  <c r="BT199" i="13"/>
  <c r="BX199" i="13"/>
  <c r="BQ199" i="13"/>
  <c r="BV199" i="13"/>
  <c r="BY199" i="13"/>
  <c r="BL199" i="13"/>
  <c r="CA199" i="13"/>
  <c r="BS199" i="13"/>
  <c r="BW199" i="13"/>
  <c r="BZ199" i="13"/>
  <c r="BR199" i="13"/>
  <c r="BM199" i="13"/>
  <c r="BO199" i="13"/>
  <c r="CD203" i="13"/>
  <c r="CC203" i="13"/>
  <c r="BV203" i="13"/>
  <c r="BO203" i="13"/>
  <c r="BY203" i="13"/>
  <c r="BW203" i="13"/>
  <c r="CA203" i="13"/>
  <c r="BN203" i="13"/>
  <c r="BX203" i="13"/>
  <c r="BQ203" i="13"/>
  <c r="BU203" i="13"/>
  <c r="BS203" i="13"/>
  <c r="BR203" i="13"/>
  <c r="CB203" i="13"/>
  <c r="BZ203" i="13"/>
  <c r="BM203" i="13"/>
  <c r="BL203" i="13"/>
  <c r="BP203" i="13"/>
  <c r="BT203" i="13"/>
  <c r="BZ222" i="13"/>
  <c r="BS222" i="13"/>
  <c r="BR222" i="13"/>
  <c r="BQ222" i="13"/>
  <c r="CA222" i="13"/>
  <c r="BT222" i="13"/>
  <c r="BM222" i="13"/>
  <c r="BL222" i="13"/>
  <c r="CB222" i="13"/>
  <c r="BU222" i="13"/>
  <c r="CD222" i="13"/>
  <c r="BV222" i="13"/>
  <c r="BN222" i="13"/>
  <c r="CC222" i="13"/>
  <c r="BO222" i="13"/>
  <c r="BY222" i="13"/>
  <c r="BW222" i="13"/>
  <c r="BP222" i="13"/>
  <c r="BX222" i="13"/>
  <c r="BP226" i="13"/>
  <c r="BZ226" i="13"/>
  <c r="BS226" i="13"/>
  <c r="BR226" i="13"/>
  <c r="BQ226" i="13"/>
  <c r="BV226" i="13"/>
  <c r="BT226" i="13"/>
  <c r="CD226" i="13"/>
  <c r="BW226" i="13"/>
  <c r="BO226" i="13"/>
  <c r="BX226" i="13"/>
  <c r="CB226" i="13"/>
  <c r="BN226" i="13"/>
  <c r="BL226" i="13"/>
  <c r="BU226" i="13"/>
  <c r="BM226" i="13"/>
  <c r="CA226" i="13"/>
  <c r="BY226" i="13"/>
  <c r="CC226" i="13"/>
  <c r="BR439" i="13"/>
  <c r="BQ439" i="13"/>
  <c r="CA439" i="13"/>
  <c r="BT439" i="13"/>
  <c r="BM439" i="13"/>
  <c r="CC439" i="13"/>
  <c r="BP439" i="13"/>
  <c r="BN439" i="13"/>
  <c r="CD439" i="13"/>
  <c r="BW439" i="13"/>
  <c r="BU439" i="13"/>
  <c r="BY439" i="13"/>
  <c r="BX439" i="13"/>
  <c r="CB439" i="13"/>
  <c r="BO439" i="13"/>
  <c r="BS439" i="13"/>
  <c r="BL439" i="13"/>
  <c r="BV439" i="13"/>
  <c r="BZ439" i="13"/>
  <c r="BN443" i="13"/>
  <c r="CD443" i="13"/>
  <c r="CC443" i="13"/>
  <c r="BV443" i="13"/>
  <c r="BO443" i="13"/>
  <c r="BY443" i="13"/>
  <c r="BX443" i="13"/>
  <c r="BW443" i="13"/>
  <c r="BP443" i="13"/>
  <c r="BZ443" i="13"/>
  <c r="BR443" i="13"/>
  <c r="CA443" i="13"/>
  <c r="BS443" i="13"/>
  <c r="BQ443" i="13"/>
  <c r="BM443" i="13"/>
  <c r="CB443" i="13"/>
  <c r="BL443" i="13"/>
  <c r="BU443" i="13"/>
  <c r="BT443" i="13"/>
  <c r="CA447" i="13"/>
  <c r="BT447" i="13"/>
  <c r="BM447" i="13"/>
  <c r="BL447" i="13"/>
  <c r="BV447" i="13"/>
  <c r="BZ447" i="13"/>
  <c r="CD447" i="13"/>
  <c r="BW447" i="13"/>
  <c r="BP447" i="13"/>
  <c r="BN447" i="13"/>
  <c r="BX447" i="13"/>
  <c r="BQ447" i="13"/>
  <c r="CB447" i="13"/>
  <c r="BO447" i="13"/>
  <c r="BS447" i="13"/>
  <c r="CC447" i="13"/>
  <c r="BR447" i="13"/>
  <c r="BU447" i="13"/>
  <c r="BY447" i="13"/>
  <c r="CD451" i="13"/>
  <c r="CC451" i="13"/>
  <c r="BV451" i="13"/>
  <c r="BO451" i="13"/>
  <c r="BY451" i="13"/>
  <c r="BL451" i="13"/>
  <c r="BP451" i="13"/>
  <c r="BT451" i="13"/>
  <c r="BW451" i="13"/>
  <c r="CA451" i="13"/>
  <c r="BN451" i="13"/>
  <c r="BX451" i="13"/>
  <c r="BQ451" i="13"/>
  <c r="BU451" i="13"/>
  <c r="BS451" i="13"/>
  <c r="BR451" i="13"/>
  <c r="CB451" i="13"/>
  <c r="BZ451" i="13"/>
  <c r="BM451" i="13"/>
  <c r="BZ455" i="13"/>
  <c r="BS455" i="13"/>
  <c r="BR455" i="13"/>
  <c r="BQ455" i="13"/>
  <c r="CA455" i="13"/>
  <c r="BT455" i="13"/>
  <c r="BM455" i="13"/>
  <c r="BL455" i="13"/>
  <c r="CB455" i="13"/>
  <c r="BU455" i="13"/>
  <c r="BN455" i="13"/>
  <c r="CC455" i="13"/>
  <c r="BO455" i="13"/>
  <c r="CD455" i="13"/>
  <c r="BV455" i="13"/>
  <c r="BX455" i="13"/>
  <c r="BP455" i="13"/>
  <c r="BY455" i="13"/>
  <c r="BW455" i="13"/>
  <c r="B455" i="13"/>
  <c r="B454" i="13"/>
  <c r="B453" i="13"/>
  <c r="B452" i="13"/>
  <c r="B451" i="13"/>
  <c r="B450" i="13"/>
  <c r="B449" i="13"/>
  <c r="B448" i="13"/>
  <c r="B447" i="13"/>
  <c r="B446" i="13"/>
  <c r="B445" i="13"/>
  <c r="B444" i="13"/>
  <c r="B443" i="13"/>
  <c r="B442" i="13"/>
  <c r="B441" i="13"/>
  <c r="B440" i="13"/>
  <c r="B439" i="13"/>
  <c r="B438"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44" i="19" l="1"/>
  <c r="D56" i="19"/>
  <c r="D54" i="19"/>
  <c r="D47" i="19"/>
  <c r="D46" i="19"/>
  <c r="D58" i="19"/>
  <c r="D37" i="19"/>
  <c r="D49" i="19"/>
  <c r="D59" i="19"/>
  <c r="D52" i="19"/>
  <c r="D42" i="19"/>
  <c r="D55" i="19"/>
  <c r="D40" i="19"/>
  <c r="D45" i="19"/>
  <c r="D57" i="19"/>
  <c r="D50" i="19"/>
  <c r="D38" i="19"/>
  <c r="D43" i="19"/>
  <c r="D48" i="19"/>
  <c r="D60" i="19"/>
  <c r="D53" i="19"/>
  <c r="D51" i="19"/>
  <c r="D41" i="19"/>
  <c r="D39" i="19"/>
  <c r="H21" i="38"/>
  <c r="I21" i="38" l="1"/>
  <c r="I135" i="38" s="1"/>
  <c r="D36" i="19"/>
  <c r="D61" i="19" s="1"/>
  <c r="H135" i="38"/>
  <c r="G26" i="22" l="1"/>
  <c r="H26" i="22" l="1"/>
  <c r="B36" i="19"/>
  <c r="F9" i="19" l="1"/>
  <c r="K129" i="13"/>
  <c r="K128" i="13"/>
  <c r="K119" i="13"/>
  <c r="F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24" i="22"/>
  <c r="H24" i="22" s="1"/>
  <c r="G22"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K438" i="13"/>
  <c r="K439" i="13"/>
  <c r="K440" i="13"/>
  <c r="K441" i="13"/>
  <c r="K442" i="13"/>
  <c r="K443" i="13"/>
  <c r="K444" i="13"/>
  <c r="K445" i="13"/>
  <c r="K446" i="13"/>
  <c r="K447" i="13"/>
  <c r="K448" i="13"/>
  <c r="K449" i="13"/>
  <c r="K450" i="13"/>
  <c r="K451" i="13"/>
  <c r="K452" i="13"/>
  <c r="K453" i="13"/>
  <c r="K454" i="13"/>
  <c r="K455" i="13"/>
  <c r="H22" i="22" l="1"/>
  <c r="G23" i="22"/>
  <c r="H23" i="22" s="1"/>
  <c r="F36" i="19" l="1"/>
  <c r="F61" i="19" s="1"/>
  <c r="H144" i="22"/>
  <c r="G144" i="22"/>
  <c r="I9" i="19" l="1"/>
  <c r="L9" i="19" s="1"/>
  <c r="I8" i="19" l="1"/>
  <c r="L8" i="19" s="1"/>
  <c r="G27" i="32" l="1"/>
  <c r="E36" i="19" s="1"/>
  <c r="E61" i="19" l="1"/>
  <c r="H27" i="32"/>
  <c r="R455" i="13" l="1"/>
  <c r="R454" i="13"/>
  <c r="R453" i="13"/>
  <c r="R452" i="13"/>
  <c r="R451" i="13"/>
  <c r="R450" i="13"/>
  <c r="R449" i="13"/>
  <c r="R448" i="13"/>
  <c r="R447" i="13"/>
  <c r="R446" i="13"/>
  <c r="R445" i="13"/>
  <c r="R444" i="13"/>
  <c r="R443" i="13"/>
  <c r="R442" i="13"/>
  <c r="R441" i="13"/>
  <c r="R440" i="13"/>
  <c r="R439" i="13"/>
  <c r="R438" i="13"/>
  <c r="U5" i="13" l="1"/>
  <c r="AG5" i="13"/>
  <c r="Y5" i="13" l="1"/>
  <c r="AB5" i="13"/>
  <c r="V5" i="13"/>
  <c r="Z5" i="13" s="1"/>
  <c r="AI5" i="13"/>
  <c r="AH5" i="13"/>
  <c r="AJ5" i="13" s="1"/>
  <c r="AK5" i="13" s="1"/>
  <c r="W5" i="13"/>
  <c r="AC5" i="13" l="1"/>
  <c r="AA5" i="13"/>
  <c r="J7" i="19" s="1"/>
  <c r="J32" i="19" s="1"/>
  <c r="G7" i="19"/>
  <c r="G32" i="19" s="1"/>
  <c r="AL5" i="13"/>
  <c r="X5" i="13"/>
  <c r="H7" i="19" l="1"/>
  <c r="H32" i="19" s="1"/>
  <c r="AD5" i="13"/>
  <c r="AE5" i="13"/>
  <c r="AM5" i="13"/>
  <c r="F7" i="19" s="1"/>
  <c r="F11" i="19" l="1"/>
  <c r="C32" i="19" l="1"/>
  <c r="AN5" i="13" l="1"/>
  <c r="C58" i="19" l="1"/>
  <c r="H58" i="19" s="1"/>
  <c r="C49" i="19"/>
  <c r="H49" i="19" s="1"/>
  <c r="C47" i="19"/>
  <c r="H47" i="19" s="1"/>
  <c r="C55" i="19"/>
  <c r="H55" i="19" s="1"/>
  <c r="C57" i="19"/>
  <c r="H57" i="19" s="1"/>
  <c r="C42" i="19"/>
  <c r="H42" i="19" s="1"/>
  <c r="C41" i="19"/>
  <c r="H41" i="19" s="1"/>
  <c r="C50" i="19"/>
  <c r="H50" i="19" s="1"/>
  <c r="C45" i="19"/>
  <c r="H45" i="19" s="1"/>
  <c r="C56" i="19"/>
  <c r="H56" i="19" s="1"/>
  <c r="C38" i="19"/>
  <c r="H38" i="19" s="1"/>
  <c r="C37" i="19"/>
  <c r="H37" i="19" s="1"/>
  <c r="C54" i="19"/>
  <c r="H54" i="19" s="1"/>
  <c r="C52" i="19"/>
  <c r="H52" i="19" s="1"/>
  <c r="C39" i="19"/>
  <c r="H39" i="19" s="1"/>
  <c r="C59" i="19"/>
  <c r="H59" i="19" s="1"/>
  <c r="C53" i="19"/>
  <c r="H53" i="19" s="1"/>
  <c r="C46" i="19"/>
  <c r="H46" i="19" s="1"/>
  <c r="C44" i="19"/>
  <c r="H44" i="19" s="1"/>
  <c r="C60" i="19"/>
  <c r="H60" i="19" s="1"/>
  <c r="C48" i="19"/>
  <c r="H48" i="19" s="1"/>
  <c r="C43" i="19"/>
  <c r="H43" i="19" s="1"/>
  <c r="C40" i="19"/>
  <c r="H40" i="19" s="1"/>
  <c r="C51" i="19"/>
  <c r="H51" i="19" s="1"/>
  <c r="C36" i="19"/>
  <c r="H36" i="19" s="1"/>
  <c r="I7" i="19"/>
  <c r="I11" i="19"/>
  <c r="L7" i="19" l="1"/>
  <c r="I32" i="19"/>
  <c r="L11" i="19"/>
  <c r="F32" i="19" l="1"/>
  <c r="L32" i="19" l="1"/>
  <c r="C61" i="19"/>
  <c r="H61" i="19" l="1"/>
</calcChain>
</file>

<file path=xl/sharedStrings.xml><?xml version="1.0" encoding="utf-8"?>
<sst xmlns="http://schemas.openxmlformats.org/spreadsheetml/2006/main" count="31493" uniqueCount="2192">
  <si>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</si>
  <si>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</si>
  <si>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</si>
  <si>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</si>
  <si>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</si>
  <si>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</si>
  <si>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</si>
  <si>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</si>
  <si>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</si>
  <si>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</si>
  <si>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</si>
  <si>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</si>
  <si>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</si>
  <si>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</si>
  <si>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</si>
  <si>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</si>
  <si>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</si>
  <si>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</si>
  <si>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</si>
  <si>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</si>
  <si>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</si>
  <si>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</si>
  <si>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</si>
  <si>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</si>
  <si>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</si>
  <si>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</si>
  <si>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</si>
  <si>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</si>
  <si>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</si>
  <si>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</si>
  <si>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</si>
  <si>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</si>
  <si>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</si>
  <si>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</si>
  <si>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</si>
  <si>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</si>
  <si>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</si>
  <si>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</si>
  <si>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</si>
  <si>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</si>
  <si>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</si>
  <si>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</si>
  <si>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</si>
  <si>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</si>
  <si>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</si>
  <si>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</si>
  <si>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</si>
  <si>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</si>
  <si>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</si>
  <si>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</si>
  <si>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</si>
  <si>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</si>
  <si>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</si>
  <si>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</si>
  <si>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</si>
  <si>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</si>
  <si>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</si>
  <si>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</si>
  <si>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</si>
  <si>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</si>
  <si>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</si>
  <si>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</si>
  <si>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</si>
  <si>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</si>
  <si>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</si>
  <si>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</si>
  <si>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</si>
  <si>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</si>
  <si>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</si>
  <si>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</si>
  <si>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</si>
  <si>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</si>
  <si>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</si>
  <si>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</si>
  <si>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</si>
  <si>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</si>
  <si>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</si>
  <si>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</si>
  <si>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</si>
  <si>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</si>
  <si>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</si>
  <si>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</si>
  <si>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</si>
  <si>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</si>
  <si>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</si>
  <si>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</si>
  <si>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</si>
  <si>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</si>
  <si>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</si>
  <si>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</si>
  <si>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</si>
  <si>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</si>
  <si>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</si>
  <si>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</si>
  <si>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</si>
  <si>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</si>
  <si>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</si>
  <si>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</si>
  <si>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</si>
  <si>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</si>
  <si>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</si>
  <si>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</si>
  <si>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</si>
  <si>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</si>
  <si>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</si>
  <si>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</si>
  <si>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</si>
  <si>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</si>
  <si>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</si>
  <si>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</si>
  <si>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</si>
  <si>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</si>
  <si>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</si>
  <si>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</si>
  <si>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</si>
  <si>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</si>
  <si>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</si>
  <si>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</si>
  <si>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</si>
  <si>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</si>
  <si>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</si>
  <si>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</si>
  <si>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</si>
  <si>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</si>
  <si>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</si>
  <si>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</si>
  <si>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</si>
  <si>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</si>
  <si>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</si>
  <si>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</si>
  <si>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</si>
  <si>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</si>
  <si>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</si>
  <si>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</si>
  <si>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</si>
  <si>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</si>
  <si>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</si>
  <si>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</si>
  <si>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</si>
  <si>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</si>
  <si>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</si>
  <si>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</si>
  <si>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</si>
  <si>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</si>
  <si>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</si>
  <si>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</si>
  <si>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</si>
  <si>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</si>
  <si>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</si>
  <si>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</si>
  <si>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</si>
  <si>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</si>
  <si>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</si>
  <si>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</si>
  <si>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</si>
  <si>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</si>
  <si>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</si>
  <si>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</si>
  <si>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</si>
  <si>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</si>
  <si>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</si>
  <si>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</si>
  <si>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</si>
  <si>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</si>
  <si>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</si>
  <si>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</si>
  <si>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</si>
  <si>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</si>
  <si>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</si>
  <si>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</si>
  <si>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</si>
  <si>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</si>
  <si>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</si>
  <si>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</si>
  <si>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</si>
  <si>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</si>
  <si>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</si>
  <si>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</si>
  <si>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</si>
  <si>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</si>
  <si>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</si>
  <si>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</si>
  <si>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</si>
  <si>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</si>
  <si>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</si>
  <si>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</si>
  <si>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</si>
  <si>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</si>
  <si>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</si>
  <si>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</si>
  <si>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</si>
  <si>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</si>
  <si>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</si>
  <si>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</si>
  <si>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</si>
  <si>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</si>
  <si>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</si>
  <si>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</si>
  <si>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</si>
  <si>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</si>
  <si>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</si>
  <si>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</si>
  <si>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</si>
  <si>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</si>
  <si>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</si>
  <si>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</si>
  <si>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</si>
  <si>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</si>
  <si>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</si>
  <si>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</si>
  <si>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</si>
  <si>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</si>
  <si>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</si>
  <si>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</si>
  <si>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</si>
  <si>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</si>
  <si>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</si>
  <si>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</si>
  <si>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</si>
  <si>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</si>
  <si>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</si>
  <si>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</si>
  <si>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</si>
  <si>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</si>
  <si>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</si>
  <si>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</si>
  <si>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</si>
  <si>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</si>
  <si>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</si>
  <si>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</si>
  <si>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</si>
  <si>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</si>
  <si>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</si>
  <si>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</si>
  <si>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</si>
  <si>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</si>
  <si>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</si>
  <si>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</si>
  <si>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</si>
  <si>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</si>
  <si>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</si>
  <si>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</si>
  <si>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</si>
  <si>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</si>
  <si>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</si>
  <si>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</si>
  <si>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</si>
  <si>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</si>
  <si>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</si>
  <si>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</si>
  <si>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</si>
  <si>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</si>
  <si>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</si>
  <si>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</si>
  <si>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</si>
  <si>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</si>
  <si>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</si>
  <si>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</si>
  <si>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</si>
  <si>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</si>
  <si>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</si>
  <si>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</si>
  <si>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</si>
  <si>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</si>
  <si>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</si>
  <si>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</si>
  <si>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</si>
  <si>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</si>
  <si>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</si>
  <si>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</si>
  <si>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</si>
  <si>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</si>
  <si>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</si>
  <si>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</si>
  <si>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</si>
  <si>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</si>
  <si>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</si>
  <si>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</si>
  <si>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</si>
  <si>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</si>
  <si>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</si>
  <si>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</si>
  <si>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</si>
  <si>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</si>
  <si>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</si>
  <si>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</si>
  <si>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</si>
  <si>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</si>
  <si>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</si>
  <si>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</si>
  <si>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</si>
  <si>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</si>
  <si>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</si>
  <si>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</si>
  <si>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</si>
  <si>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</si>
  <si>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</si>
  <si>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</si>
  <si>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</si>
  <si>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</si>
  <si>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</si>
  <si>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</si>
  <si>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</si>
  <si>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</si>
  <si>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</si>
  <si>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</si>
  <si>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</si>
  <si>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</si>
  <si>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</si>
  <si>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</si>
  <si>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</si>
  <si>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</si>
  <si>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</si>
  <si>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</si>
  <si>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</si>
  <si>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</si>
  <si>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</si>
  <si>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</si>
  <si>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</si>
  <si>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</si>
  <si>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</si>
  <si>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</si>
  <si>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</si>
  <si>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</si>
  <si>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</si>
  <si>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</si>
  <si>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</si>
  <si>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</si>
  <si>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</si>
  <si>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</si>
  <si>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</si>
  <si>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</si>
  <si>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</si>
  <si>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</si>
  <si>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</si>
  <si>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</si>
  <si>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</si>
  <si>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</si>
  <si>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</si>
  <si>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</si>
  <si>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</si>
  <si>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</si>
  <si>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</si>
  <si>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</si>
  <si>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</si>
  <si>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</si>
  <si>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</si>
  <si>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</si>
  <si>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</si>
  <si>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</si>
  <si>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</si>
  <si>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</si>
  <si>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</si>
  <si>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</si>
  <si>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</si>
  <si>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</si>
  <si>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</si>
  <si>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</si>
  <si>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</si>
  <si>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</si>
  <si>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</si>
  <si>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</si>
  <si>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</si>
  <si>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</si>
  <si>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</si>
  <si>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</si>
  <si>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</si>
  <si>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</si>
  <si>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</si>
  <si>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</si>
  <si>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</si>
  <si>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</si>
  <si>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</si>
  <si>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</si>
  <si>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</si>
  <si>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</si>
  <si>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</si>
  <si>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</si>
  <si>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</si>
  <si>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</si>
  <si>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</si>
  <si>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</si>
  <si>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</si>
  <si>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</si>
  <si>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</si>
  <si>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</si>
  <si>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</si>
  <si>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</si>
  <si>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</si>
  <si>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</si>
  <si>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</si>
  <si>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</si>
  <si>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</si>
  <si>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</si>
  <si>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</si>
  <si>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</si>
  <si>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</si>
  <si>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</si>
  <si>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</si>
  <si>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</si>
  <si>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</si>
  <si>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</si>
  <si>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</si>
  <si>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</si>
  <si>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</si>
  <si>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</si>
  <si>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</si>
  <si>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</si>
  <si>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</si>
  <si>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</si>
  <si>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</si>
  <si>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</si>
  <si>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</si>
  <si>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</si>
  <si>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</si>
  <si>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</si>
  <si>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</si>
  <si>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</si>
  <si>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</si>
  <si>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</si>
  <si>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</si>
  <si>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</si>
  <si>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</si>
  <si>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</si>
  <si>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</si>
  <si>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</si>
  <si>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</si>
  <si>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</si>
  <si>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</si>
  <si>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</si>
  <si>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</si>
  <si>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</si>
  <si>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</si>
  <si>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</si>
  <si>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</si>
  <si>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</si>
  <si>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</si>
  <si>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</si>
  <si>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</si>
  <si>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</si>
  <si>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</si>
  <si>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</si>
  <si>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</si>
  <si>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</si>
  <si>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</si>
  <si>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</si>
  <si>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</si>
  <si>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</si>
  <si>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</si>
  <si>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</si>
  <si>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</si>
  <si>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</si>
  <si>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</si>
  <si>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</si>
  <si>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</si>
  <si>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</si>
  <si>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</si>
  <si>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</si>
  <si>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</si>
  <si>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</si>
  <si>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</si>
  <si>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</si>
  <si>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</si>
  <si>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</si>
  <si>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</si>
  <si>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</si>
  <si>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</si>
  <si>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</si>
  <si>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</si>
  <si>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</si>
  <si>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</si>
  <si>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</si>
  <si>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</si>
  <si>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</si>
  <si>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</si>
  <si>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</si>
  <si>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</si>
  <si>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</si>
  <si>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</si>
  <si>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</si>
  <si>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</si>
  <si>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</si>
  <si>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</si>
  <si>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</si>
  <si>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</si>
  <si>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</si>
  <si>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</si>
  <si>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</si>
  <si>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</si>
  <si>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</si>
  <si>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</si>
  <si>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</si>
  <si>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</si>
  <si>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</si>
  <si>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</si>
  <si>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</si>
  <si>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</si>
  <si>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</si>
  <si>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</si>
  <si>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</si>
  <si>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</si>
  <si>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</si>
  <si>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</si>
  <si>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</si>
  <si>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</si>
  <si>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</si>
  <si>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</si>
  <si>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</si>
  <si>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</si>
  <si>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</si>
  <si>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</si>
  <si>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</si>
  <si>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</si>
  <si>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</si>
  <si>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</si>
  <si>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</si>
  <si>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</si>
  <si>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</si>
  <si>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</si>
  <si>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</si>
  <si>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</si>
  <si>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</si>
  <si>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</si>
  <si>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</si>
  <si>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</si>
  <si>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</si>
  <si>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</si>
  <si>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</si>
  <si>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</si>
  <si>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</si>
  <si>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</si>
  <si>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</si>
  <si>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</si>
  <si>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</si>
  <si>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</si>
  <si>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</si>
  <si>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</si>
  <si>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</si>
  <si>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</si>
  <si>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</si>
  <si>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</si>
  <si>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</si>
  <si>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</si>
  <si>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</si>
  <si>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</si>
  <si>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</si>
  <si>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</si>
  <si>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</si>
  <si>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</si>
  <si>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</si>
  <si>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</si>
  <si>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</si>
  <si>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</si>
  <si>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</si>
  <si>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</si>
  <si>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</si>
  <si>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</si>
  <si>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</si>
  <si>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</si>
  <si>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</si>
  <si>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</si>
  <si>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</si>
  <si>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</si>
  <si>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</si>
  <si>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</si>
  <si>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</si>
  <si>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</si>
  <si>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</si>
  <si>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</si>
  <si>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</si>
  <si>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</si>
  <si>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</si>
  <si>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</si>
  <si>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</si>
  <si>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</si>
  <si>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</si>
  <si>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</si>
  <si>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</si>
  <si>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</si>
  <si>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</si>
  <si>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</si>
  <si>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</si>
  <si>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</si>
  <si>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</si>
  <si>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</si>
  <si>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</si>
  <si>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</si>
  <si>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</si>
  <si>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</si>
  <si>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</si>
  <si>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</si>
  <si>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</si>
  <si>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</si>
  <si>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</si>
  <si>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</si>
  <si>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</si>
  <si>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</si>
  <si>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</si>
  <si>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</si>
  <si>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</si>
  <si>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</si>
  <si>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</si>
  <si>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</si>
  <si>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</si>
  <si>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</si>
  <si>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</si>
  <si>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</si>
  <si>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</si>
  <si>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</si>
  <si>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</si>
  <si>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</si>
  <si>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</si>
  <si>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</si>
  <si>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</si>
  <si>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</si>
  <si>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</si>
  <si>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</si>
  <si>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</si>
  <si>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</si>
  <si>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</si>
  <si>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</si>
  <si>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</si>
  <si>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</si>
  <si>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</si>
  <si>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</si>
  <si>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</si>
  <si>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</si>
  <si>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</si>
  <si>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</si>
  <si>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</si>
  <si>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</si>
  <si>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</si>
  <si>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</si>
  <si>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</si>
  <si>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</si>
  <si>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</si>
  <si>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</si>
  <si>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</si>
  <si>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</si>
  <si>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</si>
  <si>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</si>
  <si>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</si>
  <si>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</si>
  <si>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</si>
  <si>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</si>
  <si>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</si>
  <si>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</si>
  <si>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</si>
  <si>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</si>
  <si>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</si>
  <si>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</si>
  <si>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</si>
  <si>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</si>
  <si>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</si>
  <si>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</si>
  <si>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</si>
  <si>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</si>
  <si>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</si>
  <si>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</si>
  <si>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</si>
  <si>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</si>
  <si>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</si>
  <si>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</si>
  <si>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</si>
  <si>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</si>
  <si>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</si>
  <si>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</si>
  <si>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</si>
  <si>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</si>
  <si>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</si>
  <si>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</si>
  <si>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</si>
  <si>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</si>
  <si>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</si>
  <si>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</si>
  <si>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</si>
  <si>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</si>
  <si>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</si>
  <si>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</si>
  <si>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</si>
  <si>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</si>
  <si>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</si>
  <si>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</si>
  <si>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</si>
  <si>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</si>
  <si>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</si>
  <si>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</si>
  <si>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</si>
  <si>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</si>
  <si>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</si>
  <si>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</si>
  <si>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</si>
  <si>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</si>
  <si>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</si>
  <si>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</si>
  <si>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</si>
  <si>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</si>
  <si>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</si>
  <si>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</si>
  <si>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</si>
  <si>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</si>
  <si>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</si>
  <si>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</si>
  <si>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</si>
  <si>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</si>
  <si>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</si>
  <si>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</si>
  <si>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</si>
  <si>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</si>
  <si>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</si>
  <si>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</si>
  <si>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</si>
  <si>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</si>
  <si>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</si>
  <si>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</si>
  <si>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</si>
  <si>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</si>
  <si>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</si>
  <si>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</si>
  <si>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</si>
  <si>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</si>
  <si>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</si>
  <si>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</si>
  <si>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</si>
  <si>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</si>
  <si>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</si>
  <si>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</si>
  <si>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</si>
  <si>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</si>
  <si>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</si>
  <si>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</si>
  <si>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</si>
  <si>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</si>
  <si>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</si>
  <si>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</si>
  <si>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</si>
  <si>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</si>
  <si>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</si>
  <si>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</si>
  <si>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</si>
  <si>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</si>
  <si>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</si>
  <si>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</si>
  <si>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</si>
  <si>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</si>
  <si>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</si>
  <si>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</si>
  <si>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</si>
  <si>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</si>
  <si>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</si>
  <si>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</si>
  <si>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</si>
  <si>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</si>
  <si>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</si>
  <si>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</si>
  <si>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</si>
  <si>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</si>
  <si>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</si>
  <si>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</si>
  <si>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</si>
  <si>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</si>
  <si>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</si>
  <si>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</si>
  <si>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</si>
  <si>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</si>
  <si>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</si>
  <si>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</si>
  <si>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</si>
  <si>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</si>
  <si>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</si>
  <si>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</si>
  <si>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</si>
  <si>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</si>
  <si>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</si>
  <si>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</si>
  <si>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</si>
  <si>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</si>
  <si>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</si>
  <si>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</si>
  <si>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</si>
  <si>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</si>
  <si>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</si>
  <si>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</si>
  <si>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</si>
  <si>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</si>
  <si>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</si>
  <si>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</si>
  <si>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</si>
  <si>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</si>
  <si>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</si>
  <si>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</si>
  <si>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</si>
  <si>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</si>
  <si>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</si>
  <si>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</si>
  <si>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</si>
  <si>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</si>
  <si>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</si>
  <si>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</si>
  <si>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</si>
  <si>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</si>
  <si>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</si>
  <si>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</si>
  <si>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</si>
  <si>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</si>
  <si>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</si>
  <si>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</si>
  <si>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</si>
  <si>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</si>
  <si>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</si>
  <si>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</si>
  <si>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</si>
  <si>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</si>
  <si>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</si>
  <si>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</si>
  <si>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</si>
  <si>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</si>
  <si>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</si>
  <si>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</si>
  <si>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</si>
  <si>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</si>
  <si>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</si>
  <si>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</si>
  <si>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</si>
  <si>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</si>
  <si>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</si>
  <si>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</si>
  <si>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</si>
  <si>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</si>
  <si>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</si>
  <si>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</si>
  <si>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</si>
  <si>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</si>
  <si>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</si>
  <si>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</si>
  <si>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</si>
  <si>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</si>
  <si>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</si>
  <si>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</si>
  <si>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</si>
  <si>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</si>
  <si>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</si>
  <si>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</si>
  <si>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</si>
  <si>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</si>
  <si>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</si>
  <si>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</si>
  <si>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</si>
  <si>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</si>
  <si>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</si>
  <si>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</si>
  <si>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</si>
  <si>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</si>
  <si>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</si>
  <si>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</si>
  <si>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</si>
  <si>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</si>
  <si>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</si>
  <si>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</si>
  <si>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</si>
  <si>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</si>
  <si>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</si>
  <si>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</si>
  <si>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</si>
  <si>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</si>
  <si>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</si>
  <si>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</si>
  <si>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</si>
  <si>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</si>
  <si>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</si>
  <si>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</si>
  <si>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</si>
  <si>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</si>
  <si>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</si>
  <si>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</si>
  <si>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</si>
  <si>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</si>
  <si>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</si>
  <si>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</si>
  <si>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</si>
  <si>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</si>
  <si>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</si>
  <si>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</si>
  <si>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</si>
  <si>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</si>
  <si>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</si>
  <si>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</si>
  <si>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</si>
  <si>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</si>
  <si>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</si>
  <si>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</si>
  <si>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</si>
  <si>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</si>
  <si>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</si>
  <si>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</si>
  <si>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</si>
  <si>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</si>
  <si>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</si>
  <si>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</si>
  <si>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</si>
  <si>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</si>
  <si>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</si>
  <si>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</si>
  <si>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</si>
  <si>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</si>
  <si>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</si>
  <si>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</si>
  <si>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</si>
  <si>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</si>
  <si>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</si>
  <si>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</si>
  <si>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</si>
  <si>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</si>
  <si>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</si>
  <si>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</si>
  <si>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</si>
  <si>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</si>
  <si>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</si>
  <si>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</si>
  <si>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</si>
  <si>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</si>
  <si>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</si>
  <si>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</si>
  <si>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</si>
  <si>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</si>
  <si>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</si>
  <si>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</si>
  <si>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</si>
  <si>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</si>
  <si>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</si>
  <si>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</si>
  <si>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</si>
  <si>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</si>
  <si>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</si>
  <si>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</si>
  <si>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</si>
  <si>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</si>
  <si>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</si>
  <si>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</si>
  <si>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</si>
  <si>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</si>
  <si>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</si>
  <si>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</si>
  <si>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</si>
  <si>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</si>
  <si>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</si>
  <si>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</si>
  <si>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</si>
  <si>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</si>
  <si>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</si>
  <si>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</si>
  <si>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</si>
  <si>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</si>
  <si>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</si>
  <si>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</si>
  <si>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</si>
  <si>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</si>
  <si>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</si>
  <si>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</si>
  <si>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</si>
  <si>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</si>
  <si>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</si>
  <si>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</si>
  <si>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</si>
  <si>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</si>
  <si>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</si>
  <si>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</si>
  <si>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</si>
  <si>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</si>
  <si>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</si>
  <si>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</si>
  <si>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</si>
  <si>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</si>
  <si>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</si>
  <si>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</si>
  <si>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</si>
  <si>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</si>
  <si>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</si>
  <si>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</si>
  <si>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</si>
  <si>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</si>
  <si>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</si>
  <si>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</si>
  <si>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</si>
  <si>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</si>
  <si>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</si>
  <si>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</si>
  <si>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</si>
  <si>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</si>
  <si>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</si>
  <si>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</si>
  <si>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</si>
  <si>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</si>
  <si>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</si>
  <si>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</si>
  <si>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</si>
  <si>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</si>
  <si>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</si>
  <si>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</si>
  <si>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</si>
  <si>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</si>
  <si>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</si>
  <si>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</si>
  <si>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</si>
  <si>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</si>
  <si>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</si>
  <si>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</si>
  <si>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</si>
  <si>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</si>
  <si>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</si>
  <si>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</si>
  <si>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</si>
  <si>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</si>
  <si>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</si>
  <si>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</si>
  <si>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</si>
  <si>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</si>
  <si>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</si>
  <si>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</si>
  <si>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</si>
  <si>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</si>
  <si>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</si>
  <si>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</si>
  <si>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</si>
  <si>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</si>
  <si>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</si>
  <si>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</si>
  <si>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</si>
  <si>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</si>
  <si>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</si>
  <si>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</si>
  <si>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</si>
  <si>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</si>
  <si>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</si>
  <si>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</si>
  <si>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</si>
  <si>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</si>
  <si>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</si>
  <si>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</si>
  <si>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</si>
  <si>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</si>
  <si>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</si>
  <si>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</si>
  <si>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</si>
  <si>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</si>
  <si>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</si>
  <si>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</si>
  <si>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</si>
  <si>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</si>
  <si>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</si>
  <si>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</si>
  <si>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</si>
  <si>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</si>
  <si>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</si>
  <si>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</si>
  <si>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</si>
  <si>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</si>
  <si>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</si>
  <si>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</si>
  <si>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</si>
  <si>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</si>
  <si>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</si>
  <si>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</si>
  <si>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</si>
  <si>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</si>
  <si>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</si>
  <si>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</si>
  <si>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</si>
  <si>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</si>
  <si>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</si>
  <si>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</si>
  <si>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</si>
  <si>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</si>
  <si>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</si>
  <si>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</si>
  <si>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</si>
  <si>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</si>
  <si>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</si>
  <si>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</si>
  <si>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</si>
  <si>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</si>
  <si>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</si>
  <si>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</si>
  <si>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</si>
  <si>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</si>
  <si>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</si>
  <si>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</si>
  <si>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</si>
  <si>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</si>
  <si>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</si>
  <si>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</si>
  <si>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</si>
  <si>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</si>
  <si>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</si>
  <si>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</si>
  <si>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</si>
  <si>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</si>
  <si>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</si>
  <si>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</si>
  <si>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</si>
  <si>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</si>
  <si>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</si>
  <si>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</si>
  <si>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</si>
  <si>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</si>
  <si>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</si>
  <si>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</si>
  <si>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</si>
  <si>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</si>
  <si>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</si>
  <si>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</si>
  <si>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</si>
  <si>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</si>
  <si>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</si>
  <si>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</si>
  <si>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</si>
  <si>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</si>
  <si>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</si>
  <si>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</si>
  <si>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</si>
  <si>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</si>
  <si>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</si>
  <si>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</si>
  <si>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</si>
  <si>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</si>
  <si>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</si>
  <si>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</si>
  <si>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</si>
  <si>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</si>
  <si>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</si>
  <si>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</si>
  <si>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</si>
  <si>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</si>
  <si>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</si>
  <si>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</si>
  <si>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</si>
  <si>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</si>
  <si>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</si>
  <si>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</si>
  <si>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</si>
  <si>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</si>
  <si>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</si>
  <si>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</si>
  <si>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</si>
  <si>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</si>
  <si>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</si>
  <si>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</si>
  <si>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</si>
  <si>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</si>
  <si>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</si>
  <si>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</si>
  <si>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</si>
  <si>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</si>
  <si>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</si>
  <si>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</si>
  <si>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</si>
  <si>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</si>
  <si>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</si>
  <si>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</si>
  <si>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</si>
  <si>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</si>
  <si>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</si>
  <si>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</si>
  <si>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</si>
  <si>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</si>
  <si>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</si>
  <si>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</si>
  <si>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</si>
  <si>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</si>
  <si>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</si>
  <si>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</si>
  <si>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</si>
  <si>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</si>
  <si>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</si>
  <si>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</si>
  <si>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</si>
  <si>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</si>
  <si>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</si>
  <si>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</si>
  <si>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</si>
  <si>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</si>
  <si>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</si>
  <si>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</si>
  <si>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</si>
  <si>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</si>
  <si>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</si>
  <si>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</si>
  <si>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</si>
  <si>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</si>
  <si>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</si>
  <si>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</si>
  <si>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</si>
  <si>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</si>
  <si>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</si>
  <si>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</si>
  <si>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</si>
  <si>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</si>
  <si>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</si>
  <si>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</si>
  <si>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</si>
  <si>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</si>
  <si>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</si>
  <si>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</si>
  <si>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</si>
  <si>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</si>
  <si>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</si>
  <si>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</si>
  <si>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</si>
  <si>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</si>
  <si>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</si>
  <si>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</si>
  <si>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</si>
  <si>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</si>
  <si>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</si>
  <si>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</si>
  <si>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</si>
  <si>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</si>
  <si>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</si>
  <si>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</si>
  <si>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</si>
  <si>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</si>
  <si>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</si>
  <si>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</si>
  <si>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</si>
  <si>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</si>
  <si>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</si>
  <si>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</si>
  <si>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</si>
  <si>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</si>
  <si>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</si>
  <si>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</si>
  <si>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</si>
  <si>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</si>
  <si>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</si>
  <si>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</si>
  <si>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</si>
  <si>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</si>
  <si>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</si>
  <si>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</si>
  <si>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</si>
  <si>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</si>
  <si>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</si>
  <si>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</si>
  <si>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</si>
  <si>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</si>
  <si>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</si>
  <si>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</si>
  <si>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</si>
  <si>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</si>
  <si>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</si>
  <si>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</si>
  <si>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</si>
  <si>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</si>
  <si>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</si>
  <si>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</si>
  <si>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</si>
  <si>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</si>
  <si>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</si>
  <si>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</si>
  <si>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</si>
  <si>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</si>
  <si>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</si>
  <si>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</si>
  <si>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</si>
  <si>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</si>
  <si>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</si>
  <si>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</si>
  <si>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</si>
  <si>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</si>
  <si>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</si>
  <si>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</si>
  <si>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</si>
  <si>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</si>
  <si>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</si>
  <si>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</si>
  <si>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</si>
  <si>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</si>
  <si>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</si>
  <si>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</si>
  <si>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</si>
  <si>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</si>
  <si>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</si>
  <si>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</si>
  <si>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</si>
  <si>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</si>
  <si>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</si>
  <si>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</si>
  <si>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</si>
  <si>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</si>
  <si>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</si>
  <si>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</si>
  <si>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</si>
  <si>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</si>
  <si>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</si>
  <si>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</si>
  <si>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</si>
  <si>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</si>
  <si>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</si>
  <si>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</si>
  <si>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Aantal</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</si>
  <si>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</si>
  <si>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</si>
  <si>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</si>
  <si>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</si>
  <si>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</si>
  <si>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</si>
  <si>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</si>
  <si>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</si>
  <si>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</si>
  <si>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</si>
  <si>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</si>
  <si>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</si>
  <si>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</si>
  <si>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</si>
  <si>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</si>
  <si>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</si>
  <si>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</si>
  <si>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</si>
  <si>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</si>
  <si>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</si>
  <si>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</si>
  <si>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</si>
  <si>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</si>
  <si>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</si>
  <si>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</si>
  <si>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</si>
  <si>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</si>
  <si>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</si>
  <si>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</si>
  <si>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</si>
  <si>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</si>
  <si>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</si>
  <si>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</si>
  <si>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</si>
  <si>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</si>
  <si>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</si>
  <si>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</si>
  <si>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</si>
  <si>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</si>
  <si>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</si>
  <si>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</si>
  <si>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</si>
  <si>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</si>
  <si>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</si>
  <si>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</si>
  <si>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</si>
  <si>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</si>
  <si>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</si>
  <si>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</si>
  <si>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</si>
  <si>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</si>
  <si>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</si>
  <si>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</si>
  <si>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</si>
  <si>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</si>
  <si>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</si>
  <si>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</si>
  <si>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</si>
  <si>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</si>
  <si>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</si>
  <si>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</si>
  <si>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</si>
  <si>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</si>
  <si>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</si>
  <si>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</si>
  <si>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</si>
  <si>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</si>
  <si>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</si>
  <si>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</si>
  <si>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</si>
  <si>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</si>
  <si>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</si>
  <si>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</si>
  <si>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</si>
  <si>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</si>
  <si>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</si>
  <si>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</si>
  <si>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</si>
  <si>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</si>
  <si>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</si>
  <si>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</si>
  <si>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</si>
  <si>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</si>
  <si>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</si>
  <si>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</si>
  <si>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</si>
  <si>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</si>
  <si>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</si>
  <si>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</si>
  <si>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</si>
  <si>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</si>
  <si>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</si>
  <si>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</si>
  <si>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</si>
  <si>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</si>
  <si>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</si>
  <si>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</si>
  <si>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</si>
  <si>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</si>
  <si>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</si>
  <si>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</si>
  <si>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</si>
  <si>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</si>
  <si>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</si>
  <si>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</si>
  <si>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</si>
  <si>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</si>
  <si>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</si>
  <si>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</si>
  <si>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</si>
  <si>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</si>
  <si>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</si>
  <si>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</si>
  <si>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</si>
  <si>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</si>
  <si>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</si>
  <si>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</si>
  <si>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</si>
  <si>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</si>
  <si>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</si>
  <si>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</si>
  <si>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</si>
  <si>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</si>
  <si>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</si>
  <si>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</si>
  <si>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</si>
  <si>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</si>
  <si>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</si>
  <si>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</si>
  <si>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</si>
  <si>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</si>
  <si>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</si>
  <si>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</si>
  <si>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</si>
  <si>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</si>
  <si>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</si>
  <si>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</si>
  <si>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</si>
  <si>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</si>
  <si>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</si>
  <si>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</si>
  <si>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</si>
  <si>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</si>
  <si>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</si>
  <si>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</si>
  <si>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</si>
  <si>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</si>
  <si>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</si>
  <si>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</si>
  <si>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</si>
  <si>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</si>
  <si>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</si>
  <si>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</si>
  <si>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</si>
  <si>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</si>
  <si>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</si>
  <si>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</si>
  <si>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</si>
  <si>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</si>
  <si>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</si>
  <si>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</si>
  <si>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</si>
  <si>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</si>
  <si>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</si>
  <si>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</si>
  <si>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</si>
  <si>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</si>
  <si>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</si>
  <si>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</si>
  <si>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</si>
  <si>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</si>
  <si>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</si>
  <si>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</si>
  <si>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</si>
  <si>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</si>
  <si>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</si>
  <si>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</si>
  <si>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</si>
  <si>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</si>
  <si>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</si>
  <si>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</si>
  <si>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</si>
  <si>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</si>
  <si>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</si>
  <si>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</si>
  <si>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</si>
  <si>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</si>
  <si>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</si>
  <si>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</si>
  <si>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</si>
  <si>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</si>
  <si>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</si>
  <si>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</si>
  <si>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</si>
  <si>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</si>
  <si>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</si>
  <si>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</si>
  <si>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</si>
  <si>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</si>
  <si>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</si>
  <si>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</si>
  <si>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</si>
  <si>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</si>
  <si>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</si>
  <si>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</si>
  <si>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</si>
  <si>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</si>
  <si>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</si>
  <si>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</si>
  <si>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</si>
  <si>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</si>
  <si>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</si>
  <si>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</si>
  <si>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</si>
  <si>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</si>
  <si>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</si>
  <si>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</si>
  <si>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</si>
  <si>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</si>
  <si>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</si>
  <si>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</si>
  <si>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</si>
  <si>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</si>
  <si>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</si>
  <si>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</si>
  <si>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</si>
  <si>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</si>
  <si>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</si>
  <si>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</si>
  <si>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</si>
  <si>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</si>
  <si>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</si>
  <si>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</si>
  <si>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</si>
  <si>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</si>
  <si>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</si>
  <si>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</si>
  <si>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</si>
  <si>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</si>
  <si>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</si>
  <si>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</si>
  <si>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</si>
  <si>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</si>
  <si>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</si>
  <si>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</si>
  <si>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</si>
  <si>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</si>
  <si>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</si>
  <si>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</si>
  <si>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</si>
  <si>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</si>
  <si>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</si>
  <si>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</si>
  <si>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</si>
  <si>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</si>
  <si>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</si>
  <si>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</si>
  <si>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</si>
  <si>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</si>
  <si>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</si>
  <si>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</si>
  <si>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</si>
  <si>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</si>
  <si>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</si>
  <si>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</si>
  <si>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</si>
  <si>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</si>
  <si>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</si>
  <si>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</si>
  <si>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</si>
  <si>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</si>
  <si>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</si>
  <si>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</si>
  <si>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</si>
  <si>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</si>
  <si>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</si>
  <si>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</si>
  <si>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</si>
  <si>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</si>
  <si>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</si>
  <si>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</si>
  <si>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</si>
  <si>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</si>
  <si>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</si>
  <si>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</si>
  <si>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</si>
  <si>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</si>
  <si>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</si>
  <si>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</si>
  <si>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</si>
  <si>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</si>
  <si>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</si>
  <si>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</si>
  <si>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</si>
  <si>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</si>
  <si>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</si>
  <si>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</si>
  <si>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</si>
  <si>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</si>
  <si>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</si>
  <si>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</si>
  <si>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</si>
  <si>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</si>
  <si>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</si>
  <si>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</si>
  <si>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</si>
  <si>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</si>
  <si>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</si>
  <si>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</si>
  <si>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</si>
  <si>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</si>
  <si>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</si>
  <si>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</si>
  <si>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</si>
  <si>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</si>
  <si>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</si>
  <si>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</si>
  <si>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</si>
  <si>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</si>
  <si>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Blauw-roodlaan 156</t>
  </si>
  <si>
    <t>2718 SK</t>
  </si>
  <si>
    <t>Zoetermeer</t>
  </si>
  <si>
    <t>César Franckrode 70-72</t>
  </si>
  <si>
    <t>2717 BG</t>
  </si>
  <si>
    <t>Elektrablauw 5</t>
  </si>
  <si>
    <t>2718 JT</t>
  </si>
  <si>
    <t>Goudenregenzoom 73</t>
  </si>
  <si>
    <t>2719 HE</t>
  </si>
  <si>
    <t>Irisvaart 6-8</t>
  </si>
  <si>
    <t>2724 TT</t>
  </si>
  <si>
    <t>Kerkenbos 24-26</t>
  </si>
  <si>
    <t>2716 PH</t>
  </si>
  <si>
    <t>Lijnbaan 319</t>
  </si>
  <si>
    <t>2728 AG</t>
  </si>
  <si>
    <t>Nieuwlandstraat 241</t>
  </si>
  <si>
    <t>2729 EB</t>
  </si>
  <si>
    <t>Paltelaan 3</t>
  </si>
  <si>
    <t>2712 RN</t>
  </si>
  <si>
    <t>Sieraadlaan 100-102</t>
  </si>
  <si>
    <t>2719 SN</t>
  </si>
  <si>
    <t>Sieraadlaan 100A</t>
  </si>
  <si>
    <t>Wedekindzijde 1-3</t>
  </si>
  <si>
    <t>2725 PG</t>
  </si>
  <si>
    <t>Zanzibarplein 90</t>
  </si>
  <si>
    <t>2721 GE</t>
  </si>
  <si>
    <t>Spitsbergen 15</t>
  </si>
  <si>
    <t>2721 GP</t>
  </si>
  <si>
    <t>Spitsbergen 17</t>
  </si>
  <si>
    <t>Kadelaan 200-202</t>
  </si>
  <si>
    <t>2725 BR</t>
  </si>
  <si>
    <t>Kadelaan 208</t>
  </si>
  <si>
    <t>Vlasakker 33-35</t>
  </si>
  <si>
    <t>2723 TP</t>
  </si>
  <si>
    <t>Nesciohove 105-107</t>
  </si>
  <si>
    <t>2726 BL</t>
  </si>
  <si>
    <t>Electrablauw 5</t>
  </si>
  <si>
    <t>2716 BL</t>
  </si>
  <si>
    <t>Moerbeigaarde 58A</t>
  </si>
  <si>
    <t>2723 AG</t>
  </si>
  <si>
    <t>Fivelingo 84</t>
  </si>
  <si>
    <t>2716 BG</t>
  </si>
  <si>
    <t>Hoofdkantoor OPOZ</t>
  </si>
  <si>
    <t>0.1</t>
  </si>
  <si>
    <t>hal</t>
  </si>
  <si>
    <t>entree</t>
  </si>
  <si>
    <t>0.2</t>
  </si>
  <si>
    <t>administratie ruimte</t>
  </si>
  <si>
    <t>0.3</t>
  </si>
  <si>
    <t>0.4</t>
  </si>
  <si>
    <t>0.5</t>
  </si>
  <si>
    <t>0.6</t>
  </si>
  <si>
    <t>keuken</t>
  </si>
  <si>
    <t>0.7</t>
  </si>
  <si>
    <t>Sanitaire ruimte</t>
  </si>
  <si>
    <t>0.8</t>
  </si>
  <si>
    <t>Hal</t>
  </si>
  <si>
    <t>Administratieve ruimte</t>
  </si>
  <si>
    <t>Keuken</t>
  </si>
  <si>
    <t>Begane grond</t>
  </si>
  <si>
    <t>Lokaal</t>
  </si>
  <si>
    <t>0.9</t>
  </si>
  <si>
    <t>0.10</t>
  </si>
  <si>
    <t>0.11</t>
  </si>
  <si>
    <t>0.12</t>
  </si>
  <si>
    <t>Sportzaal</t>
  </si>
  <si>
    <t>0.13a</t>
  </si>
  <si>
    <t>0.13b</t>
  </si>
  <si>
    <t>0.13c</t>
  </si>
  <si>
    <t>Hal + Gangen</t>
  </si>
  <si>
    <t>0.14</t>
  </si>
  <si>
    <t>lokaal</t>
  </si>
  <si>
    <t>0.15</t>
  </si>
  <si>
    <t>0.16</t>
  </si>
  <si>
    <t>0.17</t>
  </si>
  <si>
    <t>0.17a</t>
  </si>
  <si>
    <t>0.17b</t>
  </si>
  <si>
    <t>0.17c</t>
  </si>
  <si>
    <t>Spreekkamer</t>
  </si>
  <si>
    <t>0.17d</t>
  </si>
  <si>
    <t>0.18</t>
  </si>
  <si>
    <t>Aula en Gangen</t>
  </si>
  <si>
    <t>0.11a</t>
  </si>
  <si>
    <t>0.11b</t>
  </si>
  <si>
    <t>0.11c</t>
  </si>
  <si>
    <t>0.11d</t>
  </si>
  <si>
    <t>BSO</t>
  </si>
  <si>
    <t>1.9</t>
  </si>
  <si>
    <t>1.29</t>
  </si>
  <si>
    <t>Gang</t>
  </si>
  <si>
    <t>1.1</t>
  </si>
  <si>
    <t>Lokaal 0.9</t>
  </si>
  <si>
    <t>1.2</t>
  </si>
  <si>
    <t>Lokaal 0.8</t>
  </si>
  <si>
    <t>1.3</t>
  </si>
  <si>
    <t>Lokaal 0.7</t>
  </si>
  <si>
    <t>1.4</t>
  </si>
  <si>
    <t>Lokaal 0.6</t>
  </si>
  <si>
    <t>1.47</t>
  </si>
  <si>
    <t xml:space="preserve">Toilet </t>
  </si>
  <si>
    <t>1.50</t>
  </si>
  <si>
    <t>Toilet</t>
  </si>
  <si>
    <t>1.44</t>
  </si>
  <si>
    <t>1.29b</t>
  </si>
  <si>
    <t>1.28</t>
  </si>
  <si>
    <t>Berging</t>
  </si>
  <si>
    <t>1.23</t>
  </si>
  <si>
    <t>Speellokaal</t>
  </si>
  <si>
    <t>1.53</t>
  </si>
  <si>
    <t>1.5</t>
  </si>
  <si>
    <t>Lokaal 0.4</t>
  </si>
  <si>
    <t>1.6</t>
  </si>
  <si>
    <t>Lokaal 0.3</t>
  </si>
  <si>
    <t>1.7</t>
  </si>
  <si>
    <t>Lokaal 0.2</t>
  </si>
  <si>
    <t>1.8</t>
  </si>
  <si>
    <t>Lokaal 0.1</t>
  </si>
  <si>
    <t>1.30</t>
  </si>
  <si>
    <t>1.33</t>
  </si>
  <si>
    <t>1.38</t>
  </si>
  <si>
    <t>1.41</t>
  </si>
  <si>
    <t>1.25</t>
  </si>
  <si>
    <t>1.22</t>
  </si>
  <si>
    <t>Podium</t>
  </si>
  <si>
    <t>1.24</t>
  </si>
  <si>
    <t>1.21</t>
  </si>
  <si>
    <t>Aula</t>
  </si>
  <si>
    <t>1.18</t>
  </si>
  <si>
    <t>Entree BSO</t>
  </si>
  <si>
    <t>1.10</t>
  </si>
  <si>
    <t>Management</t>
  </si>
  <si>
    <t>1.11</t>
  </si>
  <si>
    <t xml:space="preserve">Management </t>
  </si>
  <si>
    <t>1.12</t>
  </si>
  <si>
    <t>1.14</t>
  </si>
  <si>
    <t>1.15</t>
  </si>
  <si>
    <t>1.17</t>
  </si>
  <si>
    <t>CV-ruimte</t>
  </si>
  <si>
    <t>1.16</t>
  </si>
  <si>
    <t>Schoonloopmat</t>
  </si>
  <si>
    <t>Linoleum</t>
  </si>
  <si>
    <t>Sportlokaal</t>
  </si>
  <si>
    <t>0.13</t>
  </si>
  <si>
    <t>0.19</t>
  </si>
  <si>
    <t>0.20</t>
  </si>
  <si>
    <t>0.21</t>
  </si>
  <si>
    <t>Oppervlakte gedeeld</t>
  </si>
  <si>
    <t>Oppervlakte BSO</t>
  </si>
  <si>
    <t>kantoor</t>
  </si>
  <si>
    <t>Trap en bordes</t>
  </si>
  <si>
    <t>Eerste etage</t>
  </si>
  <si>
    <t>gang</t>
  </si>
  <si>
    <t>Multifunctionele ruimte</t>
  </si>
  <si>
    <t>Gangen</t>
  </si>
  <si>
    <t>Trap</t>
  </si>
  <si>
    <t>aula</t>
  </si>
  <si>
    <t>Trappen</t>
  </si>
  <si>
    <t>V0.01</t>
  </si>
  <si>
    <t>Hoofdentree</t>
  </si>
  <si>
    <t>V0.02</t>
  </si>
  <si>
    <t>V0.22</t>
  </si>
  <si>
    <t>V0.04</t>
  </si>
  <si>
    <t>V0.05</t>
  </si>
  <si>
    <t>L0.01</t>
  </si>
  <si>
    <t>Lift</t>
  </si>
  <si>
    <t>V0.21</t>
  </si>
  <si>
    <t>V0.06</t>
  </si>
  <si>
    <t>V0.23</t>
  </si>
  <si>
    <t>ingang</t>
  </si>
  <si>
    <t>V0.07</t>
  </si>
  <si>
    <t>Kantoor</t>
  </si>
  <si>
    <t>V0.08</t>
  </si>
  <si>
    <t>V0.20</t>
  </si>
  <si>
    <t>V0.20b</t>
  </si>
  <si>
    <t>Miva</t>
  </si>
  <si>
    <t>V0.16</t>
  </si>
  <si>
    <t>Berging repro</t>
  </si>
  <si>
    <t>V0.10</t>
  </si>
  <si>
    <t>V0.09</t>
  </si>
  <si>
    <t>V0.11</t>
  </si>
  <si>
    <t>V0.12</t>
  </si>
  <si>
    <t>V0.13</t>
  </si>
  <si>
    <t>V0.14</t>
  </si>
  <si>
    <t>V0.03</t>
  </si>
  <si>
    <t xml:space="preserve">Berging </t>
  </si>
  <si>
    <t>V1.01</t>
  </si>
  <si>
    <t>V1.02</t>
  </si>
  <si>
    <t>V1.03</t>
  </si>
  <si>
    <t>V1.10</t>
  </si>
  <si>
    <t>V1.04</t>
  </si>
  <si>
    <t>V1.11</t>
  </si>
  <si>
    <t>V1.05</t>
  </si>
  <si>
    <t>V1.06</t>
  </si>
  <si>
    <t>V1.07</t>
  </si>
  <si>
    <t>V1.08</t>
  </si>
  <si>
    <t>Bibliotheek</t>
  </si>
  <si>
    <t>V1.09</t>
  </si>
  <si>
    <t>Gietvloer</t>
  </si>
  <si>
    <t>Parket</t>
  </si>
  <si>
    <t>pantry</t>
  </si>
  <si>
    <t>podium</t>
  </si>
  <si>
    <t>hal1</t>
  </si>
  <si>
    <t>hal2</t>
  </si>
  <si>
    <t>lokaal 1</t>
  </si>
  <si>
    <t>lokaal 2</t>
  </si>
  <si>
    <t>Gedeeltelijk</t>
  </si>
  <si>
    <t>Hal en Gang</t>
  </si>
  <si>
    <t>Aula + Gang</t>
  </si>
  <si>
    <t>0.22</t>
  </si>
  <si>
    <t>0.23</t>
  </si>
  <si>
    <t>0.24</t>
  </si>
  <si>
    <t>0.25</t>
  </si>
  <si>
    <t>0.26</t>
  </si>
  <si>
    <t>hal/entree</t>
  </si>
  <si>
    <t>gang/hal</t>
  </si>
  <si>
    <t>Praktijklokaal</t>
  </si>
  <si>
    <t>kantoor logopedie</t>
  </si>
  <si>
    <t>lift</t>
  </si>
  <si>
    <t>trap</t>
  </si>
  <si>
    <t>hal/corridor</t>
  </si>
  <si>
    <t>1.13</t>
  </si>
  <si>
    <t>gang/corridor/trap</t>
  </si>
  <si>
    <t>toiletten</t>
  </si>
  <si>
    <t>Groepsruimte</t>
  </si>
  <si>
    <t>Basis 1</t>
  </si>
  <si>
    <t>Basis 2</t>
  </si>
  <si>
    <t>Basis 3</t>
  </si>
  <si>
    <t>Basis 4</t>
  </si>
  <si>
    <t>114a</t>
  </si>
  <si>
    <t>114b</t>
  </si>
  <si>
    <t>Speelhal onderbouw</t>
  </si>
  <si>
    <t>Huiskamer</t>
  </si>
  <si>
    <t>Magazijn</t>
  </si>
  <si>
    <t>Werkkast</t>
  </si>
  <si>
    <t>Basis 5</t>
  </si>
  <si>
    <t>Basis 6</t>
  </si>
  <si>
    <t>Speelgebied</t>
  </si>
  <si>
    <t>Multifunctioneel</t>
  </si>
  <si>
    <t>Repro</t>
  </si>
  <si>
    <t>Kleedruimte</t>
  </si>
  <si>
    <t>Doucheruimte</t>
  </si>
  <si>
    <t>47a</t>
  </si>
  <si>
    <t>47b</t>
  </si>
  <si>
    <t>47c</t>
  </si>
  <si>
    <t>47d</t>
  </si>
  <si>
    <t>Administratie/balie</t>
  </si>
  <si>
    <t>Directie</t>
  </si>
  <si>
    <t>113a</t>
  </si>
  <si>
    <t>113b</t>
  </si>
  <si>
    <t>Stookruimte</t>
  </si>
  <si>
    <t>Luchtbehandeling</t>
  </si>
  <si>
    <t>Bergruimte</t>
  </si>
  <si>
    <t xml:space="preserve">Entree </t>
  </si>
  <si>
    <t>Gaskast</t>
  </si>
  <si>
    <t>Receptie</t>
  </si>
  <si>
    <t>Containerruimte</t>
  </si>
  <si>
    <t>Gemeenschappelijke ruimten</t>
  </si>
  <si>
    <t>Verkeersruimte</t>
  </si>
  <si>
    <t>Lokaal Kinderdagverblijf</t>
  </si>
  <si>
    <t>Administratieve ruimten</t>
  </si>
  <si>
    <t>Personeelruimte</t>
  </si>
  <si>
    <t>Miva toilet</t>
  </si>
  <si>
    <t>Studieruimte</t>
  </si>
  <si>
    <t>0.01</t>
  </si>
  <si>
    <t>0.02</t>
  </si>
  <si>
    <t>0.03</t>
  </si>
  <si>
    <t>0.04</t>
  </si>
  <si>
    <t>Administratie</t>
  </si>
  <si>
    <t>0.05</t>
  </si>
  <si>
    <t>0.06</t>
  </si>
  <si>
    <t>IB</t>
  </si>
  <si>
    <t>0.07</t>
  </si>
  <si>
    <t>Meerpunt</t>
  </si>
  <si>
    <t>0.08</t>
  </si>
  <si>
    <t>Berg. Stint</t>
  </si>
  <si>
    <t>0.09</t>
  </si>
  <si>
    <t>Toiletgroep</t>
  </si>
  <si>
    <t>Berging buggy's</t>
  </si>
  <si>
    <t xml:space="preserve">Trappenhuis </t>
  </si>
  <si>
    <t>Magazijn onder trap</t>
  </si>
  <si>
    <t>Dalton Thema</t>
  </si>
  <si>
    <t>Berging speellokaal</t>
  </si>
  <si>
    <t>Garderobe</t>
  </si>
  <si>
    <t>Groep KDV Vertikaal</t>
  </si>
  <si>
    <t>Verschoonruimte</t>
  </si>
  <si>
    <t>0.27</t>
  </si>
  <si>
    <t>0.28</t>
  </si>
  <si>
    <t>Slaapkamer</t>
  </si>
  <si>
    <t>0.29</t>
  </si>
  <si>
    <t>Groep KDV 0-2</t>
  </si>
  <si>
    <t>0.30</t>
  </si>
  <si>
    <t>0.31</t>
  </si>
  <si>
    <t>Wasruimte</t>
  </si>
  <si>
    <t>0.32</t>
  </si>
  <si>
    <t>Trappenhuis zijkant</t>
  </si>
  <si>
    <t>Kast</t>
  </si>
  <si>
    <t>0.33</t>
  </si>
  <si>
    <t>Groep KDV Verticaal</t>
  </si>
  <si>
    <t>0.34</t>
  </si>
  <si>
    <t>0.35</t>
  </si>
  <si>
    <t>Groep KDV 2-4</t>
  </si>
  <si>
    <t>0.36</t>
  </si>
  <si>
    <t>0.37</t>
  </si>
  <si>
    <t>0.38</t>
  </si>
  <si>
    <t>1.01</t>
  </si>
  <si>
    <t>Schoolbibliotheek</t>
  </si>
  <si>
    <t>1.02</t>
  </si>
  <si>
    <t>Mag. 1e OB</t>
  </si>
  <si>
    <t>1.03</t>
  </si>
  <si>
    <t>1.04</t>
  </si>
  <si>
    <t>1.05</t>
  </si>
  <si>
    <t>1.06</t>
  </si>
  <si>
    <t>1.07</t>
  </si>
  <si>
    <t>Mag. Kn. BB</t>
  </si>
  <si>
    <t>1.08</t>
  </si>
  <si>
    <t>Halletje</t>
  </si>
  <si>
    <t>1.09</t>
  </si>
  <si>
    <t>Teamkamer + garderobe</t>
  </si>
  <si>
    <t>MIVA</t>
  </si>
  <si>
    <t>Server</t>
  </si>
  <si>
    <t>Mag. 1e BB</t>
  </si>
  <si>
    <t>L.O. 2</t>
  </si>
  <si>
    <t>Werkast</t>
  </si>
  <si>
    <t>L.O. 7</t>
  </si>
  <si>
    <t>Personeel/Logopedie</t>
  </si>
  <si>
    <t>Buitenberging</t>
  </si>
  <si>
    <t>CV</t>
  </si>
  <si>
    <t>L.O.1</t>
  </si>
  <si>
    <t>Tegels</t>
  </si>
  <si>
    <t>Locatieleider</t>
  </si>
  <si>
    <t>Vergaderruimte/directie</t>
  </si>
  <si>
    <t>Logopedie</t>
  </si>
  <si>
    <t>Ambulant begeleider</t>
  </si>
  <si>
    <t>Remedial teacher</t>
  </si>
  <si>
    <t>School M-werk</t>
  </si>
  <si>
    <t>Klas 1</t>
  </si>
  <si>
    <t>Klas 2</t>
  </si>
  <si>
    <t>Personeelsruimte/logopedie</t>
  </si>
  <si>
    <t>LO 1</t>
  </si>
  <si>
    <t>Klas 3</t>
  </si>
  <si>
    <t>0.39</t>
  </si>
  <si>
    <t/>
  </si>
  <si>
    <t>Entree/hal</t>
  </si>
  <si>
    <t>Hal/gang</t>
  </si>
  <si>
    <t>Lokaal 1</t>
  </si>
  <si>
    <t>Lokaal 2</t>
  </si>
  <si>
    <t>Lokaal 3</t>
  </si>
  <si>
    <t>Personeelsruimte</t>
  </si>
  <si>
    <t>Toiletgroep Dames</t>
  </si>
  <si>
    <t>Toiletgroep Heren + MiVa toilet</t>
  </si>
  <si>
    <t>Babyruimte</t>
  </si>
  <si>
    <t xml:space="preserve">BSO </t>
  </si>
  <si>
    <t xml:space="preserve">Buitenberging </t>
  </si>
  <si>
    <t xml:space="preserve">Corridor </t>
  </si>
  <si>
    <t>Corridor hotelschool</t>
  </si>
  <si>
    <t>Corridor OB</t>
  </si>
  <si>
    <t>Corridor SBO</t>
  </si>
  <si>
    <t>Entreehal</t>
  </si>
  <si>
    <t>Entree hotelschool</t>
  </si>
  <si>
    <t>Groepsruimte JRK</t>
  </si>
  <si>
    <t xml:space="preserve">Kantoor </t>
  </si>
  <si>
    <t>Kantoor adjunct directie</t>
  </si>
  <si>
    <t>Kantoor directie</t>
  </si>
  <si>
    <t>Keuken/verschoonruimte</t>
  </si>
  <si>
    <t>Klaslokaal</t>
  </si>
  <si>
    <t>Lokaal dreumessen</t>
  </si>
  <si>
    <t>Lokaal T-ruimte</t>
  </si>
  <si>
    <t>MiVa toilet</t>
  </si>
  <si>
    <t>Onderzoekskamer</t>
  </si>
  <si>
    <t>Opslag</t>
  </si>
  <si>
    <t xml:space="preserve">Opslag </t>
  </si>
  <si>
    <t>Opslag wagens</t>
  </si>
  <si>
    <t>Patio</t>
  </si>
  <si>
    <t>Peuters</t>
  </si>
  <si>
    <t>Praktijklokaal Keuken</t>
  </si>
  <si>
    <t>Praktijklokaal Techniek</t>
  </si>
  <si>
    <t>Psycholoog</t>
  </si>
  <si>
    <t>Slaapruimte</t>
  </si>
  <si>
    <t>Spelkamer</t>
  </si>
  <si>
    <t xml:space="preserve">Spreekkamer </t>
  </si>
  <si>
    <t>Teamkamer</t>
  </si>
  <si>
    <t>Toilet jongens</t>
  </si>
  <si>
    <t>Toilet meisjes</t>
  </si>
  <si>
    <t>Toilet personeel</t>
  </si>
  <si>
    <t>Trap naar 1e etage</t>
  </si>
  <si>
    <t>Trap naar 2e etage</t>
  </si>
  <si>
    <t>Trap naar 3e etage</t>
  </si>
  <si>
    <t>Ukken</t>
  </si>
  <si>
    <t>VBK OB</t>
  </si>
  <si>
    <t>VBK SBO</t>
  </si>
  <si>
    <t>Lerarenkamer</t>
  </si>
  <si>
    <t>MiVa-toilet</t>
  </si>
  <si>
    <t>Voorruimte toilet</t>
  </si>
  <si>
    <t>Douche</t>
  </si>
  <si>
    <t>Meterkast</t>
  </si>
  <si>
    <t>Entreeportaal</t>
  </si>
  <si>
    <t>Buggy</t>
  </si>
  <si>
    <t>0.05a</t>
  </si>
  <si>
    <t>WM</t>
  </si>
  <si>
    <t>Invoer + HVK</t>
  </si>
  <si>
    <t>Copier</t>
  </si>
  <si>
    <t>Admin/conc</t>
  </si>
  <si>
    <t>Ruimte meerpunt</t>
  </si>
  <si>
    <t>MiVa</t>
  </si>
  <si>
    <t>Aula centraal</t>
  </si>
  <si>
    <t>Aula o.b.</t>
  </si>
  <si>
    <t>Leerplein</t>
  </si>
  <si>
    <t>0.25a</t>
  </si>
  <si>
    <t>0.25b</t>
  </si>
  <si>
    <t>Patchruimte</t>
  </si>
  <si>
    <t>0.26b</t>
  </si>
  <si>
    <t>Magazijn / berg</t>
  </si>
  <si>
    <t>Pleintje SH/BSO</t>
  </si>
  <si>
    <t>Berging BSO</t>
  </si>
  <si>
    <t>SH/BSO</t>
  </si>
  <si>
    <t>OVK</t>
  </si>
  <si>
    <t>0.40</t>
  </si>
  <si>
    <t>0.41</t>
  </si>
  <si>
    <t>0.42</t>
  </si>
  <si>
    <t>Trappenhuis</t>
  </si>
  <si>
    <t>Personeel</t>
  </si>
  <si>
    <t>Intern beg.</t>
  </si>
  <si>
    <t>Techn. R.</t>
  </si>
  <si>
    <t>1.09a</t>
  </si>
  <si>
    <t>1.09b</t>
  </si>
  <si>
    <t>werkkast</t>
  </si>
  <si>
    <t>Aula BB</t>
  </si>
  <si>
    <t>1.19</t>
  </si>
  <si>
    <t>1.20</t>
  </si>
  <si>
    <t>1.23a</t>
  </si>
  <si>
    <t>1.23b</t>
  </si>
  <si>
    <t>Vluchtportaal</t>
  </si>
  <si>
    <t>1.26</t>
  </si>
  <si>
    <t>1.27</t>
  </si>
  <si>
    <t>1.31</t>
  </si>
  <si>
    <t>1.32</t>
  </si>
  <si>
    <t>1.34</t>
  </si>
  <si>
    <t>1.35</t>
  </si>
  <si>
    <t>1.36</t>
  </si>
  <si>
    <t>Marmoleum</t>
  </si>
  <si>
    <t>Fivelingo 84 - School</t>
  </si>
  <si>
    <t>Ingang/hal</t>
  </si>
  <si>
    <t>VK01</t>
  </si>
  <si>
    <t>Kopieren</t>
  </si>
  <si>
    <t>MV Toilet</t>
  </si>
  <si>
    <t>Toiletten</t>
  </si>
  <si>
    <t>0.12a</t>
  </si>
  <si>
    <t>0.12b</t>
  </si>
  <si>
    <t>Verblijf</t>
  </si>
  <si>
    <t>VK12</t>
  </si>
  <si>
    <t xml:space="preserve">Hal </t>
  </si>
  <si>
    <t>VK11 + VK 13</t>
  </si>
  <si>
    <t>Bordes</t>
  </si>
  <si>
    <t>VK14</t>
  </si>
  <si>
    <t>Media</t>
  </si>
  <si>
    <t>Bijgebouw</t>
  </si>
  <si>
    <t>001</t>
  </si>
  <si>
    <t>002</t>
  </si>
  <si>
    <t>003</t>
  </si>
  <si>
    <t>004</t>
  </si>
  <si>
    <t>005</t>
  </si>
  <si>
    <t>006</t>
  </si>
  <si>
    <t>007</t>
  </si>
  <si>
    <t>008</t>
  </si>
  <si>
    <t>009</t>
  </si>
  <si>
    <t>010</t>
  </si>
  <si>
    <t>VK02</t>
  </si>
  <si>
    <t>Entrée</t>
  </si>
  <si>
    <t>0.50</t>
  </si>
  <si>
    <t>0.58</t>
  </si>
  <si>
    <t>0.56</t>
  </si>
  <si>
    <t>0.60</t>
  </si>
  <si>
    <t>0.61</t>
  </si>
  <si>
    <t>0.59</t>
  </si>
  <si>
    <t>0.57</t>
  </si>
  <si>
    <t>0.51</t>
  </si>
  <si>
    <t>Buggyhok</t>
  </si>
  <si>
    <t>0.62</t>
  </si>
  <si>
    <t>0.52</t>
  </si>
  <si>
    <t>0.53</t>
  </si>
  <si>
    <t>0.54</t>
  </si>
  <si>
    <t>0.55</t>
  </si>
  <si>
    <t>0.63</t>
  </si>
  <si>
    <t>Inloopmat + tegels</t>
  </si>
  <si>
    <t>Beton</t>
  </si>
  <si>
    <t>Sportvloer</t>
  </si>
  <si>
    <t>Vinyl</t>
  </si>
  <si>
    <t>Speelmat</t>
  </si>
  <si>
    <t>Metaal</t>
  </si>
  <si>
    <t>Oppervlakte i/o OPOZ</t>
  </si>
  <si>
    <t>Uren / jaar OPOZ</t>
  </si>
  <si>
    <t>Uren / jaar gedeeld</t>
  </si>
  <si>
    <t>Uren / jaar BSO</t>
  </si>
  <si>
    <t>uren / jaar werkdagen gedeeld</t>
  </si>
  <si>
    <t>uren / jaar werkdagen BSO</t>
  </si>
  <si>
    <t>Schoonmaak BSO tijdens vakanties</t>
  </si>
  <si>
    <t>Opmerking</t>
  </si>
  <si>
    <t>Maximaal 11 weken</t>
  </si>
  <si>
    <t>Dakglas (enkel gemeten, dubbel te wassen)</t>
  </si>
  <si>
    <t>PU-coating</t>
  </si>
  <si>
    <t>Spitsbergen 23</t>
  </si>
  <si>
    <t>Dieptereiniging keuken</t>
  </si>
  <si>
    <t>Elementen</t>
  </si>
  <si>
    <t>Afzuigkap</t>
  </si>
  <si>
    <t>Elektrische kookplaat</t>
  </si>
  <si>
    <t>Materiaalkast</t>
  </si>
  <si>
    <t>Wand</t>
  </si>
  <si>
    <t>Was-/spoelbak</t>
  </si>
  <si>
    <t>Werkbank</t>
  </si>
  <si>
    <t>IKC  De Watersnip</t>
  </si>
  <si>
    <t>IKC De Saffier</t>
  </si>
  <si>
    <t>IKC De Waterlelie</t>
  </si>
  <si>
    <t>IKC De Springplank</t>
  </si>
  <si>
    <t>IKC Het Zwanenbos</t>
  </si>
  <si>
    <t>IKC De Baanbreker</t>
  </si>
  <si>
    <t>IKC De Trinoom</t>
  </si>
  <si>
    <t>IKC De Vijverburgh</t>
  </si>
  <si>
    <t xml:space="preserve">IKC De Edelsteen </t>
  </si>
  <si>
    <t>IKC De Edelsteen (bijgebouw)</t>
  </si>
  <si>
    <t>IKC De Leerplaneet Loc. 2 (vh 't Plankier)</t>
  </si>
  <si>
    <t>IKC Florence Nightingale</t>
  </si>
  <si>
    <t>IKC De Vuurtoren</t>
  </si>
  <si>
    <t>IKC  Da Vinci</t>
  </si>
  <si>
    <t>IKC de Tjalk Kadelaan</t>
  </si>
  <si>
    <t>IKC de Tjalk Kadelaan 208 (bijgebouw)</t>
  </si>
  <si>
    <t>IKC De Triangel</t>
  </si>
  <si>
    <t>IKC de Leerplaneet (vhKlimboom)</t>
  </si>
  <si>
    <t>IKC de Saffier (extra lokaal gemeente)</t>
  </si>
  <si>
    <t>IKC De  Leerplaneet (bijgebouw)</t>
  </si>
  <si>
    <t>IKC Da Vinci</t>
  </si>
  <si>
    <t>IKC De Waterlelie (bijgebouw)</t>
  </si>
  <si>
    <t>IKC De Gaerde</t>
  </si>
  <si>
    <t>IKC De Piramide</t>
  </si>
  <si>
    <t>Morapad 3</t>
  </si>
  <si>
    <t>2719 JA</t>
  </si>
  <si>
    <t>Nummer 23</t>
  </si>
  <si>
    <t>2032</t>
  </si>
  <si>
    <t>Diepetereiniging keuken kosten/ jaar excl. Btw2</t>
  </si>
  <si>
    <t>Afzuigkanalen</t>
  </si>
  <si>
    <t>Hete luchtoven</t>
  </si>
  <si>
    <t>Kitnaden</t>
  </si>
  <si>
    <t>Koelmeubel</t>
  </si>
  <si>
    <t>Spoelbak en sproeiarm</t>
  </si>
  <si>
    <t>Vaatwasser</t>
  </si>
  <si>
    <t>Reinigen en ontdoen van vet en stof binnenzijde, visuele controle en binnenzijde desinfecteren.</t>
  </si>
  <si>
    <t>Verwijderen en reinigen filters, demonteren en reinigen losse onderdelen, afzuigkap binnen- en buitenzijde ontdoen van vet en aanslag, behandelen na reinigen met glansproduct, behandelde onderdelen desinfecteren.</t>
  </si>
  <si>
    <t>Buitenzijde reinigen, ontdoen van kool- en vetaanslag, naehandelen met glansproduct.</t>
  </si>
  <si>
    <t>Losse onderdelen demonteren en ontdoen van kool- en vetaanslag, binnenzijde geheel ontdoen van kool- en vetaanslag incl. ventilator en element, buitenzijde nabehandelen met glansproduct.</t>
  </si>
  <si>
    <t>Binnen en buitenzijde reinigen, nabehandelen met glansproduct.</t>
  </si>
  <si>
    <t>Kitnaden van apparatuur vernieuwen.</t>
  </si>
  <si>
    <t>Motorcompartiment stofvrij zuigen en reinigen, aanzuigroosters stofvrij zuigen, buitenzijde reinigen, deurrubbers reinigen, nabehandelen met glansproduct en geheel desinfecteren.</t>
  </si>
  <si>
    <t>Buiten- en bovenzijde ontdoen van vuil- en vetaanslag, indien gewenst binnenzijde reinigen, buitenzijde desinfecteren.</t>
  </si>
  <si>
    <t>Binnen- en buitenzijde reinigen en kalkvrij maken, sproeikoppen verwijderen en in- en uitwendig kalkvrij maken, buitenzijde behandelen met glansproduct, wand achter en vloer onder reinigen, geheel desinfecteren.</t>
  </si>
  <si>
    <t>Binnen- en buitenzijde reinigen en kalkvrij maken, sproeikoppen verwijderen en in- en uitwendig kalkvrij maken, buitenzijde behandelen met glansproduct, wand achter en vloer onder reinigen.</t>
  </si>
  <si>
    <t>Wand achter apparatuur reinigen en desinfecteren.</t>
  </si>
  <si>
    <t>Totaal reinigen en kalkvrij maken, perlator controleren, sifon inwendig reinigen.</t>
  </si>
  <si>
    <t>Maximaal 7 weken</t>
  </si>
  <si>
    <t>Kleedruimten</t>
  </si>
  <si>
    <t>Prest. (m2 / jaar) werkdagen gedeeld</t>
  </si>
  <si>
    <t>Kosten / jaar werkdagen gedeeld</t>
  </si>
  <si>
    <t>Prest. (m2 / jaar) werkdagen BSO</t>
  </si>
  <si>
    <t>Kosten / jaar werkdagen BSO</t>
  </si>
  <si>
    <t>Kosten / jaar gedeeld</t>
  </si>
  <si>
    <t>Kosten / jaar BSO</t>
  </si>
  <si>
    <t>Onbepaalde tijd</t>
  </si>
  <si>
    <t>Ja</t>
  </si>
  <si>
    <t xml:space="preserve">Med. Alg. Schoonmaakonderhoud 1 </t>
  </si>
  <si>
    <t>Meewerkend Voorman/Voorvrouw</t>
  </si>
  <si>
    <t>Loongroep1</t>
  </si>
  <si>
    <t xml:space="preserve">Loongroep 3 </t>
  </si>
  <si>
    <t>n.v.t.</t>
  </si>
  <si>
    <t xml:space="preserve">3,01 euro per dag </t>
  </si>
  <si>
    <t>De huidige leverancier heeft niet tijdig alle anonieme overnamegegevens verstrekt. Naar verwachting worden deze bij de eerste nota van inlichtingen gedeeld.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</si>
</sst>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6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10"/>
      <color rgb="FFFFFFFF"/>
      <name val="Aptos"/>
      <family val="2"/>
    </font>
    <font>
      <b/>
      <sz val="12"/>
      <color theme="0"/>
      <name val="Aptos"/>
      <family val="2"/>
    </font>
    <font>
      <b/>
      <sz val="9"/>
      <color theme="0"/>
      <name val="Aptos"/>
      <family val="2"/>
    </font>
  </fonts>
  <fills count="36">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
      <patternFill patternType="solid">
        <fgColor theme="7"/>
        <bgColor indexed="64"/>
      </patternFill>
    </fill>
    <fill>
      <patternFill patternType="solid">
        <fgColor theme="8"/>
        <bgColor indexed="64"/>
      </patternFill>
    </fill>
    <fill>
      <patternFill patternType="solid">
        <fgColor theme="7"/>
        <bgColor theme="4"/>
      </patternFill>
    </fill>
    <fill>
      <patternFill patternType="solid">
        <fgColor theme="8"/>
        <bgColor theme="4"/>
      </patternFill>
    </fill>
    <fill>
      <patternFill patternType="solid">
        <fgColor theme="3"/>
        <bgColor indexed="64"/>
      </patternFill>
    </fill>
  </fills>
  <borders count="38">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right style="thin">
        <color theme="0"/>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9">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186" fontId="29" fillId="0" borderId="9" xfId="20" applyNumberFormat="1"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5" fillId="0" borderId="0" xfId="0" applyFont="1" applyAlignment="1">
      <alignment vertical="center"/>
    </xf>
    <xf numFmtId="0" fontId="35" fillId="0" borderId="0" xfId="0" applyFont="1" applyAlignment="1">
      <alignment vertical="center" wrapText="1"/>
    </xf>
    <xf numFmtId="0" fontId="35" fillId="0" borderId="0" xfId="0" applyFont="1" applyAlignment="1">
      <alignment horizontal="center" vertical="center"/>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5" fillId="0" borderId="0" xfId="0" applyFont="1" applyAlignment="1">
      <alignment horizontal="left" vertical="center" wrapText="1"/>
    </xf>
    <xf numFmtId="0" fontId="35" fillId="0" borderId="0" xfId="0" applyFont="1" applyAlignment="1">
      <alignment horizontal="lef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164" fontId="29" fillId="0" borderId="0" xfId="0" applyNumberFormat="1" applyFont="1" applyAlignment="1">
      <alignment horizontal="center" vertical="center"/>
    </xf>
    <xf numFmtId="44" fontId="29" fillId="0" borderId="0" xfId="0" applyNumberFormat="1" applyFont="1" applyAlignment="1">
      <alignment horizontal="left" vertical="center"/>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9" fillId="22" borderId="23" xfId="30" applyFont="1" applyFill="1" applyBorder="1"/>
    <xf numFmtId="0" fontId="53" fillId="22" borderId="10" xfId="30" applyFont="1" applyFill="1" applyBorder="1"/>
    <xf numFmtId="0" fontId="60"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0" fillId="22" borderId="9" xfId="30" applyFont="1" applyFill="1" applyBorder="1" applyAlignment="1">
      <alignment vertical="top" wrapText="1"/>
    </xf>
    <xf numFmtId="0" fontId="61"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59" fillId="23" borderId="9" xfId="30" applyFont="1" applyFill="1" applyBorder="1"/>
    <xf numFmtId="0" fontId="35" fillId="0" borderId="5" xfId="30" applyFont="1" applyBorder="1" applyAlignment="1">
      <alignment wrapText="1"/>
    </xf>
    <xf numFmtId="0" fontId="60" fillId="23" borderId="9" xfId="30" applyFont="1" applyFill="1" applyBorder="1" applyAlignment="1">
      <alignment vertical="top" wrapText="1"/>
    </xf>
    <xf numFmtId="0" fontId="61" fillId="23" borderId="9" xfId="30" applyFont="1" applyFill="1" applyBorder="1" applyAlignment="1">
      <alignment vertical="top" wrapText="1"/>
    </xf>
    <xf numFmtId="0" fontId="35" fillId="0" borderId="10" xfId="30" applyFont="1" applyBorder="1" applyAlignment="1">
      <alignment wrapText="1"/>
    </xf>
    <xf numFmtId="0" fontId="62" fillId="0" borderId="0" xfId="30" applyFont="1"/>
    <xf numFmtId="0" fontId="34" fillId="24" borderId="23" xfId="30" applyFont="1" applyFill="1" applyBorder="1"/>
    <xf numFmtId="0" fontId="59" fillId="24" borderId="23" xfId="30" applyFont="1" applyFill="1" applyBorder="1"/>
    <xf numFmtId="0" fontId="34" fillId="24" borderId="10" xfId="30" applyFont="1" applyFill="1" applyBorder="1"/>
    <xf numFmtId="0" fontId="60" fillId="24" borderId="10" xfId="30" applyFont="1" applyFill="1" applyBorder="1"/>
    <xf numFmtId="0" fontId="34" fillId="0" borderId="5" xfId="30" applyFont="1" applyBorder="1"/>
    <xf numFmtId="0" fontId="34" fillId="24" borderId="9" xfId="30" applyFont="1" applyFill="1" applyBorder="1"/>
    <xf numFmtId="0" fontId="60"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0" fontId="63" fillId="28" borderId="9" xfId="0" applyFont="1" applyFill="1" applyBorder="1" applyAlignment="1">
      <alignment horizontal="left" vertical="center" wrapText="1"/>
    </xf>
    <xf numFmtId="2" fontId="65" fillId="28" borderId="15" xfId="0" applyNumberFormat="1" applyFont="1" applyFill="1" applyBorder="1" applyAlignment="1">
      <alignment vertical="center" wrapText="1"/>
    </xf>
    <xf numFmtId="2" fontId="65" fillId="28" borderId="16" xfId="0" applyNumberFormat="1" applyFont="1" applyFill="1" applyBorder="1" applyAlignment="1">
      <alignment vertical="center" wrapText="1"/>
    </xf>
    <xf numFmtId="0" fontId="65" fillId="29" borderId="17" xfId="0" applyFont="1" applyFill="1" applyBorder="1" applyAlignment="1">
      <alignment horizontal="center" vertical="center" wrapText="1"/>
    </xf>
    <xf numFmtId="0" fontId="65" fillId="28" borderId="16" xfId="0" applyFont="1" applyFill="1" applyBorder="1" applyAlignment="1">
      <alignment vertical="center" wrapText="1"/>
    </xf>
    <xf numFmtId="169" fontId="35" fillId="28" borderId="0" xfId="0" applyNumberFormat="1" applyFont="1" applyFill="1" applyAlignment="1">
      <alignment vertical="center"/>
    </xf>
    <xf numFmtId="0" fontId="35" fillId="28" borderId="0" xfId="0" applyFont="1" applyFill="1" applyAlignment="1">
      <alignment vertical="center"/>
    </xf>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2" fontId="35" fillId="28" borderId="0" xfId="0" applyNumberFormat="1" applyFont="1" applyFill="1" applyAlignment="1">
      <alignment vertical="center" wrapText="1"/>
    </xf>
    <xf numFmtId="2" fontId="35" fillId="28" borderId="0" xfId="0" applyNumberFormat="1" applyFont="1" applyFill="1" applyAlignment="1">
      <alignment horizontal="center" vertical="center" wrapText="1"/>
    </xf>
    <xf numFmtId="0" fontId="35" fillId="28" borderId="0" xfId="0" applyFont="1" applyFill="1" applyAlignment="1">
      <alignment horizontal="center" vertical="center" wrapText="1"/>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4" fontId="40" fillId="29" borderId="0" xfId="0" applyNumberFormat="1" applyFont="1" applyFill="1" applyAlignment="1">
      <alignment horizontal="center" vertical="center" wrapText="1"/>
    </xf>
    <xf numFmtId="173" fontId="40" fillId="29" borderId="0" xfId="40" applyNumberFormat="1" applyFont="1" applyFill="1" applyBorder="1" applyAlignment="1">
      <alignment horizontal="center" vertical="center" wrapText="1"/>
    </xf>
    <xf numFmtId="0" fontId="35" fillId="28" borderId="0" xfId="0" applyFont="1" applyFill="1" applyAlignment="1">
      <alignment horizontal="left" vertical="center" wrapText="1"/>
    </xf>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lignment horizontal="center" vertical="center" wrapText="1"/>
    </xf>
    <xf numFmtId="173" fontId="40" fillId="29" borderId="9" xfId="0" applyNumberFormat="1" applyFont="1" applyFill="1" applyBorder="1" applyAlignment="1">
      <alignment horizontal="center" vertical="center" wrapText="1"/>
    </xf>
    <xf numFmtId="173" fontId="40" fillId="29" borderId="13" xfId="0" applyNumberFormat="1" applyFont="1" applyFill="1" applyBorder="1" applyAlignment="1">
      <alignment horizontal="center" vertical="center" wrapText="1"/>
    </xf>
    <xf numFmtId="0" fontId="35" fillId="0" borderId="34" xfId="0" applyFont="1" applyBorder="1" applyAlignment="1">
      <alignment vertical="center"/>
    </xf>
    <xf numFmtId="0" fontId="35" fillId="0" borderId="33" xfId="30" applyFont="1" applyBorder="1" applyAlignment="1">
      <alignment horizontal="left" vertical="center"/>
    </xf>
    <xf numFmtId="0" fontId="40" fillId="33" borderId="9" xfId="0" applyFont="1" applyFill="1" applyBorder="1" applyAlignment="1">
      <alignment horizontal="center" vertical="center" wrapText="1"/>
    </xf>
    <xf numFmtId="168" fontId="40" fillId="33" borderId="9" xfId="20" applyFont="1" applyFill="1" applyBorder="1" applyAlignment="1">
      <alignment horizontal="center" vertical="center" wrapText="1"/>
    </xf>
    <xf numFmtId="0" fontId="40" fillId="34" borderId="9" xfId="0" applyFont="1" applyFill="1" applyBorder="1" applyAlignment="1">
      <alignment horizontal="center" vertical="center" wrapText="1"/>
    </xf>
    <xf numFmtId="168" fontId="40" fillId="34" borderId="9" xfId="20" applyFont="1" applyFill="1" applyBorder="1" applyAlignment="1">
      <alignment horizontal="center" vertical="center" wrapText="1"/>
    </xf>
    <xf numFmtId="187" fontId="35" fillId="10" borderId="0" xfId="0" applyNumberFormat="1" applyFont="1" applyFill="1"/>
    <xf numFmtId="187" fontId="29" fillId="0" borderId="0" xfId="0" applyNumberFormat="1" applyFont="1" applyAlignment="1">
      <alignment horizontal="center" vertical="center"/>
    </xf>
    <xf numFmtId="44" fontId="29" fillId="0" borderId="35" xfId="54" applyFont="1" applyFill="1" applyBorder="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6" xfId="54" applyFont="1" applyFill="1" applyBorder="1" applyAlignment="1">
      <alignment horizontal="left" vertical="center"/>
    </xf>
    <xf numFmtId="4" fontId="29" fillId="0" borderId="0" xfId="0" applyNumberFormat="1" applyFont="1" applyAlignment="1">
      <alignment horizontal="left" vertical="center"/>
    </xf>
    <xf numFmtId="3" fontId="29" fillId="0" borderId="0" xfId="0" applyNumberFormat="1" applyFont="1" applyAlignment="1">
      <alignment horizontal="center" vertical="center"/>
    </xf>
    <xf numFmtId="0" fontId="29" fillId="0" borderId="0" xfId="0" applyFont="1" applyAlignment="1">
      <alignment horizontal="left" vertical="center" wrapText="1"/>
    </xf>
    <xf numFmtId="0" fontId="29" fillId="0" borderId="37" xfId="0" applyFont="1" applyBorder="1" applyAlignment="1">
      <alignment horizontal="left" vertical="center" wrapText="1"/>
    </xf>
    <xf numFmtId="173" fontId="29" fillId="0" borderId="0" xfId="8" applyNumberFormat="1" applyFont="1" applyFill="1" applyAlignment="1">
      <alignment horizontal="center" vertical="center"/>
    </xf>
    <xf numFmtId="0" fontId="29" fillId="0" borderId="12" xfId="0" applyFont="1" applyBorder="1"/>
    <xf numFmtId="0" fontId="29" fillId="0" borderId="6" xfId="0" applyFont="1" applyBorder="1"/>
    <xf numFmtId="0" fontId="29" fillId="0" borderId="6" xfId="0" applyFont="1" applyBorder="1" applyAlignment="1">
      <alignment horizontal="center"/>
    </xf>
    <xf numFmtId="0" fontId="29" fillId="0" borderId="13" xfId="0" applyFont="1" applyBorder="1" applyAlignment="1">
      <alignment horizontal="center"/>
    </xf>
    <xf numFmtId="0" fontId="39" fillId="0" borderId="0" xfId="30" applyFont="1" applyAlignment="1">
      <alignment horizontal="center" vertical="center"/>
    </xf>
    <xf numFmtId="170" fontId="35" fillId="5" borderId="9" xfId="0" applyNumberFormat="1" applyFont="1" applyFill="1" applyBorder="1" applyAlignment="1">
      <alignment horizontal="center" vertical="center"/>
    </xf>
    <xf numFmtId="0" fontId="58" fillId="35" borderId="8" xfId="0" applyFont="1" applyFill="1" applyBorder="1" applyAlignment="1">
      <alignment horizontal="left"/>
    </xf>
    <xf numFmtId="0" fontId="58" fillId="35" borderId="21" xfId="0" applyFont="1" applyFill="1" applyBorder="1" applyAlignment="1">
      <alignment horizontal="left"/>
    </xf>
    <xf numFmtId="0" fontId="58" fillId="35" borderId="22" xfId="0" applyFont="1" applyFill="1" applyBorder="1" applyAlignment="1">
      <alignment horizontal="left"/>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30" fillId="0" borderId="0" xfId="58" applyFont="1" applyAlignment="1">
      <alignment horizontal="left"/>
    </xf>
    <xf numFmtId="0" fontId="64" fillId="28" borderId="8" xfId="30" applyFont="1" applyFill="1" applyBorder="1" applyAlignment="1">
      <alignment horizontal="center" vertical="center" wrapText="1"/>
    </xf>
    <xf numFmtId="0" fontId="64" fillId="28" borderId="21" xfId="30" applyFont="1" applyFill="1" applyBorder="1" applyAlignment="1">
      <alignment horizontal="center" vertical="center" wrapText="1"/>
    </xf>
    <xf numFmtId="0" fontId="64" fillId="28" borderId="11" xfId="30" applyFont="1" applyFill="1" applyBorder="1" applyAlignment="1">
      <alignment horizontal="center" vertical="center" wrapText="1"/>
    </xf>
    <xf numFmtId="0" fontId="64" fillId="28" borderId="0" xfId="30" applyFont="1" applyFill="1" applyAlignment="1">
      <alignment horizontal="center" vertical="center" wrapText="1"/>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0" fillId="0" borderId="0" xfId="0" applyFont="1" applyAlignment="1">
      <alignment horizontal="left" wrapText="1"/>
    </xf>
    <xf numFmtId="0" fontId="30" fillId="0" borderId="25" xfId="0" applyFont="1" applyBorder="1" applyAlignment="1">
      <alignment horizontal="left" wrapText="1"/>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2" fontId="65" fillId="28" borderId="7" xfId="0" applyNumberFormat="1" applyFont="1" applyFill="1" applyBorder="1" applyAlignment="1">
      <alignment horizontal="left" vertical="center"/>
    </xf>
    <xf numFmtId="2" fontId="65" fillId="28" borderId="4" xfId="0" applyNumberFormat="1" applyFont="1" applyFill="1" applyBorder="1" applyAlignment="1">
      <alignment horizontal="left" vertical="center"/>
    </xf>
    <xf numFmtId="0" fontId="41" fillId="11" borderId="9" xfId="0" applyFont="1" applyFill="1" applyBorder="1" applyAlignment="1" applyProtection="1">
      <alignment horizontal="center" vertical="center"/>
    </xf>
    <xf numFmtId="170" fontId="29" fillId="11" borderId="9" xfId="0"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0" fontId="35" fillId="0" borderId="0" xfId="0" applyFont="1" applyAlignment="1" applyProtection="1">
      <alignment vertical="center"/>
    </xf>
    <xf numFmtId="0" fontId="35" fillId="0" borderId="9" xfId="0" applyFont="1" applyBorder="1" applyAlignment="1" applyProtection="1">
      <alignment vertical="center"/>
    </xf>
    <xf numFmtId="10" fontId="35" fillId="0" borderId="9" xfId="0" applyNumberFormat="1" applyFont="1" applyBorder="1" applyAlignment="1" applyProtection="1">
      <alignment vertical="center"/>
    </xf>
    <xf numFmtId="0" fontId="35" fillId="0" borderId="0" xfId="0" applyFont="1" applyAlignment="1" applyProtection="1">
      <alignment horizontal="center" vertical="center"/>
    </xf>
    <xf numFmtId="170" fontId="35" fillId="0" borderId="0" xfId="0" applyNumberFormat="1" applyFont="1" applyAlignment="1" applyProtection="1">
      <alignment horizontal="center" vertical="center"/>
    </xf>
    <xf numFmtId="171" fontId="35" fillId="0" borderId="0" xfId="2" applyFont="1" applyAlignment="1" applyProtection="1">
      <alignment horizontal="left" vertical="center"/>
    </xf>
    <xf numFmtId="0" fontId="41" fillId="11" borderId="7" xfId="0" applyFont="1" applyFill="1" applyBorder="1" applyAlignment="1" applyProtection="1">
      <alignment horizontal="left" vertical="center"/>
    </xf>
    <xf numFmtId="0" fontId="41" fillId="11" borderId="4" xfId="0" applyFont="1" applyFill="1" applyBorder="1" applyAlignment="1" applyProtection="1">
      <alignment horizontal="left" vertical="center"/>
    </xf>
    <xf numFmtId="0" fontId="41" fillId="11" borderId="14" xfId="0" applyFont="1" applyFill="1" applyBorder="1" applyAlignment="1" applyProtection="1">
      <alignment horizontal="left" vertical="center"/>
    </xf>
    <xf numFmtId="173" fontId="41" fillId="11" borderId="9" xfId="0" applyNumberFormat="1" applyFont="1" applyFill="1" applyBorder="1" applyAlignment="1" applyProtection="1">
      <alignment vertical="center"/>
    </xf>
    <xf numFmtId="173" fontId="35" fillId="0" borderId="0" xfId="0" applyNumberFormat="1" applyFont="1" applyAlignment="1" applyProtection="1">
      <alignment vertical="center"/>
    </xf>
    <xf numFmtId="166" fontId="35" fillId="0" borderId="0" xfId="0" applyNumberFormat="1" applyFont="1" applyAlignment="1" applyProtection="1">
      <alignment horizontal="left" vertical="center"/>
    </xf>
    <xf numFmtId="0" fontId="65" fillId="28" borderId="7" xfId="0" applyFont="1" applyFill="1" applyBorder="1" applyAlignment="1" applyProtection="1">
      <alignment vertical="center" wrapText="1"/>
    </xf>
    <xf numFmtId="0" fontId="65" fillId="28" borderId="4" xfId="0" applyFont="1" applyFill="1" applyBorder="1" applyAlignment="1" applyProtection="1">
      <alignment vertical="center" wrapText="1"/>
    </xf>
    <xf numFmtId="170" fontId="65" fillId="28" borderId="9" xfId="0" applyNumberFormat="1" applyFont="1" applyFill="1" applyBorder="1" applyAlignment="1" applyProtection="1">
      <alignment horizontal="center" vertical="center" wrapText="1"/>
    </xf>
    <xf numFmtId="10" fontId="65" fillId="28" borderId="9" xfId="0" applyNumberFormat="1" applyFont="1" applyFill="1" applyBorder="1" applyAlignment="1" applyProtection="1">
      <alignment horizontal="center" vertical="center" wrapText="1"/>
    </xf>
    <xf numFmtId="9" fontId="35" fillId="0" borderId="9" xfId="0" applyNumberFormat="1" applyFont="1" applyBorder="1" applyAlignment="1" applyProtection="1">
      <alignment horizontal="center" vertical="center"/>
    </xf>
    <xf numFmtId="173" fontId="35" fillId="0" borderId="9" xfId="0" applyNumberFormat="1" applyFont="1" applyBorder="1" applyAlignment="1" applyProtection="1">
      <alignment vertical="center"/>
    </xf>
    <xf numFmtId="173" fontId="35" fillId="0" borderId="9" xfId="2" applyNumberFormat="1" applyFont="1" applyBorder="1" applyAlignment="1" applyProtection="1">
      <alignment horizontal="left" vertical="center"/>
    </xf>
    <xf numFmtId="0" fontId="35" fillId="0" borderId="9" xfId="0" applyFont="1" applyBorder="1" applyAlignment="1" applyProtection="1">
      <alignment horizontal="left" vertical="center"/>
    </xf>
    <xf numFmtId="170" fontId="35" fillId="0" borderId="0" xfId="0" applyNumberFormat="1" applyFont="1" applyAlignment="1" applyProtection="1">
      <alignment vertical="center"/>
    </xf>
    <xf numFmtId="171" fontId="35" fillId="0" borderId="9" xfId="0" applyNumberFormat="1" applyFont="1" applyBorder="1" applyAlignment="1" applyProtection="1">
      <alignment vertical="center"/>
    </xf>
    <xf numFmtId="10" fontId="35" fillId="0" borderId="9" xfId="44" applyNumberFormat="1" applyFont="1" applyBorder="1" applyAlignment="1" applyProtection="1">
      <alignment vertical="center"/>
    </xf>
    <xf numFmtId="182" fontId="35" fillId="0" borderId="9" xfId="0" applyNumberFormat="1" applyFont="1" applyBorder="1" applyAlignment="1" applyProtection="1">
      <alignment vertical="center"/>
    </xf>
    <xf numFmtId="0" fontId="35" fillId="0" borderId="9" xfId="0" applyFont="1" applyBorder="1" applyAlignment="1" applyProtection="1">
      <alignment vertical="center"/>
    </xf>
    <xf numFmtId="170" fontId="35" fillId="0" borderId="9" xfId="44" applyNumberFormat="1" applyFont="1" applyFill="1" applyBorder="1" applyAlignment="1" applyProtection="1">
      <alignment horizontal="center" vertical="center"/>
    </xf>
    <xf numFmtId="170" fontId="35" fillId="0" borderId="9" xfId="0" applyNumberFormat="1" applyFont="1" applyBorder="1" applyAlignment="1" applyProtection="1">
      <alignment horizontal="center" vertical="center"/>
    </xf>
    <xf numFmtId="0" fontId="35" fillId="0" borderId="9" xfId="0" applyFont="1" applyBorder="1" applyAlignment="1" applyProtection="1">
      <alignment horizontal="left" vertical="center"/>
    </xf>
    <xf numFmtId="171" fontId="35" fillId="0" borderId="9" xfId="2" applyFont="1" applyBorder="1" applyAlignment="1" applyProtection="1">
      <alignment horizontal="left" vertical="center"/>
    </xf>
    <xf numFmtId="172" fontId="29" fillId="11" borderId="9" xfId="31" applyNumberFormat="1" applyFont="1" applyFill="1" applyBorder="1" applyAlignment="1" applyProtection="1">
      <alignment horizontal="left" vertical="center"/>
    </xf>
    <xf numFmtId="172" fontId="35" fillId="0" borderId="0" xfId="31" applyNumberFormat="1" applyFont="1" applyAlignment="1" applyProtection="1">
      <alignment horizontal="left" vertical="center"/>
    </xf>
    <xf numFmtId="0" fontId="65" fillId="28" borderId="7" xfId="0" applyFont="1" applyFill="1" applyBorder="1" applyAlignment="1" applyProtection="1">
      <alignment horizontal="left" vertical="center" wrapText="1"/>
    </xf>
    <xf numFmtId="0" fontId="65" fillId="28" borderId="4" xfId="0" applyFont="1" applyFill="1" applyBorder="1" applyAlignment="1" applyProtection="1">
      <alignment horizontal="left" vertical="center" wrapText="1"/>
    </xf>
    <xf numFmtId="0" fontId="65" fillId="28" borderId="14" xfId="0" applyFont="1" applyFill="1" applyBorder="1" applyAlignment="1" applyProtection="1">
      <alignment horizontal="left" vertical="center" wrapText="1"/>
    </xf>
    <xf numFmtId="0" fontId="65" fillId="28" borderId="9" xfId="0" applyFont="1" applyFill="1" applyBorder="1" applyAlignment="1" applyProtection="1">
      <alignment horizontal="center" vertical="center" wrapText="1"/>
    </xf>
    <xf numFmtId="0" fontId="35" fillId="0" borderId="0" xfId="0" applyFont="1" applyAlignment="1" applyProtection="1">
      <alignment vertical="center" wrapText="1"/>
    </xf>
    <xf numFmtId="0" fontId="40" fillId="28" borderId="9" xfId="0" applyFont="1" applyFill="1" applyBorder="1" applyAlignment="1" applyProtection="1">
      <alignment horizontal="center" vertical="center" wrapText="1"/>
    </xf>
    <xf numFmtId="0" fontId="35" fillId="0" borderId="7" xfId="0" applyFont="1" applyBorder="1" applyAlignment="1" applyProtection="1">
      <alignment horizontal="left" vertical="center"/>
    </xf>
    <xf numFmtId="0" fontId="35" fillId="0" borderId="4" xfId="0" applyFont="1" applyBorder="1" applyAlignment="1" applyProtection="1">
      <alignment horizontal="left" vertical="center"/>
    </xf>
    <xf numFmtId="0" fontId="35" fillId="0" borderId="14" xfId="0" applyFont="1" applyBorder="1" applyAlignment="1" applyProtection="1">
      <alignment horizontal="left" vertical="center"/>
    </xf>
    <xf numFmtId="172" fontId="29" fillId="11" borderId="9" xfId="2" applyNumberFormat="1" applyFont="1" applyFill="1" applyBorder="1" applyAlignment="1" applyProtection="1">
      <alignment horizontal="left" vertical="center"/>
    </xf>
    <xf numFmtId="172" fontId="35" fillId="0" borderId="9" xfId="31" applyNumberFormat="1" applyFont="1" applyBorder="1" applyAlignment="1" applyProtection="1">
      <alignment horizontal="left" vertical="center"/>
    </xf>
    <xf numFmtId="0" fontId="39" fillId="0" borderId="0" xfId="30" applyFont="1" applyAlignment="1" applyProtection="1">
      <alignment horizontal="center" vertical="center"/>
    </xf>
    <xf numFmtId="0" fontId="35" fillId="0" borderId="0" xfId="30" applyFont="1" applyAlignment="1" applyProtection="1">
      <alignment vertical="center"/>
    </xf>
    <xf numFmtId="170" fontId="35" fillId="5" borderId="9" xfId="0" applyNumberFormat="1" applyFont="1" applyFill="1" applyBorder="1" applyAlignment="1" applyProtection="1">
      <alignment horizontal="center" vertical="center"/>
    </xf>
    <xf numFmtId="0" fontId="34" fillId="0" borderId="9" xfId="30" applyFont="1" applyBorder="1" applyAlignment="1" applyProtection="1">
      <alignment horizontal="center" vertical="center"/>
    </xf>
    <xf numFmtId="0" fontId="65" fillId="28" borderId="9" xfId="0" applyFont="1" applyFill="1" applyBorder="1" applyAlignment="1" applyProtection="1">
      <alignment vertical="center" wrapText="1"/>
    </xf>
    <xf numFmtId="0" fontId="65" fillId="28" borderId="10" xfId="0" applyFont="1" applyFill="1" applyBorder="1" applyAlignment="1" applyProtection="1">
      <alignment horizontal="center" vertical="center" wrapText="1"/>
    </xf>
    <xf numFmtId="0" fontId="65" fillId="28" borderId="12" xfId="0" applyFont="1" applyFill="1" applyBorder="1" applyAlignment="1" applyProtection="1">
      <alignment horizontal="center" vertical="center" wrapText="1"/>
    </xf>
    <xf numFmtId="0" fontId="65" fillId="28" borderId="13" xfId="0" applyFont="1" applyFill="1" applyBorder="1" applyAlignment="1" applyProtection="1">
      <alignment horizontal="center" vertical="center" wrapText="1"/>
    </xf>
    <xf numFmtId="9" fontId="35" fillId="0" borderId="7" xfId="0" applyNumberFormat="1" applyFont="1" applyBorder="1" applyAlignment="1" applyProtection="1">
      <alignment horizontal="left" vertical="center" wrapText="1"/>
    </xf>
    <xf numFmtId="9" fontId="35" fillId="0" borderId="14" xfId="0" applyNumberFormat="1" applyFont="1" applyBorder="1" applyAlignment="1" applyProtection="1">
      <alignment horizontal="left" vertical="center" wrapText="1"/>
    </xf>
    <xf numFmtId="9" fontId="35" fillId="0" borderId="7" xfId="0" applyNumberFormat="1" applyFont="1" applyBorder="1" applyAlignment="1" applyProtection="1">
      <alignment horizontal="left" vertical="center"/>
    </xf>
    <xf numFmtId="9" fontId="35" fillId="0" borderId="4" xfId="0" applyNumberFormat="1" applyFont="1" applyBorder="1" applyAlignment="1" applyProtection="1">
      <alignment horizontal="left" vertical="center"/>
    </xf>
    <xf numFmtId="9" fontId="35" fillId="0" borderId="14" xfId="0" applyNumberFormat="1" applyFont="1" applyBorder="1" applyAlignment="1" applyProtection="1">
      <alignment horizontal="left" vertical="center"/>
    </xf>
    <xf numFmtId="10" fontId="35" fillId="0" borderId="9" xfId="0" applyNumberFormat="1" applyFont="1" applyBorder="1" applyAlignment="1" applyProtection="1">
      <alignment horizontal="center" vertical="center"/>
    </xf>
    <xf numFmtId="9" fontId="35" fillId="0" borderId="9" xfId="0" applyNumberFormat="1" applyFont="1" applyBorder="1" applyAlignment="1" applyProtection="1">
      <alignment vertical="center"/>
    </xf>
    <xf numFmtId="0" fontId="42" fillId="0" borderId="0" xfId="0" applyFont="1" applyAlignment="1" applyProtection="1">
      <alignment vertical="center"/>
    </xf>
    <xf numFmtId="0" fontId="34" fillId="0" borderId="0" xfId="0" applyFont="1" applyAlignment="1" applyProtection="1">
      <alignment horizontal="center" vertical="center"/>
    </xf>
    <xf numFmtId="170" fontId="35" fillId="5" borderId="9" xfId="0" applyNumberFormat="1" applyFont="1" applyFill="1" applyBorder="1" applyAlignment="1" applyProtection="1">
      <alignment horizontal="center" vertical="center"/>
      <protection locked="0" hidden="1"/>
    </xf>
    <xf numFmtId="10" fontId="35" fillId="5" borderId="7" xfId="0" applyNumberFormat="1" applyFont="1" applyFill="1" applyBorder="1" applyAlignment="1" applyProtection="1">
      <alignment horizontal="left" vertical="center"/>
      <protection locked="0" hidden="1"/>
    </xf>
    <xf numFmtId="10" fontId="35" fillId="5" borderId="4"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44" fontId="35" fillId="5" borderId="9" xfId="48" applyFont="1" applyFill="1" applyBorder="1" applyAlignment="1" applyProtection="1">
      <alignment horizontal="center" vertical="center"/>
      <protection locked="0" hidden="1"/>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0" fontId="35" fillId="0" borderId="0" xfId="30" applyFont="1" applyAlignment="1" applyProtection="1">
      <alignment horizontal="left" vertical="center"/>
      <protection locked="0" hidden="1"/>
    </xf>
    <xf numFmtId="183" fontId="34" fillId="5" borderId="20"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0" fontId="39" fillId="0" borderId="0" xfId="30" applyFont="1" applyAlignment="1" applyProtection="1">
      <alignment horizontal="left" vertical="center"/>
    </xf>
    <xf numFmtId="0" fontId="39" fillId="0" borderId="0" xfId="30" applyFont="1" applyAlignment="1" applyProtection="1">
      <alignment horizontal="center" vertical="center"/>
    </xf>
    <xf numFmtId="0" fontId="30" fillId="0" borderId="0" xfId="0" applyFont="1" applyAlignment="1" applyProtection="1">
      <alignment horizontal="center" wrapText="1"/>
    </xf>
    <xf numFmtId="0" fontId="44" fillId="6" borderId="0" xfId="0" applyFont="1" applyFill="1" applyAlignment="1" applyProtection="1">
      <alignment horizontal="center" wrapText="1"/>
    </xf>
    <xf numFmtId="0" fontId="35" fillId="6" borderId="0" xfId="0" applyFont="1" applyFill="1" applyAlignment="1" applyProtection="1">
      <alignment vertical="center"/>
    </xf>
    <xf numFmtId="0" fontId="35" fillId="6" borderId="0" xfId="0" applyFont="1" applyFill="1" applyAlignment="1" applyProtection="1">
      <alignment horizontal="center" vertical="center"/>
    </xf>
    <xf numFmtId="0" fontId="35" fillId="6" borderId="0" xfId="0" applyFont="1" applyFill="1" applyAlignment="1" applyProtection="1">
      <alignment horizontal="left" vertical="top"/>
    </xf>
    <xf numFmtId="0" fontId="45" fillId="0" borderId="0" xfId="0" applyFont="1" applyAlignment="1" applyProtection="1">
      <alignment horizontal="left" vertical="center"/>
    </xf>
    <xf numFmtId="0" fontId="46" fillId="25" borderId="0" xfId="0" applyFont="1" applyFill="1" applyAlignment="1" applyProtection="1">
      <alignment horizontal="center" vertical="center"/>
    </xf>
    <xf numFmtId="0" fontId="46" fillId="25" borderId="0" xfId="0" applyFont="1" applyFill="1" applyAlignment="1" applyProtection="1">
      <alignment horizontal="left" vertical="center"/>
    </xf>
    <xf numFmtId="177" fontId="35" fillId="6" borderId="0" xfId="0" applyNumberFormat="1" applyFont="1" applyFill="1" applyAlignment="1" applyProtection="1">
      <alignment vertical="center"/>
    </xf>
    <xf numFmtId="177" fontId="35" fillId="6" borderId="0" xfId="0" applyNumberFormat="1" applyFont="1" applyFill="1" applyAlignment="1" applyProtection="1">
      <alignment horizontal="center" vertical="center"/>
    </xf>
    <xf numFmtId="49" fontId="35" fillId="6" borderId="0" xfId="0" applyNumberFormat="1" applyFont="1" applyFill="1" applyAlignment="1" applyProtection="1">
      <alignment horizontal="center" vertical="center"/>
    </xf>
    <xf numFmtId="0" fontId="40" fillId="0" borderId="0" xfId="0" applyFont="1" applyAlignment="1" applyProtection="1">
      <alignment vertical="center"/>
    </xf>
    <xf numFmtId="168" fontId="35" fillId="6" borderId="0" xfId="19" applyFont="1" applyFill="1" applyAlignment="1" applyProtection="1">
      <alignment vertical="center"/>
    </xf>
    <xf numFmtId="44" fontId="35" fillId="6" borderId="0" xfId="54" applyFont="1" applyFill="1" applyAlignment="1" applyProtection="1">
      <alignment vertical="center"/>
    </xf>
    <xf numFmtId="0" fontId="47" fillId="15" borderId="9" xfId="0" applyFont="1" applyFill="1" applyBorder="1" applyAlignment="1" applyProtection="1">
      <alignment horizontal="center" vertical="center" wrapText="1"/>
    </xf>
    <xf numFmtId="0" fontId="47" fillId="16" borderId="9" xfId="0" applyFont="1" applyFill="1" applyBorder="1" applyAlignment="1" applyProtection="1">
      <alignment horizontal="center" vertical="center" wrapText="1"/>
    </xf>
    <xf numFmtId="0" fontId="35" fillId="6" borderId="0" xfId="0" applyFont="1" applyFill="1" applyAlignment="1" applyProtection="1">
      <alignment horizontal="left" vertical="center"/>
    </xf>
    <xf numFmtId="0" fontId="34" fillId="11" borderId="7" xfId="0" applyFont="1" applyFill="1" applyBorder="1" applyAlignment="1" applyProtection="1">
      <alignment horizontal="center" vertical="center"/>
    </xf>
    <xf numFmtId="0" fontId="34" fillId="11" borderId="4" xfId="0" applyFont="1" applyFill="1" applyBorder="1" applyAlignment="1" applyProtection="1">
      <alignment horizontal="center" vertical="center"/>
    </xf>
    <xf numFmtId="0" fontId="34" fillId="11" borderId="14" xfId="0" applyFont="1" applyFill="1" applyBorder="1" applyAlignment="1" applyProtection="1">
      <alignment horizontal="center" vertical="center"/>
    </xf>
    <xf numFmtId="0" fontId="34" fillId="12" borderId="8" xfId="0" applyFont="1" applyFill="1" applyBorder="1" applyAlignment="1" applyProtection="1">
      <alignment horizontal="center" vertical="center"/>
    </xf>
    <xf numFmtId="0" fontId="34" fillId="12" borderId="21" xfId="0" applyFont="1" applyFill="1" applyBorder="1" applyAlignment="1" applyProtection="1">
      <alignment horizontal="center" vertical="center"/>
    </xf>
    <xf numFmtId="0" fontId="34" fillId="12" borderId="22" xfId="0" applyFont="1" applyFill="1" applyBorder="1" applyAlignment="1" applyProtection="1">
      <alignment horizontal="center" vertical="center"/>
    </xf>
    <xf numFmtId="0" fontId="34" fillId="11" borderId="11" xfId="0" applyFont="1" applyFill="1" applyBorder="1" applyAlignment="1" applyProtection="1">
      <alignment horizontal="center" vertical="center"/>
    </xf>
    <xf numFmtId="0" fontId="34" fillId="11" borderId="0" xfId="0" applyFont="1" applyFill="1" applyAlignment="1" applyProtection="1">
      <alignment horizontal="center" vertical="center"/>
    </xf>
    <xf numFmtId="0" fontId="34" fillId="11" borderId="0" xfId="0" applyFont="1" applyFill="1" applyAlignment="1" applyProtection="1">
      <alignment horizontal="center" vertical="center"/>
    </xf>
    <xf numFmtId="0" fontId="36" fillId="17" borderId="9" xfId="0" applyFont="1" applyFill="1" applyBorder="1" applyAlignment="1" applyProtection="1">
      <alignment horizontal="center" wrapText="1"/>
    </xf>
    <xf numFmtId="0" fontId="36" fillId="14" borderId="9" xfId="0" applyFont="1" applyFill="1" applyBorder="1" applyAlignment="1" applyProtection="1">
      <alignment horizontal="center" wrapText="1"/>
    </xf>
    <xf numFmtId="0" fontId="36" fillId="18" borderId="9" xfId="0" applyFont="1" applyFill="1" applyBorder="1" applyAlignment="1" applyProtection="1">
      <alignment horizontal="center" wrapText="1"/>
    </xf>
    <xf numFmtId="0" fontId="48" fillId="6" borderId="0" xfId="0" applyFont="1" applyFill="1" applyAlignment="1" applyProtection="1">
      <alignment horizontal="center" wrapText="1"/>
    </xf>
    <xf numFmtId="0" fontId="35" fillId="28" borderId="0" xfId="0" applyFont="1" applyFill="1" applyAlignment="1" applyProtection="1">
      <alignment horizontal="center" vertical="center" wrapText="1"/>
    </xf>
    <xf numFmtId="0" fontId="35" fillId="31" borderId="0" xfId="0" applyFont="1" applyFill="1" applyAlignment="1" applyProtection="1">
      <alignment horizontal="center" vertical="center" wrapText="1"/>
    </xf>
    <xf numFmtId="0" fontId="35" fillId="32" borderId="0" xfId="0" applyFont="1" applyFill="1" applyAlignment="1" applyProtection="1">
      <alignment horizontal="center" vertical="center" wrapText="1"/>
    </xf>
    <xf numFmtId="0" fontId="35" fillId="6" borderId="0" xfId="0" applyFont="1" applyFill="1" applyAlignment="1" applyProtection="1">
      <alignment vertical="center" wrapText="1"/>
    </xf>
    <xf numFmtId="0" fontId="35" fillId="0" borderId="0" xfId="0" applyFont="1" applyAlignment="1" applyProtection="1">
      <alignment horizontal="center" vertical="center" wrapText="1"/>
    </xf>
    <xf numFmtId="0" fontId="35" fillId="0" borderId="0" xfId="0" applyFont="1" applyAlignment="1" applyProtection="1">
      <alignment horizontal="left" vertical="top"/>
    </xf>
    <xf numFmtId="2" fontId="35" fillId="0" borderId="0" xfId="0" applyNumberFormat="1" applyFont="1" applyAlignment="1" applyProtection="1">
      <alignment horizontal="center"/>
    </xf>
    <xf numFmtId="0" fontId="35" fillId="0" borderId="0" xfId="0" applyFont="1" applyProtection="1"/>
    <xf numFmtId="0" fontId="35" fillId="0" borderId="0" xfId="0" applyFont="1" applyAlignment="1" applyProtection="1">
      <alignment horizontal="left" vertical="center" wrapText="1"/>
    </xf>
    <xf numFmtId="178" fontId="35" fillId="0" borderId="0" xfId="0" applyNumberFormat="1" applyFont="1" applyAlignment="1" applyProtection="1">
      <alignment vertical="center"/>
    </xf>
    <xf numFmtId="49" fontId="35" fillId="0" borderId="0" xfId="0" applyNumberFormat="1" applyFont="1" applyAlignment="1" applyProtection="1">
      <alignment horizontal="center" vertical="center"/>
    </xf>
    <xf numFmtId="168" fontId="35" fillId="0" borderId="0" xfId="19" applyFont="1" applyFill="1" applyAlignment="1" applyProtection="1">
      <alignment horizontal="center" vertical="center" wrapText="1"/>
    </xf>
    <xf numFmtId="0" fontId="35" fillId="0" borderId="0" xfId="19" applyNumberFormat="1" applyFont="1" applyFill="1" applyAlignment="1" applyProtection="1">
      <alignment horizontal="center" vertical="center" wrapText="1"/>
    </xf>
    <xf numFmtId="2" fontId="35" fillId="0" borderId="0" xfId="19" applyNumberFormat="1" applyFont="1" applyFill="1" applyAlignment="1" applyProtection="1">
      <alignment horizontal="center" vertical="center" wrapText="1"/>
    </xf>
    <xf numFmtId="44" fontId="35" fillId="0" borderId="0" xfId="54" applyFont="1" applyFill="1" applyAlignment="1" applyProtection="1">
      <alignment horizontal="center" vertical="center" wrapText="1"/>
    </xf>
    <xf numFmtId="2" fontId="35" fillId="0" borderId="0" xfId="0" applyNumberFormat="1" applyFont="1" applyAlignment="1" applyProtection="1">
      <alignment horizontal="center" vertical="center" wrapText="1"/>
    </xf>
    <xf numFmtId="173" fontId="35" fillId="0" borderId="0" xfId="0" applyNumberFormat="1" applyFont="1" applyAlignment="1" applyProtection="1">
      <alignment horizontal="center" vertical="center" wrapText="1"/>
    </xf>
    <xf numFmtId="173" fontId="35" fillId="0" borderId="19" xfId="0" applyNumberFormat="1" applyFont="1" applyBorder="1" applyAlignment="1" applyProtection="1">
      <alignment horizontal="center" vertical="center" wrapText="1"/>
    </xf>
    <xf numFmtId="173" fontId="35" fillId="0" borderId="9" xfId="0" applyNumberFormat="1" applyFont="1" applyBorder="1" applyAlignment="1" applyProtection="1">
      <alignment horizontal="center" vertical="center"/>
    </xf>
    <xf numFmtId="173" fontId="35" fillId="0" borderId="0" xfId="0" applyNumberFormat="1" applyFont="1" applyAlignment="1" applyProtection="1">
      <alignment horizontal="center" vertical="center"/>
    </xf>
    <xf numFmtId="0" fontId="35" fillId="0" borderId="0" xfId="0" applyFont="1" applyAlignment="1" applyProtection="1">
      <alignment horizontal="left" vertical="center"/>
    </xf>
    <xf numFmtId="1" fontId="35" fillId="0" borderId="0" xfId="0" applyNumberFormat="1" applyFont="1" applyAlignment="1" applyProtection="1">
      <alignment horizontal="center"/>
    </xf>
    <xf numFmtId="1" fontId="35" fillId="0" borderId="0" xfId="0" applyNumberFormat="1" applyFont="1" applyAlignment="1" applyProtection="1">
      <alignment horizontal="center" vertical="center"/>
    </xf>
    <xf numFmtId="1" fontId="35" fillId="0" borderId="0" xfId="0" applyNumberFormat="1" applyFont="1" applyAlignment="1" applyProtection="1">
      <alignment horizontal="center" vertical="center" wrapText="1"/>
    </xf>
    <xf numFmtId="0" fontId="34" fillId="0" borderId="0" xfId="0" applyFont="1" applyAlignment="1" applyProtection="1">
      <alignment horizontal="center" vertical="center" wrapText="1"/>
    </xf>
    <xf numFmtId="169" fontId="35" fillId="0" borderId="0" xfId="0" applyNumberFormat="1" applyFont="1" applyAlignment="1" applyProtection="1">
      <alignment horizontal="center" vertical="center" wrapText="1"/>
    </xf>
    <xf numFmtId="178" fontId="29" fillId="0" borderId="0" xfId="0" applyNumberFormat="1" applyFont="1" applyAlignment="1" applyProtection="1">
      <alignment vertical="center"/>
    </xf>
    <xf numFmtId="177" fontId="35" fillId="0" borderId="0" xfId="0" applyNumberFormat="1" applyFont="1" applyAlignment="1" applyProtection="1">
      <alignment vertical="center"/>
    </xf>
    <xf numFmtId="177" fontId="35" fillId="0" borderId="0" xfId="0" applyNumberFormat="1" applyFont="1" applyAlignment="1" applyProtection="1">
      <alignment horizontal="center" vertical="center"/>
    </xf>
    <xf numFmtId="169" fontId="35" fillId="0" borderId="0" xfId="0" applyNumberFormat="1" applyFont="1" applyAlignment="1" applyProtection="1">
      <alignment vertical="center"/>
    </xf>
    <xf numFmtId="2" fontId="35" fillId="0" borderId="0" xfId="0" applyNumberFormat="1" applyFont="1" applyAlignment="1" applyProtection="1">
      <alignment vertical="center"/>
    </xf>
    <xf numFmtId="168" fontId="35" fillId="0" borderId="0" xfId="19" applyFont="1" applyAlignment="1" applyProtection="1">
      <alignment vertical="center"/>
    </xf>
    <xf numFmtId="44" fontId="34" fillId="0" borderId="0" xfId="54" applyFont="1" applyAlignment="1" applyProtection="1">
      <alignment horizontal="center" vertical="center"/>
    </xf>
    <xf numFmtId="164" fontId="29" fillId="5" borderId="0" xfId="0" applyNumberFormat="1" applyFont="1" applyFill="1" applyAlignment="1" applyProtection="1">
      <alignment horizontal="center" vertical="center"/>
      <protection locked="0" hidden="1"/>
    </xf>
    <xf numFmtId="0" fontId="29" fillId="5" borderId="0" xfId="0" applyFont="1" applyFill="1" applyAlignment="1" applyProtection="1">
      <alignment horizontal="center" vertical="center"/>
      <protection locked="0" hidden="1"/>
    </xf>
    <xf numFmtId="2" fontId="35" fillId="5" borderId="0" xfId="0" applyNumberFormat="1" applyFont="1" applyFill="1" applyAlignment="1" applyProtection="1">
      <alignment horizontal="center" vertical="center"/>
      <protection locked="0" hidden="1"/>
    </xf>
    <xf numFmtId="164" fontId="29" fillId="5" borderId="0" xfId="0" applyNumberFormat="1" applyFont="1" applyFill="1" applyAlignment="1" applyProtection="1">
      <alignment horizontal="left" vertical="center" wrapText="1"/>
      <protection locked="0" hidden="1"/>
    </xf>
    <xf numFmtId="173" fontId="35" fillId="5" borderId="0" xfId="0" applyNumberFormat="1" applyFont="1" applyFill="1" applyAlignment="1" applyProtection="1">
      <alignment vertical="center"/>
      <protection locked="0" hidden="1"/>
    </xf>
    <xf numFmtId="49" fontId="65" fillId="30" borderId="4" xfId="29" applyNumberFormat="1" applyFont="1" applyFill="1" applyBorder="1" applyAlignment="1" applyProtection="1">
      <alignment horizontal="left" vertical="center"/>
      <protection locked="0" hidden="1"/>
    </xf>
    <xf numFmtId="49" fontId="65" fillId="30" borderId="14" xfId="29" applyNumberFormat="1" applyFont="1" applyFill="1" applyBorder="1" applyAlignment="1" applyProtection="1">
      <alignment horizontal="left" vertical="center"/>
      <protection locked="0" hidden="1"/>
    </xf>
    <xf numFmtId="49" fontId="35" fillId="26" borderId="7"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70">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1" indent="0" justifyLastLine="0" shrinkToFit="0" readingOrder="0"/>
      <border>
        <right style="thin">
          <color theme="0"/>
        </right>
      </border>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2" formatCode="0.00"/>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dxf>
    <dxf>
      <font>
        <color rgb="FF9C0006"/>
      </font>
      <fill>
        <patternFill>
          <bgColor rgb="FFFFC7CE"/>
        </patternFill>
      </fill>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strike val="0"/>
        <outline val="0"/>
        <shadow val="0"/>
        <name val="Aptos"/>
        <family val="2"/>
        <scheme val="none"/>
      </font>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numFmt numFmtId="187" formatCode="#.##00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69" dataDxfId="367" headerRowBorderDxfId="368" tableBorderDxfId="366" totalsRowBorderDxfId="365">
  <autoFilter ref="A3:Y1101" xr:uid="{EFA13895-E364-4C8A-AA8D-12C726A7AC31}"/>
  <tableColumns count="25">
    <tableColumn id="1" xr3:uid="{6B145318-7F04-4B27-80E3-EDDB80D8AA5F}" name="Code" dataDxfId="272"/>
    <tableColumn id="2" xr3:uid="{A3A88513-89B7-4FB7-9DB5-CF77936D6328}" name="Locatie" dataDxfId="271"/>
    <tableColumn id="3" xr3:uid="{962D7CAE-D138-4226-9114-7A665E66FE09}" name="Frequentie" dataDxfId="270"/>
    <tableColumn id="4" xr3:uid="{02A05A85-F557-4E8F-81CA-782514C3EB0B}" name="Frequentieomschrijving" dataDxfId="269"/>
    <tableColumn id="5" xr3:uid="{3D41A4F3-0BA0-4F3A-8059-E98FA4296AD9}" name="Vloercode" dataDxfId="268"/>
    <tableColumn id="6" xr3:uid="{9F60BC29-F803-467C-9E8A-B9FD3FAED5FC}" name="Code2" dataDxfId="267"/>
    <tableColumn id="7" xr3:uid="{624EFF30-884A-4A63-9192-06AA3C4453EA}" name="vl1" dataDxfId="266"/>
    <tableColumn id="8" xr3:uid="{C944B72C-E6D7-4E79-85F6-914704F2E65C}" name="vl2" dataDxfId="265"/>
    <tableColumn id="9" xr3:uid="{D65DE689-F9B8-430B-B34E-7DF95793D674}" name="vl3" dataDxfId="264"/>
    <tableColumn id="10" xr3:uid="{43A4B773-0F96-4280-9C3F-EAF80A14A709}" name="vl4" dataDxfId="263"/>
    <tableColumn id="11" xr3:uid="{380012B2-3312-431D-8946-41856C56FB2C}" name="vl5" dataDxfId="262"/>
    <tableColumn id="12" xr3:uid="{2B1C9BF4-8C96-4C73-984A-DE131A286832}" name="vl6" dataDxfId="261"/>
    <tableColumn id="13" xr3:uid="{B5514BB9-74E0-4ABE-9E20-CCE23D228131}" name="vl7" dataDxfId="260"/>
    <tableColumn id="14" xr3:uid="{F791ACCD-A47B-41ED-BECD-6641D8F9B18D}" name="vnl" dataDxfId="259"/>
    <tableColumn id="15" xr3:uid="{20BAF86F-0248-4538-95CC-65053CB39BEF}" name="i8" dataDxfId="258"/>
    <tableColumn id="16" xr3:uid="{678C2240-F553-40F8-8F75-1C080929C9FC}" name="i9" dataDxfId="257"/>
    <tableColumn id="17" xr3:uid="{C2F746AF-E6E8-4646-8431-CFDAE0006C0B}" name="i10" dataDxfId="256"/>
    <tableColumn id="18" xr3:uid="{87F5E1E5-AB4E-4E20-BA95-D8FB4BB75EC7}" name="i11" dataDxfId="255"/>
    <tableColumn id="19" xr3:uid="{9C49B827-4B78-47E3-AF74-E39A99170859}" name="i12" dataDxfId="254"/>
    <tableColumn id="20" xr3:uid="{52B1AE75-DD29-4ADA-956E-361F983699DB}" name="i13" dataDxfId="253"/>
    <tableColumn id="21" xr3:uid="{9EF47AA6-0AC0-40A4-BB2C-B58ABE40EEF2}" name="i14" dataDxfId="252"/>
    <tableColumn id="22" xr3:uid="{5E7A7D3D-FCD2-4FB4-BE26-536C0F75A359}" name="inl" dataDxfId="251"/>
    <tableColumn id="23" xr3:uid="{4FDE95B9-743A-4E1C-BBAB-5F5DE7DAE90F}" name="s15" dataDxfId="250"/>
    <tableColumn id="24" xr3:uid="{F08AC32D-BF76-4C5E-A2C7-ABF0B3ADEC32}" name="s16" dataDxfId="249"/>
    <tableColumn id="25" xr3:uid="{F5AC86BA-6517-4B7E-AA9D-85C454384A01}" name="snl" dataDxfId="24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144" totalsRowCount="1" headerRowDxfId="315" dataDxfId="314" totalsRowDxfId="313">
  <autoFilter ref="A21:I143"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312" totalsRowDxfId="110"/>
    <tableColumn id="2" xr3:uid="{00000000-0010-0000-0600-000002000000}" name="Locatie" dataDxfId="311" totalsRowDxfId="109">
      <calculatedColumnFormula>VLOOKUP(OverzichtGlas[[#This Row],[Code Locatie]],Totalisatie!$A$7:$B$31,2,FALSE)</calculatedColumnFormula>
    </tableColumn>
    <tableColumn id="3" xr3:uid="{00000000-0010-0000-0600-000003000000}" name="Code taak" dataDxfId="310" totalsRowDxfId="108"/>
    <tableColumn id="4" xr3:uid="{00000000-0010-0000-0600-000004000000}" name="Glassoort/voorziening" dataDxfId="309" totalsRowDxfId="107">
      <calculatedColumnFormula>IF(Glasbewassing!$C22&gt;0,VLOOKUP(Glasbewassing!$C22,$A$8:$B$19,2,FALSE),"Hier vult u de inzet van eventuele hoogwerkers in")</calculatedColumnFormula>
    </tableColumn>
    <tableColumn id="5" xr3:uid="{00000000-0010-0000-0600-000005000000}" name="Oppervlakte of dagen" dataDxfId="308" totalsRowDxfId="106"/>
    <tableColumn id="7" xr3:uid="{00000000-0010-0000-0600-000007000000}" name="Frequentie" dataDxfId="307" totalsRowDxfId="105"/>
    <tableColumn id="8" xr3:uid="{00000000-0010-0000-0600-000008000000}" name="Kosten/jaar excl. BTW" totalsRowFunction="sum" dataDxfId="306" totalsRowDxfId="104">
      <calculatedColumnFormula>IF(C22&gt;0,VLOOKUP(OverzichtGlas[[#This Row],[Code taak]],InvulGlas[],3,0)*E22*F22,0)</calculatedColumnFormula>
    </tableColumn>
    <tableColumn id="9" xr3:uid="{C6828B68-C5ED-4DD8-81B9-05DF00D6C1BD}" name="Kosten/jaar incl. BTW" totalsRowFunction="sum" dataDxfId="305" totalsRowDxfId="103">
      <calculatedColumnFormula>OverzichtGlas[[#This Row],[Kosten/jaar excl. BTW]]*1.21</calculatedColumnFormula>
    </tableColumn>
    <tableColumn id="10" xr3:uid="{281CE6AA-F18D-4D78-892B-498ACB4CB3F2}" name="Opmerkingen" dataDxfId="304" totalsRowDxfId="102"/>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303" dataDxfId="302">
  <autoFilter ref="A8:I9" xr:uid="{A588C5F6-B106-46F9-B98B-C593A09DB2A3}"/>
  <tableColumns count="9">
    <tableColumn id="1" xr3:uid="{22B850F0-AE08-4CE3-9B2D-04E6314FD547}" name="Code Taak" dataDxfId="100"/>
    <tableColumn id="2" xr3:uid="{6412DB2E-0333-47D7-AB1A-EA797FE96A5D}" name="Werkzaamheden" dataDxfId="99"/>
    <tableColumn id="3" xr3:uid="{8AAD7C70-4047-4EB3-A9DF-188E4E2089BC}" name="Prijs_x000a_Excl. BTW" dataDxfId="98"/>
    <tableColumn id="4" xr3:uid="{1CA4AC32-87D6-4484-8912-27D47F4EAAF7}" name="Toelichting" dataDxfId="97"/>
    <tableColumn id="5" xr3:uid="{BE52F369-C5C3-4A71-8D70-B7E0ACF04F24}" name="2028" dataDxfId="96" dataCellStyle="Valuta">
      <calculatedColumnFormula>(Invulextrawerkz[[#This Row],[Prijs
Excl. BTW]]*Tariefsopbouw!$I$37)+Invulextrawerkz[[#This Row],[Prijs
Excl. BTW]]</calculatedColumnFormula>
    </tableColumn>
    <tableColumn id="6" xr3:uid="{046CD56D-41E8-4E69-876C-FF09421E56AF}" name="2029" dataDxfId="95" dataCellStyle="Valuta">
      <calculatedColumnFormula>Invulextrawerkz[[#This Row],[2028]]*Tariefsopbouw!$K$37+Invulextrawerkz[[#This Row],[2028]]</calculatedColumnFormula>
    </tableColumn>
    <tableColumn id="7" xr3:uid="{AF2B5E6B-A19D-4429-8D14-84B8E528B026}" name="2030" dataDxfId="94" dataCellStyle="Valuta">
      <calculatedColumnFormula>Invulextrawerkz[[#This Row],[2029]]*Tariefsopbouw!$M$37+Invulextrawerkz[[#This Row],[2029]]</calculatedColumnFormula>
    </tableColumn>
    <tableColumn id="8" xr3:uid="{69208AF1-447E-49EB-8803-78C4123AE3E9}" name="2031" dataDxfId="93" dataCellStyle="Valuta">
      <calculatedColumnFormula>Invulextrawerkz[[#This Row],[2030]]*Tariefsopbouw!$O$37+Invulextrawerkz[[#This Row],[2030]]</calculatedColumnFormula>
    </tableColumn>
    <tableColumn id="9" xr3:uid="{E25B61B0-84BE-4386-B6FA-D50084DDD0DC}" name="2032" dataDxfId="92" dataCellStyle="Valuta">
      <calculatedColumnFormula>Invulextrawerkz[[#This Row],[2031]]*Tariefsopbouw!$Q$37+Invulextrawerkz[[#This Row],[2031]]</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1:I27" totalsRowCount="1" headerRowDxfId="301" dataDxfId="300" totalsRowDxfId="299">
  <autoFilter ref="A11:I26" xr:uid="{B3DABFDF-61AB-4C78-A962-F8CAE07529D2}"/>
  <tableColumns count="9">
    <tableColumn id="11" xr3:uid="{FED34620-6CE0-4955-8DDC-285BD6540A10}" name="Code Locatie" dataDxfId="91" totalsRowDxfId="90"/>
    <tableColumn id="1" xr3:uid="{38A9D2E6-7E84-4572-8661-1EA1E213D2FD}" name="Locatie" totalsRowLabel="Totaal" dataDxfId="89" totalsRowDxfId="88"/>
    <tableColumn id="3" xr3:uid="{65AA2A4E-FC38-4AA7-9EDE-EA1292669AD6}" name="Code Taak" dataDxfId="87" totalsRowDxfId="86"/>
    <tableColumn id="4" xr3:uid="{4538BE92-6D95-4430-BD90-4F27BD6C1025}" name="Werkzaamheden" dataDxfId="85" totalsRowDxfId="84">
      <calculatedColumnFormula>IF(Overzichtextrawerkz.[[#This Row],[Code Taak]]&gt;0,VLOOKUP(Overzichtextrawerkz.[[#This Row],[Code Taak]],$A$8:$B$9,2,FALSE),"")</calculatedColumnFormula>
    </tableColumn>
    <tableColumn id="6" xr3:uid="{6B6E2754-DCC5-4C0C-89CF-D088B3C5F0F4}" name="Uren / eenheid" dataDxfId="83" totalsRowDxfId="82"/>
    <tableColumn id="8" xr3:uid="{4862230C-3525-4D32-9FDD-2ADF1DC2DED5}" name="Frequentie (uitv./jaar)" dataDxfId="81" totalsRowDxfId="80"/>
    <tableColumn id="9" xr3:uid="{3AF652DD-830E-4C84-ACC3-83DF08C65F3F}" name="Kosten/jaar excl. BTW" totalsRowFunction="sum" dataDxfId="79" totalsRowDxfId="78">
      <calculatedColumnFormula>VLOOKUP(Overzichtextrawerkz.[[#This Row],[Code Taak]],Invulextrawerkz[],3,3)*#REF!*E12*F12</calculatedColumnFormula>
    </tableColumn>
    <tableColumn id="10" xr3:uid="{DD2F212C-5755-442B-B448-ACDA43EBEDAE}" name="Kosten/jaar incl. BTW" totalsRowFunction="sum" dataDxfId="77" totalsRowDxfId="76"/>
    <tableColumn id="2" xr3:uid="{BEA0858C-53ED-4FE1-A0D1-6B304855DA74}" name="Opmerking" dataDxfId="75" totalsRowDxfId="7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21" totalsRowShown="0" headerRowDxfId="298" dataDxfId="297">
  <autoFilter ref="A8:I21" xr:uid="{1D3A8218-B2C3-4E82-8BC6-78E348E5EF0A}"/>
  <tableColumns count="9">
    <tableColumn id="1" xr3:uid="{604D3272-0601-4CA8-B1A7-688615684E80}" name="Code Taak" dataDxfId="67"/>
    <tableColumn id="2" xr3:uid="{3736B8E7-4A65-4B09-9E0B-218DA8DA9F4A}" name="Elementen" dataDxfId="66"/>
    <tableColumn id="3" xr3:uid="{AAEE7484-F97C-49EF-80BC-5AAD5FA96FE6}" name="Prijs" dataDxfId="49"/>
    <tableColumn id="4" xr3:uid="{97D6280B-8659-4E8D-8799-6370DD16C96B}" name="Omschrijving" dataDxfId="73"/>
    <tableColumn id="5" xr3:uid="{5172FC6C-C769-45AD-80D0-F0EDFC9757C6}" name="2028" dataDxfId="72" dataCellStyle="Valuta">
      <calculatedColumnFormula>Sanitair[[#This Row],[Prijs]]*Tariefsopbouw!$I$37+Sanitair[[#This Row],[Prijs]]</calculatedColumnFormula>
    </tableColumn>
    <tableColumn id="6" xr3:uid="{14721B89-74D6-4BE9-9A79-053F5C5C05F7}" name="2029" dataDxfId="71" dataCellStyle="Valuta">
      <calculatedColumnFormula>Sanitair[[#This Row],[2028]]*Tariefsopbouw!$K$37+Sanitair[[#This Row],[2028]]</calculatedColumnFormula>
    </tableColumn>
    <tableColumn id="7" xr3:uid="{56E28DE0-763B-475C-90D3-FD2C34D8C6DB}" name="2030" dataDxfId="70" dataCellStyle="Valuta">
      <calculatedColumnFormula>Sanitair[[#This Row],[2029]]*Tariefsopbouw!$M$37+Sanitair[[#This Row],[2029]]</calculatedColumnFormula>
    </tableColumn>
    <tableColumn id="8" xr3:uid="{271DE52E-7044-4669-A3ED-F95B2808691B}" name="2031" dataDxfId="69" dataCellStyle="Valuta">
      <calculatedColumnFormula>Sanitair[[#This Row],[2030]]*Tariefsopbouw!$O$37+Sanitair[[#This Row],[2030]]</calculatedColumnFormula>
    </tableColumn>
    <tableColumn id="9" xr3:uid="{3529DF24-6972-4D26-99C0-7194E3070003}" name="2032" dataDxfId="68" dataCellStyle="Valuta">
      <calculatedColumnFormula>Sanitair[[#This Row],[2031]]*Tariefsopbouw!$Q$37+Sanitair[[#This Row],[2031]]</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23:H37" totalsRowCount="1" headerRowDxfId="296" dataDxfId="295" totalsRowDxfId="294">
  <autoFilter ref="A23:H36" xr:uid="{DAAE5E7C-6DFF-4DCD-9376-69453FFCA827}"/>
  <tableColumns count="8">
    <tableColumn id="11" xr3:uid="{C238B9F8-B412-4EA8-A243-B6BD49C916C9}" name="Code Locatie" dataDxfId="65" totalsRowDxfId="64"/>
    <tableColumn id="1" xr3:uid="{45436CD2-9A11-4C44-8D9D-3B0F60011488}" name="Locatie" totalsRowLabel="Totaal" dataDxfId="63" totalsRowDxfId="62">
      <calculatedColumnFormula>VLOOKUP(Sanitair2[[#This Row],[Code Locatie]],Locaties[],2,0)</calculatedColumnFormula>
    </tableColumn>
    <tableColumn id="3" xr3:uid="{7EA7BECA-332C-4074-A3CB-FDA19931B563}" name="Code Taak" dataDxfId="61" totalsRowDxfId="60"/>
    <tableColumn id="4" xr3:uid="{B7BF0A63-7883-4245-83DA-89EE56180092}" name="Werkzaamheden/Producten" dataDxfId="59" totalsRowDxfId="58">
      <calculatedColumnFormula>IF($C24&gt;0,VLOOKUP($C24,$A$8:$B$21,2,FALSE),"")</calculatedColumnFormula>
    </tableColumn>
    <tableColumn id="6" xr3:uid="{BD15E4E2-A733-42C3-9A22-1816807C47CE}" name="Aantal" dataDxfId="57" totalsRowDxfId="56">
      <calculatedColumnFormula>SUMIFS('Ruimtestaat'!$N:$N,'Ruimtestaat'!L:L,Vloeronderhoud!E21,'Ruimtestaat'!A:A,Vloeronderhoud!A21)</calculatedColumnFormula>
    </tableColumn>
    <tableColumn id="8" xr3:uid="{7F5ECEDA-9AD7-4B3F-B00F-6AE08DA835C5}" name="Frequentie (uitv./jaar)" dataDxfId="55" totalsRowDxfId="54"/>
    <tableColumn id="9" xr3:uid="{0C836F5C-E488-4835-A53A-268B9853849B}" name="Kosten/jaar excl. BTW" totalsRowFunction="sum" dataDxfId="53" totalsRowDxfId="52">
      <calculatedColumnFormula>VLOOKUP(Sanitair2[[#This Row],[Code Taak]],Sanitair[],3,3)*E24*F24</calculatedColumnFormula>
    </tableColumn>
    <tableColumn id="2" xr3:uid="{154A2B0B-11B2-4FA5-A344-5DA121F7D4F3}" name="Kosten/jaar incl BTW" totalsRowFunction="sum" dataDxfId="51" totalsRowDxfId="50" dataCellStyle="Valuta">
      <calculatedColumnFormula>Sanitair2[[#This Row],[Kosten/jaar excl. BTW]]*1.21</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293" dataDxfId="292" totalsRowDxfId="291">
  <autoFilter ref="B8:I36" xr:uid="{00000000-0009-0000-0100-00000B000000}"/>
  <tableColumns count="8">
    <tableColumn id="1" xr3:uid="{00000000-0010-0000-0B00-000001000000}" name="Werkzaamheid" totalsRowLabel="Totaal" dataDxfId="290" totalsRowDxfId="48"/>
    <tableColumn id="2" xr3:uid="{00000000-0010-0000-0B00-000002000000}" name="Eenheid" dataDxfId="289" totalsRowDxfId="47"/>
    <tableColumn id="3" xr3:uid="{00000000-0010-0000-0B00-000003000000}" name="Prijs excl. BTW" dataDxfId="40" totalsRowDxfId="46"/>
    <tableColumn id="4" xr3:uid="{B5F01DB2-4194-4E64-82A1-AEC4321C7779}" name="2028" dataDxfId="288" totalsRowDxfId="45">
      <calculatedColumnFormula>InvulRegie[[#This Row],[Prijs excl. BTW]]*Tariefsopbouw!$I$37+InvulRegie[[#This Row],[Prijs excl. BTW]]</calculatedColumnFormula>
    </tableColumn>
    <tableColumn id="5" xr3:uid="{3CA4A34B-020A-4D0B-A261-3474E51BA7E6}" name="2029" dataDxfId="287" totalsRowDxfId="44">
      <calculatedColumnFormula>E9*Tariefsopbouw!$K$37+'Regie en afroep'!E9</calculatedColumnFormula>
    </tableColumn>
    <tableColumn id="6" xr3:uid="{6CBE86F5-5170-4A40-B371-21417313A914}" name="2030" dataDxfId="286" totalsRowDxfId="43">
      <calculatedColumnFormula>F9*Tariefsopbouw!$M$37+'Regie en afroep'!F9</calculatedColumnFormula>
    </tableColumn>
    <tableColumn id="7" xr3:uid="{68D3EF76-13B7-42F1-8D3C-5A86952C9A96}" name="2031" dataDxfId="285" totalsRowDxfId="42">
      <calculatedColumnFormula>G9*Tariefsopbouw!$O$37+'Regie en afroep'!G9</calculatedColumnFormula>
    </tableColumn>
    <tableColumn id="8" xr3:uid="{7810C1CA-1317-4B8A-BD57-8667183C1ECD}" name="2032" dataDxfId="284" totalsRowDxfId="41">
      <calculatedColumnFormula>H9*Tariefsopbouw!$Q$37+H9</calculatedColumnFormula>
    </tableColumn>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L32" totalsRowCount="1" headerRowDxfId="283" dataDxfId="281" totalsRowDxfId="279" headerRowBorderDxfId="282" tableBorderDxfId="280" headerRowCellStyle="Komma 2">
  <autoFilter ref="A6:L31" xr:uid="{00000000-0009-0000-0100-00000E000000}"/>
  <tableColumns count="12">
    <tableColumn id="8" xr3:uid="{00000000-0010-0000-0C00-000008000000}" name="Code Locatie" dataDxfId="39" totalsRowDxfId="38"/>
    <tableColumn id="1" xr3:uid="{00000000-0010-0000-0C00-000001000000}" name="Locatie" totalsRowLabel="Totaal" dataDxfId="37" totalsRowDxfId="36">
      <calculatedColumnFormula>VLOOKUP(Samenvattingschoonmaak[[#This Row],[Code Locatie]],Locaties[],2,0)</calculatedColumnFormula>
    </tableColumn>
    <tableColumn id="2" xr3:uid="{00000000-0010-0000-0C00-000002000000}" name="Oppervlakte i/o OPOZ" totalsRowFunction="sum" dataDxfId="35" totalsRowDxfId="34">
      <calculatedColumnFormula>SUMIF('Ruimtestaat'!$A:$A,Totalisatie!$A7,'Ruimtestaat'!$N:$N)</calculatedColumnFormula>
    </tableColumn>
    <tableColumn id="5" xr3:uid="{FFBC800E-9527-4F9E-ABAA-0564DCC11DC0}" name="Oppervlakte gedeeld" totalsRowFunction="sum" dataDxfId="33" totalsRowDxfId="32">
      <calculatedColumnFormula>SUMIF('Ruimtestaat'!$A:$A,Totalisatie!$A7,'Ruimtestaat'!$P:$P)</calculatedColumnFormula>
    </tableColumn>
    <tableColumn id="3" xr3:uid="{C25075E6-EDF0-4553-BA8C-3A3465193EA0}" name="Oppervlakte BSO" totalsRowFunction="sum" dataDxfId="31" totalsRowDxfId="30">
      <calculatedColumnFormula>SUMIF('Ruimtestaat'!$A:$A,Totalisatie!$A7,'Ruimtestaat'!$Q:$Q)</calculatedColumnFormula>
    </tableColumn>
    <tableColumn id="4" xr3:uid="{00000000-0010-0000-0C00-000004000000}" name="Uren / jaar OPOZ" totalsRowFunction="sum" dataDxfId="29" totalsRowDxfId="28">
      <calculatedColumnFormula>SUMIF('Ruimtestaat'!$A:$A,Totalisatie!$A7,'Ruimtestaat'!$AM:$AM)</calculatedColumnFormula>
    </tableColumn>
    <tableColumn id="10" xr3:uid="{19050C2C-A6E6-4ABC-9C04-EE55AD5B70F9}" name="Uren / jaar gedeeld" totalsRowFunction="sum" dataDxfId="27" totalsRowDxfId="26">
      <calculatedColumnFormula>SUMIF('Ruimtestaat'!$A:$A,Totalisatie!$A7,'Ruimtestaat'!$Z:$Z)</calculatedColumnFormula>
    </tableColumn>
    <tableColumn id="9" xr3:uid="{861041C7-1478-4D2D-B468-00D42E3B868F}" name="Uren / jaar BSO" totalsRowFunction="sum" dataDxfId="25" totalsRowDxfId="24">
      <calculatedColumnFormula>SUMIF('Ruimtestaat'!$A:$A,Totalisatie!$A7,'Ruimtestaat'!$AC:$AC)</calculatedColumnFormula>
    </tableColumn>
    <tableColumn id="6" xr3:uid="{00000000-0010-0000-0C00-000006000000}" name="Kosten / jaar excl btw" totalsRowFunction="sum" dataDxfId="23" totalsRowDxfId="22">
      <calculatedColumnFormula>SUMIF('Ruimtestaat'!$A:$A,Totalisatie!$A7,'Ruimtestaat'!$AN:$AN)</calculatedColumnFormula>
    </tableColumn>
    <tableColumn id="11" xr3:uid="{24FE64F2-44CF-4A37-A259-F04ADD49EE77}" name="Kosten / jaar gedeeld" totalsRowFunction="sum" dataDxfId="21" totalsRowDxfId="20">
      <calculatedColumnFormula>SUMIF('Ruimtestaat'!$A:$A,Totalisatie!$A7,'Ruimtestaat'!$AA:$AA)</calculatedColumnFormula>
    </tableColumn>
    <tableColumn id="12" xr3:uid="{14CF9B9E-4E3A-4E15-895A-3A6A9023190F}" name="Kosten / jaar BSO" totalsRowFunction="sum" dataDxfId="19" totalsRowDxfId="18">
      <calculatedColumnFormula>SUMIF('Ruimtestaat'!$A:$A,Totalisatie!$A7,'Ruimtestaat'!$A:$AD)</calculatedColumnFormula>
    </tableColumn>
    <tableColumn id="7" xr3:uid="{00000000-0010-0000-0C00-000007000000}" name="Kosten / m2" totalsRowFunction="custom" dataDxfId="17" totalsRowDxfId="16">
      <calculatedColumnFormula>IF(C7=0,0,I7/C7)</calculatedColumnFormula>
      <totalsRowFormula>Samenvattingschoonmaak[[#Totals],[Kosten / jaar excl btw]]/Samenvattingschoonmaak[[#Totals],[Oppervlakte i/o OPOZ]]</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35:H61" totalsRowCount="1" headerRowDxfId="278" dataDxfId="276" totalsRowDxfId="274" headerRowBorderDxfId="277" tableBorderDxfId="275">
  <autoFilter ref="A35:H60" xr:uid="{00000000-0009-0000-0100-00000F000000}"/>
  <sortState xmlns:xlrd2="http://schemas.microsoft.com/office/spreadsheetml/2017/richdata2" ref="A36:H36">
    <sortCondition ref="C35:C36"/>
  </sortState>
  <tableColumns count="8">
    <tableColumn id="8" xr3:uid="{00000000-0010-0000-0D00-000008000000}" name="Code Locatie" dataDxfId="15" totalsRowDxfId="14"/>
    <tableColumn id="1" xr3:uid="{00000000-0010-0000-0D00-000001000000}" name="Locaties" totalsRowLabel="Totaal" dataDxfId="13" totalsRowDxfId="12">
      <calculatedColumnFormula>VLOOKUP(Totalisatie[[#This Row],[Code Locatie]],Locaties[],2,0)</calculatedColumnFormula>
    </tableColumn>
    <tableColumn id="4" xr3:uid="{00000000-0010-0000-0D00-000004000000}" name="Schoonmaakonderhoud_x000a_Kosten / jaar excl btw" totalsRowFunction="sum" dataDxfId="11" totalsRowDxfId="10">
      <calculatedColumnFormula>SUMIF(Ruimtestaat[#All],Totalisatie[[#This Row],[Code Locatie]],Ruimtestaat[[#All],[kosten / jaar excl btw]])</calculatedColumnFormula>
    </tableColumn>
    <tableColumn id="2" xr3:uid="{00000000-0010-0000-0D00-000002000000}" name="Vloeronderhoud_x000a_Kosten / jaar excl btw" totalsRowFunction="sum" dataDxfId="9" totalsRowDxfId="8">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7" totalsRowDxfId="6">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5" totalsRowDxfId="4">
      <calculatedColumnFormula>SUMIF(OverzichtGlas[[Code Locatie]:[Kosten/jaar excl. BTW]],Totalisatie[[#This Row],[Code Locatie]],OverzichtGlas[Kosten/jaar excl. BTW])</calculatedColumnFormula>
    </tableColumn>
    <tableColumn id="6" xr3:uid="{3A26B1B1-0A23-4EC3-945E-74F3498B3BF0}" name="Diepetereiniging keuken kosten/ jaar excl. Btw2" totalsRowFunction="sum" dataDxfId="3" totalsRowDxfId="2">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1" totalsRowDxfId="0">
      <calculatedColumnFormula>SUM(Totalisatie[[#This Row],[Schoonmaakonderhoud
Kosten / jaar excl btw]:[Diepetereiniging keuken kosten/ jaar excl. Btw2]])</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32:D52" totalsRowShown="0" headerRowDxfId="364" dataDxfId="363">
  <autoFilter ref="A32:D52" xr:uid="{00000000-0009-0000-0100-000006000000}"/>
  <tableColumns count="4">
    <tableColumn id="1" xr3:uid="{00000000-0010-0000-0000-000001000000}" name="Code" dataDxfId="246" dataCellStyle="Standaard 4"/>
    <tableColumn id="2" xr3:uid="{00000000-0010-0000-0000-000002000000}" name="Ruimte omschrijving" dataDxfId="245" dataCellStyle="Standaard 4"/>
    <tableColumn id="3" xr3:uid="{00000000-0010-0000-0000-000003000000}" name="Norm (5w)" dataDxfId="233"/>
    <tableColumn id="4" xr3:uid="{00000000-0010-0000-0000-000004000000}" name="Inspectiecategorie" dataDxfId="24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55:D60" totalsRowShown="0" headerRowDxfId="362" dataDxfId="361">
  <autoFilter ref="A55:D60" xr:uid="{00000000-0009-0000-0100-000007000000}"/>
  <tableColumns count="4">
    <tableColumn id="1" xr3:uid="{00000000-0010-0000-0100-000001000000}" name="Code" dataDxfId="243"/>
    <tableColumn id="4" xr3:uid="{00000000-0010-0000-0100-000004000000}" name="Naam" dataDxfId="242"/>
    <tableColumn id="5" xr3:uid="{00000000-0010-0000-0100-000005000000}" name="Aanpassing norm" dataDxfId="232" dataCellStyle="Procent 3"/>
    <tableColumn id="2" xr3:uid="{00000000-0010-0000-0100-000002000000}" name="Vloersoort omschrijving" dataDxfId="24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63:D75" totalsRowShown="0" headerRowDxfId="360" dataDxfId="359">
  <autoFilter ref="A63:D75" xr:uid="{00000000-0009-0000-0100-000008000000}"/>
  <tableColumns count="4">
    <tableColumn id="1" xr3:uid="{00000000-0010-0000-0200-000001000000}" name="Code" dataDxfId="240" dataCellStyle="Standaard 4"/>
    <tableColumn id="2" xr3:uid="{00000000-0010-0000-0200-000002000000}" name="Frequentie omschrijving" dataDxfId="239" dataCellStyle="Standaard 4"/>
    <tableColumn id="3" xr3:uid="{00000000-0010-0000-0200-000003000000}" name="Aanpassing norm" dataDxfId="231" dataCellStyle="Procent"/>
    <tableColumn id="4" xr3:uid="{62B36348-2266-47E8-AF7C-A5085F351579}" name="Kolom1" dataDxfId="24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29" totalsRowShown="0" headerRowDxfId="358" dataDxfId="357">
  <autoFilter ref="A4:F29" xr:uid="{00000000-0009-0000-0100-00000D000000}"/>
  <tableColumns count="6">
    <tableColumn id="1" xr3:uid="{00000000-0010-0000-0300-000001000000}" name="Code" dataDxfId="235"/>
    <tableColumn id="2" xr3:uid="{00000000-0010-0000-0300-000002000000}" name="Locatie" dataDxfId="234"/>
    <tableColumn id="7" xr3:uid="{00000000-0010-0000-0300-000007000000}" name="Aanpassing norm" dataDxfId="230" dataCellStyle="Procent"/>
    <tableColumn id="3" xr3:uid="{00000000-0010-0000-0300-000003000000}" name="Adres" dataDxfId="238" dataCellStyle="Standaard 4"/>
    <tableColumn id="5" xr3:uid="{DA45991E-5E38-40DC-A1BE-D3770F949A13}" name="Postcode" dataDxfId="237" dataCellStyle="Standaard 4"/>
    <tableColumn id="4" xr3:uid="{00000000-0010-0000-0300-000004000000}" name="Plaats" dataDxfId="236"/>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CD946" totalsRowShown="0" headerRowDxfId="147" dataDxfId="146">
  <autoFilter ref="A4:CD946" xr:uid="{396E59E9-BF0A-4D12-8DDE-B051B0F3D5F7}"/>
  <tableColumns count="82">
    <tableColumn id="32" xr3:uid="{00000000-0010-0000-0400-000020000000}" name="Code" dataDxfId="229" totalsRowDxfId="356"/>
    <tableColumn id="3" xr3:uid="{00000000-0010-0000-0400-000003000000}" name="Naam" dataDxfId="228" totalsRowDxfId="355"/>
    <tableColumn id="4" xr3:uid="{70782354-32A9-4BC9-88AC-C4AB6869B8E9}" name="Adres" dataDxfId="227" totalsRowDxfId="354">
      <calculatedColumnFormula>VLOOKUP(Ruimtestaat[[#This Row],[Code]],Locaties[[#All],[Code]:[Adres]],4,FALSE)</calculatedColumnFormula>
    </tableColumn>
    <tableColumn id="79" xr3:uid="{E7B33814-4928-4AE9-A368-AE6E30B7DBF6}" name="Postcode" dataDxfId="226" totalsRowDxfId="353">
      <calculatedColumnFormula>VLOOKUP(Ruimtestaat[[#This Row],[Code]],Locaties[[#All],[Code]:[Postcode]],5,FALSE)</calculatedColumnFormula>
    </tableColumn>
    <tableColumn id="80" xr3:uid="{476650B5-E93B-45F9-BED3-2256EBFA7240}" name="Plaatsnaam" dataDxfId="225" totalsRowDxfId="352">
      <calculatedColumnFormula>VLOOKUP(Ruimtestaat[[#This Row],[Code]],Locaties[#All],6,FALSE)</calculatedColumnFormula>
    </tableColumn>
    <tableColumn id="2" xr3:uid="{00000000-0010-0000-0400-000002000000}" name="Gebouw gedeelte" dataDxfId="224" totalsRowDxfId="351"/>
    <tableColumn id="6" xr3:uid="{00000000-0010-0000-0400-000006000000}" name="Etage" dataDxfId="223" totalsRowDxfId="350"/>
    <tableColumn id="7" xr3:uid="{00000000-0010-0000-0400-000007000000}" name="Ruimte- _x000a_nummer" dataDxfId="222" totalsRowDxfId="349"/>
    <tableColumn id="8" xr3:uid="{00000000-0010-0000-0400-000008000000}" name="Ruimte omschrijving" dataDxfId="221" totalsRowDxfId="348"/>
    <tableColumn id="9" xr3:uid="{00000000-0010-0000-0400-000009000000}" name="Ruimte code" dataDxfId="220" totalsRowDxfId="347"/>
    <tableColumn id="10" xr3:uid="{00000000-0010-0000-0400-00000A000000}" name="Ruimtesoort" dataDxfId="219" totalsRowDxfId="346">
      <calculatedColumnFormula>VLOOKUP(Ruimtestaat[[#This Row],[Ruimte code]],Ruimtegroepen[[#All],[Code]:[Ruimte omschrijving]],2,FALSE)</calculatedColumnFormula>
    </tableColumn>
    <tableColumn id="11" xr3:uid="{00000000-0010-0000-0400-00000B000000}" name="Vloer code" dataDxfId="218" totalsRowDxfId="345"/>
    <tableColumn id="12" xr3:uid="{00000000-0010-0000-0400-00000C000000}" name="Vloer afwerking" dataDxfId="217" totalsRowDxfId="344"/>
    <tableColumn id="13" xr3:uid="{00000000-0010-0000-0400-00000D000000}" name="Oppervlak (netto)" dataDxfId="216" totalsRowDxfId="343"/>
    <tableColumn id="14" xr3:uid="{00000000-0010-0000-0400-00000E000000}" name="Oppervlakte n.i.o." dataDxfId="215"/>
    <tableColumn id="16" xr3:uid="{D5C3F311-5641-490E-A4CE-A68B66CFBD31}" name="Gedeeltelijk" dataDxfId="214"/>
    <tableColumn id="5" xr3:uid="{2CCB7081-4272-4479-82D7-FB91F0B4379D}" name="BSO" dataDxfId="213"/>
    <tableColumn id="15" xr3:uid="{00000000-0010-0000-0400-00000F000000}" name="Inspectie categorie" dataDxfId="212" totalsRowDxfId="342">
      <calculatedColumnFormula>VLOOKUP(Ruimtestaat[[#This Row],[Ruimte code]],Ruimtegroepen[],4,FALSE)</calculatedColumnFormula>
    </tableColumn>
    <tableColumn id="17" xr3:uid="{00000000-0010-0000-0400-000011000000}" name="Aantal weken/jr" dataDxfId="211" totalsRowDxfId="341"/>
    <tableColumn id="18" xr3:uid="{00000000-0010-0000-0400-000012000000}" name="Frequentie werkdagen" dataDxfId="210" totalsRowDxfId="340"/>
    <tableColumn id="19" xr3:uid="{00000000-0010-0000-0400-000013000000}" name="Uitvoeringen werkdagen" dataDxfId="209" totalsRowDxfId="339">
      <calculatedColumnFormula>IF(S5&gt;0,IF(RIGHT(Ruimtestaat[[#This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08" totalsRowDxfId="338">
      <calculatedColumnFormula>IF(U5&gt;0,VLOOKUP($J5,Ruimtegroepen[],3,FALSE)*VLOOKUP($L5,Vloersoorten[],3,FALSE)*VLOOKUP($T5,Frequenties[],3,FALSE)*VLOOKUP($A5,Locaties[],3,FALSE),0)</calculatedColumnFormula>
    </tableColumn>
    <tableColumn id="21" xr3:uid="{00000000-0010-0000-0400-000015000000}" name="Prest. (m2 /jaar) werkdagen" dataDxfId="207" totalsRowDxfId="337">
      <calculatedColumnFormula>Ruimtestaat[[#This Row],[Uitvoeringen werkdagen]]*Ruimtestaat[[#This Row],[Oppervlak (netto)]]</calculatedColumnFormula>
    </tableColumn>
    <tableColumn id="22" xr3:uid="{00000000-0010-0000-0400-000016000000}" name="uren / jaar werkdagen" dataDxfId="206" totalsRowDxfId="336" dataCellStyle="Komma">
      <calculatedColumnFormula>IF(V5&gt;0,Ruimtestaat[[#This Row],[Prest. (m2 /jaar) werkdagen]]/Ruimtestaat[[#This Row],[Norm (m2/uur) werkdagen]],0)</calculatedColumnFormula>
    </tableColumn>
    <tableColumn id="84" xr3:uid="{CEAAD0B3-E27F-4FCE-9B6F-48DCFD0417CE}" name="Prest. (m2 / jaar) werkdagen gedeeld" dataDxfId="205" totalsRowDxfId="335" dataCellStyle="Komma">
      <calculatedColumnFormula>Ruimtestaat[[#This Row],[Uitvoeringen werkdagen]]*Ruimtestaat[[#This Row],[Gedeeltelijk]]</calculatedColumnFormula>
    </tableColumn>
    <tableColumn id="83" xr3:uid="{1BCA39DC-F8C9-431B-BD02-4AD038190022}" name="uren / jaar werkdagen gedeeld" dataDxfId="204" dataCellStyle="Komma">
      <calculatedColumnFormula>IF(U5&gt;0,Ruimtestaat[[#This Row],[Prest. (m2 / jaar) werkdagen gedeeld]]/Ruimtestaat[[#This Row],[Norm (m2/uur) werkdagen]],0)</calculatedColumnFormula>
    </tableColumn>
    <tableColumn id="86" xr3:uid="{7DAFE8A9-635B-4BBF-A08E-1C0ABCD5C351}" name="Kosten / jaar werkdagen gedeeld" dataDxfId="203" dataCellStyle="Komma">
      <calculatedColumnFormula>Ruimtestaat[[#This Row],[uren / jaar werkdagen gedeeld]]*Tariefsopbouw!$E$35</calculatedColumnFormula>
    </tableColumn>
    <tableColumn id="87" xr3:uid="{E94BBF2C-552D-444D-A1F9-0830EF639169}" name="Prest. (m2 / jaar) werkdagen BSO" dataDxfId="202" dataCellStyle="Komma">
      <calculatedColumnFormula>Ruimtestaat[[#This Row],[Uitvoeringen werkdagen]]*Ruimtestaat[[#This Row],[BSO]]</calculatedColumnFormula>
    </tableColumn>
    <tableColumn id="85" xr3:uid="{64E192C3-B390-4574-B789-4810A5B0DE84}" name="uren / jaar werkdagen BSO" dataDxfId="201" totalsRowDxfId="334" dataCellStyle="Komma">
      <calculatedColumnFormula>IF(U5&gt;0,Ruimtestaat[[#This Row],[Prest. (m2 / jaar) werkdagen BSO]]/Ruimtestaat[[#This Row],[Norm (m2/uur) werkdagen]],0)</calculatedColumnFormula>
    </tableColumn>
    <tableColumn id="88" xr3:uid="{5E78E9E2-AB5C-4B63-BEB0-DE32610D72ED}" name="Kosten / jaar werkdagen BSO" dataDxfId="200" totalsRowDxfId="333" dataCellStyle="Komma">
      <calculatedColumnFormula>Ruimtestaat[[#This Row],[uren / jaar werkdagen BSO]]*Tariefsopbouw!$E$35</calculatedColumnFormula>
    </tableColumn>
    <tableColumn id="23" xr3:uid="{00000000-0010-0000-0400-000017000000}" name="kosten / jaar werkdagen" dataDxfId="199" totalsRowDxfId="332" dataCellStyle="Valuta">
      <calculatedColumnFormula>Ruimtestaat[[#This Row],[uren / jaar werkdagen]]*Tariefsopbouw!$E$35</calculatedColumnFormula>
    </tableColumn>
    <tableColumn id="24" xr3:uid="{00000000-0010-0000-0400-000018000000}" name="Frequentie weekend" dataDxfId="198" totalsRowDxfId="331"/>
    <tableColumn id="38" xr3:uid="{00000000-0010-0000-0400-000026000000}" name="Uitvoeringen weekend" dataDxfId="197" totalsRowDxfId="330">
      <calculatedColumnFormula>IF(Ruimtestaat[[#This Row],[Frequentie weekend]]&gt;0,VALUE(LEFT(AF5,1))*S5,0)</calculatedColumnFormula>
    </tableColumn>
    <tableColumn id="25" xr3:uid="{00000000-0010-0000-0400-000019000000}" name="Norm (m2/uur) weekend" dataDxfId="196" totalsRowDxfId="329">
      <calculatedColumnFormula>IF($AG5&gt;0,VLOOKUP($J5,Ruimtegroepen[],3,FALSE)*VLOOKUP($L5,Vloersoorten[],3,FALSE)*VLOOKUP($AF5,Frequenties[],3,FALSE)*VLOOKUP(#REF!,Locaties[],3,FALSE),0)</calculatedColumnFormula>
    </tableColumn>
    <tableColumn id="26" xr3:uid="{00000000-0010-0000-0400-00001A000000}" name="Prest. (m2 /jaar) weekend" dataDxfId="195" totalsRowDxfId="328">
      <calculatedColumnFormula>Ruimtestaat[[#This Row],[Uitvoeringen weekend]]*Ruimtestaat[[#This Row],[Oppervlak (netto)]]</calculatedColumnFormula>
    </tableColumn>
    <tableColumn id="27" xr3:uid="{00000000-0010-0000-0400-00001B000000}" name="uren / jaar weekend" dataDxfId="194" totalsRowDxfId="327">
      <calculatedColumnFormula>IF(AH5&gt;0,Ruimtestaat[[#This Row],[Prest. (m2 /jaar) weekend]]/Ruimtestaat[[#This Row],[Norm (m2/uur) weekend]],0)</calculatedColumnFormula>
    </tableColumn>
    <tableColumn id="28" xr3:uid="{00000000-0010-0000-0400-00001C000000}" name="kosten / jaar weekend" dataDxfId="193" totalsRowDxfId="326">
      <calculatedColumnFormula>Ruimtestaat[[#This Row],[uren / jaar weekend]]*Tariefsopbouw!$D$40</calculatedColumnFormula>
    </tableColumn>
    <tableColumn id="29" xr3:uid="{00000000-0010-0000-0400-00001D000000}" name="Prest. (m2 /jaar)" dataDxfId="192" totalsRowDxfId="325" dataCellStyle="Komma">
      <calculatedColumnFormula>Ruimtestaat[[#This Row],[Prest. (m2 /jaar) weekend]]+Ruimtestaat[[#This Row],[Prest. (m2 /jaar) werkdagen]]</calculatedColumnFormula>
    </tableColumn>
    <tableColumn id="30" xr3:uid="{00000000-0010-0000-0400-00001E000000}" name="uren / jaar" dataDxfId="191" totalsRowDxfId="324" dataCellStyle="Komma">
      <calculatedColumnFormula>Ruimtestaat[[#This Row],[uren / jaar weekend]]+Ruimtestaat[[#This Row],[uren / jaar werkdagen]]</calculatedColumnFormula>
    </tableColumn>
    <tableColumn id="31" xr3:uid="{00000000-0010-0000-0400-00001F000000}" name="kosten / jaar excl btw" dataDxfId="190" totalsRowDxfId="323">
      <calculatedColumnFormula>Ruimtestaat[[#This Row],[kosten / jaar weekend]]+Ruimtestaat[[#This Row],[kosten / jaar werkdagen]]</calculatedColumnFormula>
    </tableColumn>
    <tableColumn id="78" xr3:uid="{C7E09CEC-45CA-4861-813D-3146CE52089E}" name="Kolom2" dataDxfId="189"/>
    <tableColumn id="36" xr3:uid="{644223A4-3B0B-40ED-9CC2-5E87CCEF757C}" name="Programmacode_x000a_Regulier" dataDxfId="188">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7">
      <calculatedColumnFormula>_xlfn.IFNA(VLOOKUP($AP5,Programma!$F$3:$G$1101,2,0),"")</calculatedColumnFormula>
    </tableColumn>
    <tableColumn id="39" xr3:uid="{2E53B719-2751-4AFA-8ABF-26530B7DD3C0}" name="vl2" dataDxfId="186">
      <calculatedColumnFormula>_xlfn.IFNA(VLOOKUP($AP5,Programma!$F$3:$H$1101,3,0),"")</calculatedColumnFormula>
    </tableColumn>
    <tableColumn id="40" xr3:uid="{306853D9-AD5A-48B5-B1FA-D17329457C4F}" name="vl3" dataDxfId="185">
      <calculatedColumnFormula>_xlfn.IFNA(VLOOKUP($AP5,Programma!$F$3:$I$1101,4,0),"")</calculatedColumnFormula>
    </tableColumn>
    <tableColumn id="41" xr3:uid="{1C4AA553-8156-4DB3-BDBC-D8EC1536D309}" name="vl4" dataDxfId="184">
      <calculatedColumnFormula>_xlfn.IFNA(VLOOKUP($AP5,Programma!$F$3:$J$1101,5,0),"")</calculatedColumnFormula>
    </tableColumn>
    <tableColumn id="42" xr3:uid="{A56B8907-DE9F-4701-8C5E-C547567EA280}" name="vl5" dataDxfId="183">
      <calculatedColumnFormula>_xlfn.IFNA(VLOOKUP($AP5,Programma!$F$3:$K$1101,6,0),"")</calculatedColumnFormula>
    </tableColumn>
    <tableColumn id="43" xr3:uid="{6B17D7A2-AE8D-440F-A4FD-2BE2B7B88A60}" name="vl6" dataDxfId="182">
      <calculatedColumnFormula>_xlfn.IFNA(VLOOKUP($AP5,Programma!$F$3:$L$1101,7,0),"")</calculatedColumnFormula>
    </tableColumn>
    <tableColumn id="44" xr3:uid="{A071B3DB-7D24-4A25-BD62-7D2ABDA8EADC}" name="vl7" dataDxfId="181">
      <calculatedColumnFormula>_xlfn.IFNA(VLOOKUP($AP5,Programma!$F$3:$M$1101,8,0),"")</calculatedColumnFormula>
    </tableColumn>
    <tableColumn id="45" xr3:uid="{30501DAE-368A-4139-B486-528B170E6783}" name="vnl" dataDxfId="180">
      <calculatedColumnFormula>_xlfn.IFNA(VLOOKUP($AP5,Programma!$F$3:$N$1101,9,0),"")</calculatedColumnFormula>
    </tableColumn>
    <tableColumn id="46" xr3:uid="{868425D4-EECE-431D-9D6F-487DB854241D}" name="i8" dataDxfId="179">
      <calculatedColumnFormula>_xlfn.IFNA(VLOOKUP($AP5,Programma!$F$3:$O$1101,10,0),"")</calculatedColumnFormula>
    </tableColumn>
    <tableColumn id="47" xr3:uid="{EA20F07B-5CD7-426B-BA6F-183E04D325BB}" name="i9" dataDxfId="178">
      <calculatedColumnFormula>_xlfn.IFNA(VLOOKUP($AP5,Programma!$F$3:$P$1101,11,0),"")</calculatedColumnFormula>
    </tableColumn>
    <tableColumn id="48" xr3:uid="{28D20BBF-F87A-4F80-A59D-F67559BB9D34}" name="i10" dataDxfId="177">
      <calculatedColumnFormula>_xlfn.IFNA(VLOOKUP($AP5,Programma!$F$3:$Q$1101,12,0),"")</calculatedColumnFormula>
    </tableColumn>
    <tableColumn id="49" xr3:uid="{0CB7B7F7-D003-43D2-9F6C-0F0170BB89E1}" name="i11" dataDxfId="176">
      <calculatedColumnFormula>_xlfn.IFNA(VLOOKUP($AP5,Programma!$F$3:$R$1101,13,0),"")</calculatedColumnFormula>
    </tableColumn>
    <tableColumn id="50" xr3:uid="{AD88DBA6-2501-4ADB-97BD-2EEAE5CA5FB9}" name="i12" dataDxfId="175">
      <calculatedColumnFormula>_xlfn.IFNA(VLOOKUP($AP5,Programma!$F$3:$S$1101,14,0),"")</calculatedColumnFormula>
    </tableColumn>
    <tableColumn id="51" xr3:uid="{0B24F272-5C0F-49A2-9E82-3DEBB7333DE2}" name="i13" dataDxfId="174">
      <calculatedColumnFormula>_xlfn.IFNA(VLOOKUP($AP5,Programma!$F$3:$T$1101,15,0),"")</calculatedColumnFormula>
    </tableColumn>
    <tableColumn id="52" xr3:uid="{60DD2901-FFF4-4159-9DB3-58E5D77411C3}" name="i14" dataDxfId="173">
      <calculatedColumnFormula>_xlfn.IFNA(VLOOKUP($AP5,Programma!$F$3:$U$1101,16,0),"")</calculatedColumnFormula>
    </tableColumn>
    <tableColumn id="53" xr3:uid="{87559DB0-F928-4A01-8FAF-36E422BF0893}" name="inl" dataDxfId="172">
      <calculatedColumnFormula>_xlfn.IFNA(VLOOKUP($AP5,Programma!$F$3:$V$1101,17,0),"")</calculatedColumnFormula>
    </tableColumn>
    <tableColumn id="54" xr3:uid="{1C929E3E-45B3-4A1C-A3C5-D8B1EDE1891E}" name="s15" dataDxfId="171">
      <calculatedColumnFormula>_xlfn.IFNA(VLOOKUP($AP5,Programma!$F$3:$W$1101,18,0),"")</calculatedColumnFormula>
    </tableColumn>
    <tableColumn id="55" xr3:uid="{68B49970-C415-4EEF-857B-52BA16B5258D}" name="s16" dataDxfId="170">
      <calculatedColumnFormula>_xlfn.IFNA(VLOOKUP($AP5,Programma!$F$3:$X$1101,19,0),"")</calculatedColumnFormula>
    </tableColumn>
    <tableColumn id="56" xr3:uid="{A0705AE3-CACF-4E1C-9227-68669BFDB0C6}" name="snl" dataDxfId="169">
      <calculatedColumnFormula>_xlfn.IFNA(VLOOKUP($AP5,Programma!$F$3:$Y$1101,20,0),"")</calculatedColumnFormula>
    </tableColumn>
    <tableColumn id="57" xr3:uid="{11D7C8EF-B5C8-42BF-8A18-9A836402F196}" name="Kolom1" dataDxfId="168"/>
    <tableColumn id="58" xr3:uid="{B2B8DFA8-D835-49F0-A51B-ED223C73D142}" name="Code Weekend" dataDxfId="167">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6">
      <calculatedColumnFormula>_xlfn.IFNA(VLOOKUP($BK5,Programma!$F$3:$G$1101,2,0),"")</calculatedColumnFormula>
    </tableColumn>
    <tableColumn id="60" xr3:uid="{27AAF80B-FAE7-4A55-B080-A97D81F19498}" name="vl23" dataDxfId="165">
      <calculatedColumnFormula>_xlfn.IFNA(VLOOKUP($BK5,Programma!$F$3:$H$1101,3,0),"")</calculatedColumnFormula>
    </tableColumn>
    <tableColumn id="61" xr3:uid="{A8E673C6-B5F4-4D95-85CD-FB4271CFAA79}" name="vl34" dataDxfId="164">
      <calculatedColumnFormula>_xlfn.IFNA(VLOOKUP($BK5,Programma!$F$3:$I$1101,4,0),"")</calculatedColumnFormula>
    </tableColumn>
    <tableColumn id="62" xr3:uid="{8F1B78A5-14D6-4E3A-8B4A-DFAEDDAB9211}" name="vl45" dataDxfId="163">
      <calculatedColumnFormula>_xlfn.IFNA(VLOOKUP($BK5,Programma!$F$3:$J$1101,5,0),"")</calculatedColumnFormula>
    </tableColumn>
    <tableColumn id="63" xr3:uid="{87048FA4-EE9C-46AE-B51B-6CBA81BE8308}" name="vl56" dataDxfId="162">
      <calculatedColumnFormula>_xlfn.IFNA(VLOOKUP($BK5,Programma!$F$3:$K$1101,6,0),"")</calculatedColumnFormula>
    </tableColumn>
    <tableColumn id="64" xr3:uid="{DA05AE85-CE88-407D-9245-D0C804841261}" name="vl67" dataDxfId="161">
      <calculatedColumnFormula>_xlfn.IFNA(VLOOKUP($BK5,Programma!$F$3:$L$1101,7,0),"")</calculatedColumnFormula>
    </tableColumn>
    <tableColumn id="65" xr3:uid="{78BAE9E2-79F8-42F8-A636-69ECC21638B3}" name="vl78" dataDxfId="160">
      <calculatedColumnFormula>_xlfn.IFNA(VLOOKUP($BK5,Programma!$F$3:$M$1101,8,0),"")</calculatedColumnFormula>
    </tableColumn>
    <tableColumn id="66" xr3:uid="{E7E7A23D-5570-4D4F-A0C4-4BEBD25C2D08}" name="vnl9" dataDxfId="159">
      <calculatedColumnFormula>_xlfn.IFNA(VLOOKUP($BK5,Programma!$F$3:$N$1101,9,0),"")</calculatedColumnFormula>
    </tableColumn>
    <tableColumn id="67" xr3:uid="{069678F9-CB78-4810-881E-5A1AE2EC2E64}" name="i810" dataDxfId="158">
      <calculatedColumnFormula>_xlfn.IFNA(VLOOKUP($BK5,Programma!$F$3:$O$1101,10,0),"")</calculatedColumnFormula>
    </tableColumn>
    <tableColumn id="68" xr3:uid="{D4FF459B-C19D-4ED7-9F3B-7801E97C6C63}" name="i911" dataDxfId="157">
      <calculatedColumnFormula>_xlfn.IFNA(VLOOKUP($BK5,Programma!$F$3:$P$1101,11,0),"")</calculatedColumnFormula>
    </tableColumn>
    <tableColumn id="69" xr3:uid="{059C7A6A-75FC-4AAF-9824-5E2D2E379CD4}" name="i102" dataDxfId="156">
      <calculatedColumnFormula>_xlfn.IFNA(VLOOKUP($BK5,Programma!$F$3:$Q$1101,12,0),"")</calculatedColumnFormula>
    </tableColumn>
    <tableColumn id="70" xr3:uid="{F02F1F0A-14E6-44C4-A18E-15D8545C3F7C}" name="i112" dataDxfId="155">
      <calculatedColumnFormula>_xlfn.IFNA(VLOOKUP($BK5,Programma!$F$3:$R$1101,13,0),"")</calculatedColumnFormula>
    </tableColumn>
    <tableColumn id="71" xr3:uid="{64F8BC77-D92C-4AFB-A8AA-C6E3DB4AF028}" name="i122" dataDxfId="154">
      <calculatedColumnFormula>_xlfn.IFNA(VLOOKUP($BK5,Programma!$F$3:$S$1101,14,0),"")</calculatedColumnFormula>
    </tableColumn>
    <tableColumn id="72" xr3:uid="{D10D9617-4D40-479A-8098-9C3D52AED20C}" name="i132" dataDxfId="153">
      <calculatedColumnFormula>_xlfn.IFNA(VLOOKUP($BK5,Programma!$F$3:$T$1101,15,0),"")</calculatedColumnFormula>
    </tableColumn>
    <tableColumn id="73" xr3:uid="{AFAFBD6D-E9F3-4AD5-B1BA-C259BBD1CC21}" name="i142" dataDxfId="152">
      <calculatedColumnFormula>_xlfn.IFNA(VLOOKUP($BK5,Programma!$F$3:$U$1101,16,0),"")</calculatedColumnFormula>
    </tableColumn>
    <tableColumn id="74" xr3:uid="{13917009-2884-4D8A-8C68-14907776CAFD}" name="inl2" dataDxfId="151">
      <calculatedColumnFormula>_xlfn.IFNA(VLOOKUP($BK5,Programma!$F$3:$V$1101,17,0),"")</calculatedColumnFormula>
    </tableColumn>
    <tableColumn id="75" xr3:uid="{6E9DF77C-B052-4A52-B6CF-00BB698E51C6}" name="s152" dataDxfId="150">
      <calculatedColumnFormula>_xlfn.IFNA(VLOOKUP($BK5,Programma!$F$3:$W$1101,18,0),"")</calculatedColumnFormula>
    </tableColumn>
    <tableColumn id="76" xr3:uid="{11F41571-107E-423E-B237-84692FBBC6D7}" name="s162" dataDxfId="149">
      <calculatedColumnFormula>_xlfn.IFNA(VLOOKUP($BK5,Programma!$F$3:$X$1101,19,0),"")</calculatedColumnFormula>
    </tableColumn>
    <tableColumn id="77" xr3:uid="{3DEE5E13-D5E7-474C-89D8-AF6FC5695F2C}" name="snl2" dataDxfId="148">
      <calculatedColumnFormula>_xlfn.IFNA(VLOOKUP($BK5,Programma!$F$3:$Y$1101,20,0),"")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322" dataDxfId="321">
  <autoFilter ref="A8:I18" xr:uid="{00000000-0009-0000-0100-000001000000}"/>
  <tableColumns count="9">
    <tableColumn id="1" xr3:uid="{634B9515-CED4-4B9C-AC41-91D68E2A6390}" name="Code Taak" dataDxfId="139"/>
    <tableColumn id="2" xr3:uid="{B45DE533-5F07-4399-BBF5-C49AD01DD88F}" name="Werkzaamheden" dataDxfId="138"/>
    <tableColumn id="3" xr3:uid="{569B4254-85AB-4A9D-9738-20A72FAFD71D}" name="Prijs" dataDxfId="119"/>
    <tableColumn id="4" xr3:uid="{3FCFDB06-433D-4D90-AC83-D401C0BB9D5F}" name="Omschrijving" dataDxfId="145"/>
    <tableColumn id="5" xr3:uid="{A2C235A7-50B4-45CF-B035-6B2B17679F97}" name="2028" dataDxfId="144" dataCellStyle="Valuta">
      <calculatedColumnFormula>InvulVloer19[[#This Row],[Prijs]]*Tariefsopbouw!$I$37+InvulVloer19[[#This Row],[Prijs]]</calculatedColumnFormula>
    </tableColumn>
    <tableColumn id="6" xr3:uid="{32314B1F-C549-43D0-A68A-E1D872932DA7}" name="2029" dataDxfId="143" dataCellStyle="Valuta">
      <calculatedColumnFormula>InvulVloer19[[#This Row],[2028]]*Tariefsopbouw!$K$37+InvulVloer19[[#This Row],[2028]]</calculatedColumnFormula>
    </tableColumn>
    <tableColumn id="7" xr3:uid="{5A4E277A-177C-4476-A9A5-6B25E0351BAB}" name="2030" dataDxfId="142" dataCellStyle="Valuta">
      <calculatedColumnFormula>InvulVloer19[[#This Row],[2029]]*Tariefsopbouw!$M$37+InvulVloer19[[#This Row],[2029]]</calculatedColumnFormula>
    </tableColumn>
    <tableColumn id="8" xr3:uid="{6A8CB127-9578-4A7F-8F5E-DABA3EAD7E06}" name="2031" dataDxfId="141" dataCellStyle="Valuta">
      <calculatedColumnFormula>InvulVloer19[[#This Row],[2030]]*Tariefsopbouw!$O$37+InvulVloer19[[#This Row],[2030]]</calculatedColumnFormula>
    </tableColumn>
    <tableColumn id="9" xr3:uid="{F268163B-6C49-46F0-9F2A-A503A98B29BC}" name="2032" dataDxfId="140" dataCellStyle="Valuta">
      <calculatedColumnFormula>InvulVloer19[[#This Row],[2031]]*Tariefsopbouw!$Q$37+InvulVloer19[[#This Row],[2031]]</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135" totalsRowCount="1" headerRowDxfId="320" dataDxfId="319" totalsRowDxfId="318">
  <autoFilter ref="A20:I134" xr:uid="{00000000-0009-0000-0100-000002000000}"/>
  <tableColumns count="9">
    <tableColumn id="11" xr3:uid="{9970215E-3F06-4AEF-A1F5-0009C03D624E}" name="Code Locatie" dataDxfId="137" totalsRowDxfId="136"/>
    <tableColumn id="1" xr3:uid="{113C96F6-1924-406B-B23A-994513941647}" name="Locatie" totalsRowLabel="Totaal" dataDxfId="135" totalsRowDxfId="134">
      <calculatedColumnFormula>VLOOKUP(OverzichtVloer20[[#This Row],[Code Locatie]],Locaties[],2,0)</calculatedColumnFormula>
    </tableColumn>
    <tableColumn id="3" xr3:uid="{B3D3B5E7-D3C4-461C-9CA1-DBFD10306269}" name="Code Taak" dataDxfId="133" totalsRowDxfId="132"/>
    <tableColumn id="4" xr3:uid="{EBF3EF80-AF01-4C87-A6CF-BF63D79AF323}" name="Vloersoort / toelichting" dataDxfId="131" totalsRowDxfId="130">
      <calculatedColumnFormula>IF(Vloeronderhoud!$C21&gt;0,VLOOKUP(Vloeronderhoud!$C21,$A$8:$B$18,2,FALSE),"")</calculatedColumnFormula>
    </tableColumn>
    <tableColumn id="5" xr3:uid="{309F41B6-3D0E-446B-8EDD-5EB98BD855C7}" name="Vloersoort" dataDxfId="129" totalsRowDxfId="128"/>
    <tableColumn id="6" xr3:uid="{B97F1EF9-BC44-4F7E-8997-83E439999C81}" name="Oppervlakte" dataDxfId="127" totalsRowDxfId="126">
      <calculatedColumnFormula>SUMIFS('Ruimtestaat'!$N:$N,'Ruimtestaat'!L:L,Vloeronderhoud!E21,'Ruimtestaat'!A:A,Vloeronderhoud!A21)</calculatedColumnFormula>
    </tableColumn>
    <tableColumn id="8" xr3:uid="{A5FF7A00-BD80-4497-8A9A-905C07BFA557}" name="Frequentie (uitv./jaar)" dataDxfId="125" totalsRowDxfId="124"/>
    <tableColumn id="9" xr3:uid="{13C992BE-16CA-4305-AC75-C46233681A13}" name="Kosten/jaar excl. BTW" totalsRowFunction="sum" dataDxfId="123" totalsRowDxfId="122">
      <calculatedColumnFormula>VLOOKUP(OverzichtVloer20[[#This Row],[Code Taak]],InvulVloer19[],3,3)*F21*G21</calculatedColumnFormula>
    </tableColumn>
    <tableColumn id="2" xr3:uid="{BBD43C19-81F6-4223-A10B-97F2D79A548F}" name="Kosten/jaar incl BTW" totalsRowFunction="sum" dataDxfId="121" totalsRowDxfId="12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317" dataDxfId="316">
  <autoFilter ref="A8:I19" xr:uid="{00000000-0009-0000-0100-000003000000}"/>
  <tableColumns count="9">
    <tableColumn id="1" xr3:uid="{00000000-0010-0000-0500-000001000000}" name="Code taak" dataDxfId="112"/>
    <tableColumn id="2" xr3:uid="{00000000-0010-0000-0500-000002000000}" name="Glassoort/voorziening" dataDxfId="111"/>
    <tableColumn id="3" xr3:uid="{00000000-0010-0000-0500-000003000000}" name="Prijs excl. BTW" dataDxfId="101"/>
    <tableColumn id="4" xr3:uid="{00000000-0010-0000-0500-000004000000}" name="Eenheid" dataDxfId="118"/>
    <tableColumn id="5" xr3:uid="{CC43D47B-51D1-48C7-9FBE-6228B4D72C08}" name="2028" dataDxfId="117" dataCellStyle="Valuta">
      <calculatedColumnFormula>(InvulGlas[[#This Row],[Prijs excl. BTW]]*Tariefsopbouw!$H$35)+InvulGlas[[#This Row],[Prijs excl. BTW]]</calculatedColumnFormula>
    </tableColumn>
    <tableColumn id="6" xr3:uid="{14AF2224-D978-4323-B50E-296D91A6AA97}" name="2029" dataDxfId="116" dataCellStyle="Valuta">
      <calculatedColumnFormula>E9*Tariefsopbouw!$J$35+Glasbewassing!E9</calculatedColumnFormula>
    </tableColumn>
    <tableColumn id="7" xr3:uid="{C18EB174-680A-4DCC-A57F-327D4F1C3675}" name="2030" dataDxfId="115" dataCellStyle="Valuta">
      <calculatedColumnFormula>F9*Tariefsopbouw!$L$35+Glasbewassing!F9</calculatedColumnFormula>
    </tableColumn>
    <tableColumn id="8" xr3:uid="{2002E41E-1578-4095-8CE5-943025AA110B}" name="2031" dataDxfId="114" dataCellStyle="Valuta">
      <calculatedColumnFormula>G10*Tariefsopbouw!$N$35+Glasbewassing!G10</calculatedColumnFormula>
    </tableColumn>
    <tableColumn id="9" xr3:uid="{95B9447D-2760-430F-8929-530FC65F506E}" name="2032" dataDxfId="113"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1"/>
  <sheetViews>
    <sheetView workbookViewId="0">
      <selection activeCell="H24" sqref="H24"/>
    </sheetView>
  </sheetViews>
  <sheetFormatPr defaultColWidth="9.140625" defaultRowHeight="13.5"/>
  <cols>
    <col min="1" max="1" width="6" style="10" customWidth="1"/>
    <col min="2" max="2" width="11.5703125" style="10" customWidth="1"/>
    <col min="3" max="3" width="13.85546875" style="10" customWidth="1"/>
    <col min="4" max="4" width="14.7109375" style="10" bestFit="1" customWidth="1"/>
    <col min="5" max="5" width="15.42578125" style="10" bestFit="1" customWidth="1"/>
    <col min="6" max="6" width="14" style="10" bestFit="1" customWidth="1"/>
    <col min="7" max="7" width="10.42578125" style="11" bestFit="1" customWidth="1"/>
    <col min="8" max="8" width="28.140625" style="10" bestFit="1" customWidth="1"/>
    <col min="9" max="9" width="13" style="11" customWidth="1"/>
    <col min="10" max="10" width="13.7109375" style="11" customWidth="1"/>
    <col min="11" max="11" width="9" style="10" bestFit="1" customWidth="1"/>
    <col min="12" max="12" width="12.28515625" style="10" bestFit="1" customWidth="1"/>
    <col min="13" max="13" width="10.7109375" style="10" customWidth="1"/>
    <col min="14" max="14" width="11.7109375" style="10" customWidth="1"/>
    <col min="15" max="15" width="14.140625" style="10" bestFit="1" customWidth="1"/>
    <col min="16" max="16" width="17.7109375" style="10" customWidth="1"/>
    <col min="17" max="17" width="15.85546875" style="11" bestFit="1" customWidth="1"/>
    <col min="18" max="18" width="22.28515625" style="10" bestFit="1" customWidth="1"/>
    <col min="19" max="16384" width="9.140625" style="9"/>
  </cols>
  <sheetData>
    <row r="1" spans="1:18" ht="45" customHeight="1">
      <c r="A1" s="235"/>
      <c r="B1" s="235" t="s">
        <v>228</v>
      </c>
      <c r="C1" s="235" t="s">
        <v>1293</v>
      </c>
      <c r="D1" s="235" t="s">
        <v>229</v>
      </c>
      <c r="E1" s="235" t="s">
        <v>230</v>
      </c>
      <c r="F1" s="235" t="s">
        <v>1294</v>
      </c>
      <c r="G1" s="235" t="s">
        <v>231</v>
      </c>
      <c r="H1" s="235" t="s">
        <v>202</v>
      </c>
      <c r="I1" s="235" t="s">
        <v>232</v>
      </c>
      <c r="J1" s="235" t="s">
        <v>233</v>
      </c>
      <c r="K1" s="235" t="s">
        <v>234</v>
      </c>
      <c r="L1" s="235" t="s">
        <v>235</v>
      </c>
      <c r="M1" s="235" t="s">
        <v>236</v>
      </c>
      <c r="N1" s="235" t="s">
        <v>237</v>
      </c>
      <c r="O1" s="235" t="s">
        <v>1295</v>
      </c>
      <c r="P1" s="235" t="s">
        <v>238</v>
      </c>
      <c r="Q1" s="235" t="s">
        <v>239</v>
      </c>
      <c r="R1" s="235" t="s">
        <v>135</v>
      </c>
    </row>
    <row r="2" spans="1:18">
      <c r="A2" s="1">
        <v>1</v>
      </c>
      <c r="B2" s="2">
        <v>28771</v>
      </c>
      <c r="C2" s="2">
        <v>44166</v>
      </c>
      <c r="D2" s="2">
        <v>39770</v>
      </c>
      <c r="E2" s="3" t="s">
        <v>2183</v>
      </c>
      <c r="F2" s="4">
        <v>10</v>
      </c>
      <c r="G2" s="5" t="s">
        <v>2184</v>
      </c>
      <c r="H2" s="3" t="s">
        <v>2185</v>
      </c>
      <c r="I2" s="5" t="s">
        <v>1543</v>
      </c>
      <c r="J2" s="5" t="s">
        <v>2187</v>
      </c>
      <c r="K2" s="6">
        <v>17.05</v>
      </c>
      <c r="L2" s="7"/>
      <c r="M2" s="3" t="s">
        <v>2189</v>
      </c>
      <c r="N2" s="3" t="s">
        <v>2189</v>
      </c>
      <c r="O2" s="5" t="s">
        <v>2189</v>
      </c>
      <c r="P2" s="3" t="s">
        <v>2189</v>
      </c>
      <c r="Q2" s="5" t="s">
        <v>2184</v>
      </c>
      <c r="R2" s="3" t="s">
        <v>2132</v>
      </c>
    </row>
    <row r="3" spans="1:18">
      <c r="A3" s="1">
        <v>2</v>
      </c>
      <c r="B3" s="2">
        <v>23567</v>
      </c>
      <c r="C3" s="2">
        <v>44166</v>
      </c>
      <c r="D3" s="2">
        <v>38631</v>
      </c>
      <c r="E3" s="3" t="s">
        <v>2183</v>
      </c>
      <c r="F3" s="4">
        <v>21</v>
      </c>
      <c r="G3" s="5" t="s">
        <v>2184</v>
      </c>
      <c r="H3" s="3" t="s">
        <v>2185</v>
      </c>
      <c r="I3" s="5" t="s">
        <v>1543</v>
      </c>
      <c r="J3" s="5" t="s">
        <v>2187</v>
      </c>
      <c r="K3" s="6">
        <v>17.05</v>
      </c>
      <c r="L3" s="7"/>
      <c r="M3" s="3" t="s">
        <v>2189</v>
      </c>
      <c r="N3" s="3" t="s">
        <v>2189</v>
      </c>
      <c r="O3" s="5" t="s">
        <v>2189</v>
      </c>
      <c r="P3" s="3" t="s">
        <v>2189</v>
      </c>
      <c r="Q3" s="5" t="s">
        <v>2184</v>
      </c>
      <c r="R3" s="3" t="s">
        <v>2150</v>
      </c>
    </row>
    <row r="4" spans="1:18">
      <c r="A4" s="1">
        <v>3</v>
      </c>
      <c r="B4" s="2">
        <v>23110</v>
      </c>
      <c r="C4" s="2">
        <v>44166</v>
      </c>
      <c r="D4" s="2">
        <v>37681</v>
      </c>
      <c r="E4" s="3" t="s">
        <v>2183</v>
      </c>
      <c r="F4" s="4">
        <v>13.5</v>
      </c>
      <c r="G4" s="5" t="s">
        <v>2184</v>
      </c>
      <c r="H4" s="3" t="s">
        <v>2185</v>
      </c>
      <c r="I4" s="5" t="s">
        <v>1543</v>
      </c>
      <c r="J4" s="5" t="s">
        <v>2187</v>
      </c>
      <c r="K4" s="6">
        <v>17.05</v>
      </c>
      <c r="L4" s="8"/>
      <c r="M4" s="3" t="s">
        <v>2189</v>
      </c>
      <c r="N4" s="3" t="s">
        <v>2189</v>
      </c>
      <c r="O4" s="5" t="s">
        <v>2189</v>
      </c>
      <c r="P4" s="3" t="s">
        <v>2189</v>
      </c>
      <c r="Q4" s="5" t="s">
        <v>2184</v>
      </c>
      <c r="R4" s="3" t="s">
        <v>2131</v>
      </c>
    </row>
    <row r="5" spans="1:18">
      <c r="A5" s="1">
        <v>4</v>
      </c>
      <c r="B5" s="2">
        <v>28296</v>
      </c>
      <c r="C5" s="2">
        <v>44166</v>
      </c>
      <c r="D5" s="2">
        <v>38978</v>
      </c>
      <c r="E5" s="3" t="s">
        <v>2183</v>
      </c>
      <c r="F5" s="4">
        <v>15</v>
      </c>
      <c r="G5" s="5" t="s">
        <v>2184</v>
      </c>
      <c r="H5" s="3" t="s">
        <v>2185</v>
      </c>
      <c r="I5" s="5" t="s">
        <v>1543</v>
      </c>
      <c r="J5" s="5" t="s">
        <v>2187</v>
      </c>
      <c r="K5" s="6">
        <v>17.05</v>
      </c>
      <c r="L5" s="8"/>
      <c r="M5" s="3" t="s">
        <v>2189</v>
      </c>
      <c r="N5" s="3" t="s">
        <v>2189</v>
      </c>
      <c r="O5" s="5" t="s">
        <v>2190</v>
      </c>
      <c r="P5" s="3" t="s">
        <v>2189</v>
      </c>
      <c r="Q5" s="5" t="s">
        <v>2184</v>
      </c>
      <c r="R5" s="3" t="s">
        <v>2128</v>
      </c>
    </row>
    <row r="6" spans="1:18">
      <c r="A6" s="1">
        <v>5</v>
      </c>
      <c r="B6" s="2">
        <v>28296</v>
      </c>
      <c r="C6" s="2">
        <v>44166</v>
      </c>
      <c r="D6" s="2">
        <v>38978</v>
      </c>
      <c r="E6" s="3" t="s">
        <v>2183</v>
      </c>
      <c r="F6" s="4">
        <v>20</v>
      </c>
      <c r="G6" s="5" t="s">
        <v>2184</v>
      </c>
      <c r="H6" s="3" t="s">
        <v>2185</v>
      </c>
      <c r="I6" s="5" t="s">
        <v>1543</v>
      </c>
      <c r="J6" s="5" t="s">
        <v>2187</v>
      </c>
      <c r="K6" s="6">
        <v>17.05</v>
      </c>
      <c r="L6" s="8"/>
      <c r="M6" s="3" t="s">
        <v>2189</v>
      </c>
      <c r="N6" s="3" t="s">
        <v>2189</v>
      </c>
      <c r="O6" s="5" t="s">
        <v>2190</v>
      </c>
      <c r="P6" s="3" t="s">
        <v>2189</v>
      </c>
      <c r="Q6" s="5" t="s">
        <v>2184</v>
      </c>
      <c r="R6" s="3" t="s">
        <v>2139</v>
      </c>
    </row>
    <row r="7" spans="1:18">
      <c r="A7" s="1">
        <v>6</v>
      </c>
      <c r="B7" s="2">
        <v>33670</v>
      </c>
      <c r="C7" s="2">
        <v>44378</v>
      </c>
      <c r="D7" s="2">
        <v>43040</v>
      </c>
      <c r="E7" s="3" t="s">
        <v>2183</v>
      </c>
      <c r="F7" s="4">
        <v>16.25</v>
      </c>
      <c r="G7" s="5" t="s">
        <v>2184</v>
      </c>
      <c r="H7" s="3" t="s">
        <v>2186</v>
      </c>
      <c r="I7" s="5" t="s">
        <v>1543</v>
      </c>
      <c r="J7" s="5" t="s">
        <v>2188</v>
      </c>
      <c r="K7" s="6">
        <v>18.440000000000001</v>
      </c>
      <c r="L7" s="8"/>
      <c r="M7" s="3" t="s">
        <v>2189</v>
      </c>
      <c r="N7" s="3" t="s">
        <v>2189</v>
      </c>
      <c r="O7" s="5" t="s">
        <v>2189</v>
      </c>
      <c r="P7" s="3" t="s">
        <v>2189</v>
      </c>
      <c r="Q7" s="5" t="s">
        <v>2184</v>
      </c>
      <c r="R7" s="3" t="s">
        <v>2140</v>
      </c>
    </row>
    <row r="8" spans="1:18">
      <c r="A8" s="1">
        <v>7</v>
      </c>
      <c r="B8" s="2">
        <v>32690</v>
      </c>
      <c r="C8" s="2">
        <v>45166</v>
      </c>
      <c r="D8" s="2">
        <v>44802</v>
      </c>
      <c r="E8" s="3" t="s">
        <v>2183</v>
      </c>
      <c r="F8" s="4">
        <v>15</v>
      </c>
      <c r="G8" s="5" t="s">
        <v>2184</v>
      </c>
      <c r="H8" s="3" t="s">
        <v>2185</v>
      </c>
      <c r="I8" s="5" t="s">
        <v>1543</v>
      </c>
      <c r="J8" s="5" t="s">
        <v>2187</v>
      </c>
      <c r="K8" s="6">
        <v>16.55</v>
      </c>
      <c r="L8" s="8"/>
      <c r="M8" s="3" t="s">
        <v>2189</v>
      </c>
      <c r="N8" s="3" t="s">
        <v>2189</v>
      </c>
      <c r="O8" s="5" t="s">
        <v>2189</v>
      </c>
      <c r="P8" s="3" t="s">
        <v>2189</v>
      </c>
      <c r="Q8" s="5" t="s">
        <v>2184</v>
      </c>
      <c r="R8" s="3" t="s">
        <v>2132</v>
      </c>
    </row>
    <row r="10" spans="1:18">
      <c r="B10" s="282" t="s">
        <v>2115</v>
      </c>
      <c r="C10" s="283"/>
      <c r="D10" s="283"/>
      <c r="E10" s="283"/>
      <c r="F10" s="283"/>
      <c r="G10" s="283"/>
      <c r="H10" s="283"/>
      <c r="I10" s="284"/>
    </row>
    <row r="11" spans="1:18">
      <c r="B11" s="276" t="s">
        <v>2191</v>
      </c>
      <c r="C11" s="277"/>
      <c r="D11" s="277"/>
      <c r="E11" s="277"/>
      <c r="F11" s="277"/>
      <c r="G11" s="278"/>
      <c r="H11" s="277"/>
      <c r="I11" s="279"/>
    </row>
  </sheetData>
  <sheetProtection algorithmName="SHA-512" hashValue="5KvOIcvsrry7eRrOkaIGiSB1L12+cPJJzQRGhF/EdOV9b5Z0wHjX5B9MagfSCG3SKqPelybE+6fDwGQtWLa2HQ==" saltValue="QQOAW898/OiqPoJdq8bgFw==" spinCount="100000" sheet="1" objects="1" scenarios="1" sort="0" autoFilter="0"/>
  <mergeCells count="1">
    <mergeCell ref="B10:I10"/>
  </mergeCells>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30"/>
  <sheetViews>
    <sheetView view="pageBreakPreview" zoomScaleNormal="100" zoomScaleSheetLayoutView="100" workbookViewId="0">
      <selection activeCell="F13" sqref="F13"/>
    </sheetView>
  </sheetViews>
  <sheetFormatPr defaultColWidth="9.140625" defaultRowHeight="12"/>
  <cols>
    <col min="1" max="1" width="15.42578125" style="28" customWidth="1"/>
    <col min="2" max="2" width="42.28515625" style="28" customWidth="1"/>
    <col min="3" max="3" width="13.28515625" style="30" customWidth="1"/>
    <col min="4" max="4" width="44.140625" style="28" bestFit="1" customWidth="1"/>
    <col min="5" max="5" width="17.7109375" style="28" bestFit="1" customWidth="1"/>
    <col min="6" max="6" width="17.7109375" style="90" bestFit="1" customWidth="1"/>
    <col min="7" max="8" width="18" style="28" bestFit="1" customWidth="1"/>
    <col min="9" max="9" width="17.7109375" style="28" bestFit="1" customWidth="1"/>
    <col min="10" max="10" width="9.140625" style="28"/>
    <col min="11" max="11" width="18" style="28" bestFit="1" customWidth="1"/>
    <col min="12" max="16384" width="9.140625" style="28"/>
  </cols>
  <sheetData>
    <row r="1" spans="1:9" s="26" customFormat="1" ht="26.25" customHeight="1">
      <c r="A1" s="303" t="s">
        <v>1301</v>
      </c>
      <c r="B1" s="303"/>
      <c r="C1" s="303"/>
      <c r="D1" s="303"/>
      <c r="E1" s="303"/>
      <c r="F1" s="303"/>
      <c r="G1" s="303"/>
      <c r="H1" s="303"/>
      <c r="I1" s="303"/>
    </row>
    <row r="2" spans="1:9" s="26" customFormat="1" ht="15" customHeight="1">
      <c r="A2" s="301" t="s">
        <v>1607</v>
      </c>
      <c r="B2" s="306"/>
      <c r="C2" s="306"/>
      <c r="D2" s="306"/>
      <c r="E2" s="306"/>
      <c r="F2" s="306"/>
      <c r="G2" s="306"/>
      <c r="H2" s="306"/>
      <c r="I2" s="307"/>
    </row>
    <row r="3" spans="1:9" ht="15" customHeight="1">
      <c r="B3" s="30"/>
      <c r="C3" s="28"/>
      <c r="F3" s="28"/>
    </row>
    <row r="4" spans="1:9" ht="15" customHeight="1">
      <c r="A4" s="28" t="s">
        <v>166</v>
      </c>
      <c r="B4" s="91"/>
      <c r="C4" s="91"/>
      <c r="D4" s="91"/>
      <c r="E4" s="91"/>
      <c r="F4" s="92"/>
      <c r="G4" s="93"/>
    </row>
    <row r="5" spans="1:9" ht="15" customHeight="1">
      <c r="A5" s="28" t="s">
        <v>220</v>
      </c>
      <c r="B5" s="91"/>
      <c r="C5" s="91"/>
      <c r="D5" s="91"/>
      <c r="E5" s="91"/>
      <c r="F5" s="92"/>
      <c r="G5" s="93"/>
    </row>
    <row r="6" spans="1:9" ht="15" customHeight="1">
      <c r="A6" s="28" t="s">
        <v>213</v>
      </c>
      <c r="B6" s="94"/>
      <c r="C6" s="95"/>
      <c r="D6" s="95"/>
      <c r="E6" s="95"/>
      <c r="F6" s="96"/>
    </row>
    <row r="7" spans="1:9" ht="15" customHeight="1">
      <c r="B7" s="94"/>
      <c r="C7" s="94"/>
      <c r="D7" s="97"/>
      <c r="E7" s="305" t="s">
        <v>242</v>
      </c>
      <c r="F7" s="305"/>
      <c r="G7" s="305"/>
      <c r="H7" s="305"/>
      <c r="I7" s="305"/>
    </row>
    <row r="8" spans="1:9" s="29" customFormat="1" ht="26.25" customHeight="1">
      <c r="A8" s="248" t="s">
        <v>196</v>
      </c>
      <c r="B8" s="249" t="s">
        <v>150</v>
      </c>
      <c r="C8" s="250" t="s">
        <v>1579</v>
      </c>
      <c r="D8" s="248" t="s">
        <v>1580</v>
      </c>
      <c r="E8" s="248" t="s">
        <v>1300</v>
      </c>
      <c r="F8" s="248" t="s">
        <v>1577</v>
      </c>
      <c r="G8" s="248" t="s">
        <v>1613</v>
      </c>
      <c r="H8" s="248" t="s">
        <v>1612</v>
      </c>
      <c r="I8" s="248" t="s">
        <v>2155</v>
      </c>
    </row>
    <row r="9" spans="1:9" s="29" customFormat="1" ht="15" customHeight="1">
      <c r="A9" s="105">
        <v>1</v>
      </c>
      <c r="B9" s="87" t="s">
        <v>2114</v>
      </c>
      <c r="C9" s="125">
        <f>Tariefsopbouw!E35</f>
        <v>0</v>
      </c>
      <c r="D9" s="106" t="s">
        <v>1296</v>
      </c>
      <c r="E9" s="126" t="e">
        <f>(Invulextrawerkz[[#This Row],[Prijs
Excl. BTW]]*Tariefsopbouw!$I$37)+Invulextrawerkz[[#This Row],[Prijs
Excl. BTW]]</f>
        <v>#DIV/0!</v>
      </c>
      <c r="F9" s="100" t="e">
        <f>Invulextrawerkz[[#This Row],[2028]]*Tariefsopbouw!$K$37+Invulextrawerkz[[#This Row],[2028]]</f>
        <v>#DIV/0!</v>
      </c>
      <c r="G9" s="100" t="e">
        <f>Invulextrawerkz[[#This Row],[2029]]*Tariefsopbouw!$M$37+Invulextrawerkz[[#This Row],[2029]]</f>
        <v>#DIV/0!</v>
      </c>
      <c r="H9" s="100" t="e">
        <f>Invulextrawerkz[[#This Row],[2030]]*Tariefsopbouw!$O$37+Invulextrawerkz[[#This Row],[2030]]</f>
        <v>#DIV/0!</v>
      </c>
      <c r="I9" s="100" t="e">
        <f>Invulextrawerkz[[#This Row],[2031]]*Tariefsopbouw!$Q$37+Invulextrawerkz[[#This Row],[2031]]</f>
        <v>#DIV/0!</v>
      </c>
    </row>
    <row r="10" spans="1:9" ht="15" customHeight="1">
      <c r="B10" s="30"/>
      <c r="E10" s="103"/>
      <c r="F10" s="104"/>
      <c r="G10" s="103"/>
      <c r="H10" s="103"/>
    </row>
    <row r="11" spans="1:9" s="71" customFormat="1" ht="28.5" customHeight="1">
      <c r="A11" s="248" t="s">
        <v>195</v>
      </c>
      <c r="B11" s="248" t="s">
        <v>135</v>
      </c>
      <c r="C11" s="248" t="s">
        <v>196</v>
      </c>
      <c r="D11" s="251" t="s">
        <v>150</v>
      </c>
      <c r="E11" s="251" t="s">
        <v>1581</v>
      </c>
      <c r="F11" s="251" t="s">
        <v>158</v>
      </c>
      <c r="G11" s="251" t="s">
        <v>137</v>
      </c>
      <c r="H11" s="252" t="s">
        <v>1257</v>
      </c>
      <c r="I11" s="251" t="s">
        <v>2115</v>
      </c>
    </row>
    <row r="12" spans="1:9" ht="15" customHeight="1">
      <c r="A12" s="127">
        <v>3</v>
      </c>
      <c r="B12" s="106" t="str">
        <f>VLOOKUP(Overzichtextrawerkz.[[#This Row],[Code Locatie]],Locaties[[Code]:[Locatie]],2,FALSE)</f>
        <v>IKC De Saffier</v>
      </c>
      <c r="C12" s="105">
        <v>1</v>
      </c>
      <c r="D12" s="97" t="str">
        <f>IF(Overzichtextrawerkz.[[#This Row],[Code Taak]]&gt;0,VLOOKUP(Overzichtextrawerkz.[[#This Row],[Code Taak]],$A$8:$B$9,2,FALSE),"")</f>
        <v>Schoonmaak BSO tijdens vakanties</v>
      </c>
      <c r="E12" s="30">
        <v>1</v>
      </c>
      <c r="F12" s="128">
        <v>55</v>
      </c>
      <c r="G12" s="110">
        <f>VLOOKUP(Overzichtextrawerkz.[[#This Row],[Code Taak]],Invulextrawerkz[],3,3)*E12*F12</f>
        <v>0</v>
      </c>
      <c r="H12" s="110">
        <f>Overzichtextrawerkz.[[#This Row],[Kosten/jaar excl. BTW]]*1.21</f>
        <v>0</v>
      </c>
      <c r="I12" s="266" t="s">
        <v>2116</v>
      </c>
    </row>
    <row r="13" spans="1:9" ht="15" customHeight="1">
      <c r="A13" s="127">
        <v>4</v>
      </c>
      <c r="B13" s="106" t="str">
        <f>VLOOKUP(Overzichtextrawerkz.[[#This Row],[Code Locatie]],Locaties[[Code]:[Locatie]],2,FALSE)</f>
        <v>IKC De Waterlelie</v>
      </c>
      <c r="C13" s="105">
        <v>1</v>
      </c>
      <c r="D13" s="97" t="str">
        <f>IF(Overzichtextrawerkz.[[#This Row],[Code Taak]]&gt;0,VLOOKUP(Overzichtextrawerkz.[[#This Row],[Code Taak]],$A$8:$B$9,2,FALSE),"")</f>
        <v>Schoonmaak BSO tijdens vakanties</v>
      </c>
      <c r="E13" s="30">
        <v>1</v>
      </c>
      <c r="F13" s="128">
        <v>55</v>
      </c>
      <c r="G13" s="110">
        <f>VLOOKUP(Overzichtextrawerkz.[[#This Row],[Code Taak]],Invulextrawerkz[],3,3)*E13*F13</f>
        <v>0</v>
      </c>
      <c r="H13" s="110">
        <f>Overzichtextrawerkz.[[#This Row],[Kosten/jaar excl. BTW]]*1.21</f>
        <v>0</v>
      </c>
      <c r="I13" s="266" t="s">
        <v>2116</v>
      </c>
    </row>
    <row r="14" spans="1:9" ht="15" customHeight="1">
      <c r="A14" s="127">
        <v>5</v>
      </c>
      <c r="B14" s="106" t="str">
        <f>VLOOKUP(Overzichtextrawerkz.[[#This Row],[Code Locatie]],Locaties[[Code]:[Locatie]],2,FALSE)</f>
        <v>IKC De Springplank</v>
      </c>
      <c r="C14" s="105">
        <v>1</v>
      </c>
      <c r="D14" s="97" t="str">
        <f>IF(Overzichtextrawerkz.[[#This Row],[Code Taak]]&gt;0,VLOOKUP(Overzichtextrawerkz.[[#This Row],[Code Taak]],$A$8:$B$9,2,FALSE),"")</f>
        <v>Schoonmaak BSO tijdens vakanties</v>
      </c>
      <c r="E14" s="30">
        <v>1</v>
      </c>
      <c r="F14" s="128">
        <v>55</v>
      </c>
      <c r="G14" s="110">
        <f>VLOOKUP(Overzichtextrawerkz.[[#This Row],[Code Taak]],Invulextrawerkz[],3,3)*E14*F14</f>
        <v>0</v>
      </c>
      <c r="H14" s="110">
        <f>Overzichtextrawerkz.[[#This Row],[Kosten/jaar excl. BTW]]*1.21</f>
        <v>0</v>
      </c>
      <c r="I14" s="266" t="s">
        <v>2116</v>
      </c>
    </row>
    <row r="15" spans="1:9" ht="15" customHeight="1">
      <c r="A15" s="127">
        <v>6</v>
      </c>
      <c r="B15" s="106" t="str">
        <f>VLOOKUP(Overzichtextrawerkz.[[#This Row],[Code Locatie]],Locaties[[Code]:[Locatie]],2,FALSE)</f>
        <v>IKC Het Zwanenbos</v>
      </c>
      <c r="C15" s="105">
        <v>1</v>
      </c>
      <c r="D15" s="97" t="str">
        <f>IF(Overzichtextrawerkz.[[#This Row],[Code Taak]]&gt;0,VLOOKUP(Overzichtextrawerkz.[[#This Row],[Code Taak]],$A$8:$B$9,2,FALSE),"")</f>
        <v>Schoonmaak BSO tijdens vakanties</v>
      </c>
      <c r="E15" s="30">
        <v>1</v>
      </c>
      <c r="F15" s="128">
        <v>55</v>
      </c>
      <c r="G15" s="110">
        <f>VLOOKUP(Overzichtextrawerkz.[[#This Row],[Code Taak]],Invulextrawerkz[],3,3)*E15*F15</f>
        <v>0</v>
      </c>
      <c r="H15" s="110">
        <f>Overzichtextrawerkz.[[#This Row],[Kosten/jaar excl. BTW]]*1.21</f>
        <v>0</v>
      </c>
      <c r="I15" s="266" t="s">
        <v>2116</v>
      </c>
    </row>
    <row r="16" spans="1:9" ht="15" customHeight="1">
      <c r="A16" s="127">
        <v>7</v>
      </c>
      <c r="B16" s="106" t="str">
        <f>VLOOKUP(Overzichtextrawerkz.[[#This Row],[Code Locatie]],Locaties[[Code]:[Locatie]],2,FALSE)</f>
        <v>IKC De Baanbreker</v>
      </c>
      <c r="C16" s="105">
        <v>1</v>
      </c>
      <c r="D16" s="97" t="str">
        <f>IF(Overzichtextrawerkz.[[#This Row],[Code Taak]]&gt;0,VLOOKUP(Overzichtextrawerkz.[[#This Row],[Code Taak]],$A$8:$B$9,2,FALSE),"")</f>
        <v>Schoonmaak BSO tijdens vakanties</v>
      </c>
      <c r="E16" s="30">
        <v>1</v>
      </c>
      <c r="F16" s="128">
        <v>55</v>
      </c>
      <c r="G16" s="110">
        <f>VLOOKUP(Overzichtextrawerkz.[[#This Row],[Code Taak]],Invulextrawerkz[],3,3)*E16*F16</f>
        <v>0</v>
      </c>
      <c r="H16" s="110">
        <f>Overzichtextrawerkz.[[#This Row],[Kosten/jaar excl. BTW]]*1.21</f>
        <v>0</v>
      </c>
      <c r="I16" s="266" t="s">
        <v>2116</v>
      </c>
    </row>
    <row r="17" spans="1:9" ht="15" customHeight="1">
      <c r="A17" s="127">
        <v>9</v>
      </c>
      <c r="B17" s="106" t="str">
        <f>VLOOKUP(Overzichtextrawerkz.[[#This Row],[Code Locatie]],Locaties[[Code]:[Locatie]],2,FALSE)</f>
        <v>IKC De Vijverburgh</v>
      </c>
      <c r="C17" s="105">
        <v>1</v>
      </c>
      <c r="D17" s="97" t="str">
        <f>IF(Overzichtextrawerkz.[[#This Row],[Code Taak]]&gt;0,VLOOKUP(Overzichtextrawerkz.[[#This Row],[Code Taak]],$A$8:$B$9,2,FALSE),"")</f>
        <v>Schoonmaak BSO tijdens vakanties</v>
      </c>
      <c r="E17" s="30">
        <v>1</v>
      </c>
      <c r="F17" s="128">
        <v>55</v>
      </c>
      <c r="G17" s="110">
        <f>VLOOKUP(Overzichtextrawerkz.[[#This Row],[Code Taak]],Invulextrawerkz[],3,3)*E17*F17</f>
        <v>0</v>
      </c>
      <c r="H17" s="110">
        <f>Overzichtextrawerkz.[[#This Row],[Kosten/jaar excl. BTW]]*1.21</f>
        <v>0</v>
      </c>
      <c r="I17" s="266" t="s">
        <v>2116</v>
      </c>
    </row>
    <row r="18" spans="1:9" ht="15" customHeight="1">
      <c r="A18" s="127">
        <v>10</v>
      </c>
      <c r="B18" s="106" t="str">
        <f>VLOOKUP(Overzichtextrawerkz.[[#This Row],[Code Locatie]],Locaties[[Code]:[Locatie]],2,FALSE)</f>
        <v xml:space="preserve">IKC De Edelsteen </v>
      </c>
      <c r="C18" s="105">
        <v>1</v>
      </c>
      <c r="D18" s="97" t="str">
        <f>IF(Overzichtextrawerkz.[[#This Row],[Code Taak]]&gt;0,VLOOKUP(Overzichtextrawerkz.[[#This Row],[Code Taak]],$A$8:$B$9,2,FALSE),"")</f>
        <v>Schoonmaak BSO tijdens vakanties</v>
      </c>
      <c r="E18" s="30">
        <v>1</v>
      </c>
      <c r="F18" s="128">
        <v>55</v>
      </c>
      <c r="G18" s="110">
        <f>VLOOKUP(Overzichtextrawerkz.[[#This Row],[Code Taak]],Invulextrawerkz[],3,3)*E18*F18</f>
        <v>0</v>
      </c>
      <c r="H18" s="110">
        <f>Overzichtextrawerkz.[[#This Row],[Kosten/jaar excl. BTW]]*1.21</f>
        <v>0</v>
      </c>
      <c r="I18" s="266" t="s">
        <v>2116</v>
      </c>
    </row>
    <row r="19" spans="1:9" ht="15" customHeight="1">
      <c r="A19" s="127">
        <v>13</v>
      </c>
      <c r="B19" s="106" t="str">
        <f>VLOOKUP(Overzichtextrawerkz.[[#This Row],[Code Locatie]],Locaties[[Code]:[Locatie]],2,FALSE)</f>
        <v>IKC Florence Nightingale</v>
      </c>
      <c r="C19" s="105">
        <v>1</v>
      </c>
      <c r="D19" s="97" t="str">
        <f>IF(Overzichtextrawerkz.[[#This Row],[Code Taak]]&gt;0,VLOOKUP(Overzichtextrawerkz.[[#This Row],[Code Taak]],$A$8:$B$9,2,FALSE),"")</f>
        <v>Schoonmaak BSO tijdens vakanties</v>
      </c>
      <c r="E19" s="30">
        <v>1</v>
      </c>
      <c r="F19" s="128">
        <v>55</v>
      </c>
      <c r="G19" s="110">
        <f>VLOOKUP(Overzichtextrawerkz.[[#This Row],[Code Taak]],Invulextrawerkz[],3,3)*E19*F19</f>
        <v>0</v>
      </c>
      <c r="H19" s="110">
        <f>Overzichtextrawerkz.[[#This Row],[Kosten/jaar excl. BTW]]*1.21</f>
        <v>0</v>
      </c>
      <c r="I19" s="266" t="s">
        <v>2116</v>
      </c>
    </row>
    <row r="20" spans="1:9" ht="15" customHeight="1">
      <c r="A20" s="127">
        <v>14</v>
      </c>
      <c r="B20" s="106" t="str">
        <f>VLOOKUP(Overzichtextrawerkz.[[#This Row],[Code Locatie]],Locaties[[Code]:[Locatie]],2,FALSE)</f>
        <v>IKC De Vuurtoren</v>
      </c>
      <c r="C20" s="105">
        <v>1</v>
      </c>
      <c r="D20" s="97" t="str">
        <f>IF(Overzichtextrawerkz.[[#This Row],[Code Taak]]&gt;0,VLOOKUP(Overzichtextrawerkz.[[#This Row],[Code Taak]],$A$8:$B$9,2,FALSE),"")</f>
        <v>Schoonmaak BSO tijdens vakanties</v>
      </c>
      <c r="E20" s="30">
        <v>1</v>
      </c>
      <c r="F20" s="128">
        <v>55</v>
      </c>
      <c r="G20" s="110">
        <f>VLOOKUP(Overzichtextrawerkz.[[#This Row],[Code Taak]],Invulextrawerkz[],3,3)*E20*F20</f>
        <v>0</v>
      </c>
      <c r="H20" s="110">
        <f>Overzichtextrawerkz.[[#This Row],[Kosten/jaar excl. BTW]]*1.21</f>
        <v>0</v>
      </c>
      <c r="I20" s="266" t="s">
        <v>2116</v>
      </c>
    </row>
    <row r="21" spans="1:9" ht="15" customHeight="1">
      <c r="A21" s="127">
        <v>15</v>
      </c>
      <c r="B21" s="106" t="str">
        <f>VLOOKUP(Overzichtextrawerkz.[[#This Row],[Code Locatie]],Locaties[[Code]:[Locatie]],2,FALSE)</f>
        <v>IKC  Da Vinci</v>
      </c>
      <c r="C21" s="105">
        <v>1</v>
      </c>
      <c r="D21" s="97" t="str">
        <f>IF(Overzichtextrawerkz.[[#This Row],[Code Taak]]&gt;0,VLOOKUP(Overzichtextrawerkz.[[#This Row],[Code Taak]],$A$8:$B$9,2,FALSE),"")</f>
        <v>Schoonmaak BSO tijdens vakanties</v>
      </c>
      <c r="E21" s="30">
        <v>1</v>
      </c>
      <c r="F21" s="128">
        <v>35</v>
      </c>
      <c r="G21" s="110">
        <f>VLOOKUP(Overzichtextrawerkz.[[#This Row],[Code Taak]],Invulextrawerkz[],3,3)*E21*F21</f>
        <v>0</v>
      </c>
      <c r="H21" s="110">
        <f>Overzichtextrawerkz.[[#This Row],[Kosten/jaar excl. BTW]]*1.21</f>
        <v>0</v>
      </c>
      <c r="I21" s="266" t="s">
        <v>2175</v>
      </c>
    </row>
    <row r="22" spans="1:9" ht="15" customHeight="1">
      <c r="A22" s="127">
        <v>16</v>
      </c>
      <c r="B22" s="106" t="str">
        <f>VLOOKUP(Overzichtextrawerkz.[[#This Row],[Code Locatie]],Locaties[[Code]:[Locatie]],2,FALSE)</f>
        <v>IKC de Tjalk Kadelaan</v>
      </c>
      <c r="C22" s="105">
        <v>1</v>
      </c>
      <c r="D22" s="97" t="str">
        <f>IF(Overzichtextrawerkz.[[#This Row],[Code Taak]]&gt;0,VLOOKUP(Overzichtextrawerkz.[[#This Row],[Code Taak]],$A$8:$B$9,2,FALSE),"")</f>
        <v>Schoonmaak BSO tijdens vakanties</v>
      </c>
      <c r="E22" s="30">
        <v>1</v>
      </c>
      <c r="F22" s="128">
        <v>55</v>
      </c>
      <c r="G22" s="110">
        <f>VLOOKUP(Overzichtextrawerkz.[[#This Row],[Code Taak]],Invulextrawerkz[],3,3)*E22*F22</f>
        <v>0</v>
      </c>
      <c r="H22" s="110">
        <f>Overzichtextrawerkz.[[#This Row],[Kosten/jaar excl. BTW]]*1.21</f>
        <v>0</v>
      </c>
      <c r="I22" s="266" t="s">
        <v>2116</v>
      </c>
    </row>
    <row r="23" spans="1:9" ht="15" customHeight="1">
      <c r="A23" s="127">
        <v>18</v>
      </c>
      <c r="B23" s="106" t="str">
        <f>VLOOKUP(Overzichtextrawerkz.[[#This Row],[Code Locatie]],Locaties[[Code]:[Locatie]],2,FALSE)</f>
        <v>IKC De Triangel</v>
      </c>
      <c r="C23" s="105">
        <v>1</v>
      </c>
      <c r="D23" s="97" t="str">
        <f>IF(Overzichtextrawerkz.[[#This Row],[Code Taak]]&gt;0,VLOOKUP(Overzichtextrawerkz.[[#This Row],[Code Taak]],$A$8:$B$9,2,FALSE),"")</f>
        <v>Schoonmaak BSO tijdens vakanties</v>
      </c>
      <c r="E23" s="30">
        <v>1</v>
      </c>
      <c r="F23" s="128">
        <v>55</v>
      </c>
      <c r="G23" s="110">
        <f>VLOOKUP(Overzichtextrawerkz.[[#This Row],[Code Taak]],Invulextrawerkz[],3,3)*E23*F23</f>
        <v>0</v>
      </c>
      <c r="H23" s="110">
        <f>Overzichtextrawerkz.[[#This Row],[Kosten/jaar excl. BTW]]*1.21</f>
        <v>0</v>
      </c>
      <c r="I23" s="266" t="s">
        <v>2116</v>
      </c>
    </row>
    <row r="24" spans="1:9" ht="15" customHeight="1">
      <c r="A24" s="127">
        <v>19</v>
      </c>
      <c r="B24" s="106" t="str">
        <f>VLOOKUP(Overzichtextrawerkz.[[#This Row],[Code Locatie]],Locaties[[Code]:[Locatie]],2,FALSE)</f>
        <v>IKC de Leerplaneet (vhKlimboom)</v>
      </c>
      <c r="C24" s="105">
        <v>1</v>
      </c>
      <c r="D24" s="97" t="str">
        <f>IF(Overzichtextrawerkz.[[#This Row],[Code Taak]]&gt;0,VLOOKUP(Overzichtextrawerkz.[[#This Row],[Code Taak]],$A$8:$B$9,2,FALSE),"")</f>
        <v>Schoonmaak BSO tijdens vakanties</v>
      </c>
      <c r="E24" s="30">
        <v>1</v>
      </c>
      <c r="F24" s="128">
        <v>55</v>
      </c>
      <c r="G24" s="110">
        <f>VLOOKUP(Overzichtextrawerkz.[[#This Row],[Code Taak]],Invulextrawerkz[],3,3)*E24*F24</f>
        <v>0</v>
      </c>
      <c r="H24" s="110">
        <f>Overzichtextrawerkz.[[#This Row],[Kosten/jaar excl. BTW]]*1.21</f>
        <v>0</v>
      </c>
      <c r="I24" s="266" t="s">
        <v>2116</v>
      </c>
    </row>
    <row r="25" spans="1:9" ht="15" customHeight="1">
      <c r="A25" s="127">
        <v>24</v>
      </c>
      <c r="B25" s="106" t="str">
        <f>VLOOKUP(Overzichtextrawerkz.[[#This Row],[Code Locatie]],Locaties[[Code]:[Locatie]],2,FALSE)</f>
        <v>IKC De Gaerde</v>
      </c>
      <c r="C25" s="105">
        <v>1</v>
      </c>
      <c r="D25" s="97" t="str">
        <f>IF(Overzichtextrawerkz.[[#This Row],[Code Taak]]&gt;0,VLOOKUP(Overzichtextrawerkz.[[#This Row],[Code Taak]],$A$8:$B$9,2,FALSE),"")</f>
        <v>Schoonmaak BSO tijdens vakanties</v>
      </c>
      <c r="E25" s="30">
        <v>1</v>
      </c>
      <c r="F25" s="128">
        <v>55</v>
      </c>
      <c r="G25" s="110">
        <f>VLOOKUP(Overzichtextrawerkz.[[#This Row],[Code Taak]],Invulextrawerkz[],3,3)*E25*F25</f>
        <v>0</v>
      </c>
      <c r="H25" s="110">
        <f>Overzichtextrawerkz.[[#This Row],[Kosten/jaar excl. BTW]]*1.21</f>
        <v>0</v>
      </c>
      <c r="I25" s="266" t="s">
        <v>2116</v>
      </c>
    </row>
    <row r="26" spans="1:9" ht="15" customHeight="1">
      <c r="A26" s="127">
        <v>25</v>
      </c>
      <c r="B26" s="106" t="str">
        <f>VLOOKUP(Overzichtextrawerkz.[[#This Row],[Code Locatie]],Locaties[[Code]:[Locatie]],2,FALSE)</f>
        <v>IKC De Piramide</v>
      </c>
      <c r="C26" s="105">
        <v>1</v>
      </c>
      <c r="D26" s="97" t="str">
        <f>IF(Overzichtextrawerkz.[[#This Row],[Code Taak]]&gt;0,VLOOKUP(Overzichtextrawerkz.[[#This Row],[Code Taak]],$A$8:$B$9,2,FALSE),"")</f>
        <v>Schoonmaak BSO tijdens vakanties</v>
      </c>
      <c r="E26" s="30">
        <v>1</v>
      </c>
      <c r="F26" s="128">
        <v>55</v>
      </c>
      <c r="G26" s="110">
        <f>VLOOKUP(Overzichtextrawerkz.[[#This Row],[Code Taak]],Invulextrawerkz[],3,3)*E26*F26</f>
        <v>0</v>
      </c>
      <c r="H26" s="110">
        <f>Overzichtextrawerkz.[[#This Row],[Kosten/jaar excl. BTW]]*1.21</f>
        <v>0</v>
      </c>
      <c r="I26" s="266" t="s">
        <v>2116</v>
      </c>
    </row>
    <row r="27" spans="1:9">
      <c r="A27" s="112"/>
      <c r="B27" s="113" t="s">
        <v>32</v>
      </c>
      <c r="C27" s="112"/>
      <c r="D27" s="114"/>
      <c r="E27" s="115"/>
      <c r="F27" s="112"/>
      <c r="G27" s="116">
        <f>SUBTOTAL(109,Overzichtextrawerkz.[Kosten/jaar excl. BTW])</f>
        <v>0</v>
      </c>
      <c r="H27" s="116">
        <f>SUBTOTAL(109,Overzichtextrawerkz.[Kosten/jaar incl. BTW])</f>
        <v>0</v>
      </c>
      <c r="I27" s="265"/>
    </row>
    <row r="28" spans="1:9">
      <c r="A28" s="117"/>
      <c r="C28" s="91"/>
      <c r="D28" s="91"/>
      <c r="E28" s="91"/>
      <c r="F28" s="104"/>
      <c r="G28" s="118"/>
      <c r="H28" s="93"/>
    </row>
    <row r="30" spans="1:9">
      <c r="E30" s="39"/>
    </row>
  </sheetData>
  <sheetProtection algorithmName="SHA-512" hashValue="3a71UuXQAJpVjS3IIyrfKZPm3bXXDgluByQhLUwOA1Ftf1whYQW7zZiz/F4+I9TyS9hKjoBp7V+PFwerKZzpQg==" saltValue="v8StTQFIwe/Nq7lJV+38wQ==" spinCount="100000" sheet="1" objects="1" scenarios="1" sort="0" autoFilter="0"/>
  <mergeCells count="3">
    <mergeCell ref="E7:I7"/>
    <mergeCell ref="A2:I2"/>
    <mergeCell ref="A1:I1"/>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67"/>
  <sheetViews>
    <sheetView view="pageBreakPreview" zoomScaleNormal="100" zoomScaleSheetLayoutView="100" workbookViewId="0">
      <selection activeCell="F16" sqref="F16"/>
    </sheetView>
  </sheetViews>
  <sheetFormatPr defaultColWidth="9.140625" defaultRowHeight="12"/>
  <cols>
    <col min="1" max="1" width="9.7109375" style="28" customWidth="1"/>
    <col min="2" max="2" width="27" style="28" bestFit="1" customWidth="1"/>
    <col min="3" max="3" width="14.85546875" style="30" customWidth="1"/>
    <col min="4" max="4" width="55.42578125" style="28" customWidth="1"/>
    <col min="5" max="5" width="17.7109375" style="28" bestFit="1" customWidth="1"/>
    <col min="6" max="6" width="17.7109375" style="90" bestFit="1" customWidth="1"/>
    <col min="7" max="7" width="17.7109375" style="28" bestFit="1" customWidth="1"/>
    <col min="8" max="8" width="18" style="28" bestFit="1" customWidth="1"/>
    <col min="9" max="9" width="19" style="28" customWidth="1"/>
    <col min="10" max="10" width="19.28515625" style="28" bestFit="1" customWidth="1"/>
    <col min="11" max="11" width="9.140625" style="28"/>
    <col min="12" max="12" width="35.7109375" style="28" customWidth="1"/>
    <col min="13" max="13" width="15.85546875" style="28" customWidth="1"/>
    <col min="14" max="16384" width="9.140625" style="28"/>
  </cols>
  <sheetData>
    <row r="1" spans="1:13" s="26" customFormat="1" ht="26.25" customHeight="1">
      <c r="A1" s="303" t="s">
        <v>2120</v>
      </c>
      <c r="B1" s="303"/>
      <c r="C1" s="303"/>
      <c r="D1" s="303"/>
      <c r="E1" s="303"/>
      <c r="F1" s="303"/>
      <c r="G1" s="303"/>
      <c r="H1" s="303"/>
      <c r="I1" s="303"/>
    </row>
    <row r="2" spans="1:13" s="26" customFormat="1" ht="15" customHeight="1">
      <c r="A2" s="301" t="s">
        <v>1607</v>
      </c>
      <c r="B2" s="306"/>
      <c r="C2" s="306"/>
      <c r="D2" s="306"/>
      <c r="E2" s="306"/>
      <c r="F2" s="306"/>
      <c r="G2" s="306"/>
      <c r="H2" s="306"/>
      <c r="I2" s="307"/>
    </row>
    <row r="3" spans="1:13" ht="15" customHeight="1">
      <c r="B3" s="30"/>
      <c r="C3" s="28"/>
      <c r="D3" s="88"/>
      <c r="E3" s="89"/>
    </row>
    <row r="4" spans="1:13" ht="15" customHeight="1">
      <c r="A4" s="28" t="s">
        <v>166</v>
      </c>
      <c r="B4" s="91"/>
      <c r="C4" s="91"/>
      <c r="D4" s="91"/>
      <c r="E4" s="91"/>
      <c r="F4" s="92"/>
      <c r="G4" s="93"/>
    </row>
    <row r="5" spans="1:13" ht="15" customHeight="1">
      <c r="A5" s="28" t="s">
        <v>220</v>
      </c>
      <c r="B5" s="91"/>
      <c r="C5" s="91"/>
      <c r="D5" s="91"/>
      <c r="E5" s="91"/>
      <c r="F5" s="92"/>
      <c r="G5" s="93"/>
    </row>
    <row r="6" spans="1:13" ht="15" customHeight="1">
      <c r="A6" s="28" t="s">
        <v>213</v>
      </c>
      <c r="B6" s="94"/>
      <c r="C6" s="95"/>
      <c r="D6" s="95"/>
      <c r="E6" s="95"/>
      <c r="F6" s="96"/>
    </row>
    <row r="7" spans="1:13" ht="15" customHeight="1">
      <c r="B7" s="94"/>
      <c r="C7" s="94"/>
      <c r="D7" s="97"/>
      <c r="E7" s="305" t="s">
        <v>242</v>
      </c>
      <c r="F7" s="305"/>
      <c r="G7" s="305"/>
      <c r="H7" s="305"/>
      <c r="I7" s="305"/>
      <c r="M7" s="98"/>
    </row>
    <row r="8" spans="1:13" s="29" customFormat="1" ht="26.25" customHeight="1">
      <c r="A8" s="248" t="s">
        <v>196</v>
      </c>
      <c r="B8" s="248" t="s">
        <v>2121</v>
      </c>
      <c r="C8" s="248" t="s">
        <v>142</v>
      </c>
      <c r="D8" s="251" t="s">
        <v>1298</v>
      </c>
      <c r="E8" s="251" t="s">
        <v>1300</v>
      </c>
      <c r="F8" s="251" t="s">
        <v>1577</v>
      </c>
      <c r="G8" s="251" t="s">
        <v>1613</v>
      </c>
      <c r="H8" s="248" t="s">
        <v>1612</v>
      </c>
      <c r="I8" s="248" t="s">
        <v>2155</v>
      </c>
      <c r="M8" s="99"/>
    </row>
    <row r="9" spans="1:13" ht="24">
      <c r="A9" s="105">
        <v>1</v>
      </c>
      <c r="B9" s="119" t="s">
        <v>2157</v>
      </c>
      <c r="C9" s="466">
        <v>0</v>
      </c>
      <c r="D9" s="273" t="s">
        <v>2163</v>
      </c>
      <c r="E9" s="100" t="e">
        <f>Sanitair[[#This Row],[Prijs]]*Tariefsopbouw!$I$37+Sanitair[[#This Row],[Prijs]]</f>
        <v>#DIV/0!</v>
      </c>
      <c r="F9" s="268" t="e">
        <f>Sanitair[[#This Row],[2028]]*Tariefsopbouw!$K$37+Sanitair[[#This Row],[2028]]</f>
        <v>#DIV/0!</v>
      </c>
      <c r="G9" s="268" t="e">
        <f>Sanitair[[#This Row],[2029]]*Tariefsopbouw!$M$37+Sanitair[[#This Row],[2029]]</f>
        <v>#DIV/0!</v>
      </c>
      <c r="H9" s="268" t="e">
        <f>Sanitair[[#This Row],[2030]]*Tariefsopbouw!$O$37+Sanitair[[#This Row],[2030]]</f>
        <v>#DIV/0!</v>
      </c>
      <c r="I9" s="268" t="e">
        <f>Sanitair[[#This Row],[2031]]*Tariefsopbouw!$Q$37+Sanitair[[#This Row],[2031]]</f>
        <v>#DIV/0!</v>
      </c>
      <c r="M9" s="98"/>
    </row>
    <row r="10" spans="1:13" ht="48">
      <c r="A10" s="105">
        <v>2</v>
      </c>
      <c r="B10" s="119" t="s">
        <v>2122</v>
      </c>
      <c r="C10" s="466">
        <v>0</v>
      </c>
      <c r="D10" s="273" t="s">
        <v>2164</v>
      </c>
      <c r="E10" s="100" t="e">
        <f>Sanitair[[#This Row],[Prijs]]*Tariefsopbouw!$I$37+Sanitair[[#This Row],[Prijs]]</f>
        <v>#DIV/0!</v>
      </c>
      <c r="F10" s="100" t="e">
        <f>Sanitair[[#This Row],[2028]]*Tariefsopbouw!$K$37+Sanitair[[#This Row],[2028]]</f>
        <v>#DIV/0!</v>
      </c>
      <c r="G10" s="100" t="e">
        <f>Sanitair[[#This Row],[2029]]*Tariefsopbouw!$M$37+Sanitair[[#This Row],[2029]]</f>
        <v>#DIV/0!</v>
      </c>
      <c r="H10" s="100" t="e">
        <f>Sanitair[[#This Row],[2030]]*Tariefsopbouw!$O$37+Sanitair[[#This Row],[2030]]</f>
        <v>#DIV/0!</v>
      </c>
      <c r="I10" s="100" t="e">
        <f>Sanitair[[#This Row],[2031]]*Tariefsopbouw!$Q$37+Sanitair[[#This Row],[2031]]</f>
        <v>#DIV/0!</v>
      </c>
      <c r="M10" s="101"/>
    </row>
    <row r="11" spans="1:13" ht="24">
      <c r="A11" s="105">
        <v>3</v>
      </c>
      <c r="B11" s="119" t="s">
        <v>2123</v>
      </c>
      <c r="C11" s="466">
        <v>0</v>
      </c>
      <c r="D11" s="273" t="s">
        <v>2165</v>
      </c>
      <c r="E11" s="100" t="e">
        <f>Sanitair[[#This Row],[Prijs]]*Tariefsopbouw!$I$37+Sanitair[[#This Row],[Prijs]]</f>
        <v>#DIV/0!</v>
      </c>
      <c r="F11" s="100" t="e">
        <f>Sanitair[[#This Row],[2028]]*Tariefsopbouw!$K$37+Sanitair[[#This Row],[2028]]</f>
        <v>#DIV/0!</v>
      </c>
      <c r="G11" s="100" t="e">
        <f>Sanitair[[#This Row],[2029]]*Tariefsopbouw!$M$37+Sanitair[[#This Row],[2029]]</f>
        <v>#DIV/0!</v>
      </c>
      <c r="H11" s="100" t="e">
        <f>Sanitair[[#This Row],[2030]]*Tariefsopbouw!$O$37+Sanitair[[#This Row],[2030]]</f>
        <v>#DIV/0!</v>
      </c>
      <c r="I11" s="100" t="e">
        <f>Sanitair[[#This Row],[2031]]*Tariefsopbouw!$Q$37+Sanitair[[#This Row],[2031]]</f>
        <v>#DIV/0!</v>
      </c>
      <c r="M11" s="102"/>
    </row>
    <row r="12" spans="1:13" ht="36">
      <c r="A12" s="105">
        <v>4</v>
      </c>
      <c r="B12" s="119" t="s">
        <v>2158</v>
      </c>
      <c r="C12" s="466">
        <v>0</v>
      </c>
      <c r="D12" s="273" t="s">
        <v>2166</v>
      </c>
      <c r="E12" s="100" t="e">
        <f>Sanitair[[#This Row],[Prijs]]*Tariefsopbouw!$I$37+Sanitair[[#This Row],[Prijs]]</f>
        <v>#DIV/0!</v>
      </c>
      <c r="F12" s="100" t="e">
        <f>Sanitair[[#This Row],[2028]]*Tariefsopbouw!$K$37+Sanitair[[#This Row],[2028]]</f>
        <v>#DIV/0!</v>
      </c>
      <c r="G12" s="100" t="e">
        <f>Sanitair[[#This Row],[2029]]*Tariefsopbouw!$M$37+Sanitair[[#This Row],[2029]]</f>
        <v>#DIV/0!</v>
      </c>
      <c r="H12" s="100" t="e">
        <f>Sanitair[[#This Row],[2030]]*Tariefsopbouw!$O$37+Sanitair[[#This Row],[2030]]</f>
        <v>#DIV/0!</v>
      </c>
      <c r="I12" s="100" t="e">
        <f>Sanitair[[#This Row],[2031]]*Tariefsopbouw!$Q$37+Sanitair[[#This Row],[2031]]</f>
        <v>#DIV/0!</v>
      </c>
    </row>
    <row r="13" spans="1:13" ht="18" customHeight="1">
      <c r="A13" s="105">
        <v>5</v>
      </c>
      <c r="B13" s="119" t="s">
        <v>1914</v>
      </c>
      <c r="C13" s="466">
        <v>0</v>
      </c>
      <c r="D13" s="273" t="s">
        <v>2167</v>
      </c>
      <c r="E13" s="100" t="e">
        <f>Sanitair[[#This Row],[Prijs]]*Tariefsopbouw!$I$37+Sanitair[[#This Row],[Prijs]]</f>
        <v>#DIV/0!</v>
      </c>
      <c r="F13" s="100" t="e">
        <f>Sanitair[[#This Row],[2028]]*Tariefsopbouw!$K$37+Sanitair[[#This Row],[2028]]</f>
        <v>#DIV/0!</v>
      </c>
      <c r="G13" s="100" t="e">
        <f>Sanitair[[#This Row],[2029]]*Tariefsopbouw!$M$37+Sanitair[[#This Row],[2029]]</f>
        <v>#DIV/0!</v>
      </c>
      <c r="H13" s="100" t="e">
        <f>Sanitair[[#This Row],[2030]]*Tariefsopbouw!$O$37+Sanitair[[#This Row],[2030]]</f>
        <v>#DIV/0!</v>
      </c>
      <c r="I13" s="100" t="e">
        <f>Sanitair[[#This Row],[2031]]*Tariefsopbouw!$Q$37+Sanitair[[#This Row],[2031]]</f>
        <v>#DIV/0!</v>
      </c>
    </row>
    <row r="14" spans="1:13" ht="18" customHeight="1">
      <c r="A14" s="105">
        <v>6</v>
      </c>
      <c r="B14" s="119" t="s">
        <v>2159</v>
      </c>
      <c r="C14" s="466">
        <v>0</v>
      </c>
      <c r="D14" s="273" t="s">
        <v>2168</v>
      </c>
      <c r="E14" s="100" t="e">
        <f>Sanitair[[#This Row],[Prijs]]*Tariefsopbouw!$I$37+Sanitair[[#This Row],[Prijs]]</f>
        <v>#DIV/0!</v>
      </c>
      <c r="F14" s="100" t="e">
        <f>Sanitair[[#This Row],[2028]]*Tariefsopbouw!$K$37+Sanitair[[#This Row],[2028]]</f>
        <v>#DIV/0!</v>
      </c>
      <c r="G14" s="100" t="e">
        <f>Sanitair[[#This Row],[2029]]*Tariefsopbouw!$M$37+Sanitair[[#This Row],[2029]]</f>
        <v>#DIV/0!</v>
      </c>
      <c r="H14" s="100" t="e">
        <f>Sanitair[[#This Row],[2030]]*Tariefsopbouw!$O$37+Sanitair[[#This Row],[2030]]</f>
        <v>#DIV/0!</v>
      </c>
      <c r="I14" s="100" t="e">
        <f>Sanitair[[#This Row],[2031]]*Tariefsopbouw!$Q$37+Sanitair[[#This Row],[2031]]</f>
        <v>#DIV/0!</v>
      </c>
    </row>
    <row r="15" spans="1:13" ht="36">
      <c r="A15" s="105">
        <v>7</v>
      </c>
      <c r="B15" s="106" t="s">
        <v>2160</v>
      </c>
      <c r="C15" s="466">
        <v>0</v>
      </c>
      <c r="D15" s="273" t="s">
        <v>2169</v>
      </c>
      <c r="E15" s="100" t="e">
        <f>Sanitair[[#This Row],[Prijs]]*Tariefsopbouw!$I$37+Sanitair[[#This Row],[Prijs]]</f>
        <v>#DIV/0!</v>
      </c>
      <c r="F15" s="100" t="e">
        <f>Sanitair[[#This Row],[2028]]*Tariefsopbouw!$K$37+Sanitair[[#This Row],[2028]]</f>
        <v>#DIV/0!</v>
      </c>
      <c r="G15" s="100" t="e">
        <f>Sanitair[[#This Row],[2029]]*Tariefsopbouw!$M$37+Sanitair[[#This Row],[2029]]</f>
        <v>#DIV/0!</v>
      </c>
      <c r="H15" s="100" t="e">
        <f>Sanitair[[#This Row],[2030]]*Tariefsopbouw!$O$37+Sanitair[[#This Row],[2030]]</f>
        <v>#DIV/0!</v>
      </c>
      <c r="I15" s="100" t="e">
        <f>Sanitair[[#This Row],[2031]]*Tariefsopbouw!$Q$37+Sanitair[[#This Row],[2031]]</f>
        <v>#DIV/0!</v>
      </c>
    </row>
    <row r="16" spans="1:13" ht="24">
      <c r="A16" s="105">
        <v>8</v>
      </c>
      <c r="B16" s="271" t="s">
        <v>2124</v>
      </c>
      <c r="C16" s="466">
        <v>0</v>
      </c>
      <c r="D16" s="273" t="s">
        <v>2170</v>
      </c>
      <c r="E16" s="100" t="e">
        <f>Sanitair[[#This Row],[Prijs]]*Tariefsopbouw!$I$37+Sanitair[[#This Row],[Prijs]]</f>
        <v>#DIV/0!</v>
      </c>
      <c r="F16" s="100" t="e">
        <f>Sanitair[[#This Row],[2028]]*Tariefsopbouw!$K$37+Sanitair[[#This Row],[2028]]</f>
        <v>#DIV/0!</v>
      </c>
      <c r="G16" s="100" t="e">
        <f>Sanitair[[#This Row],[2029]]*Tariefsopbouw!$M$37+Sanitair[[#This Row],[2029]]</f>
        <v>#DIV/0!</v>
      </c>
      <c r="H16" s="100" t="e">
        <f>Sanitair[[#This Row],[2030]]*Tariefsopbouw!$O$37+Sanitair[[#This Row],[2030]]</f>
        <v>#DIV/0!</v>
      </c>
      <c r="I16" s="100" t="e">
        <f>Sanitair[[#This Row],[2031]]*Tariefsopbouw!$Q$37+Sanitair[[#This Row],[2031]]</f>
        <v>#DIV/0!</v>
      </c>
    </row>
    <row r="17" spans="1:12" ht="48">
      <c r="A17" s="105">
        <v>9</v>
      </c>
      <c r="B17" s="271" t="s">
        <v>2161</v>
      </c>
      <c r="C17" s="463">
        <v>0</v>
      </c>
      <c r="D17" s="274" t="s">
        <v>2171</v>
      </c>
      <c r="E17" s="267" t="e">
        <f>Sanitair[[#This Row],[Prijs]]*Tariefsopbouw!$I$37+Sanitair[[#This Row],[Prijs]]</f>
        <v>#DIV/0!</v>
      </c>
      <c r="F17" s="270" t="e">
        <f>Sanitair[[#This Row],[2028]]*Tariefsopbouw!$K$37+Sanitair[[#This Row],[2028]]</f>
        <v>#DIV/0!</v>
      </c>
      <c r="G17" s="267" t="e">
        <f>Sanitair[[#This Row],[2029]]*Tariefsopbouw!$M$37+Sanitair[[#This Row],[2029]]</f>
        <v>#DIV/0!</v>
      </c>
      <c r="H17" s="267" t="e">
        <f>Sanitair[[#This Row],[2030]]*Tariefsopbouw!$O$37+Sanitair[[#This Row],[2030]]</f>
        <v>#DIV/0!</v>
      </c>
      <c r="I17" s="267" t="e">
        <f>Sanitair[[#This Row],[2031]]*Tariefsopbouw!$Q$37+Sanitair[[#This Row],[2031]]</f>
        <v>#DIV/0!</v>
      </c>
    </row>
    <row r="18" spans="1:12" ht="36">
      <c r="A18" s="105">
        <v>10</v>
      </c>
      <c r="B18" s="271" t="s">
        <v>2162</v>
      </c>
      <c r="C18" s="463">
        <v>0</v>
      </c>
      <c r="D18" s="274" t="s">
        <v>2172</v>
      </c>
      <c r="E18" s="267" t="e">
        <f>Sanitair[[#This Row],[Prijs]]*Tariefsopbouw!$I$37+Sanitair[[#This Row],[Prijs]]</f>
        <v>#DIV/0!</v>
      </c>
      <c r="F18" s="270" t="e">
        <f>Sanitair[[#This Row],[2028]]*Tariefsopbouw!$K$37+Sanitair[[#This Row],[2028]]</f>
        <v>#DIV/0!</v>
      </c>
      <c r="G18" s="267" t="e">
        <f>Sanitair[[#This Row],[2029]]*Tariefsopbouw!$M$37+Sanitair[[#This Row],[2029]]</f>
        <v>#DIV/0!</v>
      </c>
      <c r="H18" s="267" t="e">
        <f>Sanitair[[#This Row],[2030]]*Tariefsopbouw!$O$37+Sanitair[[#This Row],[2030]]</f>
        <v>#DIV/0!</v>
      </c>
      <c r="I18" s="267" t="e">
        <f>Sanitair[[#This Row],[2031]]*Tariefsopbouw!$Q$37+Sanitair[[#This Row],[2031]]</f>
        <v>#DIV/0!</v>
      </c>
    </row>
    <row r="19" spans="1:12" ht="18" customHeight="1">
      <c r="A19" s="105">
        <v>11</v>
      </c>
      <c r="B19" s="271" t="s">
        <v>2125</v>
      </c>
      <c r="C19" s="463">
        <v>0</v>
      </c>
      <c r="D19" s="274" t="s">
        <v>2173</v>
      </c>
      <c r="E19" s="267" t="e">
        <f>Sanitair[[#This Row],[Prijs]]*Tariefsopbouw!$I$37+Sanitair[[#This Row],[Prijs]]</f>
        <v>#DIV/0!</v>
      </c>
      <c r="F19" s="270" t="e">
        <f>Sanitair[[#This Row],[2028]]*Tariefsopbouw!$K$37+Sanitair[[#This Row],[2028]]</f>
        <v>#DIV/0!</v>
      </c>
      <c r="G19" s="267" t="e">
        <f>Sanitair[[#This Row],[2029]]*Tariefsopbouw!$M$37+Sanitair[[#This Row],[2029]]</f>
        <v>#DIV/0!</v>
      </c>
      <c r="H19" s="267" t="e">
        <f>Sanitair[[#This Row],[2030]]*Tariefsopbouw!$O$37+Sanitair[[#This Row],[2030]]</f>
        <v>#DIV/0!</v>
      </c>
      <c r="I19" s="267" t="e">
        <f>Sanitair[[#This Row],[2031]]*Tariefsopbouw!$Q$37+Sanitair[[#This Row],[2031]]</f>
        <v>#DIV/0!</v>
      </c>
    </row>
    <row r="20" spans="1:12" ht="24">
      <c r="A20" s="105">
        <v>12</v>
      </c>
      <c r="B20" s="271" t="s">
        <v>2126</v>
      </c>
      <c r="C20" s="463">
        <v>0</v>
      </c>
      <c r="D20" s="274" t="s">
        <v>2174</v>
      </c>
      <c r="E20" s="267" t="e">
        <f>Sanitair[[#This Row],[Prijs]]*Tariefsopbouw!$I$37+Sanitair[[#This Row],[Prijs]]</f>
        <v>#DIV/0!</v>
      </c>
      <c r="F20" s="270" t="e">
        <f>Sanitair[[#This Row],[2028]]*Tariefsopbouw!$K$37+Sanitair[[#This Row],[2028]]</f>
        <v>#DIV/0!</v>
      </c>
      <c r="G20" s="267" t="e">
        <f>Sanitair[[#This Row],[2029]]*Tariefsopbouw!$M$37+Sanitair[[#This Row],[2029]]</f>
        <v>#DIV/0!</v>
      </c>
      <c r="H20" s="267" t="e">
        <f>Sanitair[[#This Row],[2030]]*Tariefsopbouw!$O$37+Sanitair[[#This Row],[2030]]</f>
        <v>#DIV/0!</v>
      </c>
      <c r="I20" s="267" t="e">
        <f>Sanitair[[#This Row],[2031]]*Tariefsopbouw!$Q$37+Sanitair[[#This Row],[2031]]</f>
        <v>#DIV/0!</v>
      </c>
    </row>
    <row r="21" spans="1:12" ht="24">
      <c r="A21" s="105">
        <v>13</v>
      </c>
      <c r="B21" s="271" t="s">
        <v>2127</v>
      </c>
      <c r="C21" s="463">
        <v>0</v>
      </c>
      <c r="D21" s="274" t="s">
        <v>2170</v>
      </c>
      <c r="E21" s="267" t="e">
        <f>Sanitair[[#This Row],[Prijs]]*Tariefsopbouw!$I$37+Sanitair[[#This Row],[Prijs]]</f>
        <v>#DIV/0!</v>
      </c>
      <c r="F21" s="270" t="e">
        <f>Sanitair[[#This Row],[2028]]*Tariefsopbouw!$K$37+Sanitair[[#This Row],[2028]]</f>
        <v>#DIV/0!</v>
      </c>
      <c r="G21" s="267" t="e">
        <f>Sanitair[[#This Row],[2029]]*Tariefsopbouw!$M$37+Sanitair[[#This Row],[2029]]</f>
        <v>#DIV/0!</v>
      </c>
      <c r="H21" s="267" t="e">
        <f>Sanitair[[#This Row],[2030]]*Tariefsopbouw!$O$37+Sanitair[[#This Row],[2030]]</f>
        <v>#DIV/0!</v>
      </c>
      <c r="I21" s="267" t="e">
        <f>Sanitair[[#This Row],[2031]]*Tariefsopbouw!$Q$37+Sanitair[[#This Row],[2031]]</f>
        <v>#DIV/0!</v>
      </c>
    </row>
    <row r="22" spans="1:12" ht="15" customHeight="1">
      <c r="B22" s="30"/>
      <c r="E22" s="103"/>
      <c r="F22" s="104"/>
      <c r="G22" s="103"/>
      <c r="H22" s="103"/>
    </row>
    <row r="23" spans="1:12" s="71" customFormat="1" ht="26.25" customHeight="1">
      <c r="A23" s="248" t="s">
        <v>195</v>
      </c>
      <c r="B23" s="248" t="s">
        <v>135</v>
      </c>
      <c r="C23" s="248" t="s">
        <v>196</v>
      </c>
      <c r="D23" s="251" t="s">
        <v>1494</v>
      </c>
      <c r="E23" s="251" t="s">
        <v>1299</v>
      </c>
      <c r="F23" s="251" t="s">
        <v>158</v>
      </c>
      <c r="G23" s="251" t="s">
        <v>137</v>
      </c>
      <c r="H23" s="252" t="s">
        <v>1260</v>
      </c>
    </row>
    <row r="24" spans="1:12" ht="15" customHeight="1">
      <c r="A24" s="105">
        <v>14</v>
      </c>
      <c r="B24" s="106" t="str">
        <f>VLOOKUP(Sanitair2[[#This Row],[Code Locatie]],Locaties[],2,0)</f>
        <v>IKC De Vuurtoren</v>
      </c>
      <c r="C24" s="105">
        <v>1</v>
      </c>
      <c r="D24" s="97" t="str">
        <f t="shared" ref="D24:D36" si="0">IF($C24&gt;0,VLOOKUP($C24,$A$8:$B$21,2,FALSE),"")</f>
        <v>Afzuigkanalen</v>
      </c>
      <c r="E24" s="272">
        <v>4</v>
      </c>
      <c r="F24" s="94">
        <v>1</v>
      </c>
      <c r="G24" s="110">
        <f>VLOOKUP(Sanitair2[[#This Row],[Code Taak]],Sanitair[],3,3)*E24*F24</f>
        <v>0</v>
      </c>
      <c r="H24" s="111">
        <f>Sanitair2[[#This Row],[Kosten/jaar excl. BTW]]*1.21</f>
        <v>0</v>
      </c>
      <c r="L24" s="98"/>
    </row>
    <row r="25" spans="1:12" ht="15" customHeight="1">
      <c r="A25" s="105">
        <v>14</v>
      </c>
      <c r="B25" s="106" t="str">
        <f>VLOOKUP(Sanitair2[[#This Row],[Code Locatie]],Locaties[],2,0)</f>
        <v>IKC De Vuurtoren</v>
      </c>
      <c r="C25" s="105">
        <v>2</v>
      </c>
      <c r="D25" s="97" t="str">
        <f t="shared" si="0"/>
        <v>Afzuigkap</v>
      </c>
      <c r="E25" s="272">
        <v>6</v>
      </c>
      <c r="F25" s="94">
        <v>1</v>
      </c>
      <c r="G25" s="110">
        <f>VLOOKUP(Sanitair2[[#This Row],[Code Taak]],Sanitair[],3,3)*E25*F25</f>
        <v>0</v>
      </c>
      <c r="H25" s="111">
        <f>Sanitair2[[#This Row],[Kosten/jaar excl. BTW]]*1.21</f>
        <v>0</v>
      </c>
      <c r="L25" s="98"/>
    </row>
    <row r="26" spans="1:12" ht="15" customHeight="1">
      <c r="A26" s="105">
        <v>14</v>
      </c>
      <c r="B26" s="106" t="str">
        <f>VLOOKUP(Sanitair2[[#This Row],[Code Locatie]],Locaties[],2,0)</f>
        <v>IKC De Vuurtoren</v>
      </c>
      <c r="C26" s="105">
        <v>3</v>
      </c>
      <c r="D26" s="97" t="str">
        <f t="shared" si="0"/>
        <v>Elektrische kookplaat</v>
      </c>
      <c r="E26" s="272">
        <v>4</v>
      </c>
      <c r="F26" s="94">
        <v>1</v>
      </c>
      <c r="G26" s="110">
        <f>VLOOKUP(Sanitair2[[#This Row],[Code Taak]],Sanitair[],3,3)*E26*F26</f>
        <v>0</v>
      </c>
      <c r="H26" s="111">
        <f>Sanitair2[[#This Row],[Kosten/jaar excl. BTW]]*1.21</f>
        <v>0</v>
      </c>
      <c r="L26" s="98"/>
    </row>
    <row r="27" spans="1:12" ht="14.25" customHeight="1">
      <c r="A27" s="105">
        <v>14</v>
      </c>
      <c r="B27" s="106" t="str">
        <f>VLOOKUP(Sanitair2[[#This Row],[Code Locatie]],Locaties[],2,0)</f>
        <v>IKC De Vuurtoren</v>
      </c>
      <c r="C27" s="105">
        <v>4</v>
      </c>
      <c r="D27" s="97" t="str">
        <f t="shared" si="0"/>
        <v>Hete luchtoven</v>
      </c>
      <c r="E27" s="272">
        <v>4</v>
      </c>
      <c r="F27" s="94">
        <v>1</v>
      </c>
      <c r="G27" s="110">
        <f>VLOOKUP(Sanitair2[[#This Row],[Code Taak]],Sanitair[],3,3)*E27*F27</f>
        <v>0</v>
      </c>
      <c r="H27" s="111">
        <f>Sanitair2[[#This Row],[Kosten/jaar excl. BTW]]*1.21</f>
        <v>0</v>
      </c>
      <c r="L27" s="98"/>
    </row>
    <row r="28" spans="1:12" ht="14.25" customHeight="1">
      <c r="A28" s="105">
        <v>14</v>
      </c>
      <c r="B28" s="106" t="str">
        <f>VLOOKUP(Sanitair2[[#This Row],[Code Locatie]],Locaties[],2,0)</f>
        <v>IKC De Vuurtoren</v>
      </c>
      <c r="C28" s="105">
        <v>5</v>
      </c>
      <c r="D28" s="97" t="str">
        <f t="shared" si="0"/>
        <v>Kast</v>
      </c>
      <c r="E28" s="272">
        <v>7</v>
      </c>
      <c r="F28" s="94">
        <v>1</v>
      </c>
      <c r="G28" s="110">
        <f>VLOOKUP(Sanitair2[[#This Row],[Code Taak]],Sanitair[],3,3)*E28*F28</f>
        <v>0</v>
      </c>
      <c r="H28" s="111">
        <f>Sanitair2[[#This Row],[Kosten/jaar excl. BTW]]*1.21</f>
        <v>0</v>
      </c>
      <c r="L28" s="98"/>
    </row>
    <row r="29" spans="1:12" ht="14.25" customHeight="1">
      <c r="A29" s="105">
        <v>14</v>
      </c>
      <c r="B29" s="106" t="str">
        <f>VLOOKUP(Sanitair2[[#This Row],[Code Locatie]],Locaties[],2,0)</f>
        <v>IKC De Vuurtoren</v>
      </c>
      <c r="C29" s="105">
        <v>6</v>
      </c>
      <c r="D29" s="97" t="str">
        <f t="shared" si="0"/>
        <v>Kitnaden</v>
      </c>
      <c r="E29" s="272">
        <v>4</v>
      </c>
      <c r="F29" s="94">
        <v>1</v>
      </c>
      <c r="G29" s="110">
        <f>VLOOKUP(Sanitair2[[#This Row],[Code Taak]],Sanitair[],3,3)*E29*F29</f>
        <v>0</v>
      </c>
      <c r="H29" s="111">
        <f>Sanitair2[[#This Row],[Kosten/jaar excl. BTW]]*1.21</f>
        <v>0</v>
      </c>
      <c r="L29" s="98"/>
    </row>
    <row r="30" spans="1:12" ht="14.25" customHeight="1">
      <c r="A30" s="105">
        <v>14</v>
      </c>
      <c r="B30" s="106" t="str">
        <f>VLOOKUP(Sanitair2[[#This Row],[Code Locatie]],Locaties[],2,0)</f>
        <v>IKC De Vuurtoren</v>
      </c>
      <c r="C30" s="105">
        <v>7</v>
      </c>
      <c r="D30" s="97" t="str">
        <f t="shared" si="0"/>
        <v>Koelmeubel</v>
      </c>
      <c r="E30" s="272">
        <v>2</v>
      </c>
      <c r="F30" s="94">
        <v>1</v>
      </c>
      <c r="G30" s="110">
        <f>VLOOKUP(Sanitair2[[#This Row],[Code Taak]],Sanitair[],3,3)*E30*F30</f>
        <v>0</v>
      </c>
      <c r="H30" s="111">
        <f>Sanitair2[[#This Row],[Kosten/jaar excl. BTW]]*1.21</f>
        <v>0</v>
      </c>
      <c r="L30" s="98"/>
    </row>
    <row r="31" spans="1:12" ht="14.25" customHeight="1">
      <c r="A31" s="105">
        <v>14</v>
      </c>
      <c r="B31" s="106" t="str">
        <f>VLOOKUP(Sanitair2[[#This Row],[Code Locatie]],Locaties[],2,0)</f>
        <v>IKC De Vuurtoren</v>
      </c>
      <c r="C31" s="105">
        <v>8</v>
      </c>
      <c r="D31" s="97" t="str">
        <f t="shared" si="0"/>
        <v>Materiaalkast</v>
      </c>
      <c r="E31" s="272">
        <v>2</v>
      </c>
      <c r="F31" s="94">
        <v>1</v>
      </c>
      <c r="G31" s="110">
        <f>VLOOKUP(Sanitair2[[#This Row],[Code Taak]],Sanitair[],3,3)*E31*F31</f>
        <v>0</v>
      </c>
      <c r="H31" s="111">
        <f>Sanitair2[[#This Row],[Kosten/jaar excl. BTW]]*1.21</f>
        <v>0</v>
      </c>
      <c r="L31" s="98"/>
    </row>
    <row r="32" spans="1:12" ht="14.25" customHeight="1">
      <c r="A32" s="105">
        <v>14</v>
      </c>
      <c r="B32" s="106" t="str">
        <f>VLOOKUP(Sanitair2[[#This Row],[Code Locatie]],Locaties[],2,0)</f>
        <v>IKC De Vuurtoren</v>
      </c>
      <c r="C32" s="105">
        <v>9</v>
      </c>
      <c r="D32" s="97" t="str">
        <f t="shared" si="0"/>
        <v>Spoelbak en sproeiarm</v>
      </c>
      <c r="E32" s="272">
        <v>1</v>
      </c>
      <c r="F32" s="94">
        <v>1</v>
      </c>
      <c r="G32" s="110">
        <f>VLOOKUP(Sanitair2[[#This Row],[Code Taak]],Sanitair[],3,3)*E32*F32</f>
        <v>0</v>
      </c>
      <c r="H32" s="111">
        <f>Sanitair2[[#This Row],[Kosten/jaar excl. BTW]]*1.21</f>
        <v>0</v>
      </c>
      <c r="L32" s="98"/>
    </row>
    <row r="33" spans="1:12" ht="14.25" customHeight="1">
      <c r="A33" s="105">
        <v>14</v>
      </c>
      <c r="B33" s="106" t="str">
        <f>VLOOKUP(Sanitair2[[#This Row],[Code Locatie]],Locaties[],2,0)</f>
        <v>IKC De Vuurtoren</v>
      </c>
      <c r="C33" s="105">
        <v>10</v>
      </c>
      <c r="D33" s="97" t="str">
        <f t="shared" si="0"/>
        <v>Vaatwasser</v>
      </c>
      <c r="E33" s="272">
        <v>1</v>
      </c>
      <c r="F33" s="94">
        <v>1</v>
      </c>
      <c r="G33" s="110">
        <f>VLOOKUP(Sanitair2[[#This Row],[Code Taak]],Sanitair[],3,3)*E33*F33</f>
        <v>0</v>
      </c>
      <c r="H33" s="111">
        <f>Sanitair2[[#This Row],[Kosten/jaar excl. BTW]]*1.21</f>
        <v>0</v>
      </c>
      <c r="L33" s="98"/>
    </row>
    <row r="34" spans="1:12" ht="14.25" customHeight="1">
      <c r="A34" s="105">
        <v>14</v>
      </c>
      <c r="B34" s="106" t="str">
        <f>VLOOKUP(Sanitair2[[#This Row],[Code Locatie]],Locaties[],2,0)</f>
        <v>IKC De Vuurtoren</v>
      </c>
      <c r="C34" s="105">
        <v>11</v>
      </c>
      <c r="D34" s="97" t="str">
        <f t="shared" si="0"/>
        <v>Wand</v>
      </c>
      <c r="E34" s="272">
        <v>2</v>
      </c>
      <c r="F34" s="94">
        <v>1</v>
      </c>
      <c r="G34" s="110">
        <f>VLOOKUP(Sanitair2[[#This Row],[Code Taak]],Sanitair[],3,3)*E34*F34</f>
        <v>0</v>
      </c>
      <c r="H34" s="111">
        <f>Sanitair2[[#This Row],[Kosten/jaar excl. BTW]]*1.21</f>
        <v>0</v>
      </c>
      <c r="L34" s="98"/>
    </row>
    <row r="35" spans="1:12" ht="14.25" customHeight="1">
      <c r="A35" s="105">
        <v>14</v>
      </c>
      <c r="B35" s="106" t="str">
        <f>VLOOKUP(Sanitair2[[#This Row],[Code Locatie]],Locaties[],2,0)</f>
        <v>IKC De Vuurtoren</v>
      </c>
      <c r="C35" s="105">
        <v>12</v>
      </c>
      <c r="D35" s="97" t="str">
        <f t="shared" si="0"/>
        <v>Was-/spoelbak</v>
      </c>
      <c r="E35" s="272">
        <v>8</v>
      </c>
      <c r="F35" s="94">
        <v>1</v>
      </c>
      <c r="G35" s="110">
        <f>VLOOKUP(Sanitair2[[#This Row],[Code Taak]],Sanitair[],3,3)*E35*F35</f>
        <v>0</v>
      </c>
      <c r="H35" s="111">
        <f>Sanitair2[[#This Row],[Kosten/jaar excl. BTW]]*1.21</f>
        <v>0</v>
      </c>
      <c r="L35" s="98"/>
    </row>
    <row r="36" spans="1:12" ht="14.25" customHeight="1">
      <c r="A36" s="105">
        <v>14</v>
      </c>
      <c r="B36" s="106" t="str">
        <f>VLOOKUP(Sanitair2[[#This Row],[Code Locatie]],Locaties[],2,0)</f>
        <v>IKC De Vuurtoren</v>
      </c>
      <c r="C36" s="105">
        <v>13</v>
      </c>
      <c r="D36" s="97" t="str">
        <f t="shared" si="0"/>
        <v>Werkbank</v>
      </c>
      <c r="E36" s="272">
        <v>4</v>
      </c>
      <c r="F36" s="94">
        <v>1</v>
      </c>
      <c r="G36" s="110">
        <f>VLOOKUP(Sanitair2[[#This Row],[Code Taak]],Sanitair[],3,3)*E36*F36</f>
        <v>0</v>
      </c>
      <c r="H36" s="111">
        <f>Sanitair2[[#This Row],[Kosten/jaar excl. BTW]]*1.21</f>
        <v>0</v>
      </c>
      <c r="L36" s="98"/>
    </row>
    <row r="37" spans="1:12" ht="14.25" customHeight="1">
      <c r="A37" s="112"/>
      <c r="B37" s="113" t="s">
        <v>32</v>
      </c>
      <c r="C37" s="112"/>
      <c r="D37" s="114"/>
      <c r="E37" s="115"/>
      <c r="F37" s="112"/>
      <c r="G37" s="116">
        <f>SUBTOTAL(109,Sanitair2[Kosten/jaar excl. BTW])</f>
        <v>0</v>
      </c>
      <c r="H37" s="116">
        <f>SUBTOTAL(109,Sanitair2[Kosten/jaar incl BTW])</f>
        <v>0</v>
      </c>
      <c r="L37" s="98"/>
    </row>
    <row r="38" spans="1:12" ht="15" customHeight="1">
      <c r="A38" s="117"/>
      <c r="C38" s="91"/>
      <c r="D38" s="91"/>
      <c r="E38" s="91"/>
      <c r="F38" s="104"/>
      <c r="G38" s="118"/>
      <c r="H38" s="93"/>
    </row>
    <row r="39" spans="1:12" ht="15" customHeight="1"/>
    <row r="40" spans="1:12" ht="15" customHeight="1"/>
    <row r="41" spans="1:12" ht="15" customHeight="1"/>
    <row r="42" spans="1:12" ht="15" customHeight="1"/>
    <row r="43" spans="1:12" ht="15" customHeight="1"/>
    <row r="44" spans="1:12" ht="15" customHeight="1"/>
    <row r="45" spans="1:12" ht="15" customHeight="1"/>
    <row r="46" spans="1:12" ht="15" customHeight="1"/>
    <row r="47" spans="1:12" ht="15" customHeight="1"/>
    <row r="48" spans="1: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sheetData>
  <sheetProtection algorithmName="SHA-512" hashValue="+pvVdcH8hRu8ToD1G00hyC7kN15sAstNlN4ObwYYtbGUoIJfiL86tDNWbj/XwDzYk9D5urvmxapTvXDq7xGT/A==" saltValue="pK4JXcHl4GEHSfiIj/qDpg==" spinCount="100000" sheet="1" objects="1" scenarios="1" sort="0" autoFilter="0"/>
  <mergeCells count="3">
    <mergeCell ref="E7:I7"/>
    <mergeCell ref="A2:I2"/>
    <mergeCell ref="A1:I1"/>
  </mergeCells>
  <pageMargins left="0.7" right="0.7" top="0.75" bottom="0.75" header="0.3" footer="0.3"/>
  <pageSetup paperSize="9" scale="52"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8" zoomScaleNormal="100" zoomScaleSheetLayoutView="100" workbookViewId="0">
      <selection activeCell="G19" sqref="G19"/>
    </sheetView>
  </sheetViews>
  <sheetFormatPr defaultColWidth="9.140625" defaultRowHeight="18.75" customHeight="1"/>
  <cols>
    <col min="1" max="1" width="9.140625" style="134"/>
    <col min="2" max="2" width="66.42578125" style="79" customWidth="1"/>
    <col min="3" max="3" width="23.42578125" style="79" customWidth="1"/>
    <col min="4" max="4" width="15.140625" style="79" customWidth="1"/>
    <col min="5" max="9" width="17.7109375" style="79" bestFit="1" customWidth="1"/>
    <col min="10" max="16384" width="9.140625" style="79"/>
  </cols>
  <sheetData>
    <row r="1" spans="1:9" s="26" customFormat="1" ht="26.25" customHeight="1">
      <c r="A1" s="303" t="s">
        <v>167</v>
      </c>
      <c r="B1" s="303"/>
      <c r="C1" s="303"/>
      <c r="D1" s="303"/>
      <c r="E1" s="303"/>
      <c r="F1" s="303"/>
      <c r="G1" s="303"/>
      <c r="H1" s="303"/>
      <c r="I1" s="303"/>
    </row>
    <row r="2" spans="1:9" s="26" customFormat="1" ht="18.75" customHeight="1">
      <c r="A2" s="317" t="s">
        <v>198</v>
      </c>
      <c r="B2" s="302"/>
      <c r="C2" s="302"/>
      <c r="D2" s="302"/>
      <c r="E2" s="302"/>
      <c r="F2" s="302"/>
      <c r="G2" s="302"/>
      <c r="H2" s="302"/>
      <c r="I2" s="318"/>
    </row>
    <row r="3" spans="1:9" s="34" customFormat="1" ht="18.75" customHeight="1">
      <c r="A3" s="129"/>
    </row>
    <row r="4" spans="1:9" s="34" customFormat="1" ht="18.75" customHeight="1">
      <c r="A4" s="34" t="s">
        <v>166</v>
      </c>
    </row>
    <row r="5" spans="1:9" s="34" customFormat="1" ht="18.75" customHeight="1">
      <c r="A5" s="34" t="s">
        <v>168</v>
      </c>
    </row>
    <row r="6" spans="1:9" s="34" customFormat="1" ht="18.75" customHeight="1">
      <c r="A6" s="34" t="s">
        <v>209</v>
      </c>
    </row>
    <row r="7" spans="1:9" s="34" customFormat="1" ht="18.75" customHeight="1">
      <c r="A7" s="129"/>
      <c r="E7" s="305" t="s">
        <v>242</v>
      </c>
      <c r="F7" s="305"/>
      <c r="G7" s="305"/>
      <c r="H7" s="305"/>
      <c r="I7" s="305"/>
    </row>
    <row r="8" spans="1:9" s="65" customFormat="1" ht="26.25" customHeight="1">
      <c r="A8" s="130"/>
      <c r="B8" s="253" t="s">
        <v>169</v>
      </c>
      <c r="C8" s="253" t="s">
        <v>141</v>
      </c>
      <c r="D8" s="247" t="s">
        <v>165</v>
      </c>
      <c r="E8" s="251" t="s">
        <v>1300</v>
      </c>
      <c r="F8" s="251" t="s">
        <v>1577</v>
      </c>
      <c r="G8" s="251" t="s">
        <v>1613</v>
      </c>
      <c r="H8" s="248" t="s">
        <v>1612</v>
      </c>
      <c r="I8" s="248" t="s">
        <v>2155</v>
      </c>
    </row>
    <row r="9" spans="1:9" ht="18.75" customHeight="1">
      <c r="A9" s="314" t="s">
        <v>182</v>
      </c>
      <c r="B9" s="86" t="s">
        <v>171</v>
      </c>
      <c r="C9" s="86" t="s">
        <v>170</v>
      </c>
      <c r="D9" s="467">
        <v>0</v>
      </c>
      <c r="E9" s="131" t="e">
        <f>InvulRegie[[#This Row],[Prijs excl. BTW]]*Tariefsopbouw!$I$37+InvulRegie[[#This Row],[Prijs excl. BTW]]</f>
        <v>#DIV/0!</v>
      </c>
      <c r="F9" s="131" t="e">
        <f>E9*Tariefsopbouw!$K$37+'Regie en afroep'!E9</f>
        <v>#DIV/0!</v>
      </c>
      <c r="G9" s="131" t="e">
        <f>F9*Tariefsopbouw!$M$37+'Regie en afroep'!F9</f>
        <v>#DIV/0!</v>
      </c>
      <c r="H9" s="131" t="e">
        <f>G9*Tariefsopbouw!$O$37+'Regie en afroep'!G9</f>
        <v>#DIV/0!</v>
      </c>
      <c r="I9" s="131" t="e">
        <f>H9*Tariefsopbouw!$Q$37+H9</f>
        <v>#DIV/0!</v>
      </c>
    </row>
    <row r="10" spans="1:9" ht="18.75" customHeight="1">
      <c r="A10" s="315"/>
      <c r="B10" s="86" t="s">
        <v>172</v>
      </c>
      <c r="C10" s="86" t="s">
        <v>170</v>
      </c>
      <c r="D10" s="467">
        <v>0</v>
      </c>
      <c r="E10" s="131" t="e">
        <f>InvulRegie[[#This Row],[Prijs excl. BTW]]*Tariefsopbouw!$I$37+InvulRegie[[#This Row],[Prijs excl. BTW]]</f>
        <v>#DIV/0!</v>
      </c>
      <c r="F10" s="131" t="e">
        <f>E10*Tariefsopbouw!$K$37+'Regie en afroep'!E10</f>
        <v>#DIV/0!</v>
      </c>
      <c r="G10" s="131" t="e">
        <f>F10*Tariefsopbouw!$M$37+'Regie en afroep'!F10</f>
        <v>#DIV/0!</v>
      </c>
      <c r="H10" s="131" t="e">
        <f>G10*Tariefsopbouw!$O$37+'Regie en afroep'!G10</f>
        <v>#DIV/0!</v>
      </c>
      <c r="I10" s="131" t="e">
        <f>H10*Tariefsopbouw!$Q$37+H10</f>
        <v>#DIV/0!</v>
      </c>
    </row>
    <row r="11" spans="1:9" ht="18.75" customHeight="1">
      <c r="A11" s="315"/>
      <c r="B11" s="87" t="s">
        <v>173</v>
      </c>
      <c r="C11" s="86" t="s">
        <v>170</v>
      </c>
      <c r="D11" s="467">
        <v>0</v>
      </c>
      <c r="E11" s="131" t="e">
        <f>InvulRegie[[#This Row],[Prijs excl. BTW]]*Tariefsopbouw!$I$37+InvulRegie[[#This Row],[Prijs excl. BTW]]</f>
        <v>#DIV/0!</v>
      </c>
      <c r="F11" s="131" t="e">
        <f>E11*Tariefsopbouw!$K$37+'Regie en afroep'!E11</f>
        <v>#DIV/0!</v>
      </c>
      <c r="G11" s="131" t="e">
        <f>F11*Tariefsopbouw!$M$37+'Regie en afroep'!F11</f>
        <v>#DIV/0!</v>
      </c>
      <c r="H11" s="131" t="e">
        <f>G11*Tariefsopbouw!$O$37+'Regie en afroep'!G11</f>
        <v>#DIV/0!</v>
      </c>
      <c r="I11" s="131" t="e">
        <f>H11*Tariefsopbouw!$Q$37+H11</f>
        <v>#DIV/0!</v>
      </c>
    </row>
    <row r="12" spans="1:9" ht="18.75" customHeight="1">
      <c r="A12" s="315"/>
      <c r="B12" s="87" t="s">
        <v>189</v>
      </c>
      <c r="C12" s="86" t="s">
        <v>170</v>
      </c>
      <c r="D12" s="467">
        <v>0</v>
      </c>
      <c r="E12" s="131" t="e">
        <f>InvulRegie[[#This Row],[Prijs excl. BTW]]*Tariefsopbouw!$I$37+InvulRegie[[#This Row],[Prijs excl. BTW]]</f>
        <v>#DIV/0!</v>
      </c>
      <c r="F12" s="131" t="e">
        <f>E12*Tariefsopbouw!$K$37+'Regie en afroep'!E12</f>
        <v>#DIV/0!</v>
      </c>
      <c r="G12" s="131" t="e">
        <f>F12*Tariefsopbouw!$M$37+'Regie en afroep'!F12</f>
        <v>#DIV/0!</v>
      </c>
      <c r="H12" s="131" t="e">
        <f>G12*Tariefsopbouw!$O$37+'Regie en afroep'!G12</f>
        <v>#DIV/0!</v>
      </c>
      <c r="I12" s="131" t="e">
        <f>H12*Tariefsopbouw!$Q$37+H12</f>
        <v>#DIV/0!</v>
      </c>
    </row>
    <row r="13" spans="1:9" ht="18.75" customHeight="1">
      <c r="A13" s="316"/>
      <c r="B13" s="86" t="s">
        <v>179</v>
      </c>
      <c r="C13" s="86" t="s">
        <v>170</v>
      </c>
      <c r="D13" s="467">
        <v>0</v>
      </c>
      <c r="E13" s="131" t="e">
        <f>InvulRegie[[#This Row],[Prijs excl. BTW]]*Tariefsopbouw!$I$37+InvulRegie[[#This Row],[Prijs excl. BTW]]</f>
        <v>#DIV/0!</v>
      </c>
      <c r="F13" s="131" t="e">
        <f>E13*Tariefsopbouw!$K$37+'Regie en afroep'!E13</f>
        <v>#DIV/0!</v>
      </c>
      <c r="G13" s="131" t="e">
        <f>F13*Tariefsopbouw!$M$37+'Regie en afroep'!F13</f>
        <v>#DIV/0!</v>
      </c>
      <c r="H13" s="131" t="e">
        <f>G13*Tariefsopbouw!$O$37+'Regie en afroep'!G13</f>
        <v>#DIV/0!</v>
      </c>
      <c r="I13" s="131" t="e">
        <f>H13*Tariefsopbouw!$Q$37+H13</f>
        <v>#DIV/0!</v>
      </c>
    </row>
    <row r="14" spans="1:9" ht="18.75" customHeight="1">
      <c r="A14" s="314" t="s">
        <v>121</v>
      </c>
      <c r="B14" s="86" t="s">
        <v>40</v>
      </c>
      <c r="C14" s="86" t="s">
        <v>41</v>
      </c>
      <c r="D14" s="467">
        <v>0</v>
      </c>
      <c r="E14" s="131" t="e">
        <f>InvulRegie[[#This Row],[Prijs excl. BTW]]*Tariefsopbouw!$I$37+InvulRegie[[#This Row],[Prijs excl. BTW]]</f>
        <v>#DIV/0!</v>
      </c>
      <c r="F14" s="131" t="e">
        <f>E14*Tariefsopbouw!$K$37+'Regie en afroep'!E14</f>
        <v>#DIV/0!</v>
      </c>
      <c r="G14" s="131" t="e">
        <f>F14*Tariefsopbouw!$M$37+'Regie en afroep'!F14</f>
        <v>#DIV/0!</v>
      </c>
      <c r="H14" s="131" t="e">
        <f>G14*Tariefsopbouw!$O$37+'Regie en afroep'!G14</f>
        <v>#DIV/0!</v>
      </c>
      <c r="I14" s="131" t="e">
        <f>H14*Tariefsopbouw!$Q$37+H14</f>
        <v>#DIV/0!</v>
      </c>
    </row>
    <row r="15" spans="1:9" ht="18.75" customHeight="1">
      <c r="A15" s="315"/>
      <c r="B15" s="86" t="s">
        <v>42</v>
      </c>
      <c r="C15" s="86" t="s">
        <v>174</v>
      </c>
      <c r="D15" s="467">
        <v>0</v>
      </c>
      <c r="E15" s="131" t="e">
        <f>InvulRegie[[#This Row],[Prijs excl. BTW]]*Tariefsopbouw!$I$37+InvulRegie[[#This Row],[Prijs excl. BTW]]</f>
        <v>#DIV/0!</v>
      </c>
      <c r="F15" s="131" t="e">
        <f>E15*Tariefsopbouw!$K$37+'Regie en afroep'!E15</f>
        <v>#DIV/0!</v>
      </c>
      <c r="G15" s="131" t="e">
        <f>F15*Tariefsopbouw!$M$37+'Regie en afroep'!F15</f>
        <v>#DIV/0!</v>
      </c>
      <c r="H15" s="131" t="e">
        <f>G15*Tariefsopbouw!$O$37+'Regie en afroep'!G15</f>
        <v>#DIV/0!</v>
      </c>
      <c r="I15" s="131" t="e">
        <f>H15*Tariefsopbouw!$Q$37+H15</f>
        <v>#DIV/0!</v>
      </c>
    </row>
    <row r="16" spans="1:9" ht="18.75" customHeight="1">
      <c r="A16" s="315"/>
      <c r="B16" s="86" t="s">
        <v>175</v>
      </c>
      <c r="C16" s="86" t="s">
        <v>174</v>
      </c>
      <c r="D16" s="467">
        <v>0</v>
      </c>
      <c r="E16" s="131" t="e">
        <f>InvulRegie[[#This Row],[Prijs excl. BTW]]*Tariefsopbouw!$I$37+InvulRegie[[#This Row],[Prijs excl. BTW]]</f>
        <v>#DIV/0!</v>
      </c>
      <c r="F16" s="131" t="e">
        <f>E16*Tariefsopbouw!$K$37+'Regie en afroep'!E16</f>
        <v>#DIV/0!</v>
      </c>
      <c r="G16" s="131" t="e">
        <f>F16*Tariefsopbouw!$M$37+'Regie en afroep'!F16</f>
        <v>#DIV/0!</v>
      </c>
      <c r="H16" s="131" t="e">
        <f>G16*Tariefsopbouw!$O$37+'Regie en afroep'!G16</f>
        <v>#DIV/0!</v>
      </c>
      <c r="I16" s="131" t="e">
        <f>H16*Tariefsopbouw!$Q$37+H16</f>
        <v>#DIV/0!</v>
      </c>
    </row>
    <row r="17" spans="1:9" ht="18.75" customHeight="1">
      <c r="A17" s="315"/>
      <c r="B17" s="86" t="s">
        <v>176</v>
      </c>
      <c r="C17" s="86" t="s">
        <v>43</v>
      </c>
      <c r="D17" s="467">
        <v>0</v>
      </c>
      <c r="E17" s="131" t="e">
        <f>InvulRegie[[#This Row],[Prijs excl. BTW]]*Tariefsopbouw!$I$37+InvulRegie[[#This Row],[Prijs excl. BTW]]</f>
        <v>#DIV/0!</v>
      </c>
      <c r="F17" s="131" t="e">
        <f>E17*Tariefsopbouw!$K$37+'Regie en afroep'!E17</f>
        <v>#DIV/0!</v>
      </c>
      <c r="G17" s="131" t="e">
        <f>F17*Tariefsopbouw!$M$37+'Regie en afroep'!F17</f>
        <v>#DIV/0!</v>
      </c>
      <c r="H17" s="131" t="e">
        <f>G17*Tariefsopbouw!$O$37+'Regie en afroep'!G17</f>
        <v>#DIV/0!</v>
      </c>
      <c r="I17" s="131" t="e">
        <f>H17*Tariefsopbouw!$Q$37+H17</f>
        <v>#DIV/0!</v>
      </c>
    </row>
    <row r="18" spans="1:9" ht="18.75" customHeight="1">
      <c r="A18" s="315"/>
      <c r="B18" s="86" t="s">
        <v>224</v>
      </c>
      <c r="C18" s="86" t="s">
        <v>43</v>
      </c>
      <c r="D18" s="467">
        <v>0</v>
      </c>
      <c r="E18" s="131" t="e">
        <f>InvulRegie[[#This Row],[Prijs excl. BTW]]*Tariefsopbouw!$I$37+InvulRegie[[#This Row],[Prijs excl. BTW]]</f>
        <v>#DIV/0!</v>
      </c>
      <c r="F18" s="131" t="e">
        <f>E18*Tariefsopbouw!$K$37+'Regie en afroep'!E18</f>
        <v>#DIV/0!</v>
      </c>
      <c r="G18" s="131" t="e">
        <f>F18*Tariefsopbouw!$M$37+'Regie en afroep'!F18</f>
        <v>#DIV/0!</v>
      </c>
      <c r="H18" s="131" t="e">
        <f>G18*Tariefsopbouw!$O$37+'Regie en afroep'!G18</f>
        <v>#DIV/0!</v>
      </c>
      <c r="I18" s="131" t="e">
        <f>H18*Tariefsopbouw!$Q$37+H18</f>
        <v>#DIV/0!</v>
      </c>
    </row>
    <row r="19" spans="1:9" ht="18.75" customHeight="1">
      <c r="A19" s="315"/>
      <c r="B19" s="86" t="s">
        <v>177</v>
      </c>
      <c r="C19" s="86" t="s">
        <v>43</v>
      </c>
      <c r="D19" s="467">
        <v>0</v>
      </c>
      <c r="E19" s="131" t="e">
        <f>InvulRegie[[#This Row],[Prijs excl. BTW]]*Tariefsopbouw!$I$37+InvulRegie[[#This Row],[Prijs excl. BTW]]</f>
        <v>#DIV/0!</v>
      </c>
      <c r="F19" s="131" t="e">
        <f>E19*Tariefsopbouw!$K$37+'Regie en afroep'!E19</f>
        <v>#DIV/0!</v>
      </c>
      <c r="G19" s="131" t="e">
        <f>F19*Tariefsopbouw!$M$37+'Regie en afroep'!F19</f>
        <v>#DIV/0!</v>
      </c>
      <c r="H19" s="131" t="e">
        <f>G19*Tariefsopbouw!$O$37+'Regie en afroep'!G19</f>
        <v>#DIV/0!</v>
      </c>
      <c r="I19" s="131" t="e">
        <f>H19*Tariefsopbouw!$Q$37+H19</f>
        <v>#DIV/0!</v>
      </c>
    </row>
    <row r="20" spans="1:9" ht="18.75" customHeight="1">
      <c r="A20" s="316"/>
      <c r="B20" s="86" t="s">
        <v>178</v>
      </c>
      <c r="C20" s="86" t="s">
        <v>43</v>
      </c>
      <c r="D20" s="467">
        <v>0</v>
      </c>
      <c r="E20" s="131" t="e">
        <f>InvulRegie[[#This Row],[Prijs excl. BTW]]*Tariefsopbouw!$I$37+InvulRegie[[#This Row],[Prijs excl. BTW]]</f>
        <v>#DIV/0!</v>
      </c>
      <c r="F20" s="131" t="e">
        <f>E20*Tariefsopbouw!$K$37+'Regie en afroep'!E20</f>
        <v>#DIV/0!</v>
      </c>
      <c r="G20" s="131" t="e">
        <f>F20*Tariefsopbouw!$M$37+'Regie en afroep'!F20</f>
        <v>#DIV/0!</v>
      </c>
      <c r="H20" s="131" t="e">
        <f>G20*Tariefsopbouw!$O$37+'Regie en afroep'!G20</f>
        <v>#DIV/0!</v>
      </c>
      <c r="I20" s="131" t="e">
        <f>H20*Tariefsopbouw!$Q$37+H20</f>
        <v>#DIV/0!</v>
      </c>
    </row>
    <row r="21" spans="1:9" ht="18.75" customHeight="1">
      <c r="A21" s="314" t="s">
        <v>180</v>
      </c>
      <c r="B21" s="86" t="s">
        <v>56</v>
      </c>
      <c r="C21" s="86" t="s">
        <v>48</v>
      </c>
      <c r="D21" s="467">
        <v>0</v>
      </c>
      <c r="E21" s="131" t="e">
        <f>InvulRegie[[#This Row],[Prijs excl. BTW]]*Tariefsopbouw!$I$37+InvulRegie[[#This Row],[Prijs excl. BTW]]</f>
        <v>#DIV/0!</v>
      </c>
      <c r="F21" s="131" t="e">
        <f>E21*Tariefsopbouw!$K$37+'Regie en afroep'!E21</f>
        <v>#DIV/0!</v>
      </c>
      <c r="G21" s="131" t="e">
        <f>F21*Tariefsopbouw!$M$37+'Regie en afroep'!F21</f>
        <v>#DIV/0!</v>
      </c>
      <c r="H21" s="131" t="e">
        <f>G21*Tariefsopbouw!$O$37+'Regie en afroep'!G21</f>
        <v>#DIV/0!</v>
      </c>
      <c r="I21" s="131" t="e">
        <f>H21*Tariefsopbouw!$Q$37+H21</f>
        <v>#DIV/0!</v>
      </c>
    </row>
    <row r="22" spans="1:9" ht="18.75" customHeight="1">
      <c r="A22" s="316"/>
      <c r="B22" s="86" t="s">
        <v>44</v>
      </c>
      <c r="C22" s="86" t="s">
        <v>1608</v>
      </c>
      <c r="D22" s="467">
        <v>0</v>
      </c>
      <c r="E22" s="131" t="e">
        <f>InvulRegie[[#This Row],[Prijs excl. BTW]]*Tariefsopbouw!$I$37+InvulRegie[[#This Row],[Prijs excl. BTW]]</f>
        <v>#DIV/0!</v>
      </c>
      <c r="F22" s="131" t="e">
        <f>E22*Tariefsopbouw!$K$37+'Regie en afroep'!E22</f>
        <v>#DIV/0!</v>
      </c>
      <c r="G22" s="131" t="e">
        <f>F22*Tariefsopbouw!$M$37+'Regie en afroep'!F22</f>
        <v>#DIV/0!</v>
      </c>
      <c r="H22" s="131" t="e">
        <f>G22*Tariefsopbouw!$O$37+'Regie en afroep'!G22</f>
        <v>#DIV/0!</v>
      </c>
      <c r="I22" s="131" t="e">
        <f>H22*Tariefsopbouw!$Q$37+H22</f>
        <v>#DIV/0!</v>
      </c>
    </row>
    <row r="23" spans="1:9" ht="18.75" customHeight="1">
      <c r="A23" s="314" t="s">
        <v>190</v>
      </c>
      <c r="B23" s="86" t="s">
        <v>181</v>
      </c>
      <c r="C23" s="86" t="s">
        <v>1609</v>
      </c>
      <c r="D23" s="467">
        <v>0</v>
      </c>
      <c r="E23" s="131" t="e">
        <f>InvulRegie[[#This Row],[Prijs excl. BTW]]*Tariefsopbouw!$I$37+InvulRegie[[#This Row],[Prijs excl. BTW]]</f>
        <v>#DIV/0!</v>
      </c>
      <c r="F23" s="131" t="e">
        <f>E23*Tariefsopbouw!$K$37+'Regie en afroep'!E23</f>
        <v>#DIV/0!</v>
      </c>
      <c r="G23" s="131" t="e">
        <f>F23*Tariefsopbouw!$M$37+'Regie en afroep'!F23</f>
        <v>#DIV/0!</v>
      </c>
      <c r="H23" s="131" t="e">
        <f>G23*Tariefsopbouw!$O$37+'Regie en afroep'!G23</f>
        <v>#DIV/0!</v>
      </c>
      <c r="I23" s="131" t="e">
        <f>H23*Tariefsopbouw!$Q$37+H23</f>
        <v>#DIV/0!</v>
      </c>
    </row>
    <row r="24" spans="1:9" ht="18.75" customHeight="1">
      <c r="A24" s="315"/>
      <c r="B24" s="86" t="s">
        <v>217</v>
      </c>
      <c r="C24" s="86" t="s">
        <v>1609</v>
      </c>
      <c r="D24" s="467">
        <v>0</v>
      </c>
      <c r="E24" s="131" t="e">
        <f>InvulRegie[[#This Row],[Prijs excl. BTW]]*Tariefsopbouw!$I$37+InvulRegie[[#This Row],[Prijs excl. BTW]]</f>
        <v>#DIV/0!</v>
      </c>
      <c r="F24" s="131" t="e">
        <f>E24*Tariefsopbouw!$K$37+'Regie en afroep'!E24</f>
        <v>#DIV/0!</v>
      </c>
      <c r="G24" s="131" t="e">
        <f>F24*Tariefsopbouw!$M$37+'Regie en afroep'!F24</f>
        <v>#DIV/0!</v>
      </c>
      <c r="H24" s="131" t="e">
        <f>G24*Tariefsopbouw!$O$37+'Regie en afroep'!G24</f>
        <v>#DIV/0!</v>
      </c>
      <c r="I24" s="131" t="e">
        <f>H24*Tariefsopbouw!$Q$37+H24</f>
        <v>#DIV/0!</v>
      </c>
    </row>
    <row r="25" spans="1:9" ht="18.75" customHeight="1">
      <c r="A25" s="315"/>
      <c r="B25" s="86" t="s">
        <v>219</v>
      </c>
      <c r="C25" s="86" t="s">
        <v>1609</v>
      </c>
      <c r="D25" s="467">
        <v>0</v>
      </c>
      <c r="E25" s="131" t="e">
        <f>InvulRegie[[#This Row],[Prijs excl. BTW]]*Tariefsopbouw!$I$37+InvulRegie[[#This Row],[Prijs excl. BTW]]</f>
        <v>#DIV/0!</v>
      </c>
      <c r="F25" s="131" t="e">
        <f>E25*Tariefsopbouw!$K$37+'Regie en afroep'!E25</f>
        <v>#DIV/0!</v>
      </c>
      <c r="G25" s="131" t="e">
        <f>F25*Tariefsopbouw!$M$37+'Regie en afroep'!F25</f>
        <v>#DIV/0!</v>
      </c>
      <c r="H25" s="131" t="e">
        <f>G25*Tariefsopbouw!$O$37+'Regie en afroep'!G25</f>
        <v>#DIV/0!</v>
      </c>
      <c r="I25" s="131" t="e">
        <f>H25*Tariefsopbouw!$Q$37+H25</f>
        <v>#DIV/0!</v>
      </c>
    </row>
    <row r="26" spans="1:9" ht="18.75" customHeight="1">
      <c r="A26" s="315"/>
      <c r="B26" s="86" t="s">
        <v>218</v>
      </c>
      <c r="C26" s="86" t="s">
        <v>1609</v>
      </c>
      <c r="D26" s="467">
        <v>0</v>
      </c>
      <c r="E26" s="131" t="e">
        <f>InvulRegie[[#This Row],[Prijs excl. BTW]]*Tariefsopbouw!$I$37+InvulRegie[[#This Row],[Prijs excl. BTW]]</f>
        <v>#DIV/0!</v>
      </c>
      <c r="F26" s="131" t="e">
        <f>E26*Tariefsopbouw!$K$37+'Regie en afroep'!E26</f>
        <v>#DIV/0!</v>
      </c>
      <c r="G26" s="131" t="e">
        <f>F26*Tariefsopbouw!$M$37+'Regie en afroep'!F26</f>
        <v>#DIV/0!</v>
      </c>
      <c r="H26" s="131" t="e">
        <f>G26*Tariefsopbouw!$O$37+'Regie en afroep'!G26</f>
        <v>#DIV/0!</v>
      </c>
      <c r="I26" s="131" t="e">
        <f>H26*Tariefsopbouw!$Q$37+H26</f>
        <v>#DIV/0!</v>
      </c>
    </row>
    <row r="27" spans="1:9" ht="18.75" customHeight="1">
      <c r="A27" s="316"/>
      <c r="B27" s="86" t="s">
        <v>47</v>
      </c>
      <c r="C27" s="86" t="s">
        <v>1609</v>
      </c>
      <c r="D27" s="467">
        <v>0</v>
      </c>
      <c r="E27" s="131" t="e">
        <f>InvulRegie[[#This Row],[Prijs excl. BTW]]*Tariefsopbouw!$I$37+InvulRegie[[#This Row],[Prijs excl. BTW]]</f>
        <v>#DIV/0!</v>
      </c>
      <c r="F27" s="131" t="e">
        <f>E27*Tariefsopbouw!$K$37+'Regie en afroep'!E27</f>
        <v>#DIV/0!</v>
      </c>
      <c r="G27" s="131" t="e">
        <f>F27*Tariefsopbouw!$M$37+'Regie en afroep'!F27</f>
        <v>#DIV/0!</v>
      </c>
      <c r="H27" s="131" t="e">
        <f>G27*Tariefsopbouw!$O$37+'Regie en afroep'!G27</f>
        <v>#DIV/0!</v>
      </c>
      <c r="I27" s="131" t="e">
        <f>H27*Tariefsopbouw!$Q$37+H27</f>
        <v>#DIV/0!</v>
      </c>
    </row>
    <row r="28" spans="1:9" ht="18.75" customHeight="1">
      <c r="A28" s="314" t="s">
        <v>185</v>
      </c>
      <c r="B28" s="86" t="s">
        <v>49</v>
      </c>
      <c r="C28" s="86" t="s">
        <v>48</v>
      </c>
      <c r="D28" s="467">
        <v>0</v>
      </c>
      <c r="E28" s="131" t="e">
        <f>InvulRegie[[#This Row],[Prijs excl. BTW]]*Tariefsopbouw!$I$37+InvulRegie[[#This Row],[Prijs excl. BTW]]</f>
        <v>#DIV/0!</v>
      </c>
      <c r="F28" s="131" t="e">
        <f>E28*Tariefsopbouw!$K$37+'Regie en afroep'!E28</f>
        <v>#DIV/0!</v>
      </c>
      <c r="G28" s="131" t="e">
        <f>F28*Tariefsopbouw!$M$37+'Regie en afroep'!F28</f>
        <v>#DIV/0!</v>
      </c>
      <c r="H28" s="131" t="e">
        <f>G28*Tariefsopbouw!$O$37+'Regie en afroep'!G28</f>
        <v>#DIV/0!</v>
      </c>
      <c r="I28" s="131" t="e">
        <f>H28*Tariefsopbouw!$Q$37+H28</f>
        <v>#DIV/0!</v>
      </c>
    </row>
    <row r="29" spans="1:9" ht="18.75" customHeight="1">
      <c r="A29" s="315"/>
      <c r="B29" s="86" t="s">
        <v>50</v>
      </c>
      <c r="C29" s="86" t="s">
        <v>48</v>
      </c>
      <c r="D29" s="467">
        <v>0</v>
      </c>
      <c r="E29" s="131" t="e">
        <f>InvulRegie[[#This Row],[Prijs excl. BTW]]*Tariefsopbouw!$I$37+InvulRegie[[#This Row],[Prijs excl. BTW]]</f>
        <v>#DIV/0!</v>
      </c>
      <c r="F29" s="131" t="e">
        <f>E29*Tariefsopbouw!$K$37+'Regie en afroep'!E29</f>
        <v>#DIV/0!</v>
      </c>
      <c r="G29" s="131" t="e">
        <f>F29*Tariefsopbouw!$M$37+'Regie en afroep'!F29</f>
        <v>#DIV/0!</v>
      </c>
      <c r="H29" s="131" t="e">
        <f>G29*Tariefsopbouw!$O$37+'Regie en afroep'!G29</f>
        <v>#DIV/0!</v>
      </c>
      <c r="I29" s="131" t="e">
        <f>H29*Tariefsopbouw!$Q$37+H29</f>
        <v>#DIV/0!</v>
      </c>
    </row>
    <row r="30" spans="1:9" ht="18.75" customHeight="1">
      <c r="A30" s="315"/>
      <c r="B30" s="86" t="s">
        <v>51</v>
      </c>
      <c r="C30" s="86" t="s">
        <v>48</v>
      </c>
      <c r="D30" s="467">
        <v>0</v>
      </c>
      <c r="E30" s="131" t="e">
        <f>InvulRegie[[#This Row],[Prijs excl. BTW]]*Tariefsopbouw!$I$37+InvulRegie[[#This Row],[Prijs excl. BTW]]</f>
        <v>#DIV/0!</v>
      </c>
      <c r="F30" s="131" t="e">
        <f>E30*Tariefsopbouw!$K$37+'Regie en afroep'!E30</f>
        <v>#DIV/0!</v>
      </c>
      <c r="G30" s="131" t="e">
        <f>F30*Tariefsopbouw!$M$37+'Regie en afroep'!F30</f>
        <v>#DIV/0!</v>
      </c>
      <c r="H30" s="131" t="e">
        <f>G30*Tariefsopbouw!$O$37+'Regie en afroep'!G30</f>
        <v>#DIV/0!</v>
      </c>
      <c r="I30" s="131" t="e">
        <f>H30*Tariefsopbouw!$Q$37+H30</f>
        <v>#DIV/0!</v>
      </c>
    </row>
    <row r="31" spans="1:9" ht="18.75" customHeight="1">
      <c r="A31" s="315"/>
      <c r="B31" s="86" t="s">
        <v>52</v>
      </c>
      <c r="C31" s="86" t="s">
        <v>48</v>
      </c>
      <c r="D31" s="467">
        <v>0</v>
      </c>
      <c r="E31" s="131" t="e">
        <f>InvulRegie[[#This Row],[Prijs excl. BTW]]*Tariefsopbouw!$I$37+InvulRegie[[#This Row],[Prijs excl. BTW]]</f>
        <v>#DIV/0!</v>
      </c>
      <c r="F31" s="131" t="e">
        <f>E31*Tariefsopbouw!$K$37+'Regie en afroep'!E31</f>
        <v>#DIV/0!</v>
      </c>
      <c r="G31" s="131" t="e">
        <f>F31*Tariefsopbouw!$M$37+'Regie en afroep'!F31</f>
        <v>#DIV/0!</v>
      </c>
      <c r="H31" s="131" t="e">
        <f>G31*Tariefsopbouw!$O$37+'Regie en afroep'!G31</f>
        <v>#DIV/0!</v>
      </c>
      <c r="I31" s="131" t="e">
        <f>H31*Tariefsopbouw!$Q$37+H31</f>
        <v>#DIV/0!</v>
      </c>
    </row>
    <row r="32" spans="1:9" ht="18.75" customHeight="1">
      <c r="A32" s="316"/>
      <c r="B32" s="86" t="s">
        <v>45</v>
      </c>
      <c r="C32" s="86" t="s">
        <v>46</v>
      </c>
      <c r="D32" s="467">
        <v>0</v>
      </c>
      <c r="E32" s="131" t="e">
        <f>InvulRegie[[#This Row],[Prijs excl. BTW]]*Tariefsopbouw!$I$37+InvulRegie[[#This Row],[Prijs excl. BTW]]</f>
        <v>#DIV/0!</v>
      </c>
      <c r="F32" s="131" t="e">
        <f>E32*Tariefsopbouw!$K$37+'Regie en afroep'!E32</f>
        <v>#DIV/0!</v>
      </c>
      <c r="G32" s="131" t="e">
        <f>F32*Tariefsopbouw!$M$37+'Regie en afroep'!F32</f>
        <v>#DIV/0!</v>
      </c>
      <c r="H32" s="131" t="e">
        <f>G32*Tariefsopbouw!$O$37+'Regie en afroep'!G32</f>
        <v>#DIV/0!</v>
      </c>
      <c r="I32" s="131" t="e">
        <f>H32*Tariefsopbouw!$Q$37+H32</f>
        <v>#DIV/0!</v>
      </c>
    </row>
    <row r="33" spans="1:9" ht="18.75" customHeight="1">
      <c r="A33" s="319" t="s">
        <v>186</v>
      </c>
      <c r="B33" s="86" t="s">
        <v>53</v>
      </c>
      <c r="C33" s="86" t="s">
        <v>208</v>
      </c>
      <c r="D33" s="467">
        <v>0</v>
      </c>
      <c r="E33" s="131" t="e">
        <f>InvulRegie[[#This Row],[Prijs excl. BTW]]*Tariefsopbouw!$I$37+InvulRegie[[#This Row],[Prijs excl. BTW]]</f>
        <v>#DIV/0!</v>
      </c>
      <c r="F33" s="131" t="e">
        <f>E33*Tariefsopbouw!$K$37+'Regie en afroep'!E33</f>
        <v>#DIV/0!</v>
      </c>
      <c r="G33" s="131" t="e">
        <f>F33*Tariefsopbouw!$M$37+'Regie en afroep'!F33</f>
        <v>#DIV/0!</v>
      </c>
      <c r="H33" s="131" t="e">
        <f>G33*Tariefsopbouw!$O$37+'Regie en afroep'!G33</f>
        <v>#DIV/0!</v>
      </c>
      <c r="I33" s="131" t="e">
        <f>H33*Tariefsopbouw!$Q$37+H33</f>
        <v>#DIV/0!</v>
      </c>
    </row>
    <row r="34" spans="1:9" ht="18.75" customHeight="1">
      <c r="A34" s="320"/>
      <c r="B34" s="86" t="s">
        <v>54</v>
      </c>
      <c r="C34" s="86" t="s">
        <v>55</v>
      </c>
      <c r="D34" s="467">
        <v>0</v>
      </c>
      <c r="E34" s="131" t="e">
        <f>InvulRegie[[#This Row],[Prijs excl. BTW]]*Tariefsopbouw!$I$37+InvulRegie[[#This Row],[Prijs excl. BTW]]</f>
        <v>#DIV/0!</v>
      </c>
      <c r="F34" s="131" t="e">
        <f>E34*Tariefsopbouw!$K$37+'Regie en afroep'!E34</f>
        <v>#DIV/0!</v>
      </c>
      <c r="G34" s="131" t="e">
        <f>F34*Tariefsopbouw!$M$37+'Regie en afroep'!F34</f>
        <v>#DIV/0!</v>
      </c>
      <c r="H34" s="131" t="e">
        <f>G34*Tariefsopbouw!$O$37+'Regie en afroep'!G34</f>
        <v>#DIV/0!</v>
      </c>
      <c r="I34" s="131" t="e">
        <f>H34*Tariefsopbouw!$Q$37+H34</f>
        <v>#DIV/0!</v>
      </c>
    </row>
    <row r="35" spans="1:9" ht="18.75" customHeight="1">
      <c r="A35" s="320"/>
      <c r="B35" s="86" t="s">
        <v>187</v>
      </c>
      <c r="C35" s="86" t="s">
        <v>55</v>
      </c>
      <c r="D35" s="467">
        <v>0</v>
      </c>
      <c r="E35" s="131" t="e">
        <f>InvulRegie[[#This Row],[Prijs excl. BTW]]*Tariefsopbouw!$I$37+InvulRegie[[#This Row],[Prijs excl. BTW]]</f>
        <v>#DIV/0!</v>
      </c>
      <c r="F35" s="131" t="e">
        <f>E35*Tariefsopbouw!$K$37+'Regie en afroep'!E35</f>
        <v>#DIV/0!</v>
      </c>
      <c r="G35" s="131" t="e">
        <f>F35*Tariefsopbouw!$M$37+'Regie en afroep'!F35</f>
        <v>#DIV/0!</v>
      </c>
      <c r="H35" s="131" t="e">
        <f>G35*Tariefsopbouw!$O$37+'Regie en afroep'!G35</f>
        <v>#DIV/0!</v>
      </c>
      <c r="I35" s="131" t="e">
        <f>H35*Tariefsopbouw!$Q$37+H35</f>
        <v>#DIV/0!</v>
      </c>
    </row>
    <row r="36" spans="1:9" ht="18.75" customHeight="1">
      <c r="A36" s="321"/>
      <c r="B36" s="86" t="s">
        <v>188</v>
      </c>
      <c r="C36" s="86" t="s">
        <v>55</v>
      </c>
      <c r="D36" s="467">
        <v>0</v>
      </c>
      <c r="E36" s="131" t="e">
        <f>InvulRegie[[#This Row],[Prijs excl. BTW]]*Tariefsopbouw!$I$37+InvulRegie[[#This Row],[Prijs excl. BTW]]</f>
        <v>#DIV/0!</v>
      </c>
      <c r="F36" s="131" t="e">
        <f>E36*Tariefsopbouw!$K$37+'Regie en afroep'!E36</f>
        <v>#DIV/0!</v>
      </c>
      <c r="G36" s="131" t="e">
        <f>F36*Tariefsopbouw!$M$37+'Regie en afroep'!F36</f>
        <v>#DIV/0!</v>
      </c>
      <c r="H36" s="131" t="e">
        <f>G36*Tariefsopbouw!$O$37+'Regie en afroep'!G36</f>
        <v>#DIV/0!</v>
      </c>
      <c r="I36" s="131" t="e">
        <f>H36*Tariefsopbouw!$Q$37+H36</f>
        <v>#DIV/0!</v>
      </c>
    </row>
    <row r="37" spans="1:9" s="10" customFormat="1" ht="26.25" customHeight="1">
      <c r="A37" s="132"/>
      <c r="B37" s="133" t="s">
        <v>32</v>
      </c>
      <c r="C37" s="133"/>
      <c r="D37" s="133"/>
      <c r="E37" s="133"/>
      <c r="F37" s="133"/>
      <c r="G37" s="133"/>
      <c r="H37" s="133"/>
      <c r="I37" s="133"/>
    </row>
    <row r="39" spans="1:9" ht="18.75" customHeight="1" thickBot="1"/>
    <row r="40" spans="1:9" ht="15.75">
      <c r="A40" s="135"/>
      <c r="B40" s="136" t="s">
        <v>1573</v>
      </c>
      <c r="C40" s="136"/>
      <c r="D40" s="137"/>
    </row>
    <row r="41" spans="1:9" ht="13.5">
      <c r="A41" s="138"/>
      <c r="B41" s="9"/>
      <c r="C41" s="9"/>
      <c r="D41" s="139"/>
    </row>
    <row r="42" spans="1:9" ht="13.5">
      <c r="A42" s="138"/>
      <c r="B42" s="140" t="s">
        <v>1610</v>
      </c>
      <c r="C42" s="9"/>
      <c r="D42" s="139"/>
    </row>
    <row r="43" spans="1:9" ht="13.5">
      <c r="A43" s="138"/>
      <c r="B43" s="9"/>
      <c r="C43" s="9"/>
      <c r="D43" s="139"/>
    </row>
    <row r="44" spans="1:9" ht="13.5">
      <c r="A44" s="138"/>
      <c r="B44" s="141" t="s">
        <v>1542</v>
      </c>
      <c r="C44" s="9"/>
      <c r="D44" s="139"/>
    </row>
    <row r="45" spans="1:9" ht="13.5">
      <c r="A45" s="138"/>
      <c r="B45" s="9"/>
      <c r="C45" s="9"/>
      <c r="D45" s="139"/>
    </row>
    <row r="46" spans="1:9" ht="13.5">
      <c r="A46" s="142" t="s">
        <v>1543</v>
      </c>
      <c r="B46" s="312" t="s">
        <v>1544</v>
      </c>
      <c r="C46" s="312"/>
      <c r="D46" s="313"/>
    </row>
    <row r="47" spans="1:9" ht="13.5">
      <c r="A47" s="142" t="s">
        <v>1543</v>
      </c>
      <c r="B47" s="312" t="s">
        <v>1545</v>
      </c>
      <c r="C47" s="312" t="s">
        <v>1545</v>
      </c>
      <c r="D47" s="313" t="s">
        <v>1545</v>
      </c>
    </row>
    <row r="48" spans="1:9" ht="13.5">
      <c r="A48" s="142" t="s">
        <v>1543</v>
      </c>
      <c r="B48" s="312" t="s">
        <v>1546</v>
      </c>
      <c r="C48" s="312" t="s">
        <v>1546</v>
      </c>
      <c r="D48" s="313" t="s">
        <v>1546</v>
      </c>
    </row>
    <row r="49" spans="1:4" ht="13.5">
      <c r="A49" s="142" t="s">
        <v>1543</v>
      </c>
      <c r="B49" s="312" t="s">
        <v>1547</v>
      </c>
      <c r="C49" s="312" t="s">
        <v>1547</v>
      </c>
      <c r="D49" s="313" t="s">
        <v>1547</v>
      </c>
    </row>
    <row r="50" spans="1:4" ht="13.5">
      <c r="A50" s="142" t="s">
        <v>1543</v>
      </c>
      <c r="B50" s="312" t="s">
        <v>1548</v>
      </c>
      <c r="C50" s="312" t="s">
        <v>1548</v>
      </c>
      <c r="D50" s="313" t="s">
        <v>1548</v>
      </c>
    </row>
    <row r="51" spans="1:4" ht="13.5">
      <c r="A51" s="142" t="s">
        <v>1543</v>
      </c>
      <c r="B51" s="312" t="s">
        <v>1549</v>
      </c>
      <c r="C51" s="312" t="s">
        <v>1549</v>
      </c>
      <c r="D51" s="313" t="s">
        <v>1549</v>
      </c>
    </row>
    <row r="52" spans="1:4" ht="13.5">
      <c r="A52" s="142" t="s">
        <v>1543</v>
      </c>
      <c r="B52" s="312" t="s">
        <v>1550</v>
      </c>
      <c r="C52" s="312" t="s">
        <v>1550</v>
      </c>
      <c r="D52" s="313" t="s">
        <v>1550</v>
      </c>
    </row>
    <row r="53" spans="1:4" ht="13.5">
      <c r="A53" s="142" t="s">
        <v>1543</v>
      </c>
      <c r="B53" s="312" t="s">
        <v>1551</v>
      </c>
      <c r="C53" s="312" t="s">
        <v>1551</v>
      </c>
      <c r="D53" s="313" t="s">
        <v>1551</v>
      </c>
    </row>
    <row r="54" spans="1:4" ht="13.5">
      <c r="A54" s="142" t="s">
        <v>1543</v>
      </c>
      <c r="B54" s="312" t="s">
        <v>1552</v>
      </c>
      <c r="C54" s="312" t="s">
        <v>1552</v>
      </c>
      <c r="D54" s="313" t="s">
        <v>1552</v>
      </c>
    </row>
    <row r="55" spans="1:4" ht="13.5">
      <c r="A55" s="142" t="s">
        <v>1543</v>
      </c>
      <c r="B55" s="312" t="s">
        <v>1553</v>
      </c>
      <c r="C55" s="312" t="s">
        <v>1553</v>
      </c>
      <c r="D55" s="313" t="s">
        <v>1553</v>
      </c>
    </row>
    <row r="56" spans="1:4" ht="13.5">
      <c r="A56" s="142" t="s">
        <v>1543</v>
      </c>
      <c r="B56" s="312" t="s">
        <v>1554</v>
      </c>
      <c r="C56" s="312" t="s">
        <v>1554</v>
      </c>
      <c r="D56" s="313" t="s">
        <v>1554</v>
      </c>
    </row>
    <row r="57" spans="1:4" ht="13.5">
      <c r="A57" s="142" t="s">
        <v>1543</v>
      </c>
      <c r="B57" s="312" t="s">
        <v>1555</v>
      </c>
      <c r="C57" s="312" t="s">
        <v>1555</v>
      </c>
      <c r="D57" s="313" t="s">
        <v>1555</v>
      </c>
    </row>
    <row r="58" spans="1:4" ht="13.5">
      <c r="A58" s="138"/>
      <c r="B58" s="143"/>
      <c r="C58" s="9"/>
      <c r="D58" s="139"/>
    </row>
    <row r="59" spans="1:4" ht="13.5">
      <c r="A59" s="138"/>
      <c r="B59" s="144" t="s">
        <v>1556</v>
      </c>
      <c r="C59" s="9"/>
      <c r="D59" s="139"/>
    </row>
    <row r="60" spans="1:4" ht="13.5">
      <c r="A60" s="138"/>
      <c r="B60" s="143"/>
      <c r="C60" s="9"/>
      <c r="D60" s="139"/>
    </row>
    <row r="61" spans="1:4" ht="24" customHeight="1">
      <c r="A61" s="142" t="s">
        <v>1543</v>
      </c>
      <c r="B61" s="312" t="s">
        <v>1557</v>
      </c>
      <c r="C61" s="312" t="s">
        <v>1557</v>
      </c>
      <c r="D61" s="313" t="s">
        <v>1557</v>
      </c>
    </row>
    <row r="62" spans="1:4" ht="13.5">
      <c r="A62" s="142" t="s">
        <v>1543</v>
      </c>
      <c r="B62" s="312" t="s">
        <v>1558</v>
      </c>
      <c r="C62" s="312" t="s">
        <v>1558</v>
      </c>
      <c r="D62" s="313" t="s">
        <v>1558</v>
      </c>
    </row>
    <row r="63" spans="1:4" ht="13.5">
      <c r="A63" s="142" t="s">
        <v>1543</v>
      </c>
      <c r="B63" s="312" t="s">
        <v>1559</v>
      </c>
      <c r="C63" s="312" t="s">
        <v>1559</v>
      </c>
      <c r="D63" s="313" t="s">
        <v>1559</v>
      </c>
    </row>
    <row r="64" spans="1:4" ht="13.5">
      <c r="A64" s="142" t="s">
        <v>1543</v>
      </c>
      <c r="B64" s="312" t="s">
        <v>1553</v>
      </c>
      <c r="C64" s="312" t="s">
        <v>1553</v>
      </c>
      <c r="D64" s="313" t="s">
        <v>1553</v>
      </c>
    </row>
    <row r="65" spans="1:4" ht="13.5">
      <c r="A65" s="142" t="s">
        <v>1543</v>
      </c>
      <c r="B65" s="312" t="s">
        <v>1560</v>
      </c>
      <c r="C65" s="312" t="s">
        <v>1560</v>
      </c>
      <c r="D65" s="313" t="s">
        <v>1560</v>
      </c>
    </row>
    <row r="66" spans="1:4" ht="13.5">
      <c r="A66" s="142" t="s">
        <v>1543</v>
      </c>
      <c r="B66" s="312" t="s">
        <v>1561</v>
      </c>
      <c r="C66" s="312" t="s">
        <v>1561</v>
      </c>
      <c r="D66" s="313" t="s">
        <v>1561</v>
      </c>
    </row>
    <row r="67" spans="1:4" ht="13.5">
      <c r="A67" s="142" t="s">
        <v>1543</v>
      </c>
      <c r="B67" s="312" t="s">
        <v>1562</v>
      </c>
      <c r="C67" s="312" t="s">
        <v>1562</v>
      </c>
      <c r="D67" s="313" t="s">
        <v>1562</v>
      </c>
    </row>
    <row r="68" spans="1:4" ht="13.5">
      <c r="A68" s="142" t="s">
        <v>1543</v>
      </c>
      <c r="B68" s="312" t="s">
        <v>1563</v>
      </c>
      <c r="C68" s="312" t="s">
        <v>1563</v>
      </c>
      <c r="D68" s="313" t="s">
        <v>1563</v>
      </c>
    </row>
    <row r="69" spans="1:4" ht="13.5">
      <c r="A69" s="142" t="s">
        <v>1543</v>
      </c>
      <c r="B69" s="312" t="s">
        <v>1564</v>
      </c>
      <c r="C69" s="312" t="s">
        <v>1564</v>
      </c>
      <c r="D69" s="313" t="s">
        <v>1564</v>
      </c>
    </row>
    <row r="70" spans="1:4" ht="13.5">
      <c r="A70" s="138"/>
      <c r="B70" s="9"/>
      <c r="C70" s="9"/>
      <c r="D70" s="139"/>
    </row>
    <row r="71" spans="1:4" ht="13.5">
      <c r="A71" s="138"/>
      <c r="B71" s="144" t="s">
        <v>1565</v>
      </c>
      <c r="C71" s="9"/>
      <c r="D71" s="139"/>
    </row>
    <row r="72" spans="1:4" ht="13.5">
      <c r="A72" s="138"/>
      <c r="B72" s="143"/>
      <c r="C72" s="9"/>
      <c r="D72" s="139"/>
    </row>
    <row r="73" spans="1:4" ht="13.5">
      <c r="A73" s="142" t="s">
        <v>1543</v>
      </c>
      <c r="B73" s="308" t="s">
        <v>1566</v>
      </c>
      <c r="C73" s="308" t="s">
        <v>1566</v>
      </c>
      <c r="D73" s="309" t="s">
        <v>1566</v>
      </c>
    </row>
    <row r="74" spans="1:4" ht="13.5">
      <c r="A74" s="142" t="s">
        <v>1543</v>
      </c>
      <c r="B74" s="308" t="s">
        <v>1567</v>
      </c>
      <c r="C74" s="308" t="s">
        <v>1567</v>
      </c>
      <c r="D74" s="309" t="s">
        <v>1567</v>
      </c>
    </row>
    <row r="75" spans="1:4" ht="13.5">
      <c r="A75" s="142" t="s">
        <v>1543</v>
      </c>
      <c r="B75" s="308" t="s">
        <v>1568</v>
      </c>
      <c r="C75" s="308" t="s">
        <v>1568</v>
      </c>
      <c r="D75" s="309" t="s">
        <v>1568</v>
      </c>
    </row>
    <row r="76" spans="1:4" ht="13.5">
      <c r="A76" s="142" t="s">
        <v>1543</v>
      </c>
      <c r="B76" s="308" t="s">
        <v>1569</v>
      </c>
      <c r="C76" s="308" t="s">
        <v>1569</v>
      </c>
      <c r="D76" s="309" t="s">
        <v>1569</v>
      </c>
    </row>
    <row r="77" spans="1:4" ht="13.5">
      <c r="A77" s="142" t="s">
        <v>1543</v>
      </c>
      <c r="B77" s="308" t="s">
        <v>1570</v>
      </c>
      <c r="C77" s="308" t="s">
        <v>1570</v>
      </c>
      <c r="D77" s="309" t="s">
        <v>1570</v>
      </c>
    </row>
    <row r="78" spans="1:4" ht="13.5">
      <c r="A78" s="142" t="s">
        <v>1543</v>
      </c>
      <c r="B78" s="308" t="s">
        <v>1571</v>
      </c>
      <c r="C78" s="308" t="s">
        <v>1571</v>
      </c>
      <c r="D78" s="309" t="s">
        <v>1571</v>
      </c>
    </row>
    <row r="79" spans="1:4" ht="14.25" thickBot="1">
      <c r="A79" s="145" t="s">
        <v>1543</v>
      </c>
      <c r="B79" s="310" t="s">
        <v>1572</v>
      </c>
      <c r="C79" s="310" t="s">
        <v>1572</v>
      </c>
      <c r="D79" s="311" t="s">
        <v>1572</v>
      </c>
    </row>
  </sheetData>
  <sheetProtection algorithmName="SHA-512" hashValue="jUaVrAGOPEPQDqrolYC45dptcZBl/E/OuzjIvdWFR+yACodGOI4X+XYulG2Q7WcvgWV7mozpC0kFZjFkTxWVEA==" saltValue="LPZRgGNTTPwMQkQR32DJTA==" spinCount="100000" sheet="1" objects="1" scenarios="1" sort="0" autoFilter="0"/>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L74"/>
  <sheetViews>
    <sheetView showGridLines="0" tabSelected="1" view="pageBreakPreview" topLeftCell="A42" zoomScale="85" zoomScaleNormal="100" zoomScaleSheetLayoutView="85" workbookViewId="0">
      <selection activeCell="C65" sqref="C65:G65"/>
    </sheetView>
  </sheetViews>
  <sheetFormatPr defaultColWidth="9.140625" defaultRowHeight="18.75" customHeight="1"/>
  <cols>
    <col min="1" max="1" width="13.7109375" style="148" customWidth="1"/>
    <col min="2" max="2" width="36.28515625" style="147" bestFit="1" customWidth="1"/>
    <col min="3" max="5" width="23.28515625" style="148" customWidth="1"/>
    <col min="6" max="6" width="23.5703125" style="148" customWidth="1"/>
    <col min="7" max="7" width="23.28515625" style="148" customWidth="1"/>
    <col min="8" max="8" width="22.7109375" style="149" customWidth="1"/>
    <col min="9" max="9" width="20.5703125" style="148" customWidth="1"/>
    <col min="10" max="10" width="19.28515625" style="148" bestFit="1" customWidth="1"/>
    <col min="11" max="11" width="14.85546875" style="148" customWidth="1"/>
    <col min="12" max="12" width="11.7109375" style="148" customWidth="1"/>
    <col min="13" max="16384" width="9.140625" style="148"/>
  </cols>
  <sheetData>
    <row r="1" spans="1:12" s="26" customFormat="1" ht="17.25" customHeight="1">
      <c r="A1" s="280" t="s">
        <v>199</v>
      </c>
      <c r="B1" s="280"/>
      <c r="C1" s="280"/>
      <c r="D1" s="280"/>
      <c r="E1" s="280"/>
      <c r="F1" s="280"/>
      <c r="G1" s="280"/>
      <c r="H1" s="146"/>
    </row>
    <row r="2" spans="1:12" s="26" customFormat="1" ht="15" customHeight="1">
      <c r="A2" s="304"/>
      <c r="B2" s="281"/>
      <c r="C2" s="281"/>
      <c r="D2" s="281"/>
      <c r="E2" s="281"/>
      <c r="F2" s="281"/>
      <c r="G2" s="281"/>
      <c r="H2" s="146"/>
    </row>
    <row r="3" spans="1:12" s="28" customFormat="1" ht="12">
      <c r="B3" s="30"/>
      <c r="H3" s="146"/>
    </row>
    <row r="4" spans="1:12" ht="12">
      <c r="A4" s="147"/>
      <c r="B4" s="148"/>
    </row>
    <row r="5" spans="1:12" ht="12">
      <c r="A5" s="33" t="s">
        <v>207</v>
      </c>
      <c r="B5" s="148"/>
    </row>
    <row r="6" spans="1:12" s="150" customFormat="1" ht="25.5" customHeight="1">
      <c r="A6" s="254" t="s">
        <v>195</v>
      </c>
      <c r="B6" s="255" t="s">
        <v>135</v>
      </c>
      <c r="C6" s="254" t="s">
        <v>2108</v>
      </c>
      <c r="D6" s="261" t="s">
        <v>1765</v>
      </c>
      <c r="E6" s="263" t="s">
        <v>1766</v>
      </c>
      <c r="F6" s="256" t="s">
        <v>2109</v>
      </c>
      <c r="G6" s="262" t="s">
        <v>2110</v>
      </c>
      <c r="H6" s="264" t="s">
        <v>2111</v>
      </c>
      <c r="I6" s="256" t="s">
        <v>1259</v>
      </c>
      <c r="J6" s="262" t="s">
        <v>2181</v>
      </c>
      <c r="K6" s="264" t="s">
        <v>2182</v>
      </c>
      <c r="L6" s="254" t="s">
        <v>162</v>
      </c>
    </row>
    <row r="7" spans="1:12" s="150" customFormat="1" ht="18.75" customHeight="1">
      <c r="A7" s="5">
        <v>1</v>
      </c>
      <c r="B7" s="3" t="str">
        <f>VLOOKUP(Samenvattingschoonmaak[[#This Row],[Code Locatie]],Locaties[],2,0)</f>
        <v>Hoofdkantoor OPOZ</v>
      </c>
      <c r="C7" s="151">
        <f>SUMIF('Ruimtestaat'!$A:$A,Totalisatie!$A7,'Ruimtestaat'!$N:$N)</f>
        <v>257</v>
      </c>
      <c r="D7" s="151">
        <f>SUMIF('Ruimtestaat'!$A:$A,Totalisatie!$A7,'Ruimtestaat'!$P:$P)</f>
        <v>0</v>
      </c>
      <c r="E7" s="151">
        <f>SUMIF('Ruimtestaat'!$A:$A,Totalisatie!$A7,'Ruimtestaat'!$Q:$Q)</f>
        <v>0</v>
      </c>
      <c r="F7" s="152">
        <f>SUMIF('Ruimtestaat'!$A:$A,Totalisatie!$A7,'Ruimtestaat'!$AM:$AM)</f>
        <v>0</v>
      </c>
      <c r="G7" s="152" t="e">
        <f>SUMIF('Ruimtestaat'!$A:$A,Totalisatie!$A7,'Ruimtestaat'!$Z:$Z)</f>
        <v>#DIV/0!</v>
      </c>
      <c r="H7" s="152" t="e">
        <f>SUMIF('Ruimtestaat'!$A:$A,Totalisatie!$A7,'Ruimtestaat'!$AC:$AC)</f>
        <v>#DIV/0!</v>
      </c>
      <c r="I7" s="153">
        <f>SUMIF('Ruimtestaat'!$A:$A,Totalisatie!$A7,'Ruimtestaat'!$AN:$AN)</f>
        <v>0</v>
      </c>
      <c r="J7" s="153" t="e">
        <f>SUMIF('Ruimtestaat'!$A:$A,Totalisatie!$A7,'Ruimtestaat'!$AA:$AA)</f>
        <v>#DIV/0!</v>
      </c>
      <c r="K7" s="153">
        <f>SUMIF('Ruimtestaat'!$A:$A,Totalisatie!$A7,'Ruimtestaat'!$A:$AD)</f>
        <v>9</v>
      </c>
      <c r="L7" s="154">
        <f t="shared" ref="L7:L31" si="0">IF(C7=0,0,I7/C7)</f>
        <v>0</v>
      </c>
    </row>
    <row r="8" spans="1:12" s="150" customFormat="1" ht="18.75" customHeight="1">
      <c r="A8" s="5">
        <v>2</v>
      </c>
      <c r="B8" s="3" t="str">
        <f>VLOOKUP(Samenvattingschoonmaak[[#This Row],[Code Locatie]],Locaties[],2,0)</f>
        <v>IKC  De Watersnip</v>
      </c>
      <c r="C8" s="151">
        <f>SUMIF('Ruimtestaat'!$A:$A,Totalisatie!$A8,'Ruimtestaat'!$N:$N)</f>
        <v>931</v>
      </c>
      <c r="D8" s="151">
        <f>SUMIF('Ruimtestaat'!$A:$A,Totalisatie!$A8,'Ruimtestaat'!$P:$P)</f>
        <v>0</v>
      </c>
      <c r="E8" s="151">
        <f>SUMIF('Ruimtestaat'!$A:$A,Totalisatie!$A8,'Ruimtestaat'!$Q:$Q)</f>
        <v>63</v>
      </c>
      <c r="F8" s="152">
        <f>SUMIF('Ruimtestaat'!$A:$A,Totalisatie!$A8,'Ruimtestaat'!$AM:$AM)</f>
        <v>0</v>
      </c>
      <c r="G8" s="152" t="e">
        <f>SUMIF('Ruimtestaat'!$A:$A,Totalisatie!$A8,'Ruimtestaat'!$Z:$Z)</f>
        <v>#DIV/0!</v>
      </c>
      <c r="H8" s="152" t="e">
        <f>SUMIF('Ruimtestaat'!$A:$A,Totalisatie!$A8,'Ruimtestaat'!$AC:$AC)</f>
        <v>#DIV/0!</v>
      </c>
      <c r="I8" s="153">
        <f>SUMIF('Ruimtestaat'!$A:$A,Totalisatie!$A8,'Ruimtestaat'!$AN:$AN)</f>
        <v>0</v>
      </c>
      <c r="J8" s="154" t="e">
        <f>SUMIF('Ruimtestaat'!$A:$A,Totalisatie!$A8,'Ruimtestaat'!$AA:$AA)</f>
        <v>#DIV/0!</v>
      </c>
      <c r="K8" s="154">
        <f>SUMIF('Ruimtestaat'!$A:$A,Totalisatie!$A8,'Ruimtestaat'!$A:$AD)</f>
        <v>48</v>
      </c>
      <c r="L8" s="154">
        <f t="shared" si="0"/>
        <v>0</v>
      </c>
    </row>
    <row r="9" spans="1:12" s="150" customFormat="1" ht="18.75" customHeight="1">
      <c r="A9" s="5">
        <v>3</v>
      </c>
      <c r="B9" s="3" t="str">
        <f>VLOOKUP(Samenvattingschoonmaak[[#This Row],[Code Locatie]],Locaties[],2,0)</f>
        <v>IKC De Saffier</v>
      </c>
      <c r="C9" s="151">
        <f>SUMIF('Ruimtestaat'!$A:$A,Totalisatie!$A9,'Ruimtestaat'!$N:$N)</f>
        <v>519</v>
      </c>
      <c r="D9" s="151">
        <f>SUMIF('Ruimtestaat'!$A:$A,Totalisatie!$A9,'Ruimtestaat'!$P:$P)</f>
        <v>0</v>
      </c>
      <c r="E9" s="151">
        <f>SUMIF('Ruimtestaat'!$A:$A,Totalisatie!$A9,'Ruimtestaat'!$Q:$Q)</f>
        <v>126</v>
      </c>
      <c r="F9" s="152">
        <f>SUMIF('Ruimtestaat'!$A:$A,Totalisatie!$A9,'Ruimtestaat'!$AM:$AM)</f>
        <v>0</v>
      </c>
      <c r="G9" s="152" t="e">
        <f>SUMIF('Ruimtestaat'!$A:$A,Totalisatie!$A9,'Ruimtestaat'!$Z:$Z)</f>
        <v>#DIV/0!</v>
      </c>
      <c r="H9" s="152" t="e">
        <f>SUMIF('Ruimtestaat'!$A:$A,Totalisatie!$A9,'Ruimtestaat'!$AC:$AC)</f>
        <v>#DIV/0!</v>
      </c>
      <c r="I9" s="153">
        <f>SUMIF('Ruimtestaat'!$A:$A,Totalisatie!$A9,'Ruimtestaat'!$AN:$AN)</f>
        <v>0</v>
      </c>
      <c r="J9" s="154" t="e">
        <f>SUMIF('Ruimtestaat'!$A:$A,Totalisatie!$A9,'Ruimtestaat'!$AA:$AA)</f>
        <v>#DIV/0!</v>
      </c>
      <c r="K9" s="154">
        <f>SUMIF('Ruimtestaat'!$A:$A,Totalisatie!$A9,'Ruimtestaat'!$A:$AD)</f>
        <v>48</v>
      </c>
      <c r="L9" s="154">
        <f t="shared" si="0"/>
        <v>0</v>
      </c>
    </row>
    <row r="10" spans="1:12" s="150" customFormat="1" ht="18.75" customHeight="1">
      <c r="A10" s="5">
        <v>4</v>
      </c>
      <c r="B10" s="3" t="str">
        <f>VLOOKUP(Samenvattingschoonmaak[[#This Row],[Code Locatie]],Locaties[],2,0)</f>
        <v>IKC De Waterlelie</v>
      </c>
      <c r="C10" s="151">
        <f>SUMIF('Ruimtestaat'!$A:$A,Totalisatie!$A10,'Ruimtestaat'!$N:$N)</f>
        <v>533.9</v>
      </c>
      <c r="D10" s="151">
        <f>SUMIF('Ruimtestaat'!$A:$A,Totalisatie!$A10,'Ruimtestaat'!$P:$P)</f>
        <v>0</v>
      </c>
      <c r="E10" s="151">
        <f>SUMIF('Ruimtestaat'!$A:$A,Totalisatie!$A10,'Ruimtestaat'!$Q:$Q)</f>
        <v>413.3</v>
      </c>
      <c r="F10" s="152">
        <f>SUMIF('Ruimtestaat'!$A:$A,Totalisatie!$A10,'Ruimtestaat'!$AM:$AM)</f>
        <v>0</v>
      </c>
      <c r="G10" s="152" t="e">
        <f>SUMIF('Ruimtestaat'!$A:$A,Totalisatie!$A10,'Ruimtestaat'!$Z:$Z)</f>
        <v>#DIV/0!</v>
      </c>
      <c r="H10" s="152" t="e">
        <f>SUMIF('Ruimtestaat'!$A:$A,Totalisatie!$A10,'Ruimtestaat'!$AC:$AC)</f>
        <v>#DIV/0!</v>
      </c>
      <c r="I10" s="153">
        <f>SUMIF('Ruimtestaat'!$A:$A,Totalisatie!$A10,'Ruimtestaat'!$AN:$AN)</f>
        <v>0</v>
      </c>
      <c r="J10" s="154" t="e">
        <f>SUMIF('Ruimtestaat'!$A:$A,Totalisatie!$A10,'Ruimtestaat'!$AA:$AA)</f>
        <v>#DIV/0!</v>
      </c>
      <c r="K10" s="154">
        <f>SUMIF('Ruimtestaat'!$A:$A,Totalisatie!$A10,'Ruimtestaat'!$A:$AD)</f>
        <v>136</v>
      </c>
      <c r="L10" s="154">
        <f t="shared" si="0"/>
        <v>0</v>
      </c>
    </row>
    <row r="11" spans="1:12" ht="18.75" customHeight="1">
      <c r="A11" s="5">
        <v>5</v>
      </c>
      <c r="B11" s="3" t="str">
        <f>VLOOKUP(Samenvattingschoonmaak[[#This Row],[Code Locatie]],Locaties[],2,0)</f>
        <v>IKC De Springplank</v>
      </c>
      <c r="C11" s="151">
        <f>SUMIF('Ruimtestaat'!$A:$A,Totalisatie!$A11,'Ruimtestaat'!$N:$N)</f>
        <v>734</v>
      </c>
      <c r="D11" s="151">
        <f>SUMIF('Ruimtestaat'!$A:$A,Totalisatie!$A11,'Ruimtestaat'!$P:$P)</f>
        <v>239</v>
      </c>
      <c r="E11" s="151">
        <f>SUMIF('Ruimtestaat'!$A:$A,Totalisatie!$A11,'Ruimtestaat'!$Q:$Q)</f>
        <v>0</v>
      </c>
      <c r="F11" s="152">
        <f>SUMIF('Ruimtestaat'!$A:$A,Totalisatie!$A11,'Ruimtestaat'!$AM:$AM)</f>
        <v>0</v>
      </c>
      <c r="G11" s="152" t="e">
        <f>SUMIF('Ruimtestaat'!$A:$A,Totalisatie!$A11,'Ruimtestaat'!$Z:$Z)</f>
        <v>#DIV/0!</v>
      </c>
      <c r="H11" s="152" t="e">
        <f>SUMIF('Ruimtestaat'!$A:$A,Totalisatie!$A11,'Ruimtestaat'!$AC:$AC)</f>
        <v>#DIV/0!</v>
      </c>
      <c r="I11" s="153">
        <f>SUMIF('Ruimtestaat'!$A:$A,Totalisatie!$A11,'Ruimtestaat'!$AN:$AN)</f>
        <v>0</v>
      </c>
      <c r="J11" s="154" t="e">
        <f>SUMIF('Ruimtestaat'!$A:$A,Totalisatie!$A11,'Ruimtestaat'!$AA:$AA)</f>
        <v>#DIV/0!</v>
      </c>
      <c r="K11" s="154">
        <f>SUMIF('Ruimtestaat'!$A:$A,Totalisatie!$A11,'Ruimtestaat'!$A:$AD)</f>
        <v>105</v>
      </c>
      <c r="L11" s="154">
        <f t="shared" si="0"/>
        <v>0</v>
      </c>
    </row>
    <row r="12" spans="1:12" ht="18.75" customHeight="1">
      <c r="A12" s="5">
        <v>6</v>
      </c>
      <c r="B12" s="3" t="str">
        <f>VLOOKUP(Samenvattingschoonmaak[[#This Row],[Code Locatie]],Locaties[],2,0)</f>
        <v>IKC Het Zwanenbos</v>
      </c>
      <c r="C12" s="151">
        <f>SUMIF('Ruimtestaat'!$A:$A,Totalisatie!$A12,'Ruimtestaat'!$N:$N)</f>
        <v>1513.4</v>
      </c>
      <c r="D12" s="151">
        <f>SUMIF('Ruimtestaat'!$A:$A,Totalisatie!$A12,'Ruimtestaat'!$P:$P)</f>
        <v>62</v>
      </c>
      <c r="E12" s="151">
        <f>SUMIF('Ruimtestaat'!$A:$A,Totalisatie!$A12,'Ruimtestaat'!$Q:$Q)</f>
        <v>0</v>
      </c>
      <c r="F12" s="152">
        <f>SUMIF('Ruimtestaat'!$A:$A,Totalisatie!$A12,'Ruimtestaat'!$AM:$AM)</f>
        <v>0</v>
      </c>
      <c r="G12" s="152" t="e">
        <f>SUMIF('Ruimtestaat'!$A:$A,Totalisatie!$A12,'Ruimtestaat'!$Z:$Z)</f>
        <v>#DIV/0!</v>
      </c>
      <c r="H12" s="152" t="e">
        <f>SUMIF('Ruimtestaat'!$A:$A,Totalisatie!$A12,'Ruimtestaat'!$AC:$AC)</f>
        <v>#DIV/0!</v>
      </c>
      <c r="I12" s="153">
        <f>SUMIF('Ruimtestaat'!$A:$A,Totalisatie!$A12,'Ruimtestaat'!$AN:$AN)</f>
        <v>0</v>
      </c>
      <c r="J12" s="154" t="e">
        <f>SUMIF('Ruimtestaat'!$A:$A,Totalisatie!$A12,'Ruimtestaat'!$AA:$AA)</f>
        <v>#DIV/0!</v>
      </c>
      <c r="K12" s="154">
        <f>SUMIF('Ruimtestaat'!$A:$A,Totalisatie!$A12,'Ruimtestaat'!$A:$AD)</f>
        <v>216</v>
      </c>
      <c r="L12" s="154">
        <f t="shared" si="0"/>
        <v>0</v>
      </c>
    </row>
    <row r="13" spans="1:12" ht="18.75" customHeight="1">
      <c r="A13" s="5">
        <v>7</v>
      </c>
      <c r="B13" s="3" t="str">
        <f>VLOOKUP(Samenvattingschoonmaak[[#This Row],[Code Locatie]],Locaties[],2,0)</f>
        <v>IKC De Baanbreker</v>
      </c>
      <c r="C13" s="151">
        <f>SUMIF('Ruimtestaat'!$A:$A,Totalisatie!$A13,'Ruimtestaat'!$N:$N)</f>
        <v>1120.5</v>
      </c>
      <c r="D13" s="151">
        <f>SUMIF('Ruimtestaat'!$A:$A,Totalisatie!$A13,'Ruimtestaat'!$P:$P)</f>
        <v>0</v>
      </c>
      <c r="E13" s="151">
        <f>SUMIF('Ruimtestaat'!$A:$A,Totalisatie!$A13,'Ruimtestaat'!$Q:$Q)</f>
        <v>0</v>
      </c>
      <c r="F13" s="152">
        <f>SUMIF('Ruimtestaat'!$A:$A,Totalisatie!$A13,'Ruimtestaat'!$AM:$AM)</f>
        <v>0</v>
      </c>
      <c r="G13" s="152" t="e">
        <f>SUMIF('Ruimtestaat'!$A:$A,Totalisatie!$A13,'Ruimtestaat'!$Z:$Z)</f>
        <v>#DIV/0!</v>
      </c>
      <c r="H13" s="152" t="e">
        <f>SUMIF('Ruimtestaat'!$A:$A,Totalisatie!$A13,'Ruimtestaat'!$AC:$AC)</f>
        <v>#DIV/0!</v>
      </c>
      <c r="I13" s="153">
        <f>SUMIF('Ruimtestaat'!$A:$A,Totalisatie!$A13,'Ruimtestaat'!$AN:$AN)</f>
        <v>0</v>
      </c>
      <c r="J13" s="154" t="e">
        <f>SUMIF('Ruimtestaat'!$A:$A,Totalisatie!$A13,'Ruimtestaat'!$AA:$AA)</f>
        <v>#DIV/0!</v>
      </c>
      <c r="K13" s="154">
        <f>SUMIF('Ruimtestaat'!$A:$A,Totalisatie!$A13,'Ruimtestaat'!$A:$AD)</f>
        <v>203</v>
      </c>
      <c r="L13" s="154">
        <f t="shared" si="0"/>
        <v>0</v>
      </c>
    </row>
    <row r="14" spans="1:12" ht="18.75" customHeight="1">
      <c r="A14" s="5">
        <v>8</v>
      </c>
      <c r="B14" s="3" t="str">
        <f>VLOOKUP(Samenvattingschoonmaak[[#This Row],[Code Locatie]],Locaties[],2,0)</f>
        <v>IKC De Trinoom</v>
      </c>
      <c r="C14" s="151">
        <f>SUMIF('Ruimtestaat'!$A:$A,Totalisatie!$A14,'Ruimtestaat'!$N:$N)</f>
        <v>1282</v>
      </c>
      <c r="D14" s="151">
        <f>SUMIF('Ruimtestaat'!$A:$A,Totalisatie!$A14,'Ruimtestaat'!$P:$P)</f>
        <v>0</v>
      </c>
      <c r="E14" s="151">
        <f>SUMIF('Ruimtestaat'!$A:$A,Totalisatie!$A14,'Ruimtestaat'!$Q:$Q)</f>
        <v>66</v>
      </c>
      <c r="F14" s="152">
        <f>SUMIF('Ruimtestaat'!$A:$A,Totalisatie!$A14,'Ruimtestaat'!$AM:$AM)</f>
        <v>0</v>
      </c>
      <c r="G14" s="152" t="e">
        <f>SUMIF('Ruimtestaat'!$A:$A,Totalisatie!$A14,'Ruimtestaat'!$Z:$Z)</f>
        <v>#DIV/0!</v>
      </c>
      <c r="H14" s="152" t="e">
        <f>SUMIF('Ruimtestaat'!$A:$A,Totalisatie!$A14,'Ruimtestaat'!$AC:$AC)</f>
        <v>#DIV/0!</v>
      </c>
      <c r="I14" s="153">
        <f>SUMIF('Ruimtestaat'!$A:$A,Totalisatie!$A14,'Ruimtestaat'!$AN:$AN)</f>
        <v>0</v>
      </c>
      <c r="J14" s="154" t="e">
        <f>SUMIF('Ruimtestaat'!$A:$A,Totalisatie!$A14,'Ruimtestaat'!$AA:$AA)</f>
        <v>#DIV/0!</v>
      </c>
      <c r="K14" s="154">
        <f>SUMIF('Ruimtestaat'!$A:$A,Totalisatie!$A14,'Ruimtestaat'!$A:$AD)</f>
        <v>200</v>
      </c>
      <c r="L14" s="154">
        <f t="shared" si="0"/>
        <v>0</v>
      </c>
    </row>
    <row r="15" spans="1:12" ht="18.75" customHeight="1">
      <c r="A15" s="5">
        <v>9</v>
      </c>
      <c r="B15" s="3" t="str">
        <f>VLOOKUP(Samenvattingschoonmaak[[#This Row],[Code Locatie]],Locaties[],2,0)</f>
        <v>IKC De Vijverburgh</v>
      </c>
      <c r="C15" s="151">
        <f>SUMIF('Ruimtestaat'!$A:$A,Totalisatie!$A15,'Ruimtestaat'!$N:$N)</f>
        <v>1040</v>
      </c>
      <c r="D15" s="151">
        <f>SUMIF('Ruimtestaat'!$A:$A,Totalisatie!$A15,'Ruimtestaat'!$P:$P)</f>
        <v>0</v>
      </c>
      <c r="E15" s="151">
        <f>SUMIF('Ruimtestaat'!$A:$A,Totalisatie!$A15,'Ruimtestaat'!$Q:$Q)</f>
        <v>134</v>
      </c>
      <c r="F15" s="152">
        <f>SUMIF('Ruimtestaat'!$A:$A,Totalisatie!$A15,'Ruimtestaat'!$AM:$AM)</f>
        <v>0</v>
      </c>
      <c r="G15" s="152" t="e">
        <f>SUMIF('Ruimtestaat'!$A:$A,Totalisatie!$A15,'Ruimtestaat'!$Z:$Z)</f>
        <v>#DIV/0!</v>
      </c>
      <c r="H15" s="152" t="e">
        <f>SUMIF('Ruimtestaat'!$A:$A,Totalisatie!$A15,'Ruimtestaat'!$AC:$AC)</f>
        <v>#DIV/0!</v>
      </c>
      <c r="I15" s="153">
        <f>SUMIF('Ruimtestaat'!$A:$A,Totalisatie!$A15,'Ruimtestaat'!$AN:$AN)</f>
        <v>0</v>
      </c>
      <c r="J15" s="154" t="e">
        <f>SUMIF('Ruimtestaat'!$A:$A,Totalisatie!$A15,'Ruimtestaat'!$AA:$AA)</f>
        <v>#DIV/0!</v>
      </c>
      <c r="K15" s="154">
        <f>SUMIF('Ruimtestaat'!$A:$A,Totalisatie!$A15,'Ruimtestaat'!$A:$AD)</f>
        <v>351</v>
      </c>
      <c r="L15" s="154">
        <f t="shared" si="0"/>
        <v>0</v>
      </c>
    </row>
    <row r="16" spans="1:12" ht="18.75" customHeight="1">
      <c r="A16" s="5">
        <v>10</v>
      </c>
      <c r="B16" s="3" t="str">
        <f>VLOOKUP(Samenvattingschoonmaak[[#This Row],[Code Locatie]],Locaties[],2,0)</f>
        <v xml:space="preserve">IKC De Edelsteen </v>
      </c>
      <c r="C16" s="151">
        <f>SUMIF('Ruimtestaat'!$A:$A,Totalisatie!$A16,'Ruimtestaat'!$N:$N)</f>
        <v>770</v>
      </c>
      <c r="D16" s="151">
        <f>SUMIF('Ruimtestaat'!$A:$A,Totalisatie!$A16,'Ruimtestaat'!$P:$P)</f>
        <v>165</v>
      </c>
      <c r="E16" s="151">
        <f>SUMIF('Ruimtestaat'!$A:$A,Totalisatie!$A16,'Ruimtestaat'!$Q:$Q)</f>
        <v>0</v>
      </c>
      <c r="F16" s="152">
        <f>SUMIF('Ruimtestaat'!$A:$A,Totalisatie!$A16,'Ruimtestaat'!$AM:$AM)</f>
        <v>0</v>
      </c>
      <c r="G16" s="152" t="e">
        <f>SUMIF('Ruimtestaat'!$A:$A,Totalisatie!$A16,'Ruimtestaat'!$Z:$Z)</f>
        <v>#DIV/0!</v>
      </c>
      <c r="H16" s="152" t="e">
        <f>SUMIF('Ruimtestaat'!$A:$A,Totalisatie!$A16,'Ruimtestaat'!$AC:$AC)</f>
        <v>#DIV/0!</v>
      </c>
      <c r="I16" s="153">
        <f>SUMIF('Ruimtestaat'!$A:$A,Totalisatie!$A16,'Ruimtestaat'!$AN:$AN)</f>
        <v>0</v>
      </c>
      <c r="J16" s="154" t="e">
        <f>SUMIF('Ruimtestaat'!$A:$A,Totalisatie!$A16,'Ruimtestaat'!$AA:$AA)</f>
        <v>#DIV/0!</v>
      </c>
      <c r="K16" s="154">
        <f>SUMIF('Ruimtestaat'!$A:$A,Totalisatie!$A16,'Ruimtestaat'!$A:$AD)</f>
        <v>180</v>
      </c>
      <c r="L16" s="154">
        <f t="shared" si="0"/>
        <v>0</v>
      </c>
    </row>
    <row r="17" spans="1:12" ht="18.75" customHeight="1">
      <c r="A17" s="5">
        <v>11</v>
      </c>
      <c r="B17" s="3" t="str">
        <f>VLOOKUP(Samenvattingschoonmaak[[#This Row],[Code Locatie]],Locaties[],2,0)</f>
        <v>IKC De Edelsteen (bijgebouw)</v>
      </c>
      <c r="C17" s="151">
        <f>SUMIF('Ruimtestaat'!$A:$A,Totalisatie!$A17,'Ruimtestaat'!$N:$N)</f>
        <v>171.44</v>
      </c>
      <c r="D17" s="151">
        <f>SUMIF('Ruimtestaat'!$A:$A,Totalisatie!$A17,'Ruimtestaat'!$P:$P)</f>
        <v>0</v>
      </c>
      <c r="E17" s="151">
        <f>SUMIF('Ruimtestaat'!$A:$A,Totalisatie!$A17,'Ruimtestaat'!$Q:$Q)</f>
        <v>0</v>
      </c>
      <c r="F17" s="152">
        <f>SUMIF('Ruimtestaat'!$A:$A,Totalisatie!$A17,'Ruimtestaat'!$AM:$AM)</f>
        <v>0</v>
      </c>
      <c r="G17" s="152" t="e">
        <f>SUMIF('Ruimtestaat'!$A:$A,Totalisatie!$A17,'Ruimtestaat'!$Z:$Z)</f>
        <v>#DIV/0!</v>
      </c>
      <c r="H17" s="152" t="e">
        <f>SUMIF('Ruimtestaat'!$A:$A,Totalisatie!$A17,'Ruimtestaat'!$AC:$AC)</f>
        <v>#DIV/0!</v>
      </c>
      <c r="I17" s="153">
        <f>SUMIF('Ruimtestaat'!$A:$A,Totalisatie!$A17,'Ruimtestaat'!$AN:$AN)</f>
        <v>0</v>
      </c>
      <c r="J17" s="154" t="e">
        <f>SUMIF('Ruimtestaat'!$A:$A,Totalisatie!$A17,'Ruimtestaat'!$AA:$AA)</f>
        <v>#DIV/0!</v>
      </c>
      <c r="K17" s="154">
        <f>SUMIF('Ruimtestaat'!$A:$A,Totalisatie!$A17,'Ruimtestaat'!$A:$AD)</f>
        <v>44</v>
      </c>
      <c r="L17" s="154">
        <f t="shared" si="0"/>
        <v>0</v>
      </c>
    </row>
    <row r="18" spans="1:12" ht="18.75" customHeight="1">
      <c r="A18" s="5">
        <v>12</v>
      </c>
      <c r="B18" s="3" t="str">
        <f>VLOOKUP(Samenvattingschoonmaak[[#This Row],[Code Locatie]],Locaties[],2,0)</f>
        <v>IKC De Leerplaneet Loc. 2 (vh 't Plankier)</v>
      </c>
      <c r="C18" s="151">
        <f>SUMIF('Ruimtestaat'!$A:$A,Totalisatie!$A18,'Ruimtestaat'!$N:$N)</f>
        <v>1081</v>
      </c>
      <c r="D18" s="151">
        <f>SUMIF('Ruimtestaat'!$A:$A,Totalisatie!$A18,'Ruimtestaat'!$P:$P)</f>
        <v>0</v>
      </c>
      <c r="E18" s="151">
        <f>SUMIF('Ruimtestaat'!$A:$A,Totalisatie!$A18,'Ruimtestaat'!$Q:$Q)</f>
        <v>24</v>
      </c>
      <c r="F18" s="152">
        <f>SUMIF('Ruimtestaat'!$A:$A,Totalisatie!$A18,'Ruimtestaat'!$AM:$AM)</f>
        <v>0</v>
      </c>
      <c r="G18" s="152" t="e">
        <f>SUMIF('Ruimtestaat'!$A:$A,Totalisatie!$A18,'Ruimtestaat'!$Z:$Z)</f>
        <v>#DIV/0!</v>
      </c>
      <c r="H18" s="152" t="e">
        <f>SUMIF('Ruimtestaat'!$A:$A,Totalisatie!$A18,'Ruimtestaat'!$AC:$AC)</f>
        <v>#DIV/0!</v>
      </c>
      <c r="I18" s="153">
        <f>SUMIF('Ruimtestaat'!$A:$A,Totalisatie!$A18,'Ruimtestaat'!$AN:$AN)</f>
        <v>0</v>
      </c>
      <c r="J18" s="154" t="e">
        <f>SUMIF('Ruimtestaat'!$A:$A,Totalisatie!$A18,'Ruimtestaat'!$AA:$AA)</f>
        <v>#DIV/0!</v>
      </c>
      <c r="K18" s="154">
        <f>SUMIF('Ruimtestaat'!$A:$A,Totalisatie!$A18,'Ruimtestaat'!$A:$AD)</f>
        <v>312</v>
      </c>
      <c r="L18" s="154">
        <f t="shared" si="0"/>
        <v>0</v>
      </c>
    </row>
    <row r="19" spans="1:12" ht="18.75" customHeight="1">
      <c r="A19" s="5">
        <v>13</v>
      </c>
      <c r="B19" s="3" t="str">
        <f>VLOOKUP(Samenvattingschoonmaak[[#This Row],[Code Locatie]],Locaties[],2,0)</f>
        <v>IKC Florence Nightingale</v>
      </c>
      <c r="C19" s="151">
        <f>SUMIF('Ruimtestaat'!$A:$A,Totalisatie!$A19,'Ruimtestaat'!$N:$N)</f>
        <v>1308</v>
      </c>
      <c r="D19" s="151">
        <f>SUMIF('Ruimtestaat'!$A:$A,Totalisatie!$A19,'Ruimtestaat'!$P:$P)</f>
        <v>138</v>
      </c>
      <c r="E19" s="151">
        <f>SUMIF('Ruimtestaat'!$A:$A,Totalisatie!$A19,'Ruimtestaat'!$Q:$Q)</f>
        <v>0</v>
      </c>
      <c r="F19" s="152">
        <f>SUMIF('Ruimtestaat'!$A:$A,Totalisatie!$A19,'Ruimtestaat'!$AM:$AM)</f>
        <v>0</v>
      </c>
      <c r="G19" s="152" t="e">
        <f>SUMIF('Ruimtestaat'!$A:$A,Totalisatie!$A19,'Ruimtestaat'!$Z:$Z)</f>
        <v>#DIV/0!</v>
      </c>
      <c r="H19" s="152" t="e">
        <f>SUMIF('Ruimtestaat'!$A:$A,Totalisatie!$A19,'Ruimtestaat'!$AC:$AC)</f>
        <v>#DIV/0!</v>
      </c>
      <c r="I19" s="153">
        <f>SUMIF('Ruimtestaat'!$A:$A,Totalisatie!$A19,'Ruimtestaat'!$AN:$AN)</f>
        <v>0</v>
      </c>
      <c r="J19" s="154" t="e">
        <f>SUMIF('Ruimtestaat'!$A:$A,Totalisatie!$A19,'Ruimtestaat'!$AA:$AA)</f>
        <v>#DIV/0!</v>
      </c>
      <c r="K19" s="154">
        <f>SUMIF('Ruimtestaat'!$A:$A,Totalisatie!$A19,'Ruimtestaat'!$A:$AD)</f>
        <v>377</v>
      </c>
      <c r="L19" s="154">
        <f t="shared" si="0"/>
        <v>0</v>
      </c>
    </row>
    <row r="20" spans="1:12" ht="18.75" customHeight="1">
      <c r="A20" s="5">
        <v>14</v>
      </c>
      <c r="B20" s="3" t="str">
        <f>VLOOKUP(Samenvattingschoonmaak[[#This Row],[Code Locatie]],Locaties[],2,0)</f>
        <v>IKC De Vuurtoren</v>
      </c>
      <c r="C20" s="151">
        <f>SUMIF('Ruimtestaat'!$A:$A,Totalisatie!$A20,'Ruimtestaat'!$N:$N)</f>
        <v>1455</v>
      </c>
      <c r="D20" s="151">
        <f>SUMIF('Ruimtestaat'!$A:$A,Totalisatie!$A20,'Ruimtestaat'!$P:$P)</f>
        <v>0</v>
      </c>
      <c r="E20" s="151">
        <f>SUMIF('Ruimtestaat'!$A:$A,Totalisatie!$A20,'Ruimtestaat'!$Q:$Q)</f>
        <v>0</v>
      </c>
      <c r="F20" s="152">
        <f>SUMIF('Ruimtestaat'!$A:$A,Totalisatie!$A20,'Ruimtestaat'!$AM:$AM)</f>
        <v>0</v>
      </c>
      <c r="G20" s="152" t="e">
        <f>SUMIF('Ruimtestaat'!$A:$A,Totalisatie!$A20,'Ruimtestaat'!$Z:$Z)</f>
        <v>#DIV/0!</v>
      </c>
      <c r="H20" s="152" t="e">
        <f>SUMIF('Ruimtestaat'!$A:$A,Totalisatie!$A20,'Ruimtestaat'!$AC:$AC)</f>
        <v>#DIV/0!</v>
      </c>
      <c r="I20" s="153">
        <f>SUMIF('Ruimtestaat'!$A:$A,Totalisatie!$A20,'Ruimtestaat'!$AN:$AN)</f>
        <v>0</v>
      </c>
      <c r="J20" s="154" t="e">
        <f>SUMIF('Ruimtestaat'!$A:$A,Totalisatie!$A20,'Ruimtestaat'!$AA:$AA)</f>
        <v>#DIV/0!</v>
      </c>
      <c r="K20" s="154">
        <f>SUMIF('Ruimtestaat'!$A:$A,Totalisatie!$A20,'Ruimtestaat'!$A:$AD)</f>
        <v>504</v>
      </c>
      <c r="L20" s="154">
        <f t="shared" si="0"/>
        <v>0</v>
      </c>
    </row>
    <row r="21" spans="1:12" ht="18.75" customHeight="1">
      <c r="A21" s="5">
        <v>15</v>
      </c>
      <c r="B21" s="3" t="str">
        <f>VLOOKUP(Samenvattingschoonmaak[[#This Row],[Code Locatie]],Locaties[],2,0)</f>
        <v>IKC  Da Vinci</v>
      </c>
      <c r="C21" s="151">
        <f>SUMIF('Ruimtestaat'!$A:$A,Totalisatie!$A21,'Ruimtestaat'!$N:$N)</f>
        <v>2212</v>
      </c>
      <c r="D21" s="151">
        <f>SUMIF('Ruimtestaat'!$A:$A,Totalisatie!$A21,'Ruimtestaat'!$P:$P)</f>
        <v>0</v>
      </c>
      <c r="E21" s="151">
        <f>SUMIF('Ruimtestaat'!$A:$A,Totalisatie!$A21,'Ruimtestaat'!$Q:$Q)</f>
        <v>0</v>
      </c>
      <c r="F21" s="152">
        <f>SUMIF('Ruimtestaat'!$A:$A,Totalisatie!$A21,'Ruimtestaat'!$AM:$AM)</f>
        <v>0</v>
      </c>
      <c r="G21" s="152" t="e">
        <f>SUMIF('Ruimtestaat'!$A:$A,Totalisatie!$A21,'Ruimtestaat'!$Z:$Z)</f>
        <v>#DIV/0!</v>
      </c>
      <c r="H21" s="152" t="e">
        <f>SUMIF('Ruimtestaat'!$A:$A,Totalisatie!$A21,'Ruimtestaat'!$AC:$AC)</f>
        <v>#DIV/0!</v>
      </c>
      <c r="I21" s="153">
        <f>SUMIF('Ruimtestaat'!$A:$A,Totalisatie!$A21,'Ruimtestaat'!$AN:$AN)</f>
        <v>0</v>
      </c>
      <c r="J21" s="154" t="e">
        <f>SUMIF('Ruimtestaat'!$A:$A,Totalisatie!$A21,'Ruimtestaat'!$AA:$AA)</f>
        <v>#DIV/0!</v>
      </c>
      <c r="K21" s="154">
        <f>SUMIF('Ruimtestaat'!$A:$A,Totalisatie!$A21,'Ruimtestaat'!$A:$AD)</f>
        <v>2385</v>
      </c>
      <c r="L21" s="154">
        <f t="shared" si="0"/>
        <v>0</v>
      </c>
    </row>
    <row r="22" spans="1:12" ht="18.75" customHeight="1">
      <c r="A22" s="5">
        <v>16</v>
      </c>
      <c r="B22" s="3" t="str">
        <f>VLOOKUP(Samenvattingschoonmaak[[#This Row],[Code Locatie]],Locaties[],2,0)</f>
        <v>IKC de Tjalk Kadelaan</v>
      </c>
      <c r="C22" s="151">
        <f>SUMIF('Ruimtestaat'!$A:$A,Totalisatie!$A22,'Ruimtestaat'!$N:$N)</f>
        <v>136.28</v>
      </c>
      <c r="D22" s="151">
        <f>SUMIF('Ruimtestaat'!$A:$A,Totalisatie!$A22,'Ruimtestaat'!$P:$P)</f>
        <v>0</v>
      </c>
      <c r="E22" s="151">
        <f>SUMIF('Ruimtestaat'!$A:$A,Totalisatie!$A22,'Ruimtestaat'!$Q:$Q)</f>
        <v>0</v>
      </c>
      <c r="F22" s="152">
        <f>SUMIF('Ruimtestaat'!$A:$A,Totalisatie!$A22,'Ruimtestaat'!$AM:$AM)</f>
        <v>0</v>
      </c>
      <c r="G22" s="152" t="e">
        <f>SUMIF('Ruimtestaat'!$A:$A,Totalisatie!$A22,'Ruimtestaat'!$Z:$Z)</f>
        <v>#DIV/0!</v>
      </c>
      <c r="H22" s="152" t="e">
        <f>SUMIF('Ruimtestaat'!$A:$A,Totalisatie!$A22,'Ruimtestaat'!$AC:$AC)</f>
        <v>#DIV/0!</v>
      </c>
      <c r="I22" s="153">
        <f>SUMIF('Ruimtestaat'!$A:$A,Totalisatie!$A22,'Ruimtestaat'!$AN:$AN)</f>
        <v>0</v>
      </c>
      <c r="J22" s="154" t="e">
        <f>SUMIF('Ruimtestaat'!$A:$A,Totalisatie!$A22,'Ruimtestaat'!$AA:$AA)</f>
        <v>#DIV/0!</v>
      </c>
      <c r="K22" s="154">
        <f>SUMIF('Ruimtestaat'!$A:$A,Totalisatie!$A22,'Ruimtestaat'!$A:$AD)</f>
        <v>144</v>
      </c>
      <c r="L22" s="154">
        <f t="shared" si="0"/>
        <v>0</v>
      </c>
    </row>
    <row r="23" spans="1:12" ht="18.75" customHeight="1">
      <c r="A23" s="5">
        <v>17</v>
      </c>
      <c r="B23" s="3" t="str">
        <f>VLOOKUP(Samenvattingschoonmaak[[#This Row],[Code Locatie]],Locaties[],2,0)</f>
        <v>IKC de Tjalk Kadelaan 208 (bijgebouw)</v>
      </c>
      <c r="C23" s="151">
        <f>SUMIF('Ruimtestaat'!$A:$A,Totalisatie!$A23,'Ruimtestaat'!$N:$N)</f>
        <v>2120.6799999999998</v>
      </c>
      <c r="D23" s="151">
        <f>SUMIF('Ruimtestaat'!$A:$A,Totalisatie!$A23,'Ruimtestaat'!$P:$P)</f>
        <v>0</v>
      </c>
      <c r="E23" s="151">
        <f>SUMIF('Ruimtestaat'!$A:$A,Totalisatie!$A23,'Ruimtestaat'!$Q:$Q)</f>
        <v>0</v>
      </c>
      <c r="F23" s="152">
        <f>SUMIF('Ruimtestaat'!$A:$A,Totalisatie!$A23,'Ruimtestaat'!$AM:$AM)</f>
        <v>0</v>
      </c>
      <c r="G23" s="152" t="e">
        <f>SUMIF('Ruimtestaat'!$A:$A,Totalisatie!$A23,'Ruimtestaat'!$Z:$Z)</f>
        <v>#DIV/0!</v>
      </c>
      <c r="H23" s="152" t="e">
        <f>SUMIF('Ruimtestaat'!$A:$A,Totalisatie!$A23,'Ruimtestaat'!$AC:$AC)</f>
        <v>#DIV/0!</v>
      </c>
      <c r="I23" s="153">
        <f>SUMIF('Ruimtestaat'!$A:$A,Totalisatie!$A23,'Ruimtestaat'!$AN:$AN)</f>
        <v>0</v>
      </c>
      <c r="J23" s="154" t="e">
        <f>SUMIF('Ruimtestaat'!$A:$A,Totalisatie!$A23,'Ruimtestaat'!$AA:$AA)</f>
        <v>#DIV/0!</v>
      </c>
      <c r="K23" s="154">
        <f>SUMIF('Ruimtestaat'!$A:$A,Totalisatie!$A23,'Ruimtestaat'!$A:$AD)</f>
        <v>1224</v>
      </c>
      <c r="L23" s="154">
        <f t="shared" si="0"/>
        <v>0</v>
      </c>
    </row>
    <row r="24" spans="1:12" ht="18.75" customHeight="1">
      <c r="A24" s="5">
        <v>18</v>
      </c>
      <c r="B24" s="3" t="str">
        <f>VLOOKUP(Samenvattingschoonmaak[[#This Row],[Code Locatie]],Locaties[],2,0)</f>
        <v>IKC De Triangel</v>
      </c>
      <c r="C24" s="151">
        <f>SUMIF('Ruimtestaat'!$A:$A,Totalisatie!$A24,'Ruimtestaat'!$N:$N)</f>
        <v>1011.4000000000001</v>
      </c>
      <c r="D24" s="151">
        <f>SUMIF('Ruimtestaat'!$A:$A,Totalisatie!$A24,'Ruimtestaat'!$P:$P)</f>
        <v>75.3</v>
      </c>
      <c r="E24" s="151">
        <f>SUMIF('Ruimtestaat'!$A:$A,Totalisatie!$A24,'Ruimtestaat'!$Q:$Q)</f>
        <v>0</v>
      </c>
      <c r="F24" s="152">
        <f>SUMIF('Ruimtestaat'!$A:$A,Totalisatie!$A24,'Ruimtestaat'!$AM:$AM)</f>
        <v>0</v>
      </c>
      <c r="G24" s="152" t="e">
        <f>SUMIF('Ruimtestaat'!$A:$A,Totalisatie!$A24,'Ruimtestaat'!$Z:$Z)</f>
        <v>#DIV/0!</v>
      </c>
      <c r="H24" s="152" t="e">
        <f>SUMIF('Ruimtestaat'!$A:$A,Totalisatie!$A24,'Ruimtestaat'!$AC:$AC)</f>
        <v>#DIV/0!</v>
      </c>
      <c r="I24" s="153">
        <f>SUMIF('Ruimtestaat'!$A:$A,Totalisatie!$A24,'Ruimtestaat'!$AN:$AN)</f>
        <v>0</v>
      </c>
      <c r="J24" s="154" t="e">
        <f>SUMIF('Ruimtestaat'!$A:$A,Totalisatie!$A24,'Ruimtestaat'!$AA:$AA)</f>
        <v>#DIV/0!</v>
      </c>
      <c r="K24" s="154">
        <f>SUMIF('Ruimtestaat'!$A:$A,Totalisatie!$A24,'Ruimtestaat'!$A:$AD)</f>
        <v>756</v>
      </c>
      <c r="L24" s="154">
        <f t="shared" si="0"/>
        <v>0</v>
      </c>
    </row>
    <row r="25" spans="1:12" ht="18.75" customHeight="1">
      <c r="A25" s="5">
        <v>19</v>
      </c>
      <c r="B25" s="3" t="str">
        <f>VLOOKUP(Samenvattingschoonmaak[[#This Row],[Code Locatie]],Locaties[],2,0)</f>
        <v>IKC de Leerplaneet (vhKlimboom)</v>
      </c>
      <c r="C25" s="151">
        <f>SUMIF('Ruimtestaat'!$A:$A,Totalisatie!$A25,'Ruimtestaat'!$N:$N)</f>
        <v>1202.2500000000002</v>
      </c>
      <c r="D25" s="151">
        <f>SUMIF('Ruimtestaat'!$A:$A,Totalisatie!$A25,'Ruimtestaat'!$P:$P)</f>
        <v>0</v>
      </c>
      <c r="E25" s="151">
        <f>SUMIF('Ruimtestaat'!$A:$A,Totalisatie!$A25,'Ruimtestaat'!$Q:$Q)</f>
        <v>0</v>
      </c>
      <c r="F25" s="152">
        <f>SUMIF('Ruimtestaat'!$A:$A,Totalisatie!$A25,'Ruimtestaat'!$AM:$AM)</f>
        <v>0</v>
      </c>
      <c r="G25" s="152" t="e">
        <f>SUMIF('Ruimtestaat'!$A:$A,Totalisatie!$A25,'Ruimtestaat'!$Z:$Z)</f>
        <v>#DIV/0!</v>
      </c>
      <c r="H25" s="152" t="e">
        <f>SUMIF('Ruimtestaat'!$A:$A,Totalisatie!$A25,'Ruimtestaat'!$AC:$AC)</f>
        <v>#DIV/0!</v>
      </c>
      <c r="I25" s="153">
        <f>SUMIF('Ruimtestaat'!$A:$A,Totalisatie!$A25,'Ruimtestaat'!$AN:$AN)</f>
        <v>0</v>
      </c>
      <c r="J25" s="154" t="e">
        <f>SUMIF('Ruimtestaat'!$A:$A,Totalisatie!$A25,'Ruimtestaat'!$AA:$AA)</f>
        <v>#DIV/0!</v>
      </c>
      <c r="K25" s="154">
        <f>SUMIF('Ruimtestaat'!$A:$A,Totalisatie!$A25,'Ruimtestaat'!$A:$AD)</f>
        <v>1330</v>
      </c>
      <c r="L25" s="154">
        <f t="shared" si="0"/>
        <v>0</v>
      </c>
    </row>
    <row r="26" spans="1:12" ht="18.75" customHeight="1">
      <c r="A26" s="5">
        <v>20</v>
      </c>
      <c r="B26" s="3" t="str">
        <f>VLOOKUP(Samenvattingschoonmaak[[#This Row],[Code Locatie]],Locaties[],2,0)</f>
        <v>IKC de Saffier (extra lokaal gemeente)</v>
      </c>
      <c r="C26" s="151">
        <f>SUMIF('Ruimtestaat'!$A:$A,Totalisatie!$A26,'Ruimtestaat'!$N:$N)</f>
        <v>430.8</v>
      </c>
      <c r="D26" s="151">
        <f>SUMIF('Ruimtestaat'!$A:$A,Totalisatie!$A26,'Ruimtestaat'!$P:$P)</f>
        <v>0</v>
      </c>
      <c r="E26" s="151">
        <f>SUMIF('Ruimtestaat'!$A:$A,Totalisatie!$A26,'Ruimtestaat'!$Q:$Q)</f>
        <v>0</v>
      </c>
      <c r="F26" s="152">
        <f>SUMIF('Ruimtestaat'!$A:$A,Totalisatie!$A26,'Ruimtestaat'!$AM:$AM)</f>
        <v>0</v>
      </c>
      <c r="G26" s="152" t="e">
        <f>SUMIF('Ruimtestaat'!$A:$A,Totalisatie!$A26,'Ruimtestaat'!$Z:$Z)</f>
        <v>#DIV/0!</v>
      </c>
      <c r="H26" s="152" t="e">
        <f>SUMIF('Ruimtestaat'!$A:$A,Totalisatie!$A26,'Ruimtestaat'!$AC:$AC)</f>
        <v>#DIV/0!</v>
      </c>
      <c r="I26" s="153">
        <f>SUMIF('Ruimtestaat'!$A:$A,Totalisatie!$A26,'Ruimtestaat'!$AN:$AN)</f>
        <v>0</v>
      </c>
      <c r="J26" s="154" t="e">
        <f>SUMIF('Ruimtestaat'!$A:$A,Totalisatie!$A26,'Ruimtestaat'!$AA:$AA)</f>
        <v>#DIV/0!</v>
      </c>
      <c r="K26" s="154">
        <f>SUMIF('Ruimtestaat'!$A:$A,Totalisatie!$A26,'Ruimtestaat'!$A:$AD)</f>
        <v>420</v>
      </c>
      <c r="L26" s="154">
        <f t="shared" si="0"/>
        <v>0</v>
      </c>
    </row>
    <row r="27" spans="1:12" ht="18.75" customHeight="1">
      <c r="A27" s="5">
        <v>21</v>
      </c>
      <c r="B27" s="3" t="str">
        <f>VLOOKUP(Samenvattingschoonmaak[[#This Row],[Code Locatie]],Locaties[],2,0)</f>
        <v>IKC De  Leerplaneet (bijgebouw)</v>
      </c>
      <c r="C27" s="151">
        <f>SUMIF('Ruimtestaat'!$A:$A,Totalisatie!$A27,'Ruimtestaat'!$N:$N)</f>
        <v>80</v>
      </c>
      <c r="D27" s="151">
        <f>SUMIF('Ruimtestaat'!$A:$A,Totalisatie!$A27,'Ruimtestaat'!$P:$P)</f>
        <v>0</v>
      </c>
      <c r="E27" s="151">
        <f>SUMIF('Ruimtestaat'!$A:$A,Totalisatie!$A27,'Ruimtestaat'!$Q:$Q)</f>
        <v>0</v>
      </c>
      <c r="F27" s="152">
        <f>SUMIF('Ruimtestaat'!$A:$A,Totalisatie!$A27,'Ruimtestaat'!$AM:$AM)</f>
        <v>0</v>
      </c>
      <c r="G27" s="152" t="e">
        <f>SUMIF('Ruimtestaat'!$A:$A,Totalisatie!$A27,'Ruimtestaat'!$Z:$Z)</f>
        <v>#DIV/0!</v>
      </c>
      <c r="H27" s="152" t="e">
        <f>SUMIF('Ruimtestaat'!$A:$A,Totalisatie!$A27,'Ruimtestaat'!$AC:$AC)</f>
        <v>#DIV/0!</v>
      </c>
      <c r="I27" s="153">
        <f>SUMIF('Ruimtestaat'!$A:$A,Totalisatie!$A27,'Ruimtestaat'!$AN:$AN)</f>
        <v>0</v>
      </c>
      <c r="J27" s="154" t="e">
        <f>SUMIF('Ruimtestaat'!$A:$A,Totalisatie!$A27,'Ruimtestaat'!$AA:$AA)</f>
        <v>#DIV/0!</v>
      </c>
      <c r="K27" s="154">
        <f>SUMIF('Ruimtestaat'!$A:$A,Totalisatie!$A27,'Ruimtestaat'!$A:$AD)</f>
        <v>819</v>
      </c>
      <c r="L27" s="154">
        <f t="shared" si="0"/>
        <v>0</v>
      </c>
    </row>
    <row r="28" spans="1:12" ht="18.75" customHeight="1">
      <c r="A28" s="5">
        <v>22</v>
      </c>
      <c r="B28" s="3" t="str">
        <f>VLOOKUP(Samenvattingschoonmaak[[#This Row],[Code Locatie]],Locaties[],2,0)</f>
        <v>IKC Da Vinci</v>
      </c>
      <c r="C28" s="151">
        <f>SUMIF('Ruimtestaat'!$A:$A,Totalisatie!$A28,'Ruimtestaat'!$N:$N)</f>
        <v>358</v>
      </c>
      <c r="D28" s="151">
        <f>SUMIF('Ruimtestaat'!$A:$A,Totalisatie!$A28,'Ruimtestaat'!$P:$P)</f>
        <v>0</v>
      </c>
      <c r="E28" s="151">
        <f>SUMIF('Ruimtestaat'!$A:$A,Totalisatie!$A28,'Ruimtestaat'!$Q:$Q)</f>
        <v>0</v>
      </c>
      <c r="F28" s="152">
        <f>SUMIF('Ruimtestaat'!$A:$A,Totalisatie!$A28,'Ruimtestaat'!$AM:$AM)</f>
        <v>0</v>
      </c>
      <c r="G28" s="152" t="e">
        <f>SUMIF('Ruimtestaat'!$A:$A,Totalisatie!$A28,'Ruimtestaat'!$Z:$Z)</f>
        <v>#DIV/0!</v>
      </c>
      <c r="H28" s="152" t="e">
        <f>SUMIF('Ruimtestaat'!$A:$A,Totalisatie!$A28,'Ruimtestaat'!$AC:$AC)</f>
        <v>#DIV/0!</v>
      </c>
      <c r="I28" s="153">
        <f>SUMIF('Ruimtestaat'!$A:$A,Totalisatie!$A28,'Ruimtestaat'!$AN:$AN)</f>
        <v>0</v>
      </c>
      <c r="J28" s="154" t="e">
        <f>SUMIF('Ruimtestaat'!$A:$A,Totalisatie!$A28,'Ruimtestaat'!$AA:$AA)</f>
        <v>#DIV/0!</v>
      </c>
      <c r="K28" s="154">
        <f>SUMIF('Ruimtestaat'!$A:$A,Totalisatie!$A28,'Ruimtestaat'!$A:$AD)</f>
        <v>220</v>
      </c>
      <c r="L28" s="154">
        <f t="shared" si="0"/>
        <v>0</v>
      </c>
    </row>
    <row r="29" spans="1:12" ht="18.75" customHeight="1">
      <c r="A29" s="5">
        <v>23</v>
      </c>
      <c r="B29" s="3" t="str">
        <f>VLOOKUP(Samenvattingschoonmaak[[#This Row],[Code Locatie]],Locaties[],2,0)</f>
        <v>IKC De Waterlelie (bijgebouw)</v>
      </c>
      <c r="C29" s="151">
        <f>SUMIF('Ruimtestaat'!$A:$A,Totalisatie!$A29,'Ruimtestaat'!$N:$N)</f>
        <v>152.9</v>
      </c>
      <c r="D29" s="151">
        <f>SUMIF('Ruimtestaat'!$A:$A,Totalisatie!$A29,'Ruimtestaat'!$P:$P)</f>
        <v>0</v>
      </c>
      <c r="E29" s="151">
        <f>SUMIF('Ruimtestaat'!$A:$A,Totalisatie!$A29,'Ruimtestaat'!$Q:$Q)</f>
        <v>0</v>
      </c>
      <c r="F29" s="152">
        <f>SUMIF('Ruimtestaat'!$A:$A,Totalisatie!$A29,'Ruimtestaat'!$AM:$AM)</f>
        <v>0</v>
      </c>
      <c r="G29" s="152" t="e">
        <f>SUMIF('Ruimtestaat'!$A:$A,Totalisatie!$A29,'Ruimtestaat'!$Z:$Z)</f>
        <v>#DIV/0!</v>
      </c>
      <c r="H29" s="152" t="e">
        <f>SUMIF('Ruimtestaat'!$A:$A,Totalisatie!$A29,'Ruimtestaat'!$AC:$AC)</f>
        <v>#DIV/0!</v>
      </c>
      <c r="I29" s="153">
        <f>SUMIF('Ruimtestaat'!$A:$A,Totalisatie!$A29,'Ruimtestaat'!$AN:$AN)</f>
        <v>0</v>
      </c>
      <c r="J29" s="154" t="e">
        <f>SUMIF('Ruimtestaat'!$A:$A,Totalisatie!$A29,'Ruimtestaat'!$AA:$AA)</f>
        <v>#DIV/0!</v>
      </c>
      <c r="K29" s="154">
        <f>SUMIF('Ruimtestaat'!$A:$A,Totalisatie!$A29,'Ruimtestaat'!$A:$AD)</f>
        <v>345</v>
      </c>
      <c r="L29" s="154">
        <f t="shared" si="0"/>
        <v>0</v>
      </c>
    </row>
    <row r="30" spans="1:12" ht="18.75" customHeight="1">
      <c r="A30" s="5">
        <v>24</v>
      </c>
      <c r="B30" s="3" t="str">
        <f>VLOOKUP(Samenvattingschoonmaak[[#This Row],[Code Locatie]],Locaties[],2,0)</f>
        <v>IKC De Gaerde</v>
      </c>
      <c r="C30" s="151">
        <f>SUMIF('Ruimtestaat'!$A:$A,Totalisatie!$A30,'Ruimtestaat'!$N:$N)</f>
        <v>826.40000000000009</v>
      </c>
      <c r="D30" s="151">
        <f>SUMIF('Ruimtestaat'!$A:$A,Totalisatie!$A30,'Ruimtestaat'!$P:$P)</f>
        <v>0</v>
      </c>
      <c r="E30" s="151">
        <f>SUMIF('Ruimtestaat'!$A:$A,Totalisatie!$A30,'Ruimtestaat'!$Q:$Q)</f>
        <v>551.69999999999993</v>
      </c>
      <c r="F30" s="152">
        <f>SUMIF('Ruimtestaat'!$A:$A,Totalisatie!$A30,'Ruimtestaat'!$AM:$AM)</f>
        <v>0</v>
      </c>
      <c r="G30" s="152" t="e">
        <f>SUMIF('Ruimtestaat'!$A:$A,Totalisatie!$A30,'Ruimtestaat'!$Z:$Z)</f>
        <v>#DIV/0!</v>
      </c>
      <c r="H30" s="152" t="e">
        <f>SUMIF('Ruimtestaat'!$A:$A,Totalisatie!$A30,'Ruimtestaat'!$AC:$AC)</f>
        <v>#DIV/0!</v>
      </c>
      <c r="I30" s="153">
        <f>SUMIF('Ruimtestaat'!$A:$A,Totalisatie!$A30,'Ruimtestaat'!$AN:$AN)</f>
        <v>0</v>
      </c>
      <c r="J30" s="154" t="e">
        <f>SUMIF('Ruimtestaat'!$A:$A,Totalisatie!$A30,'Ruimtestaat'!$AA:$AA)</f>
        <v>#DIV/0!</v>
      </c>
      <c r="K30" s="154">
        <f>SUMIF('Ruimtestaat'!$A:$A,Totalisatie!$A30,'Ruimtestaat'!$A:$AD)</f>
        <v>1968</v>
      </c>
      <c r="L30" s="154">
        <f t="shared" si="0"/>
        <v>0</v>
      </c>
    </row>
    <row r="31" spans="1:12" ht="18.75" customHeight="1">
      <c r="A31" s="5">
        <v>25</v>
      </c>
      <c r="B31" s="3" t="str">
        <f>VLOOKUP(Samenvattingschoonmaak[[#This Row],[Code Locatie]],Locaties[],2,0)</f>
        <v>IKC De Piramide</v>
      </c>
      <c r="C31" s="151">
        <f>SUMIF('Ruimtestaat'!$A:$A,Totalisatie!$A31,'Ruimtestaat'!$N:$N)</f>
        <v>1745</v>
      </c>
      <c r="D31" s="151">
        <f>SUMIF('Ruimtestaat'!$A:$A,Totalisatie!$A31,'Ruimtestaat'!$P:$P)</f>
        <v>0</v>
      </c>
      <c r="E31" s="151">
        <f>SUMIF('Ruimtestaat'!$A:$A,Totalisatie!$A31,'Ruimtestaat'!$Q:$Q)</f>
        <v>515</v>
      </c>
      <c r="F31" s="152">
        <f>SUMIF('Ruimtestaat'!$A:$A,Totalisatie!$A31,'Ruimtestaat'!$AM:$AM)</f>
        <v>0</v>
      </c>
      <c r="G31" s="152" t="e">
        <f>SUMIF('Ruimtestaat'!$A:$A,Totalisatie!$A31,'Ruimtestaat'!$Z:$Z)</f>
        <v>#DIV/0!</v>
      </c>
      <c r="H31" s="152" t="e">
        <f>SUMIF('Ruimtestaat'!$A:$A,Totalisatie!$A31,'Ruimtestaat'!$AC:$AC)</f>
        <v>#DIV/0!</v>
      </c>
      <c r="I31" s="153">
        <f>SUMIF('Ruimtestaat'!$A:$A,Totalisatie!$A31,'Ruimtestaat'!$AN:$AN)</f>
        <v>0</v>
      </c>
      <c r="J31" s="154" t="e">
        <f>SUMIF('Ruimtestaat'!$A:$A,Totalisatie!$A31,'Ruimtestaat'!$AA:$AA)</f>
        <v>#DIV/0!</v>
      </c>
      <c r="K31" s="154">
        <f>SUMIF('Ruimtestaat'!$A:$A,Totalisatie!$A31,'Ruimtestaat'!$A:$AD)</f>
        <v>1925</v>
      </c>
      <c r="L31" s="154">
        <f t="shared" si="0"/>
        <v>0</v>
      </c>
    </row>
    <row r="32" spans="1:12" s="150" customFormat="1" ht="18.75" customHeight="1">
      <c r="A32" s="155"/>
      <c r="B32" s="156" t="s">
        <v>32</v>
      </c>
      <c r="C32" s="157">
        <f>SUBTOTAL(109,Samenvattingschoonmaak[Oppervlakte i/o OPOZ])</f>
        <v>22991.950000000004</v>
      </c>
      <c r="D32" s="157">
        <f>SUBTOTAL(109,Samenvattingschoonmaak[Oppervlakte gedeeld])</f>
        <v>679.3</v>
      </c>
      <c r="E32" s="157">
        <f>SUBTOTAL(109,Samenvattingschoonmaak[Oppervlakte BSO])</f>
        <v>1893</v>
      </c>
      <c r="F32" s="158">
        <f>SUBTOTAL(109,Samenvattingschoonmaak[Uren / jaar OPOZ])</f>
        <v>0</v>
      </c>
      <c r="G32" s="158" t="e">
        <f>SUBTOTAL(109,Samenvattingschoonmaak[Uren / jaar gedeeld])</f>
        <v>#DIV/0!</v>
      </c>
      <c r="H32" s="158" t="e">
        <f>SUBTOTAL(109,Samenvattingschoonmaak[Uren / jaar BSO])</f>
        <v>#DIV/0!</v>
      </c>
      <c r="I32" s="159">
        <f>SUBTOTAL(109,Samenvattingschoonmaak[Kosten / jaar excl btw])</f>
        <v>0</v>
      </c>
      <c r="J32" s="159" t="e">
        <f>SUBTOTAL(109,Samenvattingschoonmaak[Kosten / jaar gedeeld])</f>
        <v>#DIV/0!</v>
      </c>
      <c r="K32" s="159">
        <f>SUBTOTAL(109,Samenvattingschoonmaak[Kosten / jaar BSO])</f>
        <v>14269</v>
      </c>
      <c r="L32" s="160">
        <f>Samenvattingschoonmaak[[#Totals],[Kosten / jaar excl btw]]/Samenvattingschoonmaak[[#Totals],[Oppervlakte i/o OPOZ]]</f>
        <v>0</v>
      </c>
    </row>
    <row r="33" spans="1:8" ht="18.75" customHeight="1">
      <c r="A33" s="147"/>
      <c r="B33" s="148"/>
    </row>
    <row r="34" spans="1:8" ht="18.75" customHeight="1">
      <c r="A34" s="33" t="s">
        <v>163</v>
      </c>
      <c r="B34" s="161"/>
      <c r="C34" s="161"/>
      <c r="D34" s="161"/>
      <c r="E34" s="161"/>
      <c r="F34" s="161"/>
    </row>
    <row r="35" spans="1:8" ht="36.75" customHeight="1">
      <c r="A35" s="254" t="s">
        <v>195</v>
      </c>
      <c r="B35" s="255" t="s">
        <v>200</v>
      </c>
      <c r="C35" s="254" t="s">
        <v>1283</v>
      </c>
      <c r="D35" s="256" t="s">
        <v>1284</v>
      </c>
      <c r="E35" s="256" t="s">
        <v>1285</v>
      </c>
      <c r="F35" s="254" t="s">
        <v>1574</v>
      </c>
      <c r="G35" s="257" t="s">
        <v>2156</v>
      </c>
      <c r="H35" s="258" t="s">
        <v>1286</v>
      </c>
    </row>
    <row r="36" spans="1:8" ht="18.75" customHeight="1">
      <c r="A36" s="5">
        <v>1</v>
      </c>
      <c r="B36" s="3" t="str">
        <f>VLOOKUP(Totalisatie[[#This Row],[Code Locatie]],Locaties[],2,0)</f>
        <v>Hoofdkantoor OPOZ</v>
      </c>
      <c r="C36" s="153">
        <f ca="1">SUMIF(Ruimtestaat[#All],Totalisatie[[#This Row],[Code Locatie]],Ruimtestaat[[#All],[kosten / jaar excl btw]])</f>
        <v>0</v>
      </c>
      <c r="D36" s="162">
        <f ca="1">SUMIF(OverzichtVloer20[[#All],[Code Locatie]:[Kosten/jaar excl. BTW]],Totalisatie[[#This Row],[Code Locatie]],OverzichtVloer20[[#Headers],[#Data],[Kosten/jaar excl. BTW]])</f>
        <v>0</v>
      </c>
      <c r="E36" s="162">
        <f ca="1">SUMIF(Overzichtextrawerkz.[[#All],[Code Locatie]:[Kosten/jaar excl. BTW]],Totalisatie[[#This Row],[Code Locatie]],Overzichtextrawerkz.[[#All],[Kosten/jaar excl. BTW]])</f>
        <v>0</v>
      </c>
      <c r="F36" s="162">
        <f ca="1">SUMIF(OverzichtGlas[[Code Locatie]:[Kosten/jaar excl. BTW]],Totalisatie[[#This Row],[Code Locatie]],OverzichtGlas[Kosten/jaar excl. BTW])</f>
        <v>0</v>
      </c>
      <c r="G36" s="162">
        <f ca="1">SUMIF(Sanitair2[[#All],[Code Locatie]:[Kosten/jaar excl. BTW]],Totalisatie[[#This Row],[Code Locatie]],Sanitair2[[#All],[Kosten/jaar excl. BTW]])</f>
        <v>0</v>
      </c>
      <c r="H36" s="153">
        <f ca="1">SUM(Totalisatie[[#This Row],[Schoonmaakonderhoud
Kosten / jaar excl btw]:[Diepetereiniging keuken kosten/ jaar excl. Btw2]])</f>
        <v>0</v>
      </c>
    </row>
    <row r="37" spans="1:8" ht="18.75" customHeight="1">
      <c r="A37" s="5">
        <v>2</v>
      </c>
      <c r="B37" s="3" t="str">
        <f>VLOOKUP(Totalisatie[[#This Row],[Code Locatie]],Locaties[],2,0)</f>
        <v>IKC  De Watersnip</v>
      </c>
      <c r="C37" s="153">
        <f ca="1">SUMIF(Ruimtestaat[#All],Totalisatie[[#This Row],[Code Locatie]],Ruimtestaat[[#All],[kosten / jaar excl btw]])</f>
        <v>0</v>
      </c>
      <c r="D37" s="162">
        <f ca="1">SUMIF(OverzichtVloer20[[#All],[Code Locatie]:[Kosten/jaar excl. BTW]],Totalisatie[[#This Row],[Code Locatie]],OverzichtVloer20[[#Headers],[#Data],[Kosten/jaar excl. BTW]])</f>
        <v>0</v>
      </c>
      <c r="E37" s="162">
        <f ca="1">SUMIF(Overzichtextrawerkz.[[#All],[Code Locatie]:[Kosten/jaar excl. BTW]],Totalisatie[[#This Row],[Code Locatie]],Overzichtextrawerkz.[[#All],[Kosten/jaar excl. BTW]])</f>
        <v>0</v>
      </c>
      <c r="F37" s="162">
        <f ca="1">SUMIF(OverzichtGlas[[Code Locatie]:[Kosten/jaar excl. BTW]],Totalisatie[[#This Row],[Code Locatie]],OverzichtGlas[Kosten/jaar excl. BTW])</f>
        <v>0</v>
      </c>
      <c r="G37" s="162">
        <f ca="1">SUMIF(Sanitair2[[#All],[Code Locatie]:[Kosten/jaar excl. BTW]],Totalisatie[[#This Row],[Code Locatie]],Sanitair2[[#All],[Kosten/jaar excl. BTW]])</f>
        <v>0</v>
      </c>
      <c r="H37" s="153">
        <f ca="1">SUM(Totalisatie[[#This Row],[Schoonmaakonderhoud
Kosten / jaar excl btw]:[Diepetereiniging keuken kosten/ jaar excl. Btw2]])</f>
        <v>0</v>
      </c>
    </row>
    <row r="38" spans="1:8" ht="18.75" customHeight="1">
      <c r="A38" s="5">
        <v>3</v>
      </c>
      <c r="B38" s="3" t="str">
        <f>VLOOKUP(Totalisatie[[#This Row],[Code Locatie]],Locaties[],2,0)</f>
        <v>IKC De Saffier</v>
      </c>
      <c r="C38" s="153">
        <f ca="1">SUMIF(Ruimtestaat[#All],Totalisatie[[#This Row],[Code Locatie]],Ruimtestaat[[#All],[kosten / jaar excl btw]])</f>
        <v>0</v>
      </c>
      <c r="D38" s="162">
        <f ca="1">SUMIF(OverzichtVloer20[[#All],[Code Locatie]:[Kosten/jaar excl. BTW]],Totalisatie[[#This Row],[Code Locatie]],OverzichtVloer20[[#Headers],[#Data],[Kosten/jaar excl. BTW]])</f>
        <v>0</v>
      </c>
      <c r="E38" s="162">
        <f ca="1">SUMIF(Overzichtextrawerkz.[[#All],[Code Locatie]:[Kosten/jaar excl. BTW]],Totalisatie[[#This Row],[Code Locatie]],Overzichtextrawerkz.[[#All],[Kosten/jaar excl. BTW]])</f>
        <v>0</v>
      </c>
      <c r="F38" s="162">
        <f ca="1">SUMIF(OverzichtGlas[[Code Locatie]:[Kosten/jaar excl. BTW]],Totalisatie[[#This Row],[Code Locatie]],OverzichtGlas[Kosten/jaar excl. BTW])</f>
        <v>0</v>
      </c>
      <c r="G38" s="162">
        <f ca="1">SUMIF(Sanitair2[[#All],[Code Locatie]:[Kosten/jaar excl. BTW]],Totalisatie[[#This Row],[Code Locatie]],Sanitair2[[#All],[Kosten/jaar excl. BTW]])</f>
        <v>0</v>
      </c>
      <c r="H38" s="153">
        <f ca="1">SUM(Totalisatie[[#This Row],[Schoonmaakonderhoud
Kosten / jaar excl btw]:[Diepetereiniging keuken kosten/ jaar excl. Btw2]])</f>
        <v>0</v>
      </c>
    </row>
    <row r="39" spans="1:8" ht="18.75" customHeight="1">
      <c r="A39" s="5">
        <v>4</v>
      </c>
      <c r="B39" s="3" t="str">
        <f>VLOOKUP(Totalisatie[[#This Row],[Code Locatie]],Locaties[],2,0)</f>
        <v>IKC De Waterlelie</v>
      </c>
      <c r="C39" s="153">
        <f ca="1">SUMIF(Ruimtestaat[#All],Totalisatie[[#This Row],[Code Locatie]],Ruimtestaat[[#All],[kosten / jaar excl btw]])</f>
        <v>0</v>
      </c>
      <c r="D39" s="162">
        <f ca="1">SUMIF(OverzichtVloer20[[#All],[Code Locatie]:[Kosten/jaar excl. BTW]],Totalisatie[[#This Row],[Code Locatie]],OverzichtVloer20[[#Headers],[#Data],[Kosten/jaar excl. BTW]])</f>
        <v>0</v>
      </c>
      <c r="E39" s="162">
        <f ca="1">SUMIF(Overzichtextrawerkz.[[#All],[Code Locatie]:[Kosten/jaar excl. BTW]],Totalisatie[[#This Row],[Code Locatie]],Overzichtextrawerkz.[[#All],[Kosten/jaar excl. BTW]])</f>
        <v>0</v>
      </c>
      <c r="F39" s="162">
        <f ca="1">SUMIF(OverzichtGlas[[Code Locatie]:[Kosten/jaar excl. BTW]],Totalisatie[[#This Row],[Code Locatie]],OverzichtGlas[Kosten/jaar excl. BTW])</f>
        <v>0</v>
      </c>
      <c r="G39" s="162">
        <f ca="1">SUMIF(Sanitair2[[#All],[Code Locatie]:[Kosten/jaar excl. BTW]],Totalisatie[[#This Row],[Code Locatie]],Sanitair2[[#All],[Kosten/jaar excl. BTW]])</f>
        <v>0</v>
      </c>
      <c r="H39" s="153">
        <f ca="1">SUM(Totalisatie[[#This Row],[Schoonmaakonderhoud
Kosten / jaar excl btw]:[Diepetereiniging keuken kosten/ jaar excl. Btw2]])</f>
        <v>0</v>
      </c>
    </row>
    <row r="40" spans="1:8" ht="18.75" customHeight="1">
      <c r="A40" s="5">
        <v>5</v>
      </c>
      <c r="B40" s="3" t="str">
        <f>VLOOKUP(Totalisatie[[#This Row],[Code Locatie]],Locaties[],2,0)</f>
        <v>IKC De Springplank</v>
      </c>
      <c r="C40" s="153">
        <f ca="1">SUMIF(Ruimtestaat[#All],Totalisatie[[#This Row],[Code Locatie]],Ruimtestaat[[#All],[kosten / jaar excl btw]])</f>
        <v>0</v>
      </c>
      <c r="D40" s="162">
        <f ca="1">SUMIF(OverzichtVloer20[[#All],[Code Locatie]:[Kosten/jaar excl. BTW]],Totalisatie[[#This Row],[Code Locatie]],OverzichtVloer20[[#Headers],[#Data],[Kosten/jaar excl. BTW]])</f>
        <v>0</v>
      </c>
      <c r="E40" s="162">
        <f ca="1">SUMIF(Overzichtextrawerkz.[[#All],[Code Locatie]:[Kosten/jaar excl. BTW]],Totalisatie[[#This Row],[Code Locatie]],Overzichtextrawerkz.[[#All],[Kosten/jaar excl. BTW]])</f>
        <v>0</v>
      </c>
      <c r="F40" s="162">
        <f ca="1">SUMIF(OverzichtGlas[[Code Locatie]:[Kosten/jaar excl. BTW]],Totalisatie[[#This Row],[Code Locatie]],OverzichtGlas[Kosten/jaar excl. BTW])</f>
        <v>0</v>
      </c>
      <c r="G40" s="162">
        <f ca="1">SUMIF(Sanitair2[[#All],[Code Locatie]:[Kosten/jaar excl. BTW]],Totalisatie[[#This Row],[Code Locatie]],Sanitair2[[#All],[Kosten/jaar excl. BTW]])</f>
        <v>0</v>
      </c>
      <c r="H40" s="153">
        <f ca="1">SUM(Totalisatie[[#This Row],[Schoonmaakonderhoud
Kosten / jaar excl btw]:[Diepetereiniging keuken kosten/ jaar excl. Btw2]])</f>
        <v>0</v>
      </c>
    </row>
    <row r="41" spans="1:8" ht="18.75" customHeight="1">
      <c r="A41" s="5">
        <v>6</v>
      </c>
      <c r="B41" s="3" t="str">
        <f>VLOOKUP(Totalisatie[[#This Row],[Code Locatie]],Locaties[],2,0)</f>
        <v>IKC Het Zwanenbos</v>
      </c>
      <c r="C41" s="153">
        <f ca="1">SUMIF(Ruimtestaat[#All],Totalisatie[[#This Row],[Code Locatie]],Ruimtestaat[[#All],[kosten / jaar excl btw]])</f>
        <v>0</v>
      </c>
      <c r="D41" s="162">
        <f ca="1">SUMIF(OverzichtVloer20[[#All],[Code Locatie]:[Kosten/jaar excl. BTW]],Totalisatie[[#This Row],[Code Locatie]],OverzichtVloer20[[#Headers],[#Data],[Kosten/jaar excl. BTW]])</f>
        <v>0</v>
      </c>
      <c r="E41" s="162">
        <f ca="1">SUMIF(Overzichtextrawerkz.[[#All],[Code Locatie]:[Kosten/jaar excl. BTW]],Totalisatie[[#This Row],[Code Locatie]],Overzichtextrawerkz.[[#All],[Kosten/jaar excl. BTW]])</f>
        <v>0</v>
      </c>
      <c r="F41" s="162">
        <f ca="1">SUMIF(OverzichtGlas[[Code Locatie]:[Kosten/jaar excl. BTW]],Totalisatie[[#This Row],[Code Locatie]],OverzichtGlas[Kosten/jaar excl. BTW])</f>
        <v>0</v>
      </c>
      <c r="G41" s="162">
        <f ca="1">SUMIF(Sanitair2[[#All],[Code Locatie]:[Kosten/jaar excl. BTW]],Totalisatie[[#This Row],[Code Locatie]],Sanitair2[[#All],[Kosten/jaar excl. BTW]])</f>
        <v>0</v>
      </c>
      <c r="H41" s="153">
        <f ca="1">SUM(Totalisatie[[#This Row],[Schoonmaakonderhoud
Kosten / jaar excl btw]:[Diepetereiniging keuken kosten/ jaar excl. Btw2]])</f>
        <v>0</v>
      </c>
    </row>
    <row r="42" spans="1:8" ht="18.75" customHeight="1">
      <c r="A42" s="5">
        <v>7</v>
      </c>
      <c r="B42" s="3" t="str">
        <f>VLOOKUP(Totalisatie[[#This Row],[Code Locatie]],Locaties[],2,0)</f>
        <v>IKC De Baanbreker</v>
      </c>
      <c r="C42" s="153">
        <f ca="1">SUMIF(Ruimtestaat[#All],Totalisatie[[#This Row],[Code Locatie]],Ruimtestaat[[#All],[kosten / jaar excl btw]])</f>
        <v>0</v>
      </c>
      <c r="D42" s="162">
        <f ca="1">SUMIF(OverzichtVloer20[[#All],[Code Locatie]:[Kosten/jaar excl. BTW]],Totalisatie[[#This Row],[Code Locatie]],OverzichtVloer20[[#Headers],[#Data],[Kosten/jaar excl. BTW]])</f>
        <v>0</v>
      </c>
      <c r="E42" s="162">
        <f ca="1">SUMIF(Overzichtextrawerkz.[[#All],[Code Locatie]:[Kosten/jaar excl. BTW]],Totalisatie[[#This Row],[Code Locatie]],Overzichtextrawerkz.[[#All],[Kosten/jaar excl. BTW]])</f>
        <v>0</v>
      </c>
      <c r="F42" s="162">
        <f ca="1">SUMIF(OverzichtGlas[[Code Locatie]:[Kosten/jaar excl. BTW]],Totalisatie[[#This Row],[Code Locatie]],OverzichtGlas[Kosten/jaar excl. BTW])</f>
        <v>0</v>
      </c>
      <c r="G42" s="162">
        <f ca="1">SUMIF(Sanitair2[[#All],[Code Locatie]:[Kosten/jaar excl. BTW]],Totalisatie[[#This Row],[Code Locatie]],Sanitair2[[#All],[Kosten/jaar excl. BTW]])</f>
        <v>0</v>
      </c>
      <c r="H42" s="153">
        <f ca="1">SUM(Totalisatie[[#This Row],[Schoonmaakonderhoud
Kosten / jaar excl btw]:[Diepetereiniging keuken kosten/ jaar excl. Btw2]])</f>
        <v>0</v>
      </c>
    </row>
    <row r="43" spans="1:8" ht="18.75" customHeight="1">
      <c r="A43" s="5">
        <v>8</v>
      </c>
      <c r="B43" s="3" t="str">
        <f>VLOOKUP(Totalisatie[[#This Row],[Code Locatie]],Locaties[],2,0)</f>
        <v>IKC De Trinoom</v>
      </c>
      <c r="C43" s="153">
        <f ca="1">SUMIF(Ruimtestaat[#All],Totalisatie[[#This Row],[Code Locatie]],Ruimtestaat[[#All],[kosten / jaar excl btw]])</f>
        <v>0</v>
      </c>
      <c r="D43" s="162">
        <f ca="1">SUMIF(OverzichtVloer20[[#All],[Code Locatie]:[Kosten/jaar excl. BTW]],Totalisatie[[#This Row],[Code Locatie]],OverzichtVloer20[[#Headers],[#Data],[Kosten/jaar excl. BTW]])</f>
        <v>0</v>
      </c>
      <c r="E43" s="162">
        <f ca="1">SUMIF(Overzichtextrawerkz.[[#All],[Code Locatie]:[Kosten/jaar excl. BTW]],Totalisatie[[#This Row],[Code Locatie]],Overzichtextrawerkz.[[#All],[Kosten/jaar excl. BTW]])</f>
        <v>0</v>
      </c>
      <c r="F43" s="162">
        <f ca="1">SUMIF(OverzichtGlas[[Code Locatie]:[Kosten/jaar excl. BTW]],Totalisatie[[#This Row],[Code Locatie]],OverzichtGlas[Kosten/jaar excl. BTW])</f>
        <v>0</v>
      </c>
      <c r="G43" s="162">
        <f ca="1">SUMIF(Sanitair2[[#All],[Code Locatie]:[Kosten/jaar excl. BTW]],Totalisatie[[#This Row],[Code Locatie]],Sanitair2[[#All],[Kosten/jaar excl. BTW]])</f>
        <v>0</v>
      </c>
      <c r="H43" s="153">
        <f ca="1">SUM(Totalisatie[[#This Row],[Schoonmaakonderhoud
Kosten / jaar excl btw]:[Diepetereiniging keuken kosten/ jaar excl. Btw2]])</f>
        <v>0</v>
      </c>
    </row>
    <row r="44" spans="1:8" ht="18.75" customHeight="1">
      <c r="A44" s="5">
        <v>9</v>
      </c>
      <c r="B44" s="3" t="str">
        <f>VLOOKUP(Totalisatie[[#This Row],[Code Locatie]],Locaties[],2,0)</f>
        <v>IKC De Vijverburgh</v>
      </c>
      <c r="C44" s="153">
        <f ca="1">SUMIF(Ruimtestaat[#All],Totalisatie[[#This Row],[Code Locatie]],Ruimtestaat[[#All],[kosten / jaar excl btw]])</f>
        <v>0</v>
      </c>
      <c r="D44" s="162">
        <f ca="1">SUMIF(OverzichtVloer20[[#All],[Code Locatie]:[Kosten/jaar excl. BTW]],Totalisatie[[#This Row],[Code Locatie]],OverzichtVloer20[[#Headers],[#Data],[Kosten/jaar excl. BTW]])</f>
        <v>0</v>
      </c>
      <c r="E44" s="162">
        <f ca="1">SUMIF(Overzichtextrawerkz.[[#All],[Code Locatie]:[Kosten/jaar excl. BTW]],Totalisatie[[#This Row],[Code Locatie]],Overzichtextrawerkz.[[#All],[Kosten/jaar excl. BTW]])</f>
        <v>0</v>
      </c>
      <c r="F44" s="162">
        <f ca="1">SUMIF(OverzichtGlas[[Code Locatie]:[Kosten/jaar excl. BTW]],Totalisatie[[#This Row],[Code Locatie]],OverzichtGlas[Kosten/jaar excl. BTW])</f>
        <v>0</v>
      </c>
      <c r="G44" s="162">
        <f ca="1">SUMIF(Sanitair2[[#All],[Code Locatie]:[Kosten/jaar excl. BTW]],Totalisatie[[#This Row],[Code Locatie]],Sanitair2[[#All],[Kosten/jaar excl. BTW]])</f>
        <v>0</v>
      </c>
      <c r="H44" s="153">
        <f ca="1">SUM(Totalisatie[[#This Row],[Schoonmaakonderhoud
Kosten / jaar excl btw]:[Diepetereiniging keuken kosten/ jaar excl. Btw2]])</f>
        <v>0</v>
      </c>
    </row>
    <row r="45" spans="1:8" ht="18.75" customHeight="1">
      <c r="A45" s="5">
        <v>10</v>
      </c>
      <c r="B45" s="3" t="str">
        <f>VLOOKUP(Totalisatie[[#This Row],[Code Locatie]],Locaties[],2,0)</f>
        <v xml:space="preserve">IKC De Edelsteen </v>
      </c>
      <c r="C45" s="153">
        <f ca="1">SUMIF(Ruimtestaat[#All],Totalisatie[[#This Row],[Code Locatie]],Ruimtestaat[[#All],[kosten / jaar excl btw]])</f>
        <v>0</v>
      </c>
      <c r="D45" s="162">
        <f ca="1">SUMIF(OverzichtVloer20[[#All],[Code Locatie]:[Kosten/jaar excl. BTW]],Totalisatie[[#This Row],[Code Locatie]],OverzichtVloer20[[#Headers],[#Data],[Kosten/jaar excl. BTW]])</f>
        <v>0</v>
      </c>
      <c r="E45" s="162">
        <f ca="1">SUMIF(Overzichtextrawerkz.[[#All],[Code Locatie]:[Kosten/jaar excl. BTW]],Totalisatie[[#This Row],[Code Locatie]],Overzichtextrawerkz.[[#All],[Kosten/jaar excl. BTW]])</f>
        <v>0</v>
      </c>
      <c r="F45" s="162">
        <f ca="1">SUMIF(OverzichtGlas[[Code Locatie]:[Kosten/jaar excl. BTW]],Totalisatie[[#This Row],[Code Locatie]],OverzichtGlas[Kosten/jaar excl. BTW])</f>
        <v>0</v>
      </c>
      <c r="G45" s="162">
        <f ca="1">SUMIF(Sanitair2[[#All],[Code Locatie]:[Kosten/jaar excl. BTW]],Totalisatie[[#This Row],[Code Locatie]],Sanitair2[[#All],[Kosten/jaar excl. BTW]])</f>
        <v>0</v>
      </c>
      <c r="H45" s="153">
        <f ca="1">SUM(Totalisatie[[#This Row],[Schoonmaakonderhoud
Kosten / jaar excl btw]:[Diepetereiniging keuken kosten/ jaar excl. Btw2]])</f>
        <v>0</v>
      </c>
    </row>
    <row r="46" spans="1:8" ht="18.75" customHeight="1">
      <c r="A46" s="5">
        <v>11</v>
      </c>
      <c r="B46" s="3" t="str">
        <f>VLOOKUP(Totalisatie[[#This Row],[Code Locatie]],Locaties[],2,0)</f>
        <v>IKC De Edelsteen (bijgebouw)</v>
      </c>
      <c r="C46" s="153">
        <f ca="1">SUMIF(Ruimtestaat[#All],Totalisatie[[#This Row],[Code Locatie]],Ruimtestaat[[#All],[kosten / jaar excl btw]])</f>
        <v>0</v>
      </c>
      <c r="D46" s="162">
        <f ca="1">SUMIF(OverzichtVloer20[[#All],[Code Locatie]:[Kosten/jaar excl. BTW]],Totalisatie[[#This Row],[Code Locatie]],OverzichtVloer20[[#Headers],[#Data],[Kosten/jaar excl. BTW]])</f>
        <v>0</v>
      </c>
      <c r="E46" s="162">
        <f ca="1">SUMIF(Overzichtextrawerkz.[[#All],[Code Locatie]:[Kosten/jaar excl. BTW]],Totalisatie[[#This Row],[Code Locatie]],Overzichtextrawerkz.[[#All],[Kosten/jaar excl. BTW]])</f>
        <v>0</v>
      </c>
      <c r="F46" s="162">
        <f ca="1">SUMIF(OverzichtGlas[[Code Locatie]:[Kosten/jaar excl. BTW]],Totalisatie[[#This Row],[Code Locatie]],OverzichtGlas[Kosten/jaar excl. BTW])</f>
        <v>0</v>
      </c>
      <c r="G46" s="162">
        <f ca="1">SUMIF(Sanitair2[[#All],[Code Locatie]:[Kosten/jaar excl. BTW]],Totalisatie[[#This Row],[Code Locatie]],Sanitair2[[#All],[Kosten/jaar excl. BTW]])</f>
        <v>0</v>
      </c>
      <c r="H46" s="153">
        <f ca="1">SUM(Totalisatie[[#This Row],[Schoonmaakonderhoud
Kosten / jaar excl btw]:[Diepetereiniging keuken kosten/ jaar excl. Btw2]])</f>
        <v>0</v>
      </c>
    </row>
    <row r="47" spans="1:8" ht="18.75" customHeight="1">
      <c r="A47" s="5">
        <v>12</v>
      </c>
      <c r="B47" s="3" t="str">
        <f>VLOOKUP(Totalisatie[[#This Row],[Code Locatie]],Locaties[],2,0)</f>
        <v>IKC De Leerplaneet Loc. 2 (vh 't Plankier)</v>
      </c>
      <c r="C47" s="153">
        <f ca="1">SUMIF(Ruimtestaat[#All],Totalisatie[[#This Row],[Code Locatie]],Ruimtestaat[[#All],[kosten / jaar excl btw]])</f>
        <v>0</v>
      </c>
      <c r="D47" s="162">
        <f ca="1">SUMIF(OverzichtVloer20[[#All],[Code Locatie]:[Kosten/jaar excl. BTW]],Totalisatie[[#This Row],[Code Locatie]],OverzichtVloer20[[#Headers],[#Data],[Kosten/jaar excl. BTW]])</f>
        <v>0</v>
      </c>
      <c r="E47" s="162">
        <f ca="1">SUMIF(Overzichtextrawerkz.[[#All],[Code Locatie]:[Kosten/jaar excl. BTW]],Totalisatie[[#This Row],[Code Locatie]],Overzichtextrawerkz.[[#All],[Kosten/jaar excl. BTW]])</f>
        <v>0</v>
      </c>
      <c r="F47" s="162">
        <f ca="1">SUMIF(OverzichtGlas[[Code Locatie]:[Kosten/jaar excl. BTW]],Totalisatie[[#This Row],[Code Locatie]],OverzichtGlas[Kosten/jaar excl. BTW])</f>
        <v>0</v>
      </c>
      <c r="G47" s="162">
        <f ca="1">SUMIF(Sanitair2[[#All],[Code Locatie]:[Kosten/jaar excl. BTW]],Totalisatie[[#This Row],[Code Locatie]],Sanitair2[[#All],[Kosten/jaar excl. BTW]])</f>
        <v>0</v>
      </c>
      <c r="H47" s="153">
        <f ca="1">SUM(Totalisatie[[#This Row],[Schoonmaakonderhoud
Kosten / jaar excl btw]:[Diepetereiniging keuken kosten/ jaar excl. Btw2]])</f>
        <v>0</v>
      </c>
    </row>
    <row r="48" spans="1:8" ht="18.75" customHeight="1">
      <c r="A48" s="5">
        <v>13</v>
      </c>
      <c r="B48" s="3" t="str">
        <f>VLOOKUP(Totalisatie[[#This Row],[Code Locatie]],Locaties[],2,0)</f>
        <v>IKC Florence Nightingale</v>
      </c>
      <c r="C48" s="153">
        <f ca="1">SUMIF(Ruimtestaat[#All],Totalisatie[[#This Row],[Code Locatie]],Ruimtestaat[[#All],[kosten / jaar excl btw]])</f>
        <v>0</v>
      </c>
      <c r="D48" s="162">
        <f ca="1">SUMIF(OverzichtVloer20[[#All],[Code Locatie]:[Kosten/jaar excl. BTW]],Totalisatie[[#This Row],[Code Locatie]],OverzichtVloer20[[#Headers],[#Data],[Kosten/jaar excl. BTW]])</f>
        <v>0</v>
      </c>
      <c r="E48" s="162">
        <f ca="1">SUMIF(Overzichtextrawerkz.[[#All],[Code Locatie]:[Kosten/jaar excl. BTW]],Totalisatie[[#This Row],[Code Locatie]],Overzichtextrawerkz.[[#All],[Kosten/jaar excl. BTW]])</f>
        <v>0</v>
      </c>
      <c r="F48" s="162">
        <f ca="1">SUMIF(OverzichtGlas[[Code Locatie]:[Kosten/jaar excl. BTW]],Totalisatie[[#This Row],[Code Locatie]],OverzichtGlas[Kosten/jaar excl. BTW])</f>
        <v>0</v>
      </c>
      <c r="G48" s="162">
        <f ca="1">SUMIF(Sanitair2[[#All],[Code Locatie]:[Kosten/jaar excl. BTW]],Totalisatie[[#This Row],[Code Locatie]],Sanitair2[[#All],[Kosten/jaar excl. BTW]])</f>
        <v>0</v>
      </c>
      <c r="H48" s="153">
        <f ca="1">SUM(Totalisatie[[#This Row],[Schoonmaakonderhoud
Kosten / jaar excl btw]:[Diepetereiniging keuken kosten/ jaar excl. Btw2]])</f>
        <v>0</v>
      </c>
    </row>
    <row r="49" spans="1:8" ht="18.75" customHeight="1">
      <c r="A49" s="5">
        <v>14</v>
      </c>
      <c r="B49" s="3" t="str">
        <f>VLOOKUP(Totalisatie[[#This Row],[Code Locatie]],Locaties[],2,0)</f>
        <v>IKC De Vuurtoren</v>
      </c>
      <c r="C49" s="153">
        <f ca="1">SUMIF(Ruimtestaat[#All],Totalisatie[[#This Row],[Code Locatie]],Ruimtestaat[[#All],[kosten / jaar excl btw]])</f>
        <v>0</v>
      </c>
      <c r="D49" s="162">
        <f ca="1">SUMIF(OverzichtVloer20[[#All],[Code Locatie]:[Kosten/jaar excl. BTW]],Totalisatie[[#This Row],[Code Locatie]],OverzichtVloer20[[#Headers],[#Data],[Kosten/jaar excl. BTW]])</f>
        <v>0</v>
      </c>
      <c r="E49" s="162">
        <f ca="1">SUMIF(Overzichtextrawerkz.[[#All],[Code Locatie]:[Kosten/jaar excl. BTW]],Totalisatie[[#This Row],[Code Locatie]],Overzichtextrawerkz.[[#All],[Kosten/jaar excl. BTW]])</f>
        <v>0</v>
      </c>
      <c r="F49" s="162">
        <f ca="1">SUMIF(OverzichtGlas[[Code Locatie]:[Kosten/jaar excl. BTW]],Totalisatie[[#This Row],[Code Locatie]],OverzichtGlas[Kosten/jaar excl. BTW])</f>
        <v>0</v>
      </c>
      <c r="G49" s="162">
        <f ca="1">SUMIF(Sanitair2[[#All],[Code Locatie]:[Kosten/jaar excl. BTW]],Totalisatie[[#This Row],[Code Locatie]],Sanitair2[[#All],[Kosten/jaar excl. BTW]])</f>
        <v>0</v>
      </c>
      <c r="H49" s="153">
        <f ca="1">SUM(Totalisatie[[#This Row],[Schoonmaakonderhoud
Kosten / jaar excl btw]:[Diepetereiniging keuken kosten/ jaar excl. Btw2]])</f>
        <v>0</v>
      </c>
    </row>
    <row r="50" spans="1:8" ht="18.75" customHeight="1">
      <c r="A50" s="5">
        <v>15</v>
      </c>
      <c r="B50" s="3" t="str">
        <f>VLOOKUP(Totalisatie[[#This Row],[Code Locatie]],Locaties[],2,0)</f>
        <v>IKC  Da Vinci</v>
      </c>
      <c r="C50" s="153">
        <f ca="1">SUMIF(Ruimtestaat[#All],Totalisatie[[#This Row],[Code Locatie]],Ruimtestaat[[#All],[kosten / jaar excl btw]])</f>
        <v>0</v>
      </c>
      <c r="D50" s="162">
        <f ca="1">SUMIF(OverzichtVloer20[[#All],[Code Locatie]:[Kosten/jaar excl. BTW]],Totalisatie[[#This Row],[Code Locatie]],OverzichtVloer20[[#Headers],[#Data],[Kosten/jaar excl. BTW]])</f>
        <v>0</v>
      </c>
      <c r="E50" s="162">
        <f ca="1">SUMIF(Overzichtextrawerkz.[[#All],[Code Locatie]:[Kosten/jaar excl. BTW]],Totalisatie[[#This Row],[Code Locatie]],Overzichtextrawerkz.[[#All],[Kosten/jaar excl. BTW]])</f>
        <v>0</v>
      </c>
      <c r="F50" s="162">
        <f ca="1">SUMIF(OverzichtGlas[[Code Locatie]:[Kosten/jaar excl. BTW]],Totalisatie[[#This Row],[Code Locatie]],OverzichtGlas[Kosten/jaar excl. BTW])</f>
        <v>0</v>
      </c>
      <c r="G50" s="162">
        <f ca="1">SUMIF(Sanitair2[[#All],[Code Locatie]:[Kosten/jaar excl. BTW]],Totalisatie[[#This Row],[Code Locatie]],Sanitair2[[#All],[Kosten/jaar excl. BTW]])</f>
        <v>0</v>
      </c>
      <c r="H50" s="153">
        <f ca="1">SUM(Totalisatie[[#This Row],[Schoonmaakonderhoud
Kosten / jaar excl btw]:[Diepetereiniging keuken kosten/ jaar excl. Btw2]])</f>
        <v>0</v>
      </c>
    </row>
    <row r="51" spans="1:8" ht="18.75" customHeight="1">
      <c r="A51" s="5">
        <v>16</v>
      </c>
      <c r="B51" s="3" t="str">
        <f>VLOOKUP(Totalisatie[[#This Row],[Code Locatie]],Locaties[],2,0)</f>
        <v>IKC de Tjalk Kadelaan</v>
      </c>
      <c r="C51" s="153">
        <f ca="1">SUMIF(Ruimtestaat[#All],Totalisatie[[#This Row],[Code Locatie]],Ruimtestaat[[#All],[kosten / jaar excl btw]])</f>
        <v>0</v>
      </c>
      <c r="D51" s="162">
        <f ca="1">SUMIF(OverzichtVloer20[[#All],[Code Locatie]:[Kosten/jaar excl. BTW]],Totalisatie[[#This Row],[Code Locatie]],OverzichtVloer20[[#Headers],[#Data],[Kosten/jaar excl. BTW]])</f>
        <v>0</v>
      </c>
      <c r="E51" s="162">
        <f ca="1">SUMIF(Overzichtextrawerkz.[[#All],[Code Locatie]:[Kosten/jaar excl. BTW]],Totalisatie[[#This Row],[Code Locatie]],Overzichtextrawerkz.[[#All],[Kosten/jaar excl. BTW]])</f>
        <v>0</v>
      </c>
      <c r="F51" s="162">
        <f ca="1">SUMIF(OverzichtGlas[[Code Locatie]:[Kosten/jaar excl. BTW]],Totalisatie[[#This Row],[Code Locatie]],OverzichtGlas[Kosten/jaar excl. BTW])</f>
        <v>0</v>
      </c>
      <c r="G51" s="162">
        <f ca="1">SUMIF(Sanitair2[[#All],[Code Locatie]:[Kosten/jaar excl. BTW]],Totalisatie[[#This Row],[Code Locatie]],Sanitair2[[#All],[Kosten/jaar excl. BTW]])</f>
        <v>0</v>
      </c>
      <c r="H51" s="153">
        <f ca="1">SUM(Totalisatie[[#This Row],[Schoonmaakonderhoud
Kosten / jaar excl btw]:[Diepetereiniging keuken kosten/ jaar excl. Btw2]])</f>
        <v>0</v>
      </c>
    </row>
    <row r="52" spans="1:8" ht="18.75" customHeight="1">
      <c r="A52" s="5">
        <v>17</v>
      </c>
      <c r="B52" s="3" t="str">
        <f>VLOOKUP(Totalisatie[[#This Row],[Code Locatie]],Locaties[],2,0)</f>
        <v>IKC de Tjalk Kadelaan 208 (bijgebouw)</v>
      </c>
      <c r="C52" s="153">
        <f ca="1">SUMIF(Ruimtestaat[#All],Totalisatie[[#This Row],[Code Locatie]],Ruimtestaat[[#All],[kosten / jaar excl btw]])</f>
        <v>0</v>
      </c>
      <c r="D52" s="162">
        <f ca="1">SUMIF(OverzichtVloer20[[#All],[Code Locatie]:[Kosten/jaar excl. BTW]],Totalisatie[[#This Row],[Code Locatie]],OverzichtVloer20[[#Headers],[#Data],[Kosten/jaar excl. BTW]])</f>
        <v>0</v>
      </c>
      <c r="E52" s="162">
        <f ca="1">SUMIF(Overzichtextrawerkz.[[#All],[Code Locatie]:[Kosten/jaar excl. BTW]],Totalisatie[[#This Row],[Code Locatie]],Overzichtextrawerkz.[[#All],[Kosten/jaar excl. BTW]])</f>
        <v>0</v>
      </c>
      <c r="F52" s="162">
        <f ca="1">SUMIF(OverzichtGlas[[Code Locatie]:[Kosten/jaar excl. BTW]],Totalisatie[[#This Row],[Code Locatie]],OverzichtGlas[Kosten/jaar excl. BTW])</f>
        <v>0</v>
      </c>
      <c r="G52" s="162">
        <f ca="1">SUMIF(Sanitair2[[#All],[Code Locatie]:[Kosten/jaar excl. BTW]],Totalisatie[[#This Row],[Code Locatie]],Sanitair2[[#All],[Kosten/jaar excl. BTW]])</f>
        <v>0</v>
      </c>
      <c r="H52" s="153">
        <f ca="1">SUM(Totalisatie[[#This Row],[Schoonmaakonderhoud
Kosten / jaar excl btw]:[Diepetereiniging keuken kosten/ jaar excl. Btw2]])</f>
        <v>0</v>
      </c>
    </row>
    <row r="53" spans="1:8" ht="18.75" customHeight="1">
      <c r="A53" s="5">
        <v>18</v>
      </c>
      <c r="B53" s="3" t="str">
        <f>VLOOKUP(Totalisatie[[#This Row],[Code Locatie]],Locaties[],2,0)</f>
        <v>IKC De Triangel</v>
      </c>
      <c r="C53" s="153">
        <f ca="1">SUMIF(Ruimtestaat[#All],Totalisatie[[#This Row],[Code Locatie]],Ruimtestaat[[#All],[kosten / jaar excl btw]])</f>
        <v>0</v>
      </c>
      <c r="D53" s="162">
        <f ca="1">SUMIF(OverzichtVloer20[[#All],[Code Locatie]:[Kosten/jaar excl. BTW]],Totalisatie[[#This Row],[Code Locatie]],OverzichtVloer20[[#Headers],[#Data],[Kosten/jaar excl. BTW]])</f>
        <v>0</v>
      </c>
      <c r="E53" s="162">
        <f ca="1">SUMIF(Overzichtextrawerkz.[[#All],[Code Locatie]:[Kosten/jaar excl. BTW]],Totalisatie[[#This Row],[Code Locatie]],Overzichtextrawerkz.[[#All],[Kosten/jaar excl. BTW]])</f>
        <v>0</v>
      </c>
      <c r="F53" s="162">
        <f ca="1">SUMIF(OverzichtGlas[[Code Locatie]:[Kosten/jaar excl. BTW]],Totalisatie[[#This Row],[Code Locatie]],OverzichtGlas[Kosten/jaar excl. BTW])</f>
        <v>0</v>
      </c>
      <c r="G53" s="162">
        <f ca="1">SUMIF(Sanitair2[[#All],[Code Locatie]:[Kosten/jaar excl. BTW]],Totalisatie[[#This Row],[Code Locatie]],Sanitair2[[#All],[Kosten/jaar excl. BTW]])</f>
        <v>0</v>
      </c>
      <c r="H53" s="153">
        <f ca="1">SUM(Totalisatie[[#This Row],[Schoonmaakonderhoud
Kosten / jaar excl btw]:[Diepetereiniging keuken kosten/ jaar excl. Btw2]])</f>
        <v>0</v>
      </c>
    </row>
    <row r="54" spans="1:8" ht="18.75" customHeight="1">
      <c r="A54" s="5">
        <v>19</v>
      </c>
      <c r="B54" s="3" t="str">
        <f>VLOOKUP(Totalisatie[[#This Row],[Code Locatie]],Locaties[],2,0)</f>
        <v>IKC de Leerplaneet (vhKlimboom)</v>
      </c>
      <c r="C54" s="153">
        <f ca="1">SUMIF(Ruimtestaat[#All],Totalisatie[[#This Row],[Code Locatie]],Ruimtestaat[[#All],[kosten / jaar excl btw]])</f>
        <v>0</v>
      </c>
      <c r="D54" s="162">
        <f ca="1">SUMIF(OverzichtVloer20[[#All],[Code Locatie]:[Kosten/jaar excl. BTW]],Totalisatie[[#This Row],[Code Locatie]],OverzichtVloer20[[#Headers],[#Data],[Kosten/jaar excl. BTW]])</f>
        <v>0</v>
      </c>
      <c r="E54" s="162">
        <f ca="1">SUMIF(Overzichtextrawerkz.[[#All],[Code Locatie]:[Kosten/jaar excl. BTW]],Totalisatie[[#This Row],[Code Locatie]],Overzichtextrawerkz.[[#All],[Kosten/jaar excl. BTW]])</f>
        <v>0</v>
      </c>
      <c r="F54" s="162">
        <f ca="1">SUMIF(OverzichtGlas[[Code Locatie]:[Kosten/jaar excl. BTW]],Totalisatie[[#This Row],[Code Locatie]],OverzichtGlas[Kosten/jaar excl. BTW])</f>
        <v>0</v>
      </c>
      <c r="G54" s="162">
        <f ca="1">SUMIF(Sanitair2[[#All],[Code Locatie]:[Kosten/jaar excl. BTW]],Totalisatie[[#This Row],[Code Locatie]],Sanitair2[[#All],[Kosten/jaar excl. BTW]])</f>
        <v>0</v>
      </c>
      <c r="H54" s="153">
        <f ca="1">SUM(Totalisatie[[#This Row],[Schoonmaakonderhoud
Kosten / jaar excl btw]:[Diepetereiniging keuken kosten/ jaar excl. Btw2]])</f>
        <v>0</v>
      </c>
    </row>
    <row r="55" spans="1:8" ht="18.75" customHeight="1">
      <c r="A55" s="5">
        <v>20</v>
      </c>
      <c r="B55" s="3" t="str">
        <f>VLOOKUP(Totalisatie[[#This Row],[Code Locatie]],Locaties[],2,0)</f>
        <v>IKC de Saffier (extra lokaal gemeente)</v>
      </c>
      <c r="C55" s="153">
        <f ca="1">SUMIF(Ruimtestaat[#All],Totalisatie[[#This Row],[Code Locatie]],Ruimtestaat[[#All],[kosten / jaar excl btw]])</f>
        <v>0</v>
      </c>
      <c r="D55" s="162">
        <f ca="1">SUMIF(OverzichtVloer20[[#All],[Code Locatie]:[Kosten/jaar excl. BTW]],Totalisatie[[#This Row],[Code Locatie]],OverzichtVloer20[[#Headers],[#Data],[Kosten/jaar excl. BTW]])</f>
        <v>0</v>
      </c>
      <c r="E55" s="162">
        <f ca="1">SUMIF(Overzichtextrawerkz.[[#All],[Code Locatie]:[Kosten/jaar excl. BTW]],Totalisatie[[#This Row],[Code Locatie]],Overzichtextrawerkz.[[#All],[Kosten/jaar excl. BTW]])</f>
        <v>0</v>
      </c>
      <c r="F55" s="162">
        <f ca="1">SUMIF(OverzichtGlas[[Code Locatie]:[Kosten/jaar excl. BTW]],Totalisatie[[#This Row],[Code Locatie]],OverzichtGlas[Kosten/jaar excl. BTW])</f>
        <v>0</v>
      </c>
      <c r="G55" s="162">
        <f ca="1">SUMIF(Sanitair2[[#All],[Code Locatie]:[Kosten/jaar excl. BTW]],Totalisatie[[#This Row],[Code Locatie]],Sanitair2[[#All],[Kosten/jaar excl. BTW]])</f>
        <v>0</v>
      </c>
      <c r="H55" s="153">
        <f ca="1">SUM(Totalisatie[[#This Row],[Schoonmaakonderhoud
Kosten / jaar excl btw]:[Diepetereiniging keuken kosten/ jaar excl. Btw2]])</f>
        <v>0</v>
      </c>
    </row>
    <row r="56" spans="1:8" ht="18.75" customHeight="1">
      <c r="A56" s="5">
        <v>21</v>
      </c>
      <c r="B56" s="3" t="str">
        <f>VLOOKUP(Totalisatie[[#This Row],[Code Locatie]],Locaties[],2,0)</f>
        <v>IKC De  Leerplaneet (bijgebouw)</v>
      </c>
      <c r="C56" s="153">
        <f ca="1">SUMIF(Ruimtestaat[#All],Totalisatie[[#This Row],[Code Locatie]],Ruimtestaat[[#All],[kosten / jaar excl btw]])</f>
        <v>0</v>
      </c>
      <c r="D56" s="162">
        <f ca="1">SUMIF(OverzichtVloer20[[#All],[Code Locatie]:[Kosten/jaar excl. BTW]],Totalisatie[[#This Row],[Code Locatie]],OverzichtVloer20[[#Headers],[#Data],[Kosten/jaar excl. BTW]])</f>
        <v>0</v>
      </c>
      <c r="E56" s="162">
        <f ca="1">SUMIF(Overzichtextrawerkz.[[#All],[Code Locatie]:[Kosten/jaar excl. BTW]],Totalisatie[[#This Row],[Code Locatie]],Overzichtextrawerkz.[[#All],[Kosten/jaar excl. BTW]])</f>
        <v>0</v>
      </c>
      <c r="F56" s="162">
        <f ca="1">SUMIF(OverzichtGlas[[Code Locatie]:[Kosten/jaar excl. BTW]],Totalisatie[[#This Row],[Code Locatie]],OverzichtGlas[Kosten/jaar excl. BTW])</f>
        <v>0</v>
      </c>
      <c r="G56" s="162">
        <f ca="1">SUMIF(Sanitair2[[#All],[Code Locatie]:[Kosten/jaar excl. BTW]],Totalisatie[[#This Row],[Code Locatie]],Sanitair2[[#All],[Kosten/jaar excl. BTW]])</f>
        <v>0</v>
      </c>
      <c r="H56" s="153">
        <f ca="1">SUM(Totalisatie[[#This Row],[Schoonmaakonderhoud
Kosten / jaar excl btw]:[Diepetereiniging keuken kosten/ jaar excl. Btw2]])</f>
        <v>0</v>
      </c>
    </row>
    <row r="57" spans="1:8" ht="18.75" customHeight="1">
      <c r="A57" s="5">
        <v>22</v>
      </c>
      <c r="B57" s="3" t="str">
        <f>VLOOKUP(Totalisatie[[#This Row],[Code Locatie]],Locaties[],2,0)</f>
        <v>IKC Da Vinci</v>
      </c>
      <c r="C57" s="153">
        <f ca="1">SUMIF(Ruimtestaat[#All],Totalisatie[[#This Row],[Code Locatie]],Ruimtestaat[[#All],[kosten / jaar excl btw]])</f>
        <v>0</v>
      </c>
      <c r="D57" s="162">
        <f ca="1">SUMIF(OverzichtVloer20[[#All],[Code Locatie]:[Kosten/jaar excl. BTW]],Totalisatie[[#This Row],[Code Locatie]],OverzichtVloer20[[#Headers],[#Data],[Kosten/jaar excl. BTW]])</f>
        <v>0</v>
      </c>
      <c r="E57" s="162">
        <f ca="1">SUMIF(Overzichtextrawerkz.[[#All],[Code Locatie]:[Kosten/jaar excl. BTW]],Totalisatie[[#This Row],[Code Locatie]],Overzichtextrawerkz.[[#All],[Kosten/jaar excl. BTW]])</f>
        <v>0</v>
      </c>
      <c r="F57" s="162">
        <f ca="1">SUMIF(OverzichtGlas[[Code Locatie]:[Kosten/jaar excl. BTW]],Totalisatie[[#This Row],[Code Locatie]],OverzichtGlas[Kosten/jaar excl. BTW])</f>
        <v>0</v>
      </c>
      <c r="G57" s="162">
        <f ca="1">SUMIF(Sanitair2[[#All],[Code Locatie]:[Kosten/jaar excl. BTW]],Totalisatie[[#This Row],[Code Locatie]],Sanitair2[[#All],[Kosten/jaar excl. BTW]])</f>
        <v>0</v>
      </c>
      <c r="H57" s="153">
        <f ca="1">SUM(Totalisatie[[#This Row],[Schoonmaakonderhoud
Kosten / jaar excl btw]:[Diepetereiniging keuken kosten/ jaar excl. Btw2]])</f>
        <v>0</v>
      </c>
    </row>
    <row r="58" spans="1:8" ht="18.75" customHeight="1">
      <c r="A58" s="5">
        <v>23</v>
      </c>
      <c r="B58" s="3" t="str">
        <f>VLOOKUP(Totalisatie[[#This Row],[Code Locatie]],Locaties[],2,0)</f>
        <v>IKC De Waterlelie (bijgebouw)</v>
      </c>
      <c r="C58" s="153">
        <f ca="1">SUMIF(Ruimtestaat[#All],Totalisatie[[#This Row],[Code Locatie]],Ruimtestaat[[#All],[kosten / jaar excl btw]])</f>
        <v>0</v>
      </c>
      <c r="D58" s="162">
        <f ca="1">SUMIF(OverzichtVloer20[[#All],[Code Locatie]:[Kosten/jaar excl. BTW]],Totalisatie[[#This Row],[Code Locatie]],OverzichtVloer20[[#Headers],[#Data],[Kosten/jaar excl. BTW]])</f>
        <v>0</v>
      </c>
      <c r="E58" s="162">
        <f ca="1">SUMIF(Overzichtextrawerkz.[[#All],[Code Locatie]:[Kosten/jaar excl. BTW]],Totalisatie[[#This Row],[Code Locatie]],Overzichtextrawerkz.[[#All],[Kosten/jaar excl. BTW]])</f>
        <v>0</v>
      </c>
      <c r="F58" s="162">
        <f ca="1">SUMIF(OverzichtGlas[[Code Locatie]:[Kosten/jaar excl. BTW]],Totalisatie[[#This Row],[Code Locatie]],OverzichtGlas[Kosten/jaar excl. BTW])</f>
        <v>0</v>
      </c>
      <c r="G58" s="162">
        <f ca="1">SUMIF(Sanitair2[[#All],[Code Locatie]:[Kosten/jaar excl. BTW]],Totalisatie[[#This Row],[Code Locatie]],Sanitair2[[#All],[Kosten/jaar excl. BTW]])</f>
        <v>0</v>
      </c>
      <c r="H58" s="153">
        <f ca="1">SUM(Totalisatie[[#This Row],[Schoonmaakonderhoud
Kosten / jaar excl btw]:[Diepetereiniging keuken kosten/ jaar excl. Btw2]])</f>
        <v>0</v>
      </c>
    </row>
    <row r="59" spans="1:8" ht="18.75" customHeight="1">
      <c r="A59" s="5">
        <v>24</v>
      </c>
      <c r="B59" s="3" t="str">
        <f>VLOOKUP(Totalisatie[[#This Row],[Code Locatie]],Locaties[],2,0)</f>
        <v>IKC De Gaerde</v>
      </c>
      <c r="C59" s="153">
        <f ca="1">SUMIF(Ruimtestaat[#All],Totalisatie[[#This Row],[Code Locatie]],Ruimtestaat[[#All],[kosten / jaar excl btw]])</f>
        <v>0</v>
      </c>
      <c r="D59" s="162">
        <f ca="1">SUMIF(OverzichtVloer20[[#All],[Code Locatie]:[Kosten/jaar excl. BTW]],Totalisatie[[#This Row],[Code Locatie]],OverzichtVloer20[[#Headers],[#Data],[Kosten/jaar excl. BTW]])</f>
        <v>0</v>
      </c>
      <c r="E59" s="162">
        <f ca="1">SUMIF(Overzichtextrawerkz.[[#All],[Code Locatie]:[Kosten/jaar excl. BTW]],Totalisatie[[#This Row],[Code Locatie]],Overzichtextrawerkz.[[#All],[Kosten/jaar excl. BTW]])</f>
        <v>0</v>
      </c>
      <c r="F59" s="162">
        <f ca="1">SUMIF(OverzichtGlas[[Code Locatie]:[Kosten/jaar excl. BTW]],Totalisatie[[#This Row],[Code Locatie]],OverzichtGlas[Kosten/jaar excl. BTW])</f>
        <v>0</v>
      </c>
      <c r="G59" s="162">
        <f ca="1">SUMIF(Sanitair2[[#All],[Code Locatie]:[Kosten/jaar excl. BTW]],Totalisatie[[#This Row],[Code Locatie]],Sanitair2[[#All],[Kosten/jaar excl. BTW]])</f>
        <v>0</v>
      </c>
      <c r="H59" s="153">
        <f ca="1">SUM(Totalisatie[[#This Row],[Schoonmaakonderhoud
Kosten / jaar excl btw]:[Diepetereiniging keuken kosten/ jaar excl. Btw2]])</f>
        <v>0</v>
      </c>
    </row>
    <row r="60" spans="1:8" ht="18.75" customHeight="1">
      <c r="A60" s="5">
        <v>25</v>
      </c>
      <c r="B60" s="3" t="str">
        <f>VLOOKUP(Totalisatie[[#This Row],[Code Locatie]],Locaties[],2,0)</f>
        <v>IKC De Piramide</v>
      </c>
      <c r="C60" s="153">
        <f ca="1">SUMIF(Ruimtestaat[#All],Totalisatie[[#This Row],[Code Locatie]],Ruimtestaat[[#All],[kosten / jaar excl btw]])</f>
        <v>0</v>
      </c>
      <c r="D60" s="162">
        <f ca="1">SUMIF(OverzichtVloer20[[#All],[Code Locatie]:[Kosten/jaar excl. BTW]],Totalisatie[[#This Row],[Code Locatie]],OverzichtVloer20[[#Headers],[#Data],[Kosten/jaar excl. BTW]])</f>
        <v>0</v>
      </c>
      <c r="E60" s="162">
        <f ca="1">SUMIF(Overzichtextrawerkz.[[#All],[Code Locatie]:[Kosten/jaar excl. BTW]],Totalisatie[[#This Row],[Code Locatie]],Overzichtextrawerkz.[[#All],[Kosten/jaar excl. BTW]])</f>
        <v>0</v>
      </c>
      <c r="F60" s="162">
        <f ca="1">SUMIF(OverzichtGlas[[Code Locatie]:[Kosten/jaar excl. BTW]],Totalisatie[[#This Row],[Code Locatie]],OverzichtGlas[Kosten/jaar excl. BTW])</f>
        <v>0</v>
      </c>
      <c r="G60" s="162">
        <f ca="1">SUMIF(Sanitair2[[#All],[Code Locatie]:[Kosten/jaar excl. BTW]],Totalisatie[[#This Row],[Code Locatie]],Sanitair2[[#All],[Kosten/jaar excl. BTW]])</f>
        <v>0</v>
      </c>
      <c r="H60" s="153">
        <f ca="1">SUM(Totalisatie[[#This Row],[Schoonmaakonderhoud
Kosten / jaar excl btw]:[Diepetereiniging keuken kosten/ jaar excl. Btw2]])</f>
        <v>0</v>
      </c>
    </row>
    <row r="61" spans="1:8" ht="18.75" customHeight="1">
      <c r="A61" s="155"/>
      <c r="B61" s="156" t="s">
        <v>32</v>
      </c>
      <c r="C61" s="159">
        <f ca="1">SUBTOTAL(109,Totalisatie[Schoonmaakonderhoud
Kosten / jaar excl btw])</f>
        <v>0</v>
      </c>
      <c r="D61" s="159">
        <f ca="1">SUBTOTAL(109,Totalisatie[Vloeronderhoud
Kosten / jaar excl btw])</f>
        <v>0</v>
      </c>
      <c r="E61" s="159">
        <f ca="1">SUBTOTAL(109,Totalisatie[Extra werkzaamheden kosten/ jaar excl. btw])</f>
        <v>0</v>
      </c>
      <c r="F61" s="159">
        <f ca="1">SUBTOTAL(109,Totalisatie[Glasbewassing kosten/ jaar excl. Btw])</f>
        <v>0</v>
      </c>
      <c r="G61" s="159">
        <f ca="1">SUBTOTAL(109,Totalisatie[Diepetereiniging keuken kosten/ jaar excl. Btw2])</f>
        <v>0</v>
      </c>
      <c r="H61" s="159">
        <f ca="1">SUBTOTAL(109,Totalisatie[Totaalprijs
Kosten / jaar excl. btw])</f>
        <v>0</v>
      </c>
    </row>
    <row r="62" spans="1:8" ht="18.75" customHeight="1">
      <c r="A62" s="147"/>
      <c r="B62" s="148"/>
      <c r="C62" s="163"/>
      <c r="D62" s="164"/>
      <c r="E62" s="164"/>
      <c r="F62" s="164"/>
      <c r="G62" s="164"/>
    </row>
    <row r="63" spans="1:8" ht="18.75" customHeight="1">
      <c r="A63" s="147"/>
      <c r="B63" s="148"/>
    </row>
    <row r="64" spans="1:8" ht="37.5" customHeight="1">
      <c r="A64" s="33" t="s">
        <v>201</v>
      </c>
      <c r="B64" s="148"/>
    </row>
    <row r="65" spans="1:7" ht="18.75" customHeight="1">
      <c r="A65" s="322" t="s">
        <v>205</v>
      </c>
      <c r="B65" s="323"/>
      <c r="C65" s="468"/>
      <c r="D65" s="468"/>
      <c r="E65" s="468"/>
      <c r="F65" s="468"/>
      <c r="G65" s="469"/>
    </row>
    <row r="66" spans="1:7" ht="18.75" customHeight="1">
      <c r="A66" s="165" t="s">
        <v>122</v>
      </c>
      <c r="B66" s="470" t="s">
        <v>210</v>
      </c>
      <c r="C66" s="471"/>
      <c r="D66" s="165" t="s">
        <v>122</v>
      </c>
      <c r="E66" s="470" t="s">
        <v>210</v>
      </c>
      <c r="F66" s="472"/>
      <c r="G66" s="471"/>
    </row>
    <row r="67" spans="1:7" ht="18.75" customHeight="1">
      <c r="A67" s="166" t="s">
        <v>202</v>
      </c>
      <c r="B67" s="473" t="s">
        <v>210</v>
      </c>
      <c r="C67" s="474"/>
      <c r="D67" s="166" t="s">
        <v>202</v>
      </c>
      <c r="E67" s="473" t="s">
        <v>210</v>
      </c>
      <c r="F67" s="475"/>
      <c r="G67" s="474"/>
    </row>
    <row r="68" spans="1:7" ht="18.75" customHeight="1">
      <c r="A68" s="165" t="s">
        <v>203</v>
      </c>
      <c r="B68" s="470" t="s">
        <v>210</v>
      </c>
      <c r="C68" s="471"/>
      <c r="D68" s="165" t="s">
        <v>203</v>
      </c>
      <c r="E68" s="470" t="s">
        <v>210</v>
      </c>
      <c r="F68" s="472"/>
      <c r="G68" s="471"/>
    </row>
    <row r="69" spans="1:7" ht="18.75" customHeight="1">
      <c r="A69" s="166" t="s">
        <v>204</v>
      </c>
      <c r="B69" s="473" t="s">
        <v>210</v>
      </c>
      <c r="C69" s="474"/>
      <c r="D69" s="166" t="s">
        <v>204</v>
      </c>
      <c r="E69" s="476" t="s">
        <v>210</v>
      </c>
      <c r="F69" s="477"/>
      <c r="G69" s="478"/>
    </row>
    <row r="70" spans="1:7" ht="18.75" customHeight="1">
      <c r="A70" s="165" t="s">
        <v>1611</v>
      </c>
      <c r="B70" s="167"/>
      <c r="C70" s="168"/>
      <c r="D70" s="169"/>
      <c r="E70" s="170"/>
      <c r="F70" s="170"/>
      <c r="G70" s="171"/>
    </row>
    <row r="73" spans="1:7" ht="18.75" customHeight="1">
      <c r="E73" s="172"/>
    </row>
    <row r="74" spans="1:7" ht="18.75" customHeight="1">
      <c r="E74" s="164"/>
    </row>
  </sheetData>
  <sheetProtection algorithmName="SHA-512" hashValue="H/qxzqyCJET1/mvzutQEyFFd71jUt3M63d2eFhOA/wr92TyLhm625KMr7IvojW+eujctTV00iAzSMz/1oSbjCw==" saltValue="Y21yubVgATcXH3ygfcatlA==" spinCount="100000" sheet="1" objects="1" scenarios="1" sort="0" autoFilter="0"/>
  <mergeCells count="12">
    <mergeCell ref="A1:G1"/>
    <mergeCell ref="A2:G2"/>
    <mergeCell ref="E69:G69"/>
    <mergeCell ref="A65:B65"/>
    <mergeCell ref="C65:G65"/>
    <mergeCell ref="B66:C66"/>
    <mergeCell ref="B67:C67"/>
    <mergeCell ref="B68:C68"/>
    <mergeCell ref="B69:C69"/>
    <mergeCell ref="E66:G66"/>
    <mergeCell ref="E67:G67"/>
    <mergeCell ref="E68:G68"/>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130" zoomScaleNormal="100" zoomScaleSheetLayoutView="130" workbookViewId="0">
      <selection activeCell="D7" sqref="D7"/>
    </sheetView>
  </sheetViews>
  <sheetFormatPr defaultColWidth="9" defaultRowHeight="13.5"/>
  <cols>
    <col min="1" max="1" width="19.42578125" style="26" customWidth="1"/>
    <col min="2" max="2" width="103.7109375" style="26" bestFit="1" customWidth="1"/>
    <col min="3" max="16384" width="9" style="13"/>
  </cols>
  <sheetData>
    <row r="1" spans="1:2" ht="26.25">
      <c r="A1" s="200" t="s">
        <v>1243</v>
      </c>
      <c r="B1" s="12"/>
    </row>
    <row r="2" spans="1:2">
      <c r="A2" s="12"/>
      <c r="B2" s="14"/>
    </row>
    <row r="3" spans="1:2">
      <c r="A3" s="180" t="s">
        <v>1244</v>
      </c>
      <c r="B3" s="180" t="s">
        <v>1201</v>
      </c>
    </row>
    <row r="4" spans="1:2">
      <c r="A4" s="181" t="s">
        <v>257</v>
      </c>
      <c r="B4" s="182"/>
    </row>
    <row r="5" spans="1:2">
      <c r="A5" s="183"/>
      <c r="B5" s="184" t="s">
        <v>1302</v>
      </c>
    </row>
    <row r="6" spans="1:2">
      <c r="A6" s="183"/>
      <c r="B6" s="184" t="s">
        <v>1202</v>
      </c>
    </row>
    <row r="7" spans="1:2">
      <c r="A7" s="183"/>
      <c r="B7" s="184" t="s">
        <v>1303</v>
      </c>
    </row>
    <row r="8" spans="1:2">
      <c r="A8" s="183"/>
      <c r="B8" s="184" t="s">
        <v>1304</v>
      </c>
    </row>
    <row r="9" spans="1:2">
      <c r="A9" s="185" t="s">
        <v>258</v>
      </c>
      <c r="B9" s="186"/>
    </row>
    <row r="10" spans="1:2">
      <c r="A10" s="183"/>
      <c r="B10" s="184" t="s">
        <v>1495</v>
      </c>
    </row>
    <row r="11" spans="1:2">
      <c r="A11" s="183"/>
      <c r="B11" s="184" t="s">
        <v>1305</v>
      </c>
    </row>
    <row r="12" spans="1:2">
      <c r="A12" s="185" t="s">
        <v>259</v>
      </c>
      <c r="B12" s="186"/>
    </row>
    <row r="13" spans="1:2">
      <c r="A13" s="183"/>
      <c r="B13" s="184" t="s">
        <v>1306</v>
      </c>
    </row>
    <row r="14" spans="1:2">
      <c r="A14" s="183"/>
      <c r="B14" s="184" t="s">
        <v>1307</v>
      </c>
    </row>
    <row r="15" spans="1:2">
      <c r="A15" s="185" t="s">
        <v>260</v>
      </c>
      <c r="B15" s="186"/>
    </row>
    <row r="16" spans="1:2">
      <c r="A16" s="183"/>
      <c r="B16" s="184" t="s">
        <v>1308</v>
      </c>
    </row>
    <row r="17" spans="1:2">
      <c r="A17" s="183"/>
      <c r="B17" s="184" t="s">
        <v>1307</v>
      </c>
    </row>
    <row r="18" spans="1:2">
      <c r="A18" s="185" t="s">
        <v>261</v>
      </c>
      <c r="B18" s="186"/>
    </row>
    <row r="19" spans="1:2">
      <c r="A19" s="183"/>
      <c r="B19" s="184" t="s">
        <v>1496</v>
      </c>
    </row>
    <row r="20" spans="1:2">
      <c r="A20" s="185" t="s">
        <v>262</v>
      </c>
      <c r="B20" s="187" t="s">
        <v>1256</v>
      </c>
    </row>
    <row r="21" spans="1:2">
      <c r="A21" s="183"/>
      <c r="B21" s="184" t="s">
        <v>1497</v>
      </c>
    </row>
    <row r="22" spans="1:2">
      <c r="A22" s="183"/>
      <c r="B22" s="184" t="s">
        <v>1498</v>
      </c>
    </row>
    <row r="23" spans="1:2">
      <c r="A23" s="183"/>
      <c r="B23" s="184" t="s">
        <v>1499</v>
      </c>
    </row>
    <row r="24" spans="1:2">
      <c r="A24" s="185" t="s">
        <v>263</v>
      </c>
      <c r="B24" s="186" t="s">
        <v>1256</v>
      </c>
    </row>
    <row r="25" spans="1:2">
      <c r="A25" s="183"/>
      <c r="B25" s="183" t="s">
        <v>1500</v>
      </c>
    </row>
    <row r="26" spans="1:2">
      <c r="A26" s="183"/>
      <c r="B26" s="183" t="s">
        <v>1501</v>
      </c>
    </row>
    <row r="27" spans="1:2">
      <c r="A27" s="183"/>
      <c r="B27" s="183"/>
    </row>
    <row r="28" spans="1:2">
      <c r="A28" s="183"/>
      <c r="B28" s="183" t="s">
        <v>1203</v>
      </c>
    </row>
    <row r="29" spans="1:2">
      <c r="A29" s="183"/>
      <c r="B29" s="183" t="s">
        <v>1245</v>
      </c>
    </row>
    <row r="30" spans="1:2">
      <c r="A30" s="185" t="s">
        <v>264</v>
      </c>
      <c r="B30" s="187" t="s">
        <v>1204</v>
      </c>
    </row>
    <row r="31" spans="1:2">
      <c r="A31" s="188"/>
      <c r="B31" s="189" t="s">
        <v>1246</v>
      </c>
    </row>
    <row r="32" spans="1:2">
      <c r="A32" s="190"/>
      <c r="B32" s="191"/>
    </row>
    <row r="33" spans="1:2">
      <c r="A33" s="192" t="s">
        <v>1205</v>
      </c>
      <c r="B33" s="193"/>
    </row>
    <row r="34" spans="1:2">
      <c r="A34" s="194" t="s">
        <v>265</v>
      </c>
      <c r="B34" s="195"/>
    </row>
    <row r="35" spans="1:2">
      <c r="A35" s="183"/>
      <c r="B35" s="196" t="s">
        <v>1248</v>
      </c>
    </row>
    <row r="36" spans="1:2">
      <c r="A36" s="183" t="s">
        <v>1249</v>
      </c>
      <c r="B36" s="196"/>
    </row>
    <row r="37" spans="1:2">
      <c r="A37" s="183"/>
      <c r="B37" s="184" t="s">
        <v>1502</v>
      </c>
    </row>
    <row r="38" spans="1:2">
      <c r="A38" s="183"/>
      <c r="B38" s="184" t="s">
        <v>1503</v>
      </c>
    </row>
    <row r="39" spans="1:2">
      <c r="A39" s="183"/>
      <c r="B39" s="184" t="s">
        <v>1618</v>
      </c>
    </row>
    <row r="40" spans="1:2">
      <c r="A40" s="183"/>
      <c r="B40" s="184" t="s">
        <v>1504</v>
      </c>
    </row>
    <row r="41" spans="1:2">
      <c r="A41" s="183"/>
      <c r="B41" s="184" t="s">
        <v>1505</v>
      </c>
    </row>
    <row r="42" spans="1:2">
      <c r="A42" s="183"/>
      <c r="B42" s="184" t="s">
        <v>1506</v>
      </c>
    </row>
    <row r="43" spans="1:2">
      <c r="A43" s="183"/>
      <c r="B43" s="184" t="s">
        <v>1507</v>
      </c>
    </row>
    <row r="44" spans="1:2">
      <c r="A44" s="183"/>
      <c r="B44" s="184" t="s">
        <v>1508</v>
      </c>
    </row>
    <row r="45" spans="1:2">
      <c r="A45" s="183"/>
      <c r="B45" s="184" t="s">
        <v>1509</v>
      </c>
    </row>
    <row r="46" spans="1:2">
      <c r="A46" s="183"/>
      <c r="B46" s="183" t="s">
        <v>1510</v>
      </c>
    </row>
    <row r="47" spans="1:2">
      <c r="A47" s="183"/>
      <c r="B47" s="184" t="s">
        <v>1511</v>
      </c>
    </row>
    <row r="48" spans="1:2">
      <c r="A48" s="183"/>
      <c r="B48" s="184" t="s">
        <v>1512</v>
      </c>
    </row>
    <row r="49" spans="1:2">
      <c r="A49" s="194" t="s">
        <v>266</v>
      </c>
      <c r="B49" s="197"/>
    </row>
    <row r="50" spans="1:2">
      <c r="A50" s="183" t="s">
        <v>1250</v>
      </c>
      <c r="B50" s="184" t="s">
        <v>1513</v>
      </c>
    </row>
    <row r="51" spans="1:2">
      <c r="A51" s="183"/>
      <c r="B51" s="184" t="s">
        <v>1206</v>
      </c>
    </row>
    <row r="52" spans="1:2">
      <c r="A52" s="194" t="s">
        <v>267</v>
      </c>
      <c r="B52" s="197"/>
    </row>
    <row r="53" spans="1:2">
      <c r="A53" s="183"/>
      <c r="B53" s="183" t="s">
        <v>1514</v>
      </c>
    </row>
    <row r="54" spans="1:2" ht="24.75">
      <c r="A54" s="183"/>
      <c r="B54" s="196" t="s">
        <v>1515</v>
      </c>
    </row>
    <row r="55" spans="1:2">
      <c r="A55" s="183"/>
      <c r="B55" s="196" t="s">
        <v>1516</v>
      </c>
    </row>
    <row r="56" spans="1:2">
      <c r="A56" s="183"/>
      <c r="B56" s="183" t="s">
        <v>1517</v>
      </c>
    </row>
    <row r="57" spans="1:2">
      <c r="A57" s="194" t="s">
        <v>268</v>
      </c>
      <c r="B57" s="197"/>
    </row>
    <row r="58" spans="1:2">
      <c r="A58" s="183"/>
      <c r="B58" s="183" t="s">
        <v>1207</v>
      </c>
    </row>
    <row r="59" spans="1:2">
      <c r="A59" s="183"/>
      <c r="B59" s="183" t="s">
        <v>1208</v>
      </c>
    </row>
    <row r="60" spans="1:2" ht="24.75">
      <c r="A60" s="183"/>
      <c r="B60" s="196" t="s">
        <v>1209</v>
      </c>
    </row>
    <row r="61" spans="1:2">
      <c r="A61" s="194" t="s">
        <v>269</v>
      </c>
      <c r="B61" s="197"/>
    </row>
    <row r="62" spans="1:2">
      <c r="A62" s="183"/>
      <c r="B62" s="196" t="s">
        <v>1518</v>
      </c>
    </row>
    <row r="63" spans="1:2">
      <c r="A63" s="183"/>
      <c r="B63" s="196" t="s">
        <v>1519</v>
      </c>
    </row>
    <row r="64" spans="1:2">
      <c r="A64" s="183"/>
      <c r="B64" s="184" t="s">
        <v>1520</v>
      </c>
    </row>
    <row r="65" spans="1:2">
      <c r="A65" s="194" t="s">
        <v>270</v>
      </c>
      <c r="B65" s="197"/>
    </row>
    <row r="66" spans="1:2">
      <c r="A66" s="183"/>
      <c r="B66" s="183" t="s">
        <v>1521</v>
      </c>
    </row>
    <row r="67" spans="1:2">
      <c r="A67" s="183"/>
      <c r="B67" s="196" t="s">
        <v>1522</v>
      </c>
    </row>
    <row r="68" spans="1:2">
      <c r="A68" s="194" t="s">
        <v>271</v>
      </c>
      <c r="B68" s="197"/>
    </row>
    <row r="69" spans="1:2">
      <c r="A69" s="183"/>
      <c r="B69" s="196" t="s">
        <v>1523</v>
      </c>
    </row>
    <row r="70" spans="1:2">
      <c r="A70" s="183"/>
      <c r="B70" s="196" t="s">
        <v>1524</v>
      </c>
    </row>
    <row r="71" spans="1:2">
      <c r="A71" s="194" t="s">
        <v>272</v>
      </c>
      <c r="B71" s="198" t="s">
        <v>1210</v>
      </c>
    </row>
    <row r="72" spans="1:2">
      <c r="A72" s="188"/>
      <c r="B72" s="199" t="s">
        <v>1525</v>
      </c>
    </row>
    <row r="73" spans="1:2">
      <c r="A73" s="190"/>
      <c r="B73" s="191"/>
    </row>
    <row r="74" spans="1:2">
      <c r="A74" s="190"/>
      <c r="B74" s="191"/>
    </row>
    <row r="75" spans="1:2">
      <c r="A75" s="192" t="s">
        <v>1251</v>
      </c>
      <c r="B75" s="191"/>
    </row>
    <row r="76" spans="1:2">
      <c r="A76" s="201" t="s">
        <v>1247</v>
      </c>
      <c r="B76" s="202"/>
    </row>
    <row r="77" spans="1:2">
      <c r="A77" s="203" t="s">
        <v>273</v>
      </c>
      <c r="B77" s="204"/>
    </row>
    <row r="78" spans="1:2">
      <c r="A78" s="205"/>
      <c r="B78" s="196" t="s">
        <v>1211</v>
      </c>
    </row>
    <row r="79" spans="1:2">
      <c r="A79" s="205"/>
      <c r="B79" s="183" t="s">
        <v>1526</v>
      </c>
    </row>
    <row r="80" spans="1:2">
      <c r="A80" s="205"/>
      <c r="B80" s="183" t="s">
        <v>1527</v>
      </c>
    </row>
    <row r="81" spans="1:2">
      <c r="A81" s="205"/>
      <c r="B81" s="183" t="s">
        <v>1212</v>
      </c>
    </row>
    <row r="82" spans="1:2">
      <c r="A82" s="205"/>
      <c r="B82" s="196" t="s">
        <v>1528</v>
      </c>
    </row>
    <row r="83" spans="1:2">
      <c r="A83" s="205"/>
      <c r="B83" s="196" t="s">
        <v>1529</v>
      </c>
    </row>
    <row r="84" spans="1:2">
      <c r="A84" s="206" t="s">
        <v>274</v>
      </c>
      <c r="B84" s="207"/>
    </row>
    <row r="85" spans="1:2">
      <c r="A85" s="205"/>
      <c r="B85" s="183" t="s">
        <v>1214</v>
      </c>
    </row>
    <row r="86" spans="1:2">
      <c r="A86" s="205"/>
      <c r="B86" s="196" t="s">
        <v>1530</v>
      </c>
    </row>
    <row r="87" spans="1:2">
      <c r="A87" s="206" t="s">
        <v>275</v>
      </c>
      <c r="B87" s="206" t="s">
        <v>1531</v>
      </c>
    </row>
    <row r="88" spans="1:2">
      <c r="A88" s="183"/>
      <c r="B88" s="183" t="s">
        <v>1215</v>
      </c>
    </row>
    <row r="89" spans="1:2">
      <c r="A89" s="183"/>
      <c r="B89" s="196" t="s">
        <v>1211</v>
      </c>
    </row>
    <row r="90" spans="1:2">
      <c r="A90" s="183"/>
      <c r="B90" s="183" t="s">
        <v>1212</v>
      </c>
    </row>
    <row r="91" spans="1:2">
      <c r="A91" s="183"/>
      <c r="B91" s="196" t="s">
        <v>1213</v>
      </c>
    </row>
    <row r="92" spans="1:2">
      <c r="A92" s="188"/>
      <c r="B92" s="199"/>
    </row>
    <row r="93" spans="1:2">
      <c r="A93" s="208"/>
      <c r="B93" s="209"/>
    </row>
    <row r="94" spans="1:2" ht="15.75">
      <c r="A94" s="210" t="s">
        <v>1229</v>
      </c>
      <c r="B94" s="211"/>
    </row>
    <row r="95" spans="1:2" ht="15.75">
      <c r="A95" s="212" t="s">
        <v>1252</v>
      </c>
      <c r="B95" s="213"/>
    </row>
    <row r="96" spans="1:2">
      <c r="A96" s="285"/>
      <c r="B96" s="285"/>
    </row>
    <row r="97" spans="1:2" ht="24">
      <c r="A97" s="15" t="s">
        <v>1253</v>
      </c>
      <c r="B97" s="16" t="s">
        <v>1216</v>
      </c>
    </row>
    <row r="98" spans="1:2">
      <c r="A98" s="17"/>
      <c r="B98" s="193"/>
    </row>
    <row r="99" spans="1:2" ht="24">
      <c r="A99" s="15" t="s">
        <v>1230</v>
      </c>
      <c r="B99" s="16" t="s">
        <v>1217</v>
      </c>
    </row>
    <row r="100" spans="1:2">
      <c r="A100" s="17"/>
      <c r="B100" s="18"/>
    </row>
    <row r="101" spans="1:2" ht="51.75" customHeight="1">
      <c r="A101" s="286" t="s">
        <v>1532</v>
      </c>
      <c r="B101" s="19" t="s">
        <v>1533</v>
      </c>
    </row>
    <row r="102" spans="1:2" ht="36">
      <c r="A102" s="287"/>
      <c r="B102" s="20" t="s">
        <v>1218</v>
      </c>
    </row>
    <row r="103" spans="1:2" ht="36">
      <c r="A103" s="288"/>
      <c r="B103" s="21" t="s">
        <v>1534</v>
      </c>
    </row>
    <row r="104" spans="1:2">
      <c r="A104" s="17"/>
      <c r="B104" s="18"/>
    </row>
    <row r="105" spans="1:2">
      <c r="A105" s="22" t="s">
        <v>1231</v>
      </c>
      <c r="B105" s="16" t="s">
        <v>1297</v>
      </c>
    </row>
    <row r="106" spans="1:2">
      <c r="A106" s="17"/>
      <c r="B106" s="18"/>
    </row>
    <row r="107" spans="1:2" ht="48">
      <c r="A107" s="22" t="s">
        <v>1232</v>
      </c>
      <c r="B107" s="16" t="s">
        <v>1535</v>
      </c>
    </row>
    <row r="108" spans="1:2">
      <c r="A108" s="17"/>
      <c r="B108" s="18"/>
    </row>
    <row r="109" spans="1:2" ht="24">
      <c r="A109" s="23" t="s">
        <v>1233</v>
      </c>
      <c r="B109" s="24" t="s">
        <v>1219</v>
      </c>
    </row>
    <row r="110" spans="1:2">
      <c r="A110" s="17"/>
      <c r="B110" s="18"/>
    </row>
    <row r="111" spans="1:2">
      <c r="A111" s="22" t="s">
        <v>212</v>
      </c>
      <c r="B111" s="16" t="s">
        <v>1220</v>
      </c>
    </row>
    <row r="112" spans="1:2">
      <c r="A112" s="17"/>
      <c r="B112" s="18"/>
    </row>
    <row r="113" spans="1:2" ht="24">
      <c r="A113" s="22" t="s">
        <v>1234</v>
      </c>
      <c r="B113" s="16" t="s">
        <v>1536</v>
      </c>
    </row>
    <row r="114" spans="1:2">
      <c r="A114" s="17"/>
      <c r="B114" s="18"/>
    </row>
    <row r="115" spans="1:2" ht="36">
      <c r="A115" s="22" t="s">
        <v>1235</v>
      </c>
      <c r="B115" s="16" t="s">
        <v>1537</v>
      </c>
    </row>
    <row r="116" spans="1:2">
      <c r="A116" s="17"/>
      <c r="B116" s="18"/>
    </row>
    <row r="117" spans="1:2" ht="24">
      <c r="A117" s="22" t="s">
        <v>1236</v>
      </c>
      <c r="B117" s="16" t="s">
        <v>1221</v>
      </c>
    </row>
    <row r="118" spans="1:2">
      <c r="A118" s="17"/>
      <c r="B118" s="18"/>
    </row>
    <row r="119" spans="1:2">
      <c r="A119" s="22" t="s">
        <v>1237</v>
      </c>
      <c r="B119" s="16" t="s">
        <v>1222</v>
      </c>
    </row>
    <row r="120" spans="1:2">
      <c r="A120" s="17"/>
      <c r="B120" s="18"/>
    </row>
    <row r="121" spans="1:2">
      <c r="A121" s="22" t="s">
        <v>1238</v>
      </c>
      <c r="B121" s="16" t="s">
        <v>1223</v>
      </c>
    </row>
    <row r="122" spans="1:2">
      <c r="A122" s="17"/>
      <c r="B122" s="18"/>
    </row>
    <row r="123" spans="1:2">
      <c r="A123" s="289" t="s">
        <v>1239</v>
      </c>
      <c r="B123" s="25" t="s">
        <v>1224</v>
      </c>
    </row>
    <row r="124" spans="1:2">
      <c r="A124" s="290"/>
      <c r="B124" s="20" t="s">
        <v>1225</v>
      </c>
    </row>
    <row r="125" spans="1:2">
      <c r="A125" s="290"/>
      <c r="B125" s="20" t="s">
        <v>1226</v>
      </c>
    </row>
    <row r="126" spans="1:2">
      <c r="A126" s="291"/>
      <c r="B126" s="21" t="s">
        <v>1538</v>
      </c>
    </row>
    <row r="127" spans="1:2">
      <c r="A127" s="17"/>
      <c r="B127" s="18"/>
    </row>
    <row r="128" spans="1:2" ht="24">
      <c r="A128" s="22" t="s">
        <v>36</v>
      </c>
      <c r="B128" s="16" t="s">
        <v>1539</v>
      </c>
    </row>
    <row r="129" spans="1:2">
      <c r="A129" s="17"/>
      <c r="B129" s="18"/>
    </row>
    <row r="130" spans="1:2">
      <c r="A130" s="22" t="s">
        <v>1240</v>
      </c>
      <c r="B130" s="16" t="s">
        <v>1227</v>
      </c>
    </row>
    <row r="131" spans="1:2">
      <c r="A131" s="17"/>
      <c r="B131" s="18"/>
    </row>
    <row r="132" spans="1:2" ht="36">
      <c r="A132" s="22" t="s">
        <v>1241</v>
      </c>
      <c r="B132" s="16" t="s">
        <v>1228</v>
      </c>
    </row>
    <row r="133" spans="1:2">
      <c r="A133" s="17"/>
      <c r="B133" s="18"/>
    </row>
    <row r="134" spans="1:2" ht="36">
      <c r="A134" s="22" t="s">
        <v>1540</v>
      </c>
      <c r="B134" s="16" t="s">
        <v>1541</v>
      </c>
    </row>
    <row r="136" spans="1:2" ht="24">
      <c r="A136" s="22" t="s">
        <v>1616</v>
      </c>
      <c r="B136" s="234" t="s">
        <v>1617</v>
      </c>
    </row>
  </sheetData>
  <sheetProtection algorithmName="SHA-512" hashValue="PGT1/sRzlK4KABPCsnfMrrtjjfKZ//V8KMIa4nUEl9opPDW13LFCbBaMljGNcdJtJDdMt3CcYMFxW6rIVMKs/A==" saltValue="hBk8sYn4ZChndcSZi8EmRA==" spinCount="100000" sheet="1" objects="1" scenarios="1" sort="0" autoFilter="0"/>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activeCell="B6" sqref="B6:D6"/>
    </sheetView>
  </sheetViews>
  <sheetFormatPr defaultColWidth="9.140625" defaultRowHeight="15" customHeight="1"/>
  <cols>
    <col min="1" max="1" width="4.5703125" style="173" customWidth="1"/>
    <col min="2" max="2" width="148.140625" style="173" customWidth="1"/>
    <col min="3" max="3" width="125.42578125" style="173" customWidth="1"/>
    <col min="4" max="4" width="7.5703125" style="173" customWidth="1"/>
    <col min="5" max="5" width="29" style="173" bestFit="1" customWidth="1"/>
    <col min="6" max="6" width="5.7109375" style="173" customWidth="1"/>
    <col min="7" max="7" width="9.140625" style="173"/>
    <col min="8" max="8" width="17.85546875" style="173" bestFit="1" customWidth="1"/>
    <col min="9" max="11" width="9.140625" style="173"/>
    <col min="12" max="12" width="19.7109375" style="173" customWidth="1"/>
    <col min="13" max="16384" width="9.140625" style="173"/>
  </cols>
  <sheetData>
    <row r="1" spans="1:4" ht="15" customHeight="1">
      <c r="A1" s="294" t="s">
        <v>1615</v>
      </c>
      <c r="B1" s="295"/>
    </row>
    <row r="2" spans="1:4" ht="15" customHeight="1">
      <c r="A2" s="296"/>
      <c r="B2" s="297"/>
    </row>
    <row r="3" spans="1:4" ht="15" customHeight="1">
      <c r="B3" s="174" t="s">
        <v>1542</v>
      </c>
      <c r="C3" s="175"/>
      <c r="D3" s="175"/>
    </row>
    <row r="4" spans="1:4" ht="15" customHeight="1">
      <c r="A4" s="176" t="s">
        <v>1543</v>
      </c>
      <c r="B4" s="292" t="s">
        <v>1544</v>
      </c>
      <c r="C4" s="292"/>
      <c r="D4" s="292"/>
    </row>
    <row r="5" spans="1:4" ht="15" customHeight="1">
      <c r="A5" s="176" t="s">
        <v>1543</v>
      </c>
      <c r="B5" s="292" t="s">
        <v>1545</v>
      </c>
      <c r="C5" s="292" t="s">
        <v>1545</v>
      </c>
      <c r="D5" s="292" t="s">
        <v>1545</v>
      </c>
    </row>
    <row r="6" spans="1:4" ht="15" customHeight="1">
      <c r="A6" s="176" t="s">
        <v>1543</v>
      </c>
      <c r="B6" s="292" t="s">
        <v>1546</v>
      </c>
      <c r="C6" s="292" t="s">
        <v>1546</v>
      </c>
      <c r="D6" s="292" t="s">
        <v>1546</v>
      </c>
    </row>
    <row r="7" spans="1:4" ht="15" customHeight="1">
      <c r="A7" s="176" t="s">
        <v>1543</v>
      </c>
      <c r="B7" s="292" t="s">
        <v>1547</v>
      </c>
      <c r="C7" s="292" t="s">
        <v>1547</v>
      </c>
      <c r="D7" s="292" t="s">
        <v>1547</v>
      </c>
    </row>
    <row r="8" spans="1:4" ht="15" customHeight="1">
      <c r="A8" s="176" t="s">
        <v>1543</v>
      </c>
      <c r="B8" s="292" t="s">
        <v>1548</v>
      </c>
      <c r="C8" s="292" t="s">
        <v>1548</v>
      </c>
      <c r="D8" s="292" t="s">
        <v>1548</v>
      </c>
    </row>
    <row r="9" spans="1:4" ht="15" customHeight="1">
      <c r="A9" s="176" t="s">
        <v>1543</v>
      </c>
      <c r="B9" s="292" t="s">
        <v>1549</v>
      </c>
      <c r="C9" s="292" t="s">
        <v>1549</v>
      </c>
      <c r="D9" s="292" t="s">
        <v>1549</v>
      </c>
    </row>
    <row r="10" spans="1:4" ht="15" customHeight="1">
      <c r="A10" s="176" t="s">
        <v>1543</v>
      </c>
      <c r="B10" s="292" t="s">
        <v>1550</v>
      </c>
      <c r="C10" s="292" t="s">
        <v>1550</v>
      </c>
      <c r="D10" s="292" t="s">
        <v>1550</v>
      </c>
    </row>
    <row r="11" spans="1:4" ht="15" customHeight="1">
      <c r="A11" s="176" t="s">
        <v>1543</v>
      </c>
      <c r="B11" s="292" t="s">
        <v>1551</v>
      </c>
      <c r="C11" s="292" t="s">
        <v>1551</v>
      </c>
      <c r="D11" s="292" t="s">
        <v>1551</v>
      </c>
    </row>
    <row r="12" spans="1:4" ht="15" customHeight="1">
      <c r="A12" s="176" t="s">
        <v>1543</v>
      </c>
      <c r="B12" s="292" t="s">
        <v>1552</v>
      </c>
      <c r="C12" s="292" t="s">
        <v>1552</v>
      </c>
      <c r="D12" s="292" t="s">
        <v>1552</v>
      </c>
    </row>
    <row r="13" spans="1:4" ht="15" customHeight="1">
      <c r="A13" s="176" t="s">
        <v>1543</v>
      </c>
      <c r="B13" s="292" t="s">
        <v>1553</v>
      </c>
      <c r="C13" s="292" t="s">
        <v>1553</v>
      </c>
      <c r="D13" s="292" t="s">
        <v>1553</v>
      </c>
    </row>
    <row r="14" spans="1:4" ht="15" customHeight="1">
      <c r="A14" s="176" t="s">
        <v>1543</v>
      </c>
      <c r="B14" s="292" t="s">
        <v>1554</v>
      </c>
      <c r="C14" s="292" t="s">
        <v>1554</v>
      </c>
      <c r="D14" s="292" t="s">
        <v>1554</v>
      </c>
    </row>
    <row r="15" spans="1:4" ht="15" customHeight="1">
      <c r="A15" s="177"/>
      <c r="B15" s="178"/>
      <c r="C15" s="175"/>
      <c r="D15" s="175"/>
    </row>
    <row r="16" spans="1:4" ht="15" customHeight="1">
      <c r="A16" s="177"/>
      <c r="B16" s="179" t="s">
        <v>1556</v>
      </c>
      <c r="C16" s="175"/>
      <c r="D16" s="175"/>
    </row>
    <row r="17" spans="1:4" ht="15" customHeight="1">
      <c r="A17" s="176" t="s">
        <v>1543</v>
      </c>
      <c r="B17" s="292" t="s">
        <v>1557</v>
      </c>
      <c r="C17" s="292" t="s">
        <v>1557</v>
      </c>
      <c r="D17" s="292" t="s">
        <v>1557</v>
      </c>
    </row>
    <row r="18" spans="1:4" ht="15" customHeight="1">
      <c r="A18" s="176" t="s">
        <v>1543</v>
      </c>
      <c r="B18" s="292" t="s">
        <v>1558</v>
      </c>
      <c r="C18" s="292" t="s">
        <v>1558</v>
      </c>
      <c r="D18" s="292" t="s">
        <v>1558</v>
      </c>
    </row>
    <row r="19" spans="1:4" ht="15" customHeight="1">
      <c r="A19" s="176" t="s">
        <v>1543</v>
      </c>
      <c r="B19" s="292" t="s">
        <v>1559</v>
      </c>
      <c r="C19" s="292" t="s">
        <v>1559</v>
      </c>
      <c r="D19" s="292" t="s">
        <v>1559</v>
      </c>
    </row>
    <row r="20" spans="1:4" ht="15" customHeight="1">
      <c r="A20" s="176" t="s">
        <v>1543</v>
      </c>
      <c r="B20" s="292" t="s">
        <v>1553</v>
      </c>
      <c r="C20" s="292" t="s">
        <v>1553</v>
      </c>
      <c r="D20" s="292" t="s">
        <v>1553</v>
      </c>
    </row>
    <row r="21" spans="1:4" ht="15" customHeight="1">
      <c r="A21" s="176" t="s">
        <v>1543</v>
      </c>
      <c r="B21" s="292" t="s">
        <v>1560</v>
      </c>
      <c r="C21" s="292" t="s">
        <v>1560</v>
      </c>
      <c r="D21" s="292" t="s">
        <v>1560</v>
      </c>
    </row>
    <row r="22" spans="1:4" ht="15" customHeight="1">
      <c r="A22" s="176" t="s">
        <v>1543</v>
      </c>
      <c r="B22" s="292" t="s">
        <v>1561</v>
      </c>
      <c r="C22" s="292" t="s">
        <v>1561</v>
      </c>
      <c r="D22" s="292" t="s">
        <v>1561</v>
      </c>
    </row>
    <row r="23" spans="1:4" ht="15" customHeight="1">
      <c r="A23" s="176" t="s">
        <v>1543</v>
      </c>
      <c r="B23" s="292" t="s">
        <v>1562</v>
      </c>
      <c r="C23" s="292" t="s">
        <v>1562</v>
      </c>
      <c r="D23" s="292" t="s">
        <v>1562</v>
      </c>
    </row>
    <row r="24" spans="1:4" ht="15" customHeight="1">
      <c r="A24" s="177"/>
      <c r="B24" s="175"/>
      <c r="C24" s="175"/>
      <c r="D24" s="175"/>
    </row>
    <row r="25" spans="1:4" ht="15" customHeight="1">
      <c r="A25" s="177"/>
      <c r="B25" s="179" t="s">
        <v>1565</v>
      </c>
      <c r="C25" s="175"/>
      <c r="D25" s="175"/>
    </row>
    <row r="26" spans="1:4" ht="15" customHeight="1">
      <c r="A26" s="176" t="s">
        <v>1543</v>
      </c>
      <c r="B26" s="293" t="s">
        <v>1566</v>
      </c>
      <c r="C26" s="293" t="s">
        <v>1566</v>
      </c>
      <c r="D26" s="293" t="s">
        <v>1566</v>
      </c>
    </row>
    <row r="27" spans="1:4" ht="15" customHeight="1">
      <c r="A27" s="176" t="s">
        <v>1543</v>
      </c>
      <c r="B27" s="293" t="s">
        <v>1567</v>
      </c>
      <c r="C27" s="293" t="s">
        <v>1567</v>
      </c>
      <c r="D27" s="293" t="s">
        <v>1567</v>
      </c>
    </row>
    <row r="28" spans="1:4" ht="15" customHeight="1">
      <c r="A28" s="176" t="s">
        <v>1543</v>
      </c>
      <c r="B28" s="293" t="s">
        <v>1568</v>
      </c>
      <c r="C28" s="293" t="s">
        <v>1568</v>
      </c>
      <c r="D28" s="293" t="s">
        <v>1568</v>
      </c>
    </row>
    <row r="29" spans="1:4" ht="15" customHeight="1">
      <c r="A29" s="176" t="s">
        <v>1543</v>
      </c>
      <c r="B29" s="293" t="s">
        <v>1569</v>
      </c>
      <c r="C29" s="293" t="s">
        <v>1569</v>
      </c>
      <c r="D29" s="293" t="s">
        <v>1569</v>
      </c>
    </row>
    <row r="30" spans="1:4" ht="15" customHeight="1">
      <c r="A30" s="176" t="s">
        <v>1543</v>
      </c>
      <c r="B30" s="293" t="s">
        <v>1570</v>
      </c>
      <c r="C30" s="293" t="s">
        <v>1570</v>
      </c>
      <c r="D30" s="293" t="s">
        <v>1570</v>
      </c>
    </row>
    <row r="32" spans="1:4" ht="15" customHeight="1">
      <c r="A32" s="177"/>
      <c r="B32" s="179" t="s">
        <v>1614</v>
      </c>
      <c r="C32" s="175"/>
      <c r="D32" s="175"/>
    </row>
    <row r="33" spans="1:4" ht="15" customHeight="1">
      <c r="A33" s="176" t="s">
        <v>1543</v>
      </c>
      <c r="B33" s="292" t="s">
        <v>191</v>
      </c>
      <c r="C33" s="292" t="s">
        <v>1555</v>
      </c>
      <c r="D33" s="292" t="s">
        <v>1555</v>
      </c>
    </row>
    <row r="34" spans="1:4" ht="15" customHeight="1">
      <c r="A34" s="176" t="s">
        <v>1543</v>
      </c>
      <c r="B34" s="173" t="s">
        <v>1254</v>
      </c>
    </row>
  </sheetData>
  <sheetProtection algorithmName="SHA-512" hashValue="/5kUn6ByjKsfMY2P6qxTPzyCXWEI0nxW0Xoi6sXChi16qxhVjWcSB45SO0p1EX2ENYCNpt7iNSIagfuie7uJJw==" saltValue="PGoS+gg2FToyrPMAj7Fpbw==" spinCount="100000" sheet="1" objects="1" sort="0"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AA12" sqref="AA12"/>
    </sheetView>
  </sheetViews>
  <sheetFormatPr defaultColWidth="9.140625" defaultRowHeight="13.5"/>
  <cols>
    <col min="1" max="1" width="14.42578125" style="27" customWidth="1"/>
    <col min="2" max="2" width="26" style="9" bestFit="1" customWidth="1"/>
    <col min="3" max="3" width="16.140625" style="27" customWidth="1"/>
    <col min="4" max="4" width="25.85546875" style="9" bestFit="1" customWidth="1"/>
    <col min="5" max="5" width="14.85546875" style="27" bestFit="1" customWidth="1"/>
    <col min="6" max="6" width="16.42578125" style="27" customWidth="1"/>
    <col min="7" max="25" width="5.5703125" style="27" bestFit="1" customWidth="1"/>
    <col min="26" max="16384" width="9.140625" style="9"/>
  </cols>
  <sheetData>
    <row r="1" spans="1:25" ht="28.5">
      <c r="A1" s="214" t="s">
        <v>1255</v>
      </c>
    </row>
    <row r="2" spans="1:25" ht="15.75">
      <c r="G2" s="298" t="s">
        <v>254</v>
      </c>
      <c r="H2" s="298"/>
      <c r="I2" s="298"/>
      <c r="J2" s="298"/>
      <c r="K2" s="298"/>
      <c r="L2" s="298"/>
      <c r="M2" s="298"/>
      <c r="N2" s="298"/>
      <c r="O2" s="299" t="s">
        <v>255</v>
      </c>
      <c r="P2" s="299"/>
      <c r="Q2" s="299"/>
      <c r="R2" s="299"/>
      <c r="S2" s="299"/>
      <c r="T2" s="299"/>
      <c r="U2" s="299"/>
      <c r="V2" s="299"/>
      <c r="W2" s="300" t="s">
        <v>256</v>
      </c>
      <c r="X2" s="300"/>
      <c r="Y2" s="300"/>
    </row>
    <row r="3" spans="1:25" ht="30" customHeight="1">
      <c r="A3" s="215" t="s">
        <v>33</v>
      </c>
      <c r="B3" s="233" t="s">
        <v>135</v>
      </c>
      <c r="C3" s="215" t="s">
        <v>117</v>
      </c>
      <c r="D3" s="215" t="s">
        <v>277</v>
      </c>
      <c r="E3" s="215" t="s">
        <v>278</v>
      </c>
      <c r="F3" s="215" t="s">
        <v>1576</v>
      </c>
      <c r="G3" s="216" t="s">
        <v>257</v>
      </c>
      <c r="H3" s="216" t="s">
        <v>258</v>
      </c>
      <c r="I3" s="216" t="s">
        <v>259</v>
      </c>
      <c r="J3" s="216" t="s">
        <v>260</v>
      </c>
      <c r="K3" s="216" t="s">
        <v>261</v>
      </c>
      <c r="L3" s="216" t="s">
        <v>262</v>
      </c>
      <c r="M3" s="216" t="s">
        <v>263</v>
      </c>
      <c r="N3" s="216" t="s">
        <v>264</v>
      </c>
      <c r="O3" s="217" t="s">
        <v>265</v>
      </c>
      <c r="P3" s="217" t="s">
        <v>266</v>
      </c>
      <c r="Q3" s="217" t="s">
        <v>267</v>
      </c>
      <c r="R3" s="217" t="s">
        <v>268</v>
      </c>
      <c r="S3" s="217" t="s">
        <v>269</v>
      </c>
      <c r="T3" s="217" t="s">
        <v>270</v>
      </c>
      <c r="U3" s="217" t="s">
        <v>271</v>
      </c>
      <c r="V3" s="217" t="s">
        <v>272</v>
      </c>
      <c r="W3" s="218" t="s">
        <v>273</v>
      </c>
      <c r="X3" s="218" t="s">
        <v>274</v>
      </c>
      <c r="Y3" s="218" t="s">
        <v>275</v>
      </c>
    </row>
    <row r="4" spans="1:25">
      <c r="A4" s="219">
        <v>1</v>
      </c>
      <c r="B4" s="220" t="str">
        <f>VLOOKUP(Tabel10[[#This Row],[Code]],Ruimtegroepen[[Code]:[Ruimte omschrijving]],2,FALSE)</f>
        <v>Magazijnen/bergingen</v>
      </c>
      <c r="C4" s="221" t="s">
        <v>279</v>
      </c>
      <c r="D4" s="220" t="s">
        <v>29</v>
      </c>
      <c r="E4" s="221" t="s">
        <v>100</v>
      </c>
      <c r="F4" s="221" t="s">
        <v>280</v>
      </c>
      <c r="G4" s="222" t="s">
        <v>281</v>
      </c>
      <c r="H4" s="222" t="s">
        <v>281</v>
      </c>
      <c r="I4" s="222" t="s">
        <v>20</v>
      </c>
      <c r="J4" s="222" t="s">
        <v>15</v>
      </c>
      <c r="K4" s="222" t="s">
        <v>281</v>
      </c>
      <c r="L4" s="222" t="s">
        <v>281</v>
      </c>
      <c r="M4" s="222" t="s">
        <v>281</v>
      </c>
      <c r="N4" s="222" t="s">
        <v>2</v>
      </c>
      <c r="O4" s="223" t="s">
        <v>281</v>
      </c>
      <c r="P4" s="223" t="s">
        <v>281</v>
      </c>
      <c r="Q4" s="223" t="s">
        <v>281</v>
      </c>
      <c r="R4" s="223" t="s">
        <v>281</v>
      </c>
      <c r="S4" s="223" t="s">
        <v>2</v>
      </c>
      <c r="T4" s="223" t="s">
        <v>282</v>
      </c>
      <c r="U4" s="223" t="s">
        <v>282</v>
      </c>
      <c r="V4" s="223" t="s">
        <v>2</v>
      </c>
      <c r="W4" s="224" t="s">
        <v>281</v>
      </c>
      <c r="X4" s="224" t="s">
        <v>281</v>
      </c>
      <c r="Y4" s="225" t="s">
        <v>281</v>
      </c>
    </row>
    <row r="5" spans="1:25">
      <c r="A5" s="219">
        <v>1</v>
      </c>
      <c r="B5" s="220" t="str">
        <f>VLOOKUP(Tabel10[[#This Row],[Code]],Ruimtegroepen[[Code]:[Ruimte omschrijving]],2,FALSE)</f>
        <v>Magazijnen/bergingen</v>
      </c>
      <c r="C5" s="221" t="s">
        <v>279</v>
      </c>
      <c r="D5" s="220" t="s">
        <v>29</v>
      </c>
      <c r="E5" s="221" t="s">
        <v>99</v>
      </c>
      <c r="F5" s="221" t="s">
        <v>283</v>
      </c>
      <c r="G5" s="222" t="s">
        <v>20</v>
      </c>
      <c r="H5" s="222" t="s">
        <v>15</v>
      </c>
      <c r="I5" s="222" t="s">
        <v>281</v>
      </c>
      <c r="J5" s="222" t="s">
        <v>281</v>
      </c>
      <c r="K5" s="222" t="s">
        <v>281</v>
      </c>
      <c r="L5" s="222" t="s">
        <v>281</v>
      </c>
      <c r="M5" s="222" t="s">
        <v>281</v>
      </c>
      <c r="N5" s="222" t="s">
        <v>2</v>
      </c>
      <c r="O5" s="223" t="s">
        <v>281</v>
      </c>
      <c r="P5" s="223" t="s">
        <v>281</v>
      </c>
      <c r="Q5" s="223" t="s">
        <v>281</v>
      </c>
      <c r="R5" s="223" t="s">
        <v>281</v>
      </c>
      <c r="S5" s="223" t="s">
        <v>2</v>
      </c>
      <c r="T5" s="223" t="s">
        <v>282</v>
      </c>
      <c r="U5" s="223" t="s">
        <v>282</v>
      </c>
      <c r="V5" s="223" t="s">
        <v>2</v>
      </c>
      <c r="W5" s="224" t="s">
        <v>281</v>
      </c>
      <c r="X5" s="224" t="s">
        <v>281</v>
      </c>
      <c r="Y5" s="225" t="s">
        <v>281</v>
      </c>
    </row>
    <row r="6" spans="1:25">
      <c r="A6" s="219">
        <v>1</v>
      </c>
      <c r="B6" s="220" t="str">
        <f>VLOOKUP(Tabel10[[#This Row],[Code]],Ruimtegroepen[[Code]:[Ruimte omschrijving]],2,FALSE)</f>
        <v>Magazijnen/bergingen</v>
      </c>
      <c r="C6" s="221" t="s">
        <v>279</v>
      </c>
      <c r="D6" s="220" t="s">
        <v>29</v>
      </c>
      <c r="E6" s="221" t="s">
        <v>101</v>
      </c>
      <c r="F6" s="221" t="s">
        <v>284</v>
      </c>
      <c r="G6" s="226" t="s">
        <v>281</v>
      </c>
      <c r="H6" s="222" t="s">
        <v>281</v>
      </c>
      <c r="I6" s="222" t="s">
        <v>20</v>
      </c>
      <c r="J6" s="222" t="s">
        <v>15</v>
      </c>
      <c r="K6" s="222" t="s">
        <v>248</v>
      </c>
      <c r="L6" s="222" t="s">
        <v>281</v>
      </c>
      <c r="M6" s="222" t="s">
        <v>281</v>
      </c>
      <c r="N6" s="222" t="s">
        <v>2</v>
      </c>
      <c r="O6" s="223" t="s">
        <v>281</v>
      </c>
      <c r="P6" s="223" t="s">
        <v>281</v>
      </c>
      <c r="Q6" s="223" t="s">
        <v>281</v>
      </c>
      <c r="R6" s="223" t="s">
        <v>281</v>
      </c>
      <c r="S6" s="223" t="s">
        <v>2</v>
      </c>
      <c r="T6" s="223" t="s">
        <v>282</v>
      </c>
      <c r="U6" s="223" t="s">
        <v>282</v>
      </c>
      <c r="V6" s="223" t="s">
        <v>2</v>
      </c>
      <c r="W6" s="224" t="s">
        <v>281</v>
      </c>
      <c r="X6" s="224" t="s">
        <v>281</v>
      </c>
      <c r="Y6" s="225" t="s">
        <v>281</v>
      </c>
    </row>
    <row r="7" spans="1:25">
      <c r="A7" s="219">
        <v>1</v>
      </c>
      <c r="B7" s="220" t="str">
        <f>VLOOKUP(Tabel10[[#This Row],[Code]],Ruimtegroepen[[Code]:[Ruimte omschrijving]],2,FALSE)</f>
        <v>Magazijnen/bergingen</v>
      </c>
      <c r="C7" s="221" t="s">
        <v>279</v>
      </c>
      <c r="D7" s="220" t="s">
        <v>29</v>
      </c>
      <c r="E7" s="221" t="s">
        <v>102</v>
      </c>
      <c r="F7" s="221" t="s">
        <v>285</v>
      </c>
      <c r="G7" s="226" t="s">
        <v>281</v>
      </c>
      <c r="H7" s="222" t="s">
        <v>281</v>
      </c>
      <c r="I7" s="222" t="s">
        <v>20</v>
      </c>
      <c r="J7" s="222" t="s">
        <v>15</v>
      </c>
      <c r="K7" s="222" t="s">
        <v>248</v>
      </c>
      <c r="L7" s="222" t="s">
        <v>281</v>
      </c>
      <c r="M7" s="222" t="s">
        <v>281</v>
      </c>
      <c r="N7" s="222" t="s">
        <v>2</v>
      </c>
      <c r="O7" s="223" t="s">
        <v>281</v>
      </c>
      <c r="P7" s="223" t="s">
        <v>281</v>
      </c>
      <c r="Q7" s="223" t="s">
        <v>281</v>
      </c>
      <c r="R7" s="223" t="s">
        <v>281</v>
      </c>
      <c r="S7" s="223" t="s">
        <v>2</v>
      </c>
      <c r="T7" s="223" t="s">
        <v>282</v>
      </c>
      <c r="U7" s="223" t="s">
        <v>282</v>
      </c>
      <c r="V7" s="223" t="s">
        <v>2</v>
      </c>
      <c r="W7" s="224" t="s">
        <v>281</v>
      </c>
      <c r="X7" s="224" t="s">
        <v>281</v>
      </c>
      <c r="Y7" s="225" t="s">
        <v>281</v>
      </c>
    </row>
    <row r="8" spans="1:25">
      <c r="A8" s="227">
        <v>1</v>
      </c>
      <c r="B8" s="220" t="str">
        <f>VLOOKUP(Tabel10[[#This Row],[Code]],Ruimtegroepen[[Code]:[Ruimte omschrijving]],2,FALSE)</f>
        <v>Magazijnen/bergingen</v>
      </c>
      <c r="C8" s="221" t="s">
        <v>279</v>
      </c>
      <c r="D8" s="220" t="s">
        <v>29</v>
      </c>
      <c r="E8" s="221" t="s">
        <v>99</v>
      </c>
      <c r="F8" s="221" t="s">
        <v>283</v>
      </c>
      <c r="G8" s="228" t="s">
        <v>20</v>
      </c>
      <c r="H8" s="228" t="s">
        <v>15</v>
      </c>
      <c r="I8" s="222" t="s">
        <v>281</v>
      </c>
      <c r="J8" s="222" t="s">
        <v>281</v>
      </c>
      <c r="K8" s="222" t="s">
        <v>281</v>
      </c>
      <c r="L8" s="222" t="s">
        <v>281</v>
      </c>
      <c r="M8" s="222" t="s">
        <v>281</v>
      </c>
      <c r="N8" s="228" t="s">
        <v>2</v>
      </c>
      <c r="O8" s="229" t="s">
        <v>281</v>
      </c>
      <c r="P8" s="229" t="s">
        <v>281</v>
      </c>
      <c r="Q8" s="229" t="s">
        <v>281</v>
      </c>
      <c r="R8" s="229" t="s">
        <v>281</v>
      </c>
      <c r="S8" s="229" t="s">
        <v>2</v>
      </c>
      <c r="T8" s="229" t="s">
        <v>282</v>
      </c>
      <c r="U8" s="229" t="s">
        <v>282</v>
      </c>
      <c r="V8" s="229" t="s">
        <v>2</v>
      </c>
      <c r="W8" s="230" t="s">
        <v>281</v>
      </c>
      <c r="X8" s="230" t="s">
        <v>281</v>
      </c>
      <c r="Y8" s="231" t="s">
        <v>281</v>
      </c>
    </row>
    <row r="9" spans="1:25">
      <c r="A9" s="219">
        <v>1</v>
      </c>
      <c r="B9" s="220" t="str">
        <f>VLOOKUP(Tabel10[[#This Row],[Code]],Ruimtegroepen[[Code]:[Ruimte omschrijving]],2,FALSE)</f>
        <v>Magazijnen/bergingen</v>
      </c>
      <c r="C9" s="221" t="s">
        <v>279</v>
      </c>
      <c r="D9" s="220" t="s">
        <v>29</v>
      </c>
      <c r="E9" s="221" t="s">
        <v>1309</v>
      </c>
      <c r="F9" s="221" t="s">
        <v>1310</v>
      </c>
      <c r="G9" s="222" t="s">
        <v>281</v>
      </c>
      <c r="H9" s="222" t="s">
        <v>281</v>
      </c>
      <c r="I9" s="222" t="s">
        <v>20</v>
      </c>
      <c r="J9" s="222" t="s">
        <v>15</v>
      </c>
      <c r="K9" s="222" t="s">
        <v>248</v>
      </c>
      <c r="L9" s="222" t="s">
        <v>281</v>
      </c>
      <c r="M9" s="222" t="s">
        <v>281</v>
      </c>
      <c r="N9" s="222" t="s">
        <v>2</v>
      </c>
      <c r="O9" s="229" t="s">
        <v>281</v>
      </c>
      <c r="P9" s="229" t="s">
        <v>281</v>
      </c>
      <c r="Q9" s="229" t="s">
        <v>281</v>
      </c>
      <c r="R9" s="229" t="s">
        <v>281</v>
      </c>
      <c r="S9" s="229" t="s">
        <v>2</v>
      </c>
      <c r="T9" s="229" t="s">
        <v>282</v>
      </c>
      <c r="U9" s="229" t="s">
        <v>282</v>
      </c>
      <c r="V9" s="229" t="s">
        <v>2</v>
      </c>
      <c r="W9" s="230" t="s">
        <v>281</v>
      </c>
      <c r="X9" s="230" t="s">
        <v>281</v>
      </c>
      <c r="Y9" s="230" t="s">
        <v>281</v>
      </c>
    </row>
    <row r="10" spans="1:25">
      <c r="A10" s="219">
        <v>1</v>
      </c>
      <c r="B10" s="220" t="str">
        <f>VLOOKUP(Tabel10[[#This Row],[Code]],Ruimtegroepen[[Code]:[Ruimte omschrijving]],2,FALSE)</f>
        <v>Magazijnen/bergingen</v>
      </c>
      <c r="C10" s="221" t="s">
        <v>286</v>
      </c>
      <c r="D10" s="220" t="s">
        <v>1</v>
      </c>
      <c r="E10" s="221" t="s">
        <v>100</v>
      </c>
      <c r="F10" s="221" t="s">
        <v>287</v>
      </c>
      <c r="G10" s="226" t="s">
        <v>281</v>
      </c>
      <c r="H10" s="222" t="s">
        <v>281</v>
      </c>
      <c r="I10" s="222" t="s">
        <v>20</v>
      </c>
      <c r="J10" s="222" t="s">
        <v>15</v>
      </c>
      <c r="K10" s="222" t="s">
        <v>281</v>
      </c>
      <c r="L10" s="222" t="s">
        <v>281</v>
      </c>
      <c r="M10" s="222" t="s">
        <v>281</v>
      </c>
      <c r="N10" s="222" t="s">
        <v>281</v>
      </c>
      <c r="O10" s="223" t="s">
        <v>281</v>
      </c>
      <c r="P10" s="223" t="s">
        <v>281</v>
      </c>
      <c r="Q10" s="223" t="s">
        <v>281</v>
      </c>
      <c r="R10" s="223" t="s">
        <v>281</v>
      </c>
      <c r="S10" s="223" t="s">
        <v>2</v>
      </c>
      <c r="T10" s="223" t="s">
        <v>282</v>
      </c>
      <c r="U10" s="223" t="s">
        <v>282</v>
      </c>
      <c r="V10" s="223" t="s">
        <v>281</v>
      </c>
      <c r="W10" s="224" t="s">
        <v>281</v>
      </c>
      <c r="X10" s="224" t="s">
        <v>281</v>
      </c>
      <c r="Y10" s="225" t="s">
        <v>281</v>
      </c>
    </row>
    <row r="11" spans="1:25">
      <c r="A11" s="219">
        <v>1</v>
      </c>
      <c r="B11" s="220" t="str">
        <f>VLOOKUP(Tabel10[[#This Row],[Code]],Ruimtegroepen[[Code]:[Ruimte omschrijving]],2,FALSE)</f>
        <v>Magazijnen/bergingen</v>
      </c>
      <c r="C11" s="221" t="s">
        <v>286</v>
      </c>
      <c r="D11" s="220" t="s">
        <v>1</v>
      </c>
      <c r="E11" s="221" t="s">
        <v>99</v>
      </c>
      <c r="F11" s="221" t="s">
        <v>288</v>
      </c>
      <c r="G11" s="222" t="s">
        <v>20</v>
      </c>
      <c r="H11" s="222" t="s">
        <v>15</v>
      </c>
      <c r="I11" s="222" t="s">
        <v>281</v>
      </c>
      <c r="J11" s="222" t="s">
        <v>281</v>
      </c>
      <c r="K11" s="222" t="s">
        <v>281</v>
      </c>
      <c r="L11" s="222" t="s">
        <v>281</v>
      </c>
      <c r="M11" s="222" t="s">
        <v>281</v>
      </c>
      <c r="N11" s="222" t="s">
        <v>281</v>
      </c>
      <c r="O11" s="223" t="s">
        <v>281</v>
      </c>
      <c r="P11" s="223" t="s">
        <v>281</v>
      </c>
      <c r="Q11" s="223" t="s">
        <v>281</v>
      </c>
      <c r="R11" s="223" t="s">
        <v>281</v>
      </c>
      <c r="S11" s="223" t="s">
        <v>2</v>
      </c>
      <c r="T11" s="223" t="s">
        <v>282</v>
      </c>
      <c r="U11" s="223" t="s">
        <v>282</v>
      </c>
      <c r="V11" s="223" t="s">
        <v>281</v>
      </c>
      <c r="W11" s="224" t="s">
        <v>281</v>
      </c>
      <c r="X11" s="224" t="s">
        <v>281</v>
      </c>
      <c r="Y11" s="225" t="s">
        <v>281</v>
      </c>
    </row>
    <row r="12" spans="1:25">
      <c r="A12" s="219">
        <v>1</v>
      </c>
      <c r="B12" s="220" t="str">
        <f>VLOOKUP(Tabel10[[#This Row],[Code]],Ruimtegroepen[[Code]:[Ruimte omschrijving]],2,FALSE)</f>
        <v>Magazijnen/bergingen</v>
      </c>
      <c r="C12" s="221" t="s">
        <v>286</v>
      </c>
      <c r="D12" s="220" t="s">
        <v>1</v>
      </c>
      <c r="E12" s="221" t="s">
        <v>101</v>
      </c>
      <c r="F12" s="221" t="s">
        <v>289</v>
      </c>
      <c r="G12" s="226" t="s">
        <v>281</v>
      </c>
      <c r="H12" s="222" t="s">
        <v>281</v>
      </c>
      <c r="I12" s="222" t="s">
        <v>20</v>
      </c>
      <c r="J12" s="222" t="s">
        <v>15</v>
      </c>
      <c r="K12" s="222" t="s">
        <v>248</v>
      </c>
      <c r="L12" s="222" t="s">
        <v>281</v>
      </c>
      <c r="M12" s="222" t="s">
        <v>281</v>
      </c>
      <c r="N12" s="222" t="s">
        <v>281</v>
      </c>
      <c r="O12" s="223" t="s">
        <v>281</v>
      </c>
      <c r="P12" s="223" t="s">
        <v>281</v>
      </c>
      <c r="Q12" s="223" t="s">
        <v>281</v>
      </c>
      <c r="R12" s="223" t="s">
        <v>281</v>
      </c>
      <c r="S12" s="223" t="s">
        <v>2</v>
      </c>
      <c r="T12" s="223" t="s">
        <v>282</v>
      </c>
      <c r="U12" s="223" t="s">
        <v>282</v>
      </c>
      <c r="V12" s="223" t="s">
        <v>281</v>
      </c>
      <c r="W12" s="224" t="s">
        <v>281</v>
      </c>
      <c r="X12" s="224" t="s">
        <v>281</v>
      </c>
      <c r="Y12" s="225" t="s">
        <v>281</v>
      </c>
    </row>
    <row r="13" spans="1:25">
      <c r="A13" s="219">
        <v>1</v>
      </c>
      <c r="B13" s="220" t="str">
        <f>VLOOKUP(Tabel10[[#This Row],[Code]],Ruimtegroepen[[Code]:[Ruimte omschrijving]],2,FALSE)</f>
        <v>Magazijnen/bergingen</v>
      </c>
      <c r="C13" s="221" t="s">
        <v>286</v>
      </c>
      <c r="D13" s="220" t="s">
        <v>1</v>
      </c>
      <c r="E13" s="221" t="s">
        <v>102</v>
      </c>
      <c r="F13" s="221" t="s">
        <v>290</v>
      </c>
      <c r="G13" s="226" t="s">
        <v>281</v>
      </c>
      <c r="H13" s="222" t="s">
        <v>281</v>
      </c>
      <c r="I13" s="222" t="s">
        <v>20</v>
      </c>
      <c r="J13" s="222" t="s">
        <v>15</v>
      </c>
      <c r="K13" s="222" t="s">
        <v>248</v>
      </c>
      <c r="L13" s="222" t="s">
        <v>281</v>
      </c>
      <c r="M13" s="222" t="s">
        <v>281</v>
      </c>
      <c r="N13" s="222" t="s">
        <v>281</v>
      </c>
      <c r="O13" s="223" t="s">
        <v>281</v>
      </c>
      <c r="P13" s="223" t="s">
        <v>281</v>
      </c>
      <c r="Q13" s="223" t="s">
        <v>281</v>
      </c>
      <c r="R13" s="223" t="s">
        <v>281</v>
      </c>
      <c r="S13" s="223" t="s">
        <v>2</v>
      </c>
      <c r="T13" s="223" t="s">
        <v>282</v>
      </c>
      <c r="U13" s="223" t="s">
        <v>282</v>
      </c>
      <c r="V13" s="223" t="s">
        <v>281</v>
      </c>
      <c r="W13" s="224" t="s">
        <v>281</v>
      </c>
      <c r="X13" s="224" t="s">
        <v>281</v>
      </c>
      <c r="Y13" s="225" t="s">
        <v>281</v>
      </c>
    </row>
    <row r="14" spans="1:25">
      <c r="A14" s="219">
        <v>1</v>
      </c>
      <c r="B14" s="220" t="str">
        <f>VLOOKUP(Tabel10[[#This Row],[Code]],Ruimtegroepen[[Code]:[Ruimte omschrijving]],2,FALSE)</f>
        <v>Magazijnen/bergingen</v>
      </c>
      <c r="C14" s="221" t="s">
        <v>286</v>
      </c>
      <c r="D14" s="220" t="s">
        <v>1</v>
      </c>
      <c r="E14" s="221" t="s">
        <v>99</v>
      </c>
      <c r="F14" s="221" t="s">
        <v>288</v>
      </c>
      <c r="G14" s="222" t="s">
        <v>20</v>
      </c>
      <c r="H14" s="222" t="s">
        <v>15</v>
      </c>
      <c r="I14" s="222" t="s">
        <v>281</v>
      </c>
      <c r="J14" s="222" t="s">
        <v>281</v>
      </c>
      <c r="K14" s="222" t="s">
        <v>281</v>
      </c>
      <c r="L14" s="222" t="s">
        <v>281</v>
      </c>
      <c r="M14" s="222" t="s">
        <v>281</v>
      </c>
      <c r="N14" s="222" t="s">
        <v>281</v>
      </c>
      <c r="O14" s="223" t="s">
        <v>281</v>
      </c>
      <c r="P14" s="223" t="s">
        <v>281</v>
      </c>
      <c r="Q14" s="223" t="s">
        <v>281</v>
      </c>
      <c r="R14" s="223" t="s">
        <v>281</v>
      </c>
      <c r="S14" s="223" t="s">
        <v>2</v>
      </c>
      <c r="T14" s="223" t="s">
        <v>282</v>
      </c>
      <c r="U14" s="223" t="s">
        <v>282</v>
      </c>
      <c r="V14" s="223" t="s">
        <v>281</v>
      </c>
      <c r="W14" s="224" t="s">
        <v>281</v>
      </c>
      <c r="X14" s="224" t="s">
        <v>281</v>
      </c>
      <c r="Y14" s="225" t="s">
        <v>281</v>
      </c>
    </row>
    <row r="15" spans="1:25">
      <c r="A15" s="219">
        <v>1</v>
      </c>
      <c r="B15" s="220" t="str">
        <f>VLOOKUP(Tabel10[[#This Row],[Code]],Ruimtegroepen[[Code]:[Ruimte omschrijving]],2,FALSE)</f>
        <v>Magazijnen/bergingen</v>
      </c>
      <c r="C15" s="221" t="s">
        <v>286</v>
      </c>
      <c r="D15" s="220" t="s">
        <v>1</v>
      </c>
      <c r="E15" s="221" t="s">
        <v>1309</v>
      </c>
      <c r="F15" s="221" t="s">
        <v>1311</v>
      </c>
      <c r="G15" s="226" t="s">
        <v>281</v>
      </c>
      <c r="H15" s="222" t="s">
        <v>281</v>
      </c>
      <c r="I15" s="222" t="s">
        <v>20</v>
      </c>
      <c r="J15" s="222" t="s">
        <v>15</v>
      </c>
      <c r="K15" s="222" t="s">
        <v>248</v>
      </c>
      <c r="L15" s="222" t="s">
        <v>281</v>
      </c>
      <c r="M15" s="222" t="s">
        <v>281</v>
      </c>
      <c r="N15" s="222" t="s">
        <v>281</v>
      </c>
      <c r="O15" s="223" t="s">
        <v>281</v>
      </c>
      <c r="P15" s="223" t="s">
        <v>281</v>
      </c>
      <c r="Q15" s="223" t="s">
        <v>281</v>
      </c>
      <c r="R15" s="223" t="s">
        <v>281</v>
      </c>
      <c r="S15" s="223" t="s">
        <v>2</v>
      </c>
      <c r="T15" s="223" t="s">
        <v>282</v>
      </c>
      <c r="U15" s="223" t="s">
        <v>282</v>
      </c>
      <c r="V15" s="223" t="s">
        <v>281</v>
      </c>
      <c r="W15" s="224" t="s">
        <v>281</v>
      </c>
      <c r="X15" s="224" t="s">
        <v>281</v>
      </c>
      <c r="Y15" s="225" t="s">
        <v>281</v>
      </c>
    </row>
    <row r="16" spans="1:25">
      <c r="A16" s="219">
        <v>1</v>
      </c>
      <c r="B16" s="220" t="str">
        <f>VLOOKUP(Tabel10[[#This Row],[Code]],Ruimtegroepen[[Code]:[Ruimte omschrijving]],2,FALSE)</f>
        <v>Magazijnen/bergingen</v>
      </c>
      <c r="C16" s="221" t="s">
        <v>291</v>
      </c>
      <c r="D16" s="220" t="s">
        <v>21</v>
      </c>
      <c r="E16" s="221" t="s">
        <v>100</v>
      </c>
      <c r="F16" s="221" t="s">
        <v>292</v>
      </c>
      <c r="G16" s="226" t="s">
        <v>281</v>
      </c>
      <c r="H16" s="222" t="s">
        <v>281</v>
      </c>
      <c r="I16" s="222" t="s">
        <v>18</v>
      </c>
      <c r="J16" s="222" t="s">
        <v>15</v>
      </c>
      <c r="K16" s="222" t="s">
        <v>281</v>
      </c>
      <c r="L16" s="222" t="s">
        <v>281</v>
      </c>
      <c r="M16" s="222" t="s">
        <v>281</v>
      </c>
      <c r="N16" s="222" t="s">
        <v>281</v>
      </c>
      <c r="O16" s="223" t="s">
        <v>281</v>
      </c>
      <c r="P16" s="223" t="s">
        <v>281</v>
      </c>
      <c r="Q16" s="223" t="s">
        <v>281</v>
      </c>
      <c r="R16" s="223" t="s">
        <v>281</v>
      </c>
      <c r="S16" s="223" t="s">
        <v>20</v>
      </c>
      <c r="T16" s="223" t="s">
        <v>282</v>
      </c>
      <c r="U16" s="223" t="s">
        <v>282</v>
      </c>
      <c r="V16" s="223" t="s">
        <v>281</v>
      </c>
      <c r="W16" s="224" t="s">
        <v>281</v>
      </c>
      <c r="X16" s="224" t="s">
        <v>281</v>
      </c>
      <c r="Y16" s="225" t="s">
        <v>281</v>
      </c>
    </row>
    <row r="17" spans="1:25">
      <c r="A17" s="219">
        <v>1</v>
      </c>
      <c r="B17" s="220" t="str">
        <f>VLOOKUP(Tabel10[[#This Row],[Code]],Ruimtegroepen[[Code]:[Ruimte omschrijving]],2,FALSE)</f>
        <v>Magazijnen/bergingen</v>
      </c>
      <c r="C17" s="221" t="s">
        <v>291</v>
      </c>
      <c r="D17" s="220" t="s">
        <v>21</v>
      </c>
      <c r="E17" s="221" t="s">
        <v>99</v>
      </c>
      <c r="F17" s="221" t="s">
        <v>293</v>
      </c>
      <c r="G17" s="222" t="s">
        <v>18</v>
      </c>
      <c r="H17" s="222" t="s">
        <v>15</v>
      </c>
      <c r="I17" s="222" t="s">
        <v>281</v>
      </c>
      <c r="J17" s="222" t="s">
        <v>281</v>
      </c>
      <c r="K17" s="222" t="s">
        <v>281</v>
      </c>
      <c r="L17" s="222" t="s">
        <v>281</v>
      </c>
      <c r="M17" s="222" t="s">
        <v>281</v>
      </c>
      <c r="N17" s="222" t="s">
        <v>281</v>
      </c>
      <c r="O17" s="223" t="s">
        <v>281</v>
      </c>
      <c r="P17" s="223" t="s">
        <v>281</v>
      </c>
      <c r="Q17" s="223" t="s">
        <v>281</v>
      </c>
      <c r="R17" s="223" t="s">
        <v>281</v>
      </c>
      <c r="S17" s="223" t="s">
        <v>20</v>
      </c>
      <c r="T17" s="223" t="s">
        <v>282</v>
      </c>
      <c r="U17" s="223" t="s">
        <v>282</v>
      </c>
      <c r="V17" s="223" t="s">
        <v>281</v>
      </c>
      <c r="W17" s="224" t="s">
        <v>281</v>
      </c>
      <c r="X17" s="224" t="s">
        <v>281</v>
      </c>
      <c r="Y17" s="225" t="s">
        <v>281</v>
      </c>
    </row>
    <row r="18" spans="1:25">
      <c r="A18" s="219">
        <v>1</v>
      </c>
      <c r="B18" s="220" t="str">
        <f>VLOOKUP(Tabel10[[#This Row],[Code]],Ruimtegroepen[[Code]:[Ruimte omschrijving]],2,FALSE)</f>
        <v>Magazijnen/bergingen</v>
      </c>
      <c r="C18" s="221" t="s">
        <v>291</v>
      </c>
      <c r="D18" s="220" t="s">
        <v>21</v>
      </c>
      <c r="E18" s="221" t="s">
        <v>101</v>
      </c>
      <c r="F18" s="221" t="s">
        <v>294</v>
      </c>
      <c r="G18" s="226" t="s">
        <v>281</v>
      </c>
      <c r="H18" s="222" t="s">
        <v>281</v>
      </c>
      <c r="I18" s="222" t="s">
        <v>18</v>
      </c>
      <c r="J18" s="222" t="s">
        <v>15</v>
      </c>
      <c r="K18" s="222" t="s">
        <v>248</v>
      </c>
      <c r="L18" s="222" t="s">
        <v>281</v>
      </c>
      <c r="M18" s="222" t="s">
        <v>281</v>
      </c>
      <c r="N18" s="222" t="s">
        <v>281</v>
      </c>
      <c r="O18" s="223" t="s">
        <v>281</v>
      </c>
      <c r="P18" s="223" t="s">
        <v>281</v>
      </c>
      <c r="Q18" s="223" t="s">
        <v>281</v>
      </c>
      <c r="R18" s="223" t="s">
        <v>281</v>
      </c>
      <c r="S18" s="223" t="s">
        <v>20</v>
      </c>
      <c r="T18" s="223" t="s">
        <v>282</v>
      </c>
      <c r="U18" s="223" t="s">
        <v>282</v>
      </c>
      <c r="V18" s="223" t="s">
        <v>281</v>
      </c>
      <c r="W18" s="224" t="s">
        <v>281</v>
      </c>
      <c r="X18" s="224" t="s">
        <v>281</v>
      </c>
      <c r="Y18" s="225" t="s">
        <v>281</v>
      </c>
    </row>
    <row r="19" spans="1:25">
      <c r="A19" s="219">
        <v>1</v>
      </c>
      <c r="B19" s="220" t="str">
        <f>VLOOKUP(Tabel10[[#This Row],[Code]],Ruimtegroepen[[Code]:[Ruimte omschrijving]],2,FALSE)</f>
        <v>Magazijnen/bergingen</v>
      </c>
      <c r="C19" s="221" t="s">
        <v>291</v>
      </c>
      <c r="D19" s="220" t="s">
        <v>21</v>
      </c>
      <c r="E19" s="221" t="s">
        <v>102</v>
      </c>
      <c r="F19" s="221" t="s">
        <v>295</v>
      </c>
      <c r="G19" s="226" t="s">
        <v>281</v>
      </c>
      <c r="H19" s="222" t="s">
        <v>281</v>
      </c>
      <c r="I19" s="222" t="s">
        <v>18</v>
      </c>
      <c r="J19" s="222" t="s">
        <v>15</v>
      </c>
      <c r="K19" s="222" t="s">
        <v>248</v>
      </c>
      <c r="L19" s="222" t="s">
        <v>281</v>
      </c>
      <c r="M19" s="222" t="s">
        <v>281</v>
      </c>
      <c r="N19" s="222" t="s">
        <v>281</v>
      </c>
      <c r="O19" s="223" t="s">
        <v>281</v>
      </c>
      <c r="P19" s="223" t="s">
        <v>281</v>
      </c>
      <c r="Q19" s="223" t="s">
        <v>281</v>
      </c>
      <c r="R19" s="223" t="s">
        <v>281</v>
      </c>
      <c r="S19" s="223" t="s">
        <v>20</v>
      </c>
      <c r="T19" s="223" t="s">
        <v>282</v>
      </c>
      <c r="U19" s="223" t="s">
        <v>282</v>
      </c>
      <c r="V19" s="223" t="s">
        <v>281</v>
      </c>
      <c r="W19" s="224" t="s">
        <v>281</v>
      </c>
      <c r="X19" s="224" t="s">
        <v>281</v>
      </c>
      <c r="Y19" s="225" t="s">
        <v>281</v>
      </c>
    </row>
    <row r="20" spans="1:25">
      <c r="A20" s="219">
        <v>1</v>
      </c>
      <c r="B20" s="220" t="str">
        <f>VLOOKUP(Tabel10[[#This Row],[Code]],Ruimtegroepen[[Code]:[Ruimte omschrijving]],2,FALSE)</f>
        <v>Magazijnen/bergingen</v>
      </c>
      <c r="C20" s="221" t="s">
        <v>291</v>
      </c>
      <c r="D20" s="220" t="s">
        <v>21</v>
      </c>
      <c r="E20" s="221" t="s">
        <v>99</v>
      </c>
      <c r="F20" s="221" t="s">
        <v>293</v>
      </c>
      <c r="G20" s="222" t="s">
        <v>18</v>
      </c>
      <c r="H20" s="222" t="s">
        <v>15</v>
      </c>
      <c r="I20" s="222" t="s">
        <v>281</v>
      </c>
      <c r="J20" s="222" t="s">
        <v>281</v>
      </c>
      <c r="K20" s="222" t="s">
        <v>281</v>
      </c>
      <c r="L20" s="222" t="s">
        <v>281</v>
      </c>
      <c r="M20" s="222" t="s">
        <v>281</v>
      </c>
      <c r="N20" s="222" t="s">
        <v>281</v>
      </c>
      <c r="O20" s="223" t="s">
        <v>281</v>
      </c>
      <c r="P20" s="223" t="s">
        <v>281</v>
      </c>
      <c r="Q20" s="223" t="s">
        <v>281</v>
      </c>
      <c r="R20" s="223" t="s">
        <v>281</v>
      </c>
      <c r="S20" s="223" t="s">
        <v>20</v>
      </c>
      <c r="T20" s="223" t="s">
        <v>282</v>
      </c>
      <c r="U20" s="223" t="s">
        <v>282</v>
      </c>
      <c r="V20" s="223" t="s">
        <v>281</v>
      </c>
      <c r="W20" s="224" t="s">
        <v>281</v>
      </c>
      <c r="X20" s="224" t="s">
        <v>281</v>
      </c>
      <c r="Y20" s="225" t="s">
        <v>281</v>
      </c>
    </row>
    <row r="21" spans="1:25">
      <c r="A21" s="219">
        <v>1</v>
      </c>
      <c r="B21" s="220" t="str">
        <f>VLOOKUP(Tabel10[[#This Row],[Code]],Ruimtegroepen[[Code]:[Ruimte omschrijving]],2,FALSE)</f>
        <v>Magazijnen/bergingen</v>
      </c>
      <c r="C21" s="221" t="s">
        <v>291</v>
      </c>
      <c r="D21" s="220" t="s">
        <v>21</v>
      </c>
      <c r="E21" s="221" t="s">
        <v>1309</v>
      </c>
      <c r="F21" s="221" t="s">
        <v>1312</v>
      </c>
      <c r="G21" s="226" t="s">
        <v>281</v>
      </c>
      <c r="H21" s="222" t="s">
        <v>281</v>
      </c>
      <c r="I21" s="222" t="s">
        <v>18</v>
      </c>
      <c r="J21" s="222" t="s">
        <v>15</v>
      </c>
      <c r="K21" s="222" t="s">
        <v>248</v>
      </c>
      <c r="L21" s="222" t="s">
        <v>281</v>
      </c>
      <c r="M21" s="222" t="s">
        <v>281</v>
      </c>
      <c r="N21" s="222" t="s">
        <v>281</v>
      </c>
      <c r="O21" s="223" t="s">
        <v>281</v>
      </c>
      <c r="P21" s="223" t="s">
        <v>281</v>
      </c>
      <c r="Q21" s="223" t="s">
        <v>281</v>
      </c>
      <c r="R21" s="223" t="s">
        <v>281</v>
      </c>
      <c r="S21" s="223" t="s">
        <v>20</v>
      </c>
      <c r="T21" s="223" t="s">
        <v>282</v>
      </c>
      <c r="U21" s="223" t="s">
        <v>282</v>
      </c>
      <c r="V21" s="223" t="s">
        <v>281</v>
      </c>
      <c r="W21" s="224" t="s">
        <v>281</v>
      </c>
      <c r="X21" s="224" t="s">
        <v>281</v>
      </c>
      <c r="Y21" s="225" t="s">
        <v>281</v>
      </c>
    </row>
    <row r="22" spans="1:25">
      <c r="A22" s="219">
        <v>1</v>
      </c>
      <c r="B22" s="220" t="str">
        <f>VLOOKUP(Tabel10[[#This Row],[Code]],Ruimtegroepen[[Code]:[Ruimte omschrijving]],2,FALSE)</f>
        <v>Magazijnen/bergingen</v>
      </c>
      <c r="C22" s="221" t="s">
        <v>296</v>
      </c>
      <c r="D22" s="220" t="s">
        <v>12</v>
      </c>
      <c r="E22" s="221" t="s">
        <v>100</v>
      </c>
      <c r="F22" s="221" t="s">
        <v>297</v>
      </c>
      <c r="G22" s="226" t="s">
        <v>281</v>
      </c>
      <c r="H22" s="222" t="s">
        <v>281</v>
      </c>
      <c r="I22" s="222" t="s">
        <v>17</v>
      </c>
      <c r="J22" s="222" t="s">
        <v>15</v>
      </c>
      <c r="K22" s="222" t="s">
        <v>281</v>
      </c>
      <c r="L22" s="222" t="s">
        <v>281</v>
      </c>
      <c r="M22" s="222" t="s">
        <v>281</v>
      </c>
      <c r="N22" s="222" t="s">
        <v>281</v>
      </c>
      <c r="O22" s="223" t="s">
        <v>281</v>
      </c>
      <c r="P22" s="223" t="s">
        <v>281</v>
      </c>
      <c r="Q22" s="223" t="s">
        <v>281</v>
      </c>
      <c r="R22" s="223" t="s">
        <v>281</v>
      </c>
      <c r="S22" s="223" t="s">
        <v>18</v>
      </c>
      <c r="T22" s="223" t="s">
        <v>282</v>
      </c>
      <c r="U22" s="223" t="s">
        <v>282</v>
      </c>
      <c r="V22" s="223"/>
      <c r="W22" s="224" t="s">
        <v>281</v>
      </c>
      <c r="X22" s="224" t="s">
        <v>281</v>
      </c>
      <c r="Y22" s="225" t="s">
        <v>281</v>
      </c>
    </row>
    <row r="23" spans="1:25">
      <c r="A23" s="219">
        <v>1</v>
      </c>
      <c r="B23" s="220" t="str">
        <f>VLOOKUP(Tabel10[[#This Row],[Code]],Ruimtegroepen[[Code]:[Ruimte omschrijving]],2,FALSE)</f>
        <v>Magazijnen/bergingen</v>
      </c>
      <c r="C23" s="221" t="s">
        <v>296</v>
      </c>
      <c r="D23" s="220" t="s">
        <v>12</v>
      </c>
      <c r="E23" s="221" t="s">
        <v>99</v>
      </c>
      <c r="F23" s="221" t="s">
        <v>298</v>
      </c>
      <c r="G23" s="222" t="s">
        <v>17</v>
      </c>
      <c r="H23" s="222" t="s">
        <v>15</v>
      </c>
      <c r="I23" s="222" t="s">
        <v>281</v>
      </c>
      <c r="J23" s="222" t="s">
        <v>281</v>
      </c>
      <c r="K23" s="222" t="s">
        <v>281</v>
      </c>
      <c r="L23" s="222" t="s">
        <v>281</v>
      </c>
      <c r="M23" s="222" t="s">
        <v>281</v>
      </c>
      <c r="N23" s="222" t="s">
        <v>281</v>
      </c>
      <c r="O23" s="223" t="s">
        <v>281</v>
      </c>
      <c r="P23" s="223" t="s">
        <v>281</v>
      </c>
      <c r="Q23" s="223" t="s">
        <v>281</v>
      </c>
      <c r="R23" s="223" t="s">
        <v>281</v>
      </c>
      <c r="S23" s="223" t="s">
        <v>18</v>
      </c>
      <c r="T23" s="223" t="s">
        <v>282</v>
      </c>
      <c r="U23" s="223" t="s">
        <v>282</v>
      </c>
      <c r="V23" s="223" t="s">
        <v>281</v>
      </c>
      <c r="W23" s="224" t="s">
        <v>281</v>
      </c>
      <c r="X23" s="224" t="s">
        <v>281</v>
      </c>
      <c r="Y23" s="225" t="s">
        <v>281</v>
      </c>
    </row>
    <row r="24" spans="1:25">
      <c r="A24" s="219">
        <v>1</v>
      </c>
      <c r="B24" s="220" t="str">
        <f>VLOOKUP(Tabel10[[#This Row],[Code]],Ruimtegroepen[[Code]:[Ruimte omschrijving]],2,FALSE)</f>
        <v>Magazijnen/bergingen</v>
      </c>
      <c r="C24" s="221" t="s">
        <v>296</v>
      </c>
      <c r="D24" s="220" t="s">
        <v>12</v>
      </c>
      <c r="E24" s="221" t="s">
        <v>101</v>
      </c>
      <c r="F24" s="221" t="s">
        <v>299</v>
      </c>
      <c r="G24" s="226" t="s">
        <v>281</v>
      </c>
      <c r="H24" s="222" t="s">
        <v>281</v>
      </c>
      <c r="I24" s="222" t="s">
        <v>17</v>
      </c>
      <c r="J24" s="222" t="s">
        <v>15</v>
      </c>
      <c r="K24" s="222" t="s">
        <v>248</v>
      </c>
      <c r="L24" s="222" t="s">
        <v>281</v>
      </c>
      <c r="M24" s="222" t="s">
        <v>281</v>
      </c>
      <c r="N24" s="222" t="s">
        <v>281</v>
      </c>
      <c r="O24" s="223" t="s">
        <v>281</v>
      </c>
      <c r="P24" s="223" t="s">
        <v>281</v>
      </c>
      <c r="Q24" s="223" t="s">
        <v>281</v>
      </c>
      <c r="R24" s="223" t="s">
        <v>281</v>
      </c>
      <c r="S24" s="223" t="s">
        <v>18</v>
      </c>
      <c r="T24" s="223" t="s">
        <v>282</v>
      </c>
      <c r="U24" s="223" t="s">
        <v>282</v>
      </c>
      <c r="V24" s="223" t="s">
        <v>281</v>
      </c>
      <c r="W24" s="224" t="s">
        <v>281</v>
      </c>
      <c r="X24" s="224" t="s">
        <v>281</v>
      </c>
      <c r="Y24" s="225" t="s">
        <v>281</v>
      </c>
    </row>
    <row r="25" spans="1:25">
      <c r="A25" s="219">
        <v>1</v>
      </c>
      <c r="B25" s="220" t="str">
        <f>VLOOKUP(Tabel10[[#This Row],[Code]],Ruimtegroepen[[Code]:[Ruimte omschrijving]],2,FALSE)</f>
        <v>Magazijnen/bergingen</v>
      </c>
      <c r="C25" s="221" t="s">
        <v>296</v>
      </c>
      <c r="D25" s="220" t="s">
        <v>12</v>
      </c>
      <c r="E25" s="221" t="s">
        <v>102</v>
      </c>
      <c r="F25" s="221" t="s">
        <v>300</v>
      </c>
      <c r="G25" s="226" t="s">
        <v>281</v>
      </c>
      <c r="H25" s="222" t="s">
        <v>281</v>
      </c>
      <c r="I25" s="222" t="s">
        <v>17</v>
      </c>
      <c r="J25" s="222" t="s">
        <v>15</v>
      </c>
      <c r="K25" s="222" t="s">
        <v>248</v>
      </c>
      <c r="L25" s="222" t="s">
        <v>281</v>
      </c>
      <c r="M25" s="222" t="s">
        <v>281</v>
      </c>
      <c r="N25" s="222" t="s">
        <v>281</v>
      </c>
      <c r="O25" s="223" t="s">
        <v>281</v>
      </c>
      <c r="P25" s="223" t="s">
        <v>281</v>
      </c>
      <c r="Q25" s="223" t="s">
        <v>281</v>
      </c>
      <c r="R25" s="223" t="s">
        <v>281</v>
      </c>
      <c r="S25" s="223" t="s">
        <v>18</v>
      </c>
      <c r="T25" s="223" t="s">
        <v>282</v>
      </c>
      <c r="U25" s="223" t="s">
        <v>282</v>
      </c>
      <c r="V25" s="223" t="s">
        <v>281</v>
      </c>
      <c r="W25" s="224" t="s">
        <v>281</v>
      </c>
      <c r="X25" s="224" t="s">
        <v>281</v>
      </c>
      <c r="Y25" s="225" t="s">
        <v>281</v>
      </c>
    </row>
    <row r="26" spans="1:25">
      <c r="A26" s="219">
        <v>1</v>
      </c>
      <c r="B26" s="220" t="str">
        <f>VLOOKUP(Tabel10[[#This Row],[Code]],Ruimtegroepen[[Code]:[Ruimte omschrijving]],2,FALSE)</f>
        <v>Magazijnen/bergingen</v>
      </c>
      <c r="C26" s="221" t="s">
        <v>296</v>
      </c>
      <c r="D26" s="220" t="s">
        <v>12</v>
      </c>
      <c r="E26" s="221" t="s">
        <v>99</v>
      </c>
      <c r="F26" s="221" t="s">
        <v>298</v>
      </c>
      <c r="G26" s="222" t="s">
        <v>17</v>
      </c>
      <c r="H26" s="222" t="s">
        <v>15</v>
      </c>
      <c r="I26" s="222" t="s">
        <v>281</v>
      </c>
      <c r="J26" s="222" t="s">
        <v>281</v>
      </c>
      <c r="K26" s="222" t="s">
        <v>281</v>
      </c>
      <c r="L26" s="222" t="s">
        <v>281</v>
      </c>
      <c r="M26" s="222" t="s">
        <v>281</v>
      </c>
      <c r="N26" s="222" t="s">
        <v>281</v>
      </c>
      <c r="O26" s="223" t="s">
        <v>281</v>
      </c>
      <c r="P26" s="223" t="s">
        <v>281</v>
      </c>
      <c r="Q26" s="223" t="s">
        <v>281</v>
      </c>
      <c r="R26" s="223" t="s">
        <v>281</v>
      </c>
      <c r="S26" s="223" t="s">
        <v>18</v>
      </c>
      <c r="T26" s="223" t="s">
        <v>282</v>
      </c>
      <c r="U26" s="223" t="s">
        <v>282</v>
      </c>
      <c r="V26" s="223" t="s">
        <v>281</v>
      </c>
      <c r="W26" s="224" t="s">
        <v>281</v>
      </c>
      <c r="X26" s="224" t="s">
        <v>281</v>
      </c>
      <c r="Y26" s="225" t="s">
        <v>281</v>
      </c>
    </row>
    <row r="27" spans="1:25">
      <c r="A27" s="219">
        <v>1</v>
      </c>
      <c r="B27" s="220" t="str">
        <f>VLOOKUP(Tabel10[[#This Row],[Code]],Ruimtegroepen[[Code]:[Ruimte omschrijving]],2,FALSE)</f>
        <v>Magazijnen/bergingen</v>
      </c>
      <c r="C27" s="221" t="s">
        <v>296</v>
      </c>
      <c r="D27" s="220" t="s">
        <v>12</v>
      </c>
      <c r="E27" s="221" t="s">
        <v>1309</v>
      </c>
      <c r="F27" s="221" t="s">
        <v>1313</v>
      </c>
      <c r="G27" s="226" t="s">
        <v>281</v>
      </c>
      <c r="H27" s="222" t="s">
        <v>281</v>
      </c>
      <c r="I27" s="222" t="s">
        <v>17</v>
      </c>
      <c r="J27" s="222" t="s">
        <v>15</v>
      </c>
      <c r="K27" s="222" t="s">
        <v>248</v>
      </c>
      <c r="L27" s="222" t="s">
        <v>281</v>
      </c>
      <c r="M27" s="222" t="s">
        <v>281</v>
      </c>
      <c r="N27" s="222" t="s">
        <v>281</v>
      </c>
      <c r="O27" s="223" t="s">
        <v>281</v>
      </c>
      <c r="P27" s="223" t="s">
        <v>281</v>
      </c>
      <c r="Q27" s="223" t="s">
        <v>281</v>
      </c>
      <c r="R27" s="223" t="s">
        <v>281</v>
      </c>
      <c r="S27" s="223" t="s">
        <v>18</v>
      </c>
      <c r="T27" s="223" t="s">
        <v>282</v>
      </c>
      <c r="U27" s="223" t="s">
        <v>282</v>
      </c>
      <c r="V27" s="223" t="s">
        <v>281</v>
      </c>
      <c r="W27" s="224" t="s">
        <v>281</v>
      </c>
      <c r="X27" s="224" t="s">
        <v>281</v>
      </c>
      <c r="Y27" s="225" t="s">
        <v>281</v>
      </c>
    </row>
    <row r="28" spans="1:25">
      <c r="A28" s="219">
        <v>1</v>
      </c>
      <c r="B28" s="220" t="str">
        <f>VLOOKUP(Tabel10[[#This Row],[Code]],Ruimtegroepen[[Code]:[Ruimte omschrijving]],2,FALSE)</f>
        <v>Magazijnen/bergingen</v>
      </c>
      <c r="C28" s="221" t="s">
        <v>301</v>
      </c>
      <c r="D28" s="220" t="s">
        <v>14</v>
      </c>
      <c r="E28" s="221" t="s">
        <v>100</v>
      </c>
      <c r="F28" s="221" t="s">
        <v>302</v>
      </c>
      <c r="G28" s="226" t="s">
        <v>281</v>
      </c>
      <c r="H28" s="222" t="s">
        <v>281</v>
      </c>
      <c r="I28" s="222" t="s">
        <v>15</v>
      </c>
      <c r="J28" s="222" t="s">
        <v>15</v>
      </c>
      <c r="K28" s="222" t="s">
        <v>281</v>
      </c>
      <c r="L28" s="222" t="s">
        <v>281</v>
      </c>
      <c r="M28" s="222" t="s">
        <v>281</v>
      </c>
      <c r="N28" s="222" t="s">
        <v>281</v>
      </c>
      <c r="O28" s="223" t="s">
        <v>281</v>
      </c>
      <c r="P28" s="223" t="s">
        <v>281</v>
      </c>
      <c r="Q28" s="223" t="s">
        <v>281</v>
      </c>
      <c r="R28" s="223" t="s">
        <v>281</v>
      </c>
      <c r="S28" s="223" t="s">
        <v>17</v>
      </c>
      <c r="T28" s="223" t="s">
        <v>282</v>
      </c>
      <c r="U28" s="223" t="s">
        <v>282</v>
      </c>
      <c r="V28" s="223" t="s">
        <v>281</v>
      </c>
      <c r="W28" s="224" t="s">
        <v>281</v>
      </c>
      <c r="X28" s="224" t="s">
        <v>281</v>
      </c>
      <c r="Y28" s="225" t="s">
        <v>281</v>
      </c>
    </row>
    <row r="29" spans="1:25">
      <c r="A29" s="219">
        <v>1</v>
      </c>
      <c r="B29" s="220" t="str">
        <f>VLOOKUP(Tabel10[[#This Row],[Code]],Ruimtegroepen[[Code]:[Ruimte omschrijving]],2,FALSE)</f>
        <v>Magazijnen/bergingen</v>
      </c>
      <c r="C29" s="221" t="s">
        <v>301</v>
      </c>
      <c r="D29" s="220" t="s">
        <v>14</v>
      </c>
      <c r="E29" s="221" t="s">
        <v>99</v>
      </c>
      <c r="F29" s="221" t="s">
        <v>303</v>
      </c>
      <c r="G29" s="222" t="s">
        <v>15</v>
      </c>
      <c r="H29" s="222" t="s">
        <v>15</v>
      </c>
      <c r="I29" s="222" t="s">
        <v>281</v>
      </c>
      <c r="J29" s="222" t="s">
        <v>281</v>
      </c>
      <c r="K29" s="222" t="s">
        <v>281</v>
      </c>
      <c r="L29" s="222" t="s">
        <v>281</v>
      </c>
      <c r="M29" s="222" t="s">
        <v>281</v>
      </c>
      <c r="N29" s="222" t="s">
        <v>281</v>
      </c>
      <c r="O29" s="223" t="s">
        <v>281</v>
      </c>
      <c r="P29" s="223" t="s">
        <v>281</v>
      </c>
      <c r="Q29" s="223" t="s">
        <v>281</v>
      </c>
      <c r="R29" s="223" t="s">
        <v>281</v>
      </c>
      <c r="S29" s="223" t="s">
        <v>17</v>
      </c>
      <c r="T29" s="223" t="s">
        <v>282</v>
      </c>
      <c r="U29" s="223" t="s">
        <v>282</v>
      </c>
      <c r="V29" s="223" t="s">
        <v>281</v>
      </c>
      <c r="W29" s="224" t="s">
        <v>281</v>
      </c>
      <c r="X29" s="224" t="s">
        <v>281</v>
      </c>
      <c r="Y29" s="225" t="s">
        <v>281</v>
      </c>
    </row>
    <row r="30" spans="1:25">
      <c r="A30" s="219">
        <v>1</v>
      </c>
      <c r="B30" s="220" t="str">
        <f>VLOOKUP(Tabel10[[#This Row],[Code]],Ruimtegroepen[[Code]:[Ruimte omschrijving]],2,FALSE)</f>
        <v>Magazijnen/bergingen</v>
      </c>
      <c r="C30" s="221" t="s">
        <v>301</v>
      </c>
      <c r="D30" s="220" t="s">
        <v>14</v>
      </c>
      <c r="E30" s="221" t="s">
        <v>101</v>
      </c>
      <c r="F30" s="221" t="s">
        <v>304</v>
      </c>
      <c r="G30" s="226" t="s">
        <v>281</v>
      </c>
      <c r="H30" s="222" t="s">
        <v>281</v>
      </c>
      <c r="I30" s="222" t="s">
        <v>15</v>
      </c>
      <c r="J30" s="222" t="s">
        <v>15</v>
      </c>
      <c r="K30" s="222" t="s">
        <v>248</v>
      </c>
      <c r="L30" s="222" t="s">
        <v>281</v>
      </c>
      <c r="M30" s="222" t="s">
        <v>281</v>
      </c>
      <c r="N30" s="222" t="s">
        <v>281</v>
      </c>
      <c r="O30" s="223" t="s">
        <v>281</v>
      </c>
      <c r="P30" s="223" t="s">
        <v>281</v>
      </c>
      <c r="Q30" s="223" t="s">
        <v>281</v>
      </c>
      <c r="R30" s="223" t="s">
        <v>281</v>
      </c>
      <c r="S30" s="223" t="s">
        <v>17</v>
      </c>
      <c r="T30" s="223" t="s">
        <v>282</v>
      </c>
      <c r="U30" s="223" t="s">
        <v>282</v>
      </c>
      <c r="V30" s="223" t="s">
        <v>281</v>
      </c>
      <c r="W30" s="224" t="s">
        <v>281</v>
      </c>
      <c r="X30" s="224" t="s">
        <v>281</v>
      </c>
      <c r="Y30" s="225" t="s">
        <v>281</v>
      </c>
    </row>
    <row r="31" spans="1:25">
      <c r="A31" s="219">
        <v>1</v>
      </c>
      <c r="B31" s="220" t="str">
        <f>VLOOKUP(Tabel10[[#This Row],[Code]],Ruimtegroepen[[Code]:[Ruimte omschrijving]],2,FALSE)</f>
        <v>Magazijnen/bergingen</v>
      </c>
      <c r="C31" s="221" t="s">
        <v>301</v>
      </c>
      <c r="D31" s="220" t="s">
        <v>14</v>
      </c>
      <c r="E31" s="221" t="s">
        <v>102</v>
      </c>
      <c r="F31" s="221" t="s">
        <v>305</v>
      </c>
      <c r="G31" s="226" t="s">
        <v>281</v>
      </c>
      <c r="H31" s="222" t="s">
        <v>281</v>
      </c>
      <c r="I31" s="222" t="s">
        <v>15</v>
      </c>
      <c r="J31" s="222" t="s">
        <v>15</v>
      </c>
      <c r="K31" s="222" t="s">
        <v>248</v>
      </c>
      <c r="L31" s="222" t="s">
        <v>281</v>
      </c>
      <c r="M31" s="222" t="s">
        <v>281</v>
      </c>
      <c r="N31" s="222" t="s">
        <v>281</v>
      </c>
      <c r="O31" s="223" t="s">
        <v>281</v>
      </c>
      <c r="P31" s="223" t="s">
        <v>281</v>
      </c>
      <c r="Q31" s="223" t="s">
        <v>281</v>
      </c>
      <c r="R31" s="223" t="s">
        <v>281</v>
      </c>
      <c r="S31" s="223" t="s">
        <v>17</v>
      </c>
      <c r="T31" s="223" t="s">
        <v>282</v>
      </c>
      <c r="U31" s="223" t="s">
        <v>282</v>
      </c>
      <c r="V31" s="223" t="s">
        <v>281</v>
      </c>
      <c r="W31" s="224" t="s">
        <v>281</v>
      </c>
      <c r="X31" s="224" t="s">
        <v>281</v>
      </c>
      <c r="Y31" s="225" t="s">
        <v>281</v>
      </c>
    </row>
    <row r="32" spans="1:25">
      <c r="A32" s="219">
        <v>1</v>
      </c>
      <c r="B32" s="220" t="str">
        <f>VLOOKUP(Tabel10[[#This Row],[Code]],Ruimtegroepen[[Code]:[Ruimte omschrijving]],2,FALSE)</f>
        <v>Magazijnen/bergingen</v>
      </c>
      <c r="C32" s="221" t="s">
        <v>301</v>
      </c>
      <c r="D32" s="220" t="s">
        <v>14</v>
      </c>
      <c r="E32" s="221" t="s">
        <v>99</v>
      </c>
      <c r="F32" s="221" t="s">
        <v>303</v>
      </c>
      <c r="G32" s="222" t="s">
        <v>15</v>
      </c>
      <c r="H32" s="222" t="s">
        <v>15</v>
      </c>
      <c r="I32" s="222" t="s">
        <v>281</v>
      </c>
      <c r="J32" s="222" t="s">
        <v>281</v>
      </c>
      <c r="K32" s="222" t="s">
        <v>281</v>
      </c>
      <c r="L32" s="222" t="s">
        <v>281</v>
      </c>
      <c r="M32" s="222" t="s">
        <v>281</v>
      </c>
      <c r="N32" s="222" t="s">
        <v>281</v>
      </c>
      <c r="O32" s="223" t="s">
        <v>281</v>
      </c>
      <c r="P32" s="223" t="s">
        <v>281</v>
      </c>
      <c r="Q32" s="223" t="s">
        <v>281</v>
      </c>
      <c r="R32" s="223" t="s">
        <v>281</v>
      </c>
      <c r="S32" s="223" t="s">
        <v>17</v>
      </c>
      <c r="T32" s="223" t="s">
        <v>282</v>
      </c>
      <c r="U32" s="223" t="s">
        <v>282</v>
      </c>
      <c r="V32" s="223" t="s">
        <v>281</v>
      </c>
      <c r="W32" s="224" t="s">
        <v>281</v>
      </c>
      <c r="X32" s="224" t="s">
        <v>281</v>
      </c>
      <c r="Y32" s="225" t="s">
        <v>281</v>
      </c>
    </row>
    <row r="33" spans="1:25">
      <c r="A33" s="219">
        <v>1</v>
      </c>
      <c r="B33" s="220" t="str">
        <f>VLOOKUP(Tabel10[[#This Row],[Code]],Ruimtegroepen[[Code]:[Ruimte omschrijving]],2,FALSE)</f>
        <v>Magazijnen/bergingen</v>
      </c>
      <c r="C33" s="221" t="s">
        <v>301</v>
      </c>
      <c r="D33" s="220" t="s">
        <v>14</v>
      </c>
      <c r="E33" s="221" t="s">
        <v>1309</v>
      </c>
      <c r="F33" s="221" t="s">
        <v>1314</v>
      </c>
      <c r="G33" s="226" t="s">
        <v>281</v>
      </c>
      <c r="H33" s="222" t="s">
        <v>281</v>
      </c>
      <c r="I33" s="222" t="s">
        <v>15</v>
      </c>
      <c r="J33" s="222" t="s">
        <v>15</v>
      </c>
      <c r="K33" s="222" t="s">
        <v>248</v>
      </c>
      <c r="L33" s="222" t="s">
        <v>281</v>
      </c>
      <c r="M33" s="222" t="s">
        <v>281</v>
      </c>
      <c r="N33" s="222" t="s">
        <v>281</v>
      </c>
      <c r="O33" s="223" t="s">
        <v>281</v>
      </c>
      <c r="P33" s="223" t="s">
        <v>281</v>
      </c>
      <c r="Q33" s="223" t="s">
        <v>281</v>
      </c>
      <c r="R33" s="223" t="s">
        <v>281</v>
      </c>
      <c r="S33" s="223" t="s">
        <v>17</v>
      </c>
      <c r="T33" s="223" t="s">
        <v>282</v>
      </c>
      <c r="U33" s="223" t="s">
        <v>282</v>
      </c>
      <c r="V33" s="223" t="s">
        <v>281</v>
      </c>
      <c r="W33" s="224" t="s">
        <v>281</v>
      </c>
      <c r="X33" s="224" t="s">
        <v>281</v>
      </c>
      <c r="Y33" s="225" t="s">
        <v>281</v>
      </c>
    </row>
    <row r="34" spans="1:25">
      <c r="A34" s="219">
        <v>1</v>
      </c>
      <c r="B34" s="220" t="str">
        <f>VLOOKUP(Tabel10[[#This Row],[Code]],Ruimtegroepen[[Code]:[Ruimte omschrijving]],2,FALSE)</f>
        <v>Magazijnen/bergingen</v>
      </c>
      <c r="C34" s="221" t="s">
        <v>306</v>
      </c>
      <c r="D34" s="220" t="s">
        <v>13</v>
      </c>
      <c r="E34" s="221" t="s">
        <v>100</v>
      </c>
      <c r="F34" s="221" t="s">
        <v>307</v>
      </c>
      <c r="G34" s="226" t="s">
        <v>281</v>
      </c>
      <c r="H34" s="222" t="s">
        <v>281</v>
      </c>
      <c r="I34" s="222" t="s">
        <v>15</v>
      </c>
      <c r="J34" s="222" t="s">
        <v>15</v>
      </c>
      <c r="K34" s="222" t="s">
        <v>281</v>
      </c>
      <c r="L34" s="222" t="s">
        <v>281</v>
      </c>
      <c r="M34" s="222" t="s">
        <v>281</v>
      </c>
      <c r="N34" s="222" t="s">
        <v>281</v>
      </c>
      <c r="O34" s="223" t="s">
        <v>281</v>
      </c>
      <c r="P34" s="223" t="s">
        <v>281</v>
      </c>
      <c r="Q34" s="223" t="s">
        <v>281</v>
      </c>
      <c r="R34" s="223" t="s">
        <v>281</v>
      </c>
      <c r="S34" s="223" t="s">
        <v>15</v>
      </c>
      <c r="T34" s="223" t="s">
        <v>282</v>
      </c>
      <c r="U34" s="223" t="s">
        <v>282</v>
      </c>
      <c r="V34" s="223" t="s">
        <v>281</v>
      </c>
      <c r="W34" s="224" t="s">
        <v>281</v>
      </c>
      <c r="X34" s="224" t="s">
        <v>281</v>
      </c>
      <c r="Y34" s="225" t="s">
        <v>281</v>
      </c>
    </row>
    <row r="35" spans="1:25">
      <c r="A35" s="219">
        <v>1</v>
      </c>
      <c r="B35" s="220" t="str">
        <f>VLOOKUP(Tabel10[[#This Row],[Code]],Ruimtegroepen[[Code]:[Ruimte omschrijving]],2,FALSE)</f>
        <v>Magazijnen/bergingen</v>
      </c>
      <c r="C35" s="221" t="s">
        <v>306</v>
      </c>
      <c r="D35" s="220" t="s">
        <v>13</v>
      </c>
      <c r="E35" s="221" t="s">
        <v>99</v>
      </c>
      <c r="F35" s="221" t="s">
        <v>308</v>
      </c>
      <c r="G35" s="226" t="s">
        <v>281</v>
      </c>
      <c r="H35" s="222" t="s">
        <v>15</v>
      </c>
      <c r="I35" s="222" t="s">
        <v>281</v>
      </c>
      <c r="J35" s="222" t="s">
        <v>281</v>
      </c>
      <c r="K35" s="222" t="s">
        <v>281</v>
      </c>
      <c r="L35" s="222" t="s">
        <v>281</v>
      </c>
      <c r="M35" s="222" t="s">
        <v>281</v>
      </c>
      <c r="N35" s="222" t="s">
        <v>281</v>
      </c>
      <c r="O35" s="223" t="s">
        <v>281</v>
      </c>
      <c r="P35" s="223" t="s">
        <v>281</v>
      </c>
      <c r="Q35" s="223" t="s">
        <v>281</v>
      </c>
      <c r="R35" s="223" t="s">
        <v>281</v>
      </c>
      <c r="S35" s="223" t="s">
        <v>15</v>
      </c>
      <c r="T35" s="223" t="s">
        <v>282</v>
      </c>
      <c r="U35" s="223" t="s">
        <v>282</v>
      </c>
      <c r="V35" s="223" t="s">
        <v>281</v>
      </c>
      <c r="W35" s="224" t="s">
        <v>281</v>
      </c>
      <c r="X35" s="224" t="s">
        <v>281</v>
      </c>
      <c r="Y35" s="225" t="s">
        <v>281</v>
      </c>
    </row>
    <row r="36" spans="1:25">
      <c r="A36" s="219">
        <v>1</v>
      </c>
      <c r="B36" s="220" t="str">
        <f>VLOOKUP(Tabel10[[#This Row],[Code]],Ruimtegroepen[[Code]:[Ruimte omschrijving]],2,FALSE)</f>
        <v>Magazijnen/bergingen</v>
      </c>
      <c r="C36" s="221" t="s">
        <v>306</v>
      </c>
      <c r="D36" s="220" t="s">
        <v>13</v>
      </c>
      <c r="E36" s="221" t="s">
        <v>101</v>
      </c>
      <c r="F36" s="221" t="s">
        <v>309</v>
      </c>
      <c r="G36" s="226" t="s">
        <v>281</v>
      </c>
      <c r="H36" s="222" t="s">
        <v>281</v>
      </c>
      <c r="I36" s="222" t="s">
        <v>281</v>
      </c>
      <c r="J36" s="222" t="s">
        <v>15</v>
      </c>
      <c r="K36" s="222" t="s">
        <v>248</v>
      </c>
      <c r="L36" s="222" t="s">
        <v>281</v>
      </c>
      <c r="M36" s="222" t="s">
        <v>281</v>
      </c>
      <c r="N36" s="222" t="s">
        <v>281</v>
      </c>
      <c r="O36" s="223" t="s">
        <v>281</v>
      </c>
      <c r="P36" s="223" t="s">
        <v>281</v>
      </c>
      <c r="Q36" s="223" t="s">
        <v>281</v>
      </c>
      <c r="R36" s="223" t="s">
        <v>281</v>
      </c>
      <c r="S36" s="223" t="s">
        <v>15</v>
      </c>
      <c r="T36" s="223" t="s">
        <v>282</v>
      </c>
      <c r="U36" s="223" t="s">
        <v>282</v>
      </c>
      <c r="V36" s="223" t="s">
        <v>281</v>
      </c>
      <c r="W36" s="224" t="s">
        <v>281</v>
      </c>
      <c r="X36" s="224" t="s">
        <v>281</v>
      </c>
      <c r="Y36" s="225" t="s">
        <v>281</v>
      </c>
    </row>
    <row r="37" spans="1:25">
      <c r="A37" s="219">
        <v>1</v>
      </c>
      <c r="B37" s="220" t="str">
        <f>VLOOKUP(Tabel10[[#This Row],[Code]],Ruimtegroepen[[Code]:[Ruimte omschrijving]],2,FALSE)</f>
        <v>Magazijnen/bergingen</v>
      </c>
      <c r="C37" s="221" t="s">
        <v>306</v>
      </c>
      <c r="D37" s="220" t="s">
        <v>13</v>
      </c>
      <c r="E37" s="221" t="s">
        <v>102</v>
      </c>
      <c r="F37" s="221" t="s">
        <v>310</v>
      </c>
      <c r="G37" s="226" t="s">
        <v>281</v>
      </c>
      <c r="H37" s="222" t="s">
        <v>281</v>
      </c>
      <c r="I37" s="222" t="s">
        <v>15</v>
      </c>
      <c r="J37" s="222" t="s">
        <v>15</v>
      </c>
      <c r="K37" s="222" t="s">
        <v>248</v>
      </c>
      <c r="L37" s="222" t="s">
        <v>281</v>
      </c>
      <c r="M37" s="222" t="s">
        <v>281</v>
      </c>
      <c r="N37" s="222" t="s">
        <v>281</v>
      </c>
      <c r="O37" s="223" t="s">
        <v>281</v>
      </c>
      <c r="P37" s="223" t="s">
        <v>281</v>
      </c>
      <c r="Q37" s="223" t="s">
        <v>281</v>
      </c>
      <c r="R37" s="223" t="s">
        <v>281</v>
      </c>
      <c r="S37" s="223" t="s">
        <v>15</v>
      </c>
      <c r="T37" s="223" t="s">
        <v>282</v>
      </c>
      <c r="U37" s="223" t="s">
        <v>282</v>
      </c>
      <c r="V37" s="223" t="s">
        <v>281</v>
      </c>
      <c r="W37" s="224" t="s">
        <v>281</v>
      </c>
      <c r="X37" s="224" t="s">
        <v>281</v>
      </c>
      <c r="Y37" s="225" t="s">
        <v>281</v>
      </c>
    </row>
    <row r="38" spans="1:25">
      <c r="A38" s="219">
        <v>1</v>
      </c>
      <c r="B38" s="220" t="str">
        <f>VLOOKUP(Tabel10[[#This Row],[Code]],Ruimtegroepen[[Code]:[Ruimte omschrijving]],2,FALSE)</f>
        <v>Magazijnen/bergingen</v>
      </c>
      <c r="C38" s="221" t="s">
        <v>306</v>
      </c>
      <c r="D38" s="220" t="s">
        <v>13</v>
      </c>
      <c r="E38" s="221" t="s">
        <v>99</v>
      </c>
      <c r="F38" s="221" t="s">
        <v>308</v>
      </c>
      <c r="G38" s="226" t="s">
        <v>281</v>
      </c>
      <c r="H38" s="222" t="s">
        <v>15</v>
      </c>
      <c r="I38" s="222" t="s">
        <v>281</v>
      </c>
      <c r="J38" s="222" t="s">
        <v>281</v>
      </c>
      <c r="K38" s="222" t="s">
        <v>281</v>
      </c>
      <c r="L38" s="222" t="s">
        <v>281</v>
      </c>
      <c r="M38" s="222" t="s">
        <v>281</v>
      </c>
      <c r="N38" s="222" t="s">
        <v>281</v>
      </c>
      <c r="O38" s="223" t="s">
        <v>281</v>
      </c>
      <c r="P38" s="223" t="s">
        <v>281</v>
      </c>
      <c r="Q38" s="223" t="s">
        <v>281</v>
      </c>
      <c r="R38" s="223" t="s">
        <v>281</v>
      </c>
      <c r="S38" s="223" t="s">
        <v>15</v>
      </c>
      <c r="T38" s="223" t="s">
        <v>282</v>
      </c>
      <c r="U38" s="223" t="s">
        <v>282</v>
      </c>
      <c r="V38" s="223" t="s">
        <v>281</v>
      </c>
      <c r="W38" s="224" t="s">
        <v>281</v>
      </c>
      <c r="X38" s="224" t="s">
        <v>281</v>
      </c>
      <c r="Y38" s="225" t="s">
        <v>281</v>
      </c>
    </row>
    <row r="39" spans="1:25">
      <c r="A39" s="219">
        <v>1</v>
      </c>
      <c r="B39" s="220" t="str">
        <f>VLOOKUP(Tabel10[[#This Row],[Code]],Ruimtegroepen[[Code]:[Ruimte omschrijving]],2,FALSE)</f>
        <v>Magazijnen/bergingen</v>
      </c>
      <c r="C39" s="221" t="s">
        <v>306</v>
      </c>
      <c r="D39" s="220" t="s">
        <v>13</v>
      </c>
      <c r="E39" s="221" t="s">
        <v>1309</v>
      </c>
      <c r="F39" s="221" t="s">
        <v>1315</v>
      </c>
      <c r="G39" s="226" t="s">
        <v>281</v>
      </c>
      <c r="H39" s="222" t="s">
        <v>281</v>
      </c>
      <c r="I39" s="222" t="s">
        <v>15</v>
      </c>
      <c r="J39" s="222" t="s">
        <v>15</v>
      </c>
      <c r="K39" s="222" t="s">
        <v>248</v>
      </c>
      <c r="L39" s="222" t="s">
        <v>281</v>
      </c>
      <c r="M39" s="222" t="s">
        <v>281</v>
      </c>
      <c r="N39" s="222" t="s">
        <v>281</v>
      </c>
      <c r="O39" s="223" t="s">
        <v>281</v>
      </c>
      <c r="P39" s="223" t="s">
        <v>281</v>
      </c>
      <c r="Q39" s="223" t="s">
        <v>281</v>
      </c>
      <c r="R39" s="223" t="s">
        <v>281</v>
      </c>
      <c r="S39" s="223" t="s">
        <v>15</v>
      </c>
      <c r="T39" s="223" t="s">
        <v>282</v>
      </c>
      <c r="U39" s="223" t="s">
        <v>282</v>
      </c>
      <c r="V39" s="223" t="s">
        <v>281</v>
      </c>
      <c r="W39" s="224" t="s">
        <v>281</v>
      </c>
      <c r="X39" s="224" t="s">
        <v>281</v>
      </c>
      <c r="Y39" s="225" t="s">
        <v>281</v>
      </c>
    </row>
    <row r="40" spans="1:25">
      <c r="A40" s="219">
        <v>1</v>
      </c>
      <c r="B40" s="220" t="str">
        <f>VLOOKUP(Tabel10[[#This Row],[Code]],Ruimtegroepen[[Code]:[Ruimte omschrijving]],2,FALSE)</f>
        <v>Magazijnen/bergingen</v>
      </c>
      <c r="C40" s="221" t="s">
        <v>311</v>
      </c>
      <c r="D40" s="220" t="s">
        <v>0</v>
      </c>
      <c r="E40" s="221" t="s">
        <v>100</v>
      </c>
      <c r="F40" s="221" t="s">
        <v>312</v>
      </c>
      <c r="G40" s="226" t="s">
        <v>281</v>
      </c>
      <c r="H40" s="222" t="s">
        <v>281</v>
      </c>
      <c r="I40" s="222" t="s">
        <v>16</v>
      </c>
      <c r="J40" s="222" t="s">
        <v>16</v>
      </c>
      <c r="K40" s="222" t="s">
        <v>281</v>
      </c>
      <c r="L40" s="222" t="s">
        <v>281</v>
      </c>
      <c r="M40" s="222" t="s">
        <v>281</v>
      </c>
      <c r="N40" s="222" t="s">
        <v>281</v>
      </c>
      <c r="O40" s="223" t="s">
        <v>281</v>
      </c>
      <c r="P40" s="223" t="s">
        <v>281</v>
      </c>
      <c r="Q40" s="223" t="s">
        <v>281</v>
      </c>
      <c r="R40" s="223" t="s">
        <v>281</v>
      </c>
      <c r="S40" s="223" t="s">
        <v>16</v>
      </c>
      <c r="T40" s="223" t="s">
        <v>282</v>
      </c>
      <c r="U40" s="223" t="s">
        <v>282</v>
      </c>
      <c r="V40" s="223" t="s">
        <v>281</v>
      </c>
      <c r="W40" s="224" t="s">
        <v>281</v>
      </c>
      <c r="X40" s="224" t="s">
        <v>281</v>
      </c>
      <c r="Y40" s="225" t="s">
        <v>281</v>
      </c>
    </row>
    <row r="41" spans="1:25">
      <c r="A41" s="219">
        <v>1</v>
      </c>
      <c r="B41" s="220" t="str">
        <f>VLOOKUP(Tabel10[[#This Row],[Code]],Ruimtegroepen[[Code]:[Ruimte omschrijving]],2,FALSE)</f>
        <v>Magazijnen/bergingen</v>
      </c>
      <c r="C41" s="221" t="s">
        <v>311</v>
      </c>
      <c r="D41" s="220" t="s">
        <v>0</v>
      </c>
      <c r="E41" s="221" t="s">
        <v>99</v>
      </c>
      <c r="F41" s="221" t="s">
        <v>313</v>
      </c>
      <c r="G41" s="226" t="s">
        <v>281</v>
      </c>
      <c r="H41" s="222" t="s">
        <v>16</v>
      </c>
      <c r="I41" s="222" t="s">
        <v>281</v>
      </c>
      <c r="J41" s="222" t="s">
        <v>281</v>
      </c>
      <c r="K41" s="222" t="s">
        <v>281</v>
      </c>
      <c r="L41" s="222" t="s">
        <v>281</v>
      </c>
      <c r="M41" s="222" t="s">
        <v>281</v>
      </c>
      <c r="N41" s="222" t="s">
        <v>281</v>
      </c>
      <c r="O41" s="223" t="s">
        <v>281</v>
      </c>
      <c r="P41" s="223" t="s">
        <v>281</v>
      </c>
      <c r="Q41" s="223" t="s">
        <v>281</v>
      </c>
      <c r="R41" s="223" t="s">
        <v>281</v>
      </c>
      <c r="S41" s="223" t="s">
        <v>16</v>
      </c>
      <c r="T41" s="223" t="s">
        <v>282</v>
      </c>
      <c r="U41" s="223" t="s">
        <v>282</v>
      </c>
      <c r="V41" s="223" t="s">
        <v>281</v>
      </c>
      <c r="W41" s="224" t="s">
        <v>281</v>
      </c>
      <c r="X41" s="224" t="s">
        <v>281</v>
      </c>
      <c r="Y41" s="225" t="s">
        <v>281</v>
      </c>
    </row>
    <row r="42" spans="1:25">
      <c r="A42" s="219">
        <v>1</v>
      </c>
      <c r="B42" s="220" t="str">
        <f>VLOOKUP(Tabel10[[#This Row],[Code]],Ruimtegroepen[[Code]:[Ruimte omschrijving]],2,FALSE)</f>
        <v>Magazijnen/bergingen</v>
      </c>
      <c r="C42" s="221" t="s">
        <v>311</v>
      </c>
      <c r="D42" s="220" t="s">
        <v>0</v>
      </c>
      <c r="E42" s="221" t="s">
        <v>101</v>
      </c>
      <c r="F42" s="221" t="s">
        <v>314</v>
      </c>
      <c r="G42" s="226" t="s">
        <v>281</v>
      </c>
      <c r="H42" s="222" t="s">
        <v>281</v>
      </c>
      <c r="I42" s="222" t="s">
        <v>281</v>
      </c>
      <c r="J42" s="222" t="s">
        <v>16</v>
      </c>
      <c r="K42" s="222" t="s">
        <v>248</v>
      </c>
      <c r="L42" s="222" t="s">
        <v>281</v>
      </c>
      <c r="M42" s="222" t="s">
        <v>281</v>
      </c>
      <c r="N42" s="222" t="s">
        <v>281</v>
      </c>
      <c r="O42" s="223" t="s">
        <v>281</v>
      </c>
      <c r="P42" s="223" t="s">
        <v>281</v>
      </c>
      <c r="Q42" s="223" t="s">
        <v>281</v>
      </c>
      <c r="R42" s="223" t="s">
        <v>281</v>
      </c>
      <c r="S42" s="223" t="s">
        <v>16</v>
      </c>
      <c r="T42" s="223" t="s">
        <v>282</v>
      </c>
      <c r="U42" s="223" t="s">
        <v>282</v>
      </c>
      <c r="V42" s="223" t="s">
        <v>281</v>
      </c>
      <c r="W42" s="224" t="s">
        <v>281</v>
      </c>
      <c r="X42" s="224" t="s">
        <v>281</v>
      </c>
      <c r="Y42" s="225" t="s">
        <v>281</v>
      </c>
    </row>
    <row r="43" spans="1:25">
      <c r="A43" s="219">
        <v>1</v>
      </c>
      <c r="B43" s="220" t="str">
        <f>VLOOKUP(Tabel10[[#This Row],[Code]],Ruimtegroepen[[Code]:[Ruimte omschrijving]],2,FALSE)</f>
        <v>Magazijnen/bergingen</v>
      </c>
      <c r="C43" s="221" t="s">
        <v>311</v>
      </c>
      <c r="D43" s="220" t="s">
        <v>0</v>
      </c>
      <c r="E43" s="221" t="s">
        <v>102</v>
      </c>
      <c r="F43" s="221" t="s">
        <v>315</v>
      </c>
      <c r="G43" s="226" t="s">
        <v>281</v>
      </c>
      <c r="H43" s="222" t="s">
        <v>281</v>
      </c>
      <c r="I43" s="222" t="s">
        <v>16</v>
      </c>
      <c r="J43" s="222" t="s">
        <v>16</v>
      </c>
      <c r="K43" s="222" t="s">
        <v>248</v>
      </c>
      <c r="L43" s="222" t="s">
        <v>281</v>
      </c>
      <c r="M43" s="222" t="s">
        <v>281</v>
      </c>
      <c r="N43" s="222" t="s">
        <v>281</v>
      </c>
      <c r="O43" s="223" t="s">
        <v>281</v>
      </c>
      <c r="P43" s="223" t="s">
        <v>281</v>
      </c>
      <c r="Q43" s="223" t="s">
        <v>281</v>
      </c>
      <c r="R43" s="223" t="s">
        <v>281</v>
      </c>
      <c r="S43" s="223" t="s">
        <v>16</v>
      </c>
      <c r="T43" s="223" t="s">
        <v>282</v>
      </c>
      <c r="U43" s="223" t="s">
        <v>282</v>
      </c>
      <c r="V43" s="223" t="s">
        <v>281</v>
      </c>
      <c r="W43" s="224" t="s">
        <v>281</v>
      </c>
      <c r="X43" s="224" t="s">
        <v>281</v>
      </c>
      <c r="Y43" s="225" t="s">
        <v>281</v>
      </c>
    </row>
    <row r="44" spans="1:25">
      <c r="A44" s="219">
        <v>1</v>
      </c>
      <c r="B44" s="220" t="str">
        <f>VLOOKUP(Tabel10[[#This Row],[Code]],Ruimtegroepen[[Code]:[Ruimte omschrijving]],2,FALSE)</f>
        <v>Magazijnen/bergingen</v>
      </c>
      <c r="C44" s="221" t="s">
        <v>311</v>
      </c>
      <c r="D44" s="220" t="s">
        <v>0</v>
      </c>
      <c r="E44" s="221" t="s">
        <v>99</v>
      </c>
      <c r="F44" s="221" t="s">
        <v>313</v>
      </c>
      <c r="G44" s="226" t="s">
        <v>281</v>
      </c>
      <c r="H44" s="222" t="s">
        <v>16</v>
      </c>
      <c r="I44" s="222" t="s">
        <v>281</v>
      </c>
      <c r="J44" s="222" t="s">
        <v>281</v>
      </c>
      <c r="K44" s="222" t="s">
        <v>281</v>
      </c>
      <c r="L44" s="222" t="s">
        <v>281</v>
      </c>
      <c r="M44" s="222" t="s">
        <v>281</v>
      </c>
      <c r="N44" s="222" t="s">
        <v>281</v>
      </c>
      <c r="O44" s="223" t="s">
        <v>281</v>
      </c>
      <c r="P44" s="223" t="s">
        <v>281</v>
      </c>
      <c r="Q44" s="223" t="s">
        <v>281</v>
      </c>
      <c r="R44" s="223" t="s">
        <v>281</v>
      </c>
      <c r="S44" s="223" t="s">
        <v>16</v>
      </c>
      <c r="T44" s="223" t="s">
        <v>282</v>
      </c>
      <c r="U44" s="223" t="s">
        <v>282</v>
      </c>
      <c r="V44" s="223" t="s">
        <v>281</v>
      </c>
      <c r="W44" s="224" t="s">
        <v>281</v>
      </c>
      <c r="X44" s="224" t="s">
        <v>281</v>
      </c>
      <c r="Y44" s="225" t="s">
        <v>281</v>
      </c>
    </row>
    <row r="45" spans="1:25">
      <c r="A45" s="219">
        <v>1</v>
      </c>
      <c r="B45" s="220" t="str">
        <f>VLOOKUP(Tabel10[[#This Row],[Code]],Ruimtegroepen[[Code]:[Ruimte omschrijving]],2,FALSE)</f>
        <v>Magazijnen/bergingen</v>
      </c>
      <c r="C45" s="221" t="s">
        <v>311</v>
      </c>
      <c r="D45" s="220" t="s">
        <v>0</v>
      </c>
      <c r="E45" s="221" t="s">
        <v>1309</v>
      </c>
      <c r="F45" s="221" t="s">
        <v>1316</v>
      </c>
      <c r="G45" s="226" t="s">
        <v>281</v>
      </c>
      <c r="H45" s="222" t="s">
        <v>281</v>
      </c>
      <c r="I45" s="222" t="s">
        <v>16</v>
      </c>
      <c r="J45" s="222" t="s">
        <v>16</v>
      </c>
      <c r="K45" s="222" t="s">
        <v>248</v>
      </c>
      <c r="L45" s="222" t="s">
        <v>281</v>
      </c>
      <c r="M45" s="222" t="s">
        <v>281</v>
      </c>
      <c r="N45" s="222" t="s">
        <v>281</v>
      </c>
      <c r="O45" s="223" t="s">
        <v>281</v>
      </c>
      <c r="P45" s="223" t="s">
        <v>281</v>
      </c>
      <c r="Q45" s="223" t="s">
        <v>281</v>
      </c>
      <c r="R45" s="223" t="s">
        <v>281</v>
      </c>
      <c r="S45" s="223" t="s">
        <v>16</v>
      </c>
      <c r="T45" s="223" t="s">
        <v>282</v>
      </c>
      <c r="U45" s="223" t="s">
        <v>282</v>
      </c>
      <c r="V45" s="223" t="s">
        <v>281</v>
      </c>
      <c r="W45" s="224" t="s">
        <v>281</v>
      </c>
      <c r="X45" s="224" t="s">
        <v>281</v>
      </c>
      <c r="Y45" s="225" t="s">
        <v>281</v>
      </c>
    </row>
    <row r="46" spans="1:25">
      <c r="A46" s="219">
        <v>1</v>
      </c>
      <c r="B46" s="220" t="str">
        <f>VLOOKUP(Tabel10[[#This Row],[Code]],Ruimtegroepen[[Code]:[Ruimte omschrijving]],2,FALSE)</f>
        <v>Magazijnen/bergingen</v>
      </c>
      <c r="C46" s="221" t="s">
        <v>316</v>
      </c>
      <c r="D46" s="220" t="s">
        <v>27</v>
      </c>
      <c r="E46" s="221" t="s">
        <v>100</v>
      </c>
      <c r="F46" s="221" t="s">
        <v>317</v>
      </c>
      <c r="G46" s="226" t="s">
        <v>281</v>
      </c>
      <c r="H46" s="222" t="s">
        <v>281</v>
      </c>
      <c r="I46" s="222" t="s">
        <v>15</v>
      </c>
      <c r="J46" s="222" t="s">
        <v>15</v>
      </c>
      <c r="K46" s="222" t="s">
        <v>281</v>
      </c>
      <c r="L46" s="222" t="s">
        <v>281</v>
      </c>
      <c r="M46" s="222" t="s">
        <v>281</v>
      </c>
      <c r="N46" s="222" t="s">
        <v>281</v>
      </c>
      <c r="O46" s="223" t="s">
        <v>281</v>
      </c>
      <c r="P46" s="223" t="s">
        <v>281</v>
      </c>
      <c r="Q46" s="223" t="s">
        <v>281</v>
      </c>
      <c r="R46" s="223" t="s">
        <v>281</v>
      </c>
      <c r="S46" s="223" t="s">
        <v>15</v>
      </c>
      <c r="T46" s="223" t="s">
        <v>281</v>
      </c>
      <c r="U46" s="223" t="s">
        <v>281</v>
      </c>
      <c r="V46" s="223" t="s">
        <v>281</v>
      </c>
      <c r="W46" s="224" t="s">
        <v>281</v>
      </c>
      <c r="X46" s="224" t="s">
        <v>281</v>
      </c>
      <c r="Y46" s="225" t="s">
        <v>281</v>
      </c>
    </row>
    <row r="47" spans="1:25">
      <c r="A47" s="219">
        <v>1</v>
      </c>
      <c r="B47" s="220" t="str">
        <f>VLOOKUP(Tabel10[[#This Row],[Code]],Ruimtegroepen[[Code]:[Ruimte omschrijving]],2,FALSE)</f>
        <v>Magazijnen/bergingen</v>
      </c>
      <c r="C47" s="221" t="s">
        <v>316</v>
      </c>
      <c r="D47" s="220" t="s">
        <v>27</v>
      </c>
      <c r="E47" s="221" t="s">
        <v>99</v>
      </c>
      <c r="F47" s="221" t="s">
        <v>318</v>
      </c>
      <c r="G47" s="226" t="s">
        <v>281</v>
      </c>
      <c r="H47" s="222" t="s">
        <v>15</v>
      </c>
      <c r="I47" s="222" t="s">
        <v>281</v>
      </c>
      <c r="J47" s="222" t="s">
        <v>281</v>
      </c>
      <c r="K47" s="222" t="s">
        <v>281</v>
      </c>
      <c r="L47" s="222" t="s">
        <v>281</v>
      </c>
      <c r="M47" s="222" t="s">
        <v>281</v>
      </c>
      <c r="N47" s="222" t="s">
        <v>281</v>
      </c>
      <c r="O47" s="223" t="s">
        <v>281</v>
      </c>
      <c r="P47" s="223" t="s">
        <v>281</v>
      </c>
      <c r="Q47" s="223" t="s">
        <v>281</v>
      </c>
      <c r="R47" s="223" t="s">
        <v>281</v>
      </c>
      <c r="S47" s="223" t="s">
        <v>15</v>
      </c>
      <c r="T47" s="223" t="s">
        <v>281</v>
      </c>
      <c r="U47" s="223" t="s">
        <v>281</v>
      </c>
      <c r="V47" s="223" t="s">
        <v>281</v>
      </c>
      <c r="W47" s="224" t="s">
        <v>281</v>
      </c>
      <c r="X47" s="224" t="s">
        <v>281</v>
      </c>
      <c r="Y47" s="225" t="s">
        <v>281</v>
      </c>
    </row>
    <row r="48" spans="1:25">
      <c r="A48" s="219">
        <v>1</v>
      </c>
      <c r="B48" s="220" t="str">
        <f>VLOOKUP(Tabel10[[#This Row],[Code]],Ruimtegroepen[[Code]:[Ruimte omschrijving]],2,FALSE)</f>
        <v>Magazijnen/bergingen</v>
      </c>
      <c r="C48" s="221" t="s">
        <v>316</v>
      </c>
      <c r="D48" s="220" t="s">
        <v>27</v>
      </c>
      <c r="E48" s="221" t="s">
        <v>101</v>
      </c>
      <c r="F48" s="221" t="s">
        <v>319</v>
      </c>
      <c r="G48" s="226" t="s">
        <v>281</v>
      </c>
      <c r="H48" s="222" t="s">
        <v>281</v>
      </c>
      <c r="I48" s="222" t="s">
        <v>15</v>
      </c>
      <c r="J48" s="222" t="s">
        <v>281</v>
      </c>
      <c r="K48" s="222" t="s">
        <v>281</v>
      </c>
      <c r="L48" s="222" t="s">
        <v>281</v>
      </c>
      <c r="M48" s="222" t="s">
        <v>281</v>
      </c>
      <c r="N48" s="222" t="s">
        <v>281</v>
      </c>
      <c r="O48" s="223" t="s">
        <v>281</v>
      </c>
      <c r="P48" s="223" t="s">
        <v>281</v>
      </c>
      <c r="Q48" s="223" t="s">
        <v>281</v>
      </c>
      <c r="R48" s="223" t="s">
        <v>281</v>
      </c>
      <c r="S48" s="223" t="s">
        <v>15</v>
      </c>
      <c r="T48" s="223" t="s">
        <v>281</v>
      </c>
      <c r="U48" s="223" t="s">
        <v>281</v>
      </c>
      <c r="V48" s="223" t="s">
        <v>281</v>
      </c>
      <c r="W48" s="224" t="s">
        <v>281</v>
      </c>
      <c r="X48" s="224" t="s">
        <v>281</v>
      </c>
      <c r="Y48" s="225" t="s">
        <v>281</v>
      </c>
    </row>
    <row r="49" spans="1:25">
      <c r="A49" s="219">
        <v>1</v>
      </c>
      <c r="B49" s="220" t="str">
        <f>VLOOKUP(Tabel10[[#This Row],[Code]],Ruimtegroepen[[Code]:[Ruimte omschrijving]],2,FALSE)</f>
        <v>Magazijnen/bergingen</v>
      </c>
      <c r="C49" s="221" t="s">
        <v>316</v>
      </c>
      <c r="D49" s="220" t="s">
        <v>27</v>
      </c>
      <c r="E49" s="221" t="s">
        <v>102</v>
      </c>
      <c r="F49" s="221" t="s">
        <v>320</v>
      </c>
      <c r="G49" s="226" t="s">
        <v>281</v>
      </c>
      <c r="H49" s="222" t="s">
        <v>281</v>
      </c>
      <c r="I49" s="222" t="s">
        <v>15</v>
      </c>
      <c r="J49" s="222" t="s">
        <v>281</v>
      </c>
      <c r="K49" s="222" t="s">
        <v>281</v>
      </c>
      <c r="L49" s="222" t="s">
        <v>281</v>
      </c>
      <c r="M49" s="222" t="s">
        <v>281</v>
      </c>
      <c r="N49" s="222" t="s">
        <v>281</v>
      </c>
      <c r="O49" s="223" t="s">
        <v>281</v>
      </c>
      <c r="P49" s="223" t="s">
        <v>281</v>
      </c>
      <c r="Q49" s="223" t="s">
        <v>281</v>
      </c>
      <c r="R49" s="223" t="s">
        <v>281</v>
      </c>
      <c r="S49" s="223" t="s">
        <v>15</v>
      </c>
      <c r="T49" s="223" t="s">
        <v>281</v>
      </c>
      <c r="U49" s="223" t="s">
        <v>281</v>
      </c>
      <c r="V49" s="223" t="s">
        <v>281</v>
      </c>
      <c r="W49" s="224" t="s">
        <v>281</v>
      </c>
      <c r="X49" s="224" t="s">
        <v>281</v>
      </c>
      <c r="Y49" s="225" t="s">
        <v>281</v>
      </c>
    </row>
    <row r="50" spans="1:25">
      <c r="A50" s="219">
        <v>1</v>
      </c>
      <c r="B50" s="220" t="str">
        <f>VLOOKUP(Tabel10[[#This Row],[Code]],Ruimtegroepen[[Code]:[Ruimte omschrijving]],2,FALSE)</f>
        <v>Magazijnen/bergingen</v>
      </c>
      <c r="C50" s="221" t="s">
        <v>316</v>
      </c>
      <c r="D50" s="220" t="s">
        <v>27</v>
      </c>
      <c r="E50" s="221" t="s">
        <v>99</v>
      </c>
      <c r="F50" s="221" t="s">
        <v>318</v>
      </c>
      <c r="G50" s="226" t="s">
        <v>281</v>
      </c>
      <c r="H50" s="222" t="s">
        <v>15</v>
      </c>
      <c r="I50" s="222" t="s">
        <v>281</v>
      </c>
      <c r="J50" s="222" t="s">
        <v>281</v>
      </c>
      <c r="K50" s="222" t="s">
        <v>281</v>
      </c>
      <c r="L50" s="222" t="s">
        <v>281</v>
      </c>
      <c r="M50" s="222" t="s">
        <v>281</v>
      </c>
      <c r="N50" s="222" t="s">
        <v>281</v>
      </c>
      <c r="O50" s="223" t="s">
        <v>281</v>
      </c>
      <c r="P50" s="223" t="s">
        <v>281</v>
      </c>
      <c r="Q50" s="223" t="s">
        <v>281</v>
      </c>
      <c r="R50" s="223" t="s">
        <v>281</v>
      </c>
      <c r="S50" s="223" t="s">
        <v>15</v>
      </c>
      <c r="T50" s="223" t="s">
        <v>281</v>
      </c>
      <c r="U50" s="223" t="s">
        <v>281</v>
      </c>
      <c r="V50" s="223" t="s">
        <v>281</v>
      </c>
      <c r="W50" s="224" t="s">
        <v>281</v>
      </c>
      <c r="X50" s="224" t="s">
        <v>281</v>
      </c>
      <c r="Y50" s="225" t="s">
        <v>281</v>
      </c>
    </row>
    <row r="51" spans="1:25">
      <c r="A51" s="219">
        <v>1</v>
      </c>
      <c r="B51" s="220" t="str">
        <f>VLOOKUP(Tabel10[[#This Row],[Code]],Ruimtegroepen[[Code]:[Ruimte omschrijving]],2,FALSE)</f>
        <v>Magazijnen/bergingen</v>
      </c>
      <c r="C51" s="221" t="s">
        <v>316</v>
      </c>
      <c r="D51" s="220" t="s">
        <v>27</v>
      </c>
      <c r="E51" s="221" t="s">
        <v>1309</v>
      </c>
      <c r="F51" s="221" t="s">
        <v>1317</v>
      </c>
      <c r="G51" s="226" t="s">
        <v>281</v>
      </c>
      <c r="H51" s="222" t="s">
        <v>281</v>
      </c>
      <c r="I51" s="222" t="s">
        <v>15</v>
      </c>
      <c r="J51" s="222" t="s">
        <v>281</v>
      </c>
      <c r="K51" s="222" t="s">
        <v>281</v>
      </c>
      <c r="L51" s="222" t="s">
        <v>281</v>
      </c>
      <c r="M51" s="222" t="s">
        <v>281</v>
      </c>
      <c r="N51" s="222" t="s">
        <v>281</v>
      </c>
      <c r="O51" s="223" t="s">
        <v>281</v>
      </c>
      <c r="P51" s="223" t="s">
        <v>281</v>
      </c>
      <c r="Q51" s="223" t="s">
        <v>281</v>
      </c>
      <c r="R51" s="223" t="s">
        <v>281</v>
      </c>
      <c r="S51" s="223" t="s">
        <v>15</v>
      </c>
      <c r="T51" s="223" t="s">
        <v>281</v>
      </c>
      <c r="U51" s="223" t="s">
        <v>281</v>
      </c>
      <c r="V51" s="223" t="s">
        <v>281</v>
      </c>
      <c r="W51" s="224" t="s">
        <v>281</v>
      </c>
      <c r="X51" s="224" t="s">
        <v>281</v>
      </c>
      <c r="Y51" s="225" t="s">
        <v>281</v>
      </c>
    </row>
    <row r="52" spans="1:25">
      <c r="A52" s="219">
        <v>1</v>
      </c>
      <c r="B52" s="220" t="str">
        <f>VLOOKUP(Tabel10[[#This Row],[Code]],Ruimtegroepen[[Code]:[Ruimte omschrijving]],2,FALSE)</f>
        <v>Magazijnen/bergingen</v>
      </c>
      <c r="C52" s="221" t="s">
        <v>321</v>
      </c>
      <c r="D52" s="220" t="s">
        <v>28</v>
      </c>
      <c r="E52" s="221" t="s">
        <v>100</v>
      </c>
      <c r="F52" s="221" t="s">
        <v>322</v>
      </c>
      <c r="G52" s="226" t="s">
        <v>281</v>
      </c>
      <c r="H52" s="222" t="s">
        <v>281</v>
      </c>
      <c r="I52" s="222" t="s">
        <v>17</v>
      </c>
      <c r="J52" s="222" t="s">
        <v>281</v>
      </c>
      <c r="K52" s="222" t="s">
        <v>281</v>
      </c>
      <c r="L52" s="222" t="s">
        <v>281</v>
      </c>
      <c r="M52" s="222" t="s">
        <v>281</v>
      </c>
      <c r="N52" s="222" t="s">
        <v>281</v>
      </c>
      <c r="O52" s="223" t="s">
        <v>281</v>
      </c>
      <c r="P52" s="223" t="s">
        <v>281</v>
      </c>
      <c r="Q52" s="223" t="s">
        <v>281</v>
      </c>
      <c r="R52" s="223" t="s">
        <v>281</v>
      </c>
      <c r="S52" s="223" t="s">
        <v>15</v>
      </c>
      <c r="T52" s="223" t="s">
        <v>281</v>
      </c>
      <c r="U52" s="223" t="s">
        <v>281</v>
      </c>
      <c r="V52" s="223" t="s">
        <v>281</v>
      </c>
      <c r="W52" s="224" t="s">
        <v>281</v>
      </c>
      <c r="X52" s="224" t="s">
        <v>281</v>
      </c>
      <c r="Y52" s="225" t="s">
        <v>281</v>
      </c>
    </row>
    <row r="53" spans="1:25">
      <c r="A53" s="219">
        <v>1</v>
      </c>
      <c r="B53" s="220" t="str">
        <f>VLOOKUP(Tabel10[[#This Row],[Code]],Ruimtegroepen[[Code]:[Ruimte omschrijving]],2,FALSE)</f>
        <v>Magazijnen/bergingen</v>
      </c>
      <c r="C53" s="221" t="s">
        <v>321</v>
      </c>
      <c r="D53" s="220" t="s">
        <v>28</v>
      </c>
      <c r="E53" s="221" t="s">
        <v>99</v>
      </c>
      <c r="F53" s="221" t="s">
        <v>323</v>
      </c>
      <c r="G53" s="226" t="s">
        <v>281</v>
      </c>
      <c r="H53" s="222" t="s">
        <v>17</v>
      </c>
      <c r="I53" s="222" t="s">
        <v>281</v>
      </c>
      <c r="J53" s="222" t="s">
        <v>281</v>
      </c>
      <c r="K53" s="222" t="s">
        <v>281</v>
      </c>
      <c r="L53" s="222" t="s">
        <v>281</v>
      </c>
      <c r="M53" s="222" t="s">
        <v>281</v>
      </c>
      <c r="N53" s="222" t="s">
        <v>281</v>
      </c>
      <c r="O53" s="223" t="s">
        <v>281</v>
      </c>
      <c r="P53" s="223" t="s">
        <v>281</v>
      </c>
      <c r="Q53" s="223" t="s">
        <v>281</v>
      </c>
      <c r="R53" s="223" t="s">
        <v>281</v>
      </c>
      <c r="S53" s="223" t="s">
        <v>15</v>
      </c>
      <c r="T53" s="223" t="s">
        <v>281</v>
      </c>
      <c r="U53" s="223" t="s">
        <v>281</v>
      </c>
      <c r="V53" s="223" t="s">
        <v>281</v>
      </c>
      <c r="W53" s="224" t="s">
        <v>281</v>
      </c>
      <c r="X53" s="224" t="s">
        <v>281</v>
      </c>
      <c r="Y53" s="225" t="s">
        <v>281</v>
      </c>
    </row>
    <row r="54" spans="1:25">
      <c r="A54" s="219">
        <v>1</v>
      </c>
      <c r="B54" s="220" t="str">
        <f>VLOOKUP(Tabel10[[#This Row],[Code]],Ruimtegroepen[[Code]:[Ruimte omschrijving]],2,FALSE)</f>
        <v>Magazijnen/bergingen</v>
      </c>
      <c r="C54" s="221" t="s">
        <v>321</v>
      </c>
      <c r="D54" s="220" t="s">
        <v>28</v>
      </c>
      <c r="E54" s="221" t="s">
        <v>101</v>
      </c>
      <c r="F54" s="221" t="s">
        <v>324</v>
      </c>
      <c r="G54" s="226" t="s">
        <v>281</v>
      </c>
      <c r="H54" s="222" t="s">
        <v>281</v>
      </c>
      <c r="I54" s="222" t="s">
        <v>17</v>
      </c>
      <c r="J54" s="222" t="s">
        <v>281</v>
      </c>
      <c r="K54" s="222" t="s">
        <v>281</v>
      </c>
      <c r="L54" s="222" t="s">
        <v>281</v>
      </c>
      <c r="M54" s="222" t="s">
        <v>281</v>
      </c>
      <c r="N54" s="222" t="s">
        <v>281</v>
      </c>
      <c r="O54" s="223" t="s">
        <v>281</v>
      </c>
      <c r="P54" s="223" t="s">
        <v>281</v>
      </c>
      <c r="Q54" s="223" t="s">
        <v>281</v>
      </c>
      <c r="R54" s="223" t="s">
        <v>281</v>
      </c>
      <c r="S54" s="223" t="s">
        <v>15</v>
      </c>
      <c r="T54" s="223" t="s">
        <v>281</v>
      </c>
      <c r="U54" s="223" t="s">
        <v>281</v>
      </c>
      <c r="V54" s="223" t="s">
        <v>281</v>
      </c>
      <c r="W54" s="224" t="s">
        <v>281</v>
      </c>
      <c r="X54" s="224" t="s">
        <v>281</v>
      </c>
      <c r="Y54" s="225" t="s">
        <v>281</v>
      </c>
    </row>
    <row r="55" spans="1:25">
      <c r="A55" s="219">
        <v>1</v>
      </c>
      <c r="B55" s="220" t="str">
        <f>VLOOKUP(Tabel10[[#This Row],[Code]],Ruimtegroepen[[Code]:[Ruimte omschrijving]],2,FALSE)</f>
        <v>Magazijnen/bergingen</v>
      </c>
      <c r="C55" s="221" t="s">
        <v>321</v>
      </c>
      <c r="D55" s="220" t="s">
        <v>28</v>
      </c>
      <c r="E55" s="221" t="s">
        <v>102</v>
      </c>
      <c r="F55" s="221" t="s">
        <v>325</v>
      </c>
      <c r="G55" s="226" t="s">
        <v>281</v>
      </c>
      <c r="H55" s="222" t="s">
        <v>281</v>
      </c>
      <c r="I55" s="222" t="s">
        <v>17</v>
      </c>
      <c r="J55" s="222" t="s">
        <v>281</v>
      </c>
      <c r="K55" s="222" t="s">
        <v>281</v>
      </c>
      <c r="L55" s="222" t="s">
        <v>281</v>
      </c>
      <c r="M55" s="222" t="s">
        <v>281</v>
      </c>
      <c r="N55" s="222" t="s">
        <v>281</v>
      </c>
      <c r="O55" s="223" t="s">
        <v>281</v>
      </c>
      <c r="P55" s="223" t="s">
        <v>281</v>
      </c>
      <c r="Q55" s="223" t="s">
        <v>281</v>
      </c>
      <c r="R55" s="223" t="s">
        <v>281</v>
      </c>
      <c r="S55" s="223" t="s">
        <v>15</v>
      </c>
      <c r="T55" s="223" t="s">
        <v>281</v>
      </c>
      <c r="U55" s="223" t="s">
        <v>281</v>
      </c>
      <c r="V55" s="223" t="s">
        <v>281</v>
      </c>
      <c r="W55" s="224" t="s">
        <v>281</v>
      </c>
      <c r="X55" s="224" t="s">
        <v>281</v>
      </c>
      <c r="Y55" s="225" t="s">
        <v>281</v>
      </c>
    </row>
    <row r="56" spans="1:25">
      <c r="A56" s="219">
        <v>1</v>
      </c>
      <c r="B56" s="220" t="str">
        <f>VLOOKUP(Tabel10[[#This Row],[Code]],Ruimtegroepen[[Code]:[Ruimte omschrijving]],2,FALSE)</f>
        <v>Magazijnen/bergingen</v>
      </c>
      <c r="C56" s="221" t="s">
        <v>321</v>
      </c>
      <c r="D56" s="220" t="s">
        <v>28</v>
      </c>
      <c r="E56" s="221" t="s">
        <v>99</v>
      </c>
      <c r="F56" s="221" t="s">
        <v>323</v>
      </c>
      <c r="G56" s="226" t="s">
        <v>281</v>
      </c>
      <c r="H56" s="222" t="s">
        <v>17</v>
      </c>
      <c r="I56" s="222" t="s">
        <v>281</v>
      </c>
      <c r="J56" s="222" t="s">
        <v>281</v>
      </c>
      <c r="K56" s="222" t="s">
        <v>281</v>
      </c>
      <c r="L56" s="222" t="s">
        <v>281</v>
      </c>
      <c r="M56" s="222" t="s">
        <v>281</v>
      </c>
      <c r="N56" s="222" t="s">
        <v>281</v>
      </c>
      <c r="O56" s="223" t="s">
        <v>281</v>
      </c>
      <c r="P56" s="223" t="s">
        <v>281</v>
      </c>
      <c r="Q56" s="223" t="s">
        <v>281</v>
      </c>
      <c r="R56" s="223" t="s">
        <v>281</v>
      </c>
      <c r="S56" s="223" t="s">
        <v>15</v>
      </c>
      <c r="T56" s="223" t="s">
        <v>281</v>
      </c>
      <c r="U56" s="223" t="s">
        <v>281</v>
      </c>
      <c r="V56" s="223" t="s">
        <v>281</v>
      </c>
      <c r="W56" s="224" t="s">
        <v>281</v>
      </c>
      <c r="X56" s="224" t="s">
        <v>281</v>
      </c>
      <c r="Y56" s="225" t="s">
        <v>281</v>
      </c>
    </row>
    <row r="57" spans="1:25">
      <c r="A57" s="219">
        <v>1</v>
      </c>
      <c r="B57" s="220" t="str">
        <f>VLOOKUP(Tabel10[[#This Row],[Code]],Ruimtegroepen[[Code]:[Ruimte omschrijving]],2,FALSE)</f>
        <v>Magazijnen/bergingen</v>
      </c>
      <c r="C57" s="221" t="s">
        <v>321</v>
      </c>
      <c r="D57" s="220" t="s">
        <v>28</v>
      </c>
      <c r="E57" s="221" t="s">
        <v>1309</v>
      </c>
      <c r="F57" s="221" t="s">
        <v>1318</v>
      </c>
      <c r="G57" s="226" t="s">
        <v>281</v>
      </c>
      <c r="H57" s="222" t="s">
        <v>281</v>
      </c>
      <c r="I57" s="222" t="s">
        <v>17</v>
      </c>
      <c r="J57" s="222" t="s">
        <v>281</v>
      </c>
      <c r="K57" s="222" t="s">
        <v>281</v>
      </c>
      <c r="L57" s="222" t="s">
        <v>281</v>
      </c>
      <c r="M57" s="222" t="s">
        <v>281</v>
      </c>
      <c r="N57" s="222" t="s">
        <v>281</v>
      </c>
      <c r="O57" s="223" t="s">
        <v>281</v>
      </c>
      <c r="P57" s="223" t="s">
        <v>281</v>
      </c>
      <c r="Q57" s="223" t="s">
        <v>281</v>
      </c>
      <c r="R57" s="223" t="s">
        <v>281</v>
      </c>
      <c r="S57" s="223" t="s">
        <v>15</v>
      </c>
      <c r="T57" s="223" t="s">
        <v>281</v>
      </c>
      <c r="U57" s="223" t="s">
        <v>281</v>
      </c>
      <c r="V57" s="223" t="s">
        <v>281</v>
      </c>
      <c r="W57" s="224" t="s">
        <v>281</v>
      </c>
      <c r="X57" s="224" t="s">
        <v>281</v>
      </c>
      <c r="Y57" s="225" t="s">
        <v>281</v>
      </c>
    </row>
    <row r="58" spans="1:25">
      <c r="A58" s="219">
        <v>2</v>
      </c>
      <c r="B58" s="220" t="str">
        <f>VLOOKUP(Tabel10[[#This Row],[Code]],Ruimtegroepen[[Code]:[Ruimte omschrijving]],2,FALSE)</f>
        <v>Kantoren</v>
      </c>
      <c r="C58" s="221" t="s">
        <v>326</v>
      </c>
      <c r="D58" s="220" t="s">
        <v>29</v>
      </c>
      <c r="E58" s="221" t="s">
        <v>100</v>
      </c>
      <c r="F58" s="221" t="s">
        <v>327</v>
      </c>
      <c r="G58" s="226" t="s">
        <v>281</v>
      </c>
      <c r="H58" s="222" t="s">
        <v>281</v>
      </c>
      <c r="I58" s="222" t="s">
        <v>20</v>
      </c>
      <c r="J58" s="222" t="s">
        <v>15</v>
      </c>
      <c r="K58" s="222" t="s">
        <v>281</v>
      </c>
      <c r="L58" s="222" t="s">
        <v>281</v>
      </c>
      <c r="M58" s="222" t="s">
        <v>281</v>
      </c>
      <c r="N58" s="222" t="s">
        <v>2</v>
      </c>
      <c r="O58" s="223" t="s">
        <v>2</v>
      </c>
      <c r="P58" s="223" t="s">
        <v>2</v>
      </c>
      <c r="Q58" s="223" t="s">
        <v>15</v>
      </c>
      <c r="R58" s="223" t="s">
        <v>15</v>
      </c>
      <c r="S58" s="223" t="s">
        <v>16</v>
      </c>
      <c r="T58" s="223" t="s">
        <v>328</v>
      </c>
      <c r="U58" s="223" t="s">
        <v>248</v>
      </c>
      <c r="V58" s="223" t="s">
        <v>2</v>
      </c>
      <c r="W58" s="224" t="s">
        <v>281</v>
      </c>
      <c r="X58" s="224" t="s">
        <v>281</v>
      </c>
      <c r="Y58" s="225" t="s">
        <v>281</v>
      </c>
    </row>
    <row r="59" spans="1:25">
      <c r="A59" s="219">
        <v>2</v>
      </c>
      <c r="B59" s="220" t="str">
        <f>VLOOKUP(Tabel10[[#This Row],[Code]],Ruimtegroepen[[Code]:[Ruimte omschrijving]],2,FALSE)</f>
        <v>Kantoren</v>
      </c>
      <c r="C59" s="221" t="s">
        <v>326</v>
      </c>
      <c r="D59" s="220" t="s">
        <v>29</v>
      </c>
      <c r="E59" s="221" t="s">
        <v>99</v>
      </c>
      <c r="F59" s="221" t="s">
        <v>329</v>
      </c>
      <c r="G59" s="222" t="s">
        <v>20</v>
      </c>
      <c r="H59" s="222" t="s">
        <v>15</v>
      </c>
      <c r="I59" s="222" t="s">
        <v>281</v>
      </c>
      <c r="J59" s="222" t="s">
        <v>281</v>
      </c>
      <c r="K59" s="222" t="s">
        <v>281</v>
      </c>
      <c r="L59" s="222" t="s">
        <v>281</v>
      </c>
      <c r="M59" s="222" t="s">
        <v>281</v>
      </c>
      <c r="N59" s="222" t="s">
        <v>2</v>
      </c>
      <c r="O59" s="223" t="s">
        <v>2</v>
      </c>
      <c r="P59" s="223" t="s">
        <v>2</v>
      </c>
      <c r="Q59" s="223" t="s">
        <v>15</v>
      </c>
      <c r="R59" s="223" t="s">
        <v>15</v>
      </c>
      <c r="S59" s="223" t="s">
        <v>16</v>
      </c>
      <c r="T59" s="223" t="s">
        <v>328</v>
      </c>
      <c r="U59" s="223" t="s">
        <v>248</v>
      </c>
      <c r="V59" s="223" t="s">
        <v>2</v>
      </c>
      <c r="W59" s="224" t="s">
        <v>281</v>
      </c>
      <c r="X59" s="224" t="s">
        <v>281</v>
      </c>
      <c r="Y59" s="225" t="s">
        <v>281</v>
      </c>
    </row>
    <row r="60" spans="1:25">
      <c r="A60" s="219">
        <v>2</v>
      </c>
      <c r="B60" s="220" t="str">
        <f>VLOOKUP(Tabel10[[#This Row],[Code]],Ruimtegroepen[[Code]:[Ruimte omschrijving]],2,FALSE)</f>
        <v>Kantoren</v>
      </c>
      <c r="C60" s="221" t="s">
        <v>326</v>
      </c>
      <c r="D60" s="220" t="s">
        <v>29</v>
      </c>
      <c r="E60" s="221" t="s">
        <v>101</v>
      </c>
      <c r="F60" s="221" t="s">
        <v>330</v>
      </c>
      <c r="G60" s="226" t="s">
        <v>281</v>
      </c>
      <c r="H60" s="222" t="s">
        <v>281</v>
      </c>
      <c r="I60" s="222" t="s">
        <v>20</v>
      </c>
      <c r="J60" s="222" t="s">
        <v>15</v>
      </c>
      <c r="K60" s="222" t="s">
        <v>248</v>
      </c>
      <c r="L60" s="222" t="s">
        <v>281</v>
      </c>
      <c r="M60" s="222" t="s">
        <v>281</v>
      </c>
      <c r="N60" s="222" t="s">
        <v>2</v>
      </c>
      <c r="O60" s="223" t="s">
        <v>2</v>
      </c>
      <c r="P60" s="223" t="s">
        <v>2</v>
      </c>
      <c r="Q60" s="223" t="s">
        <v>15</v>
      </c>
      <c r="R60" s="223" t="s">
        <v>15</v>
      </c>
      <c r="S60" s="223" t="s">
        <v>16</v>
      </c>
      <c r="T60" s="223" t="s">
        <v>328</v>
      </c>
      <c r="U60" s="223" t="s">
        <v>248</v>
      </c>
      <c r="V60" s="223" t="s">
        <v>2</v>
      </c>
      <c r="W60" s="224" t="s">
        <v>281</v>
      </c>
      <c r="X60" s="224" t="s">
        <v>281</v>
      </c>
      <c r="Y60" s="225" t="s">
        <v>281</v>
      </c>
    </row>
    <row r="61" spans="1:25">
      <c r="A61" s="219">
        <v>2</v>
      </c>
      <c r="B61" s="220" t="str">
        <f>VLOOKUP(Tabel10[[#This Row],[Code]],Ruimtegroepen[[Code]:[Ruimte omschrijving]],2,FALSE)</f>
        <v>Kantoren</v>
      </c>
      <c r="C61" s="221" t="s">
        <v>326</v>
      </c>
      <c r="D61" s="220" t="s">
        <v>29</v>
      </c>
      <c r="E61" s="221" t="s">
        <v>102</v>
      </c>
      <c r="F61" s="221" t="s">
        <v>331</v>
      </c>
      <c r="G61" s="226" t="s">
        <v>281</v>
      </c>
      <c r="H61" s="222" t="s">
        <v>281</v>
      </c>
      <c r="I61" s="222" t="s">
        <v>20</v>
      </c>
      <c r="J61" s="222" t="s">
        <v>15</v>
      </c>
      <c r="K61" s="222" t="s">
        <v>248</v>
      </c>
      <c r="L61" s="222" t="s">
        <v>281</v>
      </c>
      <c r="M61" s="222" t="s">
        <v>281</v>
      </c>
      <c r="N61" s="222" t="s">
        <v>2</v>
      </c>
      <c r="O61" s="223" t="s">
        <v>2</v>
      </c>
      <c r="P61" s="223" t="s">
        <v>2</v>
      </c>
      <c r="Q61" s="223" t="s">
        <v>15</v>
      </c>
      <c r="R61" s="223" t="s">
        <v>15</v>
      </c>
      <c r="S61" s="223" t="s">
        <v>16</v>
      </c>
      <c r="T61" s="223" t="s">
        <v>328</v>
      </c>
      <c r="U61" s="223" t="s">
        <v>248</v>
      </c>
      <c r="V61" s="223" t="s">
        <v>2</v>
      </c>
      <c r="W61" s="224" t="s">
        <v>281</v>
      </c>
      <c r="X61" s="224" t="s">
        <v>281</v>
      </c>
      <c r="Y61" s="225" t="s">
        <v>281</v>
      </c>
    </row>
    <row r="62" spans="1:25">
      <c r="A62" s="219">
        <v>2</v>
      </c>
      <c r="B62" s="220" t="str">
        <f>VLOOKUP(Tabel10[[#This Row],[Code]],Ruimtegroepen[[Code]:[Ruimte omschrijving]],2,FALSE)</f>
        <v>Kantoren</v>
      </c>
      <c r="C62" s="221" t="s">
        <v>326</v>
      </c>
      <c r="D62" s="220" t="s">
        <v>29</v>
      </c>
      <c r="E62" s="221" t="s">
        <v>99</v>
      </c>
      <c r="F62" s="221" t="s">
        <v>329</v>
      </c>
      <c r="G62" s="222" t="s">
        <v>20</v>
      </c>
      <c r="H62" s="222" t="s">
        <v>15</v>
      </c>
      <c r="I62" s="222" t="s">
        <v>281</v>
      </c>
      <c r="J62" s="222" t="s">
        <v>281</v>
      </c>
      <c r="K62" s="222" t="s">
        <v>281</v>
      </c>
      <c r="L62" s="222" t="s">
        <v>281</v>
      </c>
      <c r="M62" s="222" t="s">
        <v>281</v>
      </c>
      <c r="N62" s="222" t="s">
        <v>2</v>
      </c>
      <c r="O62" s="223" t="s">
        <v>2</v>
      </c>
      <c r="P62" s="223" t="s">
        <v>2</v>
      </c>
      <c r="Q62" s="223" t="s">
        <v>15</v>
      </c>
      <c r="R62" s="223" t="s">
        <v>15</v>
      </c>
      <c r="S62" s="223" t="s">
        <v>16</v>
      </c>
      <c r="T62" s="223" t="s">
        <v>328</v>
      </c>
      <c r="U62" s="223" t="s">
        <v>248</v>
      </c>
      <c r="V62" s="223" t="s">
        <v>2</v>
      </c>
      <c r="W62" s="224" t="s">
        <v>281</v>
      </c>
      <c r="X62" s="224" t="s">
        <v>281</v>
      </c>
      <c r="Y62" s="225" t="s">
        <v>281</v>
      </c>
    </row>
    <row r="63" spans="1:25">
      <c r="A63" s="219">
        <v>2</v>
      </c>
      <c r="B63" s="220" t="str">
        <f>VLOOKUP(Tabel10[[#This Row],[Code]],Ruimtegroepen[[Code]:[Ruimte omschrijving]],2,FALSE)</f>
        <v>Kantoren</v>
      </c>
      <c r="C63" s="221" t="s">
        <v>326</v>
      </c>
      <c r="D63" s="220" t="s">
        <v>29</v>
      </c>
      <c r="E63" s="221" t="s">
        <v>1309</v>
      </c>
      <c r="F63" s="221" t="s">
        <v>1328</v>
      </c>
      <c r="G63" s="226" t="s">
        <v>281</v>
      </c>
      <c r="H63" s="222" t="s">
        <v>281</v>
      </c>
      <c r="I63" s="222" t="s">
        <v>20</v>
      </c>
      <c r="J63" s="222" t="s">
        <v>15</v>
      </c>
      <c r="K63" s="222" t="s">
        <v>248</v>
      </c>
      <c r="L63" s="222" t="s">
        <v>281</v>
      </c>
      <c r="M63" s="222" t="s">
        <v>281</v>
      </c>
      <c r="N63" s="222" t="s">
        <v>2</v>
      </c>
      <c r="O63" s="223" t="s">
        <v>2</v>
      </c>
      <c r="P63" s="223" t="s">
        <v>2</v>
      </c>
      <c r="Q63" s="223" t="s">
        <v>15</v>
      </c>
      <c r="R63" s="223" t="s">
        <v>15</v>
      </c>
      <c r="S63" s="223" t="s">
        <v>16</v>
      </c>
      <c r="T63" s="223" t="s">
        <v>328</v>
      </c>
      <c r="U63" s="223" t="s">
        <v>248</v>
      </c>
      <c r="V63" s="223" t="s">
        <v>2</v>
      </c>
      <c r="W63" s="224" t="s">
        <v>281</v>
      </c>
      <c r="X63" s="224" t="s">
        <v>281</v>
      </c>
      <c r="Y63" s="225" t="s">
        <v>281</v>
      </c>
    </row>
    <row r="64" spans="1:25">
      <c r="A64" s="219">
        <v>2</v>
      </c>
      <c r="B64" s="220" t="str">
        <f>VLOOKUP(Tabel10[[#This Row],[Code]],Ruimtegroepen[[Code]:[Ruimte omschrijving]],2,FALSE)</f>
        <v>Kantoren</v>
      </c>
      <c r="C64" s="221" t="s">
        <v>332</v>
      </c>
      <c r="D64" s="220" t="s">
        <v>1</v>
      </c>
      <c r="E64" s="221" t="s">
        <v>100</v>
      </c>
      <c r="F64" s="221" t="s">
        <v>333</v>
      </c>
      <c r="G64" s="226" t="s">
        <v>281</v>
      </c>
      <c r="H64" s="222" t="s">
        <v>281</v>
      </c>
      <c r="I64" s="222" t="s">
        <v>20</v>
      </c>
      <c r="J64" s="222" t="s">
        <v>15</v>
      </c>
      <c r="K64" s="222" t="s">
        <v>281</v>
      </c>
      <c r="L64" s="222" t="s">
        <v>281</v>
      </c>
      <c r="M64" s="222" t="s">
        <v>281</v>
      </c>
      <c r="N64" s="222" t="s">
        <v>281</v>
      </c>
      <c r="O64" s="223" t="s">
        <v>2</v>
      </c>
      <c r="P64" s="223" t="s">
        <v>2</v>
      </c>
      <c r="Q64" s="223" t="s">
        <v>15</v>
      </c>
      <c r="R64" s="223" t="s">
        <v>15</v>
      </c>
      <c r="S64" s="223" t="s">
        <v>16</v>
      </c>
      <c r="T64" s="223" t="s">
        <v>328</v>
      </c>
      <c r="U64" s="223" t="s">
        <v>248</v>
      </c>
      <c r="V64" s="223" t="s">
        <v>281</v>
      </c>
      <c r="W64" s="224" t="s">
        <v>281</v>
      </c>
      <c r="X64" s="224" t="s">
        <v>281</v>
      </c>
      <c r="Y64" s="225" t="s">
        <v>281</v>
      </c>
    </row>
    <row r="65" spans="1:25">
      <c r="A65" s="219">
        <v>2</v>
      </c>
      <c r="B65" s="220" t="str">
        <f>VLOOKUP(Tabel10[[#This Row],[Code]],Ruimtegroepen[[Code]:[Ruimte omschrijving]],2,FALSE)</f>
        <v>Kantoren</v>
      </c>
      <c r="C65" s="221" t="s">
        <v>332</v>
      </c>
      <c r="D65" s="220" t="s">
        <v>1</v>
      </c>
      <c r="E65" s="221" t="s">
        <v>99</v>
      </c>
      <c r="F65" s="221" t="s">
        <v>334</v>
      </c>
      <c r="G65" s="222" t="s">
        <v>20</v>
      </c>
      <c r="H65" s="222" t="s">
        <v>15</v>
      </c>
      <c r="I65" s="222" t="s">
        <v>281</v>
      </c>
      <c r="J65" s="222" t="s">
        <v>281</v>
      </c>
      <c r="K65" s="222" t="s">
        <v>281</v>
      </c>
      <c r="L65" s="222" t="s">
        <v>281</v>
      </c>
      <c r="M65" s="222" t="s">
        <v>281</v>
      </c>
      <c r="N65" s="222" t="s">
        <v>281</v>
      </c>
      <c r="O65" s="223" t="s">
        <v>2</v>
      </c>
      <c r="P65" s="223" t="s">
        <v>2</v>
      </c>
      <c r="Q65" s="223" t="s">
        <v>15</v>
      </c>
      <c r="R65" s="223" t="s">
        <v>15</v>
      </c>
      <c r="S65" s="223" t="s">
        <v>16</v>
      </c>
      <c r="T65" s="223" t="s">
        <v>328</v>
      </c>
      <c r="U65" s="223" t="s">
        <v>248</v>
      </c>
      <c r="V65" s="223" t="s">
        <v>281</v>
      </c>
      <c r="W65" s="224" t="s">
        <v>281</v>
      </c>
      <c r="X65" s="224" t="s">
        <v>281</v>
      </c>
      <c r="Y65" s="225" t="s">
        <v>281</v>
      </c>
    </row>
    <row r="66" spans="1:25">
      <c r="A66" s="219">
        <v>2</v>
      </c>
      <c r="B66" s="220" t="str">
        <f>VLOOKUP(Tabel10[[#This Row],[Code]],Ruimtegroepen[[Code]:[Ruimte omschrijving]],2,FALSE)</f>
        <v>Kantoren</v>
      </c>
      <c r="C66" s="221" t="s">
        <v>332</v>
      </c>
      <c r="D66" s="220" t="s">
        <v>1</v>
      </c>
      <c r="E66" s="221" t="s">
        <v>101</v>
      </c>
      <c r="F66" s="221" t="s">
        <v>335</v>
      </c>
      <c r="G66" s="226" t="s">
        <v>281</v>
      </c>
      <c r="H66" s="222" t="s">
        <v>281</v>
      </c>
      <c r="I66" s="222" t="s">
        <v>20</v>
      </c>
      <c r="J66" s="222" t="s">
        <v>15</v>
      </c>
      <c r="K66" s="222" t="s">
        <v>248</v>
      </c>
      <c r="L66" s="222" t="s">
        <v>281</v>
      </c>
      <c r="M66" s="222" t="s">
        <v>281</v>
      </c>
      <c r="N66" s="222" t="s">
        <v>281</v>
      </c>
      <c r="O66" s="223" t="s">
        <v>2</v>
      </c>
      <c r="P66" s="223" t="s">
        <v>2</v>
      </c>
      <c r="Q66" s="223" t="s">
        <v>15</v>
      </c>
      <c r="R66" s="223" t="s">
        <v>15</v>
      </c>
      <c r="S66" s="223" t="s">
        <v>16</v>
      </c>
      <c r="T66" s="223" t="s">
        <v>328</v>
      </c>
      <c r="U66" s="223" t="s">
        <v>248</v>
      </c>
      <c r="V66" s="223" t="s">
        <v>281</v>
      </c>
      <c r="W66" s="224" t="s">
        <v>281</v>
      </c>
      <c r="X66" s="224" t="s">
        <v>281</v>
      </c>
      <c r="Y66" s="225" t="s">
        <v>281</v>
      </c>
    </row>
    <row r="67" spans="1:25">
      <c r="A67" s="219">
        <v>2</v>
      </c>
      <c r="B67" s="220" t="str">
        <f>VLOOKUP(Tabel10[[#This Row],[Code]],Ruimtegroepen[[Code]:[Ruimte omschrijving]],2,FALSE)</f>
        <v>Kantoren</v>
      </c>
      <c r="C67" s="221" t="s">
        <v>332</v>
      </c>
      <c r="D67" s="220" t="s">
        <v>1</v>
      </c>
      <c r="E67" s="221" t="s">
        <v>102</v>
      </c>
      <c r="F67" s="221" t="s">
        <v>336</v>
      </c>
      <c r="G67" s="226" t="s">
        <v>281</v>
      </c>
      <c r="H67" s="222" t="s">
        <v>281</v>
      </c>
      <c r="I67" s="222" t="s">
        <v>20</v>
      </c>
      <c r="J67" s="222" t="s">
        <v>15</v>
      </c>
      <c r="K67" s="222" t="s">
        <v>248</v>
      </c>
      <c r="L67" s="222" t="s">
        <v>281</v>
      </c>
      <c r="M67" s="222" t="s">
        <v>281</v>
      </c>
      <c r="N67" s="222" t="s">
        <v>281</v>
      </c>
      <c r="O67" s="223" t="s">
        <v>2</v>
      </c>
      <c r="P67" s="223" t="s">
        <v>2</v>
      </c>
      <c r="Q67" s="223" t="s">
        <v>15</v>
      </c>
      <c r="R67" s="223" t="s">
        <v>15</v>
      </c>
      <c r="S67" s="223" t="s">
        <v>16</v>
      </c>
      <c r="T67" s="223" t="s">
        <v>328</v>
      </c>
      <c r="U67" s="223" t="s">
        <v>248</v>
      </c>
      <c r="V67" s="223" t="s">
        <v>281</v>
      </c>
      <c r="W67" s="224" t="s">
        <v>281</v>
      </c>
      <c r="X67" s="224" t="s">
        <v>281</v>
      </c>
      <c r="Y67" s="225" t="s">
        <v>281</v>
      </c>
    </row>
    <row r="68" spans="1:25">
      <c r="A68" s="219">
        <v>2</v>
      </c>
      <c r="B68" s="220" t="str">
        <f>VLOOKUP(Tabel10[[#This Row],[Code]],Ruimtegroepen[[Code]:[Ruimte omschrijving]],2,FALSE)</f>
        <v>Kantoren</v>
      </c>
      <c r="C68" s="221" t="s">
        <v>332</v>
      </c>
      <c r="D68" s="220" t="s">
        <v>1</v>
      </c>
      <c r="E68" s="221" t="s">
        <v>99</v>
      </c>
      <c r="F68" s="221" t="s">
        <v>334</v>
      </c>
      <c r="G68" s="222" t="s">
        <v>20</v>
      </c>
      <c r="H68" s="222" t="s">
        <v>15</v>
      </c>
      <c r="I68" s="222" t="s">
        <v>281</v>
      </c>
      <c r="J68" s="222" t="s">
        <v>281</v>
      </c>
      <c r="K68" s="222" t="s">
        <v>281</v>
      </c>
      <c r="L68" s="222" t="s">
        <v>281</v>
      </c>
      <c r="M68" s="222" t="s">
        <v>281</v>
      </c>
      <c r="N68" s="222" t="s">
        <v>281</v>
      </c>
      <c r="O68" s="223" t="s">
        <v>2</v>
      </c>
      <c r="P68" s="223" t="s">
        <v>2</v>
      </c>
      <c r="Q68" s="223" t="s">
        <v>15</v>
      </c>
      <c r="R68" s="223" t="s">
        <v>15</v>
      </c>
      <c r="S68" s="223" t="s">
        <v>16</v>
      </c>
      <c r="T68" s="223" t="s">
        <v>328</v>
      </c>
      <c r="U68" s="223" t="s">
        <v>248</v>
      </c>
      <c r="V68" s="223" t="s">
        <v>281</v>
      </c>
      <c r="W68" s="224" t="s">
        <v>281</v>
      </c>
      <c r="X68" s="224" t="s">
        <v>281</v>
      </c>
      <c r="Y68" s="225" t="s">
        <v>281</v>
      </c>
    </row>
    <row r="69" spans="1:25">
      <c r="A69" s="219">
        <v>2</v>
      </c>
      <c r="B69" s="220" t="str">
        <f>VLOOKUP(Tabel10[[#This Row],[Code]],Ruimtegroepen[[Code]:[Ruimte omschrijving]],2,FALSE)</f>
        <v>Kantoren</v>
      </c>
      <c r="C69" s="221" t="s">
        <v>332</v>
      </c>
      <c r="D69" s="220" t="s">
        <v>1</v>
      </c>
      <c r="E69" s="221" t="s">
        <v>1309</v>
      </c>
      <c r="F69" s="221" t="s">
        <v>1329</v>
      </c>
      <c r="G69" s="226" t="s">
        <v>281</v>
      </c>
      <c r="H69" s="222" t="s">
        <v>281</v>
      </c>
      <c r="I69" s="222" t="s">
        <v>20</v>
      </c>
      <c r="J69" s="222" t="s">
        <v>15</v>
      </c>
      <c r="K69" s="222" t="s">
        <v>248</v>
      </c>
      <c r="L69" s="222" t="s">
        <v>281</v>
      </c>
      <c r="M69" s="222" t="s">
        <v>281</v>
      </c>
      <c r="N69" s="222" t="s">
        <v>281</v>
      </c>
      <c r="O69" s="223" t="s">
        <v>2</v>
      </c>
      <c r="P69" s="223" t="s">
        <v>2</v>
      </c>
      <c r="Q69" s="223" t="s">
        <v>15</v>
      </c>
      <c r="R69" s="223" t="s">
        <v>15</v>
      </c>
      <c r="S69" s="223" t="s">
        <v>16</v>
      </c>
      <c r="T69" s="223" t="s">
        <v>328</v>
      </c>
      <c r="U69" s="223" t="s">
        <v>248</v>
      </c>
      <c r="V69" s="223" t="s">
        <v>281</v>
      </c>
      <c r="W69" s="224" t="s">
        <v>281</v>
      </c>
      <c r="X69" s="224" t="s">
        <v>281</v>
      </c>
      <c r="Y69" s="225" t="s">
        <v>281</v>
      </c>
    </row>
    <row r="70" spans="1:25">
      <c r="A70" s="219">
        <v>2</v>
      </c>
      <c r="B70" s="220" t="str">
        <f>VLOOKUP(Tabel10[[#This Row],[Code]],Ruimtegroepen[[Code]:[Ruimte omschrijving]],2,FALSE)</f>
        <v>Kantoren</v>
      </c>
      <c r="C70" s="221" t="s">
        <v>337</v>
      </c>
      <c r="D70" s="220" t="s">
        <v>21</v>
      </c>
      <c r="E70" s="221" t="s">
        <v>100</v>
      </c>
      <c r="F70" s="221" t="s">
        <v>338</v>
      </c>
      <c r="G70" s="226" t="s">
        <v>281</v>
      </c>
      <c r="H70" s="222" t="s">
        <v>281</v>
      </c>
      <c r="I70" s="222" t="s">
        <v>18</v>
      </c>
      <c r="J70" s="222" t="s">
        <v>15</v>
      </c>
      <c r="K70" s="222" t="s">
        <v>281</v>
      </c>
      <c r="L70" s="222" t="s">
        <v>281</v>
      </c>
      <c r="M70" s="222" t="s">
        <v>281</v>
      </c>
      <c r="N70" s="222" t="s">
        <v>281</v>
      </c>
      <c r="O70" s="223" t="s">
        <v>20</v>
      </c>
      <c r="P70" s="223" t="s">
        <v>20</v>
      </c>
      <c r="Q70" s="223" t="s">
        <v>15</v>
      </c>
      <c r="R70" s="223" t="s">
        <v>15</v>
      </c>
      <c r="S70" s="223" t="s">
        <v>16</v>
      </c>
      <c r="T70" s="223" t="s">
        <v>328</v>
      </c>
      <c r="U70" s="223" t="s">
        <v>248</v>
      </c>
      <c r="V70" s="223" t="s">
        <v>281</v>
      </c>
      <c r="W70" s="224" t="s">
        <v>281</v>
      </c>
      <c r="X70" s="224" t="s">
        <v>281</v>
      </c>
      <c r="Y70" s="225" t="s">
        <v>281</v>
      </c>
    </row>
    <row r="71" spans="1:25">
      <c r="A71" s="219">
        <v>2</v>
      </c>
      <c r="B71" s="220" t="str">
        <f>VLOOKUP(Tabel10[[#This Row],[Code]],Ruimtegroepen[[Code]:[Ruimte omschrijving]],2,FALSE)</f>
        <v>Kantoren</v>
      </c>
      <c r="C71" s="221" t="s">
        <v>337</v>
      </c>
      <c r="D71" s="220" t="s">
        <v>21</v>
      </c>
      <c r="E71" s="221" t="s">
        <v>99</v>
      </c>
      <c r="F71" s="221" t="s">
        <v>339</v>
      </c>
      <c r="G71" s="222" t="s">
        <v>18</v>
      </c>
      <c r="H71" s="222" t="s">
        <v>15</v>
      </c>
      <c r="I71" s="222" t="s">
        <v>281</v>
      </c>
      <c r="J71" s="222" t="s">
        <v>281</v>
      </c>
      <c r="K71" s="222" t="s">
        <v>281</v>
      </c>
      <c r="L71" s="222" t="s">
        <v>281</v>
      </c>
      <c r="M71" s="222" t="s">
        <v>281</v>
      </c>
      <c r="N71" s="222" t="s">
        <v>281</v>
      </c>
      <c r="O71" s="223" t="s">
        <v>20</v>
      </c>
      <c r="P71" s="223" t="s">
        <v>20</v>
      </c>
      <c r="Q71" s="223" t="s">
        <v>15</v>
      </c>
      <c r="R71" s="223" t="s">
        <v>15</v>
      </c>
      <c r="S71" s="223" t="s">
        <v>16</v>
      </c>
      <c r="T71" s="223" t="s">
        <v>328</v>
      </c>
      <c r="U71" s="223" t="s">
        <v>248</v>
      </c>
      <c r="V71" s="223" t="s">
        <v>281</v>
      </c>
      <c r="W71" s="224" t="s">
        <v>281</v>
      </c>
      <c r="X71" s="224" t="s">
        <v>281</v>
      </c>
      <c r="Y71" s="225" t="s">
        <v>281</v>
      </c>
    </row>
    <row r="72" spans="1:25">
      <c r="A72" s="219">
        <v>2</v>
      </c>
      <c r="B72" s="220" t="str">
        <f>VLOOKUP(Tabel10[[#This Row],[Code]],Ruimtegroepen[[Code]:[Ruimte omschrijving]],2,FALSE)</f>
        <v>Kantoren</v>
      </c>
      <c r="C72" s="221" t="s">
        <v>337</v>
      </c>
      <c r="D72" s="220" t="s">
        <v>21</v>
      </c>
      <c r="E72" s="221" t="s">
        <v>101</v>
      </c>
      <c r="F72" s="221" t="s">
        <v>340</v>
      </c>
      <c r="G72" s="226" t="s">
        <v>281</v>
      </c>
      <c r="H72" s="222" t="s">
        <v>281</v>
      </c>
      <c r="I72" s="222" t="s">
        <v>18</v>
      </c>
      <c r="J72" s="222" t="s">
        <v>15</v>
      </c>
      <c r="K72" s="222" t="s">
        <v>248</v>
      </c>
      <c r="L72" s="222" t="s">
        <v>281</v>
      </c>
      <c r="M72" s="222" t="s">
        <v>281</v>
      </c>
      <c r="N72" s="222" t="s">
        <v>281</v>
      </c>
      <c r="O72" s="223" t="s">
        <v>20</v>
      </c>
      <c r="P72" s="223" t="s">
        <v>20</v>
      </c>
      <c r="Q72" s="223" t="s">
        <v>15</v>
      </c>
      <c r="R72" s="223" t="s">
        <v>15</v>
      </c>
      <c r="S72" s="223" t="s">
        <v>16</v>
      </c>
      <c r="T72" s="223" t="s">
        <v>328</v>
      </c>
      <c r="U72" s="223" t="s">
        <v>248</v>
      </c>
      <c r="V72" s="223" t="s">
        <v>281</v>
      </c>
      <c r="W72" s="224" t="s">
        <v>281</v>
      </c>
      <c r="X72" s="224" t="s">
        <v>281</v>
      </c>
      <c r="Y72" s="225" t="s">
        <v>281</v>
      </c>
    </row>
    <row r="73" spans="1:25">
      <c r="A73" s="219">
        <v>2</v>
      </c>
      <c r="B73" s="220" t="str">
        <f>VLOOKUP(Tabel10[[#This Row],[Code]],Ruimtegroepen[[Code]:[Ruimte omschrijving]],2,FALSE)</f>
        <v>Kantoren</v>
      </c>
      <c r="C73" s="221" t="s">
        <v>337</v>
      </c>
      <c r="D73" s="220" t="s">
        <v>21</v>
      </c>
      <c r="E73" s="221" t="s">
        <v>102</v>
      </c>
      <c r="F73" s="221" t="s">
        <v>341</v>
      </c>
      <c r="G73" s="226" t="s">
        <v>281</v>
      </c>
      <c r="H73" s="222" t="s">
        <v>281</v>
      </c>
      <c r="I73" s="222" t="s">
        <v>18</v>
      </c>
      <c r="J73" s="222" t="s">
        <v>15</v>
      </c>
      <c r="K73" s="222" t="s">
        <v>248</v>
      </c>
      <c r="L73" s="222" t="s">
        <v>281</v>
      </c>
      <c r="M73" s="222" t="s">
        <v>281</v>
      </c>
      <c r="N73" s="222" t="s">
        <v>281</v>
      </c>
      <c r="O73" s="223" t="s">
        <v>20</v>
      </c>
      <c r="P73" s="223" t="s">
        <v>20</v>
      </c>
      <c r="Q73" s="223" t="s">
        <v>15</v>
      </c>
      <c r="R73" s="223" t="s">
        <v>15</v>
      </c>
      <c r="S73" s="223" t="s">
        <v>16</v>
      </c>
      <c r="T73" s="223" t="s">
        <v>328</v>
      </c>
      <c r="U73" s="223" t="s">
        <v>248</v>
      </c>
      <c r="V73" s="223" t="s">
        <v>281</v>
      </c>
      <c r="W73" s="224" t="s">
        <v>281</v>
      </c>
      <c r="X73" s="224" t="s">
        <v>281</v>
      </c>
      <c r="Y73" s="225" t="s">
        <v>281</v>
      </c>
    </row>
    <row r="74" spans="1:25">
      <c r="A74" s="219">
        <v>2</v>
      </c>
      <c r="B74" s="220" t="str">
        <f>VLOOKUP(Tabel10[[#This Row],[Code]],Ruimtegroepen[[Code]:[Ruimte omschrijving]],2,FALSE)</f>
        <v>Kantoren</v>
      </c>
      <c r="C74" s="221" t="s">
        <v>337</v>
      </c>
      <c r="D74" s="220" t="s">
        <v>21</v>
      </c>
      <c r="E74" s="221" t="s">
        <v>99</v>
      </c>
      <c r="F74" s="221" t="s">
        <v>339</v>
      </c>
      <c r="G74" s="222" t="s">
        <v>18</v>
      </c>
      <c r="H74" s="222" t="s">
        <v>15</v>
      </c>
      <c r="I74" s="222" t="s">
        <v>281</v>
      </c>
      <c r="J74" s="222" t="s">
        <v>281</v>
      </c>
      <c r="K74" s="222" t="s">
        <v>281</v>
      </c>
      <c r="L74" s="222" t="s">
        <v>281</v>
      </c>
      <c r="M74" s="222" t="s">
        <v>281</v>
      </c>
      <c r="N74" s="222" t="s">
        <v>281</v>
      </c>
      <c r="O74" s="223" t="s">
        <v>20</v>
      </c>
      <c r="P74" s="223" t="s">
        <v>20</v>
      </c>
      <c r="Q74" s="223" t="s">
        <v>15</v>
      </c>
      <c r="R74" s="223" t="s">
        <v>15</v>
      </c>
      <c r="S74" s="223" t="s">
        <v>16</v>
      </c>
      <c r="T74" s="223" t="s">
        <v>328</v>
      </c>
      <c r="U74" s="223" t="s">
        <v>248</v>
      </c>
      <c r="V74" s="223" t="s">
        <v>281</v>
      </c>
      <c r="W74" s="224" t="s">
        <v>281</v>
      </c>
      <c r="X74" s="224" t="s">
        <v>281</v>
      </c>
      <c r="Y74" s="225" t="s">
        <v>281</v>
      </c>
    </row>
    <row r="75" spans="1:25">
      <c r="A75" s="219">
        <v>2</v>
      </c>
      <c r="B75" s="220" t="str">
        <f>VLOOKUP(Tabel10[[#This Row],[Code]],Ruimtegroepen[[Code]:[Ruimte omschrijving]],2,FALSE)</f>
        <v>Kantoren</v>
      </c>
      <c r="C75" s="221" t="s">
        <v>342</v>
      </c>
      <c r="D75" s="220" t="s">
        <v>12</v>
      </c>
      <c r="E75" s="221" t="s">
        <v>1309</v>
      </c>
      <c r="F75" s="221" t="s">
        <v>1331</v>
      </c>
      <c r="G75" s="226" t="s">
        <v>281</v>
      </c>
      <c r="H75" s="222" t="s">
        <v>281</v>
      </c>
      <c r="I75" s="222" t="s">
        <v>18</v>
      </c>
      <c r="J75" s="222" t="s">
        <v>15</v>
      </c>
      <c r="K75" s="222" t="s">
        <v>248</v>
      </c>
      <c r="L75" s="222" t="s">
        <v>281</v>
      </c>
      <c r="M75" s="222" t="s">
        <v>281</v>
      </c>
      <c r="N75" s="222" t="s">
        <v>281</v>
      </c>
      <c r="O75" s="223" t="s">
        <v>20</v>
      </c>
      <c r="P75" s="223" t="s">
        <v>20</v>
      </c>
      <c r="Q75" s="223" t="s">
        <v>15</v>
      </c>
      <c r="R75" s="223" t="s">
        <v>15</v>
      </c>
      <c r="S75" s="223" t="s">
        <v>16</v>
      </c>
      <c r="T75" s="223" t="s">
        <v>328</v>
      </c>
      <c r="U75" s="223" t="s">
        <v>248</v>
      </c>
      <c r="V75" s="223" t="s">
        <v>281</v>
      </c>
      <c r="W75" s="224" t="s">
        <v>281</v>
      </c>
      <c r="X75" s="224" t="s">
        <v>281</v>
      </c>
      <c r="Y75" s="225" t="s">
        <v>281</v>
      </c>
    </row>
    <row r="76" spans="1:25">
      <c r="A76" s="219">
        <v>2</v>
      </c>
      <c r="B76" s="220" t="str">
        <f>VLOOKUP(Tabel10[[#This Row],[Code]],Ruimtegroepen[[Code]:[Ruimte omschrijving]],2,FALSE)</f>
        <v>Kantoren</v>
      </c>
      <c r="C76" s="221" t="s">
        <v>342</v>
      </c>
      <c r="D76" s="220" t="s">
        <v>12</v>
      </c>
      <c r="E76" s="221" t="s">
        <v>100</v>
      </c>
      <c r="F76" s="221" t="s">
        <v>343</v>
      </c>
      <c r="G76" s="226" t="s">
        <v>281</v>
      </c>
      <c r="H76" s="222" t="s">
        <v>281</v>
      </c>
      <c r="I76" s="222" t="s">
        <v>17</v>
      </c>
      <c r="J76" s="222" t="s">
        <v>15</v>
      </c>
      <c r="K76" s="222" t="s">
        <v>281</v>
      </c>
      <c r="L76" s="222" t="s">
        <v>281</v>
      </c>
      <c r="M76" s="222" t="s">
        <v>281</v>
      </c>
      <c r="N76" s="222" t="s">
        <v>281</v>
      </c>
      <c r="O76" s="223" t="s">
        <v>18</v>
      </c>
      <c r="P76" s="223" t="s">
        <v>18</v>
      </c>
      <c r="Q76" s="223" t="s">
        <v>15</v>
      </c>
      <c r="R76" s="223" t="s">
        <v>15</v>
      </c>
      <c r="S76" s="223" t="s">
        <v>16</v>
      </c>
      <c r="T76" s="223" t="s">
        <v>328</v>
      </c>
      <c r="U76" s="223" t="s">
        <v>248</v>
      </c>
      <c r="V76" s="223" t="s">
        <v>281</v>
      </c>
      <c r="W76" s="224" t="s">
        <v>281</v>
      </c>
      <c r="X76" s="224" t="s">
        <v>281</v>
      </c>
      <c r="Y76" s="225" t="s">
        <v>281</v>
      </c>
    </row>
    <row r="77" spans="1:25">
      <c r="A77" s="219">
        <v>2</v>
      </c>
      <c r="B77" s="220" t="str">
        <f>VLOOKUP(Tabel10[[#This Row],[Code]],Ruimtegroepen[[Code]:[Ruimte omschrijving]],2,FALSE)</f>
        <v>Kantoren</v>
      </c>
      <c r="C77" s="221" t="s">
        <v>342</v>
      </c>
      <c r="D77" s="220" t="s">
        <v>12</v>
      </c>
      <c r="E77" s="221" t="s">
        <v>99</v>
      </c>
      <c r="F77" s="221" t="s">
        <v>344</v>
      </c>
      <c r="G77" s="222" t="s">
        <v>17</v>
      </c>
      <c r="H77" s="222" t="s">
        <v>15</v>
      </c>
      <c r="I77" s="222" t="s">
        <v>281</v>
      </c>
      <c r="J77" s="222" t="s">
        <v>281</v>
      </c>
      <c r="K77" s="222" t="s">
        <v>281</v>
      </c>
      <c r="L77" s="222" t="s">
        <v>281</v>
      </c>
      <c r="M77" s="222" t="s">
        <v>281</v>
      </c>
      <c r="N77" s="222" t="s">
        <v>281</v>
      </c>
      <c r="O77" s="223" t="s">
        <v>18</v>
      </c>
      <c r="P77" s="223" t="s">
        <v>18</v>
      </c>
      <c r="Q77" s="223" t="s">
        <v>15</v>
      </c>
      <c r="R77" s="223" t="s">
        <v>15</v>
      </c>
      <c r="S77" s="223" t="s">
        <v>16</v>
      </c>
      <c r="T77" s="223" t="s">
        <v>328</v>
      </c>
      <c r="U77" s="223" t="s">
        <v>248</v>
      </c>
      <c r="V77" s="223" t="s">
        <v>281</v>
      </c>
      <c r="W77" s="224" t="s">
        <v>281</v>
      </c>
      <c r="X77" s="224" t="s">
        <v>281</v>
      </c>
      <c r="Y77" s="225" t="s">
        <v>281</v>
      </c>
    </row>
    <row r="78" spans="1:25">
      <c r="A78" s="219">
        <v>2</v>
      </c>
      <c r="B78" s="220" t="str">
        <f>VLOOKUP(Tabel10[[#This Row],[Code]],Ruimtegroepen[[Code]:[Ruimte omschrijving]],2,FALSE)</f>
        <v>Kantoren</v>
      </c>
      <c r="C78" s="221" t="s">
        <v>342</v>
      </c>
      <c r="D78" s="220" t="s">
        <v>12</v>
      </c>
      <c r="E78" s="221" t="s">
        <v>101</v>
      </c>
      <c r="F78" s="221" t="s">
        <v>345</v>
      </c>
      <c r="G78" s="226" t="s">
        <v>281</v>
      </c>
      <c r="H78" s="222" t="s">
        <v>281</v>
      </c>
      <c r="I78" s="222" t="s">
        <v>17</v>
      </c>
      <c r="J78" s="222" t="s">
        <v>15</v>
      </c>
      <c r="K78" s="222" t="s">
        <v>248</v>
      </c>
      <c r="L78" s="222" t="s">
        <v>281</v>
      </c>
      <c r="M78" s="222" t="s">
        <v>281</v>
      </c>
      <c r="N78" s="222" t="s">
        <v>281</v>
      </c>
      <c r="O78" s="223" t="s">
        <v>18</v>
      </c>
      <c r="P78" s="223" t="s">
        <v>18</v>
      </c>
      <c r="Q78" s="223" t="s">
        <v>15</v>
      </c>
      <c r="R78" s="223" t="s">
        <v>15</v>
      </c>
      <c r="S78" s="223" t="s">
        <v>16</v>
      </c>
      <c r="T78" s="223" t="s">
        <v>328</v>
      </c>
      <c r="U78" s="223" t="s">
        <v>248</v>
      </c>
      <c r="V78" s="223" t="s">
        <v>281</v>
      </c>
      <c r="W78" s="224" t="s">
        <v>281</v>
      </c>
      <c r="X78" s="224" t="s">
        <v>281</v>
      </c>
      <c r="Y78" s="225" t="s">
        <v>281</v>
      </c>
    </row>
    <row r="79" spans="1:25">
      <c r="A79" s="219">
        <v>2</v>
      </c>
      <c r="B79" s="220" t="str">
        <f>VLOOKUP(Tabel10[[#This Row],[Code]],Ruimtegroepen[[Code]:[Ruimte omschrijving]],2,FALSE)</f>
        <v>Kantoren</v>
      </c>
      <c r="C79" s="221" t="s">
        <v>342</v>
      </c>
      <c r="D79" s="220" t="s">
        <v>12</v>
      </c>
      <c r="E79" s="221" t="s">
        <v>102</v>
      </c>
      <c r="F79" s="221" t="s">
        <v>346</v>
      </c>
      <c r="G79" s="226" t="s">
        <v>281</v>
      </c>
      <c r="H79" s="222" t="s">
        <v>281</v>
      </c>
      <c r="I79" s="222" t="s">
        <v>17</v>
      </c>
      <c r="J79" s="222" t="s">
        <v>15</v>
      </c>
      <c r="K79" s="222" t="s">
        <v>248</v>
      </c>
      <c r="L79" s="222" t="s">
        <v>281</v>
      </c>
      <c r="M79" s="222" t="s">
        <v>281</v>
      </c>
      <c r="N79" s="222" t="s">
        <v>281</v>
      </c>
      <c r="O79" s="223" t="s">
        <v>18</v>
      </c>
      <c r="P79" s="223" t="s">
        <v>18</v>
      </c>
      <c r="Q79" s="223" t="s">
        <v>15</v>
      </c>
      <c r="R79" s="223" t="s">
        <v>15</v>
      </c>
      <c r="S79" s="223" t="s">
        <v>16</v>
      </c>
      <c r="T79" s="223" t="s">
        <v>328</v>
      </c>
      <c r="U79" s="223" t="s">
        <v>248</v>
      </c>
      <c r="V79" s="223" t="s">
        <v>281</v>
      </c>
      <c r="W79" s="224" t="s">
        <v>281</v>
      </c>
      <c r="X79" s="224" t="s">
        <v>281</v>
      </c>
      <c r="Y79" s="225" t="s">
        <v>281</v>
      </c>
    </row>
    <row r="80" spans="1:25">
      <c r="A80" s="219">
        <v>2</v>
      </c>
      <c r="B80" s="220" t="str">
        <f>VLOOKUP(Tabel10[[#This Row],[Code]],Ruimtegroepen[[Code]:[Ruimte omschrijving]],2,FALSE)</f>
        <v>Kantoren</v>
      </c>
      <c r="C80" s="221" t="s">
        <v>342</v>
      </c>
      <c r="D80" s="220" t="s">
        <v>12</v>
      </c>
      <c r="E80" s="221" t="s">
        <v>99</v>
      </c>
      <c r="F80" s="221" t="s">
        <v>344</v>
      </c>
      <c r="G80" s="222" t="s">
        <v>17</v>
      </c>
      <c r="H80" s="222" t="s">
        <v>15</v>
      </c>
      <c r="I80" s="222" t="s">
        <v>281</v>
      </c>
      <c r="J80" s="222" t="s">
        <v>281</v>
      </c>
      <c r="K80" s="222" t="s">
        <v>281</v>
      </c>
      <c r="L80" s="222" t="s">
        <v>281</v>
      </c>
      <c r="M80" s="222" t="s">
        <v>281</v>
      </c>
      <c r="N80" s="222" t="s">
        <v>281</v>
      </c>
      <c r="O80" s="223" t="s">
        <v>18</v>
      </c>
      <c r="P80" s="223" t="s">
        <v>18</v>
      </c>
      <c r="Q80" s="223" t="s">
        <v>15</v>
      </c>
      <c r="R80" s="223" t="s">
        <v>15</v>
      </c>
      <c r="S80" s="223" t="s">
        <v>16</v>
      </c>
      <c r="T80" s="223" t="s">
        <v>328</v>
      </c>
      <c r="U80" s="223" t="s">
        <v>248</v>
      </c>
      <c r="V80" s="223" t="s">
        <v>281</v>
      </c>
      <c r="W80" s="224" t="s">
        <v>281</v>
      </c>
      <c r="X80" s="224" t="s">
        <v>281</v>
      </c>
      <c r="Y80" s="225" t="s">
        <v>281</v>
      </c>
    </row>
    <row r="81" spans="1:25">
      <c r="A81" s="219">
        <v>2</v>
      </c>
      <c r="B81" s="220" t="str">
        <f>VLOOKUP(Tabel10[[#This Row],[Code]],Ruimtegroepen[[Code]:[Ruimte omschrijving]],2,FALSE)</f>
        <v>Kantoren</v>
      </c>
      <c r="C81" s="221" t="s">
        <v>342</v>
      </c>
      <c r="D81" s="220" t="s">
        <v>12</v>
      </c>
      <c r="E81" s="221" t="s">
        <v>1309</v>
      </c>
      <c r="F81" s="221" t="s">
        <v>1330</v>
      </c>
      <c r="G81" s="226" t="s">
        <v>281</v>
      </c>
      <c r="H81" s="222" t="s">
        <v>281</v>
      </c>
      <c r="I81" s="222" t="s">
        <v>17</v>
      </c>
      <c r="J81" s="222" t="s">
        <v>15</v>
      </c>
      <c r="K81" s="222" t="s">
        <v>248</v>
      </c>
      <c r="L81" s="222" t="s">
        <v>281</v>
      </c>
      <c r="M81" s="222" t="s">
        <v>281</v>
      </c>
      <c r="N81" s="222" t="s">
        <v>281</v>
      </c>
      <c r="O81" s="223" t="s">
        <v>18</v>
      </c>
      <c r="P81" s="223" t="s">
        <v>18</v>
      </c>
      <c r="Q81" s="223" t="s">
        <v>15</v>
      </c>
      <c r="R81" s="223" t="s">
        <v>15</v>
      </c>
      <c r="S81" s="223" t="s">
        <v>16</v>
      </c>
      <c r="T81" s="223" t="s">
        <v>328</v>
      </c>
      <c r="U81" s="223" t="s">
        <v>248</v>
      </c>
      <c r="V81" s="223" t="s">
        <v>281</v>
      </c>
      <c r="W81" s="224" t="s">
        <v>281</v>
      </c>
      <c r="X81" s="224" t="s">
        <v>281</v>
      </c>
      <c r="Y81" s="225" t="s">
        <v>281</v>
      </c>
    </row>
    <row r="82" spans="1:25">
      <c r="A82" s="219">
        <v>2</v>
      </c>
      <c r="B82" s="220" t="str">
        <f>VLOOKUP(Tabel10[[#This Row],[Code]],Ruimtegroepen[[Code]:[Ruimte omschrijving]],2,FALSE)</f>
        <v>Kantoren</v>
      </c>
      <c r="C82" s="221" t="s">
        <v>347</v>
      </c>
      <c r="D82" s="220" t="s">
        <v>14</v>
      </c>
      <c r="E82" s="221" t="s">
        <v>100</v>
      </c>
      <c r="F82" s="221" t="s">
        <v>348</v>
      </c>
      <c r="G82" s="226" t="s">
        <v>281</v>
      </c>
      <c r="H82" s="222" t="s">
        <v>281</v>
      </c>
      <c r="I82" s="222" t="s">
        <v>15</v>
      </c>
      <c r="J82" s="222" t="s">
        <v>15</v>
      </c>
      <c r="K82" s="222" t="s">
        <v>281</v>
      </c>
      <c r="L82" s="222" t="s">
        <v>281</v>
      </c>
      <c r="M82" s="222" t="s">
        <v>281</v>
      </c>
      <c r="N82" s="222" t="s">
        <v>281</v>
      </c>
      <c r="O82" s="223" t="s">
        <v>17</v>
      </c>
      <c r="P82" s="223" t="s">
        <v>17</v>
      </c>
      <c r="Q82" s="223" t="s">
        <v>15</v>
      </c>
      <c r="R82" s="223" t="s">
        <v>15</v>
      </c>
      <c r="S82" s="223" t="s">
        <v>16</v>
      </c>
      <c r="T82" s="223" t="s">
        <v>328</v>
      </c>
      <c r="U82" s="223" t="s">
        <v>248</v>
      </c>
      <c r="V82" s="223" t="s">
        <v>281</v>
      </c>
      <c r="W82" s="224" t="s">
        <v>281</v>
      </c>
      <c r="X82" s="224" t="s">
        <v>281</v>
      </c>
      <c r="Y82" s="225" t="s">
        <v>281</v>
      </c>
    </row>
    <row r="83" spans="1:25">
      <c r="A83" s="219">
        <v>2</v>
      </c>
      <c r="B83" s="220" t="str">
        <f>VLOOKUP(Tabel10[[#This Row],[Code]],Ruimtegroepen[[Code]:[Ruimte omschrijving]],2,FALSE)</f>
        <v>Kantoren</v>
      </c>
      <c r="C83" s="221" t="s">
        <v>347</v>
      </c>
      <c r="D83" s="220" t="s">
        <v>14</v>
      </c>
      <c r="E83" s="221" t="s">
        <v>99</v>
      </c>
      <c r="F83" s="221" t="s">
        <v>349</v>
      </c>
      <c r="G83" s="222" t="s">
        <v>15</v>
      </c>
      <c r="H83" s="222" t="s">
        <v>15</v>
      </c>
      <c r="I83" s="222" t="s">
        <v>281</v>
      </c>
      <c r="J83" s="222" t="s">
        <v>281</v>
      </c>
      <c r="K83" s="222" t="s">
        <v>281</v>
      </c>
      <c r="L83" s="222" t="s">
        <v>281</v>
      </c>
      <c r="M83" s="222" t="s">
        <v>281</v>
      </c>
      <c r="N83" s="222" t="s">
        <v>281</v>
      </c>
      <c r="O83" s="223" t="s">
        <v>17</v>
      </c>
      <c r="P83" s="223" t="s">
        <v>17</v>
      </c>
      <c r="Q83" s="223" t="s">
        <v>15</v>
      </c>
      <c r="R83" s="223" t="s">
        <v>15</v>
      </c>
      <c r="S83" s="223" t="s">
        <v>16</v>
      </c>
      <c r="T83" s="223" t="s">
        <v>328</v>
      </c>
      <c r="U83" s="223" t="s">
        <v>248</v>
      </c>
      <c r="V83" s="223" t="s">
        <v>281</v>
      </c>
      <c r="W83" s="224" t="s">
        <v>281</v>
      </c>
      <c r="X83" s="224" t="s">
        <v>281</v>
      </c>
      <c r="Y83" s="225" t="s">
        <v>281</v>
      </c>
    </row>
    <row r="84" spans="1:25">
      <c r="A84" s="219">
        <v>2</v>
      </c>
      <c r="B84" s="220" t="str">
        <f>VLOOKUP(Tabel10[[#This Row],[Code]],Ruimtegroepen[[Code]:[Ruimte omschrijving]],2,FALSE)</f>
        <v>Kantoren</v>
      </c>
      <c r="C84" s="221" t="s">
        <v>347</v>
      </c>
      <c r="D84" s="220" t="s">
        <v>14</v>
      </c>
      <c r="E84" s="221" t="s">
        <v>101</v>
      </c>
      <c r="F84" s="221" t="s">
        <v>350</v>
      </c>
      <c r="G84" s="226" t="s">
        <v>281</v>
      </c>
      <c r="H84" s="222" t="s">
        <v>281</v>
      </c>
      <c r="I84" s="222" t="s">
        <v>15</v>
      </c>
      <c r="J84" s="222" t="s">
        <v>15</v>
      </c>
      <c r="K84" s="222" t="s">
        <v>248</v>
      </c>
      <c r="L84" s="222" t="s">
        <v>281</v>
      </c>
      <c r="M84" s="222" t="s">
        <v>281</v>
      </c>
      <c r="N84" s="222" t="s">
        <v>281</v>
      </c>
      <c r="O84" s="223" t="s">
        <v>17</v>
      </c>
      <c r="P84" s="223" t="s">
        <v>17</v>
      </c>
      <c r="Q84" s="223" t="s">
        <v>15</v>
      </c>
      <c r="R84" s="223" t="s">
        <v>15</v>
      </c>
      <c r="S84" s="223" t="s">
        <v>16</v>
      </c>
      <c r="T84" s="223" t="s">
        <v>328</v>
      </c>
      <c r="U84" s="223" t="s">
        <v>248</v>
      </c>
      <c r="V84" s="223" t="s">
        <v>281</v>
      </c>
      <c r="W84" s="224" t="s">
        <v>281</v>
      </c>
      <c r="X84" s="224" t="s">
        <v>281</v>
      </c>
      <c r="Y84" s="225" t="s">
        <v>281</v>
      </c>
    </row>
    <row r="85" spans="1:25">
      <c r="A85" s="219">
        <v>2</v>
      </c>
      <c r="B85" s="220" t="str">
        <f>VLOOKUP(Tabel10[[#This Row],[Code]],Ruimtegroepen[[Code]:[Ruimte omschrijving]],2,FALSE)</f>
        <v>Kantoren</v>
      </c>
      <c r="C85" s="221" t="s">
        <v>347</v>
      </c>
      <c r="D85" s="220" t="s">
        <v>14</v>
      </c>
      <c r="E85" s="221" t="s">
        <v>102</v>
      </c>
      <c r="F85" s="221" t="s">
        <v>351</v>
      </c>
      <c r="G85" s="226" t="s">
        <v>281</v>
      </c>
      <c r="H85" s="222" t="s">
        <v>281</v>
      </c>
      <c r="I85" s="222" t="s">
        <v>15</v>
      </c>
      <c r="J85" s="222" t="s">
        <v>15</v>
      </c>
      <c r="K85" s="222" t="s">
        <v>248</v>
      </c>
      <c r="L85" s="222" t="s">
        <v>281</v>
      </c>
      <c r="M85" s="222" t="s">
        <v>281</v>
      </c>
      <c r="N85" s="222" t="s">
        <v>281</v>
      </c>
      <c r="O85" s="223" t="s">
        <v>17</v>
      </c>
      <c r="P85" s="223" t="s">
        <v>17</v>
      </c>
      <c r="Q85" s="223" t="s">
        <v>15</v>
      </c>
      <c r="R85" s="223" t="s">
        <v>15</v>
      </c>
      <c r="S85" s="223" t="s">
        <v>16</v>
      </c>
      <c r="T85" s="223" t="s">
        <v>328</v>
      </c>
      <c r="U85" s="223" t="s">
        <v>248</v>
      </c>
      <c r="V85" s="223" t="s">
        <v>281</v>
      </c>
      <c r="W85" s="224" t="s">
        <v>281</v>
      </c>
      <c r="X85" s="224" t="s">
        <v>281</v>
      </c>
      <c r="Y85" s="225" t="s">
        <v>281</v>
      </c>
    </row>
    <row r="86" spans="1:25">
      <c r="A86" s="219">
        <v>2</v>
      </c>
      <c r="B86" s="220" t="str">
        <f>VLOOKUP(Tabel10[[#This Row],[Code]],Ruimtegroepen[[Code]:[Ruimte omschrijving]],2,FALSE)</f>
        <v>Kantoren</v>
      </c>
      <c r="C86" s="221" t="s">
        <v>347</v>
      </c>
      <c r="D86" s="220" t="s">
        <v>14</v>
      </c>
      <c r="E86" s="221" t="s">
        <v>99</v>
      </c>
      <c r="F86" s="221" t="s">
        <v>349</v>
      </c>
      <c r="G86" s="222" t="s">
        <v>15</v>
      </c>
      <c r="H86" s="222" t="s">
        <v>15</v>
      </c>
      <c r="I86" s="222" t="s">
        <v>281</v>
      </c>
      <c r="J86" s="222" t="s">
        <v>281</v>
      </c>
      <c r="K86" s="222" t="s">
        <v>281</v>
      </c>
      <c r="L86" s="222" t="s">
        <v>281</v>
      </c>
      <c r="M86" s="222" t="s">
        <v>281</v>
      </c>
      <c r="N86" s="222" t="s">
        <v>281</v>
      </c>
      <c r="O86" s="223" t="s">
        <v>17</v>
      </c>
      <c r="P86" s="223" t="s">
        <v>17</v>
      </c>
      <c r="Q86" s="223" t="s">
        <v>15</v>
      </c>
      <c r="R86" s="223" t="s">
        <v>15</v>
      </c>
      <c r="S86" s="223" t="s">
        <v>16</v>
      </c>
      <c r="T86" s="223" t="s">
        <v>328</v>
      </c>
      <c r="U86" s="223" t="s">
        <v>248</v>
      </c>
      <c r="V86" s="223" t="s">
        <v>281</v>
      </c>
      <c r="W86" s="224" t="s">
        <v>281</v>
      </c>
      <c r="X86" s="224" t="s">
        <v>281</v>
      </c>
      <c r="Y86" s="225" t="s">
        <v>281</v>
      </c>
    </row>
    <row r="87" spans="1:25">
      <c r="A87" s="219">
        <v>2</v>
      </c>
      <c r="B87" s="220" t="str">
        <f>VLOOKUP(Tabel10[[#This Row],[Code]],Ruimtegroepen[[Code]:[Ruimte omschrijving]],2,FALSE)</f>
        <v>Kantoren</v>
      </c>
      <c r="C87" s="221" t="s">
        <v>347</v>
      </c>
      <c r="D87" s="220" t="s">
        <v>14</v>
      </c>
      <c r="E87" s="221" t="s">
        <v>1309</v>
      </c>
      <c r="F87" s="221" t="s">
        <v>1332</v>
      </c>
      <c r="G87" s="226" t="s">
        <v>281</v>
      </c>
      <c r="H87" s="222" t="s">
        <v>281</v>
      </c>
      <c r="I87" s="222" t="s">
        <v>15</v>
      </c>
      <c r="J87" s="222" t="s">
        <v>15</v>
      </c>
      <c r="K87" s="222" t="s">
        <v>248</v>
      </c>
      <c r="L87" s="222" t="s">
        <v>281</v>
      </c>
      <c r="M87" s="222" t="s">
        <v>281</v>
      </c>
      <c r="N87" s="222" t="s">
        <v>281</v>
      </c>
      <c r="O87" s="223" t="s">
        <v>17</v>
      </c>
      <c r="P87" s="223" t="s">
        <v>17</v>
      </c>
      <c r="Q87" s="223" t="s">
        <v>15</v>
      </c>
      <c r="R87" s="223" t="s">
        <v>15</v>
      </c>
      <c r="S87" s="223" t="s">
        <v>16</v>
      </c>
      <c r="T87" s="223" t="s">
        <v>328</v>
      </c>
      <c r="U87" s="223" t="s">
        <v>248</v>
      </c>
      <c r="V87" s="223" t="s">
        <v>281</v>
      </c>
      <c r="W87" s="224" t="s">
        <v>281</v>
      </c>
      <c r="X87" s="224" t="s">
        <v>281</v>
      </c>
      <c r="Y87" s="225" t="s">
        <v>281</v>
      </c>
    </row>
    <row r="88" spans="1:25">
      <c r="A88" s="219">
        <v>2</v>
      </c>
      <c r="B88" s="220" t="str">
        <f>VLOOKUP(Tabel10[[#This Row],[Code]],Ruimtegroepen[[Code]:[Ruimte omschrijving]],2,FALSE)</f>
        <v>Kantoren</v>
      </c>
      <c r="C88" s="221" t="s">
        <v>352</v>
      </c>
      <c r="D88" s="220" t="s">
        <v>13</v>
      </c>
      <c r="E88" s="221" t="s">
        <v>100</v>
      </c>
      <c r="F88" s="221" t="s">
        <v>353</v>
      </c>
      <c r="G88" s="226" t="s">
        <v>281</v>
      </c>
      <c r="H88" s="222" t="s">
        <v>281</v>
      </c>
      <c r="I88" s="222" t="s">
        <v>281</v>
      </c>
      <c r="J88" s="222" t="s">
        <v>15</v>
      </c>
      <c r="K88" s="222" t="s">
        <v>281</v>
      </c>
      <c r="L88" s="222" t="s">
        <v>281</v>
      </c>
      <c r="M88" s="222" t="s">
        <v>281</v>
      </c>
      <c r="N88" s="222" t="s">
        <v>281</v>
      </c>
      <c r="O88" s="223" t="s">
        <v>15</v>
      </c>
      <c r="P88" s="223" t="s">
        <v>15</v>
      </c>
      <c r="Q88" s="223" t="s">
        <v>15</v>
      </c>
      <c r="R88" s="223" t="s">
        <v>15</v>
      </c>
      <c r="S88" s="223" t="s">
        <v>16</v>
      </c>
      <c r="T88" s="223" t="s">
        <v>328</v>
      </c>
      <c r="U88" s="223" t="s">
        <v>248</v>
      </c>
      <c r="V88" s="223" t="s">
        <v>281</v>
      </c>
      <c r="W88" s="224" t="s">
        <v>281</v>
      </c>
      <c r="X88" s="224" t="s">
        <v>281</v>
      </c>
      <c r="Y88" s="225" t="s">
        <v>281</v>
      </c>
    </row>
    <row r="89" spans="1:25">
      <c r="A89" s="219">
        <v>2</v>
      </c>
      <c r="B89" s="220" t="str">
        <f>VLOOKUP(Tabel10[[#This Row],[Code]],Ruimtegroepen[[Code]:[Ruimte omschrijving]],2,FALSE)</f>
        <v>Kantoren</v>
      </c>
      <c r="C89" s="221" t="s">
        <v>352</v>
      </c>
      <c r="D89" s="220" t="s">
        <v>13</v>
      </c>
      <c r="E89" s="221" t="s">
        <v>99</v>
      </c>
      <c r="F89" s="221" t="s">
        <v>354</v>
      </c>
      <c r="G89" s="226" t="s">
        <v>281</v>
      </c>
      <c r="H89" s="222" t="s">
        <v>15</v>
      </c>
      <c r="I89" s="222" t="s">
        <v>281</v>
      </c>
      <c r="J89" s="222" t="s">
        <v>281</v>
      </c>
      <c r="K89" s="222" t="s">
        <v>281</v>
      </c>
      <c r="L89" s="222" t="s">
        <v>281</v>
      </c>
      <c r="M89" s="222" t="s">
        <v>281</v>
      </c>
      <c r="N89" s="222" t="s">
        <v>281</v>
      </c>
      <c r="O89" s="223" t="s">
        <v>15</v>
      </c>
      <c r="P89" s="223" t="s">
        <v>15</v>
      </c>
      <c r="Q89" s="223" t="s">
        <v>15</v>
      </c>
      <c r="R89" s="223" t="s">
        <v>15</v>
      </c>
      <c r="S89" s="223" t="s">
        <v>16</v>
      </c>
      <c r="T89" s="223" t="s">
        <v>328</v>
      </c>
      <c r="U89" s="223" t="s">
        <v>248</v>
      </c>
      <c r="V89" s="223" t="s">
        <v>281</v>
      </c>
      <c r="W89" s="224" t="s">
        <v>281</v>
      </c>
      <c r="X89" s="224" t="s">
        <v>281</v>
      </c>
      <c r="Y89" s="225" t="s">
        <v>281</v>
      </c>
    </row>
    <row r="90" spans="1:25">
      <c r="A90" s="219">
        <v>2</v>
      </c>
      <c r="B90" s="220" t="str">
        <f>VLOOKUP(Tabel10[[#This Row],[Code]],Ruimtegroepen[[Code]:[Ruimte omschrijving]],2,FALSE)</f>
        <v>Kantoren</v>
      </c>
      <c r="C90" s="221" t="s">
        <v>352</v>
      </c>
      <c r="D90" s="220" t="s">
        <v>13</v>
      </c>
      <c r="E90" s="221" t="s">
        <v>101</v>
      </c>
      <c r="F90" s="221" t="s">
        <v>355</v>
      </c>
      <c r="G90" s="226" t="s">
        <v>281</v>
      </c>
      <c r="H90" s="222" t="s">
        <v>281</v>
      </c>
      <c r="I90" s="222" t="s">
        <v>281</v>
      </c>
      <c r="J90" s="222" t="s">
        <v>15</v>
      </c>
      <c r="K90" s="222" t="s">
        <v>248</v>
      </c>
      <c r="L90" s="222" t="s">
        <v>281</v>
      </c>
      <c r="M90" s="222" t="s">
        <v>281</v>
      </c>
      <c r="N90" s="222" t="s">
        <v>281</v>
      </c>
      <c r="O90" s="223" t="s">
        <v>15</v>
      </c>
      <c r="P90" s="223" t="s">
        <v>15</v>
      </c>
      <c r="Q90" s="223" t="s">
        <v>15</v>
      </c>
      <c r="R90" s="223" t="s">
        <v>15</v>
      </c>
      <c r="S90" s="223" t="s">
        <v>16</v>
      </c>
      <c r="T90" s="223" t="s">
        <v>328</v>
      </c>
      <c r="U90" s="223" t="s">
        <v>248</v>
      </c>
      <c r="V90" s="223" t="s">
        <v>281</v>
      </c>
      <c r="W90" s="224" t="s">
        <v>281</v>
      </c>
      <c r="X90" s="224" t="s">
        <v>281</v>
      </c>
      <c r="Y90" s="225" t="s">
        <v>281</v>
      </c>
    </row>
    <row r="91" spans="1:25">
      <c r="A91" s="219">
        <v>2</v>
      </c>
      <c r="B91" s="220" t="str">
        <f>VLOOKUP(Tabel10[[#This Row],[Code]],Ruimtegroepen[[Code]:[Ruimte omschrijving]],2,FALSE)</f>
        <v>Kantoren</v>
      </c>
      <c r="C91" s="221" t="s">
        <v>352</v>
      </c>
      <c r="D91" s="220" t="s">
        <v>13</v>
      </c>
      <c r="E91" s="221" t="s">
        <v>102</v>
      </c>
      <c r="F91" s="221" t="s">
        <v>356</v>
      </c>
      <c r="G91" s="226" t="s">
        <v>281</v>
      </c>
      <c r="H91" s="222" t="s">
        <v>281</v>
      </c>
      <c r="I91" s="222" t="s">
        <v>281</v>
      </c>
      <c r="J91" s="222" t="s">
        <v>15</v>
      </c>
      <c r="K91" s="222" t="s">
        <v>248</v>
      </c>
      <c r="L91" s="222" t="s">
        <v>281</v>
      </c>
      <c r="M91" s="222" t="s">
        <v>281</v>
      </c>
      <c r="N91" s="222" t="s">
        <v>281</v>
      </c>
      <c r="O91" s="223" t="s">
        <v>15</v>
      </c>
      <c r="P91" s="223" t="s">
        <v>15</v>
      </c>
      <c r="Q91" s="223" t="s">
        <v>15</v>
      </c>
      <c r="R91" s="223" t="s">
        <v>15</v>
      </c>
      <c r="S91" s="223" t="s">
        <v>16</v>
      </c>
      <c r="T91" s="223" t="s">
        <v>328</v>
      </c>
      <c r="U91" s="223" t="s">
        <v>248</v>
      </c>
      <c r="V91" s="223" t="s">
        <v>281</v>
      </c>
      <c r="W91" s="224" t="s">
        <v>281</v>
      </c>
      <c r="X91" s="224" t="s">
        <v>281</v>
      </c>
      <c r="Y91" s="225" t="s">
        <v>281</v>
      </c>
    </row>
    <row r="92" spans="1:25">
      <c r="A92" s="219">
        <v>2</v>
      </c>
      <c r="B92" s="220" t="str">
        <f>VLOOKUP(Tabel10[[#This Row],[Code]],Ruimtegroepen[[Code]:[Ruimte omschrijving]],2,FALSE)</f>
        <v>Kantoren</v>
      </c>
      <c r="C92" s="221" t="s">
        <v>352</v>
      </c>
      <c r="D92" s="220" t="s">
        <v>13</v>
      </c>
      <c r="E92" s="221" t="s">
        <v>99</v>
      </c>
      <c r="F92" s="221" t="s">
        <v>354</v>
      </c>
      <c r="G92" s="226" t="s">
        <v>281</v>
      </c>
      <c r="H92" s="222" t="s">
        <v>15</v>
      </c>
      <c r="I92" s="222" t="s">
        <v>281</v>
      </c>
      <c r="J92" s="222" t="s">
        <v>281</v>
      </c>
      <c r="K92" s="222" t="s">
        <v>281</v>
      </c>
      <c r="L92" s="222" t="s">
        <v>281</v>
      </c>
      <c r="M92" s="222" t="s">
        <v>281</v>
      </c>
      <c r="N92" s="222" t="s">
        <v>281</v>
      </c>
      <c r="O92" s="223" t="s">
        <v>15</v>
      </c>
      <c r="P92" s="223" t="s">
        <v>15</v>
      </c>
      <c r="Q92" s="223" t="s">
        <v>15</v>
      </c>
      <c r="R92" s="223" t="s">
        <v>15</v>
      </c>
      <c r="S92" s="223" t="s">
        <v>16</v>
      </c>
      <c r="T92" s="223" t="s">
        <v>328</v>
      </c>
      <c r="U92" s="223" t="s">
        <v>248</v>
      </c>
      <c r="V92" s="223" t="s">
        <v>281</v>
      </c>
      <c r="W92" s="224" t="s">
        <v>281</v>
      </c>
      <c r="X92" s="224" t="s">
        <v>281</v>
      </c>
      <c r="Y92" s="225" t="s">
        <v>281</v>
      </c>
    </row>
    <row r="93" spans="1:25">
      <c r="A93" s="219">
        <v>2</v>
      </c>
      <c r="B93" s="220" t="str">
        <f>VLOOKUP(Tabel10[[#This Row],[Code]],Ruimtegroepen[[Code]:[Ruimte omschrijving]],2,FALSE)</f>
        <v>Kantoren</v>
      </c>
      <c r="C93" s="221" t="s">
        <v>352</v>
      </c>
      <c r="D93" s="220" t="s">
        <v>13</v>
      </c>
      <c r="E93" s="221" t="s">
        <v>1309</v>
      </c>
      <c r="F93" s="221" t="s">
        <v>1333</v>
      </c>
      <c r="G93" s="226" t="s">
        <v>281</v>
      </c>
      <c r="H93" s="222" t="s">
        <v>281</v>
      </c>
      <c r="I93" s="222" t="s">
        <v>281</v>
      </c>
      <c r="J93" s="222" t="s">
        <v>15</v>
      </c>
      <c r="K93" s="222" t="s">
        <v>248</v>
      </c>
      <c r="L93" s="222" t="s">
        <v>281</v>
      </c>
      <c r="M93" s="222" t="s">
        <v>281</v>
      </c>
      <c r="N93" s="222" t="s">
        <v>281</v>
      </c>
      <c r="O93" s="223" t="s">
        <v>15</v>
      </c>
      <c r="P93" s="223" t="s">
        <v>15</v>
      </c>
      <c r="Q93" s="223" t="s">
        <v>15</v>
      </c>
      <c r="R93" s="223" t="s">
        <v>15</v>
      </c>
      <c r="S93" s="223" t="s">
        <v>16</v>
      </c>
      <c r="T93" s="223" t="s">
        <v>328</v>
      </c>
      <c r="U93" s="223" t="s">
        <v>248</v>
      </c>
      <c r="V93" s="223" t="s">
        <v>281</v>
      </c>
      <c r="W93" s="224" t="s">
        <v>281</v>
      </c>
      <c r="X93" s="224" t="s">
        <v>281</v>
      </c>
      <c r="Y93" s="225" t="s">
        <v>281</v>
      </c>
    </row>
    <row r="94" spans="1:25">
      <c r="A94" s="219">
        <v>2</v>
      </c>
      <c r="B94" s="220" t="str">
        <f>VLOOKUP(Tabel10[[#This Row],[Code]],Ruimtegroepen[[Code]:[Ruimte omschrijving]],2,FALSE)</f>
        <v>Kantoren</v>
      </c>
      <c r="C94" s="221" t="s">
        <v>357</v>
      </c>
      <c r="D94" s="220" t="s">
        <v>0</v>
      </c>
      <c r="E94" s="221" t="s">
        <v>100</v>
      </c>
      <c r="F94" s="221" t="s">
        <v>358</v>
      </c>
      <c r="G94" s="226" t="s">
        <v>281</v>
      </c>
      <c r="H94" s="222" t="s">
        <v>281</v>
      </c>
      <c r="I94" s="222" t="s">
        <v>16</v>
      </c>
      <c r="J94" s="222" t="s">
        <v>281</v>
      </c>
      <c r="K94" s="222" t="s">
        <v>281</v>
      </c>
      <c r="L94" s="222" t="s">
        <v>281</v>
      </c>
      <c r="M94" s="222" t="s">
        <v>281</v>
      </c>
      <c r="N94" s="222" t="s">
        <v>281</v>
      </c>
      <c r="O94" s="223" t="s">
        <v>16</v>
      </c>
      <c r="P94" s="223" t="s">
        <v>16</v>
      </c>
      <c r="Q94" s="223" t="s">
        <v>16</v>
      </c>
      <c r="R94" s="223" t="s">
        <v>16</v>
      </c>
      <c r="S94" s="223" t="s">
        <v>16</v>
      </c>
      <c r="T94" s="223" t="s">
        <v>328</v>
      </c>
      <c r="U94" s="223" t="s">
        <v>248</v>
      </c>
      <c r="V94" s="223" t="s">
        <v>281</v>
      </c>
      <c r="W94" s="224" t="s">
        <v>281</v>
      </c>
      <c r="X94" s="224" t="s">
        <v>281</v>
      </c>
      <c r="Y94" s="225" t="s">
        <v>281</v>
      </c>
    </row>
    <row r="95" spans="1:25">
      <c r="A95" s="219">
        <v>2</v>
      </c>
      <c r="B95" s="220" t="str">
        <f>VLOOKUP(Tabel10[[#This Row],[Code]],Ruimtegroepen[[Code]:[Ruimte omschrijving]],2,FALSE)</f>
        <v>Kantoren</v>
      </c>
      <c r="C95" s="221" t="s">
        <v>357</v>
      </c>
      <c r="D95" s="220" t="s">
        <v>0</v>
      </c>
      <c r="E95" s="221" t="s">
        <v>99</v>
      </c>
      <c r="F95" s="221" t="s">
        <v>359</v>
      </c>
      <c r="G95" s="226" t="s">
        <v>281</v>
      </c>
      <c r="H95" s="222" t="s">
        <v>16</v>
      </c>
      <c r="I95" s="222" t="s">
        <v>281</v>
      </c>
      <c r="J95" s="222" t="s">
        <v>281</v>
      </c>
      <c r="K95" s="222" t="s">
        <v>281</v>
      </c>
      <c r="L95" s="222" t="s">
        <v>281</v>
      </c>
      <c r="M95" s="222" t="s">
        <v>281</v>
      </c>
      <c r="N95" s="222" t="s">
        <v>281</v>
      </c>
      <c r="O95" s="223" t="s">
        <v>16</v>
      </c>
      <c r="P95" s="223" t="s">
        <v>16</v>
      </c>
      <c r="Q95" s="223" t="s">
        <v>16</v>
      </c>
      <c r="R95" s="223" t="s">
        <v>16</v>
      </c>
      <c r="S95" s="223" t="s">
        <v>16</v>
      </c>
      <c r="T95" s="223" t="s">
        <v>328</v>
      </c>
      <c r="U95" s="223" t="s">
        <v>248</v>
      </c>
      <c r="V95" s="223" t="s">
        <v>281</v>
      </c>
      <c r="W95" s="224" t="s">
        <v>281</v>
      </c>
      <c r="X95" s="224" t="s">
        <v>281</v>
      </c>
      <c r="Y95" s="225" t="s">
        <v>281</v>
      </c>
    </row>
    <row r="96" spans="1:25">
      <c r="A96" s="219">
        <v>2</v>
      </c>
      <c r="B96" s="220" t="str">
        <f>VLOOKUP(Tabel10[[#This Row],[Code]],Ruimtegroepen[[Code]:[Ruimte omschrijving]],2,FALSE)</f>
        <v>Kantoren</v>
      </c>
      <c r="C96" s="221" t="s">
        <v>357</v>
      </c>
      <c r="D96" s="220" t="s">
        <v>0</v>
      </c>
      <c r="E96" s="221" t="s">
        <v>101</v>
      </c>
      <c r="F96" s="221" t="s">
        <v>361</v>
      </c>
      <c r="G96" s="226" t="s">
        <v>281</v>
      </c>
      <c r="H96" s="222" t="s">
        <v>281</v>
      </c>
      <c r="I96" s="222" t="s">
        <v>281</v>
      </c>
      <c r="J96" s="222" t="s">
        <v>16</v>
      </c>
      <c r="K96" s="222" t="s">
        <v>248</v>
      </c>
      <c r="L96" s="222" t="s">
        <v>281</v>
      </c>
      <c r="M96" s="222" t="s">
        <v>281</v>
      </c>
      <c r="N96" s="222" t="s">
        <v>281</v>
      </c>
      <c r="O96" s="223" t="s">
        <v>16</v>
      </c>
      <c r="P96" s="223" t="s">
        <v>16</v>
      </c>
      <c r="Q96" s="223" t="s">
        <v>16</v>
      </c>
      <c r="R96" s="223" t="s">
        <v>16</v>
      </c>
      <c r="S96" s="223" t="s">
        <v>16</v>
      </c>
      <c r="T96" s="223" t="s">
        <v>328</v>
      </c>
      <c r="U96" s="223" t="s">
        <v>248</v>
      </c>
      <c r="V96" s="223" t="s">
        <v>281</v>
      </c>
      <c r="W96" s="224" t="s">
        <v>281</v>
      </c>
      <c r="X96" s="224" t="s">
        <v>281</v>
      </c>
      <c r="Y96" s="225" t="s">
        <v>281</v>
      </c>
    </row>
    <row r="97" spans="1:25">
      <c r="A97" s="219">
        <v>2</v>
      </c>
      <c r="B97" s="220" t="str">
        <f>VLOOKUP(Tabel10[[#This Row],[Code]],Ruimtegroepen[[Code]:[Ruimte omschrijving]],2,FALSE)</f>
        <v>Kantoren</v>
      </c>
      <c r="C97" s="221" t="s">
        <v>357</v>
      </c>
      <c r="D97" s="220" t="s">
        <v>0</v>
      </c>
      <c r="E97" s="221" t="s">
        <v>102</v>
      </c>
      <c r="F97" s="221" t="s">
        <v>362</v>
      </c>
      <c r="G97" s="226" t="s">
        <v>281</v>
      </c>
      <c r="H97" s="222" t="s">
        <v>281</v>
      </c>
      <c r="I97" s="222" t="s">
        <v>16</v>
      </c>
      <c r="J97" s="222" t="s">
        <v>281</v>
      </c>
      <c r="K97" s="222" t="s">
        <v>248</v>
      </c>
      <c r="L97" s="222" t="s">
        <v>281</v>
      </c>
      <c r="M97" s="222" t="s">
        <v>281</v>
      </c>
      <c r="N97" s="222" t="s">
        <v>281</v>
      </c>
      <c r="O97" s="223" t="s">
        <v>16</v>
      </c>
      <c r="P97" s="223" t="s">
        <v>16</v>
      </c>
      <c r="Q97" s="223" t="s">
        <v>16</v>
      </c>
      <c r="R97" s="223" t="s">
        <v>16</v>
      </c>
      <c r="S97" s="223" t="s">
        <v>16</v>
      </c>
      <c r="T97" s="223" t="s">
        <v>328</v>
      </c>
      <c r="U97" s="223" t="s">
        <v>248</v>
      </c>
      <c r="V97" s="223" t="s">
        <v>281</v>
      </c>
      <c r="W97" s="224" t="s">
        <v>281</v>
      </c>
      <c r="X97" s="224" t="s">
        <v>281</v>
      </c>
      <c r="Y97" s="225" t="s">
        <v>281</v>
      </c>
    </row>
    <row r="98" spans="1:25">
      <c r="A98" s="219">
        <v>2</v>
      </c>
      <c r="B98" s="220" t="str">
        <f>VLOOKUP(Tabel10[[#This Row],[Code]],Ruimtegroepen[[Code]:[Ruimte omschrijving]],2,FALSE)</f>
        <v>Kantoren</v>
      </c>
      <c r="C98" s="221" t="s">
        <v>357</v>
      </c>
      <c r="D98" s="220" t="s">
        <v>0</v>
      </c>
      <c r="E98" s="221" t="s">
        <v>99</v>
      </c>
      <c r="F98" s="221" t="s">
        <v>359</v>
      </c>
      <c r="G98" s="226" t="s">
        <v>281</v>
      </c>
      <c r="H98" s="222" t="s">
        <v>16</v>
      </c>
      <c r="I98" s="222" t="s">
        <v>281</v>
      </c>
      <c r="J98" s="222" t="s">
        <v>281</v>
      </c>
      <c r="K98" s="222" t="s">
        <v>281</v>
      </c>
      <c r="L98" s="222" t="s">
        <v>281</v>
      </c>
      <c r="M98" s="222" t="s">
        <v>281</v>
      </c>
      <c r="N98" s="222" t="s">
        <v>281</v>
      </c>
      <c r="O98" s="223" t="s">
        <v>16</v>
      </c>
      <c r="P98" s="223" t="s">
        <v>16</v>
      </c>
      <c r="Q98" s="223" t="s">
        <v>16</v>
      </c>
      <c r="R98" s="223" t="s">
        <v>16</v>
      </c>
      <c r="S98" s="223" t="s">
        <v>16</v>
      </c>
      <c r="T98" s="223" t="s">
        <v>328</v>
      </c>
      <c r="U98" s="223" t="s">
        <v>248</v>
      </c>
      <c r="V98" s="223" t="s">
        <v>281</v>
      </c>
      <c r="W98" s="224" t="s">
        <v>281</v>
      </c>
      <c r="X98" s="224" t="s">
        <v>281</v>
      </c>
      <c r="Y98" s="225" t="s">
        <v>281</v>
      </c>
    </row>
    <row r="99" spans="1:25">
      <c r="A99" s="219">
        <v>2</v>
      </c>
      <c r="B99" s="220" t="str">
        <f>VLOOKUP(Tabel10[[#This Row],[Code]],Ruimtegroepen[[Code]:[Ruimte omschrijving]],2,FALSE)</f>
        <v>Kantoren</v>
      </c>
      <c r="C99" s="221" t="s">
        <v>357</v>
      </c>
      <c r="D99" s="220" t="s">
        <v>0</v>
      </c>
      <c r="E99" s="221" t="s">
        <v>1309</v>
      </c>
      <c r="F99" s="221" t="s">
        <v>1334</v>
      </c>
      <c r="G99" s="226" t="s">
        <v>281</v>
      </c>
      <c r="H99" s="222" t="s">
        <v>281</v>
      </c>
      <c r="I99" s="222" t="s">
        <v>16</v>
      </c>
      <c r="J99" s="222" t="s">
        <v>281</v>
      </c>
      <c r="K99" s="222" t="s">
        <v>248</v>
      </c>
      <c r="L99" s="222" t="s">
        <v>281</v>
      </c>
      <c r="M99" s="222" t="s">
        <v>281</v>
      </c>
      <c r="N99" s="222" t="s">
        <v>281</v>
      </c>
      <c r="O99" s="223" t="s">
        <v>16</v>
      </c>
      <c r="P99" s="223" t="s">
        <v>16</v>
      </c>
      <c r="Q99" s="223" t="s">
        <v>16</v>
      </c>
      <c r="R99" s="223" t="s">
        <v>16</v>
      </c>
      <c r="S99" s="223" t="s">
        <v>16</v>
      </c>
      <c r="T99" s="223" t="s">
        <v>328</v>
      </c>
      <c r="U99" s="223" t="s">
        <v>248</v>
      </c>
      <c r="V99" s="223" t="s">
        <v>281</v>
      </c>
      <c r="W99" s="224" t="s">
        <v>281</v>
      </c>
      <c r="X99" s="224" t="s">
        <v>281</v>
      </c>
      <c r="Y99" s="225" t="s">
        <v>281</v>
      </c>
    </row>
    <row r="100" spans="1:25">
      <c r="A100" s="219">
        <v>2</v>
      </c>
      <c r="B100" s="220" t="str">
        <f>VLOOKUP(Tabel10[[#This Row],[Code]],Ruimtegroepen[[Code]:[Ruimte omschrijving]],2,FALSE)</f>
        <v>Kantoren</v>
      </c>
      <c r="C100" s="221" t="s">
        <v>363</v>
      </c>
      <c r="D100" s="220" t="s">
        <v>27</v>
      </c>
      <c r="E100" s="221" t="s">
        <v>100</v>
      </c>
      <c r="F100" s="221" t="s">
        <v>364</v>
      </c>
      <c r="G100" s="226" t="s">
        <v>281</v>
      </c>
      <c r="H100" s="222" t="s">
        <v>281</v>
      </c>
      <c r="I100" s="222" t="s">
        <v>15</v>
      </c>
      <c r="J100" s="222" t="s">
        <v>281</v>
      </c>
      <c r="K100" s="222" t="s">
        <v>281</v>
      </c>
      <c r="L100" s="222" t="s">
        <v>281</v>
      </c>
      <c r="M100" s="222" t="s">
        <v>281</v>
      </c>
      <c r="N100" s="222" t="s">
        <v>281</v>
      </c>
      <c r="O100" s="223" t="s">
        <v>15</v>
      </c>
      <c r="P100" s="223" t="s">
        <v>15</v>
      </c>
      <c r="Q100" s="223" t="s">
        <v>15</v>
      </c>
      <c r="R100" s="223" t="s">
        <v>281</v>
      </c>
      <c r="S100" s="223" t="s">
        <v>281</v>
      </c>
      <c r="T100" s="223" t="s">
        <v>281</v>
      </c>
      <c r="U100" s="223" t="s">
        <v>281</v>
      </c>
      <c r="V100" s="223" t="s">
        <v>281</v>
      </c>
      <c r="W100" s="224" t="s">
        <v>281</v>
      </c>
      <c r="X100" s="224" t="s">
        <v>281</v>
      </c>
      <c r="Y100" s="225" t="s">
        <v>281</v>
      </c>
    </row>
    <row r="101" spans="1:25">
      <c r="A101" s="219">
        <v>2</v>
      </c>
      <c r="B101" s="220" t="str">
        <f>VLOOKUP(Tabel10[[#This Row],[Code]],Ruimtegroepen[[Code]:[Ruimte omschrijving]],2,FALSE)</f>
        <v>Kantoren</v>
      </c>
      <c r="C101" s="221" t="s">
        <v>363</v>
      </c>
      <c r="D101" s="220" t="s">
        <v>27</v>
      </c>
      <c r="E101" s="221" t="s">
        <v>99</v>
      </c>
      <c r="F101" s="221" t="s">
        <v>365</v>
      </c>
      <c r="G101" s="226" t="s">
        <v>281</v>
      </c>
      <c r="H101" s="222" t="s">
        <v>15</v>
      </c>
      <c r="I101" s="222" t="s">
        <v>281</v>
      </c>
      <c r="J101" s="222" t="s">
        <v>281</v>
      </c>
      <c r="K101" s="222" t="s">
        <v>281</v>
      </c>
      <c r="L101" s="222" t="s">
        <v>281</v>
      </c>
      <c r="M101" s="222" t="s">
        <v>281</v>
      </c>
      <c r="N101" s="222" t="s">
        <v>281</v>
      </c>
      <c r="O101" s="223" t="s">
        <v>15</v>
      </c>
      <c r="P101" s="223" t="s">
        <v>15</v>
      </c>
      <c r="Q101" s="223" t="s">
        <v>15</v>
      </c>
      <c r="R101" s="223" t="s">
        <v>281</v>
      </c>
      <c r="S101" s="223" t="s">
        <v>281</v>
      </c>
      <c r="T101" s="223" t="s">
        <v>281</v>
      </c>
      <c r="U101" s="223" t="s">
        <v>281</v>
      </c>
      <c r="V101" s="223" t="s">
        <v>281</v>
      </c>
      <c r="W101" s="224" t="s">
        <v>281</v>
      </c>
      <c r="X101" s="224" t="s">
        <v>281</v>
      </c>
      <c r="Y101" s="225" t="s">
        <v>281</v>
      </c>
    </row>
    <row r="102" spans="1:25">
      <c r="A102" s="219">
        <v>2</v>
      </c>
      <c r="B102" s="220" t="str">
        <f>VLOOKUP(Tabel10[[#This Row],[Code]],Ruimtegroepen[[Code]:[Ruimte omschrijving]],2,FALSE)</f>
        <v>Kantoren</v>
      </c>
      <c r="C102" s="221" t="s">
        <v>363</v>
      </c>
      <c r="D102" s="220" t="s">
        <v>27</v>
      </c>
      <c r="E102" s="221" t="s">
        <v>101</v>
      </c>
      <c r="F102" s="221" t="s">
        <v>366</v>
      </c>
      <c r="G102" s="226" t="s">
        <v>281</v>
      </c>
      <c r="H102" s="222" t="s">
        <v>281</v>
      </c>
      <c r="I102" s="222" t="s">
        <v>15</v>
      </c>
      <c r="J102" s="222" t="s">
        <v>281</v>
      </c>
      <c r="K102" s="222" t="s">
        <v>281</v>
      </c>
      <c r="L102" s="222" t="s">
        <v>281</v>
      </c>
      <c r="M102" s="222" t="s">
        <v>281</v>
      </c>
      <c r="N102" s="222" t="s">
        <v>281</v>
      </c>
      <c r="O102" s="223" t="s">
        <v>15</v>
      </c>
      <c r="P102" s="223" t="s">
        <v>15</v>
      </c>
      <c r="Q102" s="223" t="s">
        <v>15</v>
      </c>
      <c r="R102" s="223" t="s">
        <v>281</v>
      </c>
      <c r="S102" s="223" t="s">
        <v>281</v>
      </c>
      <c r="T102" s="223" t="s">
        <v>281</v>
      </c>
      <c r="U102" s="223" t="s">
        <v>281</v>
      </c>
      <c r="V102" s="223" t="s">
        <v>281</v>
      </c>
      <c r="W102" s="224" t="s">
        <v>281</v>
      </c>
      <c r="X102" s="224" t="s">
        <v>281</v>
      </c>
      <c r="Y102" s="225" t="s">
        <v>281</v>
      </c>
    </row>
    <row r="103" spans="1:25">
      <c r="A103" s="219">
        <v>2</v>
      </c>
      <c r="B103" s="220" t="str">
        <f>VLOOKUP(Tabel10[[#This Row],[Code]],Ruimtegroepen[[Code]:[Ruimte omschrijving]],2,FALSE)</f>
        <v>Kantoren</v>
      </c>
      <c r="C103" s="221" t="s">
        <v>363</v>
      </c>
      <c r="D103" s="220" t="s">
        <v>27</v>
      </c>
      <c r="E103" s="221" t="s">
        <v>102</v>
      </c>
      <c r="F103" s="221" t="s">
        <v>367</v>
      </c>
      <c r="G103" s="226" t="s">
        <v>281</v>
      </c>
      <c r="H103" s="222" t="s">
        <v>281</v>
      </c>
      <c r="I103" s="222" t="s">
        <v>15</v>
      </c>
      <c r="J103" s="222" t="s">
        <v>281</v>
      </c>
      <c r="K103" s="222" t="s">
        <v>281</v>
      </c>
      <c r="L103" s="222" t="s">
        <v>281</v>
      </c>
      <c r="M103" s="222" t="s">
        <v>281</v>
      </c>
      <c r="N103" s="222" t="s">
        <v>281</v>
      </c>
      <c r="O103" s="223" t="s">
        <v>15</v>
      </c>
      <c r="P103" s="223" t="s">
        <v>15</v>
      </c>
      <c r="Q103" s="223" t="s">
        <v>15</v>
      </c>
      <c r="R103" s="223" t="s">
        <v>281</v>
      </c>
      <c r="S103" s="223" t="s">
        <v>281</v>
      </c>
      <c r="T103" s="223" t="s">
        <v>281</v>
      </c>
      <c r="U103" s="223" t="s">
        <v>281</v>
      </c>
      <c r="V103" s="223" t="s">
        <v>281</v>
      </c>
      <c r="W103" s="224" t="s">
        <v>281</v>
      </c>
      <c r="X103" s="224" t="s">
        <v>281</v>
      </c>
      <c r="Y103" s="225" t="s">
        <v>281</v>
      </c>
    </row>
    <row r="104" spans="1:25">
      <c r="A104" s="219">
        <v>2</v>
      </c>
      <c r="B104" s="220" t="str">
        <f>VLOOKUP(Tabel10[[#This Row],[Code]],Ruimtegroepen[[Code]:[Ruimte omschrijving]],2,FALSE)</f>
        <v>Kantoren</v>
      </c>
      <c r="C104" s="221" t="s">
        <v>363</v>
      </c>
      <c r="D104" s="220" t="s">
        <v>27</v>
      </c>
      <c r="E104" s="221" t="s">
        <v>99</v>
      </c>
      <c r="F104" s="221" t="s">
        <v>365</v>
      </c>
      <c r="G104" s="226" t="s">
        <v>281</v>
      </c>
      <c r="H104" s="222" t="s">
        <v>15</v>
      </c>
      <c r="I104" s="222" t="s">
        <v>281</v>
      </c>
      <c r="J104" s="222" t="s">
        <v>281</v>
      </c>
      <c r="K104" s="222" t="s">
        <v>281</v>
      </c>
      <c r="L104" s="222" t="s">
        <v>281</v>
      </c>
      <c r="M104" s="222" t="s">
        <v>281</v>
      </c>
      <c r="N104" s="222" t="s">
        <v>281</v>
      </c>
      <c r="O104" s="223" t="s">
        <v>15</v>
      </c>
      <c r="P104" s="223" t="s">
        <v>15</v>
      </c>
      <c r="Q104" s="223" t="s">
        <v>15</v>
      </c>
      <c r="R104" s="223" t="s">
        <v>281</v>
      </c>
      <c r="S104" s="223" t="s">
        <v>281</v>
      </c>
      <c r="T104" s="223" t="s">
        <v>281</v>
      </c>
      <c r="U104" s="223" t="s">
        <v>281</v>
      </c>
      <c r="V104" s="223" t="s">
        <v>281</v>
      </c>
      <c r="W104" s="224" t="s">
        <v>281</v>
      </c>
      <c r="X104" s="224" t="s">
        <v>281</v>
      </c>
      <c r="Y104" s="225" t="s">
        <v>281</v>
      </c>
    </row>
    <row r="105" spans="1:25">
      <c r="A105" s="219">
        <v>2</v>
      </c>
      <c r="B105" s="220" t="str">
        <f>VLOOKUP(Tabel10[[#This Row],[Code]],Ruimtegroepen[[Code]:[Ruimte omschrijving]],2,FALSE)</f>
        <v>Kantoren</v>
      </c>
      <c r="C105" s="221" t="s">
        <v>363</v>
      </c>
      <c r="D105" s="220" t="s">
        <v>27</v>
      </c>
      <c r="E105" s="221" t="s">
        <v>1309</v>
      </c>
      <c r="F105" s="221" t="s">
        <v>1335</v>
      </c>
      <c r="G105" s="226" t="s">
        <v>281</v>
      </c>
      <c r="H105" s="222" t="s">
        <v>281</v>
      </c>
      <c r="I105" s="222" t="s">
        <v>15</v>
      </c>
      <c r="J105" s="222" t="s">
        <v>281</v>
      </c>
      <c r="K105" s="222" t="s">
        <v>281</v>
      </c>
      <c r="L105" s="222" t="s">
        <v>281</v>
      </c>
      <c r="M105" s="222" t="s">
        <v>281</v>
      </c>
      <c r="N105" s="222" t="s">
        <v>281</v>
      </c>
      <c r="O105" s="223" t="s">
        <v>15</v>
      </c>
      <c r="P105" s="223" t="s">
        <v>15</v>
      </c>
      <c r="Q105" s="223" t="s">
        <v>15</v>
      </c>
      <c r="R105" s="223" t="s">
        <v>281</v>
      </c>
      <c r="S105" s="223" t="s">
        <v>281</v>
      </c>
      <c r="T105" s="223" t="s">
        <v>281</v>
      </c>
      <c r="U105" s="223" t="s">
        <v>281</v>
      </c>
      <c r="V105" s="223" t="s">
        <v>281</v>
      </c>
      <c r="W105" s="224" t="s">
        <v>281</v>
      </c>
      <c r="X105" s="224" t="s">
        <v>281</v>
      </c>
      <c r="Y105" s="225" t="s">
        <v>281</v>
      </c>
    </row>
    <row r="106" spans="1:25">
      <c r="A106" s="219">
        <v>2</v>
      </c>
      <c r="B106" s="220" t="str">
        <f>VLOOKUP(Tabel10[[#This Row],[Code]],Ruimtegroepen[[Code]:[Ruimte omschrijving]],2,FALSE)</f>
        <v>Kantoren</v>
      </c>
      <c r="C106" s="221" t="s">
        <v>368</v>
      </c>
      <c r="D106" s="220" t="s">
        <v>28</v>
      </c>
      <c r="E106" s="221" t="s">
        <v>100</v>
      </c>
      <c r="F106" s="221" t="s">
        <v>369</v>
      </c>
      <c r="G106" s="226" t="s">
        <v>281</v>
      </c>
      <c r="H106" s="222" t="s">
        <v>281</v>
      </c>
      <c r="I106" s="222" t="s">
        <v>17</v>
      </c>
      <c r="J106" s="222" t="s">
        <v>281</v>
      </c>
      <c r="K106" s="222" t="s">
        <v>281</v>
      </c>
      <c r="L106" s="222" t="s">
        <v>281</v>
      </c>
      <c r="M106" s="222" t="s">
        <v>281</v>
      </c>
      <c r="N106" s="222" t="s">
        <v>281</v>
      </c>
      <c r="O106" s="223" t="s">
        <v>17</v>
      </c>
      <c r="P106" s="223" t="s">
        <v>17</v>
      </c>
      <c r="Q106" s="223" t="s">
        <v>15</v>
      </c>
      <c r="R106" s="223" t="s">
        <v>281</v>
      </c>
      <c r="S106" s="223" t="s">
        <v>281</v>
      </c>
      <c r="T106" s="223" t="s">
        <v>281</v>
      </c>
      <c r="U106" s="223" t="s">
        <v>281</v>
      </c>
      <c r="V106" s="223" t="s">
        <v>281</v>
      </c>
      <c r="W106" s="224" t="s">
        <v>281</v>
      </c>
      <c r="X106" s="224" t="s">
        <v>281</v>
      </c>
      <c r="Y106" s="225" t="s">
        <v>281</v>
      </c>
    </row>
    <row r="107" spans="1:25">
      <c r="A107" s="219">
        <v>2</v>
      </c>
      <c r="B107" s="220" t="str">
        <f>VLOOKUP(Tabel10[[#This Row],[Code]],Ruimtegroepen[[Code]:[Ruimte omschrijving]],2,FALSE)</f>
        <v>Kantoren</v>
      </c>
      <c r="C107" s="221" t="s">
        <v>368</v>
      </c>
      <c r="D107" s="220" t="s">
        <v>28</v>
      </c>
      <c r="E107" s="221" t="s">
        <v>99</v>
      </c>
      <c r="F107" s="221" t="s">
        <v>370</v>
      </c>
      <c r="G107" s="226" t="s">
        <v>281</v>
      </c>
      <c r="H107" s="222" t="s">
        <v>17</v>
      </c>
      <c r="I107" s="222" t="s">
        <v>281</v>
      </c>
      <c r="J107" s="222" t="s">
        <v>281</v>
      </c>
      <c r="K107" s="222" t="s">
        <v>281</v>
      </c>
      <c r="L107" s="222" t="s">
        <v>281</v>
      </c>
      <c r="M107" s="222" t="s">
        <v>281</v>
      </c>
      <c r="N107" s="222" t="s">
        <v>281</v>
      </c>
      <c r="O107" s="223" t="s">
        <v>17</v>
      </c>
      <c r="P107" s="223" t="s">
        <v>17</v>
      </c>
      <c r="Q107" s="223" t="s">
        <v>15</v>
      </c>
      <c r="R107" s="223" t="s">
        <v>281</v>
      </c>
      <c r="S107" s="223" t="s">
        <v>281</v>
      </c>
      <c r="T107" s="223" t="s">
        <v>281</v>
      </c>
      <c r="U107" s="223" t="s">
        <v>281</v>
      </c>
      <c r="V107" s="223" t="s">
        <v>281</v>
      </c>
      <c r="W107" s="224" t="s">
        <v>281</v>
      </c>
      <c r="X107" s="224" t="s">
        <v>281</v>
      </c>
      <c r="Y107" s="225" t="s">
        <v>281</v>
      </c>
    </row>
    <row r="108" spans="1:25">
      <c r="A108" s="219">
        <v>2</v>
      </c>
      <c r="B108" s="220" t="str">
        <f>VLOOKUP(Tabel10[[#This Row],[Code]],Ruimtegroepen[[Code]:[Ruimte omschrijving]],2,FALSE)</f>
        <v>Kantoren</v>
      </c>
      <c r="C108" s="221" t="s">
        <v>368</v>
      </c>
      <c r="D108" s="220" t="s">
        <v>28</v>
      </c>
      <c r="E108" s="221" t="s">
        <v>101</v>
      </c>
      <c r="F108" s="221" t="s">
        <v>371</v>
      </c>
      <c r="G108" s="226" t="s">
        <v>281</v>
      </c>
      <c r="H108" s="222" t="s">
        <v>281</v>
      </c>
      <c r="I108" s="222" t="s">
        <v>17</v>
      </c>
      <c r="J108" s="222" t="s">
        <v>281</v>
      </c>
      <c r="K108" s="222" t="s">
        <v>281</v>
      </c>
      <c r="L108" s="222" t="s">
        <v>281</v>
      </c>
      <c r="M108" s="222" t="s">
        <v>281</v>
      </c>
      <c r="N108" s="222" t="s">
        <v>281</v>
      </c>
      <c r="O108" s="223" t="s">
        <v>17</v>
      </c>
      <c r="P108" s="223" t="s">
        <v>17</v>
      </c>
      <c r="Q108" s="223" t="s">
        <v>15</v>
      </c>
      <c r="R108" s="223" t="s">
        <v>281</v>
      </c>
      <c r="S108" s="223" t="s">
        <v>281</v>
      </c>
      <c r="T108" s="223" t="s">
        <v>281</v>
      </c>
      <c r="U108" s="223" t="s">
        <v>281</v>
      </c>
      <c r="V108" s="223" t="s">
        <v>281</v>
      </c>
      <c r="W108" s="224" t="s">
        <v>281</v>
      </c>
      <c r="X108" s="224" t="s">
        <v>281</v>
      </c>
      <c r="Y108" s="225" t="s">
        <v>281</v>
      </c>
    </row>
    <row r="109" spans="1:25">
      <c r="A109" s="219">
        <v>2</v>
      </c>
      <c r="B109" s="220" t="str">
        <f>VLOOKUP(Tabel10[[#This Row],[Code]],Ruimtegroepen[[Code]:[Ruimte omschrijving]],2,FALSE)</f>
        <v>Kantoren</v>
      </c>
      <c r="C109" s="221" t="s">
        <v>368</v>
      </c>
      <c r="D109" s="220" t="s">
        <v>28</v>
      </c>
      <c r="E109" s="221" t="s">
        <v>102</v>
      </c>
      <c r="F109" s="221" t="s">
        <v>372</v>
      </c>
      <c r="G109" s="226" t="s">
        <v>281</v>
      </c>
      <c r="H109" s="222" t="s">
        <v>281</v>
      </c>
      <c r="I109" s="222" t="s">
        <v>17</v>
      </c>
      <c r="J109" s="222" t="s">
        <v>281</v>
      </c>
      <c r="K109" s="222" t="s">
        <v>281</v>
      </c>
      <c r="L109" s="222" t="s">
        <v>281</v>
      </c>
      <c r="M109" s="222" t="s">
        <v>281</v>
      </c>
      <c r="N109" s="222" t="s">
        <v>281</v>
      </c>
      <c r="O109" s="223" t="s">
        <v>17</v>
      </c>
      <c r="P109" s="223" t="s">
        <v>17</v>
      </c>
      <c r="Q109" s="223" t="s">
        <v>15</v>
      </c>
      <c r="R109" s="223" t="s">
        <v>281</v>
      </c>
      <c r="S109" s="223" t="s">
        <v>281</v>
      </c>
      <c r="T109" s="223" t="s">
        <v>281</v>
      </c>
      <c r="U109" s="223" t="s">
        <v>281</v>
      </c>
      <c r="V109" s="223" t="s">
        <v>281</v>
      </c>
      <c r="W109" s="224" t="s">
        <v>281</v>
      </c>
      <c r="X109" s="224" t="s">
        <v>281</v>
      </c>
      <c r="Y109" s="225" t="s">
        <v>281</v>
      </c>
    </row>
    <row r="110" spans="1:25">
      <c r="A110" s="219">
        <v>2</v>
      </c>
      <c r="B110" s="220" t="str">
        <f>VLOOKUP(Tabel10[[#This Row],[Code]],Ruimtegroepen[[Code]:[Ruimte omschrijving]],2,FALSE)</f>
        <v>Kantoren</v>
      </c>
      <c r="C110" s="221" t="s">
        <v>368</v>
      </c>
      <c r="D110" s="220" t="s">
        <v>28</v>
      </c>
      <c r="E110" s="221" t="s">
        <v>99</v>
      </c>
      <c r="F110" s="221" t="s">
        <v>370</v>
      </c>
      <c r="G110" s="226" t="s">
        <v>281</v>
      </c>
      <c r="H110" s="222" t="s">
        <v>17</v>
      </c>
      <c r="I110" s="222" t="s">
        <v>281</v>
      </c>
      <c r="J110" s="222" t="s">
        <v>281</v>
      </c>
      <c r="K110" s="222" t="s">
        <v>281</v>
      </c>
      <c r="L110" s="222" t="s">
        <v>281</v>
      </c>
      <c r="M110" s="222" t="s">
        <v>281</v>
      </c>
      <c r="N110" s="222" t="s">
        <v>281</v>
      </c>
      <c r="O110" s="223" t="s">
        <v>17</v>
      </c>
      <c r="P110" s="223" t="s">
        <v>17</v>
      </c>
      <c r="Q110" s="223" t="s">
        <v>15</v>
      </c>
      <c r="R110" s="223" t="s">
        <v>281</v>
      </c>
      <c r="S110" s="223" t="s">
        <v>281</v>
      </c>
      <c r="T110" s="223" t="s">
        <v>281</v>
      </c>
      <c r="U110" s="223" t="s">
        <v>281</v>
      </c>
      <c r="V110" s="223" t="s">
        <v>281</v>
      </c>
      <c r="W110" s="224" t="s">
        <v>281</v>
      </c>
      <c r="X110" s="224" t="s">
        <v>281</v>
      </c>
      <c r="Y110" s="225" t="s">
        <v>281</v>
      </c>
    </row>
    <row r="111" spans="1:25">
      <c r="A111" s="219">
        <v>2</v>
      </c>
      <c r="B111" s="220" t="str">
        <f>VLOOKUP(Tabel10[[#This Row],[Code]],Ruimtegroepen[[Code]:[Ruimte omschrijving]],2,FALSE)</f>
        <v>Kantoren</v>
      </c>
      <c r="C111" s="221" t="s">
        <v>368</v>
      </c>
      <c r="D111" s="220" t="s">
        <v>28</v>
      </c>
      <c r="E111" s="221" t="s">
        <v>1309</v>
      </c>
      <c r="F111" s="221" t="s">
        <v>1336</v>
      </c>
      <c r="G111" s="226" t="s">
        <v>281</v>
      </c>
      <c r="H111" s="222" t="s">
        <v>281</v>
      </c>
      <c r="I111" s="222" t="s">
        <v>17</v>
      </c>
      <c r="J111" s="222" t="s">
        <v>281</v>
      </c>
      <c r="K111" s="222" t="s">
        <v>281</v>
      </c>
      <c r="L111" s="222" t="s">
        <v>281</v>
      </c>
      <c r="M111" s="222" t="s">
        <v>281</v>
      </c>
      <c r="N111" s="222" t="s">
        <v>281</v>
      </c>
      <c r="O111" s="223" t="s">
        <v>17</v>
      </c>
      <c r="P111" s="223" t="s">
        <v>17</v>
      </c>
      <c r="Q111" s="223" t="s">
        <v>15</v>
      </c>
      <c r="R111" s="223" t="s">
        <v>281</v>
      </c>
      <c r="S111" s="223" t="s">
        <v>281</v>
      </c>
      <c r="T111" s="223" t="s">
        <v>281</v>
      </c>
      <c r="U111" s="223" t="s">
        <v>281</v>
      </c>
      <c r="V111" s="223" t="s">
        <v>281</v>
      </c>
      <c r="W111" s="224" t="s">
        <v>281</v>
      </c>
      <c r="X111" s="224" t="s">
        <v>281</v>
      </c>
      <c r="Y111" s="225" t="s">
        <v>281</v>
      </c>
    </row>
    <row r="112" spans="1:25">
      <c r="A112" s="219">
        <v>3</v>
      </c>
      <c r="B112" s="220" t="str">
        <f>VLOOKUP(Tabel10[[#This Row],[Code]],Ruimtegroepen[[Code]:[Ruimte omschrijving]],2,FALSE)</f>
        <v>Reproruimte</v>
      </c>
      <c r="C112" s="221" t="s">
        <v>373</v>
      </c>
      <c r="D112" s="220" t="s">
        <v>29</v>
      </c>
      <c r="E112" s="221" t="s">
        <v>100</v>
      </c>
      <c r="F112" s="221" t="s">
        <v>374</v>
      </c>
      <c r="G112" s="226" t="s">
        <v>281</v>
      </c>
      <c r="H112" s="222" t="s">
        <v>281</v>
      </c>
      <c r="I112" s="222" t="s">
        <v>20</v>
      </c>
      <c r="J112" s="222" t="s">
        <v>15</v>
      </c>
      <c r="K112" s="222" t="s">
        <v>281</v>
      </c>
      <c r="L112" s="222" t="s">
        <v>281</v>
      </c>
      <c r="M112" s="222" t="s">
        <v>281</v>
      </c>
      <c r="N112" s="222" t="s">
        <v>2</v>
      </c>
      <c r="O112" s="223" t="s">
        <v>2</v>
      </c>
      <c r="P112" s="223" t="s">
        <v>2</v>
      </c>
      <c r="Q112" s="223" t="s">
        <v>15</v>
      </c>
      <c r="R112" s="223" t="s">
        <v>15</v>
      </c>
      <c r="S112" s="223" t="s">
        <v>16</v>
      </c>
      <c r="T112" s="223" t="s">
        <v>282</v>
      </c>
      <c r="U112" s="223" t="s">
        <v>248</v>
      </c>
      <c r="V112" s="223" t="s">
        <v>2</v>
      </c>
      <c r="W112" s="224" t="s">
        <v>281</v>
      </c>
      <c r="X112" s="224" t="s">
        <v>281</v>
      </c>
      <c r="Y112" s="225" t="s">
        <v>281</v>
      </c>
    </row>
    <row r="113" spans="1:25">
      <c r="A113" s="219">
        <v>3</v>
      </c>
      <c r="B113" s="220" t="str">
        <f>VLOOKUP(Tabel10[[#This Row],[Code]],Ruimtegroepen[[Code]:[Ruimte omschrijving]],2,FALSE)</f>
        <v>Reproruimte</v>
      </c>
      <c r="C113" s="221" t="s">
        <v>373</v>
      </c>
      <c r="D113" s="220" t="s">
        <v>29</v>
      </c>
      <c r="E113" s="221" t="s">
        <v>99</v>
      </c>
      <c r="F113" s="221" t="s">
        <v>375</v>
      </c>
      <c r="G113" s="222" t="s">
        <v>20</v>
      </c>
      <c r="H113" s="222" t="s">
        <v>15</v>
      </c>
      <c r="I113" s="222" t="s">
        <v>281</v>
      </c>
      <c r="J113" s="222" t="s">
        <v>281</v>
      </c>
      <c r="K113" s="222" t="s">
        <v>281</v>
      </c>
      <c r="L113" s="222" t="s">
        <v>281</v>
      </c>
      <c r="M113" s="222" t="s">
        <v>281</v>
      </c>
      <c r="N113" s="222" t="s">
        <v>2</v>
      </c>
      <c r="O113" s="223" t="s">
        <v>2</v>
      </c>
      <c r="P113" s="223" t="s">
        <v>2</v>
      </c>
      <c r="Q113" s="223" t="s">
        <v>15</v>
      </c>
      <c r="R113" s="223" t="s">
        <v>15</v>
      </c>
      <c r="S113" s="223" t="s">
        <v>16</v>
      </c>
      <c r="T113" s="223" t="s">
        <v>282</v>
      </c>
      <c r="U113" s="223" t="s">
        <v>248</v>
      </c>
      <c r="V113" s="223" t="s">
        <v>2</v>
      </c>
      <c r="W113" s="224" t="s">
        <v>281</v>
      </c>
      <c r="X113" s="224" t="s">
        <v>281</v>
      </c>
      <c r="Y113" s="225" t="s">
        <v>281</v>
      </c>
    </row>
    <row r="114" spans="1:25">
      <c r="A114" s="219">
        <v>3</v>
      </c>
      <c r="B114" s="220" t="str">
        <f>VLOOKUP(Tabel10[[#This Row],[Code]],Ruimtegroepen[[Code]:[Ruimte omschrijving]],2,FALSE)</f>
        <v>Reproruimte</v>
      </c>
      <c r="C114" s="221" t="s">
        <v>373</v>
      </c>
      <c r="D114" s="220" t="s">
        <v>29</v>
      </c>
      <c r="E114" s="221" t="s">
        <v>101</v>
      </c>
      <c r="F114" s="221" t="s">
        <v>376</v>
      </c>
      <c r="G114" s="226" t="s">
        <v>281</v>
      </c>
      <c r="H114" s="222" t="s">
        <v>281</v>
      </c>
      <c r="I114" s="222" t="s">
        <v>20</v>
      </c>
      <c r="J114" s="222" t="s">
        <v>15</v>
      </c>
      <c r="K114" s="222" t="s">
        <v>328</v>
      </c>
      <c r="L114" s="222" t="s">
        <v>281</v>
      </c>
      <c r="M114" s="222" t="s">
        <v>281</v>
      </c>
      <c r="N114" s="222" t="s">
        <v>2</v>
      </c>
      <c r="O114" s="223" t="s">
        <v>2</v>
      </c>
      <c r="P114" s="223" t="s">
        <v>2</v>
      </c>
      <c r="Q114" s="223" t="s">
        <v>15</v>
      </c>
      <c r="R114" s="223" t="s">
        <v>15</v>
      </c>
      <c r="S114" s="223" t="s">
        <v>16</v>
      </c>
      <c r="T114" s="223" t="s">
        <v>282</v>
      </c>
      <c r="U114" s="223" t="s">
        <v>248</v>
      </c>
      <c r="V114" s="223" t="s">
        <v>2</v>
      </c>
      <c r="W114" s="224" t="s">
        <v>281</v>
      </c>
      <c r="X114" s="224" t="s">
        <v>281</v>
      </c>
      <c r="Y114" s="225" t="s">
        <v>281</v>
      </c>
    </row>
    <row r="115" spans="1:25">
      <c r="A115" s="219">
        <v>3</v>
      </c>
      <c r="B115" s="220" t="str">
        <f>VLOOKUP(Tabel10[[#This Row],[Code]],Ruimtegroepen[[Code]:[Ruimte omschrijving]],2,FALSE)</f>
        <v>Reproruimte</v>
      </c>
      <c r="C115" s="221" t="s">
        <v>373</v>
      </c>
      <c r="D115" s="220" t="s">
        <v>29</v>
      </c>
      <c r="E115" s="221" t="s">
        <v>102</v>
      </c>
      <c r="F115" s="221" t="s">
        <v>377</v>
      </c>
      <c r="G115" s="226" t="s">
        <v>281</v>
      </c>
      <c r="H115" s="222" t="s">
        <v>281</v>
      </c>
      <c r="I115" s="222" t="s">
        <v>20</v>
      </c>
      <c r="J115" s="222" t="s">
        <v>15</v>
      </c>
      <c r="K115" s="222" t="s">
        <v>328</v>
      </c>
      <c r="L115" s="222" t="s">
        <v>281</v>
      </c>
      <c r="M115" s="222" t="s">
        <v>281</v>
      </c>
      <c r="N115" s="222" t="s">
        <v>2</v>
      </c>
      <c r="O115" s="223" t="s">
        <v>2</v>
      </c>
      <c r="P115" s="223" t="s">
        <v>2</v>
      </c>
      <c r="Q115" s="223" t="s">
        <v>15</v>
      </c>
      <c r="R115" s="223" t="s">
        <v>15</v>
      </c>
      <c r="S115" s="223" t="s">
        <v>16</v>
      </c>
      <c r="T115" s="223" t="s">
        <v>282</v>
      </c>
      <c r="U115" s="223" t="s">
        <v>248</v>
      </c>
      <c r="V115" s="223" t="s">
        <v>2</v>
      </c>
      <c r="W115" s="224" t="s">
        <v>281</v>
      </c>
      <c r="X115" s="224" t="s">
        <v>281</v>
      </c>
      <c r="Y115" s="225" t="s">
        <v>281</v>
      </c>
    </row>
    <row r="116" spans="1:25">
      <c r="A116" s="219">
        <v>3</v>
      </c>
      <c r="B116" s="220" t="str">
        <f>VLOOKUP(Tabel10[[#This Row],[Code]],Ruimtegroepen[[Code]:[Ruimte omschrijving]],2,FALSE)</f>
        <v>Reproruimte</v>
      </c>
      <c r="C116" s="221" t="s">
        <v>373</v>
      </c>
      <c r="D116" s="220" t="s">
        <v>29</v>
      </c>
      <c r="E116" s="221" t="s">
        <v>99</v>
      </c>
      <c r="F116" s="221" t="s">
        <v>375</v>
      </c>
      <c r="G116" s="222" t="s">
        <v>20</v>
      </c>
      <c r="H116" s="222" t="s">
        <v>15</v>
      </c>
      <c r="I116" s="222" t="s">
        <v>281</v>
      </c>
      <c r="J116" s="222" t="s">
        <v>281</v>
      </c>
      <c r="K116" s="222" t="s">
        <v>281</v>
      </c>
      <c r="L116" s="222" t="s">
        <v>281</v>
      </c>
      <c r="M116" s="222" t="s">
        <v>281</v>
      </c>
      <c r="N116" s="222" t="s">
        <v>281</v>
      </c>
      <c r="O116" s="223" t="s">
        <v>281</v>
      </c>
      <c r="P116" s="223" t="s">
        <v>281</v>
      </c>
      <c r="Q116" s="223" t="s">
        <v>281</v>
      </c>
      <c r="R116" s="223" t="s">
        <v>281</v>
      </c>
      <c r="S116" s="223" t="s">
        <v>281</v>
      </c>
      <c r="T116" s="223" t="s">
        <v>281</v>
      </c>
      <c r="U116" s="223" t="s">
        <v>281</v>
      </c>
      <c r="V116" s="223" t="s">
        <v>281</v>
      </c>
      <c r="W116" s="224" t="s">
        <v>281</v>
      </c>
      <c r="X116" s="224" t="s">
        <v>281</v>
      </c>
      <c r="Y116" s="225" t="s">
        <v>281</v>
      </c>
    </row>
    <row r="117" spans="1:25">
      <c r="A117" s="219">
        <v>3</v>
      </c>
      <c r="B117" s="220" t="str">
        <f>VLOOKUP(Tabel10[[#This Row],[Code]],Ruimtegroepen[[Code]:[Ruimte omschrijving]],2,FALSE)</f>
        <v>Reproruimte</v>
      </c>
      <c r="C117" s="221" t="s">
        <v>373</v>
      </c>
      <c r="D117" s="220" t="s">
        <v>29</v>
      </c>
      <c r="E117" s="221" t="s">
        <v>1309</v>
      </c>
      <c r="F117" s="221" t="s">
        <v>1337</v>
      </c>
      <c r="G117" s="226" t="s">
        <v>281</v>
      </c>
      <c r="H117" s="222" t="s">
        <v>281</v>
      </c>
      <c r="I117" s="222" t="s">
        <v>20</v>
      </c>
      <c r="J117" s="222" t="s">
        <v>15</v>
      </c>
      <c r="K117" s="222" t="s">
        <v>328</v>
      </c>
      <c r="L117" s="222" t="s">
        <v>281</v>
      </c>
      <c r="M117" s="222" t="s">
        <v>281</v>
      </c>
      <c r="N117" s="222" t="s">
        <v>2</v>
      </c>
      <c r="O117" s="223" t="s">
        <v>2</v>
      </c>
      <c r="P117" s="223" t="s">
        <v>2</v>
      </c>
      <c r="Q117" s="223" t="s">
        <v>15</v>
      </c>
      <c r="R117" s="223" t="s">
        <v>15</v>
      </c>
      <c r="S117" s="223" t="s">
        <v>16</v>
      </c>
      <c r="T117" s="223" t="s">
        <v>282</v>
      </c>
      <c r="U117" s="223" t="s">
        <v>248</v>
      </c>
      <c r="V117" s="223" t="s">
        <v>2</v>
      </c>
      <c r="W117" s="224" t="s">
        <v>281</v>
      </c>
      <c r="X117" s="224" t="s">
        <v>281</v>
      </c>
      <c r="Y117" s="225" t="s">
        <v>281</v>
      </c>
    </row>
    <row r="118" spans="1:25">
      <c r="A118" s="219">
        <v>3</v>
      </c>
      <c r="B118" s="220" t="str">
        <f>VLOOKUP(Tabel10[[#This Row],[Code]],Ruimtegroepen[[Code]:[Ruimte omschrijving]],2,FALSE)</f>
        <v>Reproruimte</v>
      </c>
      <c r="C118" s="221" t="s">
        <v>378</v>
      </c>
      <c r="D118" s="220" t="s">
        <v>1</v>
      </c>
      <c r="E118" s="221" t="s">
        <v>100</v>
      </c>
      <c r="F118" s="221" t="s">
        <v>379</v>
      </c>
      <c r="G118" s="226" t="s">
        <v>281</v>
      </c>
      <c r="H118" s="222" t="s">
        <v>281</v>
      </c>
      <c r="I118" s="222" t="s">
        <v>20</v>
      </c>
      <c r="J118" s="222" t="s">
        <v>15</v>
      </c>
      <c r="K118" s="222" t="s">
        <v>281</v>
      </c>
      <c r="L118" s="222" t="s">
        <v>281</v>
      </c>
      <c r="M118" s="222" t="s">
        <v>281</v>
      </c>
      <c r="N118" s="222" t="s">
        <v>281</v>
      </c>
      <c r="O118" s="223" t="s">
        <v>2</v>
      </c>
      <c r="P118" s="223" t="s">
        <v>2</v>
      </c>
      <c r="Q118" s="223" t="s">
        <v>15</v>
      </c>
      <c r="R118" s="223" t="s">
        <v>15</v>
      </c>
      <c r="S118" s="223" t="s">
        <v>16</v>
      </c>
      <c r="T118" s="223" t="s">
        <v>282</v>
      </c>
      <c r="U118" s="223" t="s">
        <v>248</v>
      </c>
      <c r="V118" s="223" t="s">
        <v>281</v>
      </c>
      <c r="W118" s="224" t="s">
        <v>281</v>
      </c>
      <c r="X118" s="224" t="s">
        <v>281</v>
      </c>
      <c r="Y118" s="225" t="s">
        <v>281</v>
      </c>
    </row>
    <row r="119" spans="1:25">
      <c r="A119" s="219">
        <v>3</v>
      </c>
      <c r="B119" s="220" t="str">
        <f>VLOOKUP(Tabel10[[#This Row],[Code]],Ruimtegroepen[[Code]:[Ruimte omschrijving]],2,FALSE)</f>
        <v>Reproruimte</v>
      </c>
      <c r="C119" s="221" t="s">
        <v>378</v>
      </c>
      <c r="D119" s="220" t="s">
        <v>1</v>
      </c>
      <c r="E119" s="221" t="s">
        <v>99</v>
      </c>
      <c r="F119" s="221" t="s">
        <v>380</v>
      </c>
      <c r="G119" s="222" t="s">
        <v>20</v>
      </c>
      <c r="H119" s="222" t="s">
        <v>15</v>
      </c>
      <c r="I119" s="222" t="s">
        <v>281</v>
      </c>
      <c r="J119" s="222" t="s">
        <v>281</v>
      </c>
      <c r="K119" s="222" t="s">
        <v>281</v>
      </c>
      <c r="L119" s="222" t="s">
        <v>281</v>
      </c>
      <c r="M119" s="222" t="s">
        <v>281</v>
      </c>
      <c r="N119" s="222" t="s">
        <v>281</v>
      </c>
      <c r="O119" s="223" t="s">
        <v>2</v>
      </c>
      <c r="P119" s="223" t="s">
        <v>2</v>
      </c>
      <c r="Q119" s="223" t="s">
        <v>15</v>
      </c>
      <c r="R119" s="223" t="s">
        <v>15</v>
      </c>
      <c r="S119" s="223" t="s">
        <v>16</v>
      </c>
      <c r="T119" s="223" t="s">
        <v>282</v>
      </c>
      <c r="U119" s="223" t="s">
        <v>248</v>
      </c>
      <c r="V119" s="223" t="s">
        <v>281</v>
      </c>
      <c r="W119" s="224" t="s">
        <v>281</v>
      </c>
      <c r="X119" s="224" t="s">
        <v>281</v>
      </c>
      <c r="Y119" s="225" t="s">
        <v>281</v>
      </c>
    </row>
    <row r="120" spans="1:25">
      <c r="A120" s="219">
        <v>3</v>
      </c>
      <c r="B120" s="220" t="str">
        <f>VLOOKUP(Tabel10[[#This Row],[Code]],Ruimtegroepen[[Code]:[Ruimte omschrijving]],2,FALSE)</f>
        <v>Reproruimte</v>
      </c>
      <c r="C120" s="221" t="s">
        <v>378</v>
      </c>
      <c r="D120" s="220" t="s">
        <v>1</v>
      </c>
      <c r="E120" s="221" t="s">
        <v>101</v>
      </c>
      <c r="F120" s="221" t="s">
        <v>381</v>
      </c>
      <c r="G120" s="226" t="s">
        <v>281</v>
      </c>
      <c r="H120" s="222" t="s">
        <v>281</v>
      </c>
      <c r="I120" s="222" t="s">
        <v>20</v>
      </c>
      <c r="J120" s="222" t="s">
        <v>15</v>
      </c>
      <c r="K120" s="222" t="s">
        <v>328</v>
      </c>
      <c r="L120" s="222" t="s">
        <v>281</v>
      </c>
      <c r="M120" s="222" t="s">
        <v>281</v>
      </c>
      <c r="N120" s="222" t="s">
        <v>281</v>
      </c>
      <c r="O120" s="223" t="s">
        <v>2</v>
      </c>
      <c r="P120" s="223" t="s">
        <v>2</v>
      </c>
      <c r="Q120" s="223" t="s">
        <v>15</v>
      </c>
      <c r="R120" s="223" t="s">
        <v>15</v>
      </c>
      <c r="S120" s="223" t="s">
        <v>16</v>
      </c>
      <c r="T120" s="223" t="s">
        <v>282</v>
      </c>
      <c r="U120" s="223" t="s">
        <v>248</v>
      </c>
      <c r="V120" s="223" t="s">
        <v>281</v>
      </c>
      <c r="W120" s="224" t="s">
        <v>281</v>
      </c>
      <c r="X120" s="224" t="s">
        <v>281</v>
      </c>
      <c r="Y120" s="225" t="s">
        <v>281</v>
      </c>
    </row>
    <row r="121" spans="1:25">
      <c r="A121" s="219">
        <v>3</v>
      </c>
      <c r="B121" s="220" t="str">
        <f>VLOOKUP(Tabel10[[#This Row],[Code]],Ruimtegroepen[[Code]:[Ruimte omschrijving]],2,FALSE)</f>
        <v>Reproruimte</v>
      </c>
      <c r="C121" s="221" t="s">
        <v>378</v>
      </c>
      <c r="D121" s="220" t="s">
        <v>1</v>
      </c>
      <c r="E121" s="221" t="s">
        <v>102</v>
      </c>
      <c r="F121" s="221" t="s">
        <v>382</v>
      </c>
      <c r="G121" s="226" t="s">
        <v>281</v>
      </c>
      <c r="H121" s="222" t="s">
        <v>281</v>
      </c>
      <c r="I121" s="222" t="s">
        <v>20</v>
      </c>
      <c r="J121" s="222" t="s">
        <v>15</v>
      </c>
      <c r="K121" s="222" t="s">
        <v>328</v>
      </c>
      <c r="L121" s="222" t="s">
        <v>281</v>
      </c>
      <c r="M121" s="222" t="s">
        <v>281</v>
      </c>
      <c r="N121" s="222" t="s">
        <v>281</v>
      </c>
      <c r="O121" s="223" t="s">
        <v>2</v>
      </c>
      <c r="P121" s="223" t="s">
        <v>2</v>
      </c>
      <c r="Q121" s="223" t="s">
        <v>15</v>
      </c>
      <c r="R121" s="223" t="s">
        <v>15</v>
      </c>
      <c r="S121" s="223" t="s">
        <v>16</v>
      </c>
      <c r="T121" s="223" t="s">
        <v>282</v>
      </c>
      <c r="U121" s="223" t="s">
        <v>248</v>
      </c>
      <c r="V121" s="223" t="s">
        <v>281</v>
      </c>
      <c r="W121" s="224" t="s">
        <v>281</v>
      </c>
      <c r="X121" s="224" t="s">
        <v>281</v>
      </c>
      <c r="Y121" s="225" t="s">
        <v>281</v>
      </c>
    </row>
    <row r="122" spans="1:25">
      <c r="A122" s="219">
        <v>3</v>
      </c>
      <c r="B122" s="220" t="str">
        <f>VLOOKUP(Tabel10[[#This Row],[Code]],Ruimtegroepen[[Code]:[Ruimte omschrijving]],2,FALSE)</f>
        <v>Reproruimte</v>
      </c>
      <c r="C122" s="221" t="s">
        <v>378</v>
      </c>
      <c r="D122" s="220" t="s">
        <v>1</v>
      </c>
      <c r="E122" s="221" t="s">
        <v>99</v>
      </c>
      <c r="F122" s="221" t="s">
        <v>380</v>
      </c>
      <c r="G122" s="222" t="s">
        <v>20</v>
      </c>
      <c r="H122" s="222" t="s">
        <v>15</v>
      </c>
      <c r="I122" s="222" t="s">
        <v>281</v>
      </c>
      <c r="J122" s="222" t="s">
        <v>281</v>
      </c>
      <c r="K122" s="222" t="s">
        <v>281</v>
      </c>
      <c r="L122" s="222" t="s">
        <v>281</v>
      </c>
      <c r="M122" s="222" t="s">
        <v>281</v>
      </c>
      <c r="N122" s="222" t="s">
        <v>281</v>
      </c>
      <c r="O122" s="223" t="s">
        <v>281</v>
      </c>
      <c r="P122" s="223" t="s">
        <v>281</v>
      </c>
      <c r="Q122" s="223" t="s">
        <v>281</v>
      </c>
      <c r="R122" s="223" t="s">
        <v>281</v>
      </c>
      <c r="S122" s="223" t="s">
        <v>281</v>
      </c>
      <c r="T122" s="223" t="s">
        <v>281</v>
      </c>
      <c r="U122" s="223" t="s">
        <v>281</v>
      </c>
      <c r="V122" s="223" t="s">
        <v>281</v>
      </c>
      <c r="W122" s="224" t="s">
        <v>281</v>
      </c>
      <c r="X122" s="224" t="s">
        <v>281</v>
      </c>
      <c r="Y122" s="225" t="s">
        <v>281</v>
      </c>
    </row>
    <row r="123" spans="1:25">
      <c r="A123" s="219">
        <v>3</v>
      </c>
      <c r="B123" s="220" t="str">
        <f>VLOOKUP(Tabel10[[#This Row],[Code]],Ruimtegroepen[[Code]:[Ruimte omschrijving]],2,FALSE)</f>
        <v>Reproruimte</v>
      </c>
      <c r="C123" s="221" t="s">
        <v>378</v>
      </c>
      <c r="D123" s="220" t="s">
        <v>1</v>
      </c>
      <c r="E123" s="221" t="s">
        <v>1309</v>
      </c>
      <c r="F123" s="221" t="s">
        <v>1338</v>
      </c>
      <c r="G123" s="226" t="s">
        <v>281</v>
      </c>
      <c r="H123" s="222" t="s">
        <v>281</v>
      </c>
      <c r="I123" s="222" t="s">
        <v>20</v>
      </c>
      <c r="J123" s="222" t="s">
        <v>15</v>
      </c>
      <c r="K123" s="222" t="s">
        <v>328</v>
      </c>
      <c r="L123" s="222" t="s">
        <v>281</v>
      </c>
      <c r="M123" s="222" t="s">
        <v>281</v>
      </c>
      <c r="N123" s="222" t="s">
        <v>281</v>
      </c>
      <c r="O123" s="223" t="s">
        <v>2</v>
      </c>
      <c r="P123" s="223" t="s">
        <v>2</v>
      </c>
      <c r="Q123" s="223" t="s">
        <v>15</v>
      </c>
      <c r="R123" s="223" t="s">
        <v>15</v>
      </c>
      <c r="S123" s="223" t="s">
        <v>16</v>
      </c>
      <c r="T123" s="223" t="s">
        <v>282</v>
      </c>
      <c r="U123" s="223" t="s">
        <v>248</v>
      </c>
      <c r="V123" s="223" t="s">
        <v>281</v>
      </c>
      <c r="W123" s="224" t="s">
        <v>281</v>
      </c>
      <c r="X123" s="224" t="s">
        <v>281</v>
      </c>
      <c r="Y123" s="225" t="s">
        <v>281</v>
      </c>
    </row>
    <row r="124" spans="1:25">
      <c r="A124" s="219">
        <v>3</v>
      </c>
      <c r="B124" s="220" t="str">
        <f>VLOOKUP(Tabel10[[#This Row],[Code]],Ruimtegroepen[[Code]:[Ruimte omschrijving]],2,FALSE)</f>
        <v>Reproruimte</v>
      </c>
      <c r="C124" s="221" t="s">
        <v>383</v>
      </c>
      <c r="D124" s="220" t="s">
        <v>21</v>
      </c>
      <c r="E124" s="221" t="s">
        <v>100</v>
      </c>
      <c r="F124" s="221" t="s">
        <v>384</v>
      </c>
      <c r="G124" s="226" t="s">
        <v>281</v>
      </c>
      <c r="H124" s="222" t="s">
        <v>281</v>
      </c>
      <c r="I124" s="222" t="s">
        <v>18</v>
      </c>
      <c r="J124" s="222" t="s">
        <v>15</v>
      </c>
      <c r="K124" s="222" t="s">
        <v>281</v>
      </c>
      <c r="L124" s="222" t="s">
        <v>281</v>
      </c>
      <c r="M124" s="222" t="s">
        <v>281</v>
      </c>
      <c r="N124" s="222" t="s">
        <v>281</v>
      </c>
      <c r="O124" s="223" t="s">
        <v>20</v>
      </c>
      <c r="P124" s="223" t="s">
        <v>20</v>
      </c>
      <c r="Q124" s="223" t="s">
        <v>15</v>
      </c>
      <c r="R124" s="223" t="s">
        <v>15</v>
      </c>
      <c r="S124" s="223" t="s">
        <v>16</v>
      </c>
      <c r="T124" s="223" t="s">
        <v>282</v>
      </c>
      <c r="U124" s="223" t="s">
        <v>248</v>
      </c>
      <c r="V124" s="223" t="s">
        <v>281</v>
      </c>
      <c r="W124" s="224" t="s">
        <v>281</v>
      </c>
      <c r="X124" s="224" t="s">
        <v>281</v>
      </c>
      <c r="Y124" s="225" t="s">
        <v>281</v>
      </c>
    </row>
    <row r="125" spans="1:25">
      <c r="A125" s="219">
        <v>3</v>
      </c>
      <c r="B125" s="220" t="str">
        <f>VLOOKUP(Tabel10[[#This Row],[Code]],Ruimtegroepen[[Code]:[Ruimte omschrijving]],2,FALSE)</f>
        <v>Reproruimte</v>
      </c>
      <c r="C125" s="221" t="s">
        <v>383</v>
      </c>
      <c r="D125" s="220" t="s">
        <v>21</v>
      </c>
      <c r="E125" s="221" t="s">
        <v>99</v>
      </c>
      <c r="F125" s="221" t="s">
        <v>385</v>
      </c>
      <c r="G125" s="222" t="s">
        <v>18</v>
      </c>
      <c r="H125" s="222" t="s">
        <v>15</v>
      </c>
      <c r="I125" s="222" t="s">
        <v>281</v>
      </c>
      <c r="J125" s="222" t="s">
        <v>281</v>
      </c>
      <c r="K125" s="222" t="s">
        <v>281</v>
      </c>
      <c r="L125" s="222" t="s">
        <v>281</v>
      </c>
      <c r="M125" s="222" t="s">
        <v>281</v>
      </c>
      <c r="N125" s="222" t="s">
        <v>281</v>
      </c>
      <c r="O125" s="223" t="s">
        <v>20</v>
      </c>
      <c r="P125" s="223" t="s">
        <v>20</v>
      </c>
      <c r="Q125" s="223" t="s">
        <v>15</v>
      </c>
      <c r="R125" s="223" t="s">
        <v>15</v>
      </c>
      <c r="S125" s="223" t="s">
        <v>16</v>
      </c>
      <c r="T125" s="223" t="s">
        <v>282</v>
      </c>
      <c r="U125" s="223" t="s">
        <v>248</v>
      </c>
      <c r="V125" s="223" t="s">
        <v>281</v>
      </c>
      <c r="W125" s="224" t="s">
        <v>281</v>
      </c>
      <c r="X125" s="224" t="s">
        <v>281</v>
      </c>
      <c r="Y125" s="225" t="s">
        <v>281</v>
      </c>
    </row>
    <row r="126" spans="1:25">
      <c r="A126" s="219">
        <v>3</v>
      </c>
      <c r="B126" s="220" t="str">
        <f>VLOOKUP(Tabel10[[#This Row],[Code]],Ruimtegroepen[[Code]:[Ruimte omschrijving]],2,FALSE)</f>
        <v>Reproruimte</v>
      </c>
      <c r="C126" s="221" t="s">
        <v>383</v>
      </c>
      <c r="D126" s="220" t="s">
        <v>21</v>
      </c>
      <c r="E126" s="221" t="s">
        <v>101</v>
      </c>
      <c r="F126" s="221" t="s">
        <v>386</v>
      </c>
      <c r="G126" s="226" t="s">
        <v>281</v>
      </c>
      <c r="H126" s="222" t="s">
        <v>281</v>
      </c>
      <c r="I126" s="222" t="s">
        <v>18</v>
      </c>
      <c r="J126" s="222" t="s">
        <v>15</v>
      </c>
      <c r="K126" s="222" t="s">
        <v>328</v>
      </c>
      <c r="L126" s="222" t="s">
        <v>281</v>
      </c>
      <c r="M126" s="222" t="s">
        <v>281</v>
      </c>
      <c r="N126" s="222" t="s">
        <v>281</v>
      </c>
      <c r="O126" s="223" t="s">
        <v>20</v>
      </c>
      <c r="P126" s="223" t="s">
        <v>20</v>
      </c>
      <c r="Q126" s="223" t="s">
        <v>15</v>
      </c>
      <c r="R126" s="223" t="s">
        <v>15</v>
      </c>
      <c r="S126" s="223" t="s">
        <v>16</v>
      </c>
      <c r="T126" s="223" t="s">
        <v>282</v>
      </c>
      <c r="U126" s="223" t="s">
        <v>248</v>
      </c>
      <c r="V126" s="223" t="s">
        <v>281</v>
      </c>
      <c r="W126" s="224" t="s">
        <v>281</v>
      </c>
      <c r="X126" s="224" t="s">
        <v>281</v>
      </c>
      <c r="Y126" s="225" t="s">
        <v>281</v>
      </c>
    </row>
    <row r="127" spans="1:25">
      <c r="A127" s="219">
        <v>3</v>
      </c>
      <c r="B127" s="220" t="str">
        <f>VLOOKUP(Tabel10[[#This Row],[Code]],Ruimtegroepen[[Code]:[Ruimte omschrijving]],2,FALSE)</f>
        <v>Reproruimte</v>
      </c>
      <c r="C127" s="221" t="s">
        <v>383</v>
      </c>
      <c r="D127" s="220" t="s">
        <v>21</v>
      </c>
      <c r="E127" s="221" t="s">
        <v>102</v>
      </c>
      <c r="F127" s="221" t="s">
        <v>387</v>
      </c>
      <c r="G127" s="226" t="s">
        <v>281</v>
      </c>
      <c r="H127" s="222" t="s">
        <v>281</v>
      </c>
      <c r="I127" s="222" t="s">
        <v>18</v>
      </c>
      <c r="J127" s="222" t="s">
        <v>15</v>
      </c>
      <c r="K127" s="222" t="s">
        <v>328</v>
      </c>
      <c r="L127" s="222" t="s">
        <v>281</v>
      </c>
      <c r="M127" s="222" t="s">
        <v>281</v>
      </c>
      <c r="N127" s="222" t="s">
        <v>281</v>
      </c>
      <c r="O127" s="223" t="s">
        <v>20</v>
      </c>
      <c r="P127" s="223" t="s">
        <v>20</v>
      </c>
      <c r="Q127" s="223" t="s">
        <v>15</v>
      </c>
      <c r="R127" s="223" t="s">
        <v>15</v>
      </c>
      <c r="S127" s="223" t="s">
        <v>16</v>
      </c>
      <c r="T127" s="223" t="s">
        <v>282</v>
      </c>
      <c r="U127" s="223" t="s">
        <v>248</v>
      </c>
      <c r="V127" s="223" t="s">
        <v>281</v>
      </c>
      <c r="W127" s="224" t="s">
        <v>281</v>
      </c>
      <c r="X127" s="224" t="s">
        <v>281</v>
      </c>
      <c r="Y127" s="225" t="s">
        <v>281</v>
      </c>
    </row>
    <row r="128" spans="1:25">
      <c r="A128" s="219">
        <v>3</v>
      </c>
      <c r="B128" s="220" t="str">
        <f>VLOOKUP(Tabel10[[#This Row],[Code]],Ruimtegroepen[[Code]:[Ruimte omschrijving]],2,FALSE)</f>
        <v>Reproruimte</v>
      </c>
      <c r="C128" s="221" t="s">
        <v>383</v>
      </c>
      <c r="D128" s="220" t="s">
        <v>21</v>
      </c>
      <c r="E128" s="221" t="s">
        <v>99</v>
      </c>
      <c r="F128" s="221" t="s">
        <v>385</v>
      </c>
      <c r="G128" s="222" t="s">
        <v>18</v>
      </c>
      <c r="H128" s="222" t="s">
        <v>15</v>
      </c>
      <c r="I128" s="222" t="s">
        <v>281</v>
      </c>
      <c r="J128" s="222" t="s">
        <v>281</v>
      </c>
      <c r="K128" s="222" t="s">
        <v>281</v>
      </c>
      <c r="L128" s="222" t="s">
        <v>281</v>
      </c>
      <c r="M128" s="222" t="s">
        <v>281</v>
      </c>
      <c r="N128" s="222" t="s">
        <v>281</v>
      </c>
      <c r="O128" s="223" t="s">
        <v>281</v>
      </c>
      <c r="P128" s="223" t="s">
        <v>281</v>
      </c>
      <c r="Q128" s="223" t="s">
        <v>281</v>
      </c>
      <c r="R128" s="223" t="s">
        <v>281</v>
      </c>
      <c r="S128" s="223" t="s">
        <v>281</v>
      </c>
      <c r="T128" s="223" t="s">
        <v>281</v>
      </c>
      <c r="U128" s="223" t="s">
        <v>281</v>
      </c>
      <c r="V128" s="223" t="s">
        <v>281</v>
      </c>
      <c r="W128" s="224" t="s">
        <v>281</v>
      </c>
      <c r="X128" s="224" t="s">
        <v>281</v>
      </c>
      <c r="Y128" s="225" t="s">
        <v>281</v>
      </c>
    </row>
    <row r="129" spans="1:25">
      <c r="A129" s="219">
        <v>3</v>
      </c>
      <c r="B129" s="220" t="str">
        <f>VLOOKUP(Tabel10[[#This Row],[Code]],Ruimtegroepen[[Code]:[Ruimte omschrijving]],2,FALSE)</f>
        <v>Reproruimte</v>
      </c>
      <c r="C129" s="221" t="s">
        <v>383</v>
      </c>
      <c r="D129" s="220" t="s">
        <v>21</v>
      </c>
      <c r="E129" s="221" t="s">
        <v>1309</v>
      </c>
      <c r="F129" s="221" t="s">
        <v>1339</v>
      </c>
      <c r="G129" s="226" t="s">
        <v>281</v>
      </c>
      <c r="H129" s="222" t="s">
        <v>281</v>
      </c>
      <c r="I129" s="222" t="s">
        <v>18</v>
      </c>
      <c r="J129" s="222" t="s">
        <v>15</v>
      </c>
      <c r="K129" s="222" t="s">
        <v>328</v>
      </c>
      <c r="L129" s="222" t="s">
        <v>281</v>
      </c>
      <c r="M129" s="222" t="s">
        <v>281</v>
      </c>
      <c r="N129" s="222" t="s">
        <v>281</v>
      </c>
      <c r="O129" s="223" t="s">
        <v>20</v>
      </c>
      <c r="P129" s="223" t="s">
        <v>20</v>
      </c>
      <c r="Q129" s="223" t="s">
        <v>15</v>
      </c>
      <c r="R129" s="223" t="s">
        <v>15</v>
      </c>
      <c r="S129" s="223" t="s">
        <v>16</v>
      </c>
      <c r="T129" s="223" t="s">
        <v>282</v>
      </c>
      <c r="U129" s="223" t="s">
        <v>248</v>
      </c>
      <c r="V129" s="223" t="s">
        <v>281</v>
      </c>
      <c r="W129" s="224" t="s">
        <v>281</v>
      </c>
      <c r="X129" s="224" t="s">
        <v>281</v>
      </c>
      <c r="Y129" s="225" t="s">
        <v>281</v>
      </c>
    </row>
    <row r="130" spans="1:25">
      <c r="A130" s="219">
        <v>3</v>
      </c>
      <c r="B130" s="220" t="str">
        <f>VLOOKUP(Tabel10[[#This Row],[Code]],Ruimtegroepen[[Code]:[Ruimte omschrijving]],2,FALSE)</f>
        <v>Reproruimte</v>
      </c>
      <c r="C130" s="221" t="s">
        <v>388</v>
      </c>
      <c r="D130" s="220" t="s">
        <v>12</v>
      </c>
      <c r="E130" s="221" t="s">
        <v>100</v>
      </c>
      <c r="F130" s="221" t="s">
        <v>389</v>
      </c>
      <c r="G130" s="226" t="s">
        <v>281</v>
      </c>
      <c r="H130" s="222" t="s">
        <v>281</v>
      </c>
      <c r="I130" s="222" t="s">
        <v>17</v>
      </c>
      <c r="J130" s="222" t="s">
        <v>15</v>
      </c>
      <c r="K130" s="222" t="s">
        <v>281</v>
      </c>
      <c r="L130" s="222" t="s">
        <v>281</v>
      </c>
      <c r="M130" s="222" t="s">
        <v>281</v>
      </c>
      <c r="N130" s="222" t="s">
        <v>281</v>
      </c>
      <c r="O130" s="223" t="s">
        <v>18</v>
      </c>
      <c r="P130" s="223" t="s">
        <v>18</v>
      </c>
      <c r="Q130" s="223" t="s">
        <v>15</v>
      </c>
      <c r="R130" s="223" t="s">
        <v>15</v>
      </c>
      <c r="S130" s="223" t="s">
        <v>16</v>
      </c>
      <c r="T130" s="223" t="s">
        <v>282</v>
      </c>
      <c r="U130" s="223" t="s">
        <v>248</v>
      </c>
      <c r="V130" s="223" t="s">
        <v>281</v>
      </c>
      <c r="W130" s="224" t="s">
        <v>281</v>
      </c>
      <c r="X130" s="224" t="s">
        <v>281</v>
      </c>
      <c r="Y130" s="225" t="s">
        <v>281</v>
      </c>
    </row>
    <row r="131" spans="1:25">
      <c r="A131" s="219">
        <v>3</v>
      </c>
      <c r="B131" s="220" t="str">
        <f>VLOOKUP(Tabel10[[#This Row],[Code]],Ruimtegroepen[[Code]:[Ruimte omschrijving]],2,FALSE)</f>
        <v>Reproruimte</v>
      </c>
      <c r="C131" s="221" t="s">
        <v>388</v>
      </c>
      <c r="D131" s="220" t="s">
        <v>12</v>
      </c>
      <c r="E131" s="221" t="s">
        <v>99</v>
      </c>
      <c r="F131" s="221" t="s">
        <v>390</v>
      </c>
      <c r="G131" s="222" t="s">
        <v>17</v>
      </c>
      <c r="H131" s="222" t="s">
        <v>15</v>
      </c>
      <c r="I131" s="222" t="s">
        <v>281</v>
      </c>
      <c r="J131" s="222" t="s">
        <v>281</v>
      </c>
      <c r="K131" s="222" t="s">
        <v>281</v>
      </c>
      <c r="L131" s="222" t="s">
        <v>281</v>
      </c>
      <c r="M131" s="222" t="s">
        <v>281</v>
      </c>
      <c r="N131" s="222" t="s">
        <v>281</v>
      </c>
      <c r="O131" s="223" t="s">
        <v>18</v>
      </c>
      <c r="P131" s="223" t="s">
        <v>18</v>
      </c>
      <c r="Q131" s="223" t="s">
        <v>15</v>
      </c>
      <c r="R131" s="223" t="s">
        <v>15</v>
      </c>
      <c r="S131" s="223" t="s">
        <v>16</v>
      </c>
      <c r="T131" s="223" t="s">
        <v>282</v>
      </c>
      <c r="U131" s="223" t="s">
        <v>248</v>
      </c>
      <c r="V131" s="223" t="s">
        <v>281</v>
      </c>
      <c r="W131" s="224" t="s">
        <v>281</v>
      </c>
      <c r="X131" s="224" t="s">
        <v>281</v>
      </c>
      <c r="Y131" s="225" t="s">
        <v>281</v>
      </c>
    </row>
    <row r="132" spans="1:25">
      <c r="A132" s="219">
        <v>3</v>
      </c>
      <c r="B132" s="220" t="str">
        <f>VLOOKUP(Tabel10[[#This Row],[Code]],Ruimtegroepen[[Code]:[Ruimte omschrijving]],2,FALSE)</f>
        <v>Reproruimte</v>
      </c>
      <c r="C132" s="221" t="s">
        <v>388</v>
      </c>
      <c r="D132" s="220" t="s">
        <v>12</v>
      </c>
      <c r="E132" s="221" t="s">
        <v>101</v>
      </c>
      <c r="F132" s="221" t="s">
        <v>391</v>
      </c>
      <c r="G132" s="226" t="s">
        <v>281</v>
      </c>
      <c r="H132" s="222" t="s">
        <v>281</v>
      </c>
      <c r="I132" s="222" t="s">
        <v>17</v>
      </c>
      <c r="J132" s="222" t="s">
        <v>15</v>
      </c>
      <c r="K132" s="222" t="s">
        <v>328</v>
      </c>
      <c r="L132" s="222" t="s">
        <v>281</v>
      </c>
      <c r="M132" s="222" t="s">
        <v>281</v>
      </c>
      <c r="N132" s="222" t="s">
        <v>281</v>
      </c>
      <c r="O132" s="223" t="s">
        <v>18</v>
      </c>
      <c r="P132" s="223" t="s">
        <v>18</v>
      </c>
      <c r="Q132" s="223" t="s">
        <v>15</v>
      </c>
      <c r="R132" s="223" t="s">
        <v>15</v>
      </c>
      <c r="S132" s="223" t="s">
        <v>16</v>
      </c>
      <c r="T132" s="223" t="s">
        <v>282</v>
      </c>
      <c r="U132" s="223" t="s">
        <v>248</v>
      </c>
      <c r="V132" s="223" t="s">
        <v>281</v>
      </c>
      <c r="W132" s="224" t="s">
        <v>281</v>
      </c>
      <c r="X132" s="224" t="s">
        <v>281</v>
      </c>
      <c r="Y132" s="225" t="s">
        <v>281</v>
      </c>
    </row>
    <row r="133" spans="1:25">
      <c r="A133" s="219">
        <v>3</v>
      </c>
      <c r="B133" s="220" t="str">
        <f>VLOOKUP(Tabel10[[#This Row],[Code]],Ruimtegroepen[[Code]:[Ruimte omschrijving]],2,FALSE)</f>
        <v>Reproruimte</v>
      </c>
      <c r="C133" s="221" t="s">
        <v>388</v>
      </c>
      <c r="D133" s="220" t="s">
        <v>12</v>
      </c>
      <c r="E133" s="221" t="s">
        <v>102</v>
      </c>
      <c r="F133" s="221" t="s">
        <v>392</v>
      </c>
      <c r="G133" s="226" t="s">
        <v>281</v>
      </c>
      <c r="H133" s="222" t="s">
        <v>281</v>
      </c>
      <c r="I133" s="222" t="s">
        <v>17</v>
      </c>
      <c r="J133" s="222" t="s">
        <v>15</v>
      </c>
      <c r="K133" s="222" t="s">
        <v>328</v>
      </c>
      <c r="L133" s="222" t="s">
        <v>281</v>
      </c>
      <c r="M133" s="222" t="s">
        <v>281</v>
      </c>
      <c r="N133" s="222" t="s">
        <v>281</v>
      </c>
      <c r="O133" s="223" t="s">
        <v>18</v>
      </c>
      <c r="P133" s="223" t="s">
        <v>18</v>
      </c>
      <c r="Q133" s="223" t="s">
        <v>15</v>
      </c>
      <c r="R133" s="223" t="s">
        <v>15</v>
      </c>
      <c r="S133" s="223" t="s">
        <v>16</v>
      </c>
      <c r="T133" s="223" t="s">
        <v>282</v>
      </c>
      <c r="U133" s="223" t="s">
        <v>248</v>
      </c>
      <c r="V133" s="223" t="s">
        <v>281</v>
      </c>
      <c r="W133" s="224" t="s">
        <v>281</v>
      </c>
      <c r="X133" s="224" t="s">
        <v>281</v>
      </c>
      <c r="Y133" s="225" t="s">
        <v>281</v>
      </c>
    </row>
    <row r="134" spans="1:25">
      <c r="A134" s="219">
        <v>3</v>
      </c>
      <c r="B134" s="220" t="str">
        <f>VLOOKUP(Tabel10[[#This Row],[Code]],Ruimtegroepen[[Code]:[Ruimte omschrijving]],2,FALSE)</f>
        <v>Reproruimte</v>
      </c>
      <c r="C134" s="221" t="s">
        <v>388</v>
      </c>
      <c r="D134" s="220" t="s">
        <v>12</v>
      </c>
      <c r="E134" s="221" t="s">
        <v>99</v>
      </c>
      <c r="F134" s="221" t="s">
        <v>390</v>
      </c>
      <c r="G134" s="222" t="s">
        <v>17</v>
      </c>
      <c r="H134" s="222" t="s">
        <v>15</v>
      </c>
      <c r="I134" s="222" t="s">
        <v>281</v>
      </c>
      <c r="J134" s="222" t="s">
        <v>281</v>
      </c>
      <c r="K134" s="222" t="s">
        <v>281</v>
      </c>
      <c r="L134" s="222" t="s">
        <v>281</v>
      </c>
      <c r="M134" s="222" t="s">
        <v>281</v>
      </c>
      <c r="N134" s="222" t="s">
        <v>281</v>
      </c>
      <c r="O134" s="223" t="s">
        <v>281</v>
      </c>
      <c r="P134" s="223" t="s">
        <v>281</v>
      </c>
      <c r="Q134" s="223" t="s">
        <v>281</v>
      </c>
      <c r="R134" s="223" t="s">
        <v>281</v>
      </c>
      <c r="S134" s="223" t="s">
        <v>281</v>
      </c>
      <c r="T134" s="223" t="s">
        <v>281</v>
      </c>
      <c r="U134" s="223" t="s">
        <v>281</v>
      </c>
      <c r="V134" s="223" t="s">
        <v>281</v>
      </c>
      <c r="W134" s="224" t="s">
        <v>281</v>
      </c>
      <c r="X134" s="224" t="s">
        <v>281</v>
      </c>
      <c r="Y134" s="225" t="s">
        <v>281</v>
      </c>
    </row>
    <row r="135" spans="1:25">
      <c r="A135" s="219">
        <v>3</v>
      </c>
      <c r="B135" s="220" t="str">
        <f>VLOOKUP(Tabel10[[#This Row],[Code]],Ruimtegroepen[[Code]:[Ruimte omschrijving]],2,FALSE)</f>
        <v>Reproruimte</v>
      </c>
      <c r="C135" s="221" t="s">
        <v>388</v>
      </c>
      <c r="D135" s="220" t="s">
        <v>12</v>
      </c>
      <c r="E135" s="221" t="s">
        <v>1309</v>
      </c>
      <c r="F135" s="221" t="s">
        <v>1340</v>
      </c>
      <c r="G135" s="226" t="s">
        <v>281</v>
      </c>
      <c r="H135" s="222" t="s">
        <v>281</v>
      </c>
      <c r="I135" s="222" t="s">
        <v>17</v>
      </c>
      <c r="J135" s="222" t="s">
        <v>15</v>
      </c>
      <c r="K135" s="222" t="s">
        <v>328</v>
      </c>
      <c r="L135" s="222" t="s">
        <v>281</v>
      </c>
      <c r="M135" s="222" t="s">
        <v>281</v>
      </c>
      <c r="N135" s="222" t="s">
        <v>281</v>
      </c>
      <c r="O135" s="223" t="s">
        <v>18</v>
      </c>
      <c r="P135" s="223" t="s">
        <v>18</v>
      </c>
      <c r="Q135" s="223" t="s">
        <v>15</v>
      </c>
      <c r="R135" s="223" t="s">
        <v>15</v>
      </c>
      <c r="S135" s="223" t="s">
        <v>16</v>
      </c>
      <c r="T135" s="223" t="s">
        <v>282</v>
      </c>
      <c r="U135" s="223" t="s">
        <v>248</v>
      </c>
      <c r="V135" s="223" t="s">
        <v>281</v>
      </c>
      <c r="W135" s="224" t="s">
        <v>281</v>
      </c>
      <c r="X135" s="224" t="s">
        <v>281</v>
      </c>
      <c r="Y135" s="225" t="s">
        <v>281</v>
      </c>
    </row>
    <row r="136" spans="1:25">
      <c r="A136" s="219">
        <v>3</v>
      </c>
      <c r="B136" s="220" t="str">
        <f>VLOOKUP(Tabel10[[#This Row],[Code]],Ruimtegroepen[[Code]:[Ruimte omschrijving]],2,FALSE)</f>
        <v>Reproruimte</v>
      </c>
      <c r="C136" s="221" t="s">
        <v>393</v>
      </c>
      <c r="D136" s="220" t="s">
        <v>14</v>
      </c>
      <c r="E136" s="221" t="s">
        <v>100</v>
      </c>
      <c r="F136" s="221" t="s">
        <v>394</v>
      </c>
      <c r="G136" s="226" t="s">
        <v>281</v>
      </c>
      <c r="H136" s="222" t="s">
        <v>281</v>
      </c>
      <c r="I136" s="222" t="s">
        <v>15</v>
      </c>
      <c r="J136" s="222" t="s">
        <v>15</v>
      </c>
      <c r="K136" s="222" t="s">
        <v>281</v>
      </c>
      <c r="L136" s="222" t="s">
        <v>281</v>
      </c>
      <c r="M136" s="222" t="s">
        <v>281</v>
      </c>
      <c r="N136" s="222" t="s">
        <v>281</v>
      </c>
      <c r="O136" s="223" t="s">
        <v>17</v>
      </c>
      <c r="P136" s="223" t="s">
        <v>17</v>
      </c>
      <c r="Q136" s="223" t="s">
        <v>15</v>
      </c>
      <c r="R136" s="223" t="s">
        <v>15</v>
      </c>
      <c r="S136" s="223" t="s">
        <v>16</v>
      </c>
      <c r="T136" s="223" t="s">
        <v>282</v>
      </c>
      <c r="U136" s="223" t="s">
        <v>248</v>
      </c>
      <c r="V136" s="223" t="s">
        <v>281</v>
      </c>
      <c r="W136" s="224" t="s">
        <v>281</v>
      </c>
      <c r="X136" s="224" t="s">
        <v>281</v>
      </c>
      <c r="Y136" s="225" t="s">
        <v>281</v>
      </c>
    </row>
    <row r="137" spans="1:25">
      <c r="A137" s="219">
        <v>3</v>
      </c>
      <c r="B137" s="220" t="str">
        <f>VLOOKUP(Tabel10[[#This Row],[Code]],Ruimtegroepen[[Code]:[Ruimte omschrijving]],2,FALSE)</f>
        <v>Reproruimte</v>
      </c>
      <c r="C137" s="221" t="s">
        <v>393</v>
      </c>
      <c r="D137" s="220" t="s">
        <v>14</v>
      </c>
      <c r="E137" s="221" t="s">
        <v>99</v>
      </c>
      <c r="F137" s="221" t="s">
        <v>395</v>
      </c>
      <c r="G137" s="222" t="s">
        <v>15</v>
      </c>
      <c r="H137" s="222" t="s">
        <v>15</v>
      </c>
      <c r="I137" s="222" t="s">
        <v>281</v>
      </c>
      <c r="J137" s="222" t="s">
        <v>281</v>
      </c>
      <c r="K137" s="222" t="s">
        <v>281</v>
      </c>
      <c r="L137" s="222" t="s">
        <v>281</v>
      </c>
      <c r="M137" s="222" t="s">
        <v>281</v>
      </c>
      <c r="N137" s="222" t="s">
        <v>281</v>
      </c>
      <c r="O137" s="223" t="s">
        <v>17</v>
      </c>
      <c r="P137" s="223" t="s">
        <v>17</v>
      </c>
      <c r="Q137" s="223" t="s">
        <v>15</v>
      </c>
      <c r="R137" s="223" t="s">
        <v>15</v>
      </c>
      <c r="S137" s="223" t="s">
        <v>16</v>
      </c>
      <c r="T137" s="223" t="s">
        <v>282</v>
      </c>
      <c r="U137" s="223" t="s">
        <v>248</v>
      </c>
      <c r="V137" s="223" t="s">
        <v>281</v>
      </c>
      <c r="W137" s="224" t="s">
        <v>281</v>
      </c>
      <c r="X137" s="224" t="s">
        <v>281</v>
      </c>
      <c r="Y137" s="225" t="s">
        <v>281</v>
      </c>
    </row>
    <row r="138" spans="1:25">
      <c r="A138" s="219">
        <v>3</v>
      </c>
      <c r="B138" s="220" t="str">
        <f>VLOOKUP(Tabel10[[#This Row],[Code]],Ruimtegroepen[[Code]:[Ruimte omschrijving]],2,FALSE)</f>
        <v>Reproruimte</v>
      </c>
      <c r="C138" s="221" t="s">
        <v>393</v>
      </c>
      <c r="D138" s="220" t="s">
        <v>14</v>
      </c>
      <c r="E138" s="221" t="s">
        <v>101</v>
      </c>
      <c r="F138" s="221" t="s">
        <v>396</v>
      </c>
      <c r="G138" s="226" t="s">
        <v>281</v>
      </c>
      <c r="H138" s="222" t="s">
        <v>281</v>
      </c>
      <c r="I138" s="222" t="s">
        <v>15</v>
      </c>
      <c r="J138" s="222" t="s">
        <v>15</v>
      </c>
      <c r="K138" s="222" t="s">
        <v>328</v>
      </c>
      <c r="L138" s="222" t="s">
        <v>281</v>
      </c>
      <c r="M138" s="222" t="s">
        <v>281</v>
      </c>
      <c r="N138" s="222" t="s">
        <v>281</v>
      </c>
      <c r="O138" s="223" t="s">
        <v>17</v>
      </c>
      <c r="P138" s="223" t="s">
        <v>17</v>
      </c>
      <c r="Q138" s="223" t="s">
        <v>15</v>
      </c>
      <c r="R138" s="223" t="s">
        <v>15</v>
      </c>
      <c r="S138" s="223" t="s">
        <v>16</v>
      </c>
      <c r="T138" s="223" t="s">
        <v>282</v>
      </c>
      <c r="U138" s="223" t="s">
        <v>248</v>
      </c>
      <c r="V138" s="223" t="s">
        <v>281</v>
      </c>
      <c r="W138" s="224" t="s">
        <v>281</v>
      </c>
      <c r="X138" s="224" t="s">
        <v>281</v>
      </c>
      <c r="Y138" s="225" t="s">
        <v>281</v>
      </c>
    </row>
    <row r="139" spans="1:25">
      <c r="A139" s="219">
        <v>3</v>
      </c>
      <c r="B139" s="220" t="str">
        <f>VLOOKUP(Tabel10[[#This Row],[Code]],Ruimtegroepen[[Code]:[Ruimte omschrijving]],2,FALSE)</f>
        <v>Reproruimte</v>
      </c>
      <c r="C139" s="221" t="s">
        <v>393</v>
      </c>
      <c r="D139" s="220" t="s">
        <v>14</v>
      </c>
      <c r="E139" s="221" t="s">
        <v>102</v>
      </c>
      <c r="F139" s="221" t="s">
        <v>397</v>
      </c>
      <c r="G139" s="226" t="s">
        <v>281</v>
      </c>
      <c r="H139" s="222" t="s">
        <v>281</v>
      </c>
      <c r="I139" s="222" t="s">
        <v>15</v>
      </c>
      <c r="J139" s="222" t="s">
        <v>15</v>
      </c>
      <c r="K139" s="222" t="s">
        <v>328</v>
      </c>
      <c r="L139" s="222" t="s">
        <v>281</v>
      </c>
      <c r="M139" s="222" t="s">
        <v>281</v>
      </c>
      <c r="N139" s="222" t="s">
        <v>281</v>
      </c>
      <c r="O139" s="223" t="s">
        <v>17</v>
      </c>
      <c r="P139" s="223" t="s">
        <v>17</v>
      </c>
      <c r="Q139" s="223" t="s">
        <v>15</v>
      </c>
      <c r="R139" s="223" t="s">
        <v>15</v>
      </c>
      <c r="S139" s="223" t="s">
        <v>16</v>
      </c>
      <c r="T139" s="223" t="s">
        <v>282</v>
      </c>
      <c r="U139" s="223" t="s">
        <v>248</v>
      </c>
      <c r="V139" s="223" t="s">
        <v>281</v>
      </c>
      <c r="W139" s="224" t="s">
        <v>281</v>
      </c>
      <c r="X139" s="224" t="s">
        <v>281</v>
      </c>
      <c r="Y139" s="225" t="s">
        <v>281</v>
      </c>
    </row>
    <row r="140" spans="1:25">
      <c r="A140" s="219">
        <v>3</v>
      </c>
      <c r="B140" s="220" t="str">
        <f>VLOOKUP(Tabel10[[#This Row],[Code]],Ruimtegroepen[[Code]:[Ruimte omschrijving]],2,FALSE)</f>
        <v>Reproruimte</v>
      </c>
      <c r="C140" s="221" t="s">
        <v>393</v>
      </c>
      <c r="D140" s="220" t="s">
        <v>14</v>
      </c>
      <c r="E140" s="221" t="s">
        <v>99</v>
      </c>
      <c r="F140" s="221" t="s">
        <v>395</v>
      </c>
      <c r="G140" s="222" t="s">
        <v>15</v>
      </c>
      <c r="H140" s="222" t="s">
        <v>15</v>
      </c>
      <c r="I140" s="222" t="s">
        <v>281</v>
      </c>
      <c r="J140" s="222" t="s">
        <v>281</v>
      </c>
      <c r="K140" s="222" t="s">
        <v>281</v>
      </c>
      <c r="L140" s="222" t="s">
        <v>281</v>
      </c>
      <c r="M140" s="222" t="s">
        <v>281</v>
      </c>
      <c r="N140" s="222" t="s">
        <v>281</v>
      </c>
      <c r="O140" s="223" t="s">
        <v>281</v>
      </c>
      <c r="P140" s="223" t="s">
        <v>281</v>
      </c>
      <c r="Q140" s="223" t="s">
        <v>281</v>
      </c>
      <c r="R140" s="223" t="s">
        <v>281</v>
      </c>
      <c r="S140" s="223" t="s">
        <v>281</v>
      </c>
      <c r="T140" s="223" t="s">
        <v>281</v>
      </c>
      <c r="U140" s="223" t="s">
        <v>281</v>
      </c>
      <c r="V140" s="223" t="s">
        <v>281</v>
      </c>
      <c r="W140" s="224" t="s">
        <v>281</v>
      </c>
      <c r="X140" s="224" t="s">
        <v>281</v>
      </c>
      <c r="Y140" s="225" t="s">
        <v>281</v>
      </c>
    </row>
    <row r="141" spans="1:25">
      <c r="A141" s="219">
        <v>3</v>
      </c>
      <c r="B141" s="220" t="str">
        <f>VLOOKUP(Tabel10[[#This Row],[Code]],Ruimtegroepen[[Code]:[Ruimte omschrijving]],2,FALSE)</f>
        <v>Reproruimte</v>
      </c>
      <c r="C141" s="221" t="s">
        <v>393</v>
      </c>
      <c r="D141" s="220" t="s">
        <v>14</v>
      </c>
      <c r="E141" s="221" t="s">
        <v>1309</v>
      </c>
      <c r="F141" s="221" t="s">
        <v>1341</v>
      </c>
      <c r="G141" s="226" t="s">
        <v>281</v>
      </c>
      <c r="H141" s="222" t="s">
        <v>281</v>
      </c>
      <c r="I141" s="222" t="s">
        <v>15</v>
      </c>
      <c r="J141" s="222" t="s">
        <v>15</v>
      </c>
      <c r="K141" s="222" t="s">
        <v>328</v>
      </c>
      <c r="L141" s="222" t="s">
        <v>281</v>
      </c>
      <c r="M141" s="222" t="s">
        <v>281</v>
      </c>
      <c r="N141" s="222" t="s">
        <v>281</v>
      </c>
      <c r="O141" s="223" t="s">
        <v>17</v>
      </c>
      <c r="P141" s="223" t="s">
        <v>17</v>
      </c>
      <c r="Q141" s="223" t="s">
        <v>15</v>
      </c>
      <c r="R141" s="223" t="s">
        <v>15</v>
      </c>
      <c r="S141" s="223" t="s">
        <v>16</v>
      </c>
      <c r="T141" s="223" t="s">
        <v>282</v>
      </c>
      <c r="U141" s="223" t="s">
        <v>248</v>
      </c>
      <c r="V141" s="223" t="s">
        <v>281</v>
      </c>
      <c r="W141" s="224" t="s">
        <v>281</v>
      </c>
      <c r="X141" s="224" t="s">
        <v>281</v>
      </c>
      <c r="Y141" s="225" t="s">
        <v>281</v>
      </c>
    </row>
    <row r="142" spans="1:25">
      <c r="A142" s="219">
        <v>3</v>
      </c>
      <c r="B142" s="220" t="str">
        <f>VLOOKUP(Tabel10[[#This Row],[Code]],Ruimtegroepen[[Code]:[Ruimte omschrijving]],2,FALSE)</f>
        <v>Reproruimte</v>
      </c>
      <c r="C142" s="221" t="s">
        <v>398</v>
      </c>
      <c r="D142" s="220" t="s">
        <v>13</v>
      </c>
      <c r="E142" s="221" t="s">
        <v>100</v>
      </c>
      <c r="F142" s="221" t="s">
        <v>399</v>
      </c>
      <c r="G142" s="226" t="s">
        <v>281</v>
      </c>
      <c r="H142" s="222" t="s">
        <v>281</v>
      </c>
      <c r="I142" s="222" t="s">
        <v>281</v>
      </c>
      <c r="J142" s="222" t="s">
        <v>15</v>
      </c>
      <c r="K142" s="222" t="s">
        <v>281</v>
      </c>
      <c r="L142" s="222" t="s">
        <v>281</v>
      </c>
      <c r="M142" s="222" t="s">
        <v>281</v>
      </c>
      <c r="N142" s="222" t="s">
        <v>281</v>
      </c>
      <c r="O142" s="223" t="s">
        <v>15</v>
      </c>
      <c r="P142" s="223" t="s">
        <v>15</v>
      </c>
      <c r="Q142" s="223" t="s">
        <v>15</v>
      </c>
      <c r="R142" s="223" t="s">
        <v>15</v>
      </c>
      <c r="S142" s="223" t="s">
        <v>16</v>
      </c>
      <c r="T142" s="223" t="s">
        <v>282</v>
      </c>
      <c r="U142" s="223" t="s">
        <v>248</v>
      </c>
      <c r="V142" s="223" t="s">
        <v>281</v>
      </c>
      <c r="W142" s="224" t="s">
        <v>281</v>
      </c>
      <c r="X142" s="224" t="s">
        <v>281</v>
      </c>
      <c r="Y142" s="225" t="s">
        <v>281</v>
      </c>
    </row>
    <row r="143" spans="1:25">
      <c r="A143" s="219">
        <v>3</v>
      </c>
      <c r="B143" s="220" t="str">
        <f>VLOOKUP(Tabel10[[#This Row],[Code]],Ruimtegroepen[[Code]:[Ruimte omschrijving]],2,FALSE)</f>
        <v>Reproruimte</v>
      </c>
      <c r="C143" s="221" t="s">
        <v>398</v>
      </c>
      <c r="D143" s="220" t="s">
        <v>13</v>
      </c>
      <c r="E143" s="221" t="s">
        <v>99</v>
      </c>
      <c r="F143" s="221" t="s">
        <v>400</v>
      </c>
      <c r="G143" s="226" t="s">
        <v>281</v>
      </c>
      <c r="H143" s="222" t="s">
        <v>15</v>
      </c>
      <c r="I143" s="222" t="s">
        <v>281</v>
      </c>
      <c r="J143" s="222" t="s">
        <v>281</v>
      </c>
      <c r="K143" s="222" t="s">
        <v>281</v>
      </c>
      <c r="L143" s="222" t="s">
        <v>281</v>
      </c>
      <c r="M143" s="222" t="s">
        <v>281</v>
      </c>
      <c r="N143" s="222" t="s">
        <v>281</v>
      </c>
      <c r="O143" s="223" t="s">
        <v>15</v>
      </c>
      <c r="P143" s="223" t="s">
        <v>15</v>
      </c>
      <c r="Q143" s="223" t="s">
        <v>15</v>
      </c>
      <c r="R143" s="223" t="s">
        <v>15</v>
      </c>
      <c r="S143" s="223" t="s">
        <v>16</v>
      </c>
      <c r="T143" s="223" t="s">
        <v>282</v>
      </c>
      <c r="U143" s="223" t="s">
        <v>248</v>
      </c>
      <c r="V143" s="223" t="s">
        <v>281</v>
      </c>
      <c r="W143" s="224" t="s">
        <v>281</v>
      </c>
      <c r="X143" s="224" t="s">
        <v>281</v>
      </c>
      <c r="Y143" s="225" t="s">
        <v>281</v>
      </c>
    </row>
    <row r="144" spans="1:25">
      <c r="A144" s="219">
        <v>3</v>
      </c>
      <c r="B144" s="220" t="str">
        <f>VLOOKUP(Tabel10[[#This Row],[Code]],Ruimtegroepen[[Code]:[Ruimte omschrijving]],2,FALSE)</f>
        <v>Reproruimte</v>
      </c>
      <c r="C144" s="221" t="s">
        <v>398</v>
      </c>
      <c r="D144" s="220" t="s">
        <v>13</v>
      </c>
      <c r="E144" s="221" t="s">
        <v>101</v>
      </c>
      <c r="F144" s="221" t="s">
        <v>401</v>
      </c>
      <c r="G144" s="226" t="s">
        <v>281</v>
      </c>
      <c r="H144" s="222" t="s">
        <v>281</v>
      </c>
      <c r="I144" s="222" t="s">
        <v>281</v>
      </c>
      <c r="J144" s="222" t="s">
        <v>15</v>
      </c>
      <c r="K144" s="222" t="s">
        <v>328</v>
      </c>
      <c r="L144" s="222" t="s">
        <v>281</v>
      </c>
      <c r="M144" s="222" t="s">
        <v>281</v>
      </c>
      <c r="N144" s="222" t="s">
        <v>281</v>
      </c>
      <c r="O144" s="223" t="s">
        <v>15</v>
      </c>
      <c r="P144" s="223" t="s">
        <v>15</v>
      </c>
      <c r="Q144" s="223" t="s">
        <v>15</v>
      </c>
      <c r="R144" s="223" t="s">
        <v>15</v>
      </c>
      <c r="S144" s="223" t="s">
        <v>16</v>
      </c>
      <c r="T144" s="223" t="s">
        <v>282</v>
      </c>
      <c r="U144" s="223" t="s">
        <v>248</v>
      </c>
      <c r="V144" s="223" t="s">
        <v>281</v>
      </c>
      <c r="W144" s="224" t="s">
        <v>281</v>
      </c>
      <c r="X144" s="224" t="s">
        <v>281</v>
      </c>
      <c r="Y144" s="225" t="s">
        <v>281</v>
      </c>
    </row>
    <row r="145" spans="1:25">
      <c r="A145" s="219">
        <v>3</v>
      </c>
      <c r="B145" s="220" t="str">
        <f>VLOOKUP(Tabel10[[#This Row],[Code]],Ruimtegroepen[[Code]:[Ruimte omschrijving]],2,FALSE)</f>
        <v>Reproruimte</v>
      </c>
      <c r="C145" s="221" t="s">
        <v>398</v>
      </c>
      <c r="D145" s="220" t="s">
        <v>13</v>
      </c>
      <c r="E145" s="221" t="s">
        <v>102</v>
      </c>
      <c r="F145" s="221" t="s">
        <v>402</v>
      </c>
      <c r="G145" s="226" t="s">
        <v>281</v>
      </c>
      <c r="H145" s="222" t="s">
        <v>281</v>
      </c>
      <c r="I145" s="222" t="s">
        <v>281</v>
      </c>
      <c r="J145" s="222" t="s">
        <v>15</v>
      </c>
      <c r="K145" s="222" t="s">
        <v>328</v>
      </c>
      <c r="L145" s="222" t="s">
        <v>281</v>
      </c>
      <c r="M145" s="222" t="s">
        <v>281</v>
      </c>
      <c r="N145" s="222" t="s">
        <v>281</v>
      </c>
      <c r="O145" s="223" t="s">
        <v>15</v>
      </c>
      <c r="P145" s="223" t="s">
        <v>15</v>
      </c>
      <c r="Q145" s="223" t="s">
        <v>15</v>
      </c>
      <c r="R145" s="223" t="s">
        <v>15</v>
      </c>
      <c r="S145" s="223" t="s">
        <v>16</v>
      </c>
      <c r="T145" s="223" t="s">
        <v>282</v>
      </c>
      <c r="U145" s="223" t="s">
        <v>248</v>
      </c>
      <c r="V145" s="223" t="s">
        <v>281</v>
      </c>
      <c r="W145" s="224" t="s">
        <v>281</v>
      </c>
      <c r="X145" s="224" t="s">
        <v>281</v>
      </c>
      <c r="Y145" s="225" t="s">
        <v>281</v>
      </c>
    </row>
    <row r="146" spans="1:25">
      <c r="A146" s="219">
        <v>3</v>
      </c>
      <c r="B146" s="220" t="str">
        <f>VLOOKUP(Tabel10[[#This Row],[Code]],Ruimtegroepen[[Code]:[Ruimte omschrijving]],2,FALSE)</f>
        <v>Reproruimte</v>
      </c>
      <c r="C146" s="221" t="s">
        <v>398</v>
      </c>
      <c r="D146" s="220" t="s">
        <v>13</v>
      </c>
      <c r="E146" s="221" t="s">
        <v>99</v>
      </c>
      <c r="F146" s="221" t="s">
        <v>400</v>
      </c>
      <c r="G146" s="226" t="s">
        <v>281</v>
      </c>
      <c r="H146" s="222" t="s">
        <v>15</v>
      </c>
      <c r="I146" s="222" t="s">
        <v>281</v>
      </c>
      <c r="J146" s="222" t="s">
        <v>281</v>
      </c>
      <c r="K146" s="222" t="s">
        <v>281</v>
      </c>
      <c r="L146" s="222" t="s">
        <v>281</v>
      </c>
      <c r="M146" s="222" t="s">
        <v>281</v>
      </c>
      <c r="N146" s="222" t="s">
        <v>281</v>
      </c>
      <c r="O146" s="223" t="s">
        <v>281</v>
      </c>
      <c r="P146" s="223" t="s">
        <v>281</v>
      </c>
      <c r="Q146" s="223" t="s">
        <v>281</v>
      </c>
      <c r="R146" s="223" t="s">
        <v>281</v>
      </c>
      <c r="S146" s="223" t="s">
        <v>281</v>
      </c>
      <c r="T146" s="223" t="s">
        <v>281</v>
      </c>
      <c r="U146" s="223" t="s">
        <v>281</v>
      </c>
      <c r="V146" s="223" t="s">
        <v>281</v>
      </c>
      <c r="W146" s="224" t="s">
        <v>281</v>
      </c>
      <c r="X146" s="224" t="s">
        <v>281</v>
      </c>
      <c r="Y146" s="225" t="s">
        <v>281</v>
      </c>
    </row>
    <row r="147" spans="1:25">
      <c r="A147" s="219">
        <v>3</v>
      </c>
      <c r="B147" s="220" t="str">
        <f>VLOOKUP(Tabel10[[#This Row],[Code]],Ruimtegroepen[[Code]:[Ruimte omschrijving]],2,FALSE)</f>
        <v>Reproruimte</v>
      </c>
      <c r="C147" s="221" t="s">
        <v>398</v>
      </c>
      <c r="D147" s="220" t="s">
        <v>13</v>
      </c>
      <c r="E147" s="221" t="s">
        <v>1309</v>
      </c>
      <c r="F147" s="221" t="s">
        <v>1342</v>
      </c>
      <c r="G147" s="226" t="s">
        <v>281</v>
      </c>
      <c r="H147" s="222" t="s">
        <v>281</v>
      </c>
      <c r="I147" s="222" t="s">
        <v>281</v>
      </c>
      <c r="J147" s="222" t="s">
        <v>15</v>
      </c>
      <c r="K147" s="222" t="s">
        <v>328</v>
      </c>
      <c r="L147" s="222" t="s">
        <v>281</v>
      </c>
      <c r="M147" s="222" t="s">
        <v>281</v>
      </c>
      <c r="N147" s="222" t="s">
        <v>281</v>
      </c>
      <c r="O147" s="223" t="s">
        <v>15</v>
      </c>
      <c r="P147" s="223" t="s">
        <v>15</v>
      </c>
      <c r="Q147" s="223" t="s">
        <v>15</v>
      </c>
      <c r="R147" s="223" t="s">
        <v>15</v>
      </c>
      <c r="S147" s="223" t="s">
        <v>16</v>
      </c>
      <c r="T147" s="223" t="s">
        <v>282</v>
      </c>
      <c r="U147" s="223" t="s">
        <v>248</v>
      </c>
      <c r="V147" s="223" t="s">
        <v>281</v>
      </c>
      <c r="W147" s="224" t="s">
        <v>281</v>
      </c>
      <c r="X147" s="224" t="s">
        <v>281</v>
      </c>
      <c r="Y147" s="225" t="s">
        <v>281</v>
      </c>
    </row>
    <row r="148" spans="1:25">
      <c r="A148" s="219">
        <v>3</v>
      </c>
      <c r="B148" s="220" t="str">
        <f>VLOOKUP(Tabel10[[#This Row],[Code]],Ruimtegroepen[[Code]:[Ruimte omschrijving]],2,FALSE)</f>
        <v>Reproruimte</v>
      </c>
      <c r="C148" s="221" t="s">
        <v>403</v>
      </c>
      <c r="D148" s="220" t="s">
        <v>0</v>
      </c>
      <c r="E148" s="221" t="s">
        <v>100</v>
      </c>
      <c r="F148" s="221" t="s">
        <v>404</v>
      </c>
      <c r="G148" s="226" t="s">
        <v>281</v>
      </c>
      <c r="H148" s="222" t="s">
        <v>281</v>
      </c>
      <c r="I148" s="222" t="s">
        <v>16</v>
      </c>
      <c r="J148" s="222" t="s">
        <v>281</v>
      </c>
      <c r="K148" s="222" t="s">
        <v>281</v>
      </c>
      <c r="L148" s="222" t="s">
        <v>281</v>
      </c>
      <c r="M148" s="222" t="s">
        <v>281</v>
      </c>
      <c r="N148" s="222" t="s">
        <v>281</v>
      </c>
      <c r="O148" s="223" t="s">
        <v>16</v>
      </c>
      <c r="P148" s="223" t="s">
        <v>16</v>
      </c>
      <c r="Q148" s="223" t="s">
        <v>16</v>
      </c>
      <c r="R148" s="223" t="s">
        <v>16</v>
      </c>
      <c r="S148" s="223" t="s">
        <v>16</v>
      </c>
      <c r="T148" s="223" t="s">
        <v>282</v>
      </c>
      <c r="U148" s="223" t="s">
        <v>248</v>
      </c>
      <c r="V148" s="223" t="s">
        <v>281</v>
      </c>
      <c r="W148" s="224" t="s">
        <v>281</v>
      </c>
      <c r="X148" s="224" t="s">
        <v>281</v>
      </c>
      <c r="Y148" s="225" t="s">
        <v>281</v>
      </c>
    </row>
    <row r="149" spans="1:25">
      <c r="A149" s="219">
        <v>3</v>
      </c>
      <c r="B149" s="220" t="str">
        <f>VLOOKUP(Tabel10[[#This Row],[Code]],Ruimtegroepen[[Code]:[Ruimte omschrijving]],2,FALSE)</f>
        <v>Reproruimte</v>
      </c>
      <c r="C149" s="221" t="s">
        <v>403</v>
      </c>
      <c r="D149" s="220" t="s">
        <v>0</v>
      </c>
      <c r="E149" s="221" t="s">
        <v>99</v>
      </c>
      <c r="F149" s="221" t="s">
        <v>405</v>
      </c>
      <c r="G149" s="226" t="s">
        <v>281</v>
      </c>
      <c r="H149" s="222" t="s">
        <v>16</v>
      </c>
      <c r="I149" s="222" t="s">
        <v>281</v>
      </c>
      <c r="J149" s="222" t="s">
        <v>281</v>
      </c>
      <c r="K149" s="222" t="s">
        <v>281</v>
      </c>
      <c r="L149" s="222" t="s">
        <v>281</v>
      </c>
      <c r="M149" s="222" t="s">
        <v>281</v>
      </c>
      <c r="N149" s="222" t="s">
        <v>281</v>
      </c>
      <c r="O149" s="223" t="s">
        <v>16</v>
      </c>
      <c r="P149" s="223" t="s">
        <v>16</v>
      </c>
      <c r="Q149" s="223" t="s">
        <v>16</v>
      </c>
      <c r="R149" s="223" t="s">
        <v>16</v>
      </c>
      <c r="S149" s="223" t="s">
        <v>16</v>
      </c>
      <c r="T149" s="223" t="s">
        <v>282</v>
      </c>
      <c r="U149" s="223" t="s">
        <v>248</v>
      </c>
      <c r="V149" s="223" t="s">
        <v>281</v>
      </c>
      <c r="W149" s="224" t="s">
        <v>281</v>
      </c>
      <c r="X149" s="224" t="s">
        <v>281</v>
      </c>
      <c r="Y149" s="225" t="s">
        <v>281</v>
      </c>
    </row>
    <row r="150" spans="1:25">
      <c r="A150" s="219">
        <v>3</v>
      </c>
      <c r="B150" s="220" t="str">
        <f>VLOOKUP(Tabel10[[#This Row],[Code]],Ruimtegroepen[[Code]:[Ruimte omschrijving]],2,FALSE)</f>
        <v>Reproruimte</v>
      </c>
      <c r="C150" s="221" t="s">
        <v>403</v>
      </c>
      <c r="D150" s="220" t="s">
        <v>0</v>
      </c>
      <c r="E150" s="221" t="s">
        <v>101</v>
      </c>
      <c r="F150" s="221" t="s">
        <v>406</v>
      </c>
      <c r="G150" s="226" t="s">
        <v>281</v>
      </c>
      <c r="H150" s="222" t="s">
        <v>281</v>
      </c>
      <c r="I150" s="222" t="s">
        <v>281</v>
      </c>
      <c r="J150" s="222" t="s">
        <v>16</v>
      </c>
      <c r="K150" s="222" t="s">
        <v>328</v>
      </c>
      <c r="L150" s="222" t="s">
        <v>281</v>
      </c>
      <c r="M150" s="222" t="s">
        <v>281</v>
      </c>
      <c r="N150" s="222" t="s">
        <v>281</v>
      </c>
      <c r="O150" s="223" t="s">
        <v>16</v>
      </c>
      <c r="P150" s="223" t="s">
        <v>16</v>
      </c>
      <c r="Q150" s="223" t="s">
        <v>16</v>
      </c>
      <c r="R150" s="223" t="s">
        <v>16</v>
      </c>
      <c r="S150" s="223" t="s">
        <v>16</v>
      </c>
      <c r="T150" s="223" t="s">
        <v>282</v>
      </c>
      <c r="U150" s="223" t="s">
        <v>248</v>
      </c>
      <c r="V150" s="223" t="s">
        <v>281</v>
      </c>
      <c r="W150" s="224" t="s">
        <v>281</v>
      </c>
      <c r="X150" s="224" t="s">
        <v>281</v>
      </c>
      <c r="Y150" s="225" t="s">
        <v>281</v>
      </c>
    </row>
    <row r="151" spans="1:25">
      <c r="A151" s="219">
        <v>3</v>
      </c>
      <c r="B151" s="220" t="str">
        <f>VLOOKUP(Tabel10[[#This Row],[Code]],Ruimtegroepen[[Code]:[Ruimte omschrijving]],2,FALSE)</f>
        <v>Reproruimte</v>
      </c>
      <c r="C151" s="221" t="s">
        <v>403</v>
      </c>
      <c r="D151" s="220" t="s">
        <v>0</v>
      </c>
      <c r="E151" s="221" t="s">
        <v>102</v>
      </c>
      <c r="F151" s="221" t="s">
        <v>407</v>
      </c>
      <c r="G151" s="226" t="s">
        <v>281</v>
      </c>
      <c r="H151" s="222" t="s">
        <v>281</v>
      </c>
      <c r="I151" s="222" t="s">
        <v>16</v>
      </c>
      <c r="J151" s="222" t="s">
        <v>281</v>
      </c>
      <c r="K151" s="222" t="s">
        <v>328</v>
      </c>
      <c r="L151" s="222" t="s">
        <v>281</v>
      </c>
      <c r="M151" s="222" t="s">
        <v>281</v>
      </c>
      <c r="N151" s="222" t="s">
        <v>281</v>
      </c>
      <c r="O151" s="223" t="s">
        <v>16</v>
      </c>
      <c r="P151" s="223" t="s">
        <v>16</v>
      </c>
      <c r="Q151" s="223" t="s">
        <v>16</v>
      </c>
      <c r="R151" s="223" t="s">
        <v>16</v>
      </c>
      <c r="S151" s="223" t="s">
        <v>16</v>
      </c>
      <c r="T151" s="223" t="s">
        <v>282</v>
      </c>
      <c r="U151" s="223" t="s">
        <v>248</v>
      </c>
      <c r="V151" s="223" t="s">
        <v>281</v>
      </c>
      <c r="W151" s="224" t="s">
        <v>281</v>
      </c>
      <c r="X151" s="224" t="s">
        <v>281</v>
      </c>
      <c r="Y151" s="225" t="s">
        <v>281</v>
      </c>
    </row>
    <row r="152" spans="1:25">
      <c r="A152" s="219">
        <v>3</v>
      </c>
      <c r="B152" s="220" t="str">
        <f>VLOOKUP(Tabel10[[#This Row],[Code]],Ruimtegroepen[[Code]:[Ruimte omschrijving]],2,FALSE)</f>
        <v>Reproruimte</v>
      </c>
      <c r="C152" s="221" t="s">
        <v>403</v>
      </c>
      <c r="D152" s="220" t="s">
        <v>0</v>
      </c>
      <c r="E152" s="221" t="s">
        <v>99</v>
      </c>
      <c r="F152" s="221" t="s">
        <v>405</v>
      </c>
      <c r="G152" s="226" t="s">
        <v>281</v>
      </c>
      <c r="H152" s="222" t="s">
        <v>16</v>
      </c>
      <c r="I152" s="222" t="s">
        <v>281</v>
      </c>
      <c r="J152" s="222" t="s">
        <v>281</v>
      </c>
      <c r="K152" s="222" t="s">
        <v>281</v>
      </c>
      <c r="L152" s="222" t="s">
        <v>281</v>
      </c>
      <c r="M152" s="222" t="s">
        <v>281</v>
      </c>
      <c r="N152" s="222" t="s">
        <v>281</v>
      </c>
      <c r="O152" s="223" t="s">
        <v>281</v>
      </c>
      <c r="P152" s="223" t="s">
        <v>281</v>
      </c>
      <c r="Q152" s="223" t="s">
        <v>281</v>
      </c>
      <c r="R152" s="223" t="s">
        <v>281</v>
      </c>
      <c r="S152" s="223" t="s">
        <v>281</v>
      </c>
      <c r="T152" s="223" t="s">
        <v>281</v>
      </c>
      <c r="U152" s="223" t="s">
        <v>281</v>
      </c>
      <c r="V152" s="223" t="s">
        <v>281</v>
      </c>
      <c r="W152" s="224" t="s">
        <v>281</v>
      </c>
      <c r="X152" s="224" t="s">
        <v>281</v>
      </c>
      <c r="Y152" s="225" t="s">
        <v>281</v>
      </c>
    </row>
    <row r="153" spans="1:25">
      <c r="A153" s="219">
        <v>3</v>
      </c>
      <c r="B153" s="220" t="str">
        <f>VLOOKUP(Tabel10[[#This Row],[Code]],Ruimtegroepen[[Code]:[Ruimte omschrijving]],2,FALSE)</f>
        <v>Reproruimte</v>
      </c>
      <c r="C153" s="221" t="s">
        <v>403</v>
      </c>
      <c r="D153" s="220" t="s">
        <v>0</v>
      </c>
      <c r="E153" s="221" t="s">
        <v>1309</v>
      </c>
      <c r="F153" s="221" t="s">
        <v>1343</v>
      </c>
      <c r="G153" s="226" t="s">
        <v>281</v>
      </c>
      <c r="H153" s="222" t="s">
        <v>281</v>
      </c>
      <c r="I153" s="222" t="s">
        <v>16</v>
      </c>
      <c r="J153" s="222" t="s">
        <v>281</v>
      </c>
      <c r="K153" s="222" t="s">
        <v>328</v>
      </c>
      <c r="L153" s="222" t="s">
        <v>281</v>
      </c>
      <c r="M153" s="222" t="s">
        <v>281</v>
      </c>
      <c r="N153" s="222" t="s">
        <v>281</v>
      </c>
      <c r="O153" s="223" t="s">
        <v>16</v>
      </c>
      <c r="P153" s="223" t="s">
        <v>16</v>
      </c>
      <c r="Q153" s="223" t="s">
        <v>16</v>
      </c>
      <c r="R153" s="223" t="s">
        <v>16</v>
      </c>
      <c r="S153" s="223" t="s">
        <v>16</v>
      </c>
      <c r="T153" s="223" t="s">
        <v>282</v>
      </c>
      <c r="U153" s="223" t="s">
        <v>248</v>
      </c>
      <c r="V153" s="223" t="s">
        <v>281</v>
      </c>
      <c r="W153" s="224" t="s">
        <v>281</v>
      </c>
      <c r="X153" s="224" t="s">
        <v>281</v>
      </c>
      <c r="Y153" s="225" t="s">
        <v>281</v>
      </c>
    </row>
    <row r="154" spans="1:25">
      <c r="A154" s="219">
        <v>3</v>
      </c>
      <c r="B154" s="220" t="str">
        <f>VLOOKUP(Tabel10[[#This Row],[Code]],Ruimtegroepen[[Code]:[Ruimte omschrijving]],2,FALSE)</f>
        <v>Reproruimte</v>
      </c>
      <c r="C154" s="221" t="s">
        <v>408</v>
      </c>
      <c r="D154" s="220" t="s">
        <v>27</v>
      </c>
      <c r="E154" s="221" t="s">
        <v>100</v>
      </c>
      <c r="F154" s="221" t="s">
        <v>409</v>
      </c>
      <c r="G154" s="226" t="s">
        <v>281</v>
      </c>
      <c r="H154" s="222" t="s">
        <v>281</v>
      </c>
      <c r="I154" s="222" t="s">
        <v>281</v>
      </c>
      <c r="J154" s="222" t="s">
        <v>15</v>
      </c>
      <c r="K154" s="222" t="s">
        <v>281</v>
      </c>
      <c r="L154" s="222" t="s">
        <v>281</v>
      </c>
      <c r="M154" s="222" t="s">
        <v>281</v>
      </c>
      <c r="N154" s="222" t="s">
        <v>281</v>
      </c>
      <c r="O154" s="223" t="s">
        <v>15</v>
      </c>
      <c r="P154" s="223" t="s">
        <v>15</v>
      </c>
      <c r="Q154" s="223" t="s">
        <v>15</v>
      </c>
      <c r="R154" s="223" t="s">
        <v>281</v>
      </c>
      <c r="S154" s="223" t="s">
        <v>281</v>
      </c>
      <c r="T154" s="223" t="s">
        <v>281</v>
      </c>
      <c r="U154" s="223" t="s">
        <v>281</v>
      </c>
      <c r="V154" s="223" t="s">
        <v>281</v>
      </c>
      <c r="W154" s="224" t="s">
        <v>281</v>
      </c>
      <c r="X154" s="224" t="s">
        <v>281</v>
      </c>
      <c r="Y154" s="225" t="s">
        <v>281</v>
      </c>
    </row>
    <row r="155" spans="1:25">
      <c r="A155" s="219">
        <v>3</v>
      </c>
      <c r="B155" s="220" t="str">
        <f>VLOOKUP(Tabel10[[#This Row],[Code]],Ruimtegroepen[[Code]:[Ruimte omschrijving]],2,FALSE)</f>
        <v>Reproruimte</v>
      </c>
      <c r="C155" s="221" t="s">
        <v>408</v>
      </c>
      <c r="D155" s="220" t="s">
        <v>27</v>
      </c>
      <c r="E155" s="221" t="s">
        <v>99</v>
      </c>
      <c r="F155" s="221" t="s">
        <v>410</v>
      </c>
      <c r="G155" s="226" t="s">
        <v>281</v>
      </c>
      <c r="H155" s="222" t="s">
        <v>15</v>
      </c>
      <c r="I155" s="222" t="s">
        <v>281</v>
      </c>
      <c r="J155" s="222" t="s">
        <v>281</v>
      </c>
      <c r="K155" s="222" t="s">
        <v>281</v>
      </c>
      <c r="L155" s="222" t="s">
        <v>281</v>
      </c>
      <c r="M155" s="222" t="s">
        <v>281</v>
      </c>
      <c r="N155" s="222" t="s">
        <v>281</v>
      </c>
      <c r="O155" s="223" t="s">
        <v>15</v>
      </c>
      <c r="P155" s="223" t="s">
        <v>15</v>
      </c>
      <c r="Q155" s="223" t="s">
        <v>15</v>
      </c>
      <c r="R155" s="223" t="s">
        <v>281</v>
      </c>
      <c r="S155" s="223" t="s">
        <v>281</v>
      </c>
      <c r="T155" s="223" t="s">
        <v>281</v>
      </c>
      <c r="U155" s="223" t="s">
        <v>281</v>
      </c>
      <c r="V155" s="223" t="s">
        <v>281</v>
      </c>
      <c r="W155" s="224" t="s">
        <v>281</v>
      </c>
      <c r="X155" s="224" t="s">
        <v>281</v>
      </c>
      <c r="Y155" s="225" t="s">
        <v>281</v>
      </c>
    </row>
    <row r="156" spans="1:25">
      <c r="A156" s="219">
        <v>3</v>
      </c>
      <c r="B156" s="220" t="str">
        <f>VLOOKUP(Tabel10[[#This Row],[Code]],Ruimtegroepen[[Code]:[Ruimte omschrijving]],2,FALSE)</f>
        <v>Reproruimte</v>
      </c>
      <c r="C156" s="221" t="s">
        <v>408</v>
      </c>
      <c r="D156" s="220" t="s">
        <v>27</v>
      </c>
      <c r="E156" s="221" t="s">
        <v>101</v>
      </c>
      <c r="F156" s="221" t="s">
        <v>411</v>
      </c>
      <c r="G156" s="226" t="s">
        <v>281</v>
      </c>
      <c r="H156" s="222" t="s">
        <v>281</v>
      </c>
      <c r="I156" s="222" t="s">
        <v>281</v>
      </c>
      <c r="J156" s="222" t="s">
        <v>15</v>
      </c>
      <c r="K156" s="222" t="s">
        <v>281</v>
      </c>
      <c r="L156" s="222" t="s">
        <v>281</v>
      </c>
      <c r="M156" s="222" t="s">
        <v>281</v>
      </c>
      <c r="N156" s="222" t="s">
        <v>281</v>
      </c>
      <c r="O156" s="223" t="s">
        <v>15</v>
      </c>
      <c r="P156" s="223" t="s">
        <v>15</v>
      </c>
      <c r="Q156" s="223" t="s">
        <v>15</v>
      </c>
      <c r="R156" s="223" t="s">
        <v>281</v>
      </c>
      <c r="S156" s="223" t="s">
        <v>281</v>
      </c>
      <c r="T156" s="223" t="s">
        <v>281</v>
      </c>
      <c r="U156" s="223" t="s">
        <v>281</v>
      </c>
      <c r="V156" s="223" t="s">
        <v>281</v>
      </c>
      <c r="W156" s="224" t="s">
        <v>281</v>
      </c>
      <c r="X156" s="224" t="s">
        <v>281</v>
      </c>
      <c r="Y156" s="225" t="s">
        <v>281</v>
      </c>
    </row>
    <row r="157" spans="1:25">
      <c r="A157" s="219">
        <v>3</v>
      </c>
      <c r="B157" s="220" t="str">
        <f>VLOOKUP(Tabel10[[#This Row],[Code]],Ruimtegroepen[[Code]:[Ruimte omschrijving]],2,FALSE)</f>
        <v>Reproruimte</v>
      </c>
      <c r="C157" s="221" t="s">
        <v>408</v>
      </c>
      <c r="D157" s="220" t="s">
        <v>27</v>
      </c>
      <c r="E157" s="221" t="s">
        <v>102</v>
      </c>
      <c r="F157" s="221" t="s">
        <v>412</v>
      </c>
      <c r="G157" s="226" t="s">
        <v>281</v>
      </c>
      <c r="H157" s="222" t="s">
        <v>281</v>
      </c>
      <c r="I157" s="222" t="s">
        <v>281</v>
      </c>
      <c r="J157" s="222" t="s">
        <v>15</v>
      </c>
      <c r="K157" s="222" t="s">
        <v>281</v>
      </c>
      <c r="L157" s="222" t="s">
        <v>281</v>
      </c>
      <c r="M157" s="222" t="s">
        <v>281</v>
      </c>
      <c r="N157" s="222" t="s">
        <v>281</v>
      </c>
      <c r="O157" s="223" t="s">
        <v>15</v>
      </c>
      <c r="P157" s="223" t="s">
        <v>15</v>
      </c>
      <c r="Q157" s="223" t="s">
        <v>15</v>
      </c>
      <c r="R157" s="223" t="s">
        <v>281</v>
      </c>
      <c r="S157" s="223" t="s">
        <v>281</v>
      </c>
      <c r="T157" s="223" t="s">
        <v>281</v>
      </c>
      <c r="U157" s="223" t="s">
        <v>281</v>
      </c>
      <c r="V157" s="223" t="s">
        <v>281</v>
      </c>
      <c r="W157" s="224" t="s">
        <v>281</v>
      </c>
      <c r="X157" s="224" t="s">
        <v>281</v>
      </c>
      <c r="Y157" s="225" t="s">
        <v>281</v>
      </c>
    </row>
    <row r="158" spans="1:25">
      <c r="A158" s="219">
        <v>3</v>
      </c>
      <c r="B158" s="220" t="str">
        <f>VLOOKUP(Tabel10[[#This Row],[Code]],Ruimtegroepen[[Code]:[Ruimte omschrijving]],2,FALSE)</f>
        <v>Reproruimte</v>
      </c>
      <c r="C158" s="221" t="s">
        <v>408</v>
      </c>
      <c r="D158" s="220" t="s">
        <v>27</v>
      </c>
      <c r="E158" s="221" t="s">
        <v>99</v>
      </c>
      <c r="F158" s="221" t="s">
        <v>410</v>
      </c>
      <c r="G158" s="226" t="s">
        <v>281</v>
      </c>
      <c r="H158" s="222" t="s">
        <v>15</v>
      </c>
      <c r="I158" s="222" t="s">
        <v>281</v>
      </c>
      <c r="J158" s="222" t="s">
        <v>281</v>
      </c>
      <c r="K158" s="222" t="s">
        <v>281</v>
      </c>
      <c r="L158" s="222" t="s">
        <v>281</v>
      </c>
      <c r="M158" s="222" t="s">
        <v>281</v>
      </c>
      <c r="N158" s="222" t="s">
        <v>281</v>
      </c>
      <c r="O158" s="223" t="s">
        <v>15</v>
      </c>
      <c r="P158" s="223" t="s">
        <v>15</v>
      </c>
      <c r="Q158" s="223" t="s">
        <v>15</v>
      </c>
      <c r="R158" s="223" t="s">
        <v>281</v>
      </c>
      <c r="S158" s="223" t="s">
        <v>281</v>
      </c>
      <c r="T158" s="223" t="s">
        <v>281</v>
      </c>
      <c r="U158" s="223" t="s">
        <v>281</v>
      </c>
      <c r="V158" s="223" t="s">
        <v>281</v>
      </c>
      <c r="W158" s="224" t="s">
        <v>281</v>
      </c>
      <c r="X158" s="224" t="s">
        <v>281</v>
      </c>
      <c r="Y158" s="225" t="s">
        <v>281</v>
      </c>
    </row>
    <row r="159" spans="1:25">
      <c r="A159" s="219">
        <v>3</v>
      </c>
      <c r="B159" s="220" t="str">
        <f>VLOOKUP(Tabel10[[#This Row],[Code]],Ruimtegroepen[[Code]:[Ruimte omschrijving]],2,FALSE)</f>
        <v>Reproruimte</v>
      </c>
      <c r="C159" s="221" t="s">
        <v>408</v>
      </c>
      <c r="D159" s="220" t="s">
        <v>27</v>
      </c>
      <c r="E159" s="221" t="s">
        <v>1309</v>
      </c>
      <c r="F159" s="221" t="s">
        <v>1376</v>
      </c>
      <c r="G159" s="226" t="s">
        <v>281</v>
      </c>
      <c r="H159" s="222" t="s">
        <v>281</v>
      </c>
      <c r="I159" s="222" t="s">
        <v>281</v>
      </c>
      <c r="J159" s="222" t="s">
        <v>15</v>
      </c>
      <c r="K159" s="222" t="s">
        <v>281</v>
      </c>
      <c r="L159" s="222" t="s">
        <v>281</v>
      </c>
      <c r="M159" s="222" t="s">
        <v>281</v>
      </c>
      <c r="N159" s="222" t="s">
        <v>281</v>
      </c>
      <c r="O159" s="223" t="s">
        <v>15</v>
      </c>
      <c r="P159" s="223" t="s">
        <v>15</v>
      </c>
      <c r="Q159" s="223" t="s">
        <v>15</v>
      </c>
      <c r="R159" s="223" t="s">
        <v>281</v>
      </c>
      <c r="S159" s="223" t="s">
        <v>281</v>
      </c>
      <c r="T159" s="223" t="s">
        <v>281</v>
      </c>
      <c r="U159" s="223" t="s">
        <v>281</v>
      </c>
      <c r="V159" s="223" t="s">
        <v>281</v>
      </c>
      <c r="W159" s="224" t="s">
        <v>281</v>
      </c>
      <c r="X159" s="224" t="s">
        <v>281</v>
      </c>
      <c r="Y159" s="225" t="s">
        <v>281</v>
      </c>
    </row>
    <row r="160" spans="1:25">
      <c r="A160" s="219">
        <v>3</v>
      </c>
      <c r="B160" s="220" t="str">
        <f>VLOOKUP(Tabel10[[#This Row],[Code]],Ruimtegroepen[[Code]:[Ruimte omschrijving]],2,FALSE)</f>
        <v>Reproruimte</v>
      </c>
      <c r="C160" s="221" t="s">
        <v>413</v>
      </c>
      <c r="D160" s="220" t="s">
        <v>28</v>
      </c>
      <c r="E160" s="221" t="s">
        <v>100</v>
      </c>
      <c r="F160" s="221" t="s">
        <v>414</v>
      </c>
      <c r="G160" s="226" t="s">
        <v>281</v>
      </c>
      <c r="H160" s="222" t="s">
        <v>281</v>
      </c>
      <c r="I160" s="222" t="s">
        <v>17</v>
      </c>
      <c r="J160" s="222" t="s">
        <v>281</v>
      </c>
      <c r="K160" s="222" t="s">
        <v>281</v>
      </c>
      <c r="L160" s="222" t="s">
        <v>281</v>
      </c>
      <c r="M160" s="222" t="s">
        <v>281</v>
      </c>
      <c r="N160" s="222" t="s">
        <v>281</v>
      </c>
      <c r="O160" s="223" t="s">
        <v>17</v>
      </c>
      <c r="P160" s="223" t="s">
        <v>17</v>
      </c>
      <c r="Q160" s="223" t="s">
        <v>15</v>
      </c>
      <c r="R160" s="223" t="s">
        <v>281</v>
      </c>
      <c r="S160" s="223" t="s">
        <v>281</v>
      </c>
      <c r="T160" s="223" t="s">
        <v>281</v>
      </c>
      <c r="U160" s="223" t="s">
        <v>281</v>
      </c>
      <c r="V160" s="223" t="s">
        <v>281</v>
      </c>
      <c r="W160" s="224" t="s">
        <v>281</v>
      </c>
      <c r="X160" s="224" t="s">
        <v>281</v>
      </c>
      <c r="Y160" s="225" t="s">
        <v>281</v>
      </c>
    </row>
    <row r="161" spans="1:25">
      <c r="A161" s="219">
        <v>3</v>
      </c>
      <c r="B161" s="220" t="str">
        <f>VLOOKUP(Tabel10[[#This Row],[Code]],Ruimtegroepen[[Code]:[Ruimte omschrijving]],2,FALSE)</f>
        <v>Reproruimte</v>
      </c>
      <c r="C161" s="221" t="s">
        <v>413</v>
      </c>
      <c r="D161" s="220" t="s">
        <v>28</v>
      </c>
      <c r="E161" s="221" t="s">
        <v>99</v>
      </c>
      <c r="F161" s="221" t="s">
        <v>415</v>
      </c>
      <c r="G161" s="226" t="s">
        <v>281</v>
      </c>
      <c r="H161" s="222" t="s">
        <v>17</v>
      </c>
      <c r="I161" s="222" t="s">
        <v>281</v>
      </c>
      <c r="J161" s="222" t="s">
        <v>281</v>
      </c>
      <c r="K161" s="222" t="s">
        <v>281</v>
      </c>
      <c r="L161" s="222" t="s">
        <v>281</v>
      </c>
      <c r="M161" s="222" t="s">
        <v>281</v>
      </c>
      <c r="N161" s="222" t="s">
        <v>281</v>
      </c>
      <c r="O161" s="223" t="s">
        <v>17</v>
      </c>
      <c r="P161" s="223" t="s">
        <v>17</v>
      </c>
      <c r="Q161" s="223" t="s">
        <v>15</v>
      </c>
      <c r="R161" s="223" t="s">
        <v>281</v>
      </c>
      <c r="S161" s="223" t="s">
        <v>281</v>
      </c>
      <c r="T161" s="223" t="s">
        <v>281</v>
      </c>
      <c r="U161" s="223" t="s">
        <v>281</v>
      </c>
      <c r="V161" s="223" t="s">
        <v>281</v>
      </c>
      <c r="W161" s="224" t="s">
        <v>281</v>
      </c>
      <c r="X161" s="224" t="s">
        <v>281</v>
      </c>
      <c r="Y161" s="225" t="s">
        <v>281</v>
      </c>
    </row>
    <row r="162" spans="1:25">
      <c r="A162" s="219">
        <v>3</v>
      </c>
      <c r="B162" s="220" t="str">
        <f>VLOOKUP(Tabel10[[#This Row],[Code]],Ruimtegroepen[[Code]:[Ruimte omschrijving]],2,FALSE)</f>
        <v>Reproruimte</v>
      </c>
      <c r="C162" s="221" t="s">
        <v>413</v>
      </c>
      <c r="D162" s="220" t="s">
        <v>28</v>
      </c>
      <c r="E162" s="221" t="s">
        <v>101</v>
      </c>
      <c r="F162" s="221" t="s">
        <v>416</v>
      </c>
      <c r="G162" s="226" t="s">
        <v>281</v>
      </c>
      <c r="H162" s="222" t="s">
        <v>281</v>
      </c>
      <c r="I162" s="222" t="s">
        <v>17</v>
      </c>
      <c r="J162" s="222" t="s">
        <v>281</v>
      </c>
      <c r="K162" s="222" t="s">
        <v>281</v>
      </c>
      <c r="L162" s="222" t="s">
        <v>281</v>
      </c>
      <c r="M162" s="222" t="s">
        <v>281</v>
      </c>
      <c r="N162" s="222" t="s">
        <v>281</v>
      </c>
      <c r="O162" s="223" t="s">
        <v>17</v>
      </c>
      <c r="P162" s="223" t="s">
        <v>17</v>
      </c>
      <c r="Q162" s="223" t="s">
        <v>15</v>
      </c>
      <c r="R162" s="223" t="s">
        <v>281</v>
      </c>
      <c r="S162" s="223" t="s">
        <v>281</v>
      </c>
      <c r="T162" s="223" t="s">
        <v>281</v>
      </c>
      <c r="U162" s="223" t="s">
        <v>281</v>
      </c>
      <c r="V162" s="223" t="s">
        <v>281</v>
      </c>
      <c r="W162" s="224" t="s">
        <v>281</v>
      </c>
      <c r="X162" s="224" t="s">
        <v>281</v>
      </c>
      <c r="Y162" s="225" t="s">
        <v>281</v>
      </c>
    </row>
    <row r="163" spans="1:25">
      <c r="A163" s="219">
        <v>3</v>
      </c>
      <c r="B163" s="220" t="str">
        <f>VLOOKUP(Tabel10[[#This Row],[Code]],Ruimtegroepen[[Code]:[Ruimte omschrijving]],2,FALSE)</f>
        <v>Reproruimte</v>
      </c>
      <c r="C163" s="221" t="s">
        <v>413</v>
      </c>
      <c r="D163" s="220" t="s">
        <v>28</v>
      </c>
      <c r="E163" s="221" t="s">
        <v>102</v>
      </c>
      <c r="F163" s="221" t="s">
        <v>417</v>
      </c>
      <c r="G163" s="226" t="s">
        <v>281</v>
      </c>
      <c r="H163" s="222" t="s">
        <v>281</v>
      </c>
      <c r="I163" s="222" t="s">
        <v>17</v>
      </c>
      <c r="J163" s="222" t="s">
        <v>281</v>
      </c>
      <c r="K163" s="222" t="s">
        <v>281</v>
      </c>
      <c r="L163" s="222" t="s">
        <v>281</v>
      </c>
      <c r="M163" s="222" t="s">
        <v>281</v>
      </c>
      <c r="N163" s="222" t="s">
        <v>281</v>
      </c>
      <c r="O163" s="223" t="s">
        <v>17</v>
      </c>
      <c r="P163" s="223" t="s">
        <v>17</v>
      </c>
      <c r="Q163" s="223" t="s">
        <v>15</v>
      </c>
      <c r="R163" s="223" t="s">
        <v>281</v>
      </c>
      <c r="S163" s="223" t="s">
        <v>281</v>
      </c>
      <c r="T163" s="223" t="s">
        <v>281</v>
      </c>
      <c r="U163" s="223" t="s">
        <v>281</v>
      </c>
      <c r="V163" s="223" t="s">
        <v>281</v>
      </c>
      <c r="W163" s="224" t="s">
        <v>281</v>
      </c>
      <c r="X163" s="224" t="s">
        <v>281</v>
      </c>
      <c r="Y163" s="225" t="s">
        <v>281</v>
      </c>
    </row>
    <row r="164" spans="1:25">
      <c r="A164" s="219">
        <v>3</v>
      </c>
      <c r="B164" s="220" t="str">
        <f>VLOOKUP(Tabel10[[#This Row],[Code]],Ruimtegroepen[[Code]:[Ruimte omschrijving]],2,FALSE)</f>
        <v>Reproruimte</v>
      </c>
      <c r="C164" s="221" t="s">
        <v>413</v>
      </c>
      <c r="D164" s="220" t="s">
        <v>28</v>
      </c>
      <c r="E164" s="221" t="s">
        <v>99</v>
      </c>
      <c r="F164" s="221" t="s">
        <v>415</v>
      </c>
      <c r="G164" s="226" t="s">
        <v>281</v>
      </c>
      <c r="H164" s="222" t="s">
        <v>17</v>
      </c>
      <c r="I164" s="222" t="s">
        <v>281</v>
      </c>
      <c r="J164" s="222" t="s">
        <v>281</v>
      </c>
      <c r="K164" s="222" t="s">
        <v>281</v>
      </c>
      <c r="L164" s="222" t="s">
        <v>281</v>
      </c>
      <c r="M164" s="222" t="s">
        <v>281</v>
      </c>
      <c r="N164" s="222" t="s">
        <v>281</v>
      </c>
      <c r="O164" s="223" t="s">
        <v>17</v>
      </c>
      <c r="P164" s="223" t="s">
        <v>17</v>
      </c>
      <c r="Q164" s="223" t="s">
        <v>15</v>
      </c>
      <c r="R164" s="223" t="s">
        <v>281</v>
      </c>
      <c r="S164" s="223" t="s">
        <v>281</v>
      </c>
      <c r="T164" s="223" t="s">
        <v>281</v>
      </c>
      <c r="U164" s="223" t="s">
        <v>281</v>
      </c>
      <c r="V164" s="223" t="s">
        <v>281</v>
      </c>
      <c r="W164" s="224" t="s">
        <v>281</v>
      </c>
      <c r="X164" s="224" t="s">
        <v>281</v>
      </c>
      <c r="Y164" s="225" t="s">
        <v>281</v>
      </c>
    </row>
    <row r="165" spans="1:25">
      <c r="A165" s="219">
        <v>3</v>
      </c>
      <c r="B165" s="220" t="str">
        <f>VLOOKUP(Tabel10[[#This Row],[Code]],Ruimtegroepen[[Code]:[Ruimte omschrijving]],2,FALSE)</f>
        <v>Reproruimte</v>
      </c>
      <c r="C165" s="221" t="s">
        <v>413</v>
      </c>
      <c r="D165" s="220" t="s">
        <v>28</v>
      </c>
      <c r="E165" s="221" t="s">
        <v>1309</v>
      </c>
      <c r="F165" s="221" t="s">
        <v>1409</v>
      </c>
      <c r="G165" s="226" t="s">
        <v>281</v>
      </c>
      <c r="H165" s="222" t="s">
        <v>281</v>
      </c>
      <c r="I165" s="222" t="s">
        <v>17</v>
      </c>
      <c r="J165" s="222" t="s">
        <v>281</v>
      </c>
      <c r="K165" s="222" t="s">
        <v>281</v>
      </c>
      <c r="L165" s="222" t="s">
        <v>281</v>
      </c>
      <c r="M165" s="222" t="s">
        <v>281</v>
      </c>
      <c r="N165" s="222" t="s">
        <v>281</v>
      </c>
      <c r="O165" s="223" t="s">
        <v>17</v>
      </c>
      <c r="P165" s="223" t="s">
        <v>17</v>
      </c>
      <c r="Q165" s="223" t="s">
        <v>15</v>
      </c>
      <c r="R165" s="223" t="s">
        <v>281</v>
      </c>
      <c r="S165" s="223" t="s">
        <v>281</v>
      </c>
      <c r="T165" s="223" t="s">
        <v>281</v>
      </c>
      <c r="U165" s="223" t="s">
        <v>281</v>
      </c>
      <c r="V165" s="223" t="s">
        <v>281</v>
      </c>
      <c r="W165" s="224" t="s">
        <v>281</v>
      </c>
      <c r="X165" s="224" t="s">
        <v>281</v>
      </c>
      <c r="Y165" s="225" t="s">
        <v>281</v>
      </c>
    </row>
    <row r="166" spans="1:25">
      <c r="A166" s="219">
        <v>4</v>
      </c>
      <c r="B166" s="220" t="str">
        <f>VLOOKUP(Tabel10[[#This Row],[Code]],Ruimtegroepen[[Code]:[Ruimte omschrijving]],2,FALSE)</f>
        <v>Vergader/spreekkamers</v>
      </c>
      <c r="C166" s="221" t="s">
        <v>418</v>
      </c>
      <c r="D166" s="220" t="s">
        <v>29</v>
      </c>
      <c r="E166" s="221" t="s">
        <v>100</v>
      </c>
      <c r="F166" s="221" t="s">
        <v>419</v>
      </c>
      <c r="G166" s="226" t="s">
        <v>281</v>
      </c>
      <c r="H166" s="222" t="s">
        <v>281</v>
      </c>
      <c r="I166" s="222" t="s">
        <v>20</v>
      </c>
      <c r="J166" s="222" t="s">
        <v>15</v>
      </c>
      <c r="K166" s="222" t="s">
        <v>281</v>
      </c>
      <c r="L166" s="222" t="s">
        <v>281</v>
      </c>
      <c r="M166" s="222" t="s">
        <v>281</v>
      </c>
      <c r="N166" s="222" t="s">
        <v>2</v>
      </c>
      <c r="O166" s="223" t="s">
        <v>2</v>
      </c>
      <c r="P166" s="223" t="s">
        <v>2</v>
      </c>
      <c r="Q166" s="223" t="s">
        <v>15</v>
      </c>
      <c r="R166" s="223" t="s">
        <v>15</v>
      </c>
      <c r="S166" s="223" t="s">
        <v>16</v>
      </c>
      <c r="T166" s="223" t="s">
        <v>328</v>
      </c>
      <c r="U166" s="223" t="s">
        <v>248</v>
      </c>
      <c r="V166" s="223" t="s">
        <v>2</v>
      </c>
      <c r="W166" s="224" t="s">
        <v>281</v>
      </c>
      <c r="X166" s="224" t="s">
        <v>281</v>
      </c>
      <c r="Y166" s="225" t="s">
        <v>281</v>
      </c>
    </row>
    <row r="167" spans="1:25">
      <c r="A167" s="219">
        <v>4</v>
      </c>
      <c r="B167" s="220" t="str">
        <f>VLOOKUP(Tabel10[[#This Row],[Code]],Ruimtegroepen[[Code]:[Ruimte omschrijving]],2,FALSE)</f>
        <v>Vergader/spreekkamers</v>
      </c>
      <c r="C167" s="221" t="s">
        <v>418</v>
      </c>
      <c r="D167" s="220" t="s">
        <v>29</v>
      </c>
      <c r="E167" s="221" t="s">
        <v>99</v>
      </c>
      <c r="F167" s="221" t="s">
        <v>420</v>
      </c>
      <c r="G167" s="222" t="s">
        <v>20</v>
      </c>
      <c r="H167" s="222" t="s">
        <v>15</v>
      </c>
      <c r="I167" s="222" t="s">
        <v>281</v>
      </c>
      <c r="J167" s="222" t="s">
        <v>281</v>
      </c>
      <c r="K167" s="222" t="s">
        <v>281</v>
      </c>
      <c r="L167" s="222" t="s">
        <v>281</v>
      </c>
      <c r="M167" s="222" t="s">
        <v>281</v>
      </c>
      <c r="N167" s="222" t="s">
        <v>2</v>
      </c>
      <c r="O167" s="223" t="s">
        <v>2</v>
      </c>
      <c r="P167" s="223" t="s">
        <v>2</v>
      </c>
      <c r="Q167" s="223" t="s">
        <v>15</v>
      </c>
      <c r="R167" s="223" t="s">
        <v>15</v>
      </c>
      <c r="S167" s="223" t="s">
        <v>16</v>
      </c>
      <c r="T167" s="223" t="s">
        <v>328</v>
      </c>
      <c r="U167" s="223" t="s">
        <v>248</v>
      </c>
      <c r="V167" s="223" t="s">
        <v>2</v>
      </c>
      <c r="W167" s="224" t="s">
        <v>281</v>
      </c>
      <c r="X167" s="224" t="s">
        <v>281</v>
      </c>
      <c r="Y167" s="225" t="s">
        <v>281</v>
      </c>
    </row>
    <row r="168" spans="1:25">
      <c r="A168" s="219">
        <v>4</v>
      </c>
      <c r="B168" s="220" t="str">
        <f>VLOOKUP(Tabel10[[#This Row],[Code]],Ruimtegroepen[[Code]:[Ruimte omschrijving]],2,FALSE)</f>
        <v>Vergader/spreekkamers</v>
      </c>
      <c r="C168" s="221" t="s">
        <v>418</v>
      </c>
      <c r="D168" s="220" t="s">
        <v>29</v>
      </c>
      <c r="E168" s="221" t="s">
        <v>101</v>
      </c>
      <c r="F168" s="221" t="s">
        <v>421</v>
      </c>
      <c r="G168" s="226" t="s">
        <v>281</v>
      </c>
      <c r="H168" s="222" t="s">
        <v>281</v>
      </c>
      <c r="I168" s="222" t="s">
        <v>20</v>
      </c>
      <c r="J168" s="222" t="s">
        <v>15</v>
      </c>
      <c r="K168" s="222" t="s">
        <v>328</v>
      </c>
      <c r="L168" s="222" t="s">
        <v>281</v>
      </c>
      <c r="M168" s="222" t="s">
        <v>281</v>
      </c>
      <c r="N168" s="222" t="s">
        <v>2</v>
      </c>
      <c r="O168" s="223" t="s">
        <v>2</v>
      </c>
      <c r="P168" s="223" t="s">
        <v>2</v>
      </c>
      <c r="Q168" s="223" t="s">
        <v>15</v>
      </c>
      <c r="R168" s="223" t="s">
        <v>15</v>
      </c>
      <c r="S168" s="223" t="s">
        <v>16</v>
      </c>
      <c r="T168" s="223" t="s">
        <v>328</v>
      </c>
      <c r="U168" s="223" t="s">
        <v>248</v>
      </c>
      <c r="V168" s="223" t="s">
        <v>2</v>
      </c>
      <c r="W168" s="224" t="s">
        <v>281</v>
      </c>
      <c r="X168" s="224" t="s">
        <v>281</v>
      </c>
      <c r="Y168" s="225" t="s">
        <v>281</v>
      </c>
    </row>
    <row r="169" spans="1:25">
      <c r="A169" s="219">
        <v>4</v>
      </c>
      <c r="B169" s="220" t="str">
        <f>VLOOKUP(Tabel10[[#This Row],[Code]],Ruimtegroepen[[Code]:[Ruimte omschrijving]],2,FALSE)</f>
        <v>Vergader/spreekkamers</v>
      </c>
      <c r="C169" s="221" t="s">
        <v>418</v>
      </c>
      <c r="D169" s="220" t="s">
        <v>29</v>
      </c>
      <c r="E169" s="221" t="s">
        <v>102</v>
      </c>
      <c r="F169" s="221" t="s">
        <v>422</v>
      </c>
      <c r="G169" s="226" t="s">
        <v>281</v>
      </c>
      <c r="H169" s="222" t="s">
        <v>281</v>
      </c>
      <c r="I169" s="222" t="s">
        <v>20</v>
      </c>
      <c r="J169" s="222" t="s">
        <v>15</v>
      </c>
      <c r="K169" s="222" t="s">
        <v>328</v>
      </c>
      <c r="L169" s="222" t="s">
        <v>281</v>
      </c>
      <c r="M169" s="222" t="s">
        <v>281</v>
      </c>
      <c r="N169" s="222" t="s">
        <v>2</v>
      </c>
      <c r="O169" s="223" t="s">
        <v>2</v>
      </c>
      <c r="P169" s="223" t="s">
        <v>2</v>
      </c>
      <c r="Q169" s="223" t="s">
        <v>15</v>
      </c>
      <c r="R169" s="223" t="s">
        <v>15</v>
      </c>
      <c r="S169" s="223" t="s">
        <v>16</v>
      </c>
      <c r="T169" s="223" t="s">
        <v>328</v>
      </c>
      <c r="U169" s="223" t="s">
        <v>248</v>
      </c>
      <c r="V169" s="223" t="s">
        <v>2</v>
      </c>
      <c r="W169" s="224" t="s">
        <v>281</v>
      </c>
      <c r="X169" s="224" t="s">
        <v>281</v>
      </c>
      <c r="Y169" s="225" t="s">
        <v>281</v>
      </c>
    </row>
    <row r="170" spans="1:25">
      <c r="A170" s="219">
        <v>4</v>
      </c>
      <c r="B170" s="220" t="str">
        <f>VLOOKUP(Tabel10[[#This Row],[Code]],Ruimtegroepen[[Code]:[Ruimte omschrijving]],2,FALSE)</f>
        <v>Vergader/spreekkamers</v>
      </c>
      <c r="C170" s="221" t="s">
        <v>418</v>
      </c>
      <c r="D170" s="220" t="s">
        <v>29</v>
      </c>
      <c r="E170" s="221" t="s">
        <v>99</v>
      </c>
      <c r="F170" s="221" t="s">
        <v>420</v>
      </c>
      <c r="G170" s="222" t="s">
        <v>20</v>
      </c>
      <c r="H170" s="222" t="s">
        <v>15</v>
      </c>
      <c r="I170" s="222" t="s">
        <v>281</v>
      </c>
      <c r="J170" s="222" t="s">
        <v>281</v>
      </c>
      <c r="K170" s="222" t="s">
        <v>281</v>
      </c>
      <c r="L170" s="222" t="s">
        <v>281</v>
      </c>
      <c r="M170" s="222" t="s">
        <v>281</v>
      </c>
      <c r="N170" s="222" t="s">
        <v>2</v>
      </c>
      <c r="O170" s="223" t="s">
        <v>2</v>
      </c>
      <c r="P170" s="223" t="s">
        <v>2</v>
      </c>
      <c r="Q170" s="223" t="s">
        <v>15</v>
      </c>
      <c r="R170" s="223" t="s">
        <v>15</v>
      </c>
      <c r="S170" s="223" t="s">
        <v>16</v>
      </c>
      <c r="T170" s="223" t="s">
        <v>328</v>
      </c>
      <c r="U170" s="223" t="s">
        <v>248</v>
      </c>
      <c r="V170" s="223" t="s">
        <v>2</v>
      </c>
      <c r="W170" s="224" t="s">
        <v>281</v>
      </c>
      <c r="X170" s="224" t="s">
        <v>281</v>
      </c>
      <c r="Y170" s="225" t="s">
        <v>281</v>
      </c>
    </row>
    <row r="171" spans="1:25">
      <c r="A171" s="219">
        <v>4</v>
      </c>
      <c r="B171" s="220" t="str">
        <f>VLOOKUP(Tabel10[[#This Row],[Code]],Ruimtegroepen[[Code]:[Ruimte omschrijving]],2,FALSE)</f>
        <v>Vergader/spreekkamers</v>
      </c>
      <c r="C171" s="221" t="s">
        <v>418</v>
      </c>
      <c r="D171" s="220" t="s">
        <v>29</v>
      </c>
      <c r="E171" s="221" t="s">
        <v>1309</v>
      </c>
      <c r="F171" s="221" t="s">
        <v>1477</v>
      </c>
      <c r="G171" s="226" t="s">
        <v>281</v>
      </c>
      <c r="H171" s="222" t="s">
        <v>281</v>
      </c>
      <c r="I171" s="222" t="s">
        <v>20</v>
      </c>
      <c r="J171" s="222" t="s">
        <v>15</v>
      </c>
      <c r="K171" s="222" t="s">
        <v>328</v>
      </c>
      <c r="L171" s="222" t="s">
        <v>281</v>
      </c>
      <c r="M171" s="222" t="s">
        <v>281</v>
      </c>
      <c r="N171" s="222" t="s">
        <v>2</v>
      </c>
      <c r="O171" s="223" t="s">
        <v>2</v>
      </c>
      <c r="P171" s="223" t="s">
        <v>2</v>
      </c>
      <c r="Q171" s="223" t="s">
        <v>15</v>
      </c>
      <c r="R171" s="223" t="s">
        <v>15</v>
      </c>
      <c r="S171" s="223" t="s">
        <v>16</v>
      </c>
      <c r="T171" s="223" t="s">
        <v>328</v>
      </c>
      <c r="U171" s="223" t="s">
        <v>248</v>
      </c>
      <c r="V171" s="223" t="s">
        <v>2</v>
      </c>
      <c r="W171" s="224" t="s">
        <v>281</v>
      </c>
      <c r="X171" s="224" t="s">
        <v>281</v>
      </c>
      <c r="Y171" s="225" t="s">
        <v>281</v>
      </c>
    </row>
    <row r="172" spans="1:25">
      <c r="A172" s="219">
        <v>4</v>
      </c>
      <c r="B172" s="220" t="str">
        <f>VLOOKUP(Tabel10[[#This Row],[Code]],Ruimtegroepen[[Code]:[Ruimte omschrijving]],2,FALSE)</f>
        <v>Vergader/spreekkamers</v>
      </c>
      <c r="C172" s="221" t="s">
        <v>423</v>
      </c>
      <c r="D172" s="220" t="s">
        <v>1</v>
      </c>
      <c r="E172" s="221" t="s">
        <v>100</v>
      </c>
      <c r="F172" s="221" t="s">
        <v>424</v>
      </c>
      <c r="G172" s="226" t="s">
        <v>281</v>
      </c>
      <c r="H172" s="222" t="s">
        <v>281</v>
      </c>
      <c r="I172" s="222" t="s">
        <v>20</v>
      </c>
      <c r="J172" s="222" t="s">
        <v>15</v>
      </c>
      <c r="K172" s="222" t="s">
        <v>281</v>
      </c>
      <c r="L172" s="222" t="s">
        <v>281</v>
      </c>
      <c r="M172" s="222" t="s">
        <v>281</v>
      </c>
      <c r="N172" s="222" t="s">
        <v>281</v>
      </c>
      <c r="O172" s="223" t="s">
        <v>2</v>
      </c>
      <c r="P172" s="223" t="s">
        <v>2</v>
      </c>
      <c r="Q172" s="223" t="s">
        <v>15</v>
      </c>
      <c r="R172" s="223" t="s">
        <v>15</v>
      </c>
      <c r="S172" s="223" t="s">
        <v>16</v>
      </c>
      <c r="T172" s="223" t="s">
        <v>328</v>
      </c>
      <c r="U172" s="223" t="s">
        <v>248</v>
      </c>
      <c r="V172" s="223" t="s">
        <v>281</v>
      </c>
      <c r="W172" s="224" t="s">
        <v>281</v>
      </c>
      <c r="X172" s="224" t="s">
        <v>281</v>
      </c>
      <c r="Y172" s="225" t="s">
        <v>281</v>
      </c>
    </row>
    <row r="173" spans="1:25">
      <c r="A173" s="219">
        <v>4</v>
      </c>
      <c r="B173" s="220" t="str">
        <f>VLOOKUP(Tabel10[[#This Row],[Code]],Ruimtegroepen[[Code]:[Ruimte omschrijving]],2,FALSE)</f>
        <v>Vergader/spreekkamers</v>
      </c>
      <c r="C173" s="221" t="s">
        <v>423</v>
      </c>
      <c r="D173" s="220" t="s">
        <v>1</v>
      </c>
      <c r="E173" s="221" t="s">
        <v>99</v>
      </c>
      <c r="F173" s="221" t="s">
        <v>425</v>
      </c>
      <c r="G173" s="222" t="s">
        <v>20</v>
      </c>
      <c r="H173" s="222" t="s">
        <v>15</v>
      </c>
      <c r="I173" s="222" t="s">
        <v>281</v>
      </c>
      <c r="J173" s="222" t="s">
        <v>281</v>
      </c>
      <c r="K173" s="222" t="s">
        <v>281</v>
      </c>
      <c r="L173" s="222" t="s">
        <v>281</v>
      </c>
      <c r="M173" s="222" t="s">
        <v>281</v>
      </c>
      <c r="N173" s="222" t="s">
        <v>281</v>
      </c>
      <c r="O173" s="223" t="s">
        <v>2</v>
      </c>
      <c r="P173" s="223" t="s">
        <v>2</v>
      </c>
      <c r="Q173" s="223" t="s">
        <v>15</v>
      </c>
      <c r="R173" s="223" t="s">
        <v>15</v>
      </c>
      <c r="S173" s="223" t="s">
        <v>16</v>
      </c>
      <c r="T173" s="223" t="s">
        <v>328</v>
      </c>
      <c r="U173" s="223" t="s">
        <v>248</v>
      </c>
      <c r="V173" s="223" t="s">
        <v>281</v>
      </c>
      <c r="W173" s="224" t="s">
        <v>281</v>
      </c>
      <c r="X173" s="224" t="s">
        <v>281</v>
      </c>
      <c r="Y173" s="225" t="s">
        <v>281</v>
      </c>
    </row>
    <row r="174" spans="1:25">
      <c r="A174" s="219">
        <v>4</v>
      </c>
      <c r="B174" s="220" t="str">
        <f>VLOOKUP(Tabel10[[#This Row],[Code]],Ruimtegroepen[[Code]:[Ruimte omschrijving]],2,FALSE)</f>
        <v>Vergader/spreekkamers</v>
      </c>
      <c r="C174" s="221" t="s">
        <v>423</v>
      </c>
      <c r="D174" s="220" t="s">
        <v>1</v>
      </c>
      <c r="E174" s="221" t="s">
        <v>101</v>
      </c>
      <c r="F174" s="221" t="s">
        <v>426</v>
      </c>
      <c r="G174" s="226" t="s">
        <v>281</v>
      </c>
      <c r="H174" s="222" t="s">
        <v>281</v>
      </c>
      <c r="I174" s="222" t="s">
        <v>20</v>
      </c>
      <c r="J174" s="222" t="s">
        <v>15</v>
      </c>
      <c r="K174" s="222" t="s">
        <v>328</v>
      </c>
      <c r="L174" s="222" t="s">
        <v>281</v>
      </c>
      <c r="M174" s="222" t="s">
        <v>281</v>
      </c>
      <c r="N174" s="222" t="s">
        <v>281</v>
      </c>
      <c r="O174" s="223" t="s">
        <v>2</v>
      </c>
      <c r="P174" s="223" t="s">
        <v>2</v>
      </c>
      <c r="Q174" s="223" t="s">
        <v>15</v>
      </c>
      <c r="R174" s="223" t="s">
        <v>15</v>
      </c>
      <c r="S174" s="223" t="s">
        <v>16</v>
      </c>
      <c r="T174" s="223" t="s">
        <v>328</v>
      </c>
      <c r="U174" s="223" t="s">
        <v>248</v>
      </c>
      <c r="V174" s="223" t="s">
        <v>281</v>
      </c>
      <c r="W174" s="224" t="s">
        <v>281</v>
      </c>
      <c r="X174" s="224" t="s">
        <v>281</v>
      </c>
      <c r="Y174" s="225" t="s">
        <v>281</v>
      </c>
    </row>
    <row r="175" spans="1:25">
      <c r="A175" s="219">
        <v>4</v>
      </c>
      <c r="B175" s="220" t="str">
        <f>VLOOKUP(Tabel10[[#This Row],[Code]],Ruimtegroepen[[Code]:[Ruimte omschrijving]],2,FALSE)</f>
        <v>Vergader/spreekkamers</v>
      </c>
      <c r="C175" s="221" t="s">
        <v>423</v>
      </c>
      <c r="D175" s="220" t="s">
        <v>1</v>
      </c>
      <c r="E175" s="221" t="s">
        <v>102</v>
      </c>
      <c r="F175" s="221" t="s">
        <v>427</v>
      </c>
      <c r="G175" s="226" t="s">
        <v>281</v>
      </c>
      <c r="H175" s="222" t="s">
        <v>281</v>
      </c>
      <c r="I175" s="222" t="s">
        <v>20</v>
      </c>
      <c r="J175" s="222" t="s">
        <v>15</v>
      </c>
      <c r="K175" s="222" t="s">
        <v>328</v>
      </c>
      <c r="L175" s="222" t="s">
        <v>281</v>
      </c>
      <c r="M175" s="222" t="s">
        <v>281</v>
      </c>
      <c r="N175" s="222" t="s">
        <v>281</v>
      </c>
      <c r="O175" s="223" t="s">
        <v>2</v>
      </c>
      <c r="P175" s="223" t="s">
        <v>2</v>
      </c>
      <c r="Q175" s="223" t="s">
        <v>15</v>
      </c>
      <c r="R175" s="223" t="s">
        <v>15</v>
      </c>
      <c r="S175" s="223" t="s">
        <v>16</v>
      </c>
      <c r="T175" s="223" t="s">
        <v>328</v>
      </c>
      <c r="U175" s="223" t="s">
        <v>248</v>
      </c>
      <c r="V175" s="223" t="s">
        <v>281</v>
      </c>
      <c r="W175" s="224" t="s">
        <v>281</v>
      </c>
      <c r="X175" s="224" t="s">
        <v>281</v>
      </c>
      <c r="Y175" s="225" t="s">
        <v>281</v>
      </c>
    </row>
    <row r="176" spans="1:25">
      <c r="A176" s="219">
        <v>4</v>
      </c>
      <c r="B176" s="220" t="str">
        <f>VLOOKUP(Tabel10[[#This Row],[Code]],Ruimtegroepen[[Code]:[Ruimte omschrijving]],2,FALSE)</f>
        <v>Vergader/spreekkamers</v>
      </c>
      <c r="C176" s="221" t="s">
        <v>423</v>
      </c>
      <c r="D176" s="220" t="s">
        <v>1</v>
      </c>
      <c r="E176" s="221" t="s">
        <v>99</v>
      </c>
      <c r="F176" s="221" t="s">
        <v>425</v>
      </c>
      <c r="G176" s="222" t="s">
        <v>20</v>
      </c>
      <c r="H176" s="222" t="s">
        <v>15</v>
      </c>
      <c r="I176" s="222" t="s">
        <v>281</v>
      </c>
      <c r="J176" s="222" t="s">
        <v>281</v>
      </c>
      <c r="K176" s="222" t="s">
        <v>281</v>
      </c>
      <c r="L176" s="222" t="s">
        <v>281</v>
      </c>
      <c r="M176" s="222" t="s">
        <v>281</v>
      </c>
      <c r="N176" s="222" t="s">
        <v>281</v>
      </c>
      <c r="O176" s="223" t="s">
        <v>2</v>
      </c>
      <c r="P176" s="223" t="s">
        <v>2</v>
      </c>
      <c r="Q176" s="223" t="s">
        <v>15</v>
      </c>
      <c r="R176" s="223" t="s">
        <v>15</v>
      </c>
      <c r="S176" s="223" t="s">
        <v>16</v>
      </c>
      <c r="T176" s="223" t="s">
        <v>328</v>
      </c>
      <c r="U176" s="223" t="s">
        <v>248</v>
      </c>
      <c r="V176" s="223" t="s">
        <v>281</v>
      </c>
      <c r="W176" s="224" t="s">
        <v>281</v>
      </c>
      <c r="X176" s="224" t="s">
        <v>281</v>
      </c>
      <c r="Y176" s="225" t="s">
        <v>281</v>
      </c>
    </row>
    <row r="177" spans="1:25">
      <c r="A177" s="219">
        <v>4</v>
      </c>
      <c r="B177" s="220" t="str">
        <f>VLOOKUP(Tabel10[[#This Row],[Code]],Ruimtegroepen[[Code]:[Ruimte omschrijving]],2,FALSE)</f>
        <v>Vergader/spreekkamers</v>
      </c>
      <c r="C177" s="221" t="s">
        <v>423</v>
      </c>
      <c r="D177" s="220" t="s">
        <v>1</v>
      </c>
      <c r="E177" s="221" t="s">
        <v>1309</v>
      </c>
      <c r="F177" s="221" t="s">
        <v>1462</v>
      </c>
      <c r="G177" s="226" t="s">
        <v>281</v>
      </c>
      <c r="H177" s="222" t="s">
        <v>281</v>
      </c>
      <c r="I177" s="222" t="s">
        <v>20</v>
      </c>
      <c r="J177" s="222" t="s">
        <v>15</v>
      </c>
      <c r="K177" s="222" t="s">
        <v>328</v>
      </c>
      <c r="L177" s="222" t="s">
        <v>281</v>
      </c>
      <c r="M177" s="222" t="s">
        <v>281</v>
      </c>
      <c r="N177" s="222" t="s">
        <v>281</v>
      </c>
      <c r="O177" s="223" t="s">
        <v>2</v>
      </c>
      <c r="P177" s="223" t="s">
        <v>2</v>
      </c>
      <c r="Q177" s="223" t="s">
        <v>15</v>
      </c>
      <c r="R177" s="223" t="s">
        <v>15</v>
      </c>
      <c r="S177" s="223" t="s">
        <v>16</v>
      </c>
      <c r="T177" s="223" t="s">
        <v>328</v>
      </c>
      <c r="U177" s="223" t="s">
        <v>248</v>
      </c>
      <c r="V177" s="223" t="s">
        <v>281</v>
      </c>
      <c r="W177" s="224" t="s">
        <v>281</v>
      </c>
      <c r="X177" s="224" t="s">
        <v>281</v>
      </c>
      <c r="Y177" s="225" t="s">
        <v>281</v>
      </c>
    </row>
    <row r="178" spans="1:25">
      <c r="A178" s="219">
        <v>4</v>
      </c>
      <c r="B178" s="220" t="str">
        <f>VLOOKUP(Tabel10[[#This Row],[Code]],Ruimtegroepen[[Code]:[Ruimte omschrijving]],2,FALSE)</f>
        <v>Vergader/spreekkamers</v>
      </c>
      <c r="C178" s="221" t="s">
        <v>428</v>
      </c>
      <c r="D178" s="220" t="s">
        <v>21</v>
      </c>
      <c r="E178" s="221" t="s">
        <v>100</v>
      </c>
      <c r="F178" s="221" t="s">
        <v>429</v>
      </c>
      <c r="G178" s="226" t="s">
        <v>281</v>
      </c>
      <c r="H178" s="222" t="s">
        <v>281</v>
      </c>
      <c r="I178" s="222" t="s">
        <v>18</v>
      </c>
      <c r="J178" s="222" t="s">
        <v>15</v>
      </c>
      <c r="K178" s="222" t="s">
        <v>281</v>
      </c>
      <c r="L178" s="222" t="s">
        <v>281</v>
      </c>
      <c r="M178" s="222" t="s">
        <v>281</v>
      </c>
      <c r="N178" s="222" t="s">
        <v>281</v>
      </c>
      <c r="O178" s="223" t="s">
        <v>20</v>
      </c>
      <c r="P178" s="223" t="s">
        <v>20</v>
      </c>
      <c r="Q178" s="223" t="s">
        <v>15</v>
      </c>
      <c r="R178" s="223" t="s">
        <v>15</v>
      </c>
      <c r="S178" s="223" t="s">
        <v>16</v>
      </c>
      <c r="T178" s="223" t="s">
        <v>328</v>
      </c>
      <c r="U178" s="223" t="s">
        <v>248</v>
      </c>
      <c r="V178" s="223" t="s">
        <v>281</v>
      </c>
      <c r="W178" s="224" t="s">
        <v>281</v>
      </c>
      <c r="X178" s="224" t="s">
        <v>281</v>
      </c>
      <c r="Y178" s="225" t="s">
        <v>281</v>
      </c>
    </row>
    <row r="179" spans="1:25">
      <c r="A179" s="219">
        <v>4</v>
      </c>
      <c r="B179" s="220" t="str">
        <f>VLOOKUP(Tabel10[[#This Row],[Code]],Ruimtegroepen[[Code]:[Ruimte omschrijving]],2,FALSE)</f>
        <v>Vergader/spreekkamers</v>
      </c>
      <c r="C179" s="221" t="s">
        <v>428</v>
      </c>
      <c r="D179" s="220" t="s">
        <v>21</v>
      </c>
      <c r="E179" s="221" t="s">
        <v>99</v>
      </c>
      <c r="F179" s="221" t="s">
        <v>430</v>
      </c>
      <c r="G179" s="222" t="s">
        <v>18</v>
      </c>
      <c r="H179" s="222" t="s">
        <v>15</v>
      </c>
      <c r="I179" s="222" t="s">
        <v>281</v>
      </c>
      <c r="J179" s="222" t="s">
        <v>281</v>
      </c>
      <c r="K179" s="222" t="s">
        <v>281</v>
      </c>
      <c r="L179" s="222" t="s">
        <v>281</v>
      </c>
      <c r="M179" s="222" t="s">
        <v>281</v>
      </c>
      <c r="N179" s="222" t="s">
        <v>281</v>
      </c>
      <c r="O179" s="223" t="s">
        <v>20</v>
      </c>
      <c r="P179" s="223" t="s">
        <v>20</v>
      </c>
      <c r="Q179" s="223" t="s">
        <v>15</v>
      </c>
      <c r="R179" s="223" t="s">
        <v>15</v>
      </c>
      <c r="S179" s="223" t="s">
        <v>16</v>
      </c>
      <c r="T179" s="223" t="s">
        <v>328</v>
      </c>
      <c r="U179" s="223" t="s">
        <v>248</v>
      </c>
      <c r="V179" s="223" t="s">
        <v>281</v>
      </c>
      <c r="W179" s="224" t="s">
        <v>281</v>
      </c>
      <c r="X179" s="224" t="s">
        <v>281</v>
      </c>
      <c r="Y179" s="225" t="s">
        <v>281</v>
      </c>
    </row>
    <row r="180" spans="1:25">
      <c r="A180" s="219">
        <v>4</v>
      </c>
      <c r="B180" s="220" t="str">
        <f>VLOOKUP(Tabel10[[#This Row],[Code]],Ruimtegroepen[[Code]:[Ruimte omschrijving]],2,FALSE)</f>
        <v>Vergader/spreekkamers</v>
      </c>
      <c r="C180" s="221" t="s">
        <v>428</v>
      </c>
      <c r="D180" s="220" t="s">
        <v>21</v>
      </c>
      <c r="E180" s="221" t="s">
        <v>101</v>
      </c>
      <c r="F180" s="221" t="s">
        <v>431</v>
      </c>
      <c r="G180" s="226" t="s">
        <v>281</v>
      </c>
      <c r="H180" s="222" t="s">
        <v>281</v>
      </c>
      <c r="I180" s="222" t="s">
        <v>18</v>
      </c>
      <c r="J180" s="222" t="s">
        <v>15</v>
      </c>
      <c r="K180" s="222" t="s">
        <v>328</v>
      </c>
      <c r="L180" s="222" t="s">
        <v>281</v>
      </c>
      <c r="M180" s="222" t="s">
        <v>281</v>
      </c>
      <c r="N180" s="222" t="s">
        <v>281</v>
      </c>
      <c r="O180" s="223" t="s">
        <v>20</v>
      </c>
      <c r="P180" s="223" t="s">
        <v>20</v>
      </c>
      <c r="Q180" s="223" t="s">
        <v>15</v>
      </c>
      <c r="R180" s="223" t="s">
        <v>15</v>
      </c>
      <c r="S180" s="223" t="s">
        <v>16</v>
      </c>
      <c r="T180" s="223" t="s">
        <v>328</v>
      </c>
      <c r="U180" s="223" t="s">
        <v>248</v>
      </c>
      <c r="V180" s="223" t="s">
        <v>281</v>
      </c>
      <c r="W180" s="224" t="s">
        <v>281</v>
      </c>
      <c r="X180" s="224" t="s">
        <v>281</v>
      </c>
      <c r="Y180" s="225" t="s">
        <v>281</v>
      </c>
    </row>
    <row r="181" spans="1:25">
      <c r="A181" s="219">
        <v>4</v>
      </c>
      <c r="B181" s="220" t="str">
        <f>VLOOKUP(Tabel10[[#This Row],[Code]],Ruimtegroepen[[Code]:[Ruimte omschrijving]],2,FALSE)</f>
        <v>Vergader/spreekkamers</v>
      </c>
      <c r="C181" s="221" t="s">
        <v>428</v>
      </c>
      <c r="D181" s="220" t="s">
        <v>21</v>
      </c>
      <c r="E181" s="221" t="s">
        <v>102</v>
      </c>
      <c r="F181" s="221" t="s">
        <v>432</v>
      </c>
      <c r="G181" s="226" t="s">
        <v>281</v>
      </c>
      <c r="H181" s="222" t="s">
        <v>281</v>
      </c>
      <c r="I181" s="222" t="s">
        <v>18</v>
      </c>
      <c r="J181" s="222" t="s">
        <v>15</v>
      </c>
      <c r="K181" s="222" t="s">
        <v>328</v>
      </c>
      <c r="L181" s="222" t="s">
        <v>281</v>
      </c>
      <c r="M181" s="222" t="s">
        <v>281</v>
      </c>
      <c r="N181" s="222" t="s">
        <v>281</v>
      </c>
      <c r="O181" s="223" t="s">
        <v>20</v>
      </c>
      <c r="P181" s="223" t="s">
        <v>20</v>
      </c>
      <c r="Q181" s="223" t="s">
        <v>15</v>
      </c>
      <c r="R181" s="223" t="s">
        <v>15</v>
      </c>
      <c r="S181" s="223" t="s">
        <v>16</v>
      </c>
      <c r="T181" s="223" t="s">
        <v>328</v>
      </c>
      <c r="U181" s="223" t="s">
        <v>248</v>
      </c>
      <c r="V181" s="223" t="s">
        <v>281</v>
      </c>
      <c r="W181" s="224" t="s">
        <v>281</v>
      </c>
      <c r="X181" s="224" t="s">
        <v>281</v>
      </c>
      <c r="Y181" s="225" t="s">
        <v>281</v>
      </c>
    </row>
    <row r="182" spans="1:25">
      <c r="A182" s="219">
        <v>4</v>
      </c>
      <c r="B182" s="220" t="str">
        <f>VLOOKUP(Tabel10[[#This Row],[Code]],Ruimtegroepen[[Code]:[Ruimte omschrijving]],2,FALSE)</f>
        <v>Vergader/spreekkamers</v>
      </c>
      <c r="C182" s="221" t="s">
        <v>428</v>
      </c>
      <c r="D182" s="220" t="s">
        <v>21</v>
      </c>
      <c r="E182" s="221" t="s">
        <v>99</v>
      </c>
      <c r="F182" s="221" t="s">
        <v>430</v>
      </c>
      <c r="G182" s="222" t="s">
        <v>18</v>
      </c>
      <c r="H182" s="222" t="s">
        <v>15</v>
      </c>
      <c r="I182" s="222" t="s">
        <v>281</v>
      </c>
      <c r="J182" s="222" t="s">
        <v>281</v>
      </c>
      <c r="K182" s="222" t="s">
        <v>281</v>
      </c>
      <c r="L182" s="222" t="s">
        <v>281</v>
      </c>
      <c r="M182" s="222" t="s">
        <v>281</v>
      </c>
      <c r="N182" s="222" t="s">
        <v>281</v>
      </c>
      <c r="O182" s="223" t="s">
        <v>20</v>
      </c>
      <c r="P182" s="223" t="s">
        <v>20</v>
      </c>
      <c r="Q182" s="223" t="s">
        <v>15</v>
      </c>
      <c r="R182" s="223" t="s">
        <v>15</v>
      </c>
      <c r="S182" s="223" t="s">
        <v>16</v>
      </c>
      <c r="T182" s="223" t="s">
        <v>328</v>
      </c>
      <c r="U182" s="223" t="s">
        <v>248</v>
      </c>
      <c r="V182" s="223" t="s">
        <v>281</v>
      </c>
      <c r="W182" s="224" t="s">
        <v>281</v>
      </c>
      <c r="X182" s="224" t="s">
        <v>281</v>
      </c>
      <c r="Y182" s="225" t="s">
        <v>281</v>
      </c>
    </row>
    <row r="183" spans="1:25">
      <c r="A183" s="219">
        <v>4</v>
      </c>
      <c r="B183" s="220" t="str">
        <f>VLOOKUP(Tabel10[[#This Row],[Code]],Ruimtegroepen[[Code]:[Ruimte omschrijving]],2,FALSE)</f>
        <v>Vergader/spreekkamers</v>
      </c>
      <c r="C183" s="221" t="s">
        <v>428</v>
      </c>
      <c r="D183" s="220" t="s">
        <v>21</v>
      </c>
      <c r="E183" s="221" t="s">
        <v>1309</v>
      </c>
      <c r="F183" s="221" t="s">
        <v>1443</v>
      </c>
      <c r="G183" s="226" t="s">
        <v>281</v>
      </c>
      <c r="H183" s="222" t="s">
        <v>281</v>
      </c>
      <c r="I183" s="222" t="s">
        <v>18</v>
      </c>
      <c r="J183" s="222" t="s">
        <v>15</v>
      </c>
      <c r="K183" s="222" t="s">
        <v>328</v>
      </c>
      <c r="L183" s="222" t="s">
        <v>281</v>
      </c>
      <c r="M183" s="222" t="s">
        <v>281</v>
      </c>
      <c r="N183" s="222" t="s">
        <v>281</v>
      </c>
      <c r="O183" s="223" t="s">
        <v>20</v>
      </c>
      <c r="P183" s="223" t="s">
        <v>20</v>
      </c>
      <c r="Q183" s="223" t="s">
        <v>15</v>
      </c>
      <c r="R183" s="223" t="s">
        <v>15</v>
      </c>
      <c r="S183" s="223" t="s">
        <v>16</v>
      </c>
      <c r="T183" s="223" t="s">
        <v>328</v>
      </c>
      <c r="U183" s="223" t="s">
        <v>248</v>
      </c>
      <c r="V183" s="223" t="s">
        <v>281</v>
      </c>
      <c r="W183" s="224" t="s">
        <v>281</v>
      </c>
      <c r="X183" s="224" t="s">
        <v>281</v>
      </c>
      <c r="Y183" s="225" t="s">
        <v>281</v>
      </c>
    </row>
    <row r="184" spans="1:25">
      <c r="A184" s="219">
        <v>4</v>
      </c>
      <c r="B184" s="220" t="str">
        <f>VLOOKUP(Tabel10[[#This Row],[Code]],Ruimtegroepen[[Code]:[Ruimte omschrijving]],2,FALSE)</f>
        <v>Vergader/spreekkamers</v>
      </c>
      <c r="C184" s="221" t="s">
        <v>433</v>
      </c>
      <c r="D184" s="220" t="s">
        <v>12</v>
      </c>
      <c r="E184" s="221" t="s">
        <v>100</v>
      </c>
      <c r="F184" s="221" t="s">
        <v>434</v>
      </c>
      <c r="G184" s="226" t="s">
        <v>281</v>
      </c>
      <c r="H184" s="222" t="s">
        <v>281</v>
      </c>
      <c r="I184" s="222" t="s">
        <v>17</v>
      </c>
      <c r="J184" s="222" t="s">
        <v>15</v>
      </c>
      <c r="K184" s="222" t="s">
        <v>281</v>
      </c>
      <c r="L184" s="222" t="s">
        <v>281</v>
      </c>
      <c r="M184" s="222" t="s">
        <v>281</v>
      </c>
      <c r="N184" s="222" t="s">
        <v>281</v>
      </c>
      <c r="O184" s="223" t="s">
        <v>18</v>
      </c>
      <c r="P184" s="223" t="s">
        <v>18</v>
      </c>
      <c r="Q184" s="223" t="s">
        <v>15</v>
      </c>
      <c r="R184" s="223" t="s">
        <v>15</v>
      </c>
      <c r="S184" s="223" t="s">
        <v>16</v>
      </c>
      <c r="T184" s="223" t="s">
        <v>328</v>
      </c>
      <c r="U184" s="223" t="s">
        <v>248</v>
      </c>
      <c r="V184" s="223" t="s">
        <v>281</v>
      </c>
      <c r="W184" s="224" t="s">
        <v>281</v>
      </c>
      <c r="X184" s="224" t="s">
        <v>281</v>
      </c>
      <c r="Y184" s="225" t="s">
        <v>281</v>
      </c>
    </row>
    <row r="185" spans="1:25">
      <c r="A185" s="219">
        <v>4</v>
      </c>
      <c r="B185" s="220" t="str">
        <f>VLOOKUP(Tabel10[[#This Row],[Code]],Ruimtegroepen[[Code]:[Ruimte omschrijving]],2,FALSE)</f>
        <v>Vergader/spreekkamers</v>
      </c>
      <c r="C185" s="221" t="s">
        <v>433</v>
      </c>
      <c r="D185" s="220" t="s">
        <v>12</v>
      </c>
      <c r="E185" s="221" t="s">
        <v>99</v>
      </c>
      <c r="F185" s="221" t="s">
        <v>435</v>
      </c>
      <c r="G185" s="222" t="s">
        <v>17</v>
      </c>
      <c r="H185" s="222" t="s">
        <v>15</v>
      </c>
      <c r="I185" s="222" t="s">
        <v>281</v>
      </c>
      <c r="J185" s="222" t="s">
        <v>281</v>
      </c>
      <c r="K185" s="222" t="s">
        <v>281</v>
      </c>
      <c r="L185" s="222" t="s">
        <v>281</v>
      </c>
      <c r="M185" s="222" t="s">
        <v>281</v>
      </c>
      <c r="N185" s="222" t="s">
        <v>281</v>
      </c>
      <c r="O185" s="223" t="s">
        <v>18</v>
      </c>
      <c r="P185" s="223" t="s">
        <v>18</v>
      </c>
      <c r="Q185" s="223" t="s">
        <v>15</v>
      </c>
      <c r="R185" s="223" t="s">
        <v>15</v>
      </c>
      <c r="S185" s="223" t="s">
        <v>16</v>
      </c>
      <c r="T185" s="223" t="s">
        <v>328</v>
      </c>
      <c r="U185" s="223" t="s">
        <v>248</v>
      </c>
      <c r="V185" s="223" t="s">
        <v>281</v>
      </c>
      <c r="W185" s="224" t="s">
        <v>281</v>
      </c>
      <c r="X185" s="224" t="s">
        <v>281</v>
      </c>
      <c r="Y185" s="225" t="s">
        <v>281</v>
      </c>
    </row>
    <row r="186" spans="1:25">
      <c r="A186" s="219">
        <v>4</v>
      </c>
      <c r="B186" s="220" t="str">
        <f>VLOOKUP(Tabel10[[#This Row],[Code]],Ruimtegroepen[[Code]:[Ruimte omschrijving]],2,FALSE)</f>
        <v>Vergader/spreekkamers</v>
      </c>
      <c r="C186" s="221" t="s">
        <v>433</v>
      </c>
      <c r="D186" s="220" t="s">
        <v>12</v>
      </c>
      <c r="E186" s="221" t="s">
        <v>101</v>
      </c>
      <c r="F186" s="221" t="s">
        <v>436</v>
      </c>
      <c r="G186" s="226" t="s">
        <v>281</v>
      </c>
      <c r="H186" s="222" t="s">
        <v>281</v>
      </c>
      <c r="I186" s="222" t="s">
        <v>17</v>
      </c>
      <c r="J186" s="222" t="s">
        <v>15</v>
      </c>
      <c r="K186" s="222" t="s">
        <v>328</v>
      </c>
      <c r="L186" s="222" t="s">
        <v>281</v>
      </c>
      <c r="M186" s="222" t="s">
        <v>281</v>
      </c>
      <c r="N186" s="222" t="s">
        <v>281</v>
      </c>
      <c r="O186" s="223" t="s">
        <v>18</v>
      </c>
      <c r="P186" s="223" t="s">
        <v>18</v>
      </c>
      <c r="Q186" s="223" t="s">
        <v>15</v>
      </c>
      <c r="R186" s="223" t="s">
        <v>15</v>
      </c>
      <c r="S186" s="223" t="s">
        <v>16</v>
      </c>
      <c r="T186" s="223" t="s">
        <v>328</v>
      </c>
      <c r="U186" s="223" t="s">
        <v>248</v>
      </c>
      <c r="V186" s="223" t="s">
        <v>281</v>
      </c>
      <c r="W186" s="224" t="s">
        <v>281</v>
      </c>
      <c r="X186" s="224" t="s">
        <v>281</v>
      </c>
      <c r="Y186" s="225" t="s">
        <v>281</v>
      </c>
    </row>
    <row r="187" spans="1:25">
      <c r="A187" s="219">
        <v>4</v>
      </c>
      <c r="B187" s="220" t="str">
        <f>VLOOKUP(Tabel10[[#This Row],[Code]],Ruimtegroepen[[Code]:[Ruimte omschrijving]],2,FALSE)</f>
        <v>Vergader/spreekkamers</v>
      </c>
      <c r="C187" s="221" t="s">
        <v>433</v>
      </c>
      <c r="D187" s="220" t="s">
        <v>12</v>
      </c>
      <c r="E187" s="221" t="s">
        <v>102</v>
      </c>
      <c r="F187" s="221" t="s">
        <v>437</v>
      </c>
      <c r="G187" s="226" t="s">
        <v>281</v>
      </c>
      <c r="H187" s="222" t="s">
        <v>281</v>
      </c>
      <c r="I187" s="222" t="s">
        <v>17</v>
      </c>
      <c r="J187" s="222" t="s">
        <v>15</v>
      </c>
      <c r="K187" s="222" t="s">
        <v>328</v>
      </c>
      <c r="L187" s="222" t="s">
        <v>281</v>
      </c>
      <c r="M187" s="222" t="s">
        <v>281</v>
      </c>
      <c r="N187" s="222" t="s">
        <v>281</v>
      </c>
      <c r="O187" s="223" t="s">
        <v>18</v>
      </c>
      <c r="P187" s="223" t="s">
        <v>18</v>
      </c>
      <c r="Q187" s="223" t="s">
        <v>15</v>
      </c>
      <c r="R187" s="223" t="s">
        <v>15</v>
      </c>
      <c r="S187" s="223" t="s">
        <v>16</v>
      </c>
      <c r="T187" s="223" t="s">
        <v>328</v>
      </c>
      <c r="U187" s="223" t="s">
        <v>248</v>
      </c>
      <c r="V187" s="223" t="s">
        <v>281</v>
      </c>
      <c r="W187" s="224" t="s">
        <v>281</v>
      </c>
      <c r="X187" s="224" t="s">
        <v>281</v>
      </c>
      <c r="Y187" s="225" t="s">
        <v>281</v>
      </c>
    </row>
    <row r="188" spans="1:25">
      <c r="A188" s="219">
        <v>4</v>
      </c>
      <c r="B188" s="220" t="str">
        <f>VLOOKUP(Tabel10[[#This Row],[Code]],Ruimtegroepen[[Code]:[Ruimte omschrijving]],2,FALSE)</f>
        <v>Vergader/spreekkamers</v>
      </c>
      <c r="C188" s="221" t="s">
        <v>433</v>
      </c>
      <c r="D188" s="220" t="s">
        <v>12</v>
      </c>
      <c r="E188" s="221" t="s">
        <v>99</v>
      </c>
      <c r="F188" s="221" t="s">
        <v>435</v>
      </c>
      <c r="G188" s="222" t="s">
        <v>17</v>
      </c>
      <c r="H188" s="222" t="s">
        <v>15</v>
      </c>
      <c r="I188" s="222" t="s">
        <v>281</v>
      </c>
      <c r="J188" s="222" t="s">
        <v>281</v>
      </c>
      <c r="K188" s="222" t="s">
        <v>281</v>
      </c>
      <c r="L188" s="222" t="s">
        <v>281</v>
      </c>
      <c r="M188" s="222" t="s">
        <v>281</v>
      </c>
      <c r="N188" s="222" t="s">
        <v>281</v>
      </c>
      <c r="O188" s="223" t="s">
        <v>18</v>
      </c>
      <c r="P188" s="223" t="s">
        <v>18</v>
      </c>
      <c r="Q188" s="223" t="s">
        <v>15</v>
      </c>
      <c r="R188" s="223" t="s">
        <v>15</v>
      </c>
      <c r="S188" s="223" t="s">
        <v>16</v>
      </c>
      <c r="T188" s="223" t="s">
        <v>328</v>
      </c>
      <c r="U188" s="223" t="s">
        <v>248</v>
      </c>
      <c r="V188" s="223" t="s">
        <v>281</v>
      </c>
      <c r="W188" s="224" t="s">
        <v>281</v>
      </c>
      <c r="X188" s="224" t="s">
        <v>281</v>
      </c>
      <c r="Y188" s="225" t="s">
        <v>281</v>
      </c>
    </row>
    <row r="189" spans="1:25">
      <c r="A189" s="219">
        <v>4</v>
      </c>
      <c r="B189" s="220" t="str">
        <f>VLOOKUP(Tabel10[[#This Row],[Code]],Ruimtegroepen[[Code]:[Ruimte omschrijving]],2,FALSE)</f>
        <v>Vergader/spreekkamers</v>
      </c>
      <c r="C189" s="221" t="s">
        <v>433</v>
      </c>
      <c r="D189" s="220" t="s">
        <v>12</v>
      </c>
      <c r="E189" s="221" t="s">
        <v>1309</v>
      </c>
      <c r="F189" s="221" t="s">
        <v>1426</v>
      </c>
      <c r="G189" s="226" t="s">
        <v>281</v>
      </c>
      <c r="H189" s="222" t="s">
        <v>281</v>
      </c>
      <c r="I189" s="222" t="s">
        <v>17</v>
      </c>
      <c r="J189" s="222" t="s">
        <v>15</v>
      </c>
      <c r="K189" s="222" t="s">
        <v>328</v>
      </c>
      <c r="L189" s="222" t="s">
        <v>281</v>
      </c>
      <c r="M189" s="222" t="s">
        <v>281</v>
      </c>
      <c r="N189" s="222" t="s">
        <v>281</v>
      </c>
      <c r="O189" s="223" t="s">
        <v>18</v>
      </c>
      <c r="P189" s="223" t="s">
        <v>18</v>
      </c>
      <c r="Q189" s="223" t="s">
        <v>15</v>
      </c>
      <c r="R189" s="223" t="s">
        <v>15</v>
      </c>
      <c r="S189" s="223" t="s">
        <v>16</v>
      </c>
      <c r="T189" s="223" t="s">
        <v>328</v>
      </c>
      <c r="U189" s="223" t="s">
        <v>248</v>
      </c>
      <c r="V189" s="223" t="s">
        <v>281</v>
      </c>
      <c r="W189" s="224" t="s">
        <v>281</v>
      </c>
      <c r="X189" s="224" t="s">
        <v>281</v>
      </c>
      <c r="Y189" s="225" t="s">
        <v>281</v>
      </c>
    </row>
    <row r="190" spans="1:25">
      <c r="A190" s="219">
        <v>4</v>
      </c>
      <c r="B190" s="220" t="str">
        <f>VLOOKUP(Tabel10[[#This Row],[Code]],Ruimtegroepen[[Code]:[Ruimte omschrijving]],2,FALSE)</f>
        <v>Vergader/spreekkamers</v>
      </c>
      <c r="C190" s="221" t="s">
        <v>438</v>
      </c>
      <c r="D190" s="220" t="s">
        <v>14</v>
      </c>
      <c r="E190" s="221" t="s">
        <v>100</v>
      </c>
      <c r="F190" s="221" t="s">
        <v>439</v>
      </c>
      <c r="G190" s="226" t="s">
        <v>281</v>
      </c>
      <c r="H190" s="222" t="s">
        <v>281</v>
      </c>
      <c r="I190" s="222" t="s">
        <v>15</v>
      </c>
      <c r="J190" s="222" t="s">
        <v>15</v>
      </c>
      <c r="K190" s="222" t="s">
        <v>281</v>
      </c>
      <c r="L190" s="222" t="s">
        <v>281</v>
      </c>
      <c r="M190" s="222" t="s">
        <v>281</v>
      </c>
      <c r="N190" s="222" t="s">
        <v>281</v>
      </c>
      <c r="O190" s="223" t="s">
        <v>17</v>
      </c>
      <c r="P190" s="223" t="s">
        <v>17</v>
      </c>
      <c r="Q190" s="223" t="s">
        <v>15</v>
      </c>
      <c r="R190" s="223" t="s">
        <v>15</v>
      </c>
      <c r="S190" s="223" t="s">
        <v>16</v>
      </c>
      <c r="T190" s="223" t="s">
        <v>328</v>
      </c>
      <c r="U190" s="223" t="s">
        <v>248</v>
      </c>
      <c r="V190" s="223" t="s">
        <v>281</v>
      </c>
      <c r="W190" s="224" t="s">
        <v>281</v>
      </c>
      <c r="X190" s="224" t="s">
        <v>281</v>
      </c>
      <c r="Y190" s="225" t="s">
        <v>281</v>
      </c>
    </row>
    <row r="191" spans="1:25">
      <c r="A191" s="219">
        <v>4</v>
      </c>
      <c r="B191" s="220" t="str">
        <f>VLOOKUP(Tabel10[[#This Row],[Code]],Ruimtegroepen[[Code]:[Ruimte omschrijving]],2,FALSE)</f>
        <v>Vergader/spreekkamers</v>
      </c>
      <c r="C191" s="221" t="s">
        <v>438</v>
      </c>
      <c r="D191" s="220" t="s">
        <v>14</v>
      </c>
      <c r="E191" s="221" t="s">
        <v>99</v>
      </c>
      <c r="F191" s="221" t="s">
        <v>440</v>
      </c>
      <c r="G191" s="222" t="s">
        <v>15</v>
      </c>
      <c r="H191" s="222" t="s">
        <v>15</v>
      </c>
      <c r="I191" s="222" t="s">
        <v>281</v>
      </c>
      <c r="J191" s="222" t="s">
        <v>281</v>
      </c>
      <c r="K191" s="222" t="s">
        <v>281</v>
      </c>
      <c r="L191" s="222" t="s">
        <v>281</v>
      </c>
      <c r="M191" s="222" t="s">
        <v>281</v>
      </c>
      <c r="N191" s="222" t="s">
        <v>281</v>
      </c>
      <c r="O191" s="223" t="s">
        <v>17</v>
      </c>
      <c r="P191" s="223" t="s">
        <v>17</v>
      </c>
      <c r="Q191" s="223" t="s">
        <v>15</v>
      </c>
      <c r="R191" s="223" t="s">
        <v>15</v>
      </c>
      <c r="S191" s="223" t="s">
        <v>16</v>
      </c>
      <c r="T191" s="223" t="s">
        <v>328</v>
      </c>
      <c r="U191" s="223" t="s">
        <v>248</v>
      </c>
      <c r="V191" s="223" t="s">
        <v>281</v>
      </c>
      <c r="W191" s="224" t="s">
        <v>281</v>
      </c>
      <c r="X191" s="224" t="s">
        <v>281</v>
      </c>
      <c r="Y191" s="225" t="s">
        <v>281</v>
      </c>
    </row>
    <row r="192" spans="1:25">
      <c r="A192" s="219">
        <v>4</v>
      </c>
      <c r="B192" s="220" t="str">
        <f>VLOOKUP(Tabel10[[#This Row],[Code]],Ruimtegroepen[[Code]:[Ruimte omschrijving]],2,FALSE)</f>
        <v>Vergader/spreekkamers</v>
      </c>
      <c r="C192" s="221" t="s">
        <v>438</v>
      </c>
      <c r="D192" s="220" t="s">
        <v>14</v>
      </c>
      <c r="E192" s="221" t="s">
        <v>101</v>
      </c>
      <c r="F192" s="221" t="s">
        <v>441</v>
      </c>
      <c r="G192" s="226" t="s">
        <v>281</v>
      </c>
      <c r="H192" s="222" t="s">
        <v>281</v>
      </c>
      <c r="I192" s="222" t="s">
        <v>15</v>
      </c>
      <c r="J192" s="222" t="s">
        <v>15</v>
      </c>
      <c r="K192" s="222" t="s">
        <v>328</v>
      </c>
      <c r="L192" s="222" t="s">
        <v>281</v>
      </c>
      <c r="M192" s="222" t="s">
        <v>281</v>
      </c>
      <c r="N192" s="222" t="s">
        <v>281</v>
      </c>
      <c r="O192" s="223" t="s">
        <v>17</v>
      </c>
      <c r="P192" s="223" t="s">
        <v>17</v>
      </c>
      <c r="Q192" s="223" t="s">
        <v>15</v>
      </c>
      <c r="R192" s="223" t="s">
        <v>15</v>
      </c>
      <c r="S192" s="223" t="s">
        <v>16</v>
      </c>
      <c r="T192" s="223" t="s">
        <v>328</v>
      </c>
      <c r="U192" s="223" t="s">
        <v>248</v>
      </c>
      <c r="V192" s="223" t="s">
        <v>281</v>
      </c>
      <c r="W192" s="224" t="s">
        <v>281</v>
      </c>
      <c r="X192" s="224" t="s">
        <v>281</v>
      </c>
      <c r="Y192" s="225" t="s">
        <v>281</v>
      </c>
    </row>
    <row r="193" spans="1:25">
      <c r="A193" s="219">
        <v>4</v>
      </c>
      <c r="B193" s="220" t="str">
        <f>VLOOKUP(Tabel10[[#This Row],[Code]],Ruimtegroepen[[Code]:[Ruimte omschrijving]],2,FALSE)</f>
        <v>Vergader/spreekkamers</v>
      </c>
      <c r="C193" s="221" t="s">
        <v>438</v>
      </c>
      <c r="D193" s="220" t="s">
        <v>14</v>
      </c>
      <c r="E193" s="221" t="s">
        <v>102</v>
      </c>
      <c r="F193" s="221" t="s">
        <v>442</v>
      </c>
      <c r="G193" s="226" t="s">
        <v>281</v>
      </c>
      <c r="H193" s="222" t="s">
        <v>281</v>
      </c>
      <c r="I193" s="222" t="s">
        <v>15</v>
      </c>
      <c r="J193" s="222" t="s">
        <v>15</v>
      </c>
      <c r="K193" s="222" t="s">
        <v>328</v>
      </c>
      <c r="L193" s="222" t="s">
        <v>281</v>
      </c>
      <c r="M193" s="222" t="s">
        <v>281</v>
      </c>
      <c r="N193" s="222" t="s">
        <v>281</v>
      </c>
      <c r="O193" s="223" t="s">
        <v>17</v>
      </c>
      <c r="P193" s="223" t="s">
        <v>17</v>
      </c>
      <c r="Q193" s="223" t="s">
        <v>15</v>
      </c>
      <c r="R193" s="223" t="s">
        <v>15</v>
      </c>
      <c r="S193" s="223" t="s">
        <v>16</v>
      </c>
      <c r="T193" s="223" t="s">
        <v>328</v>
      </c>
      <c r="U193" s="223" t="s">
        <v>248</v>
      </c>
      <c r="V193" s="223" t="s">
        <v>281</v>
      </c>
      <c r="W193" s="224" t="s">
        <v>281</v>
      </c>
      <c r="X193" s="224" t="s">
        <v>281</v>
      </c>
      <c r="Y193" s="225" t="s">
        <v>281</v>
      </c>
    </row>
    <row r="194" spans="1:25">
      <c r="A194" s="219">
        <v>4</v>
      </c>
      <c r="B194" s="220" t="str">
        <f>VLOOKUP(Tabel10[[#This Row],[Code]],Ruimtegroepen[[Code]:[Ruimte omschrijving]],2,FALSE)</f>
        <v>Vergader/spreekkamers</v>
      </c>
      <c r="C194" s="221" t="s">
        <v>438</v>
      </c>
      <c r="D194" s="220" t="s">
        <v>14</v>
      </c>
      <c r="E194" s="221" t="s">
        <v>99</v>
      </c>
      <c r="F194" s="221" t="s">
        <v>440</v>
      </c>
      <c r="G194" s="222" t="s">
        <v>15</v>
      </c>
      <c r="H194" s="222" t="s">
        <v>15</v>
      </c>
      <c r="I194" s="222" t="s">
        <v>281</v>
      </c>
      <c r="J194" s="222" t="s">
        <v>281</v>
      </c>
      <c r="K194" s="222" t="s">
        <v>281</v>
      </c>
      <c r="L194" s="222" t="s">
        <v>281</v>
      </c>
      <c r="M194" s="222" t="s">
        <v>281</v>
      </c>
      <c r="N194" s="222" t="s">
        <v>281</v>
      </c>
      <c r="O194" s="223" t="s">
        <v>17</v>
      </c>
      <c r="P194" s="223" t="s">
        <v>17</v>
      </c>
      <c r="Q194" s="223" t="s">
        <v>15</v>
      </c>
      <c r="R194" s="223" t="s">
        <v>15</v>
      </c>
      <c r="S194" s="223" t="s">
        <v>16</v>
      </c>
      <c r="T194" s="223" t="s">
        <v>328</v>
      </c>
      <c r="U194" s="223" t="s">
        <v>248</v>
      </c>
      <c r="V194" s="223" t="s">
        <v>281</v>
      </c>
      <c r="W194" s="224" t="s">
        <v>281</v>
      </c>
      <c r="X194" s="224" t="s">
        <v>281</v>
      </c>
      <c r="Y194" s="225" t="s">
        <v>281</v>
      </c>
    </row>
    <row r="195" spans="1:25">
      <c r="A195" s="219">
        <v>4</v>
      </c>
      <c r="B195" s="220" t="str">
        <f>VLOOKUP(Tabel10[[#This Row],[Code]],Ruimtegroepen[[Code]:[Ruimte omschrijving]],2,FALSE)</f>
        <v>Vergader/spreekkamers</v>
      </c>
      <c r="C195" s="221" t="s">
        <v>438</v>
      </c>
      <c r="D195" s="220" t="s">
        <v>14</v>
      </c>
      <c r="E195" s="221" t="s">
        <v>1309</v>
      </c>
      <c r="F195" s="221" t="s">
        <v>1393</v>
      </c>
      <c r="G195" s="226" t="s">
        <v>281</v>
      </c>
      <c r="H195" s="222" t="s">
        <v>281</v>
      </c>
      <c r="I195" s="222" t="s">
        <v>15</v>
      </c>
      <c r="J195" s="222" t="s">
        <v>15</v>
      </c>
      <c r="K195" s="222" t="s">
        <v>328</v>
      </c>
      <c r="L195" s="222" t="s">
        <v>281</v>
      </c>
      <c r="M195" s="222" t="s">
        <v>281</v>
      </c>
      <c r="N195" s="222" t="s">
        <v>281</v>
      </c>
      <c r="O195" s="223" t="s">
        <v>17</v>
      </c>
      <c r="P195" s="223" t="s">
        <v>17</v>
      </c>
      <c r="Q195" s="223" t="s">
        <v>15</v>
      </c>
      <c r="R195" s="223" t="s">
        <v>15</v>
      </c>
      <c r="S195" s="223" t="s">
        <v>16</v>
      </c>
      <c r="T195" s="223" t="s">
        <v>328</v>
      </c>
      <c r="U195" s="223" t="s">
        <v>248</v>
      </c>
      <c r="V195" s="223" t="s">
        <v>281</v>
      </c>
      <c r="W195" s="224" t="s">
        <v>281</v>
      </c>
      <c r="X195" s="224" t="s">
        <v>281</v>
      </c>
      <c r="Y195" s="225" t="s">
        <v>281</v>
      </c>
    </row>
    <row r="196" spans="1:25">
      <c r="A196" s="219">
        <v>4</v>
      </c>
      <c r="B196" s="220" t="str">
        <f>VLOOKUP(Tabel10[[#This Row],[Code]],Ruimtegroepen[[Code]:[Ruimte omschrijving]],2,FALSE)</f>
        <v>Vergader/spreekkamers</v>
      </c>
      <c r="C196" s="221" t="s">
        <v>443</v>
      </c>
      <c r="D196" s="220" t="s">
        <v>13</v>
      </c>
      <c r="E196" s="221" t="s">
        <v>100</v>
      </c>
      <c r="F196" s="221" t="s">
        <v>444</v>
      </c>
      <c r="G196" s="226" t="s">
        <v>281</v>
      </c>
      <c r="H196" s="222" t="s">
        <v>281</v>
      </c>
      <c r="I196" s="222" t="s">
        <v>281</v>
      </c>
      <c r="J196" s="222" t="s">
        <v>15</v>
      </c>
      <c r="K196" s="222" t="s">
        <v>281</v>
      </c>
      <c r="L196" s="222" t="s">
        <v>281</v>
      </c>
      <c r="M196" s="222" t="s">
        <v>281</v>
      </c>
      <c r="N196" s="222" t="s">
        <v>281</v>
      </c>
      <c r="O196" s="223" t="s">
        <v>15</v>
      </c>
      <c r="P196" s="223" t="s">
        <v>15</v>
      </c>
      <c r="Q196" s="223" t="s">
        <v>15</v>
      </c>
      <c r="R196" s="223" t="s">
        <v>15</v>
      </c>
      <c r="S196" s="223" t="s">
        <v>16</v>
      </c>
      <c r="T196" s="223" t="s">
        <v>328</v>
      </c>
      <c r="U196" s="223" t="s">
        <v>248</v>
      </c>
      <c r="V196" s="223" t="s">
        <v>281</v>
      </c>
      <c r="W196" s="224" t="s">
        <v>281</v>
      </c>
      <c r="X196" s="224" t="s">
        <v>281</v>
      </c>
      <c r="Y196" s="225" t="s">
        <v>281</v>
      </c>
    </row>
    <row r="197" spans="1:25">
      <c r="A197" s="219">
        <v>4</v>
      </c>
      <c r="B197" s="220" t="str">
        <f>VLOOKUP(Tabel10[[#This Row],[Code]],Ruimtegroepen[[Code]:[Ruimte omschrijving]],2,FALSE)</f>
        <v>Vergader/spreekkamers</v>
      </c>
      <c r="C197" s="221" t="s">
        <v>443</v>
      </c>
      <c r="D197" s="220" t="s">
        <v>13</v>
      </c>
      <c r="E197" s="221" t="s">
        <v>99</v>
      </c>
      <c r="F197" s="221" t="s">
        <v>445</v>
      </c>
      <c r="G197" s="226" t="s">
        <v>281</v>
      </c>
      <c r="H197" s="222" t="s">
        <v>15</v>
      </c>
      <c r="I197" s="222" t="s">
        <v>281</v>
      </c>
      <c r="J197" s="222" t="s">
        <v>281</v>
      </c>
      <c r="K197" s="222" t="s">
        <v>281</v>
      </c>
      <c r="L197" s="222" t="s">
        <v>281</v>
      </c>
      <c r="M197" s="222" t="s">
        <v>281</v>
      </c>
      <c r="N197" s="222" t="s">
        <v>281</v>
      </c>
      <c r="O197" s="223" t="s">
        <v>15</v>
      </c>
      <c r="P197" s="223" t="s">
        <v>15</v>
      </c>
      <c r="Q197" s="223" t="s">
        <v>15</v>
      </c>
      <c r="R197" s="223" t="s">
        <v>15</v>
      </c>
      <c r="S197" s="223" t="s">
        <v>16</v>
      </c>
      <c r="T197" s="223" t="s">
        <v>328</v>
      </c>
      <c r="U197" s="223" t="s">
        <v>248</v>
      </c>
      <c r="V197" s="223" t="s">
        <v>281</v>
      </c>
      <c r="W197" s="224" t="s">
        <v>281</v>
      </c>
      <c r="X197" s="224" t="s">
        <v>281</v>
      </c>
      <c r="Y197" s="225" t="s">
        <v>281</v>
      </c>
    </row>
    <row r="198" spans="1:25">
      <c r="A198" s="219">
        <v>4</v>
      </c>
      <c r="B198" s="220" t="str">
        <f>VLOOKUP(Tabel10[[#This Row],[Code]],Ruimtegroepen[[Code]:[Ruimte omschrijving]],2,FALSE)</f>
        <v>Vergader/spreekkamers</v>
      </c>
      <c r="C198" s="221" t="s">
        <v>443</v>
      </c>
      <c r="D198" s="220" t="s">
        <v>13</v>
      </c>
      <c r="E198" s="221" t="s">
        <v>101</v>
      </c>
      <c r="F198" s="221" t="s">
        <v>446</v>
      </c>
      <c r="G198" s="226" t="s">
        <v>281</v>
      </c>
      <c r="H198" s="222" t="s">
        <v>281</v>
      </c>
      <c r="I198" s="222" t="s">
        <v>281</v>
      </c>
      <c r="J198" s="222" t="s">
        <v>15</v>
      </c>
      <c r="K198" s="222" t="s">
        <v>328</v>
      </c>
      <c r="L198" s="222" t="s">
        <v>281</v>
      </c>
      <c r="M198" s="222" t="s">
        <v>281</v>
      </c>
      <c r="N198" s="222" t="s">
        <v>281</v>
      </c>
      <c r="O198" s="223" t="s">
        <v>15</v>
      </c>
      <c r="P198" s="223" t="s">
        <v>15</v>
      </c>
      <c r="Q198" s="223" t="s">
        <v>15</v>
      </c>
      <c r="R198" s="223" t="s">
        <v>15</v>
      </c>
      <c r="S198" s="223" t="s">
        <v>16</v>
      </c>
      <c r="T198" s="223" t="s">
        <v>328</v>
      </c>
      <c r="U198" s="223" t="s">
        <v>248</v>
      </c>
      <c r="V198" s="223" t="s">
        <v>281</v>
      </c>
      <c r="W198" s="224" t="s">
        <v>281</v>
      </c>
      <c r="X198" s="224" t="s">
        <v>281</v>
      </c>
      <c r="Y198" s="225" t="s">
        <v>281</v>
      </c>
    </row>
    <row r="199" spans="1:25">
      <c r="A199" s="219">
        <v>4</v>
      </c>
      <c r="B199" s="220" t="str">
        <f>VLOOKUP(Tabel10[[#This Row],[Code]],Ruimtegroepen[[Code]:[Ruimte omschrijving]],2,FALSE)</f>
        <v>Vergader/spreekkamers</v>
      </c>
      <c r="C199" s="221" t="s">
        <v>443</v>
      </c>
      <c r="D199" s="220" t="s">
        <v>13</v>
      </c>
      <c r="E199" s="221" t="s">
        <v>102</v>
      </c>
      <c r="F199" s="221" t="s">
        <v>447</v>
      </c>
      <c r="G199" s="226" t="s">
        <v>281</v>
      </c>
      <c r="H199" s="222" t="s">
        <v>281</v>
      </c>
      <c r="I199" s="222" t="s">
        <v>281</v>
      </c>
      <c r="J199" s="222" t="s">
        <v>15</v>
      </c>
      <c r="K199" s="222" t="s">
        <v>328</v>
      </c>
      <c r="L199" s="222" t="s">
        <v>281</v>
      </c>
      <c r="M199" s="222" t="s">
        <v>281</v>
      </c>
      <c r="N199" s="222" t="s">
        <v>281</v>
      </c>
      <c r="O199" s="223" t="s">
        <v>15</v>
      </c>
      <c r="P199" s="223" t="s">
        <v>15</v>
      </c>
      <c r="Q199" s="223" t="s">
        <v>15</v>
      </c>
      <c r="R199" s="223" t="s">
        <v>15</v>
      </c>
      <c r="S199" s="223" t="s">
        <v>16</v>
      </c>
      <c r="T199" s="223" t="s">
        <v>328</v>
      </c>
      <c r="U199" s="223" t="s">
        <v>248</v>
      </c>
      <c r="V199" s="223" t="s">
        <v>281</v>
      </c>
      <c r="W199" s="224" t="s">
        <v>281</v>
      </c>
      <c r="X199" s="224" t="s">
        <v>281</v>
      </c>
      <c r="Y199" s="225" t="s">
        <v>281</v>
      </c>
    </row>
    <row r="200" spans="1:25">
      <c r="A200" s="219">
        <v>4</v>
      </c>
      <c r="B200" s="220" t="str">
        <f>VLOOKUP(Tabel10[[#This Row],[Code]],Ruimtegroepen[[Code]:[Ruimte omschrijving]],2,FALSE)</f>
        <v>Vergader/spreekkamers</v>
      </c>
      <c r="C200" s="221" t="s">
        <v>443</v>
      </c>
      <c r="D200" s="220" t="s">
        <v>13</v>
      </c>
      <c r="E200" s="221" t="s">
        <v>99</v>
      </c>
      <c r="F200" s="221" t="s">
        <v>445</v>
      </c>
      <c r="G200" s="226" t="s">
        <v>281</v>
      </c>
      <c r="H200" s="222" t="s">
        <v>15</v>
      </c>
      <c r="I200" s="222" t="s">
        <v>281</v>
      </c>
      <c r="J200" s="222" t="s">
        <v>281</v>
      </c>
      <c r="K200" s="222" t="s">
        <v>281</v>
      </c>
      <c r="L200" s="222" t="s">
        <v>281</v>
      </c>
      <c r="M200" s="222" t="s">
        <v>281</v>
      </c>
      <c r="N200" s="222" t="s">
        <v>281</v>
      </c>
      <c r="O200" s="223" t="s">
        <v>15</v>
      </c>
      <c r="P200" s="223" t="s">
        <v>15</v>
      </c>
      <c r="Q200" s="223" t="s">
        <v>15</v>
      </c>
      <c r="R200" s="223" t="s">
        <v>15</v>
      </c>
      <c r="S200" s="223" t="s">
        <v>16</v>
      </c>
      <c r="T200" s="223" t="s">
        <v>328</v>
      </c>
      <c r="U200" s="223" t="s">
        <v>248</v>
      </c>
      <c r="V200" s="223" t="s">
        <v>281</v>
      </c>
      <c r="W200" s="224" t="s">
        <v>281</v>
      </c>
      <c r="X200" s="224" t="s">
        <v>281</v>
      </c>
      <c r="Y200" s="225" t="s">
        <v>281</v>
      </c>
    </row>
    <row r="201" spans="1:25">
      <c r="A201" s="219">
        <v>4</v>
      </c>
      <c r="B201" s="220" t="str">
        <f>VLOOKUP(Tabel10[[#This Row],[Code]],Ruimtegroepen[[Code]:[Ruimte omschrijving]],2,FALSE)</f>
        <v>Vergader/spreekkamers</v>
      </c>
      <c r="C201" s="221" t="s">
        <v>443</v>
      </c>
      <c r="D201" s="220" t="s">
        <v>13</v>
      </c>
      <c r="E201" s="221" t="s">
        <v>1309</v>
      </c>
      <c r="F201" s="221" t="s">
        <v>1360</v>
      </c>
      <c r="G201" s="226" t="s">
        <v>281</v>
      </c>
      <c r="H201" s="222" t="s">
        <v>281</v>
      </c>
      <c r="I201" s="222" t="s">
        <v>281</v>
      </c>
      <c r="J201" s="222" t="s">
        <v>15</v>
      </c>
      <c r="K201" s="222" t="s">
        <v>328</v>
      </c>
      <c r="L201" s="222" t="s">
        <v>281</v>
      </c>
      <c r="M201" s="222" t="s">
        <v>281</v>
      </c>
      <c r="N201" s="222" t="s">
        <v>281</v>
      </c>
      <c r="O201" s="223" t="s">
        <v>15</v>
      </c>
      <c r="P201" s="223" t="s">
        <v>15</v>
      </c>
      <c r="Q201" s="223" t="s">
        <v>15</v>
      </c>
      <c r="R201" s="223" t="s">
        <v>15</v>
      </c>
      <c r="S201" s="223" t="s">
        <v>16</v>
      </c>
      <c r="T201" s="223" t="s">
        <v>328</v>
      </c>
      <c r="U201" s="223" t="s">
        <v>248</v>
      </c>
      <c r="V201" s="223" t="s">
        <v>281</v>
      </c>
      <c r="W201" s="224" t="s">
        <v>281</v>
      </c>
      <c r="X201" s="224" t="s">
        <v>281</v>
      </c>
      <c r="Y201" s="225" t="s">
        <v>281</v>
      </c>
    </row>
    <row r="202" spans="1:25">
      <c r="A202" s="219">
        <v>4</v>
      </c>
      <c r="B202" s="220" t="str">
        <f>VLOOKUP(Tabel10[[#This Row],[Code]],Ruimtegroepen[[Code]:[Ruimte omschrijving]],2,FALSE)</f>
        <v>Vergader/spreekkamers</v>
      </c>
      <c r="C202" s="221" t="s">
        <v>448</v>
      </c>
      <c r="D202" s="220" t="s">
        <v>0</v>
      </c>
      <c r="E202" s="221" t="s">
        <v>100</v>
      </c>
      <c r="F202" s="221" t="s">
        <v>449</v>
      </c>
      <c r="G202" s="226" t="s">
        <v>281</v>
      </c>
      <c r="H202" s="222" t="s">
        <v>281</v>
      </c>
      <c r="I202" s="222" t="s">
        <v>16</v>
      </c>
      <c r="J202" s="222" t="s">
        <v>281</v>
      </c>
      <c r="K202" s="222" t="s">
        <v>281</v>
      </c>
      <c r="L202" s="222" t="s">
        <v>281</v>
      </c>
      <c r="M202" s="222" t="s">
        <v>281</v>
      </c>
      <c r="N202" s="222" t="s">
        <v>281</v>
      </c>
      <c r="O202" s="223" t="s">
        <v>16</v>
      </c>
      <c r="P202" s="223" t="s">
        <v>16</v>
      </c>
      <c r="Q202" s="223" t="s">
        <v>16</v>
      </c>
      <c r="R202" s="223" t="s">
        <v>16</v>
      </c>
      <c r="S202" s="223" t="s">
        <v>16</v>
      </c>
      <c r="T202" s="223" t="s">
        <v>328</v>
      </c>
      <c r="U202" s="223" t="s">
        <v>248</v>
      </c>
      <c r="V202" s="223" t="s">
        <v>281</v>
      </c>
      <c r="W202" s="224" t="s">
        <v>281</v>
      </c>
      <c r="X202" s="224" t="s">
        <v>281</v>
      </c>
      <c r="Y202" s="225" t="s">
        <v>281</v>
      </c>
    </row>
    <row r="203" spans="1:25">
      <c r="A203" s="219">
        <v>4</v>
      </c>
      <c r="B203" s="220" t="str">
        <f>VLOOKUP(Tabel10[[#This Row],[Code]],Ruimtegroepen[[Code]:[Ruimte omschrijving]],2,FALSE)</f>
        <v>Vergader/spreekkamers</v>
      </c>
      <c r="C203" s="221" t="s">
        <v>448</v>
      </c>
      <c r="D203" s="220" t="s">
        <v>0</v>
      </c>
      <c r="E203" s="221" t="s">
        <v>99</v>
      </c>
      <c r="F203" s="221" t="s">
        <v>450</v>
      </c>
      <c r="G203" s="226" t="s">
        <v>281</v>
      </c>
      <c r="H203" s="222" t="s">
        <v>16</v>
      </c>
      <c r="I203" s="222" t="s">
        <v>281</v>
      </c>
      <c r="J203" s="222" t="s">
        <v>281</v>
      </c>
      <c r="K203" s="222" t="s">
        <v>281</v>
      </c>
      <c r="L203" s="222" t="s">
        <v>281</v>
      </c>
      <c r="M203" s="222" t="s">
        <v>281</v>
      </c>
      <c r="N203" s="222" t="s">
        <v>281</v>
      </c>
      <c r="O203" s="223" t="s">
        <v>16</v>
      </c>
      <c r="P203" s="223" t="s">
        <v>16</v>
      </c>
      <c r="Q203" s="223" t="s">
        <v>16</v>
      </c>
      <c r="R203" s="223" t="s">
        <v>16</v>
      </c>
      <c r="S203" s="223" t="s">
        <v>16</v>
      </c>
      <c r="T203" s="223" t="s">
        <v>328</v>
      </c>
      <c r="U203" s="223" t="s">
        <v>248</v>
      </c>
      <c r="V203" s="223" t="s">
        <v>281</v>
      </c>
      <c r="W203" s="224" t="s">
        <v>281</v>
      </c>
      <c r="X203" s="224" t="s">
        <v>281</v>
      </c>
      <c r="Y203" s="225" t="s">
        <v>281</v>
      </c>
    </row>
    <row r="204" spans="1:25">
      <c r="A204" s="219">
        <v>4</v>
      </c>
      <c r="B204" s="220" t="str">
        <f>VLOOKUP(Tabel10[[#This Row],[Code]],Ruimtegroepen[[Code]:[Ruimte omschrijving]],2,FALSE)</f>
        <v>Vergader/spreekkamers</v>
      </c>
      <c r="C204" s="221" t="s">
        <v>448</v>
      </c>
      <c r="D204" s="220" t="s">
        <v>0</v>
      </c>
      <c r="E204" s="221" t="s">
        <v>101</v>
      </c>
      <c r="F204" s="221" t="s">
        <v>451</v>
      </c>
      <c r="G204" s="226" t="s">
        <v>281</v>
      </c>
      <c r="H204" s="222" t="s">
        <v>281</v>
      </c>
      <c r="I204" s="222" t="s">
        <v>281</v>
      </c>
      <c r="J204" s="222" t="s">
        <v>16</v>
      </c>
      <c r="K204" s="222" t="s">
        <v>328</v>
      </c>
      <c r="L204" s="222" t="s">
        <v>281</v>
      </c>
      <c r="M204" s="222" t="s">
        <v>281</v>
      </c>
      <c r="N204" s="222" t="s">
        <v>281</v>
      </c>
      <c r="O204" s="223" t="s">
        <v>16</v>
      </c>
      <c r="P204" s="223" t="s">
        <v>16</v>
      </c>
      <c r="Q204" s="223" t="s">
        <v>16</v>
      </c>
      <c r="R204" s="223" t="s">
        <v>16</v>
      </c>
      <c r="S204" s="223" t="s">
        <v>16</v>
      </c>
      <c r="T204" s="223" t="s">
        <v>328</v>
      </c>
      <c r="U204" s="223" t="s">
        <v>248</v>
      </c>
      <c r="V204" s="223" t="s">
        <v>281</v>
      </c>
      <c r="W204" s="224" t="s">
        <v>281</v>
      </c>
      <c r="X204" s="224" t="s">
        <v>281</v>
      </c>
      <c r="Y204" s="225" t="s">
        <v>281</v>
      </c>
    </row>
    <row r="205" spans="1:25">
      <c r="A205" s="219">
        <v>4</v>
      </c>
      <c r="B205" s="220" t="str">
        <f>VLOOKUP(Tabel10[[#This Row],[Code]],Ruimtegroepen[[Code]:[Ruimte omschrijving]],2,FALSE)</f>
        <v>Vergader/spreekkamers</v>
      </c>
      <c r="C205" s="221" t="s">
        <v>448</v>
      </c>
      <c r="D205" s="220" t="s">
        <v>0</v>
      </c>
      <c r="E205" s="221" t="s">
        <v>102</v>
      </c>
      <c r="F205" s="221" t="s">
        <v>452</v>
      </c>
      <c r="G205" s="226" t="s">
        <v>281</v>
      </c>
      <c r="H205" s="222" t="s">
        <v>281</v>
      </c>
      <c r="I205" s="222" t="s">
        <v>16</v>
      </c>
      <c r="J205" s="222" t="s">
        <v>281</v>
      </c>
      <c r="K205" s="222" t="s">
        <v>328</v>
      </c>
      <c r="L205" s="222" t="s">
        <v>281</v>
      </c>
      <c r="M205" s="222" t="s">
        <v>281</v>
      </c>
      <c r="N205" s="222" t="s">
        <v>281</v>
      </c>
      <c r="O205" s="223" t="s">
        <v>16</v>
      </c>
      <c r="P205" s="223" t="s">
        <v>16</v>
      </c>
      <c r="Q205" s="223" t="s">
        <v>16</v>
      </c>
      <c r="R205" s="223" t="s">
        <v>16</v>
      </c>
      <c r="S205" s="223" t="s">
        <v>16</v>
      </c>
      <c r="T205" s="223" t="s">
        <v>328</v>
      </c>
      <c r="U205" s="223" t="s">
        <v>248</v>
      </c>
      <c r="V205" s="223" t="s">
        <v>281</v>
      </c>
      <c r="W205" s="224" t="s">
        <v>281</v>
      </c>
      <c r="X205" s="224" t="s">
        <v>281</v>
      </c>
      <c r="Y205" s="225" t="s">
        <v>281</v>
      </c>
    </row>
    <row r="206" spans="1:25">
      <c r="A206" s="219">
        <v>4</v>
      </c>
      <c r="B206" s="220" t="str">
        <f>VLOOKUP(Tabel10[[#This Row],[Code]],Ruimtegroepen[[Code]:[Ruimte omschrijving]],2,FALSE)</f>
        <v>Vergader/spreekkamers</v>
      </c>
      <c r="C206" s="221" t="s">
        <v>448</v>
      </c>
      <c r="D206" s="220" t="s">
        <v>0</v>
      </c>
      <c r="E206" s="221" t="s">
        <v>99</v>
      </c>
      <c r="F206" s="221" t="s">
        <v>450</v>
      </c>
      <c r="G206" s="226" t="s">
        <v>281</v>
      </c>
      <c r="H206" s="222" t="s">
        <v>16</v>
      </c>
      <c r="I206" s="222" t="s">
        <v>281</v>
      </c>
      <c r="J206" s="222" t="s">
        <v>281</v>
      </c>
      <c r="K206" s="222" t="s">
        <v>281</v>
      </c>
      <c r="L206" s="222" t="s">
        <v>281</v>
      </c>
      <c r="M206" s="222" t="s">
        <v>281</v>
      </c>
      <c r="N206" s="222" t="s">
        <v>281</v>
      </c>
      <c r="O206" s="223" t="s">
        <v>16</v>
      </c>
      <c r="P206" s="223" t="s">
        <v>16</v>
      </c>
      <c r="Q206" s="223" t="s">
        <v>16</v>
      </c>
      <c r="R206" s="223" t="s">
        <v>16</v>
      </c>
      <c r="S206" s="223" t="s">
        <v>16</v>
      </c>
      <c r="T206" s="223" t="s">
        <v>328</v>
      </c>
      <c r="U206" s="223" t="s">
        <v>248</v>
      </c>
      <c r="V206" s="223" t="s">
        <v>281</v>
      </c>
      <c r="W206" s="224" t="s">
        <v>281</v>
      </c>
      <c r="X206" s="224" t="s">
        <v>281</v>
      </c>
      <c r="Y206" s="225" t="s">
        <v>281</v>
      </c>
    </row>
    <row r="207" spans="1:25">
      <c r="A207" s="219">
        <v>4</v>
      </c>
      <c r="B207" s="220" t="str">
        <f>VLOOKUP(Tabel10[[#This Row],[Code]],Ruimtegroepen[[Code]:[Ruimte omschrijving]],2,FALSE)</f>
        <v>Vergader/spreekkamers</v>
      </c>
      <c r="C207" s="221" t="s">
        <v>448</v>
      </c>
      <c r="D207" s="220" t="s">
        <v>0</v>
      </c>
      <c r="E207" s="221" t="s">
        <v>1309</v>
      </c>
      <c r="F207" s="221" t="s">
        <v>1344</v>
      </c>
      <c r="G207" s="226" t="s">
        <v>281</v>
      </c>
      <c r="H207" s="222" t="s">
        <v>281</v>
      </c>
      <c r="I207" s="222" t="s">
        <v>16</v>
      </c>
      <c r="J207" s="222" t="s">
        <v>281</v>
      </c>
      <c r="K207" s="222" t="s">
        <v>328</v>
      </c>
      <c r="L207" s="222" t="s">
        <v>281</v>
      </c>
      <c r="M207" s="222" t="s">
        <v>281</v>
      </c>
      <c r="N207" s="222" t="s">
        <v>281</v>
      </c>
      <c r="O207" s="223" t="s">
        <v>16</v>
      </c>
      <c r="P207" s="223" t="s">
        <v>16</v>
      </c>
      <c r="Q207" s="223" t="s">
        <v>16</v>
      </c>
      <c r="R207" s="223" t="s">
        <v>16</v>
      </c>
      <c r="S207" s="223" t="s">
        <v>16</v>
      </c>
      <c r="T207" s="223" t="s">
        <v>328</v>
      </c>
      <c r="U207" s="223" t="s">
        <v>248</v>
      </c>
      <c r="V207" s="223" t="s">
        <v>281</v>
      </c>
      <c r="W207" s="224" t="s">
        <v>281</v>
      </c>
      <c r="X207" s="224" t="s">
        <v>281</v>
      </c>
      <c r="Y207" s="225" t="s">
        <v>281</v>
      </c>
    </row>
    <row r="208" spans="1:25">
      <c r="A208" s="219">
        <v>4</v>
      </c>
      <c r="B208" s="220" t="str">
        <f>VLOOKUP(Tabel10[[#This Row],[Code]],Ruimtegroepen[[Code]:[Ruimte omschrijving]],2,FALSE)</f>
        <v>Vergader/spreekkamers</v>
      </c>
      <c r="C208" s="221" t="s">
        <v>453</v>
      </c>
      <c r="D208" s="220" t="s">
        <v>27</v>
      </c>
      <c r="E208" s="221" t="s">
        <v>100</v>
      </c>
      <c r="F208" s="221" t="s">
        <v>454</v>
      </c>
      <c r="G208" s="226" t="s">
        <v>281</v>
      </c>
      <c r="H208" s="222" t="s">
        <v>281</v>
      </c>
      <c r="I208" s="222" t="s">
        <v>15</v>
      </c>
      <c r="J208" s="222" t="s">
        <v>281</v>
      </c>
      <c r="K208" s="222" t="s">
        <v>281</v>
      </c>
      <c r="L208" s="222" t="s">
        <v>281</v>
      </c>
      <c r="M208" s="222" t="s">
        <v>281</v>
      </c>
      <c r="N208" s="222" t="s">
        <v>281</v>
      </c>
      <c r="O208" s="223" t="s">
        <v>15</v>
      </c>
      <c r="P208" s="223" t="s">
        <v>15</v>
      </c>
      <c r="Q208" s="223" t="s">
        <v>15</v>
      </c>
      <c r="R208" s="223" t="s">
        <v>281</v>
      </c>
      <c r="S208" s="223" t="s">
        <v>281</v>
      </c>
      <c r="T208" s="223" t="s">
        <v>281</v>
      </c>
      <c r="U208" s="223" t="s">
        <v>281</v>
      </c>
      <c r="V208" s="223" t="s">
        <v>281</v>
      </c>
      <c r="W208" s="224" t="s">
        <v>281</v>
      </c>
      <c r="X208" s="224" t="s">
        <v>281</v>
      </c>
      <c r="Y208" s="225" t="s">
        <v>281</v>
      </c>
    </row>
    <row r="209" spans="1:25">
      <c r="A209" s="219">
        <v>4</v>
      </c>
      <c r="B209" s="220" t="str">
        <f>VLOOKUP(Tabel10[[#This Row],[Code]],Ruimtegroepen[[Code]:[Ruimte omschrijving]],2,FALSE)</f>
        <v>Vergader/spreekkamers</v>
      </c>
      <c r="C209" s="221" t="s">
        <v>453</v>
      </c>
      <c r="D209" s="220" t="s">
        <v>27</v>
      </c>
      <c r="E209" s="221" t="s">
        <v>99</v>
      </c>
      <c r="F209" s="221" t="s">
        <v>455</v>
      </c>
      <c r="G209" s="226" t="s">
        <v>281</v>
      </c>
      <c r="H209" s="222" t="s">
        <v>15</v>
      </c>
      <c r="I209" s="222" t="s">
        <v>281</v>
      </c>
      <c r="J209" s="222" t="s">
        <v>281</v>
      </c>
      <c r="K209" s="222" t="s">
        <v>281</v>
      </c>
      <c r="L209" s="222" t="s">
        <v>281</v>
      </c>
      <c r="M209" s="222" t="s">
        <v>281</v>
      </c>
      <c r="N209" s="222" t="s">
        <v>281</v>
      </c>
      <c r="O209" s="223" t="s">
        <v>15</v>
      </c>
      <c r="P209" s="223" t="s">
        <v>15</v>
      </c>
      <c r="Q209" s="223" t="s">
        <v>15</v>
      </c>
      <c r="R209" s="223" t="s">
        <v>281</v>
      </c>
      <c r="S209" s="223" t="s">
        <v>281</v>
      </c>
      <c r="T209" s="223" t="s">
        <v>281</v>
      </c>
      <c r="U209" s="223" t="s">
        <v>281</v>
      </c>
      <c r="V209" s="223" t="s">
        <v>281</v>
      </c>
      <c r="W209" s="224" t="s">
        <v>281</v>
      </c>
      <c r="X209" s="224" t="s">
        <v>281</v>
      </c>
      <c r="Y209" s="225" t="s">
        <v>281</v>
      </c>
    </row>
    <row r="210" spans="1:25">
      <c r="A210" s="219">
        <v>4</v>
      </c>
      <c r="B210" s="220" t="str">
        <f>VLOOKUP(Tabel10[[#This Row],[Code]],Ruimtegroepen[[Code]:[Ruimte omschrijving]],2,FALSE)</f>
        <v>Vergader/spreekkamers</v>
      </c>
      <c r="C210" s="221" t="s">
        <v>453</v>
      </c>
      <c r="D210" s="220" t="s">
        <v>27</v>
      </c>
      <c r="E210" s="221" t="s">
        <v>101</v>
      </c>
      <c r="F210" s="221" t="s">
        <v>456</v>
      </c>
      <c r="G210" s="226" t="s">
        <v>281</v>
      </c>
      <c r="H210" s="222" t="s">
        <v>281</v>
      </c>
      <c r="I210" s="222" t="s">
        <v>15</v>
      </c>
      <c r="J210" s="222" t="s">
        <v>281</v>
      </c>
      <c r="K210" s="222" t="s">
        <v>281</v>
      </c>
      <c r="L210" s="222" t="s">
        <v>281</v>
      </c>
      <c r="M210" s="222" t="s">
        <v>281</v>
      </c>
      <c r="N210" s="222" t="s">
        <v>281</v>
      </c>
      <c r="O210" s="223" t="s">
        <v>15</v>
      </c>
      <c r="P210" s="223" t="s">
        <v>15</v>
      </c>
      <c r="Q210" s="223" t="s">
        <v>15</v>
      </c>
      <c r="R210" s="223" t="s">
        <v>281</v>
      </c>
      <c r="S210" s="223" t="s">
        <v>281</v>
      </c>
      <c r="T210" s="223" t="s">
        <v>281</v>
      </c>
      <c r="U210" s="223" t="s">
        <v>281</v>
      </c>
      <c r="V210" s="223" t="s">
        <v>281</v>
      </c>
      <c r="W210" s="224" t="s">
        <v>281</v>
      </c>
      <c r="X210" s="224" t="s">
        <v>281</v>
      </c>
      <c r="Y210" s="225" t="s">
        <v>281</v>
      </c>
    </row>
    <row r="211" spans="1:25">
      <c r="A211" s="219">
        <v>4</v>
      </c>
      <c r="B211" s="220" t="str">
        <f>VLOOKUP(Tabel10[[#This Row],[Code]],Ruimtegroepen[[Code]:[Ruimte omschrijving]],2,FALSE)</f>
        <v>Vergader/spreekkamers</v>
      </c>
      <c r="C211" s="221" t="s">
        <v>453</v>
      </c>
      <c r="D211" s="220" t="s">
        <v>27</v>
      </c>
      <c r="E211" s="221" t="s">
        <v>102</v>
      </c>
      <c r="F211" s="221" t="s">
        <v>457</v>
      </c>
      <c r="G211" s="226" t="s">
        <v>281</v>
      </c>
      <c r="H211" s="222" t="s">
        <v>281</v>
      </c>
      <c r="I211" s="222" t="s">
        <v>15</v>
      </c>
      <c r="J211" s="222" t="s">
        <v>281</v>
      </c>
      <c r="K211" s="222" t="s">
        <v>281</v>
      </c>
      <c r="L211" s="222" t="s">
        <v>281</v>
      </c>
      <c r="M211" s="222" t="s">
        <v>281</v>
      </c>
      <c r="N211" s="222" t="s">
        <v>281</v>
      </c>
      <c r="O211" s="223" t="s">
        <v>15</v>
      </c>
      <c r="P211" s="223" t="s">
        <v>15</v>
      </c>
      <c r="Q211" s="223" t="s">
        <v>15</v>
      </c>
      <c r="R211" s="223" t="s">
        <v>281</v>
      </c>
      <c r="S211" s="223" t="s">
        <v>281</v>
      </c>
      <c r="T211" s="223" t="s">
        <v>281</v>
      </c>
      <c r="U211" s="223" t="s">
        <v>281</v>
      </c>
      <c r="V211" s="223" t="s">
        <v>281</v>
      </c>
      <c r="W211" s="224" t="s">
        <v>281</v>
      </c>
      <c r="X211" s="224" t="s">
        <v>281</v>
      </c>
      <c r="Y211" s="225" t="s">
        <v>281</v>
      </c>
    </row>
    <row r="212" spans="1:25">
      <c r="A212" s="219">
        <v>4</v>
      </c>
      <c r="B212" s="220" t="str">
        <f>VLOOKUP(Tabel10[[#This Row],[Code]],Ruimtegroepen[[Code]:[Ruimte omschrijving]],2,FALSE)</f>
        <v>Vergader/spreekkamers</v>
      </c>
      <c r="C212" s="221" t="s">
        <v>453</v>
      </c>
      <c r="D212" s="220" t="s">
        <v>27</v>
      </c>
      <c r="E212" s="221" t="s">
        <v>99</v>
      </c>
      <c r="F212" s="221" t="s">
        <v>455</v>
      </c>
      <c r="G212" s="226" t="s">
        <v>281</v>
      </c>
      <c r="H212" s="222" t="s">
        <v>15</v>
      </c>
      <c r="I212" s="222" t="s">
        <v>281</v>
      </c>
      <c r="J212" s="222" t="s">
        <v>281</v>
      </c>
      <c r="K212" s="222" t="s">
        <v>281</v>
      </c>
      <c r="L212" s="222" t="s">
        <v>281</v>
      </c>
      <c r="M212" s="222" t="s">
        <v>281</v>
      </c>
      <c r="N212" s="222" t="s">
        <v>281</v>
      </c>
      <c r="O212" s="223" t="s">
        <v>15</v>
      </c>
      <c r="P212" s="223" t="s">
        <v>15</v>
      </c>
      <c r="Q212" s="223" t="s">
        <v>15</v>
      </c>
      <c r="R212" s="223" t="s">
        <v>281</v>
      </c>
      <c r="S212" s="223" t="s">
        <v>281</v>
      </c>
      <c r="T212" s="223" t="s">
        <v>281</v>
      </c>
      <c r="U212" s="223" t="s">
        <v>281</v>
      </c>
      <c r="V212" s="223" t="s">
        <v>281</v>
      </c>
      <c r="W212" s="224" t="s">
        <v>281</v>
      </c>
      <c r="X212" s="224" t="s">
        <v>281</v>
      </c>
      <c r="Y212" s="225" t="s">
        <v>281</v>
      </c>
    </row>
    <row r="213" spans="1:25">
      <c r="A213" s="219">
        <v>4</v>
      </c>
      <c r="B213" s="220" t="str">
        <f>VLOOKUP(Tabel10[[#This Row],[Code]],Ruimtegroepen[[Code]:[Ruimte omschrijving]],2,FALSE)</f>
        <v>Vergader/spreekkamers</v>
      </c>
      <c r="C213" s="221" t="s">
        <v>453</v>
      </c>
      <c r="D213" s="220" t="s">
        <v>27</v>
      </c>
      <c r="E213" s="221" t="s">
        <v>1309</v>
      </c>
      <c r="F213" s="221" t="s">
        <v>1377</v>
      </c>
      <c r="G213" s="226" t="s">
        <v>281</v>
      </c>
      <c r="H213" s="222" t="s">
        <v>281</v>
      </c>
      <c r="I213" s="222" t="s">
        <v>15</v>
      </c>
      <c r="J213" s="222" t="s">
        <v>281</v>
      </c>
      <c r="K213" s="222" t="s">
        <v>281</v>
      </c>
      <c r="L213" s="222" t="s">
        <v>281</v>
      </c>
      <c r="M213" s="222" t="s">
        <v>281</v>
      </c>
      <c r="N213" s="222" t="s">
        <v>281</v>
      </c>
      <c r="O213" s="223" t="s">
        <v>15</v>
      </c>
      <c r="P213" s="223" t="s">
        <v>15</v>
      </c>
      <c r="Q213" s="223" t="s">
        <v>15</v>
      </c>
      <c r="R213" s="223" t="s">
        <v>281</v>
      </c>
      <c r="S213" s="223" t="s">
        <v>281</v>
      </c>
      <c r="T213" s="223" t="s">
        <v>281</v>
      </c>
      <c r="U213" s="223" t="s">
        <v>281</v>
      </c>
      <c r="V213" s="223" t="s">
        <v>281</v>
      </c>
      <c r="W213" s="224" t="s">
        <v>281</v>
      </c>
      <c r="X213" s="224" t="s">
        <v>281</v>
      </c>
      <c r="Y213" s="225" t="s">
        <v>281</v>
      </c>
    </row>
    <row r="214" spans="1:25">
      <c r="A214" s="219">
        <v>4</v>
      </c>
      <c r="B214" s="220" t="str">
        <f>VLOOKUP(Tabel10[[#This Row],[Code]],Ruimtegroepen[[Code]:[Ruimte omschrijving]],2,FALSE)</f>
        <v>Vergader/spreekkamers</v>
      </c>
      <c r="C214" s="221" t="s">
        <v>458</v>
      </c>
      <c r="D214" s="220" t="s">
        <v>28</v>
      </c>
      <c r="E214" s="221" t="s">
        <v>100</v>
      </c>
      <c r="F214" s="221" t="s">
        <v>459</v>
      </c>
      <c r="G214" s="226" t="s">
        <v>281</v>
      </c>
      <c r="H214" s="222" t="s">
        <v>281</v>
      </c>
      <c r="I214" s="222" t="s">
        <v>17</v>
      </c>
      <c r="J214" s="222" t="s">
        <v>281</v>
      </c>
      <c r="K214" s="222" t="s">
        <v>281</v>
      </c>
      <c r="L214" s="222" t="s">
        <v>281</v>
      </c>
      <c r="M214" s="222" t="s">
        <v>281</v>
      </c>
      <c r="N214" s="222" t="s">
        <v>281</v>
      </c>
      <c r="O214" s="223" t="s">
        <v>17</v>
      </c>
      <c r="P214" s="223" t="s">
        <v>17</v>
      </c>
      <c r="Q214" s="223" t="s">
        <v>15</v>
      </c>
      <c r="R214" s="223" t="s">
        <v>281</v>
      </c>
      <c r="S214" s="223" t="s">
        <v>281</v>
      </c>
      <c r="T214" s="223" t="s">
        <v>281</v>
      </c>
      <c r="U214" s="223" t="s">
        <v>281</v>
      </c>
      <c r="V214" s="223" t="s">
        <v>281</v>
      </c>
      <c r="W214" s="224" t="s">
        <v>281</v>
      </c>
      <c r="X214" s="224" t="s">
        <v>281</v>
      </c>
      <c r="Y214" s="225" t="s">
        <v>281</v>
      </c>
    </row>
    <row r="215" spans="1:25">
      <c r="A215" s="219">
        <v>4</v>
      </c>
      <c r="B215" s="220" t="str">
        <f>VLOOKUP(Tabel10[[#This Row],[Code]],Ruimtegroepen[[Code]:[Ruimte omschrijving]],2,FALSE)</f>
        <v>Vergader/spreekkamers</v>
      </c>
      <c r="C215" s="221" t="s">
        <v>458</v>
      </c>
      <c r="D215" s="220" t="s">
        <v>28</v>
      </c>
      <c r="E215" s="221" t="s">
        <v>99</v>
      </c>
      <c r="F215" s="221" t="s">
        <v>460</v>
      </c>
      <c r="G215" s="226" t="s">
        <v>281</v>
      </c>
      <c r="H215" s="222" t="s">
        <v>17</v>
      </c>
      <c r="I215" s="222" t="s">
        <v>281</v>
      </c>
      <c r="J215" s="222" t="s">
        <v>281</v>
      </c>
      <c r="K215" s="222" t="s">
        <v>281</v>
      </c>
      <c r="L215" s="222" t="s">
        <v>281</v>
      </c>
      <c r="M215" s="222" t="s">
        <v>281</v>
      </c>
      <c r="N215" s="222" t="s">
        <v>281</v>
      </c>
      <c r="O215" s="223" t="s">
        <v>17</v>
      </c>
      <c r="P215" s="223" t="s">
        <v>17</v>
      </c>
      <c r="Q215" s="223" t="s">
        <v>15</v>
      </c>
      <c r="R215" s="223" t="s">
        <v>281</v>
      </c>
      <c r="S215" s="223" t="s">
        <v>281</v>
      </c>
      <c r="T215" s="223" t="s">
        <v>281</v>
      </c>
      <c r="U215" s="223" t="s">
        <v>281</v>
      </c>
      <c r="V215" s="223" t="s">
        <v>281</v>
      </c>
      <c r="W215" s="224" t="s">
        <v>281</v>
      </c>
      <c r="X215" s="224" t="s">
        <v>281</v>
      </c>
      <c r="Y215" s="225" t="s">
        <v>281</v>
      </c>
    </row>
    <row r="216" spans="1:25">
      <c r="A216" s="219">
        <v>4</v>
      </c>
      <c r="B216" s="220" t="str">
        <f>VLOOKUP(Tabel10[[#This Row],[Code]],Ruimtegroepen[[Code]:[Ruimte omschrijving]],2,FALSE)</f>
        <v>Vergader/spreekkamers</v>
      </c>
      <c r="C216" s="221" t="s">
        <v>458</v>
      </c>
      <c r="D216" s="220" t="s">
        <v>28</v>
      </c>
      <c r="E216" s="221" t="s">
        <v>101</v>
      </c>
      <c r="F216" s="221" t="s">
        <v>461</v>
      </c>
      <c r="G216" s="226" t="s">
        <v>281</v>
      </c>
      <c r="H216" s="222" t="s">
        <v>281</v>
      </c>
      <c r="I216" s="222" t="s">
        <v>17</v>
      </c>
      <c r="J216" s="222" t="s">
        <v>281</v>
      </c>
      <c r="K216" s="222" t="s">
        <v>281</v>
      </c>
      <c r="L216" s="222" t="s">
        <v>281</v>
      </c>
      <c r="M216" s="222" t="s">
        <v>281</v>
      </c>
      <c r="N216" s="222" t="s">
        <v>281</v>
      </c>
      <c r="O216" s="223" t="s">
        <v>17</v>
      </c>
      <c r="P216" s="223" t="s">
        <v>17</v>
      </c>
      <c r="Q216" s="223" t="s">
        <v>15</v>
      </c>
      <c r="R216" s="223" t="s">
        <v>281</v>
      </c>
      <c r="S216" s="223" t="s">
        <v>281</v>
      </c>
      <c r="T216" s="223" t="s">
        <v>281</v>
      </c>
      <c r="U216" s="223" t="s">
        <v>281</v>
      </c>
      <c r="V216" s="223" t="s">
        <v>281</v>
      </c>
      <c r="W216" s="224" t="s">
        <v>281</v>
      </c>
      <c r="X216" s="224" t="s">
        <v>281</v>
      </c>
      <c r="Y216" s="225" t="s">
        <v>281</v>
      </c>
    </row>
    <row r="217" spans="1:25">
      <c r="A217" s="219">
        <v>4</v>
      </c>
      <c r="B217" s="220" t="str">
        <f>VLOOKUP(Tabel10[[#This Row],[Code]],Ruimtegroepen[[Code]:[Ruimte omschrijving]],2,FALSE)</f>
        <v>Vergader/spreekkamers</v>
      </c>
      <c r="C217" s="221" t="s">
        <v>458</v>
      </c>
      <c r="D217" s="220" t="s">
        <v>28</v>
      </c>
      <c r="E217" s="221" t="s">
        <v>102</v>
      </c>
      <c r="F217" s="221" t="s">
        <v>462</v>
      </c>
      <c r="G217" s="226" t="s">
        <v>281</v>
      </c>
      <c r="H217" s="222" t="s">
        <v>281</v>
      </c>
      <c r="I217" s="222" t="s">
        <v>17</v>
      </c>
      <c r="J217" s="222" t="s">
        <v>281</v>
      </c>
      <c r="K217" s="222" t="s">
        <v>281</v>
      </c>
      <c r="L217" s="222" t="s">
        <v>281</v>
      </c>
      <c r="M217" s="222" t="s">
        <v>281</v>
      </c>
      <c r="N217" s="222" t="s">
        <v>281</v>
      </c>
      <c r="O217" s="223" t="s">
        <v>17</v>
      </c>
      <c r="P217" s="223" t="s">
        <v>17</v>
      </c>
      <c r="Q217" s="223" t="s">
        <v>15</v>
      </c>
      <c r="R217" s="223" t="s">
        <v>281</v>
      </c>
      <c r="S217" s="223" t="s">
        <v>281</v>
      </c>
      <c r="T217" s="223" t="s">
        <v>281</v>
      </c>
      <c r="U217" s="223" t="s">
        <v>281</v>
      </c>
      <c r="V217" s="223" t="s">
        <v>281</v>
      </c>
      <c r="W217" s="224" t="s">
        <v>281</v>
      </c>
      <c r="X217" s="224" t="s">
        <v>281</v>
      </c>
      <c r="Y217" s="225" t="s">
        <v>281</v>
      </c>
    </row>
    <row r="218" spans="1:25">
      <c r="A218" s="219">
        <v>4</v>
      </c>
      <c r="B218" s="220" t="str">
        <f>VLOOKUP(Tabel10[[#This Row],[Code]],Ruimtegroepen[[Code]:[Ruimte omschrijving]],2,FALSE)</f>
        <v>Vergader/spreekkamers</v>
      </c>
      <c r="C218" s="221" t="s">
        <v>458</v>
      </c>
      <c r="D218" s="220" t="s">
        <v>28</v>
      </c>
      <c r="E218" s="221" t="s">
        <v>99</v>
      </c>
      <c r="F218" s="221" t="s">
        <v>460</v>
      </c>
      <c r="G218" s="226" t="s">
        <v>281</v>
      </c>
      <c r="H218" s="222" t="s">
        <v>17</v>
      </c>
      <c r="I218" s="222" t="s">
        <v>281</v>
      </c>
      <c r="J218" s="222" t="s">
        <v>281</v>
      </c>
      <c r="K218" s="222" t="s">
        <v>281</v>
      </c>
      <c r="L218" s="222" t="s">
        <v>281</v>
      </c>
      <c r="M218" s="222" t="s">
        <v>281</v>
      </c>
      <c r="N218" s="222" t="s">
        <v>281</v>
      </c>
      <c r="O218" s="223" t="s">
        <v>17</v>
      </c>
      <c r="P218" s="223" t="s">
        <v>17</v>
      </c>
      <c r="Q218" s="223" t="s">
        <v>15</v>
      </c>
      <c r="R218" s="223" t="s">
        <v>281</v>
      </c>
      <c r="S218" s="223" t="s">
        <v>281</v>
      </c>
      <c r="T218" s="223" t="s">
        <v>281</v>
      </c>
      <c r="U218" s="223" t="s">
        <v>281</v>
      </c>
      <c r="V218" s="223" t="s">
        <v>281</v>
      </c>
      <c r="W218" s="224" t="s">
        <v>281</v>
      </c>
      <c r="X218" s="224" t="s">
        <v>281</v>
      </c>
      <c r="Y218" s="225" t="s">
        <v>281</v>
      </c>
    </row>
    <row r="219" spans="1:25">
      <c r="A219" s="219">
        <v>4</v>
      </c>
      <c r="B219" s="220" t="str">
        <f>VLOOKUP(Tabel10[[#This Row],[Code]],Ruimtegroepen[[Code]:[Ruimte omschrijving]],2,FALSE)</f>
        <v>Vergader/spreekkamers</v>
      </c>
      <c r="C219" s="221" t="s">
        <v>458</v>
      </c>
      <c r="D219" s="220" t="s">
        <v>28</v>
      </c>
      <c r="E219" s="221" t="s">
        <v>1309</v>
      </c>
      <c r="F219" s="221" t="s">
        <v>1410</v>
      </c>
      <c r="G219" s="226" t="s">
        <v>281</v>
      </c>
      <c r="H219" s="222" t="s">
        <v>281</v>
      </c>
      <c r="I219" s="222" t="s">
        <v>17</v>
      </c>
      <c r="J219" s="222" t="s">
        <v>281</v>
      </c>
      <c r="K219" s="222" t="s">
        <v>281</v>
      </c>
      <c r="L219" s="222" t="s">
        <v>281</v>
      </c>
      <c r="M219" s="222" t="s">
        <v>281</v>
      </c>
      <c r="N219" s="222" t="s">
        <v>281</v>
      </c>
      <c r="O219" s="223" t="s">
        <v>17</v>
      </c>
      <c r="P219" s="223" t="s">
        <v>17</v>
      </c>
      <c r="Q219" s="223" t="s">
        <v>15</v>
      </c>
      <c r="R219" s="223" t="s">
        <v>281</v>
      </c>
      <c r="S219" s="223" t="s">
        <v>281</v>
      </c>
      <c r="T219" s="223" t="s">
        <v>281</v>
      </c>
      <c r="U219" s="223" t="s">
        <v>281</v>
      </c>
      <c r="V219" s="223" t="s">
        <v>281</v>
      </c>
      <c r="W219" s="224" t="s">
        <v>281</v>
      </c>
      <c r="X219" s="224" t="s">
        <v>281</v>
      </c>
      <c r="Y219" s="225" t="s">
        <v>281</v>
      </c>
    </row>
    <row r="220" spans="1:25">
      <c r="A220" s="219">
        <v>5</v>
      </c>
      <c r="B220" s="220" t="str">
        <f>VLOOKUP(Tabel10[[#This Row],[Code]],Ruimtegroepen[[Code]:[Ruimte omschrijving]],2,FALSE)</f>
        <v>Sanitair</v>
      </c>
      <c r="C220" s="221" t="s">
        <v>463</v>
      </c>
      <c r="D220" s="220" t="s">
        <v>29</v>
      </c>
      <c r="E220" s="221" t="s">
        <v>100</v>
      </c>
      <c r="F220" s="221" t="s">
        <v>464</v>
      </c>
      <c r="G220" s="226" t="s">
        <v>281</v>
      </c>
      <c r="H220" s="222" t="s">
        <v>281</v>
      </c>
      <c r="I220" s="222" t="s">
        <v>281</v>
      </c>
      <c r="J220" s="222" t="s">
        <v>20</v>
      </c>
      <c r="K220" s="222" t="s">
        <v>15</v>
      </c>
      <c r="L220" s="222" t="s">
        <v>281</v>
      </c>
      <c r="M220" s="222" t="s">
        <v>281</v>
      </c>
      <c r="N220" s="222" t="s">
        <v>2</v>
      </c>
      <c r="O220" s="223" t="s">
        <v>281</v>
      </c>
      <c r="P220" s="223" t="s">
        <v>281</v>
      </c>
      <c r="Q220" s="223" t="s">
        <v>281</v>
      </c>
      <c r="R220" s="223" t="s">
        <v>281</v>
      </c>
      <c r="S220" s="223" t="s">
        <v>281</v>
      </c>
      <c r="T220" s="223" t="s">
        <v>281</v>
      </c>
      <c r="U220" s="223" t="s">
        <v>281</v>
      </c>
      <c r="V220" s="223" t="s">
        <v>281</v>
      </c>
      <c r="W220" s="224" t="s">
        <v>20</v>
      </c>
      <c r="X220" s="224" t="s">
        <v>15</v>
      </c>
      <c r="Y220" s="225" t="s">
        <v>2</v>
      </c>
    </row>
    <row r="221" spans="1:25">
      <c r="A221" s="219">
        <v>5</v>
      </c>
      <c r="B221" s="220" t="str">
        <f>VLOOKUP(Tabel10[[#This Row],[Code]],Ruimtegroepen[[Code]:[Ruimte omschrijving]],2,FALSE)</f>
        <v>Sanitair</v>
      </c>
      <c r="C221" s="221" t="s">
        <v>463</v>
      </c>
      <c r="D221" s="220" t="s">
        <v>29</v>
      </c>
      <c r="E221" s="221" t="s">
        <v>99</v>
      </c>
      <c r="F221" s="221" t="s">
        <v>465</v>
      </c>
      <c r="G221" s="226" t="s">
        <v>281</v>
      </c>
      <c r="H221" s="222" t="s">
        <v>281</v>
      </c>
      <c r="I221" s="222" t="s">
        <v>281</v>
      </c>
      <c r="J221" s="222" t="s">
        <v>281</v>
      </c>
      <c r="K221" s="222" t="s">
        <v>281</v>
      </c>
      <c r="L221" s="222" t="s">
        <v>281</v>
      </c>
      <c r="M221" s="222" t="s">
        <v>281</v>
      </c>
      <c r="N221" s="222" t="s">
        <v>281</v>
      </c>
      <c r="O221" s="223" t="s">
        <v>281</v>
      </c>
      <c r="P221" s="223" t="s">
        <v>281</v>
      </c>
      <c r="Q221" s="223" t="s">
        <v>281</v>
      </c>
      <c r="R221" s="223" t="s">
        <v>281</v>
      </c>
      <c r="S221" s="223" t="s">
        <v>281</v>
      </c>
      <c r="T221" s="223" t="s">
        <v>281</v>
      </c>
      <c r="U221" s="223" t="s">
        <v>281</v>
      </c>
      <c r="V221" s="223" t="s">
        <v>281</v>
      </c>
      <c r="W221" s="224" t="s">
        <v>281</v>
      </c>
      <c r="X221" s="224" t="s">
        <v>281</v>
      </c>
      <c r="Y221" s="225" t="s">
        <v>281</v>
      </c>
    </row>
    <row r="222" spans="1:25">
      <c r="A222" s="219">
        <v>5</v>
      </c>
      <c r="B222" s="220" t="str">
        <f>VLOOKUP(Tabel10[[#This Row],[Code]],Ruimtegroepen[[Code]:[Ruimte omschrijving]],2,FALSE)</f>
        <v>Sanitair</v>
      </c>
      <c r="C222" s="221" t="s">
        <v>463</v>
      </c>
      <c r="D222" s="220" t="s">
        <v>29</v>
      </c>
      <c r="E222" s="221" t="s">
        <v>101</v>
      </c>
      <c r="F222" s="221" t="s">
        <v>466</v>
      </c>
      <c r="G222" s="226" t="s">
        <v>281</v>
      </c>
      <c r="H222" s="222" t="s">
        <v>281</v>
      </c>
      <c r="I222" s="222" t="s">
        <v>281</v>
      </c>
      <c r="J222" s="222" t="s">
        <v>20</v>
      </c>
      <c r="K222" s="222" t="s">
        <v>15</v>
      </c>
      <c r="L222" s="222" t="s">
        <v>281</v>
      </c>
      <c r="M222" s="222" t="s">
        <v>281</v>
      </c>
      <c r="N222" s="222" t="s">
        <v>2</v>
      </c>
      <c r="O222" s="223" t="s">
        <v>281</v>
      </c>
      <c r="P222" s="223" t="s">
        <v>281</v>
      </c>
      <c r="Q222" s="223" t="s">
        <v>281</v>
      </c>
      <c r="R222" s="223" t="s">
        <v>281</v>
      </c>
      <c r="S222" s="223" t="s">
        <v>281</v>
      </c>
      <c r="T222" s="223" t="s">
        <v>281</v>
      </c>
      <c r="U222" s="223" t="s">
        <v>281</v>
      </c>
      <c r="V222" s="223" t="s">
        <v>281</v>
      </c>
      <c r="W222" s="224" t="s">
        <v>20</v>
      </c>
      <c r="X222" s="224" t="s">
        <v>15</v>
      </c>
      <c r="Y222" s="225" t="s">
        <v>2</v>
      </c>
    </row>
    <row r="223" spans="1:25">
      <c r="A223" s="219">
        <v>5</v>
      </c>
      <c r="B223" s="220" t="str">
        <f>VLOOKUP(Tabel10[[#This Row],[Code]],Ruimtegroepen[[Code]:[Ruimte omschrijving]],2,FALSE)</f>
        <v>Sanitair</v>
      </c>
      <c r="C223" s="221" t="s">
        <v>463</v>
      </c>
      <c r="D223" s="220" t="s">
        <v>29</v>
      </c>
      <c r="E223" s="221" t="s">
        <v>102</v>
      </c>
      <c r="F223" s="221" t="s">
        <v>467</v>
      </c>
      <c r="G223" s="226" t="s">
        <v>281</v>
      </c>
      <c r="H223" s="222" t="s">
        <v>281</v>
      </c>
      <c r="I223" s="222" t="s">
        <v>281</v>
      </c>
      <c r="J223" s="222" t="s">
        <v>20</v>
      </c>
      <c r="K223" s="222" t="s">
        <v>15</v>
      </c>
      <c r="L223" s="222" t="s">
        <v>281</v>
      </c>
      <c r="M223" s="222" t="s">
        <v>281</v>
      </c>
      <c r="N223" s="222" t="s">
        <v>2</v>
      </c>
      <c r="O223" s="223" t="s">
        <v>281</v>
      </c>
      <c r="P223" s="223" t="s">
        <v>281</v>
      </c>
      <c r="Q223" s="223" t="s">
        <v>281</v>
      </c>
      <c r="R223" s="223" t="s">
        <v>281</v>
      </c>
      <c r="S223" s="223" t="s">
        <v>281</v>
      </c>
      <c r="T223" s="223" t="s">
        <v>281</v>
      </c>
      <c r="U223" s="223" t="s">
        <v>281</v>
      </c>
      <c r="V223" s="223" t="s">
        <v>281</v>
      </c>
      <c r="W223" s="224" t="s">
        <v>20</v>
      </c>
      <c r="X223" s="224" t="s">
        <v>15</v>
      </c>
      <c r="Y223" s="225" t="s">
        <v>2</v>
      </c>
    </row>
    <row r="224" spans="1:25">
      <c r="A224" s="219">
        <v>5</v>
      </c>
      <c r="B224" s="220" t="str">
        <f>VLOOKUP(Tabel10[[#This Row],[Code]],Ruimtegroepen[[Code]:[Ruimte omschrijving]],2,FALSE)</f>
        <v>Sanitair</v>
      </c>
      <c r="C224" s="221" t="s">
        <v>463</v>
      </c>
      <c r="D224" s="220" t="s">
        <v>29</v>
      </c>
      <c r="E224" s="221" t="s">
        <v>99</v>
      </c>
      <c r="F224" s="221" t="s">
        <v>465</v>
      </c>
      <c r="G224" s="226" t="s">
        <v>281</v>
      </c>
      <c r="H224" s="222" t="s">
        <v>281</v>
      </c>
      <c r="I224" s="222" t="s">
        <v>281</v>
      </c>
      <c r="J224" s="222" t="s">
        <v>281</v>
      </c>
      <c r="K224" s="222" t="s">
        <v>281</v>
      </c>
      <c r="L224" s="222" t="s">
        <v>281</v>
      </c>
      <c r="M224" s="222" t="s">
        <v>281</v>
      </c>
      <c r="N224" s="222" t="s">
        <v>281</v>
      </c>
      <c r="O224" s="223" t="s">
        <v>281</v>
      </c>
      <c r="P224" s="223" t="s">
        <v>281</v>
      </c>
      <c r="Q224" s="223" t="s">
        <v>281</v>
      </c>
      <c r="R224" s="223" t="s">
        <v>281</v>
      </c>
      <c r="S224" s="223" t="s">
        <v>281</v>
      </c>
      <c r="T224" s="223" t="s">
        <v>281</v>
      </c>
      <c r="U224" s="223" t="s">
        <v>281</v>
      </c>
      <c r="V224" s="223" t="s">
        <v>281</v>
      </c>
      <c r="W224" s="224" t="s">
        <v>281</v>
      </c>
      <c r="X224" s="224" t="s">
        <v>281</v>
      </c>
      <c r="Y224" s="225" t="s">
        <v>281</v>
      </c>
    </row>
    <row r="225" spans="1:25">
      <c r="A225" s="219">
        <v>5</v>
      </c>
      <c r="B225" s="220" t="str">
        <f>VLOOKUP(Tabel10[[#This Row],[Code]],Ruimtegroepen[[Code]:[Ruimte omschrijving]],2,FALSE)</f>
        <v>Sanitair</v>
      </c>
      <c r="C225" s="221" t="s">
        <v>463</v>
      </c>
      <c r="D225" s="220" t="s">
        <v>29</v>
      </c>
      <c r="E225" s="221" t="s">
        <v>1309</v>
      </c>
      <c r="F225" s="221" t="s">
        <v>1478</v>
      </c>
      <c r="G225" s="226" t="s">
        <v>281</v>
      </c>
      <c r="H225" s="222" t="s">
        <v>281</v>
      </c>
      <c r="I225" s="222" t="s">
        <v>281</v>
      </c>
      <c r="J225" s="222" t="s">
        <v>20</v>
      </c>
      <c r="K225" s="222" t="s">
        <v>15</v>
      </c>
      <c r="L225" s="222" t="s">
        <v>281</v>
      </c>
      <c r="M225" s="222" t="s">
        <v>281</v>
      </c>
      <c r="N225" s="222" t="s">
        <v>2</v>
      </c>
      <c r="O225" s="223" t="s">
        <v>281</v>
      </c>
      <c r="P225" s="223" t="s">
        <v>281</v>
      </c>
      <c r="Q225" s="223" t="s">
        <v>281</v>
      </c>
      <c r="R225" s="223" t="s">
        <v>281</v>
      </c>
      <c r="S225" s="223" t="s">
        <v>281</v>
      </c>
      <c r="T225" s="223" t="s">
        <v>281</v>
      </c>
      <c r="U225" s="223" t="s">
        <v>281</v>
      </c>
      <c r="V225" s="223" t="s">
        <v>281</v>
      </c>
      <c r="W225" s="224" t="s">
        <v>20</v>
      </c>
      <c r="X225" s="224" t="s">
        <v>15</v>
      </c>
      <c r="Y225" s="225" t="s">
        <v>2</v>
      </c>
    </row>
    <row r="226" spans="1:25">
      <c r="A226" s="219">
        <v>5</v>
      </c>
      <c r="B226" s="220" t="str">
        <f>VLOOKUP(Tabel10[[#This Row],[Code]],Ruimtegroepen[[Code]:[Ruimte omschrijving]],2,FALSE)</f>
        <v>Sanitair</v>
      </c>
      <c r="C226" s="221" t="s">
        <v>468</v>
      </c>
      <c r="D226" s="220" t="s">
        <v>1</v>
      </c>
      <c r="E226" s="221" t="s">
        <v>100</v>
      </c>
      <c r="F226" s="221" t="s">
        <v>469</v>
      </c>
      <c r="G226" s="226" t="s">
        <v>281</v>
      </c>
      <c r="H226" s="222" t="s">
        <v>281</v>
      </c>
      <c r="I226" s="222" t="s">
        <v>281</v>
      </c>
      <c r="J226" s="222" t="s">
        <v>20</v>
      </c>
      <c r="K226" s="222" t="s">
        <v>15</v>
      </c>
      <c r="L226" s="222" t="s">
        <v>281</v>
      </c>
      <c r="M226" s="222" t="s">
        <v>281</v>
      </c>
      <c r="N226" s="222" t="s">
        <v>281</v>
      </c>
      <c r="O226" s="223" t="s">
        <v>281</v>
      </c>
      <c r="P226" s="223" t="s">
        <v>281</v>
      </c>
      <c r="Q226" s="223" t="s">
        <v>281</v>
      </c>
      <c r="R226" s="223" t="s">
        <v>281</v>
      </c>
      <c r="S226" s="223" t="s">
        <v>281</v>
      </c>
      <c r="T226" s="223" t="s">
        <v>281</v>
      </c>
      <c r="U226" s="223" t="s">
        <v>281</v>
      </c>
      <c r="V226" s="223" t="s">
        <v>281</v>
      </c>
      <c r="W226" s="224" t="s">
        <v>20</v>
      </c>
      <c r="X226" s="224" t="s">
        <v>15</v>
      </c>
      <c r="Y226" s="225" t="s">
        <v>281</v>
      </c>
    </row>
    <row r="227" spans="1:25">
      <c r="A227" s="219">
        <v>5</v>
      </c>
      <c r="B227" s="220" t="str">
        <f>VLOOKUP(Tabel10[[#This Row],[Code]],Ruimtegroepen[[Code]:[Ruimte omschrijving]],2,FALSE)</f>
        <v>Sanitair</v>
      </c>
      <c r="C227" s="221" t="s">
        <v>468</v>
      </c>
      <c r="D227" s="220" t="s">
        <v>1</v>
      </c>
      <c r="E227" s="221" t="s">
        <v>99</v>
      </c>
      <c r="F227" s="221" t="s">
        <v>470</v>
      </c>
      <c r="G227" s="226" t="s">
        <v>281</v>
      </c>
      <c r="H227" s="222" t="s">
        <v>281</v>
      </c>
      <c r="I227" s="222" t="s">
        <v>281</v>
      </c>
      <c r="J227" s="222" t="s">
        <v>281</v>
      </c>
      <c r="K227" s="222" t="s">
        <v>281</v>
      </c>
      <c r="L227" s="222" t="s">
        <v>281</v>
      </c>
      <c r="M227" s="222" t="s">
        <v>281</v>
      </c>
      <c r="N227" s="222" t="s">
        <v>281</v>
      </c>
      <c r="O227" s="223" t="s">
        <v>281</v>
      </c>
      <c r="P227" s="223" t="s">
        <v>281</v>
      </c>
      <c r="Q227" s="223" t="s">
        <v>281</v>
      </c>
      <c r="R227" s="223" t="s">
        <v>281</v>
      </c>
      <c r="S227" s="223" t="s">
        <v>281</v>
      </c>
      <c r="T227" s="223" t="s">
        <v>281</v>
      </c>
      <c r="U227" s="223" t="s">
        <v>281</v>
      </c>
      <c r="V227" s="223" t="s">
        <v>281</v>
      </c>
      <c r="W227" s="224" t="s">
        <v>281</v>
      </c>
      <c r="X227" s="224" t="s">
        <v>281</v>
      </c>
      <c r="Y227" s="225" t="s">
        <v>281</v>
      </c>
    </row>
    <row r="228" spans="1:25">
      <c r="A228" s="219">
        <v>5</v>
      </c>
      <c r="B228" s="220" t="str">
        <f>VLOOKUP(Tabel10[[#This Row],[Code]],Ruimtegroepen[[Code]:[Ruimte omschrijving]],2,FALSE)</f>
        <v>Sanitair</v>
      </c>
      <c r="C228" s="221" t="s">
        <v>468</v>
      </c>
      <c r="D228" s="220" t="s">
        <v>1</v>
      </c>
      <c r="E228" s="221" t="s">
        <v>101</v>
      </c>
      <c r="F228" s="221" t="s">
        <v>471</v>
      </c>
      <c r="G228" s="226" t="s">
        <v>281</v>
      </c>
      <c r="H228" s="222" t="s">
        <v>281</v>
      </c>
      <c r="I228" s="222" t="s">
        <v>281</v>
      </c>
      <c r="J228" s="222" t="s">
        <v>20</v>
      </c>
      <c r="K228" s="222" t="s">
        <v>15</v>
      </c>
      <c r="L228" s="222" t="s">
        <v>281</v>
      </c>
      <c r="M228" s="222" t="s">
        <v>281</v>
      </c>
      <c r="N228" s="222" t="s">
        <v>281</v>
      </c>
      <c r="O228" s="223" t="s">
        <v>281</v>
      </c>
      <c r="P228" s="223" t="s">
        <v>281</v>
      </c>
      <c r="Q228" s="223" t="s">
        <v>281</v>
      </c>
      <c r="R228" s="223" t="s">
        <v>281</v>
      </c>
      <c r="S228" s="223" t="s">
        <v>281</v>
      </c>
      <c r="T228" s="223" t="s">
        <v>281</v>
      </c>
      <c r="U228" s="223" t="s">
        <v>281</v>
      </c>
      <c r="V228" s="223" t="s">
        <v>281</v>
      </c>
      <c r="W228" s="224" t="s">
        <v>20</v>
      </c>
      <c r="X228" s="224" t="s">
        <v>15</v>
      </c>
      <c r="Y228" s="225" t="s">
        <v>281</v>
      </c>
    </row>
    <row r="229" spans="1:25">
      <c r="A229" s="219">
        <v>5</v>
      </c>
      <c r="B229" s="220" t="str">
        <f>VLOOKUP(Tabel10[[#This Row],[Code]],Ruimtegroepen[[Code]:[Ruimte omschrijving]],2,FALSE)</f>
        <v>Sanitair</v>
      </c>
      <c r="C229" s="221" t="s">
        <v>468</v>
      </c>
      <c r="D229" s="220" t="s">
        <v>1</v>
      </c>
      <c r="E229" s="221" t="s">
        <v>102</v>
      </c>
      <c r="F229" s="221" t="s">
        <v>472</v>
      </c>
      <c r="G229" s="226" t="s">
        <v>281</v>
      </c>
      <c r="H229" s="222" t="s">
        <v>281</v>
      </c>
      <c r="I229" s="222" t="s">
        <v>281</v>
      </c>
      <c r="J229" s="222" t="s">
        <v>20</v>
      </c>
      <c r="K229" s="222" t="s">
        <v>15</v>
      </c>
      <c r="L229" s="222" t="s">
        <v>281</v>
      </c>
      <c r="M229" s="222" t="s">
        <v>281</v>
      </c>
      <c r="N229" s="222" t="s">
        <v>281</v>
      </c>
      <c r="O229" s="223" t="s">
        <v>281</v>
      </c>
      <c r="P229" s="223" t="s">
        <v>281</v>
      </c>
      <c r="Q229" s="223" t="s">
        <v>281</v>
      </c>
      <c r="R229" s="223" t="s">
        <v>281</v>
      </c>
      <c r="S229" s="223" t="s">
        <v>281</v>
      </c>
      <c r="T229" s="223" t="s">
        <v>281</v>
      </c>
      <c r="U229" s="223" t="s">
        <v>281</v>
      </c>
      <c r="V229" s="223" t="s">
        <v>281</v>
      </c>
      <c r="W229" s="224" t="s">
        <v>20</v>
      </c>
      <c r="X229" s="224" t="s">
        <v>15</v>
      </c>
      <c r="Y229" s="225" t="s">
        <v>281</v>
      </c>
    </row>
    <row r="230" spans="1:25">
      <c r="A230" s="219">
        <v>5</v>
      </c>
      <c r="B230" s="220" t="str">
        <f>VLOOKUP(Tabel10[[#This Row],[Code]],Ruimtegroepen[[Code]:[Ruimte omschrijving]],2,FALSE)</f>
        <v>Sanitair</v>
      </c>
      <c r="C230" s="221" t="s">
        <v>468</v>
      </c>
      <c r="D230" s="220" t="s">
        <v>1</v>
      </c>
      <c r="E230" s="221" t="s">
        <v>99</v>
      </c>
      <c r="F230" s="221" t="s">
        <v>470</v>
      </c>
      <c r="G230" s="226" t="s">
        <v>281</v>
      </c>
      <c r="H230" s="222" t="s">
        <v>281</v>
      </c>
      <c r="I230" s="222" t="s">
        <v>281</v>
      </c>
      <c r="J230" s="222" t="s">
        <v>281</v>
      </c>
      <c r="K230" s="222" t="s">
        <v>281</v>
      </c>
      <c r="L230" s="222" t="s">
        <v>281</v>
      </c>
      <c r="M230" s="222" t="s">
        <v>281</v>
      </c>
      <c r="N230" s="222" t="s">
        <v>281</v>
      </c>
      <c r="O230" s="223" t="s">
        <v>281</v>
      </c>
      <c r="P230" s="223" t="s">
        <v>281</v>
      </c>
      <c r="Q230" s="223" t="s">
        <v>281</v>
      </c>
      <c r="R230" s="223" t="s">
        <v>281</v>
      </c>
      <c r="S230" s="223" t="s">
        <v>281</v>
      </c>
      <c r="T230" s="223" t="s">
        <v>281</v>
      </c>
      <c r="U230" s="223" t="s">
        <v>281</v>
      </c>
      <c r="V230" s="223" t="s">
        <v>281</v>
      </c>
      <c r="W230" s="224" t="s">
        <v>281</v>
      </c>
      <c r="X230" s="224" t="s">
        <v>281</v>
      </c>
      <c r="Y230" s="225" t="s">
        <v>281</v>
      </c>
    </row>
    <row r="231" spans="1:25">
      <c r="A231" s="219">
        <v>5</v>
      </c>
      <c r="B231" s="220" t="str">
        <f>VLOOKUP(Tabel10[[#This Row],[Code]],Ruimtegroepen[[Code]:[Ruimte omschrijving]],2,FALSE)</f>
        <v>Sanitair</v>
      </c>
      <c r="C231" s="221" t="s">
        <v>468</v>
      </c>
      <c r="D231" s="220" t="s">
        <v>1</v>
      </c>
      <c r="E231" s="221" t="s">
        <v>1309</v>
      </c>
      <c r="F231" s="221" t="s">
        <v>1444</v>
      </c>
      <c r="G231" s="226" t="s">
        <v>281</v>
      </c>
      <c r="H231" s="222" t="s">
        <v>281</v>
      </c>
      <c r="I231" s="222" t="s">
        <v>281</v>
      </c>
      <c r="J231" s="222" t="s">
        <v>20</v>
      </c>
      <c r="K231" s="222" t="s">
        <v>15</v>
      </c>
      <c r="L231" s="222" t="s">
        <v>281</v>
      </c>
      <c r="M231" s="222" t="s">
        <v>281</v>
      </c>
      <c r="N231" s="222" t="s">
        <v>281</v>
      </c>
      <c r="O231" s="223" t="s">
        <v>281</v>
      </c>
      <c r="P231" s="223" t="s">
        <v>281</v>
      </c>
      <c r="Q231" s="223" t="s">
        <v>281</v>
      </c>
      <c r="R231" s="223" t="s">
        <v>281</v>
      </c>
      <c r="S231" s="223" t="s">
        <v>281</v>
      </c>
      <c r="T231" s="223" t="s">
        <v>281</v>
      </c>
      <c r="U231" s="223" t="s">
        <v>281</v>
      </c>
      <c r="V231" s="223" t="s">
        <v>281</v>
      </c>
      <c r="W231" s="224" t="s">
        <v>20</v>
      </c>
      <c r="X231" s="224" t="s">
        <v>15</v>
      </c>
      <c r="Y231" s="225" t="s">
        <v>281</v>
      </c>
    </row>
    <row r="232" spans="1:25">
      <c r="A232" s="219">
        <v>5</v>
      </c>
      <c r="B232" s="220" t="str">
        <f>VLOOKUP(Tabel10[[#This Row],[Code]],Ruimtegroepen[[Code]:[Ruimte omschrijving]],2,FALSE)</f>
        <v>Sanitair</v>
      </c>
      <c r="C232" s="221" t="s">
        <v>473</v>
      </c>
      <c r="D232" s="220" t="s">
        <v>474</v>
      </c>
      <c r="E232" s="221" t="s">
        <v>100</v>
      </c>
      <c r="F232" s="221" t="s">
        <v>475</v>
      </c>
      <c r="G232" s="226" t="s">
        <v>281</v>
      </c>
      <c r="H232" s="222" t="s">
        <v>281</v>
      </c>
      <c r="I232" s="222" t="s">
        <v>281</v>
      </c>
      <c r="J232" s="222" t="s">
        <v>476</v>
      </c>
      <c r="K232" s="222" t="s">
        <v>15</v>
      </c>
      <c r="L232" s="222" t="s">
        <v>281</v>
      </c>
      <c r="M232" s="222" t="s">
        <v>281</v>
      </c>
      <c r="N232" s="222" t="s">
        <v>281</v>
      </c>
      <c r="O232" s="223" t="s">
        <v>281</v>
      </c>
      <c r="P232" s="223" t="s">
        <v>281</v>
      </c>
      <c r="Q232" s="223" t="s">
        <v>281</v>
      </c>
      <c r="R232" s="223" t="s">
        <v>281</v>
      </c>
      <c r="S232" s="223" t="s">
        <v>281</v>
      </c>
      <c r="T232" s="223" t="s">
        <v>281</v>
      </c>
      <c r="U232" s="223" t="s">
        <v>281</v>
      </c>
      <c r="V232" s="223" t="s">
        <v>281</v>
      </c>
      <c r="W232" s="224" t="s">
        <v>476</v>
      </c>
      <c r="X232" s="224" t="s">
        <v>15</v>
      </c>
      <c r="Y232" s="225" t="s">
        <v>281</v>
      </c>
    </row>
    <row r="233" spans="1:25">
      <c r="A233" s="219">
        <v>5</v>
      </c>
      <c r="B233" s="220" t="str">
        <f>VLOOKUP(Tabel10[[#This Row],[Code]],Ruimtegroepen[[Code]:[Ruimte omschrijving]],2,FALSE)</f>
        <v>Sanitair</v>
      </c>
      <c r="C233" s="221" t="s">
        <v>473</v>
      </c>
      <c r="D233" s="220" t="s">
        <v>474</v>
      </c>
      <c r="E233" s="221" t="s">
        <v>99</v>
      </c>
      <c r="F233" s="221" t="s">
        <v>477</v>
      </c>
      <c r="G233" s="226" t="s">
        <v>281</v>
      </c>
      <c r="H233" s="222" t="s">
        <v>281</v>
      </c>
      <c r="I233" s="222" t="s">
        <v>281</v>
      </c>
      <c r="J233" s="222" t="s">
        <v>281</v>
      </c>
      <c r="K233" s="222" t="s">
        <v>281</v>
      </c>
      <c r="L233" s="222" t="s">
        <v>281</v>
      </c>
      <c r="M233" s="222" t="s">
        <v>281</v>
      </c>
      <c r="N233" s="222" t="s">
        <v>281</v>
      </c>
      <c r="O233" s="223" t="s">
        <v>281</v>
      </c>
      <c r="P233" s="223" t="s">
        <v>281</v>
      </c>
      <c r="Q233" s="223" t="s">
        <v>281</v>
      </c>
      <c r="R233" s="223" t="s">
        <v>281</v>
      </c>
      <c r="S233" s="223" t="s">
        <v>281</v>
      </c>
      <c r="T233" s="223" t="s">
        <v>281</v>
      </c>
      <c r="U233" s="223" t="s">
        <v>281</v>
      </c>
      <c r="V233" s="223" t="s">
        <v>281</v>
      </c>
      <c r="W233" s="224" t="s">
        <v>281</v>
      </c>
      <c r="X233" s="224" t="s">
        <v>281</v>
      </c>
      <c r="Y233" s="225" t="s">
        <v>281</v>
      </c>
    </row>
    <row r="234" spans="1:25">
      <c r="A234" s="219">
        <v>5</v>
      </c>
      <c r="B234" s="220" t="str">
        <f>VLOOKUP(Tabel10[[#This Row],[Code]],Ruimtegroepen[[Code]:[Ruimte omschrijving]],2,FALSE)</f>
        <v>Sanitair</v>
      </c>
      <c r="C234" s="221" t="s">
        <v>473</v>
      </c>
      <c r="D234" s="220" t="s">
        <v>474</v>
      </c>
      <c r="E234" s="221" t="s">
        <v>101</v>
      </c>
      <c r="F234" s="221" t="s">
        <v>478</v>
      </c>
      <c r="G234" s="226" t="s">
        <v>281</v>
      </c>
      <c r="H234" s="222" t="s">
        <v>281</v>
      </c>
      <c r="I234" s="222" t="s">
        <v>281</v>
      </c>
      <c r="J234" s="222" t="s">
        <v>476</v>
      </c>
      <c r="K234" s="222" t="s">
        <v>15</v>
      </c>
      <c r="L234" s="222" t="s">
        <v>281</v>
      </c>
      <c r="M234" s="222" t="s">
        <v>281</v>
      </c>
      <c r="N234" s="222" t="s">
        <v>281</v>
      </c>
      <c r="O234" s="223" t="s">
        <v>281</v>
      </c>
      <c r="P234" s="223" t="s">
        <v>281</v>
      </c>
      <c r="Q234" s="223" t="s">
        <v>281</v>
      </c>
      <c r="R234" s="223" t="s">
        <v>281</v>
      </c>
      <c r="S234" s="223" t="s">
        <v>281</v>
      </c>
      <c r="T234" s="223" t="s">
        <v>281</v>
      </c>
      <c r="U234" s="223" t="s">
        <v>281</v>
      </c>
      <c r="V234" s="223" t="s">
        <v>281</v>
      </c>
      <c r="W234" s="224" t="s">
        <v>476</v>
      </c>
      <c r="X234" s="224" t="s">
        <v>15</v>
      </c>
      <c r="Y234" s="225" t="s">
        <v>281</v>
      </c>
    </row>
    <row r="235" spans="1:25">
      <c r="A235" s="219">
        <v>5</v>
      </c>
      <c r="B235" s="220" t="str">
        <f>VLOOKUP(Tabel10[[#This Row],[Code]],Ruimtegroepen[[Code]:[Ruimte omschrijving]],2,FALSE)</f>
        <v>Sanitair</v>
      </c>
      <c r="C235" s="221" t="s">
        <v>473</v>
      </c>
      <c r="D235" s="220" t="s">
        <v>474</v>
      </c>
      <c r="E235" s="221" t="s">
        <v>102</v>
      </c>
      <c r="F235" s="221" t="s">
        <v>479</v>
      </c>
      <c r="G235" s="226" t="s">
        <v>281</v>
      </c>
      <c r="H235" s="222" t="s">
        <v>281</v>
      </c>
      <c r="I235" s="222" t="s">
        <v>281</v>
      </c>
      <c r="J235" s="222" t="s">
        <v>476</v>
      </c>
      <c r="K235" s="222" t="s">
        <v>15</v>
      </c>
      <c r="L235" s="222" t="s">
        <v>281</v>
      </c>
      <c r="M235" s="222" t="s">
        <v>281</v>
      </c>
      <c r="N235" s="222" t="s">
        <v>281</v>
      </c>
      <c r="O235" s="223" t="s">
        <v>281</v>
      </c>
      <c r="P235" s="223" t="s">
        <v>281</v>
      </c>
      <c r="Q235" s="223" t="s">
        <v>281</v>
      </c>
      <c r="R235" s="223" t="s">
        <v>281</v>
      </c>
      <c r="S235" s="223" t="s">
        <v>281</v>
      </c>
      <c r="T235" s="223" t="s">
        <v>281</v>
      </c>
      <c r="U235" s="223" t="s">
        <v>281</v>
      </c>
      <c r="V235" s="223" t="s">
        <v>281</v>
      </c>
      <c r="W235" s="224" t="s">
        <v>476</v>
      </c>
      <c r="X235" s="224" t="s">
        <v>15</v>
      </c>
      <c r="Y235" s="225" t="s">
        <v>281</v>
      </c>
    </row>
    <row r="236" spans="1:25">
      <c r="A236" s="219">
        <v>5</v>
      </c>
      <c r="B236" s="220" t="str">
        <f>VLOOKUP(Tabel10[[#This Row],[Code]],Ruimtegroepen[[Code]:[Ruimte omschrijving]],2,FALSE)</f>
        <v>Sanitair</v>
      </c>
      <c r="C236" s="221" t="s">
        <v>473</v>
      </c>
      <c r="D236" s="220" t="s">
        <v>474</v>
      </c>
      <c r="E236" s="221" t="s">
        <v>99</v>
      </c>
      <c r="F236" s="221" t="s">
        <v>477</v>
      </c>
      <c r="G236" s="226" t="s">
        <v>281</v>
      </c>
      <c r="H236" s="222" t="s">
        <v>281</v>
      </c>
      <c r="I236" s="222" t="s">
        <v>281</v>
      </c>
      <c r="J236" s="222" t="s">
        <v>281</v>
      </c>
      <c r="K236" s="222" t="s">
        <v>281</v>
      </c>
      <c r="L236" s="222" t="s">
        <v>281</v>
      </c>
      <c r="M236" s="222" t="s">
        <v>281</v>
      </c>
      <c r="N236" s="222" t="s">
        <v>281</v>
      </c>
      <c r="O236" s="223" t="s">
        <v>281</v>
      </c>
      <c r="P236" s="223" t="s">
        <v>281</v>
      </c>
      <c r="Q236" s="223" t="s">
        <v>281</v>
      </c>
      <c r="R236" s="223" t="s">
        <v>281</v>
      </c>
      <c r="S236" s="223" t="s">
        <v>281</v>
      </c>
      <c r="T236" s="223" t="s">
        <v>281</v>
      </c>
      <c r="U236" s="223" t="s">
        <v>281</v>
      </c>
      <c r="V236" s="223" t="s">
        <v>281</v>
      </c>
      <c r="W236" s="224" t="s">
        <v>281</v>
      </c>
      <c r="X236" s="224" t="s">
        <v>281</v>
      </c>
      <c r="Y236" s="225" t="s">
        <v>281</v>
      </c>
    </row>
    <row r="237" spans="1:25">
      <c r="A237" s="219">
        <v>5</v>
      </c>
      <c r="B237" s="220" t="str">
        <f>VLOOKUP(Tabel10[[#This Row],[Code]],Ruimtegroepen[[Code]:[Ruimte omschrijving]],2,FALSE)</f>
        <v>Sanitair</v>
      </c>
      <c r="C237" s="221" t="s">
        <v>473</v>
      </c>
      <c r="D237" s="220" t="s">
        <v>474</v>
      </c>
      <c r="E237" s="221" t="s">
        <v>1309</v>
      </c>
      <c r="F237" s="221" t="s">
        <v>1461</v>
      </c>
      <c r="G237" s="226" t="s">
        <v>281</v>
      </c>
      <c r="H237" s="222" t="s">
        <v>281</v>
      </c>
      <c r="I237" s="222" t="s">
        <v>281</v>
      </c>
      <c r="J237" s="222" t="s">
        <v>476</v>
      </c>
      <c r="K237" s="222" t="s">
        <v>15</v>
      </c>
      <c r="L237" s="222" t="s">
        <v>281</v>
      </c>
      <c r="M237" s="222" t="s">
        <v>281</v>
      </c>
      <c r="N237" s="222" t="s">
        <v>281</v>
      </c>
      <c r="O237" s="223" t="s">
        <v>281</v>
      </c>
      <c r="P237" s="223" t="s">
        <v>281</v>
      </c>
      <c r="Q237" s="223" t="s">
        <v>281</v>
      </c>
      <c r="R237" s="223" t="s">
        <v>281</v>
      </c>
      <c r="S237" s="223" t="s">
        <v>281</v>
      </c>
      <c r="T237" s="223" t="s">
        <v>281</v>
      </c>
      <c r="U237" s="223" t="s">
        <v>281</v>
      </c>
      <c r="V237" s="223" t="s">
        <v>281</v>
      </c>
      <c r="W237" s="224" t="s">
        <v>476</v>
      </c>
      <c r="X237" s="224" t="s">
        <v>15</v>
      </c>
      <c r="Y237" s="225" t="s">
        <v>281</v>
      </c>
    </row>
    <row r="238" spans="1:25">
      <c r="A238" s="219">
        <v>5</v>
      </c>
      <c r="B238" s="220" t="str">
        <f>VLOOKUP(Tabel10[[#This Row],[Code]],Ruimtegroepen[[Code]:[Ruimte omschrijving]],2,FALSE)</f>
        <v>Sanitair</v>
      </c>
      <c r="C238" s="221" t="s">
        <v>1262</v>
      </c>
      <c r="D238" s="220" t="s">
        <v>480</v>
      </c>
      <c r="E238" s="221" t="s">
        <v>100</v>
      </c>
      <c r="F238" s="221" t="s">
        <v>481</v>
      </c>
      <c r="G238" s="226" t="s">
        <v>281</v>
      </c>
      <c r="H238" s="222" t="s">
        <v>281</v>
      </c>
      <c r="I238" s="222" t="s">
        <v>281</v>
      </c>
      <c r="J238" s="222" t="s">
        <v>476</v>
      </c>
      <c r="K238" s="222" t="s">
        <v>15</v>
      </c>
      <c r="L238" s="222" t="s">
        <v>281</v>
      </c>
      <c r="M238" s="222" t="s">
        <v>281</v>
      </c>
      <c r="N238" s="222" t="s">
        <v>1261</v>
      </c>
      <c r="O238" s="223" t="s">
        <v>281</v>
      </c>
      <c r="P238" s="223" t="s">
        <v>281</v>
      </c>
      <c r="Q238" s="223" t="s">
        <v>281</v>
      </c>
      <c r="R238" s="223" t="s">
        <v>281</v>
      </c>
      <c r="S238" s="223" t="s">
        <v>281</v>
      </c>
      <c r="T238" s="223" t="s">
        <v>281</v>
      </c>
      <c r="U238" s="223" t="s">
        <v>281</v>
      </c>
      <c r="V238" s="223" t="s">
        <v>281</v>
      </c>
      <c r="W238" s="224" t="s">
        <v>476</v>
      </c>
      <c r="X238" s="224" t="s">
        <v>15</v>
      </c>
      <c r="Y238" s="225" t="s">
        <v>1261</v>
      </c>
    </row>
    <row r="239" spans="1:25">
      <c r="A239" s="219">
        <v>5</v>
      </c>
      <c r="B239" s="220" t="str">
        <f>VLOOKUP(Tabel10[[#This Row],[Code]],Ruimtegroepen[[Code]:[Ruimte omschrijving]],2,FALSE)</f>
        <v>Sanitair</v>
      </c>
      <c r="C239" s="221" t="s">
        <v>1262</v>
      </c>
      <c r="D239" s="220" t="s">
        <v>480</v>
      </c>
      <c r="E239" s="221" t="s">
        <v>99</v>
      </c>
      <c r="F239" s="221" t="s">
        <v>482</v>
      </c>
      <c r="G239" s="226" t="s">
        <v>281</v>
      </c>
      <c r="H239" s="222" t="s">
        <v>281</v>
      </c>
      <c r="I239" s="222" t="s">
        <v>281</v>
      </c>
      <c r="J239" s="222" t="s">
        <v>281</v>
      </c>
      <c r="K239" s="222" t="s">
        <v>281</v>
      </c>
      <c r="L239" s="222" t="s">
        <v>281</v>
      </c>
      <c r="M239" s="222" t="s">
        <v>281</v>
      </c>
      <c r="N239" s="222" t="s">
        <v>281</v>
      </c>
      <c r="O239" s="223" t="s">
        <v>281</v>
      </c>
      <c r="P239" s="223" t="s">
        <v>281</v>
      </c>
      <c r="Q239" s="223" t="s">
        <v>281</v>
      </c>
      <c r="R239" s="223" t="s">
        <v>281</v>
      </c>
      <c r="S239" s="223" t="s">
        <v>281</v>
      </c>
      <c r="T239" s="223" t="s">
        <v>281</v>
      </c>
      <c r="U239" s="223" t="s">
        <v>281</v>
      </c>
      <c r="V239" s="223" t="s">
        <v>281</v>
      </c>
      <c r="W239" s="224" t="s">
        <v>281</v>
      </c>
      <c r="X239" s="224" t="s">
        <v>281</v>
      </c>
      <c r="Y239" s="225" t="s">
        <v>281</v>
      </c>
    </row>
    <row r="240" spans="1:25">
      <c r="A240" s="219">
        <v>5</v>
      </c>
      <c r="B240" s="220" t="str">
        <f>VLOOKUP(Tabel10[[#This Row],[Code]],Ruimtegroepen[[Code]:[Ruimte omschrijving]],2,FALSE)</f>
        <v>Sanitair</v>
      </c>
      <c r="C240" s="221" t="s">
        <v>1262</v>
      </c>
      <c r="D240" s="220" t="s">
        <v>480</v>
      </c>
      <c r="E240" s="221" t="s">
        <v>101</v>
      </c>
      <c r="F240" s="221" t="s">
        <v>483</v>
      </c>
      <c r="G240" s="226" t="s">
        <v>281</v>
      </c>
      <c r="H240" s="222" t="s">
        <v>281</v>
      </c>
      <c r="I240" s="222" t="s">
        <v>281</v>
      </c>
      <c r="J240" s="222" t="s">
        <v>476</v>
      </c>
      <c r="K240" s="222" t="s">
        <v>15</v>
      </c>
      <c r="L240" s="222" t="s">
        <v>281</v>
      </c>
      <c r="M240" s="222" t="s">
        <v>281</v>
      </c>
      <c r="N240" s="222" t="s">
        <v>1261</v>
      </c>
      <c r="O240" s="223" t="s">
        <v>281</v>
      </c>
      <c r="P240" s="223" t="s">
        <v>281</v>
      </c>
      <c r="Q240" s="223" t="s">
        <v>281</v>
      </c>
      <c r="R240" s="223" t="s">
        <v>281</v>
      </c>
      <c r="S240" s="223" t="s">
        <v>281</v>
      </c>
      <c r="T240" s="223" t="s">
        <v>281</v>
      </c>
      <c r="U240" s="223" t="s">
        <v>281</v>
      </c>
      <c r="V240" s="223" t="s">
        <v>281</v>
      </c>
      <c r="W240" s="224" t="s">
        <v>476</v>
      </c>
      <c r="X240" s="224" t="s">
        <v>15</v>
      </c>
      <c r="Y240" s="225" t="s">
        <v>1261</v>
      </c>
    </row>
    <row r="241" spans="1:25">
      <c r="A241" s="219">
        <v>5</v>
      </c>
      <c r="B241" s="220" t="str">
        <f>VLOOKUP(Tabel10[[#This Row],[Code]],Ruimtegroepen[[Code]:[Ruimte omschrijving]],2,FALSE)</f>
        <v>Sanitair</v>
      </c>
      <c r="C241" s="221" t="s">
        <v>1262</v>
      </c>
      <c r="D241" s="220" t="s">
        <v>480</v>
      </c>
      <c r="E241" s="221" t="s">
        <v>102</v>
      </c>
      <c r="F241" s="221" t="s">
        <v>484</v>
      </c>
      <c r="G241" s="226" t="s">
        <v>281</v>
      </c>
      <c r="H241" s="222" t="s">
        <v>281</v>
      </c>
      <c r="I241" s="222" t="s">
        <v>281</v>
      </c>
      <c r="J241" s="222" t="s">
        <v>476</v>
      </c>
      <c r="K241" s="222" t="s">
        <v>15</v>
      </c>
      <c r="L241" s="222" t="s">
        <v>281</v>
      </c>
      <c r="M241" s="222" t="s">
        <v>281</v>
      </c>
      <c r="N241" s="222" t="s">
        <v>1261</v>
      </c>
      <c r="O241" s="223" t="s">
        <v>281</v>
      </c>
      <c r="P241" s="223" t="s">
        <v>281</v>
      </c>
      <c r="Q241" s="223" t="s">
        <v>281</v>
      </c>
      <c r="R241" s="223" t="s">
        <v>281</v>
      </c>
      <c r="S241" s="223" t="s">
        <v>281</v>
      </c>
      <c r="T241" s="223" t="s">
        <v>281</v>
      </c>
      <c r="U241" s="223" t="s">
        <v>281</v>
      </c>
      <c r="V241" s="223" t="s">
        <v>281</v>
      </c>
      <c r="W241" s="224" t="s">
        <v>476</v>
      </c>
      <c r="X241" s="224" t="s">
        <v>15</v>
      </c>
      <c r="Y241" s="225" t="s">
        <v>1261</v>
      </c>
    </row>
    <row r="242" spans="1:25">
      <c r="A242" s="219">
        <v>5</v>
      </c>
      <c r="B242" s="220" t="str">
        <f>VLOOKUP(Tabel10[[#This Row],[Code]],Ruimtegroepen[[Code]:[Ruimte omschrijving]],2,FALSE)</f>
        <v>Sanitair</v>
      </c>
      <c r="C242" s="221" t="s">
        <v>1262</v>
      </c>
      <c r="D242" s="220" t="s">
        <v>480</v>
      </c>
      <c r="E242" s="221" t="s">
        <v>99</v>
      </c>
      <c r="F242" s="221" t="s">
        <v>482</v>
      </c>
      <c r="G242" s="226" t="s">
        <v>281</v>
      </c>
      <c r="H242" s="222" t="s">
        <v>281</v>
      </c>
      <c r="I242" s="222" t="s">
        <v>281</v>
      </c>
      <c r="J242" s="222" t="s">
        <v>281</v>
      </c>
      <c r="K242" s="222" t="s">
        <v>281</v>
      </c>
      <c r="L242" s="222" t="s">
        <v>281</v>
      </c>
      <c r="M242" s="222" t="s">
        <v>281</v>
      </c>
      <c r="N242" s="222" t="s">
        <v>281</v>
      </c>
      <c r="O242" s="223" t="s">
        <v>281</v>
      </c>
      <c r="P242" s="223" t="s">
        <v>281</v>
      </c>
      <c r="Q242" s="223" t="s">
        <v>281</v>
      </c>
      <c r="R242" s="223" t="s">
        <v>281</v>
      </c>
      <c r="S242" s="223" t="s">
        <v>281</v>
      </c>
      <c r="T242" s="223" t="s">
        <v>281</v>
      </c>
      <c r="U242" s="223" t="s">
        <v>281</v>
      </c>
      <c r="V242" s="223" t="s">
        <v>281</v>
      </c>
      <c r="W242" s="224" t="s">
        <v>281</v>
      </c>
      <c r="X242" s="224" t="s">
        <v>281</v>
      </c>
      <c r="Y242" s="225" t="s">
        <v>281</v>
      </c>
    </row>
    <row r="243" spans="1:25">
      <c r="A243" s="219">
        <v>5</v>
      </c>
      <c r="B243" s="220" t="str">
        <f>VLOOKUP(Tabel10[[#This Row],[Code]],Ruimtegroepen[[Code]:[Ruimte omschrijving]],2,FALSE)</f>
        <v>Sanitair</v>
      </c>
      <c r="C243" s="221" t="s">
        <v>1262</v>
      </c>
      <c r="D243" s="220" t="s">
        <v>480</v>
      </c>
      <c r="E243" s="221" t="s">
        <v>1309</v>
      </c>
      <c r="F243" s="221" t="s">
        <v>1442</v>
      </c>
      <c r="G243" s="226" t="s">
        <v>281</v>
      </c>
      <c r="H243" s="222" t="s">
        <v>281</v>
      </c>
      <c r="I243" s="222" t="s">
        <v>281</v>
      </c>
      <c r="J243" s="222" t="s">
        <v>476</v>
      </c>
      <c r="K243" s="222" t="s">
        <v>15</v>
      </c>
      <c r="L243" s="222" t="s">
        <v>281</v>
      </c>
      <c r="M243" s="222" t="s">
        <v>281</v>
      </c>
      <c r="N243" s="222" t="s">
        <v>1261</v>
      </c>
      <c r="O243" s="223" t="s">
        <v>281</v>
      </c>
      <c r="P243" s="223" t="s">
        <v>281</v>
      </c>
      <c r="Q243" s="223" t="s">
        <v>281</v>
      </c>
      <c r="R243" s="223" t="s">
        <v>281</v>
      </c>
      <c r="S243" s="223" t="s">
        <v>281</v>
      </c>
      <c r="T243" s="223" t="s">
        <v>281</v>
      </c>
      <c r="U243" s="223" t="s">
        <v>281</v>
      </c>
      <c r="V243" s="223" t="s">
        <v>281</v>
      </c>
      <c r="W243" s="224" t="s">
        <v>476</v>
      </c>
      <c r="X243" s="224" t="s">
        <v>15</v>
      </c>
      <c r="Y243" s="225" t="s">
        <v>1261</v>
      </c>
    </row>
    <row r="244" spans="1:25">
      <c r="A244" s="219">
        <v>5</v>
      </c>
      <c r="B244" s="220" t="str">
        <f>VLOOKUP(Tabel10[[#This Row],[Code]],Ruimtegroepen[[Code]:[Ruimte omschrijving]],2,FALSE)</f>
        <v>Sanitair</v>
      </c>
      <c r="C244" s="221" t="s">
        <v>485</v>
      </c>
      <c r="D244" s="220" t="s">
        <v>21</v>
      </c>
      <c r="E244" s="221" t="s">
        <v>100</v>
      </c>
      <c r="F244" s="221" t="s">
        <v>486</v>
      </c>
      <c r="G244" s="226" t="s">
        <v>281</v>
      </c>
      <c r="H244" s="222" t="s">
        <v>281</v>
      </c>
      <c r="I244" s="222" t="s">
        <v>281</v>
      </c>
      <c r="J244" s="222" t="s">
        <v>18</v>
      </c>
      <c r="K244" s="222" t="s">
        <v>15</v>
      </c>
      <c r="L244" s="222" t="s">
        <v>281</v>
      </c>
      <c r="M244" s="222" t="s">
        <v>281</v>
      </c>
      <c r="N244" s="222" t="s">
        <v>281</v>
      </c>
      <c r="O244" s="223" t="s">
        <v>281</v>
      </c>
      <c r="P244" s="223" t="s">
        <v>281</v>
      </c>
      <c r="Q244" s="223" t="s">
        <v>281</v>
      </c>
      <c r="R244" s="223" t="s">
        <v>281</v>
      </c>
      <c r="S244" s="223" t="s">
        <v>281</v>
      </c>
      <c r="T244" s="223" t="s">
        <v>281</v>
      </c>
      <c r="U244" s="223" t="s">
        <v>281</v>
      </c>
      <c r="V244" s="223" t="s">
        <v>281</v>
      </c>
      <c r="W244" s="224" t="s">
        <v>18</v>
      </c>
      <c r="X244" s="224" t="s">
        <v>15</v>
      </c>
      <c r="Y244" s="225" t="s">
        <v>281</v>
      </c>
    </row>
    <row r="245" spans="1:25">
      <c r="A245" s="219">
        <v>5</v>
      </c>
      <c r="B245" s="220" t="str">
        <f>VLOOKUP(Tabel10[[#This Row],[Code]],Ruimtegroepen[[Code]:[Ruimte omschrijving]],2,FALSE)</f>
        <v>Sanitair</v>
      </c>
      <c r="C245" s="221" t="s">
        <v>485</v>
      </c>
      <c r="D245" s="220" t="s">
        <v>21</v>
      </c>
      <c r="E245" s="221" t="s">
        <v>99</v>
      </c>
      <c r="F245" s="221" t="s">
        <v>487</v>
      </c>
      <c r="G245" s="226" t="s">
        <v>281</v>
      </c>
      <c r="H245" s="222" t="s">
        <v>281</v>
      </c>
      <c r="I245" s="222" t="s">
        <v>281</v>
      </c>
      <c r="J245" s="222" t="s">
        <v>281</v>
      </c>
      <c r="K245" s="222" t="s">
        <v>281</v>
      </c>
      <c r="L245" s="222" t="s">
        <v>281</v>
      </c>
      <c r="M245" s="222" t="s">
        <v>281</v>
      </c>
      <c r="N245" s="222" t="s">
        <v>281</v>
      </c>
      <c r="O245" s="223" t="s">
        <v>281</v>
      </c>
      <c r="P245" s="223" t="s">
        <v>281</v>
      </c>
      <c r="Q245" s="223" t="s">
        <v>281</v>
      </c>
      <c r="R245" s="223" t="s">
        <v>281</v>
      </c>
      <c r="S245" s="223" t="s">
        <v>281</v>
      </c>
      <c r="T245" s="223" t="s">
        <v>281</v>
      </c>
      <c r="U245" s="223" t="s">
        <v>281</v>
      </c>
      <c r="V245" s="223" t="s">
        <v>281</v>
      </c>
      <c r="W245" s="224" t="s">
        <v>281</v>
      </c>
      <c r="X245" s="224" t="s">
        <v>281</v>
      </c>
      <c r="Y245" s="225" t="s">
        <v>281</v>
      </c>
    </row>
    <row r="246" spans="1:25">
      <c r="A246" s="219">
        <v>5</v>
      </c>
      <c r="B246" s="220" t="str">
        <f>VLOOKUP(Tabel10[[#This Row],[Code]],Ruimtegroepen[[Code]:[Ruimte omschrijving]],2,FALSE)</f>
        <v>Sanitair</v>
      </c>
      <c r="C246" s="221" t="s">
        <v>485</v>
      </c>
      <c r="D246" s="220" t="s">
        <v>21</v>
      </c>
      <c r="E246" s="221" t="s">
        <v>101</v>
      </c>
      <c r="F246" s="221" t="s">
        <v>488</v>
      </c>
      <c r="G246" s="226" t="s">
        <v>281</v>
      </c>
      <c r="H246" s="222" t="s">
        <v>281</v>
      </c>
      <c r="I246" s="222" t="s">
        <v>281</v>
      </c>
      <c r="J246" s="222" t="s">
        <v>18</v>
      </c>
      <c r="K246" s="222" t="s">
        <v>15</v>
      </c>
      <c r="L246" s="222" t="s">
        <v>281</v>
      </c>
      <c r="M246" s="222" t="s">
        <v>281</v>
      </c>
      <c r="N246" s="222" t="s">
        <v>281</v>
      </c>
      <c r="O246" s="223" t="s">
        <v>281</v>
      </c>
      <c r="P246" s="223" t="s">
        <v>281</v>
      </c>
      <c r="Q246" s="223" t="s">
        <v>281</v>
      </c>
      <c r="R246" s="223" t="s">
        <v>281</v>
      </c>
      <c r="S246" s="223" t="s">
        <v>281</v>
      </c>
      <c r="T246" s="223" t="s">
        <v>281</v>
      </c>
      <c r="U246" s="223" t="s">
        <v>281</v>
      </c>
      <c r="V246" s="223" t="s">
        <v>281</v>
      </c>
      <c r="W246" s="224" t="s">
        <v>18</v>
      </c>
      <c r="X246" s="224" t="s">
        <v>15</v>
      </c>
      <c r="Y246" s="225" t="s">
        <v>281</v>
      </c>
    </row>
    <row r="247" spans="1:25">
      <c r="A247" s="219">
        <v>5</v>
      </c>
      <c r="B247" s="220" t="str">
        <f>VLOOKUP(Tabel10[[#This Row],[Code]],Ruimtegroepen[[Code]:[Ruimte omschrijving]],2,FALSE)</f>
        <v>Sanitair</v>
      </c>
      <c r="C247" s="221" t="s">
        <v>485</v>
      </c>
      <c r="D247" s="220" t="s">
        <v>21</v>
      </c>
      <c r="E247" s="221" t="s">
        <v>102</v>
      </c>
      <c r="F247" s="221" t="s">
        <v>489</v>
      </c>
      <c r="G247" s="226" t="s">
        <v>281</v>
      </c>
      <c r="H247" s="222" t="s">
        <v>281</v>
      </c>
      <c r="I247" s="222" t="s">
        <v>281</v>
      </c>
      <c r="J247" s="222" t="s">
        <v>18</v>
      </c>
      <c r="K247" s="222" t="s">
        <v>15</v>
      </c>
      <c r="L247" s="222" t="s">
        <v>281</v>
      </c>
      <c r="M247" s="222" t="s">
        <v>281</v>
      </c>
      <c r="N247" s="222" t="s">
        <v>281</v>
      </c>
      <c r="O247" s="223" t="s">
        <v>281</v>
      </c>
      <c r="P247" s="223" t="s">
        <v>281</v>
      </c>
      <c r="Q247" s="223" t="s">
        <v>281</v>
      </c>
      <c r="R247" s="223" t="s">
        <v>281</v>
      </c>
      <c r="S247" s="223" t="s">
        <v>281</v>
      </c>
      <c r="T247" s="223" t="s">
        <v>281</v>
      </c>
      <c r="U247" s="223" t="s">
        <v>281</v>
      </c>
      <c r="V247" s="223" t="s">
        <v>281</v>
      </c>
      <c r="W247" s="224" t="s">
        <v>18</v>
      </c>
      <c r="X247" s="224" t="s">
        <v>15</v>
      </c>
      <c r="Y247" s="225" t="s">
        <v>281</v>
      </c>
    </row>
    <row r="248" spans="1:25">
      <c r="A248" s="219">
        <v>5</v>
      </c>
      <c r="B248" s="220" t="str">
        <f>VLOOKUP(Tabel10[[#This Row],[Code]],Ruimtegroepen[[Code]:[Ruimte omschrijving]],2,FALSE)</f>
        <v>Sanitair</v>
      </c>
      <c r="C248" s="221" t="s">
        <v>485</v>
      </c>
      <c r="D248" s="220" t="s">
        <v>21</v>
      </c>
      <c r="E248" s="221" t="s">
        <v>99</v>
      </c>
      <c r="F248" s="221" t="s">
        <v>487</v>
      </c>
      <c r="G248" s="226" t="s">
        <v>281</v>
      </c>
      <c r="H248" s="222" t="s">
        <v>281</v>
      </c>
      <c r="I248" s="222" t="s">
        <v>281</v>
      </c>
      <c r="J248" s="222" t="s">
        <v>281</v>
      </c>
      <c r="K248" s="222" t="s">
        <v>281</v>
      </c>
      <c r="L248" s="222" t="s">
        <v>281</v>
      </c>
      <c r="M248" s="222" t="s">
        <v>281</v>
      </c>
      <c r="N248" s="222" t="s">
        <v>281</v>
      </c>
      <c r="O248" s="223" t="s">
        <v>281</v>
      </c>
      <c r="P248" s="223" t="s">
        <v>281</v>
      </c>
      <c r="Q248" s="223" t="s">
        <v>281</v>
      </c>
      <c r="R248" s="223" t="s">
        <v>281</v>
      </c>
      <c r="S248" s="223" t="s">
        <v>281</v>
      </c>
      <c r="T248" s="223" t="s">
        <v>281</v>
      </c>
      <c r="U248" s="223" t="s">
        <v>281</v>
      </c>
      <c r="V248" s="223" t="s">
        <v>281</v>
      </c>
      <c r="W248" s="224" t="s">
        <v>281</v>
      </c>
      <c r="X248" s="224" t="s">
        <v>281</v>
      </c>
      <c r="Y248" s="225" t="s">
        <v>281</v>
      </c>
    </row>
    <row r="249" spans="1:25">
      <c r="A249" s="219">
        <v>5</v>
      </c>
      <c r="B249" s="220" t="str">
        <f>VLOOKUP(Tabel10[[#This Row],[Code]],Ruimtegroepen[[Code]:[Ruimte omschrijving]],2,FALSE)</f>
        <v>Sanitair</v>
      </c>
      <c r="C249" s="221" t="s">
        <v>485</v>
      </c>
      <c r="D249" s="220" t="s">
        <v>21</v>
      </c>
      <c r="E249" s="221" t="s">
        <v>1309</v>
      </c>
      <c r="F249" s="221" t="s">
        <v>1445</v>
      </c>
      <c r="G249" s="226" t="s">
        <v>281</v>
      </c>
      <c r="H249" s="222" t="s">
        <v>281</v>
      </c>
      <c r="I249" s="222" t="s">
        <v>281</v>
      </c>
      <c r="J249" s="222" t="s">
        <v>18</v>
      </c>
      <c r="K249" s="222" t="s">
        <v>15</v>
      </c>
      <c r="L249" s="222" t="s">
        <v>281</v>
      </c>
      <c r="M249" s="222" t="s">
        <v>281</v>
      </c>
      <c r="N249" s="222" t="s">
        <v>281</v>
      </c>
      <c r="O249" s="223" t="s">
        <v>281</v>
      </c>
      <c r="P249" s="223" t="s">
        <v>281</v>
      </c>
      <c r="Q249" s="223" t="s">
        <v>281</v>
      </c>
      <c r="R249" s="223" t="s">
        <v>281</v>
      </c>
      <c r="S249" s="223" t="s">
        <v>281</v>
      </c>
      <c r="T249" s="223" t="s">
        <v>281</v>
      </c>
      <c r="U249" s="223" t="s">
        <v>281</v>
      </c>
      <c r="V249" s="223" t="s">
        <v>281</v>
      </c>
      <c r="W249" s="224" t="s">
        <v>18</v>
      </c>
      <c r="X249" s="224" t="s">
        <v>15</v>
      </c>
      <c r="Y249" s="225" t="s">
        <v>281</v>
      </c>
    </row>
    <row r="250" spans="1:25">
      <c r="A250" s="219">
        <v>5</v>
      </c>
      <c r="B250" s="220" t="str">
        <f>VLOOKUP(Tabel10[[#This Row],[Code]],Ruimtegroepen[[Code]:[Ruimte omschrijving]],2,FALSE)</f>
        <v>Sanitair</v>
      </c>
      <c r="C250" s="221" t="s">
        <v>490</v>
      </c>
      <c r="D250" s="220" t="s">
        <v>12</v>
      </c>
      <c r="E250" s="221" t="s">
        <v>100</v>
      </c>
      <c r="F250" s="221" t="s">
        <v>491</v>
      </c>
      <c r="G250" s="226" t="s">
        <v>281</v>
      </c>
      <c r="H250" s="222" t="s">
        <v>281</v>
      </c>
      <c r="I250" s="222" t="s">
        <v>281</v>
      </c>
      <c r="J250" s="222" t="s">
        <v>17</v>
      </c>
      <c r="K250" s="222" t="s">
        <v>15</v>
      </c>
      <c r="L250" s="222" t="s">
        <v>281</v>
      </c>
      <c r="M250" s="222" t="s">
        <v>281</v>
      </c>
      <c r="N250" s="222" t="s">
        <v>281</v>
      </c>
      <c r="O250" s="223" t="s">
        <v>281</v>
      </c>
      <c r="P250" s="223" t="s">
        <v>281</v>
      </c>
      <c r="Q250" s="223" t="s">
        <v>281</v>
      </c>
      <c r="R250" s="223" t="s">
        <v>281</v>
      </c>
      <c r="S250" s="223" t="s">
        <v>281</v>
      </c>
      <c r="T250" s="223" t="s">
        <v>281</v>
      </c>
      <c r="U250" s="223" t="s">
        <v>281</v>
      </c>
      <c r="V250" s="223" t="s">
        <v>281</v>
      </c>
      <c r="W250" s="224" t="s">
        <v>17</v>
      </c>
      <c r="X250" s="224" t="s">
        <v>15</v>
      </c>
      <c r="Y250" s="225" t="s">
        <v>281</v>
      </c>
    </row>
    <row r="251" spans="1:25">
      <c r="A251" s="219">
        <v>5</v>
      </c>
      <c r="B251" s="220" t="str">
        <f>VLOOKUP(Tabel10[[#This Row],[Code]],Ruimtegroepen[[Code]:[Ruimte omschrijving]],2,FALSE)</f>
        <v>Sanitair</v>
      </c>
      <c r="C251" s="221" t="s">
        <v>490</v>
      </c>
      <c r="D251" s="220" t="s">
        <v>12</v>
      </c>
      <c r="E251" s="221" t="s">
        <v>99</v>
      </c>
      <c r="F251" s="221" t="s">
        <v>492</v>
      </c>
      <c r="G251" s="226" t="s">
        <v>281</v>
      </c>
      <c r="H251" s="222" t="s">
        <v>281</v>
      </c>
      <c r="I251" s="222" t="s">
        <v>281</v>
      </c>
      <c r="J251" s="222" t="s">
        <v>281</v>
      </c>
      <c r="K251" s="222" t="s">
        <v>281</v>
      </c>
      <c r="L251" s="222" t="s">
        <v>281</v>
      </c>
      <c r="M251" s="222" t="s">
        <v>281</v>
      </c>
      <c r="N251" s="222" t="s">
        <v>281</v>
      </c>
      <c r="O251" s="223" t="s">
        <v>281</v>
      </c>
      <c r="P251" s="223" t="s">
        <v>281</v>
      </c>
      <c r="Q251" s="223" t="s">
        <v>281</v>
      </c>
      <c r="R251" s="223" t="s">
        <v>281</v>
      </c>
      <c r="S251" s="223" t="s">
        <v>281</v>
      </c>
      <c r="T251" s="223" t="s">
        <v>281</v>
      </c>
      <c r="U251" s="223" t="s">
        <v>281</v>
      </c>
      <c r="V251" s="223" t="s">
        <v>281</v>
      </c>
      <c r="W251" s="224" t="s">
        <v>281</v>
      </c>
      <c r="X251" s="224" t="s">
        <v>281</v>
      </c>
      <c r="Y251" s="225" t="s">
        <v>281</v>
      </c>
    </row>
    <row r="252" spans="1:25">
      <c r="A252" s="219">
        <v>5</v>
      </c>
      <c r="B252" s="220" t="str">
        <f>VLOOKUP(Tabel10[[#This Row],[Code]],Ruimtegroepen[[Code]:[Ruimte omschrijving]],2,FALSE)</f>
        <v>Sanitair</v>
      </c>
      <c r="C252" s="221" t="s">
        <v>490</v>
      </c>
      <c r="D252" s="220" t="s">
        <v>12</v>
      </c>
      <c r="E252" s="221" t="s">
        <v>101</v>
      </c>
      <c r="F252" s="221" t="s">
        <v>493</v>
      </c>
      <c r="G252" s="226" t="s">
        <v>281</v>
      </c>
      <c r="H252" s="222" t="s">
        <v>281</v>
      </c>
      <c r="I252" s="222" t="s">
        <v>281</v>
      </c>
      <c r="J252" s="222" t="s">
        <v>17</v>
      </c>
      <c r="K252" s="222" t="s">
        <v>15</v>
      </c>
      <c r="L252" s="222" t="s">
        <v>281</v>
      </c>
      <c r="M252" s="222" t="s">
        <v>281</v>
      </c>
      <c r="N252" s="222" t="s">
        <v>281</v>
      </c>
      <c r="O252" s="223" t="s">
        <v>281</v>
      </c>
      <c r="P252" s="223" t="s">
        <v>281</v>
      </c>
      <c r="Q252" s="223" t="s">
        <v>281</v>
      </c>
      <c r="R252" s="223" t="s">
        <v>281</v>
      </c>
      <c r="S252" s="223" t="s">
        <v>281</v>
      </c>
      <c r="T252" s="223" t="s">
        <v>281</v>
      </c>
      <c r="U252" s="223" t="s">
        <v>281</v>
      </c>
      <c r="V252" s="223" t="s">
        <v>281</v>
      </c>
      <c r="W252" s="224" t="s">
        <v>17</v>
      </c>
      <c r="X252" s="224" t="s">
        <v>15</v>
      </c>
      <c r="Y252" s="225" t="s">
        <v>281</v>
      </c>
    </row>
    <row r="253" spans="1:25">
      <c r="A253" s="219">
        <v>5</v>
      </c>
      <c r="B253" s="220" t="str">
        <f>VLOOKUP(Tabel10[[#This Row],[Code]],Ruimtegroepen[[Code]:[Ruimte omschrijving]],2,FALSE)</f>
        <v>Sanitair</v>
      </c>
      <c r="C253" s="221" t="s">
        <v>490</v>
      </c>
      <c r="D253" s="220" t="s">
        <v>12</v>
      </c>
      <c r="E253" s="221" t="s">
        <v>102</v>
      </c>
      <c r="F253" s="221" t="s">
        <v>494</v>
      </c>
      <c r="G253" s="226" t="s">
        <v>281</v>
      </c>
      <c r="H253" s="222" t="s">
        <v>281</v>
      </c>
      <c r="I253" s="222" t="s">
        <v>281</v>
      </c>
      <c r="J253" s="222" t="s">
        <v>17</v>
      </c>
      <c r="K253" s="222" t="s">
        <v>15</v>
      </c>
      <c r="L253" s="222" t="s">
        <v>281</v>
      </c>
      <c r="M253" s="222" t="s">
        <v>281</v>
      </c>
      <c r="N253" s="222" t="s">
        <v>281</v>
      </c>
      <c r="O253" s="223" t="s">
        <v>281</v>
      </c>
      <c r="P253" s="223" t="s">
        <v>281</v>
      </c>
      <c r="Q253" s="223" t="s">
        <v>281</v>
      </c>
      <c r="R253" s="223" t="s">
        <v>281</v>
      </c>
      <c r="S253" s="223" t="s">
        <v>281</v>
      </c>
      <c r="T253" s="223" t="s">
        <v>281</v>
      </c>
      <c r="U253" s="223" t="s">
        <v>281</v>
      </c>
      <c r="V253" s="223" t="s">
        <v>281</v>
      </c>
      <c r="W253" s="224" t="s">
        <v>17</v>
      </c>
      <c r="X253" s="224" t="s">
        <v>15</v>
      </c>
      <c r="Y253" s="225" t="s">
        <v>281</v>
      </c>
    </row>
    <row r="254" spans="1:25">
      <c r="A254" s="219">
        <v>5</v>
      </c>
      <c r="B254" s="220" t="str">
        <f>VLOOKUP(Tabel10[[#This Row],[Code]],Ruimtegroepen[[Code]:[Ruimte omschrijving]],2,FALSE)</f>
        <v>Sanitair</v>
      </c>
      <c r="C254" s="221" t="s">
        <v>490</v>
      </c>
      <c r="D254" s="220" t="s">
        <v>12</v>
      </c>
      <c r="E254" s="221" t="s">
        <v>99</v>
      </c>
      <c r="F254" s="221" t="s">
        <v>492</v>
      </c>
      <c r="G254" s="226" t="s">
        <v>281</v>
      </c>
      <c r="H254" s="222" t="s">
        <v>281</v>
      </c>
      <c r="I254" s="222" t="s">
        <v>281</v>
      </c>
      <c r="J254" s="222" t="s">
        <v>281</v>
      </c>
      <c r="K254" s="222" t="s">
        <v>281</v>
      </c>
      <c r="L254" s="222" t="s">
        <v>281</v>
      </c>
      <c r="M254" s="222" t="s">
        <v>281</v>
      </c>
      <c r="N254" s="222" t="s">
        <v>281</v>
      </c>
      <c r="O254" s="223" t="s">
        <v>281</v>
      </c>
      <c r="P254" s="223" t="s">
        <v>281</v>
      </c>
      <c r="Q254" s="223" t="s">
        <v>281</v>
      </c>
      <c r="R254" s="223" t="s">
        <v>281</v>
      </c>
      <c r="S254" s="223" t="s">
        <v>281</v>
      </c>
      <c r="T254" s="223" t="s">
        <v>281</v>
      </c>
      <c r="U254" s="223" t="s">
        <v>281</v>
      </c>
      <c r="V254" s="223" t="s">
        <v>281</v>
      </c>
      <c r="W254" s="224" t="s">
        <v>281</v>
      </c>
      <c r="X254" s="224" t="s">
        <v>281</v>
      </c>
      <c r="Y254" s="225" t="s">
        <v>281</v>
      </c>
    </row>
    <row r="255" spans="1:25">
      <c r="A255" s="219">
        <v>5</v>
      </c>
      <c r="B255" s="220" t="str">
        <f>VLOOKUP(Tabel10[[#This Row],[Code]],Ruimtegroepen[[Code]:[Ruimte omschrijving]],2,FALSE)</f>
        <v>Sanitair</v>
      </c>
      <c r="C255" s="221" t="s">
        <v>490</v>
      </c>
      <c r="D255" s="220" t="s">
        <v>12</v>
      </c>
      <c r="E255" s="221" t="s">
        <v>1309</v>
      </c>
      <c r="F255" s="221" t="s">
        <v>1427</v>
      </c>
      <c r="G255" s="226" t="s">
        <v>281</v>
      </c>
      <c r="H255" s="222" t="s">
        <v>281</v>
      </c>
      <c r="I255" s="222" t="s">
        <v>281</v>
      </c>
      <c r="J255" s="222" t="s">
        <v>17</v>
      </c>
      <c r="K255" s="222" t="s">
        <v>15</v>
      </c>
      <c r="L255" s="222" t="s">
        <v>281</v>
      </c>
      <c r="M255" s="222" t="s">
        <v>281</v>
      </c>
      <c r="N255" s="222" t="s">
        <v>281</v>
      </c>
      <c r="O255" s="223" t="s">
        <v>281</v>
      </c>
      <c r="P255" s="223" t="s">
        <v>281</v>
      </c>
      <c r="Q255" s="223" t="s">
        <v>281</v>
      </c>
      <c r="R255" s="223" t="s">
        <v>281</v>
      </c>
      <c r="S255" s="223" t="s">
        <v>281</v>
      </c>
      <c r="T255" s="223" t="s">
        <v>281</v>
      </c>
      <c r="U255" s="223" t="s">
        <v>281</v>
      </c>
      <c r="V255" s="223" t="s">
        <v>281</v>
      </c>
      <c r="W255" s="224" t="s">
        <v>17</v>
      </c>
      <c r="X255" s="224" t="s">
        <v>15</v>
      </c>
      <c r="Y255" s="225" t="s">
        <v>281</v>
      </c>
    </row>
    <row r="256" spans="1:25">
      <c r="A256" s="219">
        <v>5</v>
      </c>
      <c r="B256" s="220" t="str">
        <f>VLOOKUP(Tabel10[[#This Row],[Code]],Ruimtegroepen[[Code]:[Ruimte omschrijving]],2,FALSE)</f>
        <v>Sanitair</v>
      </c>
      <c r="C256" s="221" t="s">
        <v>495</v>
      </c>
      <c r="D256" s="220" t="s">
        <v>14</v>
      </c>
      <c r="E256" s="221" t="s">
        <v>100</v>
      </c>
      <c r="F256" s="221" t="s">
        <v>496</v>
      </c>
      <c r="G256" s="226" t="s">
        <v>281</v>
      </c>
      <c r="H256" s="222" t="s">
        <v>281</v>
      </c>
      <c r="I256" s="222" t="s">
        <v>281</v>
      </c>
      <c r="J256" s="222" t="s">
        <v>15</v>
      </c>
      <c r="K256" s="222" t="s">
        <v>15</v>
      </c>
      <c r="L256" s="222" t="s">
        <v>281</v>
      </c>
      <c r="M256" s="222" t="s">
        <v>281</v>
      </c>
      <c r="N256" s="222" t="s">
        <v>281</v>
      </c>
      <c r="O256" s="223" t="s">
        <v>281</v>
      </c>
      <c r="P256" s="223" t="s">
        <v>281</v>
      </c>
      <c r="Q256" s="223" t="s">
        <v>281</v>
      </c>
      <c r="R256" s="223" t="s">
        <v>281</v>
      </c>
      <c r="S256" s="223" t="s">
        <v>281</v>
      </c>
      <c r="T256" s="223" t="s">
        <v>281</v>
      </c>
      <c r="U256" s="223" t="s">
        <v>281</v>
      </c>
      <c r="V256" s="223" t="s">
        <v>281</v>
      </c>
      <c r="W256" s="224" t="s">
        <v>15</v>
      </c>
      <c r="X256" s="224" t="s">
        <v>15</v>
      </c>
      <c r="Y256" s="225" t="s">
        <v>281</v>
      </c>
    </row>
    <row r="257" spans="1:25">
      <c r="A257" s="219">
        <v>5</v>
      </c>
      <c r="B257" s="220" t="str">
        <f>VLOOKUP(Tabel10[[#This Row],[Code]],Ruimtegroepen[[Code]:[Ruimte omschrijving]],2,FALSE)</f>
        <v>Sanitair</v>
      </c>
      <c r="C257" s="221" t="s">
        <v>495</v>
      </c>
      <c r="D257" s="220" t="s">
        <v>14</v>
      </c>
      <c r="E257" s="221" t="s">
        <v>99</v>
      </c>
      <c r="F257" s="221" t="s">
        <v>497</v>
      </c>
      <c r="G257" s="226" t="s">
        <v>281</v>
      </c>
      <c r="H257" s="222" t="s">
        <v>281</v>
      </c>
      <c r="I257" s="222" t="s">
        <v>281</v>
      </c>
      <c r="J257" s="222" t="s">
        <v>281</v>
      </c>
      <c r="K257" s="222" t="s">
        <v>281</v>
      </c>
      <c r="L257" s="222" t="s">
        <v>281</v>
      </c>
      <c r="M257" s="222" t="s">
        <v>281</v>
      </c>
      <c r="N257" s="222" t="s">
        <v>281</v>
      </c>
      <c r="O257" s="223" t="s">
        <v>281</v>
      </c>
      <c r="P257" s="223" t="s">
        <v>281</v>
      </c>
      <c r="Q257" s="223" t="s">
        <v>281</v>
      </c>
      <c r="R257" s="223" t="s">
        <v>281</v>
      </c>
      <c r="S257" s="223" t="s">
        <v>281</v>
      </c>
      <c r="T257" s="223" t="s">
        <v>281</v>
      </c>
      <c r="U257" s="223" t="s">
        <v>281</v>
      </c>
      <c r="V257" s="223" t="s">
        <v>281</v>
      </c>
      <c r="W257" s="224" t="s">
        <v>281</v>
      </c>
      <c r="X257" s="224" t="s">
        <v>281</v>
      </c>
      <c r="Y257" s="225" t="s">
        <v>281</v>
      </c>
    </row>
    <row r="258" spans="1:25">
      <c r="A258" s="219">
        <v>5</v>
      </c>
      <c r="B258" s="220" t="str">
        <f>VLOOKUP(Tabel10[[#This Row],[Code]],Ruimtegroepen[[Code]:[Ruimte omschrijving]],2,FALSE)</f>
        <v>Sanitair</v>
      </c>
      <c r="C258" s="221" t="s">
        <v>495</v>
      </c>
      <c r="D258" s="220" t="s">
        <v>14</v>
      </c>
      <c r="E258" s="221" t="s">
        <v>101</v>
      </c>
      <c r="F258" s="221" t="s">
        <v>498</v>
      </c>
      <c r="G258" s="226" t="s">
        <v>281</v>
      </c>
      <c r="H258" s="222" t="s">
        <v>281</v>
      </c>
      <c r="I258" s="222" t="s">
        <v>281</v>
      </c>
      <c r="J258" s="222" t="s">
        <v>15</v>
      </c>
      <c r="K258" s="222" t="s">
        <v>15</v>
      </c>
      <c r="L258" s="222" t="s">
        <v>281</v>
      </c>
      <c r="M258" s="222" t="s">
        <v>281</v>
      </c>
      <c r="N258" s="222" t="s">
        <v>281</v>
      </c>
      <c r="O258" s="223" t="s">
        <v>281</v>
      </c>
      <c r="P258" s="223" t="s">
        <v>281</v>
      </c>
      <c r="Q258" s="223" t="s">
        <v>281</v>
      </c>
      <c r="R258" s="223" t="s">
        <v>281</v>
      </c>
      <c r="S258" s="223" t="s">
        <v>281</v>
      </c>
      <c r="T258" s="223" t="s">
        <v>281</v>
      </c>
      <c r="U258" s="223" t="s">
        <v>281</v>
      </c>
      <c r="V258" s="223" t="s">
        <v>281</v>
      </c>
      <c r="W258" s="224" t="s">
        <v>15</v>
      </c>
      <c r="X258" s="224" t="s">
        <v>15</v>
      </c>
      <c r="Y258" s="225" t="s">
        <v>281</v>
      </c>
    </row>
    <row r="259" spans="1:25">
      <c r="A259" s="219">
        <v>5</v>
      </c>
      <c r="B259" s="220" t="str">
        <f>VLOOKUP(Tabel10[[#This Row],[Code]],Ruimtegroepen[[Code]:[Ruimte omschrijving]],2,FALSE)</f>
        <v>Sanitair</v>
      </c>
      <c r="C259" s="221" t="s">
        <v>495</v>
      </c>
      <c r="D259" s="220" t="s">
        <v>14</v>
      </c>
      <c r="E259" s="221" t="s">
        <v>102</v>
      </c>
      <c r="F259" s="221" t="s">
        <v>499</v>
      </c>
      <c r="G259" s="226" t="s">
        <v>281</v>
      </c>
      <c r="H259" s="222" t="s">
        <v>281</v>
      </c>
      <c r="I259" s="222" t="s">
        <v>281</v>
      </c>
      <c r="J259" s="222" t="s">
        <v>15</v>
      </c>
      <c r="K259" s="222" t="s">
        <v>15</v>
      </c>
      <c r="L259" s="222" t="s">
        <v>281</v>
      </c>
      <c r="M259" s="222" t="s">
        <v>281</v>
      </c>
      <c r="N259" s="222" t="s">
        <v>281</v>
      </c>
      <c r="O259" s="223" t="s">
        <v>281</v>
      </c>
      <c r="P259" s="223" t="s">
        <v>281</v>
      </c>
      <c r="Q259" s="223" t="s">
        <v>281</v>
      </c>
      <c r="R259" s="223" t="s">
        <v>281</v>
      </c>
      <c r="S259" s="223" t="s">
        <v>281</v>
      </c>
      <c r="T259" s="223" t="s">
        <v>281</v>
      </c>
      <c r="U259" s="223" t="s">
        <v>281</v>
      </c>
      <c r="V259" s="223" t="s">
        <v>281</v>
      </c>
      <c r="W259" s="224" t="s">
        <v>15</v>
      </c>
      <c r="X259" s="224" t="s">
        <v>15</v>
      </c>
      <c r="Y259" s="225" t="s">
        <v>281</v>
      </c>
    </row>
    <row r="260" spans="1:25">
      <c r="A260" s="219">
        <v>5</v>
      </c>
      <c r="B260" s="220" t="str">
        <f>VLOOKUP(Tabel10[[#This Row],[Code]],Ruimtegroepen[[Code]:[Ruimte omschrijving]],2,FALSE)</f>
        <v>Sanitair</v>
      </c>
      <c r="C260" s="221" t="s">
        <v>495</v>
      </c>
      <c r="D260" s="220" t="s">
        <v>14</v>
      </c>
      <c r="E260" s="221" t="s">
        <v>99</v>
      </c>
      <c r="F260" s="221" t="s">
        <v>497</v>
      </c>
      <c r="G260" s="226" t="s">
        <v>281</v>
      </c>
      <c r="H260" s="222" t="s">
        <v>281</v>
      </c>
      <c r="I260" s="222" t="s">
        <v>281</v>
      </c>
      <c r="J260" s="222" t="s">
        <v>281</v>
      </c>
      <c r="K260" s="222" t="s">
        <v>281</v>
      </c>
      <c r="L260" s="222" t="s">
        <v>281</v>
      </c>
      <c r="M260" s="222" t="s">
        <v>281</v>
      </c>
      <c r="N260" s="222" t="s">
        <v>281</v>
      </c>
      <c r="O260" s="223" t="s">
        <v>281</v>
      </c>
      <c r="P260" s="223" t="s">
        <v>281</v>
      </c>
      <c r="Q260" s="223" t="s">
        <v>281</v>
      </c>
      <c r="R260" s="223" t="s">
        <v>281</v>
      </c>
      <c r="S260" s="223" t="s">
        <v>281</v>
      </c>
      <c r="T260" s="223" t="s">
        <v>281</v>
      </c>
      <c r="U260" s="223" t="s">
        <v>281</v>
      </c>
      <c r="V260" s="223" t="s">
        <v>281</v>
      </c>
      <c r="W260" s="224" t="s">
        <v>281</v>
      </c>
      <c r="X260" s="224" t="s">
        <v>281</v>
      </c>
      <c r="Y260" s="225" t="s">
        <v>281</v>
      </c>
    </row>
    <row r="261" spans="1:25">
      <c r="A261" s="219">
        <v>5</v>
      </c>
      <c r="B261" s="220" t="str">
        <f>VLOOKUP(Tabel10[[#This Row],[Code]],Ruimtegroepen[[Code]:[Ruimte omschrijving]],2,FALSE)</f>
        <v>Sanitair</v>
      </c>
      <c r="C261" s="221" t="s">
        <v>495</v>
      </c>
      <c r="D261" s="220" t="s">
        <v>14</v>
      </c>
      <c r="E261" s="221" t="s">
        <v>1309</v>
      </c>
      <c r="F261" s="221" t="s">
        <v>1394</v>
      </c>
      <c r="G261" s="226" t="s">
        <v>281</v>
      </c>
      <c r="H261" s="222" t="s">
        <v>281</v>
      </c>
      <c r="I261" s="222" t="s">
        <v>281</v>
      </c>
      <c r="J261" s="222" t="s">
        <v>15</v>
      </c>
      <c r="K261" s="222" t="s">
        <v>15</v>
      </c>
      <c r="L261" s="222" t="s">
        <v>281</v>
      </c>
      <c r="M261" s="222" t="s">
        <v>281</v>
      </c>
      <c r="N261" s="222" t="s">
        <v>281</v>
      </c>
      <c r="O261" s="223" t="s">
        <v>281</v>
      </c>
      <c r="P261" s="223" t="s">
        <v>281</v>
      </c>
      <c r="Q261" s="223" t="s">
        <v>281</v>
      </c>
      <c r="R261" s="223" t="s">
        <v>281</v>
      </c>
      <c r="S261" s="223" t="s">
        <v>281</v>
      </c>
      <c r="T261" s="223" t="s">
        <v>281</v>
      </c>
      <c r="U261" s="223" t="s">
        <v>281</v>
      </c>
      <c r="V261" s="223" t="s">
        <v>281</v>
      </c>
      <c r="W261" s="224" t="s">
        <v>15</v>
      </c>
      <c r="X261" s="224" t="s">
        <v>15</v>
      </c>
      <c r="Y261" s="225" t="s">
        <v>281</v>
      </c>
    </row>
    <row r="262" spans="1:25">
      <c r="A262" s="219">
        <v>5</v>
      </c>
      <c r="B262" s="220" t="str">
        <f>VLOOKUP(Tabel10[[#This Row],[Code]],Ruimtegroepen[[Code]:[Ruimte omschrijving]],2,FALSE)</f>
        <v>Sanitair</v>
      </c>
      <c r="C262" s="221" t="s">
        <v>500</v>
      </c>
      <c r="D262" s="220" t="s">
        <v>13</v>
      </c>
      <c r="E262" s="221" t="s">
        <v>100</v>
      </c>
      <c r="F262" s="221" t="s">
        <v>501</v>
      </c>
      <c r="G262" s="226" t="s">
        <v>281</v>
      </c>
      <c r="H262" s="222" t="s">
        <v>281</v>
      </c>
      <c r="I262" s="222" t="s">
        <v>281</v>
      </c>
      <c r="J262" s="222" t="s">
        <v>281</v>
      </c>
      <c r="K262" s="222" t="s">
        <v>15</v>
      </c>
      <c r="L262" s="222" t="s">
        <v>281</v>
      </c>
      <c r="M262" s="222" t="s">
        <v>281</v>
      </c>
      <c r="N262" s="222" t="s">
        <v>281</v>
      </c>
      <c r="O262" s="223" t="s">
        <v>281</v>
      </c>
      <c r="P262" s="223" t="s">
        <v>281</v>
      </c>
      <c r="Q262" s="223" t="s">
        <v>281</v>
      </c>
      <c r="R262" s="223" t="s">
        <v>281</v>
      </c>
      <c r="S262" s="223" t="s">
        <v>281</v>
      </c>
      <c r="T262" s="223" t="s">
        <v>281</v>
      </c>
      <c r="U262" s="223" t="s">
        <v>281</v>
      </c>
      <c r="V262" s="223" t="s">
        <v>281</v>
      </c>
      <c r="W262" s="224" t="s">
        <v>281</v>
      </c>
      <c r="X262" s="224" t="s">
        <v>15</v>
      </c>
      <c r="Y262" s="225" t="s">
        <v>281</v>
      </c>
    </row>
    <row r="263" spans="1:25">
      <c r="A263" s="219">
        <v>5</v>
      </c>
      <c r="B263" s="220" t="str">
        <f>VLOOKUP(Tabel10[[#This Row],[Code]],Ruimtegroepen[[Code]:[Ruimte omschrijving]],2,FALSE)</f>
        <v>Sanitair</v>
      </c>
      <c r="C263" s="221" t="s">
        <v>500</v>
      </c>
      <c r="D263" s="220" t="s">
        <v>13</v>
      </c>
      <c r="E263" s="221" t="s">
        <v>99</v>
      </c>
      <c r="F263" s="221" t="s">
        <v>502</v>
      </c>
      <c r="G263" s="226" t="s">
        <v>281</v>
      </c>
      <c r="H263" s="222" t="s">
        <v>281</v>
      </c>
      <c r="I263" s="222" t="s">
        <v>281</v>
      </c>
      <c r="J263" s="222" t="s">
        <v>281</v>
      </c>
      <c r="K263" s="222" t="s">
        <v>281</v>
      </c>
      <c r="L263" s="222" t="s">
        <v>281</v>
      </c>
      <c r="M263" s="222" t="s">
        <v>281</v>
      </c>
      <c r="N263" s="222" t="s">
        <v>281</v>
      </c>
      <c r="O263" s="223" t="s">
        <v>281</v>
      </c>
      <c r="P263" s="223" t="s">
        <v>281</v>
      </c>
      <c r="Q263" s="223" t="s">
        <v>281</v>
      </c>
      <c r="R263" s="223" t="s">
        <v>281</v>
      </c>
      <c r="S263" s="223" t="s">
        <v>281</v>
      </c>
      <c r="T263" s="223" t="s">
        <v>281</v>
      </c>
      <c r="U263" s="223" t="s">
        <v>281</v>
      </c>
      <c r="V263" s="223" t="s">
        <v>281</v>
      </c>
      <c r="W263" s="224" t="s">
        <v>281</v>
      </c>
      <c r="X263" s="224" t="s">
        <v>281</v>
      </c>
      <c r="Y263" s="225" t="s">
        <v>281</v>
      </c>
    </row>
    <row r="264" spans="1:25">
      <c r="A264" s="219">
        <v>5</v>
      </c>
      <c r="B264" s="220" t="str">
        <f>VLOOKUP(Tabel10[[#This Row],[Code]],Ruimtegroepen[[Code]:[Ruimte omschrijving]],2,FALSE)</f>
        <v>Sanitair</v>
      </c>
      <c r="C264" s="221" t="s">
        <v>500</v>
      </c>
      <c r="D264" s="220" t="s">
        <v>13</v>
      </c>
      <c r="E264" s="221" t="s">
        <v>101</v>
      </c>
      <c r="F264" s="221" t="s">
        <v>503</v>
      </c>
      <c r="G264" s="226" t="s">
        <v>281</v>
      </c>
      <c r="H264" s="222" t="s">
        <v>281</v>
      </c>
      <c r="I264" s="222" t="s">
        <v>281</v>
      </c>
      <c r="J264" s="222" t="s">
        <v>281</v>
      </c>
      <c r="K264" s="222" t="s">
        <v>15</v>
      </c>
      <c r="L264" s="222" t="s">
        <v>281</v>
      </c>
      <c r="M264" s="222" t="s">
        <v>281</v>
      </c>
      <c r="N264" s="222" t="s">
        <v>281</v>
      </c>
      <c r="O264" s="223" t="s">
        <v>281</v>
      </c>
      <c r="P264" s="223" t="s">
        <v>281</v>
      </c>
      <c r="Q264" s="223" t="s">
        <v>281</v>
      </c>
      <c r="R264" s="223" t="s">
        <v>281</v>
      </c>
      <c r="S264" s="223" t="s">
        <v>281</v>
      </c>
      <c r="T264" s="223" t="s">
        <v>281</v>
      </c>
      <c r="U264" s="223" t="s">
        <v>281</v>
      </c>
      <c r="V264" s="223" t="s">
        <v>281</v>
      </c>
      <c r="W264" s="224" t="s">
        <v>281</v>
      </c>
      <c r="X264" s="224" t="s">
        <v>15</v>
      </c>
      <c r="Y264" s="225" t="s">
        <v>281</v>
      </c>
    </row>
    <row r="265" spans="1:25">
      <c r="A265" s="219">
        <v>5</v>
      </c>
      <c r="B265" s="220" t="str">
        <f>VLOOKUP(Tabel10[[#This Row],[Code]],Ruimtegroepen[[Code]:[Ruimte omschrijving]],2,FALSE)</f>
        <v>Sanitair</v>
      </c>
      <c r="C265" s="221" t="s">
        <v>500</v>
      </c>
      <c r="D265" s="220" t="s">
        <v>13</v>
      </c>
      <c r="E265" s="221" t="s">
        <v>102</v>
      </c>
      <c r="F265" s="221" t="s">
        <v>504</v>
      </c>
      <c r="G265" s="226" t="s">
        <v>281</v>
      </c>
      <c r="H265" s="222" t="s">
        <v>281</v>
      </c>
      <c r="I265" s="222" t="s">
        <v>281</v>
      </c>
      <c r="J265" s="222" t="s">
        <v>281</v>
      </c>
      <c r="K265" s="222" t="s">
        <v>15</v>
      </c>
      <c r="L265" s="222" t="s">
        <v>281</v>
      </c>
      <c r="M265" s="222" t="s">
        <v>281</v>
      </c>
      <c r="N265" s="222" t="s">
        <v>281</v>
      </c>
      <c r="O265" s="223" t="s">
        <v>281</v>
      </c>
      <c r="P265" s="223" t="s">
        <v>281</v>
      </c>
      <c r="Q265" s="223" t="s">
        <v>281</v>
      </c>
      <c r="R265" s="223" t="s">
        <v>281</v>
      </c>
      <c r="S265" s="223" t="s">
        <v>281</v>
      </c>
      <c r="T265" s="223" t="s">
        <v>281</v>
      </c>
      <c r="U265" s="223" t="s">
        <v>281</v>
      </c>
      <c r="V265" s="223" t="s">
        <v>281</v>
      </c>
      <c r="W265" s="224" t="s">
        <v>281</v>
      </c>
      <c r="X265" s="224" t="s">
        <v>15</v>
      </c>
      <c r="Y265" s="225" t="s">
        <v>281</v>
      </c>
    </row>
    <row r="266" spans="1:25">
      <c r="A266" s="219">
        <v>5</v>
      </c>
      <c r="B266" s="220" t="str">
        <f>VLOOKUP(Tabel10[[#This Row],[Code]],Ruimtegroepen[[Code]:[Ruimte omschrijving]],2,FALSE)</f>
        <v>Sanitair</v>
      </c>
      <c r="C266" s="221" t="s">
        <v>500</v>
      </c>
      <c r="D266" s="220" t="s">
        <v>13</v>
      </c>
      <c r="E266" s="221" t="s">
        <v>99</v>
      </c>
      <c r="F266" s="221" t="s">
        <v>502</v>
      </c>
      <c r="G266" s="226" t="s">
        <v>281</v>
      </c>
      <c r="H266" s="222" t="s">
        <v>281</v>
      </c>
      <c r="I266" s="222" t="s">
        <v>281</v>
      </c>
      <c r="J266" s="222" t="s">
        <v>281</v>
      </c>
      <c r="K266" s="222" t="s">
        <v>281</v>
      </c>
      <c r="L266" s="222" t="s">
        <v>281</v>
      </c>
      <c r="M266" s="222" t="s">
        <v>281</v>
      </c>
      <c r="N266" s="222" t="s">
        <v>281</v>
      </c>
      <c r="O266" s="223" t="s">
        <v>281</v>
      </c>
      <c r="P266" s="223" t="s">
        <v>281</v>
      </c>
      <c r="Q266" s="223" t="s">
        <v>281</v>
      </c>
      <c r="R266" s="223" t="s">
        <v>281</v>
      </c>
      <c r="S266" s="223" t="s">
        <v>281</v>
      </c>
      <c r="T266" s="223" t="s">
        <v>281</v>
      </c>
      <c r="U266" s="223" t="s">
        <v>281</v>
      </c>
      <c r="V266" s="223" t="s">
        <v>281</v>
      </c>
      <c r="W266" s="224" t="s">
        <v>281</v>
      </c>
      <c r="X266" s="224" t="s">
        <v>281</v>
      </c>
      <c r="Y266" s="225" t="s">
        <v>281</v>
      </c>
    </row>
    <row r="267" spans="1:25">
      <c r="A267" s="219">
        <v>5</v>
      </c>
      <c r="B267" s="220" t="str">
        <f>VLOOKUP(Tabel10[[#This Row],[Code]],Ruimtegroepen[[Code]:[Ruimte omschrijving]],2,FALSE)</f>
        <v>Sanitair</v>
      </c>
      <c r="C267" s="221" t="s">
        <v>500</v>
      </c>
      <c r="D267" s="220" t="s">
        <v>13</v>
      </c>
      <c r="E267" s="221" t="s">
        <v>1309</v>
      </c>
      <c r="F267" s="221" t="s">
        <v>1361</v>
      </c>
      <c r="G267" s="226" t="s">
        <v>281</v>
      </c>
      <c r="H267" s="222" t="s">
        <v>281</v>
      </c>
      <c r="I267" s="222" t="s">
        <v>281</v>
      </c>
      <c r="J267" s="222" t="s">
        <v>281</v>
      </c>
      <c r="K267" s="222" t="s">
        <v>15</v>
      </c>
      <c r="L267" s="222" t="s">
        <v>281</v>
      </c>
      <c r="M267" s="222" t="s">
        <v>281</v>
      </c>
      <c r="N267" s="222" t="s">
        <v>281</v>
      </c>
      <c r="O267" s="223" t="s">
        <v>281</v>
      </c>
      <c r="P267" s="223" t="s">
        <v>281</v>
      </c>
      <c r="Q267" s="223" t="s">
        <v>281</v>
      </c>
      <c r="R267" s="223" t="s">
        <v>281</v>
      </c>
      <c r="S267" s="223" t="s">
        <v>281</v>
      </c>
      <c r="T267" s="223" t="s">
        <v>281</v>
      </c>
      <c r="U267" s="223" t="s">
        <v>281</v>
      </c>
      <c r="V267" s="223" t="s">
        <v>281</v>
      </c>
      <c r="W267" s="224" t="s">
        <v>281</v>
      </c>
      <c r="X267" s="224" t="s">
        <v>15</v>
      </c>
      <c r="Y267" s="225" t="s">
        <v>281</v>
      </c>
    </row>
    <row r="268" spans="1:25">
      <c r="A268" s="219">
        <v>5</v>
      </c>
      <c r="B268" s="220" t="str">
        <f>VLOOKUP(Tabel10[[#This Row],[Code]],Ruimtegroepen[[Code]:[Ruimte omschrijving]],2,FALSE)</f>
        <v>Sanitair</v>
      </c>
      <c r="C268" s="221" t="s">
        <v>505</v>
      </c>
      <c r="D268" s="220" t="s">
        <v>0</v>
      </c>
      <c r="E268" s="221" t="s">
        <v>100</v>
      </c>
      <c r="F268" s="221" t="s">
        <v>506</v>
      </c>
      <c r="G268" s="226" t="s">
        <v>281</v>
      </c>
      <c r="H268" s="222" t="s">
        <v>281</v>
      </c>
      <c r="I268" s="222" t="s">
        <v>281</v>
      </c>
      <c r="J268" s="222" t="s">
        <v>281</v>
      </c>
      <c r="K268" s="222" t="s">
        <v>16</v>
      </c>
      <c r="L268" s="222" t="s">
        <v>281</v>
      </c>
      <c r="M268" s="222" t="s">
        <v>281</v>
      </c>
      <c r="N268" s="222" t="s">
        <v>281</v>
      </c>
      <c r="O268" s="223" t="s">
        <v>281</v>
      </c>
      <c r="P268" s="223" t="s">
        <v>281</v>
      </c>
      <c r="Q268" s="223" t="s">
        <v>281</v>
      </c>
      <c r="R268" s="223" t="s">
        <v>281</v>
      </c>
      <c r="S268" s="223" t="s">
        <v>281</v>
      </c>
      <c r="T268" s="223" t="s">
        <v>281</v>
      </c>
      <c r="U268" s="223" t="s">
        <v>281</v>
      </c>
      <c r="V268" s="223" t="s">
        <v>281</v>
      </c>
      <c r="W268" s="224" t="s">
        <v>281</v>
      </c>
      <c r="X268" s="224" t="s">
        <v>16</v>
      </c>
      <c r="Y268" s="225" t="s">
        <v>281</v>
      </c>
    </row>
    <row r="269" spans="1:25">
      <c r="A269" s="219">
        <v>5</v>
      </c>
      <c r="B269" s="220" t="str">
        <f>VLOOKUP(Tabel10[[#This Row],[Code]],Ruimtegroepen[[Code]:[Ruimte omschrijving]],2,FALSE)</f>
        <v>Sanitair</v>
      </c>
      <c r="C269" s="221" t="s">
        <v>505</v>
      </c>
      <c r="D269" s="220" t="s">
        <v>0</v>
      </c>
      <c r="E269" s="221" t="s">
        <v>99</v>
      </c>
      <c r="F269" s="221" t="s">
        <v>507</v>
      </c>
      <c r="G269" s="226" t="s">
        <v>281</v>
      </c>
      <c r="H269" s="222" t="s">
        <v>281</v>
      </c>
      <c r="I269" s="222" t="s">
        <v>281</v>
      </c>
      <c r="J269" s="222" t="s">
        <v>281</v>
      </c>
      <c r="K269" s="222" t="s">
        <v>281</v>
      </c>
      <c r="L269" s="222" t="s">
        <v>281</v>
      </c>
      <c r="M269" s="222" t="s">
        <v>281</v>
      </c>
      <c r="N269" s="222" t="s">
        <v>281</v>
      </c>
      <c r="O269" s="223" t="s">
        <v>281</v>
      </c>
      <c r="P269" s="223" t="s">
        <v>281</v>
      </c>
      <c r="Q269" s="223" t="s">
        <v>281</v>
      </c>
      <c r="R269" s="223" t="s">
        <v>281</v>
      </c>
      <c r="S269" s="223" t="s">
        <v>281</v>
      </c>
      <c r="T269" s="223" t="s">
        <v>281</v>
      </c>
      <c r="U269" s="223" t="s">
        <v>281</v>
      </c>
      <c r="V269" s="223" t="s">
        <v>281</v>
      </c>
      <c r="W269" s="224" t="s">
        <v>281</v>
      </c>
      <c r="X269" s="224" t="s">
        <v>281</v>
      </c>
      <c r="Y269" s="225" t="s">
        <v>281</v>
      </c>
    </row>
    <row r="270" spans="1:25">
      <c r="A270" s="219">
        <v>5</v>
      </c>
      <c r="B270" s="220" t="str">
        <f>VLOOKUP(Tabel10[[#This Row],[Code]],Ruimtegroepen[[Code]:[Ruimte omschrijving]],2,FALSE)</f>
        <v>Sanitair</v>
      </c>
      <c r="C270" s="221" t="s">
        <v>505</v>
      </c>
      <c r="D270" s="220" t="s">
        <v>0</v>
      </c>
      <c r="E270" s="221" t="s">
        <v>101</v>
      </c>
      <c r="F270" s="221" t="s">
        <v>508</v>
      </c>
      <c r="G270" s="226" t="s">
        <v>281</v>
      </c>
      <c r="H270" s="222" t="s">
        <v>281</v>
      </c>
      <c r="I270" s="222" t="s">
        <v>281</v>
      </c>
      <c r="J270" s="222" t="s">
        <v>281</v>
      </c>
      <c r="K270" s="222" t="s">
        <v>16</v>
      </c>
      <c r="L270" s="222" t="s">
        <v>281</v>
      </c>
      <c r="M270" s="222" t="s">
        <v>281</v>
      </c>
      <c r="N270" s="222" t="s">
        <v>281</v>
      </c>
      <c r="O270" s="223" t="s">
        <v>281</v>
      </c>
      <c r="P270" s="223" t="s">
        <v>281</v>
      </c>
      <c r="Q270" s="223" t="s">
        <v>281</v>
      </c>
      <c r="R270" s="223" t="s">
        <v>281</v>
      </c>
      <c r="S270" s="223" t="s">
        <v>281</v>
      </c>
      <c r="T270" s="223" t="s">
        <v>281</v>
      </c>
      <c r="U270" s="223" t="s">
        <v>281</v>
      </c>
      <c r="V270" s="223" t="s">
        <v>281</v>
      </c>
      <c r="W270" s="224" t="s">
        <v>281</v>
      </c>
      <c r="X270" s="224" t="s">
        <v>16</v>
      </c>
      <c r="Y270" s="225" t="s">
        <v>281</v>
      </c>
    </row>
    <row r="271" spans="1:25">
      <c r="A271" s="219">
        <v>5</v>
      </c>
      <c r="B271" s="220" t="str">
        <f>VLOOKUP(Tabel10[[#This Row],[Code]],Ruimtegroepen[[Code]:[Ruimte omschrijving]],2,FALSE)</f>
        <v>Sanitair</v>
      </c>
      <c r="C271" s="221" t="s">
        <v>505</v>
      </c>
      <c r="D271" s="220" t="s">
        <v>0</v>
      </c>
      <c r="E271" s="221" t="s">
        <v>102</v>
      </c>
      <c r="F271" s="221" t="s">
        <v>509</v>
      </c>
      <c r="G271" s="226" t="s">
        <v>281</v>
      </c>
      <c r="H271" s="222" t="s">
        <v>281</v>
      </c>
      <c r="I271" s="222" t="s">
        <v>281</v>
      </c>
      <c r="J271" s="222" t="s">
        <v>281</v>
      </c>
      <c r="K271" s="222" t="s">
        <v>16</v>
      </c>
      <c r="L271" s="222" t="s">
        <v>281</v>
      </c>
      <c r="M271" s="222" t="s">
        <v>281</v>
      </c>
      <c r="N271" s="222" t="s">
        <v>281</v>
      </c>
      <c r="O271" s="223" t="s">
        <v>281</v>
      </c>
      <c r="P271" s="223" t="s">
        <v>281</v>
      </c>
      <c r="Q271" s="223" t="s">
        <v>281</v>
      </c>
      <c r="R271" s="223" t="s">
        <v>281</v>
      </c>
      <c r="S271" s="223" t="s">
        <v>281</v>
      </c>
      <c r="T271" s="223" t="s">
        <v>281</v>
      </c>
      <c r="U271" s="223" t="s">
        <v>281</v>
      </c>
      <c r="V271" s="223" t="s">
        <v>281</v>
      </c>
      <c r="W271" s="224" t="s">
        <v>281</v>
      </c>
      <c r="X271" s="224" t="s">
        <v>16</v>
      </c>
      <c r="Y271" s="225" t="s">
        <v>281</v>
      </c>
    </row>
    <row r="272" spans="1:25">
      <c r="A272" s="219">
        <v>5</v>
      </c>
      <c r="B272" s="220" t="str">
        <f>VLOOKUP(Tabel10[[#This Row],[Code]],Ruimtegroepen[[Code]:[Ruimte omschrijving]],2,FALSE)</f>
        <v>Sanitair</v>
      </c>
      <c r="C272" s="221" t="s">
        <v>505</v>
      </c>
      <c r="D272" s="220" t="s">
        <v>0</v>
      </c>
      <c r="E272" s="221" t="s">
        <v>99</v>
      </c>
      <c r="F272" s="221" t="s">
        <v>507</v>
      </c>
      <c r="G272" s="226" t="s">
        <v>281</v>
      </c>
      <c r="H272" s="222" t="s">
        <v>281</v>
      </c>
      <c r="I272" s="222" t="s">
        <v>281</v>
      </c>
      <c r="J272" s="222" t="s">
        <v>281</v>
      </c>
      <c r="K272" s="222" t="s">
        <v>281</v>
      </c>
      <c r="L272" s="222" t="s">
        <v>281</v>
      </c>
      <c r="M272" s="222" t="s">
        <v>281</v>
      </c>
      <c r="N272" s="222" t="s">
        <v>281</v>
      </c>
      <c r="O272" s="223" t="s">
        <v>281</v>
      </c>
      <c r="P272" s="223" t="s">
        <v>281</v>
      </c>
      <c r="Q272" s="223" t="s">
        <v>281</v>
      </c>
      <c r="R272" s="223" t="s">
        <v>281</v>
      </c>
      <c r="S272" s="223" t="s">
        <v>281</v>
      </c>
      <c r="T272" s="223" t="s">
        <v>281</v>
      </c>
      <c r="U272" s="223" t="s">
        <v>281</v>
      </c>
      <c r="V272" s="223" t="s">
        <v>281</v>
      </c>
      <c r="W272" s="224" t="s">
        <v>281</v>
      </c>
      <c r="X272" s="224" t="s">
        <v>281</v>
      </c>
      <c r="Y272" s="225" t="s">
        <v>281</v>
      </c>
    </row>
    <row r="273" spans="1:25">
      <c r="A273" s="219">
        <v>5</v>
      </c>
      <c r="B273" s="220" t="str">
        <f>VLOOKUP(Tabel10[[#This Row],[Code]],Ruimtegroepen[[Code]:[Ruimte omschrijving]],2,FALSE)</f>
        <v>Sanitair</v>
      </c>
      <c r="C273" s="221" t="s">
        <v>505</v>
      </c>
      <c r="D273" s="220" t="s">
        <v>0</v>
      </c>
      <c r="E273" s="221" t="s">
        <v>1309</v>
      </c>
      <c r="F273" s="221" t="s">
        <v>1345</v>
      </c>
      <c r="G273" s="226" t="s">
        <v>281</v>
      </c>
      <c r="H273" s="222" t="s">
        <v>281</v>
      </c>
      <c r="I273" s="222" t="s">
        <v>281</v>
      </c>
      <c r="J273" s="222" t="s">
        <v>281</v>
      </c>
      <c r="K273" s="222" t="s">
        <v>16</v>
      </c>
      <c r="L273" s="222" t="s">
        <v>281</v>
      </c>
      <c r="M273" s="222" t="s">
        <v>281</v>
      </c>
      <c r="N273" s="222" t="s">
        <v>281</v>
      </c>
      <c r="O273" s="223" t="s">
        <v>281</v>
      </c>
      <c r="P273" s="223" t="s">
        <v>281</v>
      </c>
      <c r="Q273" s="223" t="s">
        <v>281</v>
      </c>
      <c r="R273" s="223" t="s">
        <v>281</v>
      </c>
      <c r="S273" s="223" t="s">
        <v>281</v>
      </c>
      <c r="T273" s="223" t="s">
        <v>281</v>
      </c>
      <c r="U273" s="223" t="s">
        <v>281</v>
      </c>
      <c r="V273" s="223" t="s">
        <v>281</v>
      </c>
      <c r="W273" s="224" t="s">
        <v>281</v>
      </c>
      <c r="X273" s="224" t="s">
        <v>16</v>
      </c>
      <c r="Y273" s="225" t="s">
        <v>281</v>
      </c>
    </row>
    <row r="274" spans="1:25">
      <c r="A274" s="219">
        <v>5</v>
      </c>
      <c r="B274" s="220" t="str">
        <f>VLOOKUP(Tabel10[[#This Row],[Code]],Ruimtegroepen[[Code]:[Ruimte omschrijving]],2,FALSE)</f>
        <v>Sanitair</v>
      </c>
      <c r="C274" s="221" t="s">
        <v>510</v>
      </c>
      <c r="D274" s="220" t="s">
        <v>27</v>
      </c>
      <c r="E274" s="221" t="s">
        <v>100</v>
      </c>
      <c r="F274" s="221" t="s">
        <v>511</v>
      </c>
      <c r="G274" s="226" t="s">
        <v>281</v>
      </c>
      <c r="H274" s="222" t="s">
        <v>281</v>
      </c>
      <c r="I274" s="222" t="s">
        <v>281</v>
      </c>
      <c r="J274" s="222" t="s">
        <v>15</v>
      </c>
      <c r="K274" s="222" t="s">
        <v>281</v>
      </c>
      <c r="L274" s="222" t="s">
        <v>281</v>
      </c>
      <c r="M274" s="222" t="s">
        <v>281</v>
      </c>
      <c r="N274" s="222" t="s">
        <v>281</v>
      </c>
      <c r="O274" s="223" t="s">
        <v>281</v>
      </c>
      <c r="P274" s="223" t="s">
        <v>281</v>
      </c>
      <c r="Q274" s="223" t="s">
        <v>281</v>
      </c>
      <c r="R274" s="223" t="s">
        <v>281</v>
      </c>
      <c r="S274" s="223" t="s">
        <v>281</v>
      </c>
      <c r="T274" s="223" t="s">
        <v>281</v>
      </c>
      <c r="U274" s="223" t="s">
        <v>281</v>
      </c>
      <c r="V274" s="223" t="s">
        <v>281</v>
      </c>
      <c r="W274" s="224" t="s">
        <v>15</v>
      </c>
      <c r="X274" s="224" t="s">
        <v>15</v>
      </c>
      <c r="Y274" s="225" t="s">
        <v>281</v>
      </c>
    </row>
    <row r="275" spans="1:25">
      <c r="A275" s="219">
        <v>5</v>
      </c>
      <c r="B275" s="220" t="str">
        <f>VLOOKUP(Tabel10[[#This Row],[Code]],Ruimtegroepen[[Code]:[Ruimte omschrijving]],2,FALSE)</f>
        <v>Sanitair</v>
      </c>
      <c r="C275" s="221" t="s">
        <v>510</v>
      </c>
      <c r="D275" s="220" t="s">
        <v>27</v>
      </c>
      <c r="E275" s="221" t="s">
        <v>99</v>
      </c>
      <c r="F275" s="221" t="s">
        <v>512</v>
      </c>
      <c r="G275" s="226" t="s">
        <v>281</v>
      </c>
      <c r="H275" s="222" t="s">
        <v>281</v>
      </c>
      <c r="I275" s="222" t="s">
        <v>281</v>
      </c>
      <c r="J275" s="222" t="s">
        <v>281</v>
      </c>
      <c r="K275" s="222" t="s">
        <v>281</v>
      </c>
      <c r="L275" s="222" t="s">
        <v>281</v>
      </c>
      <c r="M275" s="222" t="s">
        <v>281</v>
      </c>
      <c r="N275" s="222" t="s">
        <v>281</v>
      </c>
      <c r="O275" s="223" t="s">
        <v>281</v>
      </c>
      <c r="P275" s="223" t="s">
        <v>281</v>
      </c>
      <c r="Q275" s="223" t="s">
        <v>281</v>
      </c>
      <c r="R275" s="223" t="s">
        <v>281</v>
      </c>
      <c r="S275" s="223" t="s">
        <v>281</v>
      </c>
      <c r="T275" s="223" t="s">
        <v>281</v>
      </c>
      <c r="U275" s="223" t="s">
        <v>281</v>
      </c>
      <c r="V275" s="223" t="s">
        <v>281</v>
      </c>
      <c r="W275" s="224" t="s">
        <v>281</v>
      </c>
      <c r="X275" s="224" t="s">
        <v>281</v>
      </c>
      <c r="Y275" s="225" t="s">
        <v>281</v>
      </c>
    </row>
    <row r="276" spans="1:25">
      <c r="A276" s="219">
        <v>5</v>
      </c>
      <c r="B276" s="220" t="str">
        <f>VLOOKUP(Tabel10[[#This Row],[Code]],Ruimtegroepen[[Code]:[Ruimte omschrijving]],2,FALSE)</f>
        <v>Sanitair</v>
      </c>
      <c r="C276" s="221" t="s">
        <v>510</v>
      </c>
      <c r="D276" s="220" t="s">
        <v>27</v>
      </c>
      <c r="E276" s="221" t="s">
        <v>101</v>
      </c>
      <c r="F276" s="221" t="s">
        <v>513</v>
      </c>
      <c r="G276" s="226" t="s">
        <v>281</v>
      </c>
      <c r="H276" s="222" t="s">
        <v>281</v>
      </c>
      <c r="I276" s="222" t="s">
        <v>281</v>
      </c>
      <c r="J276" s="222" t="s">
        <v>15</v>
      </c>
      <c r="K276" s="222" t="s">
        <v>281</v>
      </c>
      <c r="L276" s="222" t="s">
        <v>281</v>
      </c>
      <c r="M276" s="222" t="s">
        <v>281</v>
      </c>
      <c r="N276" s="222" t="s">
        <v>281</v>
      </c>
      <c r="O276" s="223" t="s">
        <v>281</v>
      </c>
      <c r="P276" s="223" t="s">
        <v>281</v>
      </c>
      <c r="Q276" s="223" t="s">
        <v>281</v>
      </c>
      <c r="R276" s="223" t="s">
        <v>281</v>
      </c>
      <c r="S276" s="223" t="s">
        <v>281</v>
      </c>
      <c r="T276" s="223" t="s">
        <v>281</v>
      </c>
      <c r="U276" s="223" t="s">
        <v>281</v>
      </c>
      <c r="V276" s="223" t="s">
        <v>281</v>
      </c>
      <c r="W276" s="224" t="s">
        <v>15</v>
      </c>
      <c r="X276" s="224" t="s">
        <v>15</v>
      </c>
      <c r="Y276" s="225" t="s">
        <v>281</v>
      </c>
    </row>
    <row r="277" spans="1:25">
      <c r="A277" s="219">
        <v>5</v>
      </c>
      <c r="B277" s="220" t="str">
        <f>VLOOKUP(Tabel10[[#This Row],[Code]],Ruimtegroepen[[Code]:[Ruimte omschrijving]],2,FALSE)</f>
        <v>Sanitair</v>
      </c>
      <c r="C277" s="221" t="s">
        <v>510</v>
      </c>
      <c r="D277" s="220" t="s">
        <v>27</v>
      </c>
      <c r="E277" s="221" t="s">
        <v>102</v>
      </c>
      <c r="F277" s="221" t="s">
        <v>514</v>
      </c>
      <c r="G277" s="226" t="s">
        <v>281</v>
      </c>
      <c r="H277" s="222" t="s">
        <v>281</v>
      </c>
      <c r="I277" s="222" t="s">
        <v>281</v>
      </c>
      <c r="J277" s="222" t="s">
        <v>15</v>
      </c>
      <c r="K277" s="222" t="s">
        <v>281</v>
      </c>
      <c r="L277" s="222" t="s">
        <v>281</v>
      </c>
      <c r="M277" s="222" t="s">
        <v>281</v>
      </c>
      <c r="N277" s="222" t="s">
        <v>281</v>
      </c>
      <c r="O277" s="223" t="s">
        <v>281</v>
      </c>
      <c r="P277" s="223" t="s">
        <v>281</v>
      </c>
      <c r="Q277" s="223" t="s">
        <v>281</v>
      </c>
      <c r="R277" s="223" t="s">
        <v>281</v>
      </c>
      <c r="S277" s="223" t="s">
        <v>281</v>
      </c>
      <c r="T277" s="223" t="s">
        <v>281</v>
      </c>
      <c r="U277" s="223" t="s">
        <v>281</v>
      </c>
      <c r="V277" s="223" t="s">
        <v>281</v>
      </c>
      <c r="W277" s="224" t="s">
        <v>15</v>
      </c>
      <c r="X277" s="224" t="s">
        <v>15</v>
      </c>
      <c r="Y277" s="225" t="s">
        <v>281</v>
      </c>
    </row>
    <row r="278" spans="1:25">
      <c r="A278" s="219">
        <v>5</v>
      </c>
      <c r="B278" s="220" t="str">
        <f>VLOOKUP(Tabel10[[#This Row],[Code]],Ruimtegroepen[[Code]:[Ruimte omschrijving]],2,FALSE)</f>
        <v>Sanitair</v>
      </c>
      <c r="C278" s="221" t="s">
        <v>510</v>
      </c>
      <c r="D278" s="220" t="s">
        <v>27</v>
      </c>
      <c r="E278" s="221" t="s">
        <v>99</v>
      </c>
      <c r="F278" s="221" t="s">
        <v>512</v>
      </c>
      <c r="G278" s="226" t="s">
        <v>281</v>
      </c>
      <c r="H278" s="222" t="s">
        <v>281</v>
      </c>
      <c r="I278" s="222" t="s">
        <v>281</v>
      </c>
      <c r="J278" s="222" t="s">
        <v>281</v>
      </c>
      <c r="K278" s="222" t="s">
        <v>281</v>
      </c>
      <c r="L278" s="222" t="s">
        <v>281</v>
      </c>
      <c r="M278" s="222" t="s">
        <v>281</v>
      </c>
      <c r="N278" s="222" t="s">
        <v>281</v>
      </c>
      <c r="O278" s="223" t="s">
        <v>281</v>
      </c>
      <c r="P278" s="223" t="s">
        <v>281</v>
      </c>
      <c r="Q278" s="223" t="s">
        <v>281</v>
      </c>
      <c r="R278" s="223" t="s">
        <v>281</v>
      </c>
      <c r="S278" s="223" t="s">
        <v>281</v>
      </c>
      <c r="T278" s="223" t="s">
        <v>281</v>
      </c>
      <c r="U278" s="223" t="s">
        <v>281</v>
      </c>
      <c r="V278" s="223" t="s">
        <v>281</v>
      </c>
      <c r="W278" s="224" t="s">
        <v>281</v>
      </c>
      <c r="X278" s="224" t="s">
        <v>281</v>
      </c>
      <c r="Y278" s="225" t="s">
        <v>281</v>
      </c>
    </row>
    <row r="279" spans="1:25">
      <c r="A279" s="219">
        <v>5</v>
      </c>
      <c r="B279" s="220" t="str">
        <f>VLOOKUP(Tabel10[[#This Row],[Code]],Ruimtegroepen[[Code]:[Ruimte omschrijving]],2,FALSE)</f>
        <v>Sanitair</v>
      </c>
      <c r="C279" s="221" t="s">
        <v>510</v>
      </c>
      <c r="D279" s="220" t="s">
        <v>27</v>
      </c>
      <c r="E279" s="221" t="s">
        <v>1309</v>
      </c>
      <c r="F279" s="221" t="s">
        <v>1378</v>
      </c>
      <c r="G279" s="226" t="s">
        <v>281</v>
      </c>
      <c r="H279" s="222" t="s">
        <v>281</v>
      </c>
      <c r="I279" s="222" t="s">
        <v>281</v>
      </c>
      <c r="J279" s="222" t="s">
        <v>15</v>
      </c>
      <c r="K279" s="222" t="s">
        <v>281</v>
      </c>
      <c r="L279" s="222" t="s">
        <v>281</v>
      </c>
      <c r="M279" s="222" t="s">
        <v>281</v>
      </c>
      <c r="N279" s="222" t="s">
        <v>281</v>
      </c>
      <c r="O279" s="223" t="s">
        <v>281</v>
      </c>
      <c r="P279" s="223" t="s">
        <v>281</v>
      </c>
      <c r="Q279" s="223" t="s">
        <v>281</v>
      </c>
      <c r="R279" s="223" t="s">
        <v>281</v>
      </c>
      <c r="S279" s="223" t="s">
        <v>281</v>
      </c>
      <c r="T279" s="223" t="s">
        <v>281</v>
      </c>
      <c r="U279" s="223" t="s">
        <v>281</v>
      </c>
      <c r="V279" s="223" t="s">
        <v>281</v>
      </c>
      <c r="W279" s="224" t="s">
        <v>15</v>
      </c>
      <c r="X279" s="224" t="s">
        <v>15</v>
      </c>
      <c r="Y279" s="225" t="s">
        <v>281</v>
      </c>
    </row>
    <row r="280" spans="1:25">
      <c r="A280" s="219">
        <v>5</v>
      </c>
      <c r="B280" s="220" t="str">
        <f>VLOOKUP(Tabel10[[#This Row],[Code]],Ruimtegroepen[[Code]:[Ruimte omschrijving]],2,FALSE)</f>
        <v>Sanitair</v>
      </c>
      <c r="C280" s="221" t="s">
        <v>515</v>
      </c>
      <c r="D280" s="220" t="s">
        <v>28</v>
      </c>
      <c r="E280" s="221" t="s">
        <v>100</v>
      </c>
      <c r="F280" s="221" t="s">
        <v>516</v>
      </c>
      <c r="G280" s="226" t="s">
        <v>281</v>
      </c>
      <c r="H280" s="222" t="s">
        <v>281</v>
      </c>
      <c r="I280" s="222" t="s">
        <v>281</v>
      </c>
      <c r="J280" s="222" t="s">
        <v>17</v>
      </c>
      <c r="K280" s="222" t="s">
        <v>281</v>
      </c>
      <c r="L280" s="222" t="s">
        <v>281</v>
      </c>
      <c r="M280" s="222" t="s">
        <v>281</v>
      </c>
      <c r="N280" s="222" t="s">
        <v>281</v>
      </c>
      <c r="O280" s="223" t="s">
        <v>281</v>
      </c>
      <c r="P280" s="223" t="s">
        <v>281</v>
      </c>
      <c r="Q280" s="223" t="s">
        <v>281</v>
      </c>
      <c r="R280" s="223" t="s">
        <v>281</v>
      </c>
      <c r="S280" s="223" t="s">
        <v>281</v>
      </c>
      <c r="T280" s="223" t="s">
        <v>281</v>
      </c>
      <c r="U280" s="223" t="s">
        <v>281</v>
      </c>
      <c r="V280" s="223" t="s">
        <v>281</v>
      </c>
      <c r="W280" s="224" t="s">
        <v>17</v>
      </c>
      <c r="X280" s="224" t="s">
        <v>17</v>
      </c>
      <c r="Y280" s="225" t="s">
        <v>281</v>
      </c>
    </row>
    <row r="281" spans="1:25">
      <c r="A281" s="219">
        <v>5</v>
      </c>
      <c r="B281" s="220" t="str">
        <f>VLOOKUP(Tabel10[[#This Row],[Code]],Ruimtegroepen[[Code]:[Ruimte omschrijving]],2,FALSE)</f>
        <v>Sanitair</v>
      </c>
      <c r="C281" s="221" t="s">
        <v>515</v>
      </c>
      <c r="D281" s="220" t="s">
        <v>28</v>
      </c>
      <c r="E281" s="221" t="s">
        <v>99</v>
      </c>
      <c r="F281" s="221" t="s">
        <v>517</v>
      </c>
      <c r="G281" s="226" t="s">
        <v>281</v>
      </c>
      <c r="H281" s="222" t="s">
        <v>281</v>
      </c>
      <c r="I281" s="222" t="s">
        <v>281</v>
      </c>
      <c r="J281" s="222" t="s">
        <v>281</v>
      </c>
      <c r="K281" s="222" t="s">
        <v>281</v>
      </c>
      <c r="L281" s="222" t="s">
        <v>281</v>
      </c>
      <c r="M281" s="222" t="s">
        <v>281</v>
      </c>
      <c r="N281" s="222" t="s">
        <v>281</v>
      </c>
      <c r="O281" s="223" t="s">
        <v>281</v>
      </c>
      <c r="P281" s="223" t="s">
        <v>281</v>
      </c>
      <c r="Q281" s="223" t="s">
        <v>281</v>
      </c>
      <c r="R281" s="223" t="s">
        <v>281</v>
      </c>
      <c r="S281" s="223" t="s">
        <v>281</v>
      </c>
      <c r="T281" s="223" t="s">
        <v>281</v>
      </c>
      <c r="U281" s="223" t="s">
        <v>281</v>
      </c>
      <c r="V281" s="223" t="s">
        <v>281</v>
      </c>
      <c r="W281" s="224" t="s">
        <v>281</v>
      </c>
      <c r="X281" s="224" t="s">
        <v>281</v>
      </c>
      <c r="Y281" s="225" t="s">
        <v>281</v>
      </c>
    </row>
    <row r="282" spans="1:25">
      <c r="A282" s="219">
        <v>5</v>
      </c>
      <c r="B282" s="220" t="str">
        <f>VLOOKUP(Tabel10[[#This Row],[Code]],Ruimtegroepen[[Code]:[Ruimte omschrijving]],2,FALSE)</f>
        <v>Sanitair</v>
      </c>
      <c r="C282" s="221" t="s">
        <v>515</v>
      </c>
      <c r="D282" s="220" t="s">
        <v>28</v>
      </c>
      <c r="E282" s="221" t="s">
        <v>101</v>
      </c>
      <c r="F282" s="221" t="s">
        <v>518</v>
      </c>
      <c r="G282" s="226" t="s">
        <v>281</v>
      </c>
      <c r="H282" s="222" t="s">
        <v>281</v>
      </c>
      <c r="I282" s="222" t="s">
        <v>281</v>
      </c>
      <c r="J282" s="222" t="s">
        <v>17</v>
      </c>
      <c r="K282" s="222" t="s">
        <v>281</v>
      </c>
      <c r="L282" s="222" t="s">
        <v>281</v>
      </c>
      <c r="M282" s="222" t="s">
        <v>281</v>
      </c>
      <c r="N282" s="222" t="s">
        <v>281</v>
      </c>
      <c r="O282" s="223" t="s">
        <v>281</v>
      </c>
      <c r="P282" s="223" t="s">
        <v>281</v>
      </c>
      <c r="Q282" s="223" t="s">
        <v>281</v>
      </c>
      <c r="R282" s="223" t="s">
        <v>281</v>
      </c>
      <c r="S282" s="223" t="s">
        <v>281</v>
      </c>
      <c r="T282" s="223" t="s">
        <v>281</v>
      </c>
      <c r="U282" s="223" t="s">
        <v>281</v>
      </c>
      <c r="V282" s="223" t="s">
        <v>281</v>
      </c>
      <c r="W282" s="224" t="s">
        <v>17</v>
      </c>
      <c r="X282" s="224" t="s">
        <v>17</v>
      </c>
      <c r="Y282" s="225" t="s">
        <v>281</v>
      </c>
    </row>
    <row r="283" spans="1:25">
      <c r="A283" s="219">
        <v>5</v>
      </c>
      <c r="B283" s="220" t="str">
        <f>VLOOKUP(Tabel10[[#This Row],[Code]],Ruimtegroepen[[Code]:[Ruimte omschrijving]],2,FALSE)</f>
        <v>Sanitair</v>
      </c>
      <c r="C283" s="221" t="s">
        <v>515</v>
      </c>
      <c r="D283" s="220" t="s">
        <v>28</v>
      </c>
      <c r="E283" s="221" t="s">
        <v>102</v>
      </c>
      <c r="F283" s="221" t="s">
        <v>519</v>
      </c>
      <c r="G283" s="226" t="s">
        <v>281</v>
      </c>
      <c r="H283" s="222" t="s">
        <v>281</v>
      </c>
      <c r="I283" s="222" t="s">
        <v>281</v>
      </c>
      <c r="J283" s="222" t="s">
        <v>17</v>
      </c>
      <c r="K283" s="222" t="s">
        <v>281</v>
      </c>
      <c r="L283" s="222" t="s">
        <v>281</v>
      </c>
      <c r="M283" s="222" t="s">
        <v>281</v>
      </c>
      <c r="N283" s="222" t="s">
        <v>281</v>
      </c>
      <c r="O283" s="223" t="s">
        <v>281</v>
      </c>
      <c r="P283" s="223" t="s">
        <v>281</v>
      </c>
      <c r="Q283" s="223" t="s">
        <v>281</v>
      </c>
      <c r="R283" s="223" t="s">
        <v>281</v>
      </c>
      <c r="S283" s="223" t="s">
        <v>281</v>
      </c>
      <c r="T283" s="223" t="s">
        <v>281</v>
      </c>
      <c r="U283" s="223" t="s">
        <v>281</v>
      </c>
      <c r="V283" s="223" t="s">
        <v>281</v>
      </c>
      <c r="W283" s="224" t="s">
        <v>17</v>
      </c>
      <c r="X283" s="224" t="s">
        <v>17</v>
      </c>
      <c r="Y283" s="225" t="s">
        <v>281</v>
      </c>
    </row>
    <row r="284" spans="1:25">
      <c r="A284" s="219">
        <v>5</v>
      </c>
      <c r="B284" s="220" t="str">
        <f>VLOOKUP(Tabel10[[#This Row],[Code]],Ruimtegroepen[[Code]:[Ruimte omschrijving]],2,FALSE)</f>
        <v>Sanitair</v>
      </c>
      <c r="C284" s="221" t="s">
        <v>515</v>
      </c>
      <c r="D284" s="220" t="s">
        <v>28</v>
      </c>
      <c r="E284" s="221" t="s">
        <v>99</v>
      </c>
      <c r="F284" s="221" t="s">
        <v>517</v>
      </c>
      <c r="G284" s="226" t="s">
        <v>281</v>
      </c>
      <c r="H284" s="222" t="s">
        <v>281</v>
      </c>
      <c r="I284" s="222" t="s">
        <v>281</v>
      </c>
      <c r="J284" s="222" t="s">
        <v>281</v>
      </c>
      <c r="K284" s="222" t="s">
        <v>281</v>
      </c>
      <c r="L284" s="222" t="s">
        <v>281</v>
      </c>
      <c r="M284" s="222" t="s">
        <v>281</v>
      </c>
      <c r="N284" s="222" t="s">
        <v>281</v>
      </c>
      <c r="O284" s="223" t="s">
        <v>281</v>
      </c>
      <c r="P284" s="223" t="s">
        <v>281</v>
      </c>
      <c r="Q284" s="223" t="s">
        <v>281</v>
      </c>
      <c r="R284" s="223" t="s">
        <v>281</v>
      </c>
      <c r="S284" s="223" t="s">
        <v>281</v>
      </c>
      <c r="T284" s="223" t="s">
        <v>281</v>
      </c>
      <c r="U284" s="223" t="s">
        <v>281</v>
      </c>
      <c r="V284" s="223" t="s">
        <v>281</v>
      </c>
      <c r="W284" s="224" t="s">
        <v>281</v>
      </c>
      <c r="X284" s="224" t="s">
        <v>281</v>
      </c>
      <c r="Y284" s="225" t="s">
        <v>281</v>
      </c>
    </row>
    <row r="285" spans="1:25">
      <c r="A285" s="219">
        <v>5</v>
      </c>
      <c r="B285" s="220" t="str">
        <f>VLOOKUP(Tabel10[[#This Row],[Code]],Ruimtegroepen[[Code]:[Ruimte omschrijving]],2,FALSE)</f>
        <v>Sanitair</v>
      </c>
      <c r="C285" s="221" t="s">
        <v>515</v>
      </c>
      <c r="D285" s="220" t="s">
        <v>28</v>
      </c>
      <c r="E285" s="221" t="s">
        <v>1309</v>
      </c>
      <c r="F285" s="221" t="s">
        <v>1411</v>
      </c>
      <c r="G285" s="226" t="s">
        <v>281</v>
      </c>
      <c r="H285" s="222" t="s">
        <v>281</v>
      </c>
      <c r="I285" s="222" t="s">
        <v>281</v>
      </c>
      <c r="J285" s="222" t="s">
        <v>17</v>
      </c>
      <c r="K285" s="222" t="s">
        <v>281</v>
      </c>
      <c r="L285" s="222" t="s">
        <v>281</v>
      </c>
      <c r="M285" s="222" t="s">
        <v>281</v>
      </c>
      <c r="N285" s="222" t="s">
        <v>281</v>
      </c>
      <c r="O285" s="223" t="s">
        <v>281</v>
      </c>
      <c r="P285" s="223" t="s">
        <v>281</v>
      </c>
      <c r="Q285" s="223" t="s">
        <v>281</v>
      </c>
      <c r="R285" s="223" t="s">
        <v>281</v>
      </c>
      <c r="S285" s="223" t="s">
        <v>281</v>
      </c>
      <c r="T285" s="223" t="s">
        <v>281</v>
      </c>
      <c r="U285" s="223" t="s">
        <v>281</v>
      </c>
      <c r="V285" s="223" t="s">
        <v>281</v>
      </c>
      <c r="W285" s="224" t="s">
        <v>17</v>
      </c>
      <c r="X285" s="224" t="s">
        <v>17</v>
      </c>
      <c r="Y285" s="225" t="s">
        <v>281</v>
      </c>
    </row>
    <row r="286" spans="1:25">
      <c r="A286" s="219">
        <v>5</v>
      </c>
      <c r="B286" s="220" t="str">
        <f>VLOOKUP(Tabel10[[#This Row],[Code]],Ruimtegroepen[[Code]:[Ruimte omschrijving]],2,FALSE)</f>
        <v>Sanitair</v>
      </c>
      <c r="C286" s="221" t="s">
        <v>520</v>
      </c>
      <c r="D286" s="220" t="s">
        <v>521</v>
      </c>
      <c r="E286" s="221" t="s">
        <v>100</v>
      </c>
      <c r="F286" s="221" t="s">
        <v>522</v>
      </c>
      <c r="G286" s="226" t="s">
        <v>281</v>
      </c>
      <c r="H286" s="222" t="s">
        <v>281</v>
      </c>
      <c r="I286" s="222" t="s">
        <v>281</v>
      </c>
      <c r="J286" s="222" t="s">
        <v>20</v>
      </c>
      <c r="K286" s="222" t="s">
        <v>281</v>
      </c>
      <c r="L286" s="222" t="s">
        <v>281</v>
      </c>
      <c r="M286" s="222" t="s">
        <v>281</v>
      </c>
      <c r="N286" s="222" t="s">
        <v>281</v>
      </c>
      <c r="O286" s="223" t="s">
        <v>281</v>
      </c>
      <c r="P286" s="223" t="s">
        <v>281</v>
      </c>
      <c r="Q286" s="223" t="s">
        <v>281</v>
      </c>
      <c r="R286" s="223" t="s">
        <v>281</v>
      </c>
      <c r="S286" s="223" t="s">
        <v>281</v>
      </c>
      <c r="T286" s="223" t="s">
        <v>281</v>
      </c>
      <c r="U286" s="223" t="s">
        <v>281</v>
      </c>
      <c r="V286" s="223" t="s">
        <v>281</v>
      </c>
      <c r="W286" s="224" t="s">
        <v>18</v>
      </c>
      <c r="X286" s="224" t="s">
        <v>15</v>
      </c>
      <c r="Y286" s="225" t="s">
        <v>281</v>
      </c>
    </row>
    <row r="287" spans="1:25">
      <c r="A287" s="219">
        <v>5</v>
      </c>
      <c r="B287" s="220" t="str">
        <f>VLOOKUP(Tabel10[[#This Row],[Code]],Ruimtegroepen[[Code]:[Ruimte omschrijving]],2,FALSE)</f>
        <v>Sanitair</v>
      </c>
      <c r="C287" s="221" t="s">
        <v>520</v>
      </c>
      <c r="D287" s="220" t="s">
        <v>521</v>
      </c>
      <c r="E287" s="221" t="s">
        <v>99</v>
      </c>
      <c r="F287" s="221" t="s">
        <v>523</v>
      </c>
      <c r="G287" s="226" t="s">
        <v>281</v>
      </c>
      <c r="H287" s="222" t="s">
        <v>281</v>
      </c>
      <c r="I287" s="222" t="s">
        <v>281</v>
      </c>
      <c r="J287" s="222" t="s">
        <v>281</v>
      </c>
      <c r="K287" s="222" t="s">
        <v>281</v>
      </c>
      <c r="L287" s="222" t="s">
        <v>281</v>
      </c>
      <c r="M287" s="222" t="s">
        <v>281</v>
      </c>
      <c r="N287" s="222" t="s">
        <v>281</v>
      </c>
      <c r="O287" s="223" t="s">
        <v>281</v>
      </c>
      <c r="P287" s="223" t="s">
        <v>281</v>
      </c>
      <c r="Q287" s="223" t="s">
        <v>281</v>
      </c>
      <c r="R287" s="223" t="s">
        <v>281</v>
      </c>
      <c r="S287" s="223" t="s">
        <v>281</v>
      </c>
      <c r="T287" s="223" t="s">
        <v>281</v>
      </c>
      <c r="U287" s="223" t="s">
        <v>281</v>
      </c>
      <c r="V287" s="223" t="s">
        <v>281</v>
      </c>
      <c r="W287" s="224" t="s">
        <v>281</v>
      </c>
      <c r="X287" s="224" t="s">
        <v>281</v>
      </c>
      <c r="Y287" s="225" t="s">
        <v>281</v>
      </c>
    </row>
    <row r="288" spans="1:25">
      <c r="A288" s="219">
        <v>5</v>
      </c>
      <c r="B288" s="220" t="str">
        <f>VLOOKUP(Tabel10[[#This Row],[Code]],Ruimtegroepen[[Code]:[Ruimte omschrijving]],2,FALSE)</f>
        <v>Sanitair</v>
      </c>
      <c r="C288" s="221" t="s">
        <v>520</v>
      </c>
      <c r="D288" s="220" t="s">
        <v>521</v>
      </c>
      <c r="E288" s="221" t="s">
        <v>101</v>
      </c>
      <c r="F288" s="221" t="s">
        <v>524</v>
      </c>
      <c r="G288" s="226" t="s">
        <v>281</v>
      </c>
      <c r="H288" s="222" t="s">
        <v>281</v>
      </c>
      <c r="I288" s="222" t="s">
        <v>281</v>
      </c>
      <c r="J288" s="222" t="s">
        <v>20</v>
      </c>
      <c r="K288" s="222" t="s">
        <v>281</v>
      </c>
      <c r="L288" s="222" t="s">
        <v>281</v>
      </c>
      <c r="M288" s="222" t="s">
        <v>281</v>
      </c>
      <c r="N288" s="222" t="s">
        <v>281</v>
      </c>
      <c r="O288" s="223" t="s">
        <v>281</v>
      </c>
      <c r="P288" s="223" t="s">
        <v>281</v>
      </c>
      <c r="Q288" s="223" t="s">
        <v>281</v>
      </c>
      <c r="R288" s="223" t="s">
        <v>281</v>
      </c>
      <c r="S288" s="223" t="s">
        <v>281</v>
      </c>
      <c r="T288" s="223" t="s">
        <v>281</v>
      </c>
      <c r="U288" s="223" t="s">
        <v>281</v>
      </c>
      <c r="V288" s="223" t="s">
        <v>281</v>
      </c>
      <c r="W288" s="224" t="s">
        <v>18</v>
      </c>
      <c r="X288" s="224" t="s">
        <v>15</v>
      </c>
      <c r="Y288" s="225" t="s">
        <v>281</v>
      </c>
    </row>
    <row r="289" spans="1:25">
      <c r="A289" s="219">
        <v>5</v>
      </c>
      <c r="B289" s="220" t="str">
        <f>VLOOKUP(Tabel10[[#This Row],[Code]],Ruimtegroepen[[Code]:[Ruimte omschrijving]],2,FALSE)</f>
        <v>Sanitair</v>
      </c>
      <c r="C289" s="221" t="s">
        <v>520</v>
      </c>
      <c r="D289" s="220" t="s">
        <v>521</v>
      </c>
      <c r="E289" s="221" t="s">
        <v>102</v>
      </c>
      <c r="F289" s="221" t="s">
        <v>525</v>
      </c>
      <c r="G289" s="226" t="s">
        <v>281</v>
      </c>
      <c r="H289" s="222" t="s">
        <v>281</v>
      </c>
      <c r="I289" s="222" t="s">
        <v>281</v>
      </c>
      <c r="J289" s="222" t="s">
        <v>20</v>
      </c>
      <c r="K289" s="222" t="s">
        <v>281</v>
      </c>
      <c r="L289" s="222" t="s">
        <v>281</v>
      </c>
      <c r="M289" s="222" t="s">
        <v>281</v>
      </c>
      <c r="N289" s="222" t="s">
        <v>281</v>
      </c>
      <c r="O289" s="223" t="s">
        <v>281</v>
      </c>
      <c r="P289" s="223" t="s">
        <v>281</v>
      </c>
      <c r="Q289" s="223" t="s">
        <v>281</v>
      </c>
      <c r="R289" s="223" t="s">
        <v>281</v>
      </c>
      <c r="S289" s="223" t="s">
        <v>281</v>
      </c>
      <c r="T289" s="223" t="s">
        <v>281</v>
      </c>
      <c r="U289" s="223" t="s">
        <v>281</v>
      </c>
      <c r="V289" s="223" t="s">
        <v>281</v>
      </c>
      <c r="W289" s="224" t="s">
        <v>18</v>
      </c>
      <c r="X289" s="224" t="s">
        <v>15</v>
      </c>
      <c r="Y289" s="225" t="s">
        <v>281</v>
      </c>
    </row>
    <row r="290" spans="1:25">
      <c r="A290" s="219">
        <v>5</v>
      </c>
      <c r="B290" s="220" t="str">
        <f>VLOOKUP(Tabel10[[#This Row],[Code]],Ruimtegroepen[[Code]:[Ruimte omschrijving]],2,FALSE)</f>
        <v>Sanitair</v>
      </c>
      <c r="C290" s="221" t="s">
        <v>520</v>
      </c>
      <c r="D290" s="220" t="s">
        <v>521</v>
      </c>
      <c r="E290" s="221" t="s">
        <v>99</v>
      </c>
      <c r="F290" s="221" t="s">
        <v>523</v>
      </c>
      <c r="G290" s="226" t="s">
        <v>281</v>
      </c>
      <c r="H290" s="222" t="s">
        <v>281</v>
      </c>
      <c r="I290" s="222" t="s">
        <v>281</v>
      </c>
      <c r="J290" s="222" t="s">
        <v>281</v>
      </c>
      <c r="K290" s="222" t="s">
        <v>281</v>
      </c>
      <c r="L290" s="222" t="s">
        <v>281</v>
      </c>
      <c r="M290" s="222" t="s">
        <v>281</v>
      </c>
      <c r="N290" s="222" t="s">
        <v>281</v>
      </c>
      <c r="O290" s="223" t="s">
        <v>281</v>
      </c>
      <c r="P290" s="223" t="s">
        <v>281</v>
      </c>
      <c r="Q290" s="223" t="s">
        <v>281</v>
      </c>
      <c r="R290" s="223" t="s">
        <v>281</v>
      </c>
      <c r="S290" s="223" t="s">
        <v>281</v>
      </c>
      <c r="T290" s="223" t="s">
        <v>281</v>
      </c>
      <c r="U290" s="223" t="s">
        <v>281</v>
      </c>
      <c r="V290" s="223" t="s">
        <v>281</v>
      </c>
      <c r="W290" s="224" t="s">
        <v>281</v>
      </c>
      <c r="X290" s="224" t="s">
        <v>281</v>
      </c>
      <c r="Y290" s="225" t="s">
        <v>281</v>
      </c>
    </row>
    <row r="291" spans="1:25">
      <c r="A291" s="219">
        <v>5</v>
      </c>
      <c r="B291" s="220" t="str">
        <f>VLOOKUP(Tabel10[[#This Row],[Code]],Ruimtegroepen[[Code]:[Ruimte omschrijving]],2,FALSE)</f>
        <v>Sanitair</v>
      </c>
      <c r="C291" s="221" t="s">
        <v>520</v>
      </c>
      <c r="D291" s="220" t="s">
        <v>521</v>
      </c>
      <c r="E291" s="221" t="s">
        <v>1309</v>
      </c>
      <c r="F291" s="221" t="s">
        <v>1460</v>
      </c>
      <c r="G291" s="226" t="s">
        <v>281</v>
      </c>
      <c r="H291" s="222" t="s">
        <v>281</v>
      </c>
      <c r="I291" s="222" t="s">
        <v>281</v>
      </c>
      <c r="J291" s="222" t="s">
        <v>20</v>
      </c>
      <c r="K291" s="222" t="s">
        <v>281</v>
      </c>
      <c r="L291" s="222" t="s">
        <v>281</v>
      </c>
      <c r="M291" s="222" t="s">
        <v>281</v>
      </c>
      <c r="N291" s="222" t="s">
        <v>281</v>
      </c>
      <c r="O291" s="223" t="s">
        <v>281</v>
      </c>
      <c r="P291" s="223" t="s">
        <v>281</v>
      </c>
      <c r="Q291" s="223" t="s">
        <v>281</v>
      </c>
      <c r="R291" s="223" t="s">
        <v>281</v>
      </c>
      <c r="S291" s="223" t="s">
        <v>281</v>
      </c>
      <c r="T291" s="223" t="s">
        <v>281</v>
      </c>
      <c r="U291" s="223" t="s">
        <v>281</v>
      </c>
      <c r="V291" s="223" t="s">
        <v>281</v>
      </c>
      <c r="W291" s="224" t="s">
        <v>18</v>
      </c>
      <c r="X291" s="224" t="s">
        <v>15</v>
      </c>
      <c r="Y291" s="225" t="s">
        <v>281</v>
      </c>
    </row>
    <row r="292" spans="1:25">
      <c r="A292" s="219">
        <v>6</v>
      </c>
      <c r="B292" s="220" t="str">
        <f>VLOOKUP(Tabel10[[#This Row],[Code]],Ruimtegroepen[[Code]:[Ruimte omschrijving]],2,FALSE)</f>
        <v>Gangen/hallen</v>
      </c>
      <c r="C292" s="221" t="s">
        <v>526</v>
      </c>
      <c r="D292" s="220" t="s">
        <v>29</v>
      </c>
      <c r="E292" s="221" t="s">
        <v>100</v>
      </c>
      <c r="F292" s="221" t="s">
        <v>527</v>
      </c>
      <c r="G292" s="226" t="s">
        <v>281</v>
      </c>
      <c r="H292" s="222" t="s">
        <v>281</v>
      </c>
      <c r="I292" s="222" t="s">
        <v>281</v>
      </c>
      <c r="J292" s="222" t="s">
        <v>2</v>
      </c>
      <c r="K292" s="222" t="s">
        <v>281</v>
      </c>
      <c r="L292" s="222" t="s">
        <v>281</v>
      </c>
      <c r="M292" s="222" t="s">
        <v>281</v>
      </c>
      <c r="N292" s="222" t="s">
        <v>2</v>
      </c>
      <c r="O292" s="223" t="s">
        <v>2</v>
      </c>
      <c r="P292" s="223" t="s">
        <v>2</v>
      </c>
      <c r="Q292" s="223" t="s">
        <v>15</v>
      </c>
      <c r="R292" s="223" t="s">
        <v>15</v>
      </c>
      <c r="S292" s="223" t="s">
        <v>16</v>
      </c>
      <c r="T292" s="223" t="s">
        <v>328</v>
      </c>
      <c r="U292" s="223" t="s">
        <v>248</v>
      </c>
      <c r="V292" s="223" t="s">
        <v>2</v>
      </c>
      <c r="W292" s="224" t="s">
        <v>281</v>
      </c>
      <c r="X292" s="224" t="s">
        <v>281</v>
      </c>
      <c r="Y292" s="225" t="s">
        <v>281</v>
      </c>
    </row>
    <row r="293" spans="1:25">
      <c r="A293" s="219">
        <v>6</v>
      </c>
      <c r="B293" s="220" t="str">
        <f>VLOOKUP(Tabel10[[#This Row],[Code]],Ruimtegroepen[[Code]:[Ruimte omschrijving]],2,FALSE)</f>
        <v>Gangen/hallen</v>
      </c>
      <c r="C293" s="221" t="s">
        <v>526</v>
      </c>
      <c r="D293" s="220" t="s">
        <v>29</v>
      </c>
      <c r="E293" s="221" t="s">
        <v>99</v>
      </c>
      <c r="F293" s="221" t="s">
        <v>528</v>
      </c>
      <c r="G293" s="226" t="s">
        <v>281</v>
      </c>
      <c r="H293" s="222" t="s">
        <v>2</v>
      </c>
      <c r="I293" s="222" t="s">
        <v>281</v>
      </c>
      <c r="J293" s="222" t="s">
        <v>281</v>
      </c>
      <c r="K293" s="222" t="s">
        <v>281</v>
      </c>
      <c r="L293" s="222" t="s">
        <v>281</v>
      </c>
      <c r="M293" s="222" t="s">
        <v>281</v>
      </c>
      <c r="N293" s="222" t="s">
        <v>2</v>
      </c>
      <c r="O293" s="223" t="s">
        <v>2</v>
      </c>
      <c r="P293" s="223" t="s">
        <v>2</v>
      </c>
      <c r="Q293" s="223" t="s">
        <v>15</v>
      </c>
      <c r="R293" s="223" t="s">
        <v>15</v>
      </c>
      <c r="S293" s="223" t="s">
        <v>16</v>
      </c>
      <c r="T293" s="223" t="s">
        <v>328</v>
      </c>
      <c r="U293" s="223" t="s">
        <v>248</v>
      </c>
      <c r="V293" s="223" t="s">
        <v>2</v>
      </c>
      <c r="W293" s="224" t="s">
        <v>281</v>
      </c>
      <c r="X293" s="224" t="s">
        <v>281</v>
      </c>
      <c r="Y293" s="225" t="s">
        <v>281</v>
      </c>
    </row>
    <row r="294" spans="1:25">
      <c r="A294" s="219">
        <v>6</v>
      </c>
      <c r="B294" s="220" t="str">
        <f>VLOOKUP(Tabel10[[#This Row],[Code]],Ruimtegroepen[[Code]:[Ruimte omschrijving]],2,FALSE)</f>
        <v>Gangen/hallen</v>
      </c>
      <c r="C294" s="221" t="s">
        <v>526</v>
      </c>
      <c r="D294" s="220" t="s">
        <v>29</v>
      </c>
      <c r="E294" s="221" t="s">
        <v>101</v>
      </c>
      <c r="F294" s="221" t="s">
        <v>529</v>
      </c>
      <c r="G294" s="226" t="s">
        <v>281</v>
      </c>
      <c r="H294" s="222" t="s">
        <v>281</v>
      </c>
      <c r="I294" s="222" t="s">
        <v>2</v>
      </c>
      <c r="J294" s="222" t="s">
        <v>281</v>
      </c>
      <c r="K294" s="222" t="s">
        <v>2</v>
      </c>
      <c r="L294" s="222" t="s">
        <v>281</v>
      </c>
      <c r="M294" s="222" t="s">
        <v>281</v>
      </c>
      <c r="N294" s="222" t="s">
        <v>2</v>
      </c>
      <c r="O294" s="223" t="s">
        <v>2</v>
      </c>
      <c r="P294" s="223" t="s">
        <v>2</v>
      </c>
      <c r="Q294" s="223" t="s">
        <v>15</v>
      </c>
      <c r="R294" s="223" t="s">
        <v>15</v>
      </c>
      <c r="S294" s="223" t="s">
        <v>16</v>
      </c>
      <c r="T294" s="223" t="s">
        <v>328</v>
      </c>
      <c r="U294" s="223" t="s">
        <v>248</v>
      </c>
      <c r="V294" s="223" t="s">
        <v>2</v>
      </c>
      <c r="W294" s="224" t="s">
        <v>281</v>
      </c>
      <c r="X294" s="224" t="s">
        <v>281</v>
      </c>
      <c r="Y294" s="225" t="s">
        <v>281</v>
      </c>
    </row>
    <row r="295" spans="1:25">
      <c r="A295" s="219">
        <v>6</v>
      </c>
      <c r="B295" s="220" t="str">
        <f>VLOOKUP(Tabel10[[#This Row],[Code]],Ruimtegroepen[[Code]:[Ruimte omschrijving]],2,FALSE)</f>
        <v>Gangen/hallen</v>
      </c>
      <c r="C295" s="221" t="s">
        <v>526</v>
      </c>
      <c r="D295" s="220" t="s">
        <v>29</v>
      </c>
      <c r="E295" s="221" t="s">
        <v>102</v>
      </c>
      <c r="F295" s="221" t="s">
        <v>530</v>
      </c>
      <c r="G295" s="226" t="s">
        <v>281</v>
      </c>
      <c r="H295" s="222" t="s">
        <v>281</v>
      </c>
      <c r="I295" s="222" t="s">
        <v>2</v>
      </c>
      <c r="J295" s="222" t="s">
        <v>281</v>
      </c>
      <c r="K295" s="222" t="s">
        <v>2</v>
      </c>
      <c r="L295" s="222" t="s">
        <v>281</v>
      </c>
      <c r="M295" s="222" t="s">
        <v>281</v>
      </c>
      <c r="N295" s="222" t="s">
        <v>2</v>
      </c>
      <c r="O295" s="223" t="s">
        <v>2</v>
      </c>
      <c r="P295" s="223" t="s">
        <v>2</v>
      </c>
      <c r="Q295" s="223" t="s">
        <v>15</v>
      </c>
      <c r="R295" s="223" t="s">
        <v>15</v>
      </c>
      <c r="S295" s="223" t="s">
        <v>16</v>
      </c>
      <c r="T295" s="223" t="s">
        <v>328</v>
      </c>
      <c r="U295" s="223" t="s">
        <v>248</v>
      </c>
      <c r="V295" s="223" t="s">
        <v>2</v>
      </c>
      <c r="W295" s="224" t="s">
        <v>281</v>
      </c>
      <c r="X295" s="224" t="s">
        <v>281</v>
      </c>
      <c r="Y295" s="225" t="s">
        <v>281</v>
      </c>
    </row>
    <row r="296" spans="1:25">
      <c r="A296" s="219">
        <v>6</v>
      </c>
      <c r="B296" s="220" t="str">
        <f>VLOOKUP(Tabel10[[#This Row],[Code]],Ruimtegroepen[[Code]:[Ruimte omschrijving]],2,FALSE)</f>
        <v>Gangen/hallen</v>
      </c>
      <c r="C296" s="221" t="s">
        <v>526</v>
      </c>
      <c r="D296" s="220" t="s">
        <v>29</v>
      </c>
      <c r="E296" s="221" t="s">
        <v>99</v>
      </c>
      <c r="F296" s="221" t="s">
        <v>528</v>
      </c>
      <c r="G296" s="226" t="s">
        <v>281</v>
      </c>
      <c r="H296" s="222" t="s">
        <v>2</v>
      </c>
      <c r="I296" s="222" t="s">
        <v>281</v>
      </c>
      <c r="J296" s="222" t="s">
        <v>281</v>
      </c>
      <c r="K296" s="222" t="s">
        <v>281</v>
      </c>
      <c r="L296" s="222" t="s">
        <v>281</v>
      </c>
      <c r="M296" s="222" t="s">
        <v>281</v>
      </c>
      <c r="N296" s="222" t="s">
        <v>2</v>
      </c>
      <c r="O296" s="223" t="s">
        <v>2</v>
      </c>
      <c r="P296" s="223" t="s">
        <v>2</v>
      </c>
      <c r="Q296" s="223" t="s">
        <v>15</v>
      </c>
      <c r="R296" s="223" t="s">
        <v>15</v>
      </c>
      <c r="S296" s="223" t="s">
        <v>16</v>
      </c>
      <c r="T296" s="223" t="s">
        <v>328</v>
      </c>
      <c r="U296" s="223" t="s">
        <v>248</v>
      </c>
      <c r="V296" s="223" t="s">
        <v>2</v>
      </c>
      <c r="W296" s="224" t="s">
        <v>281</v>
      </c>
      <c r="X296" s="224" t="s">
        <v>281</v>
      </c>
      <c r="Y296" s="225" t="s">
        <v>281</v>
      </c>
    </row>
    <row r="297" spans="1:25">
      <c r="A297" s="219">
        <v>6</v>
      </c>
      <c r="B297" s="220" t="str">
        <f>VLOOKUP(Tabel10[[#This Row],[Code]],Ruimtegroepen[[Code]:[Ruimte omschrijving]],2,FALSE)</f>
        <v>Gangen/hallen</v>
      </c>
      <c r="C297" s="221" t="s">
        <v>526</v>
      </c>
      <c r="D297" s="220" t="s">
        <v>29</v>
      </c>
      <c r="E297" s="221" t="s">
        <v>1309</v>
      </c>
      <c r="F297" s="221" t="s">
        <v>1479</v>
      </c>
      <c r="G297" s="226" t="s">
        <v>281</v>
      </c>
      <c r="H297" s="222" t="s">
        <v>281</v>
      </c>
      <c r="I297" s="222" t="s">
        <v>2</v>
      </c>
      <c r="J297" s="222" t="s">
        <v>281</v>
      </c>
      <c r="K297" s="222" t="s">
        <v>2</v>
      </c>
      <c r="L297" s="222" t="s">
        <v>281</v>
      </c>
      <c r="M297" s="222" t="s">
        <v>281</v>
      </c>
      <c r="N297" s="222" t="s">
        <v>2</v>
      </c>
      <c r="O297" s="223" t="s">
        <v>2</v>
      </c>
      <c r="P297" s="223" t="s">
        <v>2</v>
      </c>
      <c r="Q297" s="223" t="s">
        <v>15</v>
      </c>
      <c r="R297" s="223" t="s">
        <v>15</v>
      </c>
      <c r="S297" s="223" t="s">
        <v>16</v>
      </c>
      <c r="T297" s="223" t="s">
        <v>328</v>
      </c>
      <c r="U297" s="223" t="s">
        <v>248</v>
      </c>
      <c r="V297" s="223" t="s">
        <v>2</v>
      </c>
      <c r="W297" s="224" t="s">
        <v>281</v>
      </c>
      <c r="X297" s="224" t="s">
        <v>281</v>
      </c>
      <c r="Y297" s="225" t="s">
        <v>281</v>
      </c>
    </row>
    <row r="298" spans="1:25">
      <c r="A298" s="219">
        <v>6</v>
      </c>
      <c r="B298" s="220" t="str">
        <f>VLOOKUP(Tabel10[[#This Row],[Code]],Ruimtegroepen[[Code]:[Ruimte omschrijving]],2,FALSE)</f>
        <v>Gangen/hallen</v>
      </c>
      <c r="C298" s="221" t="s">
        <v>531</v>
      </c>
      <c r="D298" s="220" t="s">
        <v>1</v>
      </c>
      <c r="E298" s="221" t="s">
        <v>100</v>
      </c>
      <c r="F298" s="221" t="s">
        <v>532</v>
      </c>
      <c r="G298" s="226" t="s">
        <v>281</v>
      </c>
      <c r="H298" s="222" t="s">
        <v>281</v>
      </c>
      <c r="I298" s="222" t="s">
        <v>281</v>
      </c>
      <c r="J298" s="222" t="s">
        <v>2</v>
      </c>
      <c r="K298" s="222" t="s">
        <v>281</v>
      </c>
      <c r="L298" s="222" t="s">
        <v>281</v>
      </c>
      <c r="M298" s="222" t="s">
        <v>281</v>
      </c>
      <c r="N298" s="222" t="s">
        <v>281</v>
      </c>
      <c r="O298" s="223" t="s">
        <v>2</v>
      </c>
      <c r="P298" s="223" t="s">
        <v>2</v>
      </c>
      <c r="Q298" s="223" t="s">
        <v>15</v>
      </c>
      <c r="R298" s="223" t="s">
        <v>15</v>
      </c>
      <c r="S298" s="223" t="s">
        <v>16</v>
      </c>
      <c r="T298" s="223" t="s">
        <v>328</v>
      </c>
      <c r="U298" s="223" t="s">
        <v>248</v>
      </c>
      <c r="V298" s="223" t="s">
        <v>281</v>
      </c>
      <c r="W298" s="224" t="s">
        <v>281</v>
      </c>
      <c r="X298" s="224" t="s">
        <v>281</v>
      </c>
      <c r="Y298" s="225" t="s">
        <v>281</v>
      </c>
    </row>
    <row r="299" spans="1:25">
      <c r="A299" s="219">
        <v>6</v>
      </c>
      <c r="B299" s="220" t="str">
        <f>VLOOKUP(Tabel10[[#This Row],[Code]],Ruimtegroepen[[Code]:[Ruimte omschrijving]],2,FALSE)</f>
        <v>Gangen/hallen</v>
      </c>
      <c r="C299" s="221" t="s">
        <v>531</v>
      </c>
      <c r="D299" s="220" t="s">
        <v>1</v>
      </c>
      <c r="E299" s="221" t="s">
        <v>99</v>
      </c>
      <c r="F299" s="221" t="s">
        <v>533</v>
      </c>
      <c r="G299" s="226" t="s">
        <v>281</v>
      </c>
      <c r="H299" s="222" t="s">
        <v>2</v>
      </c>
      <c r="I299" s="222" t="s">
        <v>281</v>
      </c>
      <c r="J299" s="222" t="s">
        <v>281</v>
      </c>
      <c r="K299" s="222" t="s">
        <v>281</v>
      </c>
      <c r="L299" s="222" t="s">
        <v>281</v>
      </c>
      <c r="M299" s="222" t="s">
        <v>281</v>
      </c>
      <c r="N299" s="222" t="s">
        <v>281</v>
      </c>
      <c r="O299" s="223" t="s">
        <v>2</v>
      </c>
      <c r="P299" s="223" t="s">
        <v>2</v>
      </c>
      <c r="Q299" s="223" t="s">
        <v>15</v>
      </c>
      <c r="R299" s="223" t="s">
        <v>15</v>
      </c>
      <c r="S299" s="223" t="s">
        <v>16</v>
      </c>
      <c r="T299" s="223" t="s">
        <v>328</v>
      </c>
      <c r="U299" s="223" t="s">
        <v>248</v>
      </c>
      <c r="V299" s="223" t="s">
        <v>281</v>
      </c>
      <c r="W299" s="224" t="s">
        <v>281</v>
      </c>
      <c r="X299" s="224" t="s">
        <v>281</v>
      </c>
      <c r="Y299" s="225" t="s">
        <v>281</v>
      </c>
    </row>
    <row r="300" spans="1:25">
      <c r="A300" s="219">
        <v>6</v>
      </c>
      <c r="B300" s="220" t="str">
        <f>VLOOKUP(Tabel10[[#This Row],[Code]],Ruimtegroepen[[Code]:[Ruimte omschrijving]],2,FALSE)</f>
        <v>Gangen/hallen</v>
      </c>
      <c r="C300" s="221" t="s">
        <v>531</v>
      </c>
      <c r="D300" s="220" t="s">
        <v>1</v>
      </c>
      <c r="E300" s="221" t="s">
        <v>101</v>
      </c>
      <c r="F300" s="221" t="s">
        <v>534</v>
      </c>
      <c r="G300" s="226" t="s">
        <v>281</v>
      </c>
      <c r="H300" s="222" t="s">
        <v>281</v>
      </c>
      <c r="I300" s="222" t="s">
        <v>2</v>
      </c>
      <c r="J300" s="222" t="s">
        <v>281</v>
      </c>
      <c r="K300" s="222" t="s">
        <v>2</v>
      </c>
      <c r="L300" s="222" t="s">
        <v>281</v>
      </c>
      <c r="M300" s="222" t="s">
        <v>281</v>
      </c>
      <c r="N300" s="222" t="s">
        <v>281</v>
      </c>
      <c r="O300" s="223" t="s">
        <v>2</v>
      </c>
      <c r="P300" s="223" t="s">
        <v>2</v>
      </c>
      <c r="Q300" s="223" t="s">
        <v>15</v>
      </c>
      <c r="R300" s="223" t="s">
        <v>15</v>
      </c>
      <c r="S300" s="223" t="s">
        <v>16</v>
      </c>
      <c r="T300" s="223" t="s">
        <v>328</v>
      </c>
      <c r="U300" s="223" t="s">
        <v>248</v>
      </c>
      <c r="V300" s="223" t="s">
        <v>281</v>
      </c>
      <c r="W300" s="224" t="s">
        <v>281</v>
      </c>
      <c r="X300" s="224" t="s">
        <v>281</v>
      </c>
      <c r="Y300" s="225" t="s">
        <v>281</v>
      </c>
    </row>
    <row r="301" spans="1:25">
      <c r="A301" s="219">
        <v>6</v>
      </c>
      <c r="B301" s="220" t="str">
        <f>VLOOKUP(Tabel10[[#This Row],[Code]],Ruimtegroepen[[Code]:[Ruimte omschrijving]],2,FALSE)</f>
        <v>Gangen/hallen</v>
      </c>
      <c r="C301" s="221" t="s">
        <v>531</v>
      </c>
      <c r="D301" s="220" t="s">
        <v>1</v>
      </c>
      <c r="E301" s="221" t="s">
        <v>102</v>
      </c>
      <c r="F301" s="221" t="s">
        <v>535</v>
      </c>
      <c r="G301" s="226" t="s">
        <v>281</v>
      </c>
      <c r="H301" s="222" t="s">
        <v>281</v>
      </c>
      <c r="I301" s="222" t="s">
        <v>2</v>
      </c>
      <c r="J301" s="222" t="s">
        <v>281</v>
      </c>
      <c r="K301" s="222" t="s">
        <v>2</v>
      </c>
      <c r="L301" s="222" t="s">
        <v>281</v>
      </c>
      <c r="M301" s="222" t="s">
        <v>281</v>
      </c>
      <c r="N301" s="222" t="s">
        <v>281</v>
      </c>
      <c r="O301" s="223" t="s">
        <v>2</v>
      </c>
      <c r="P301" s="223" t="s">
        <v>2</v>
      </c>
      <c r="Q301" s="223" t="s">
        <v>15</v>
      </c>
      <c r="R301" s="223" t="s">
        <v>15</v>
      </c>
      <c r="S301" s="223" t="s">
        <v>16</v>
      </c>
      <c r="T301" s="223" t="s">
        <v>328</v>
      </c>
      <c r="U301" s="223" t="s">
        <v>248</v>
      </c>
      <c r="V301" s="223" t="s">
        <v>281</v>
      </c>
      <c r="W301" s="224" t="s">
        <v>281</v>
      </c>
      <c r="X301" s="224" t="s">
        <v>281</v>
      </c>
      <c r="Y301" s="225" t="s">
        <v>281</v>
      </c>
    </row>
    <row r="302" spans="1:25">
      <c r="A302" s="219">
        <v>6</v>
      </c>
      <c r="B302" s="220" t="str">
        <f>VLOOKUP(Tabel10[[#This Row],[Code]],Ruimtegroepen[[Code]:[Ruimte omschrijving]],2,FALSE)</f>
        <v>Gangen/hallen</v>
      </c>
      <c r="C302" s="221" t="s">
        <v>531</v>
      </c>
      <c r="D302" s="220" t="s">
        <v>1</v>
      </c>
      <c r="E302" s="221" t="s">
        <v>99</v>
      </c>
      <c r="F302" s="221" t="s">
        <v>533</v>
      </c>
      <c r="G302" s="226" t="s">
        <v>281</v>
      </c>
      <c r="H302" s="222" t="s">
        <v>2</v>
      </c>
      <c r="I302" s="222" t="s">
        <v>281</v>
      </c>
      <c r="J302" s="222" t="s">
        <v>281</v>
      </c>
      <c r="K302" s="222" t="s">
        <v>281</v>
      </c>
      <c r="L302" s="222" t="s">
        <v>281</v>
      </c>
      <c r="M302" s="222" t="s">
        <v>281</v>
      </c>
      <c r="N302" s="222" t="s">
        <v>281</v>
      </c>
      <c r="O302" s="223" t="s">
        <v>2</v>
      </c>
      <c r="P302" s="223" t="s">
        <v>2</v>
      </c>
      <c r="Q302" s="223" t="s">
        <v>15</v>
      </c>
      <c r="R302" s="223" t="s">
        <v>15</v>
      </c>
      <c r="S302" s="223" t="s">
        <v>16</v>
      </c>
      <c r="T302" s="223" t="s">
        <v>328</v>
      </c>
      <c r="U302" s="223" t="s">
        <v>248</v>
      </c>
      <c r="V302" s="223" t="s">
        <v>281</v>
      </c>
      <c r="W302" s="224" t="s">
        <v>281</v>
      </c>
      <c r="X302" s="224" t="s">
        <v>281</v>
      </c>
      <c r="Y302" s="225" t="s">
        <v>281</v>
      </c>
    </row>
    <row r="303" spans="1:25">
      <c r="A303" s="219">
        <v>6</v>
      </c>
      <c r="B303" s="220" t="str">
        <f>VLOOKUP(Tabel10[[#This Row],[Code]],Ruimtegroepen[[Code]:[Ruimte omschrijving]],2,FALSE)</f>
        <v>Gangen/hallen</v>
      </c>
      <c r="C303" s="221" t="s">
        <v>531</v>
      </c>
      <c r="D303" s="220" t="s">
        <v>1</v>
      </c>
      <c r="E303" s="221" t="s">
        <v>1309</v>
      </c>
      <c r="F303" s="221" t="s">
        <v>1463</v>
      </c>
      <c r="G303" s="226" t="s">
        <v>281</v>
      </c>
      <c r="H303" s="222" t="s">
        <v>281</v>
      </c>
      <c r="I303" s="222" t="s">
        <v>2</v>
      </c>
      <c r="J303" s="222" t="s">
        <v>281</v>
      </c>
      <c r="K303" s="222" t="s">
        <v>2</v>
      </c>
      <c r="L303" s="222" t="s">
        <v>281</v>
      </c>
      <c r="M303" s="222" t="s">
        <v>281</v>
      </c>
      <c r="N303" s="222" t="s">
        <v>281</v>
      </c>
      <c r="O303" s="223" t="s">
        <v>2</v>
      </c>
      <c r="P303" s="223" t="s">
        <v>2</v>
      </c>
      <c r="Q303" s="223" t="s">
        <v>15</v>
      </c>
      <c r="R303" s="223" t="s">
        <v>15</v>
      </c>
      <c r="S303" s="223" t="s">
        <v>16</v>
      </c>
      <c r="T303" s="223" t="s">
        <v>328</v>
      </c>
      <c r="U303" s="223" t="s">
        <v>248</v>
      </c>
      <c r="V303" s="223" t="s">
        <v>281</v>
      </c>
      <c r="W303" s="224" t="s">
        <v>281</v>
      </c>
      <c r="X303" s="224" t="s">
        <v>281</v>
      </c>
      <c r="Y303" s="225" t="s">
        <v>281</v>
      </c>
    </row>
    <row r="304" spans="1:25">
      <c r="A304" s="219">
        <v>6</v>
      </c>
      <c r="B304" s="220" t="str">
        <f>VLOOKUP(Tabel10[[#This Row],[Code]],Ruimtegroepen[[Code]:[Ruimte omschrijving]],2,FALSE)</f>
        <v>Gangen/hallen</v>
      </c>
      <c r="C304" s="221" t="s">
        <v>536</v>
      </c>
      <c r="D304" s="220" t="s">
        <v>21</v>
      </c>
      <c r="E304" s="221" t="s">
        <v>100</v>
      </c>
      <c r="F304" s="221" t="s">
        <v>537</v>
      </c>
      <c r="G304" s="226" t="s">
        <v>281</v>
      </c>
      <c r="H304" s="222" t="s">
        <v>281</v>
      </c>
      <c r="I304" s="222" t="s">
        <v>281</v>
      </c>
      <c r="J304" s="222" t="s">
        <v>20</v>
      </c>
      <c r="K304" s="222" t="s">
        <v>281</v>
      </c>
      <c r="L304" s="222" t="s">
        <v>281</v>
      </c>
      <c r="M304" s="222" t="s">
        <v>281</v>
      </c>
      <c r="N304" s="222" t="s">
        <v>281</v>
      </c>
      <c r="O304" s="223" t="s">
        <v>20</v>
      </c>
      <c r="P304" s="223" t="s">
        <v>20</v>
      </c>
      <c r="Q304" s="223" t="s">
        <v>15</v>
      </c>
      <c r="R304" s="223" t="s">
        <v>15</v>
      </c>
      <c r="S304" s="223" t="s">
        <v>16</v>
      </c>
      <c r="T304" s="223" t="s">
        <v>328</v>
      </c>
      <c r="U304" s="223" t="s">
        <v>248</v>
      </c>
      <c r="V304" s="223" t="s">
        <v>281</v>
      </c>
      <c r="W304" s="224" t="s">
        <v>281</v>
      </c>
      <c r="X304" s="224" t="s">
        <v>281</v>
      </c>
      <c r="Y304" s="225" t="s">
        <v>281</v>
      </c>
    </row>
    <row r="305" spans="1:25">
      <c r="A305" s="219">
        <v>6</v>
      </c>
      <c r="B305" s="220" t="str">
        <f>VLOOKUP(Tabel10[[#This Row],[Code]],Ruimtegroepen[[Code]:[Ruimte omschrijving]],2,FALSE)</f>
        <v>Gangen/hallen</v>
      </c>
      <c r="C305" s="221" t="s">
        <v>536</v>
      </c>
      <c r="D305" s="220" t="s">
        <v>21</v>
      </c>
      <c r="E305" s="221" t="s">
        <v>99</v>
      </c>
      <c r="F305" s="221" t="s">
        <v>538</v>
      </c>
      <c r="G305" s="226" t="s">
        <v>281</v>
      </c>
      <c r="H305" s="222" t="s">
        <v>20</v>
      </c>
      <c r="I305" s="222" t="s">
        <v>281</v>
      </c>
      <c r="J305" s="222" t="s">
        <v>281</v>
      </c>
      <c r="K305" s="222" t="s">
        <v>281</v>
      </c>
      <c r="L305" s="222" t="s">
        <v>281</v>
      </c>
      <c r="M305" s="222" t="s">
        <v>281</v>
      </c>
      <c r="N305" s="222" t="s">
        <v>281</v>
      </c>
      <c r="O305" s="223" t="s">
        <v>20</v>
      </c>
      <c r="P305" s="223" t="s">
        <v>20</v>
      </c>
      <c r="Q305" s="223" t="s">
        <v>15</v>
      </c>
      <c r="R305" s="223" t="s">
        <v>15</v>
      </c>
      <c r="S305" s="223" t="s">
        <v>16</v>
      </c>
      <c r="T305" s="223" t="s">
        <v>328</v>
      </c>
      <c r="U305" s="223" t="s">
        <v>248</v>
      </c>
      <c r="V305" s="223" t="s">
        <v>281</v>
      </c>
      <c r="W305" s="224" t="s">
        <v>281</v>
      </c>
      <c r="X305" s="224" t="s">
        <v>281</v>
      </c>
      <c r="Y305" s="225" t="s">
        <v>281</v>
      </c>
    </row>
    <row r="306" spans="1:25">
      <c r="A306" s="219">
        <v>6</v>
      </c>
      <c r="B306" s="220" t="str">
        <f>VLOOKUP(Tabel10[[#This Row],[Code]],Ruimtegroepen[[Code]:[Ruimte omschrijving]],2,FALSE)</f>
        <v>Gangen/hallen</v>
      </c>
      <c r="C306" s="221" t="s">
        <v>536</v>
      </c>
      <c r="D306" s="220" t="s">
        <v>21</v>
      </c>
      <c r="E306" s="221" t="s">
        <v>101</v>
      </c>
      <c r="F306" s="221" t="s">
        <v>539</v>
      </c>
      <c r="G306" s="226" t="s">
        <v>281</v>
      </c>
      <c r="H306" s="222" t="s">
        <v>281</v>
      </c>
      <c r="I306" s="222" t="s">
        <v>20</v>
      </c>
      <c r="J306" s="222" t="s">
        <v>281</v>
      </c>
      <c r="K306" s="222" t="s">
        <v>20</v>
      </c>
      <c r="L306" s="222" t="s">
        <v>281</v>
      </c>
      <c r="M306" s="222" t="s">
        <v>281</v>
      </c>
      <c r="N306" s="222" t="s">
        <v>281</v>
      </c>
      <c r="O306" s="223" t="s">
        <v>20</v>
      </c>
      <c r="P306" s="223" t="s">
        <v>20</v>
      </c>
      <c r="Q306" s="223" t="s">
        <v>15</v>
      </c>
      <c r="R306" s="223" t="s">
        <v>15</v>
      </c>
      <c r="S306" s="223" t="s">
        <v>16</v>
      </c>
      <c r="T306" s="223" t="s">
        <v>328</v>
      </c>
      <c r="U306" s="223" t="s">
        <v>248</v>
      </c>
      <c r="V306" s="223" t="s">
        <v>281</v>
      </c>
      <c r="W306" s="224" t="s">
        <v>281</v>
      </c>
      <c r="X306" s="224" t="s">
        <v>281</v>
      </c>
      <c r="Y306" s="225" t="s">
        <v>281</v>
      </c>
    </row>
    <row r="307" spans="1:25">
      <c r="A307" s="219">
        <v>6</v>
      </c>
      <c r="B307" s="220" t="str">
        <f>VLOOKUP(Tabel10[[#This Row],[Code]],Ruimtegroepen[[Code]:[Ruimte omschrijving]],2,FALSE)</f>
        <v>Gangen/hallen</v>
      </c>
      <c r="C307" s="221" t="s">
        <v>536</v>
      </c>
      <c r="D307" s="220" t="s">
        <v>21</v>
      </c>
      <c r="E307" s="221" t="s">
        <v>102</v>
      </c>
      <c r="F307" s="221" t="s">
        <v>540</v>
      </c>
      <c r="G307" s="226" t="s">
        <v>281</v>
      </c>
      <c r="H307" s="222" t="s">
        <v>281</v>
      </c>
      <c r="I307" s="222" t="s">
        <v>20</v>
      </c>
      <c r="J307" s="222" t="s">
        <v>281</v>
      </c>
      <c r="K307" s="222" t="s">
        <v>20</v>
      </c>
      <c r="L307" s="222" t="s">
        <v>281</v>
      </c>
      <c r="M307" s="222" t="s">
        <v>281</v>
      </c>
      <c r="N307" s="222" t="s">
        <v>281</v>
      </c>
      <c r="O307" s="223" t="s">
        <v>20</v>
      </c>
      <c r="P307" s="223" t="s">
        <v>20</v>
      </c>
      <c r="Q307" s="223" t="s">
        <v>15</v>
      </c>
      <c r="R307" s="223" t="s">
        <v>15</v>
      </c>
      <c r="S307" s="223" t="s">
        <v>16</v>
      </c>
      <c r="T307" s="223" t="s">
        <v>328</v>
      </c>
      <c r="U307" s="223" t="s">
        <v>248</v>
      </c>
      <c r="V307" s="223" t="s">
        <v>281</v>
      </c>
      <c r="W307" s="224" t="s">
        <v>281</v>
      </c>
      <c r="X307" s="224" t="s">
        <v>281</v>
      </c>
      <c r="Y307" s="225" t="s">
        <v>281</v>
      </c>
    </row>
    <row r="308" spans="1:25">
      <c r="A308" s="219">
        <v>6</v>
      </c>
      <c r="B308" s="220" t="str">
        <f>VLOOKUP(Tabel10[[#This Row],[Code]],Ruimtegroepen[[Code]:[Ruimte omschrijving]],2,FALSE)</f>
        <v>Gangen/hallen</v>
      </c>
      <c r="C308" s="221" t="s">
        <v>536</v>
      </c>
      <c r="D308" s="220" t="s">
        <v>21</v>
      </c>
      <c r="E308" s="221" t="s">
        <v>99</v>
      </c>
      <c r="F308" s="221" t="s">
        <v>538</v>
      </c>
      <c r="G308" s="226" t="s">
        <v>281</v>
      </c>
      <c r="H308" s="222" t="s">
        <v>20</v>
      </c>
      <c r="I308" s="222" t="s">
        <v>281</v>
      </c>
      <c r="J308" s="222" t="s">
        <v>281</v>
      </c>
      <c r="K308" s="222" t="s">
        <v>281</v>
      </c>
      <c r="L308" s="222" t="s">
        <v>281</v>
      </c>
      <c r="M308" s="222" t="s">
        <v>281</v>
      </c>
      <c r="N308" s="222" t="s">
        <v>281</v>
      </c>
      <c r="O308" s="223" t="s">
        <v>20</v>
      </c>
      <c r="P308" s="223" t="s">
        <v>20</v>
      </c>
      <c r="Q308" s="223" t="s">
        <v>15</v>
      </c>
      <c r="R308" s="223" t="s">
        <v>15</v>
      </c>
      <c r="S308" s="223" t="s">
        <v>16</v>
      </c>
      <c r="T308" s="223" t="s">
        <v>328</v>
      </c>
      <c r="U308" s="223" t="s">
        <v>248</v>
      </c>
      <c r="V308" s="223" t="s">
        <v>281</v>
      </c>
      <c r="W308" s="224" t="s">
        <v>281</v>
      </c>
      <c r="X308" s="224" t="s">
        <v>281</v>
      </c>
      <c r="Y308" s="225" t="s">
        <v>281</v>
      </c>
    </row>
    <row r="309" spans="1:25">
      <c r="A309" s="219">
        <v>6</v>
      </c>
      <c r="B309" s="220" t="str">
        <f>VLOOKUP(Tabel10[[#This Row],[Code]],Ruimtegroepen[[Code]:[Ruimte omschrijving]],2,FALSE)</f>
        <v>Gangen/hallen</v>
      </c>
      <c r="C309" s="221" t="s">
        <v>536</v>
      </c>
      <c r="D309" s="220" t="s">
        <v>21</v>
      </c>
      <c r="E309" s="221" t="s">
        <v>1309</v>
      </c>
      <c r="F309" s="221" t="s">
        <v>1446</v>
      </c>
      <c r="G309" s="226" t="s">
        <v>281</v>
      </c>
      <c r="H309" s="222" t="s">
        <v>281</v>
      </c>
      <c r="I309" s="222" t="s">
        <v>20</v>
      </c>
      <c r="J309" s="222" t="s">
        <v>281</v>
      </c>
      <c r="K309" s="222" t="s">
        <v>20</v>
      </c>
      <c r="L309" s="222" t="s">
        <v>281</v>
      </c>
      <c r="M309" s="222" t="s">
        <v>281</v>
      </c>
      <c r="N309" s="222" t="s">
        <v>281</v>
      </c>
      <c r="O309" s="223" t="s">
        <v>20</v>
      </c>
      <c r="P309" s="223" t="s">
        <v>20</v>
      </c>
      <c r="Q309" s="223" t="s">
        <v>15</v>
      </c>
      <c r="R309" s="223" t="s">
        <v>15</v>
      </c>
      <c r="S309" s="223" t="s">
        <v>16</v>
      </c>
      <c r="T309" s="223" t="s">
        <v>328</v>
      </c>
      <c r="U309" s="223" t="s">
        <v>248</v>
      </c>
      <c r="V309" s="223" t="s">
        <v>281</v>
      </c>
      <c r="W309" s="224" t="s">
        <v>281</v>
      </c>
      <c r="X309" s="224" t="s">
        <v>281</v>
      </c>
      <c r="Y309" s="225" t="s">
        <v>281</v>
      </c>
    </row>
    <row r="310" spans="1:25">
      <c r="A310" s="219">
        <v>6</v>
      </c>
      <c r="B310" s="220" t="str">
        <f>VLOOKUP(Tabel10[[#This Row],[Code]],Ruimtegroepen[[Code]:[Ruimte omschrijving]],2,FALSE)</f>
        <v>Gangen/hallen</v>
      </c>
      <c r="C310" s="221" t="s">
        <v>541</v>
      </c>
      <c r="D310" s="220" t="s">
        <v>12</v>
      </c>
      <c r="E310" s="221" t="s">
        <v>100</v>
      </c>
      <c r="F310" s="221" t="s">
        <v>542</v>
      </c>
      <c r="G310" s="226" t="s">
        <v>281</v>
      </c>
      <c r="H310" s="222" t="s">
        <v>281</v>
      </c>
      <c r="I310" s="222" t="s">
        <v>281</v>
      </c>
      <c r="J310" s="222" t="s">
        <v>18</v>
      </c>
      <c r="K310" s="222" t="s">
        <v>281</v>
      </c>
      <c r="L310" s="222" t="s">
        <v>281</v>
      </c>
      <c r="M310" s="222" t="s">
        <v>281</v>
      </c>
      <c r="N310" s="222" t="s">
        <v>281</v>
      </c>
      <c r="O310" s="223" t="s">
        <v>18</v>
      </c>
      <c r="P310" s="223" t="s">
        <v>18</v>
      </c>
      <c r="Q310" s="223" t="s">
        <v>15</v>
      </c>
      <c r="R310" s="223" t="s">
        <v>15</v>
      </c>
      <c r="S310" s="223" t="s">
        <v>16</v>
      </c>
      <c r="T310" s="223" t="s">
        <v>328</v>
      </c>
      <c r="U310" s="223" t="s">
        <v>248</v>
      </c>
      <c r="V310" s="223" t="s">
        <v>281</v>
      </c>
      <c r="W310" s="224" t="s">
        <v>281</v>
      </c>
      <c r="X310" s="224" t="s">
        <v>281</v>
      </c>
      <c r="Y310" s="225" t="s">
        <v>281</v>
      </c>
    </row>
    <row r="311" spans="1:25">
      <c r="A311" s="219">
        <v>6</v>
      </c>
      <c r="B311" s="220" t="str">
        <f>VLOOKUP(Tabel10[[#This Row],[Code]],Ruimtegroepen[[Code]:[Ruimte omschrijving]],2,FALSE)</f>
        <v>Gangen/hallen</v>
      </c>
      <c r="C311" s="221" t="s">
        <v>541</v>
      </c>
      <c r="D311" s="220" t="s">
        <v>12</v>
      </c>
      <c r="E311" s="221" t="s">
        <v>99</v>
      </c>
      <c r="F311" s="221" t="s">
        <v>543</v>
      </c>
      <c r="G311" s="226" t="s">
        <v>281</v>
      </c>
      <c r="H311" s="222" t="s">
        <v>18</v>
      </c>
      <c r="I311" s="222" t="s">
        <v>281</v>
      </c>
      <c r="J311" s="222" t="s">
        <v>281</v>
      </c>
      <c r="K311" s="222" t="s">
        <v>281</v>
      </c>
      <c r="L311" s="222" t="s">
        <v>281</v>
      </c>
      <c r="M311" s="222" t="s">
        <v>281</v>
      </c>
      <c r="N311" s="222" t="s">
        <v>281</v>
      </c>
      <c r="O311" s="223" t="s">
        <v>18</v>
      </c>
      <c r="P311" s="223" t="s">
        <v>18</v>
      </c>
      <c r="Q311" s="223" t="s">
        <v>15</v>
      </c>
      <c r="R311" s="223" t="s">
        <v>15</v>
      </c>
      <c r="S311" s="223" t="s">
        <v>16</v>
      </c>
      <c r="T311" s="223" t="s">
        <v>328</v>
      </c>
      <c r="U311" s="223" t="s">
        <v>248</v>
      </c>
      <c r="V311" s="223" t="s">
        <v>281</v>
      </c>
      <c r="W311" s="224" t="s">
        <v>281</v>
      </c>
      <c r="X311" s="224" t="s">
        <v>281</v>
      </c>
      <c r="Y311" s="225" t="s">
        <v>281</v>
      </c>
    </row>
    <row r="312" spans="1:25">
      <c r="A312" s="219">
        <v>6</v>
      </c>
      <c r="B312" s="220" t="str">
        <f>VLOOKUP(Tabel10[[#This Row],[Code]],Ruimtegroepen[[Code]:[Ruimte omschrijving]],2,FALSE)</f>
        <v>Gangen/hallen</v>
      </c>
      <c r="C312" s="221" t="s">
        <v>541</v>
      </c>
      <c r="D312" s="220" t="s">
        <v>12</v>
      </c>
      <c r="E312" s="221" t="s">
        <v>101</v>
      </c>
      <c r="F312" s="221" t="s">
        <v>544</v>
      </c>
      <c r="G312" s="226" t="s">
        <v>281</v>
      </c>
      <c r="H312" s="222" t="s">
        <v>281</v>
      </c>
      <c r="I312" s="222" t="s">
        <v>18</v>
      </c>
      <c r="J312" s="222" t="s">
        <v>281</v>
      </c>
      <c r="K312" s="222" t="s">
        <v>18</v>
      </c>
      <c r="L312" s="222" t="s">
        <v>281</v>
      </c>
      <c r="M312" s="222" t="s">
        <v>281</v>
      </c>
      <c r="N312" s="222" t="s">
        <v>281</v>
      </c>
      <c r="O312" s="223" t="s">
        <v>18</v>
      </c>
      <c r="P312" s="223" t="s">
        <v>18</v>
      </c>
      <c r="Q312" s="223" t="s">
        <v>15</v>
      </c>
      <c r="R312" s="223" t="s">
        <v>15</v>
      </c>
      <c r="S312" s="223" t="s">
        <v>16</v>
      </c>
      <c r="T312" s="223" t="s">
        <v>328</v>
      </c>
      <c r="U312" s="223" t="s">
        <v>248</v>
      </c>
      <c r="V312" s="223" t="s">
        <v>281</v>
      </c>
      <c r="W312" s="224" t="s">
        <v>281</v>
      </c>
      <c r="X312" s="224" t="s">
        <v>281</v>
      </c>
      <c r="Y312" s="225" t="s">
        <v>281</v>
      </c>
    </row>
    <row r="313" spans="1:25">
      <c r="A313" s="219">
        <v>6</v>
      </c>
      <c r="B313" s="220" t="str">
        <f>VLOOKUP(Tabel10[[#This Row],[Code]],Ruimtegroepen[[Code]:[Ruimte omschrijving]],2,FALSE)</f>
        <v>Gangen/hallen</v>
      </c>
      <c r="C313" s="221" t="s">
        <v>541</v>
      </c>
      <c r="D313" s="220" t="s">
        <v>12</v>
      </c>
      <c r="E313" s="221" t="s">
        <v>102</v>
      </c>
      <c r="F313" s="221" t="s">
        <v>545</v>
      </c>
      <c r="G313" s="226" t="s">
        <v>281</v>
      </c>
      <c r="H313" s="222" t="s">
        <v>281</v>
      </c>
      <c r="I313" s="222" t="s">
        <v>18</v>
      </c>
      <c r="J313" s="222" t="s">
        <v>281</v>
      </c>
      <c r="K313" s="222" t="s">
        <v>18</v>
      </c>
      <c r="L313" s="222" t="s">
        <v>281</v>
      </c>
      <c r="M313" s="222" t="s">
        <v>281</v>
      </c>
      <c r="N313" s="222" t="s">
        <v>281</v>
      </c>
      <c r="O313" s="223" t="s">
        <v>18</v>
      </c>
      <c r="P313" s="223" t="s">
        <v>18</v>
      </c>
      <c r="Q313" s="223" t="s">
        <v>15</v>
      </c>
      <c r="R313" s="223" t="s">
        <v>15</v>
      </c>
      <c r="S313" s="223" t="s">
        <v>16</v>
      </c>
      <c r="T313" s="223" t="s">
        <v>328</v>
      </c>
      <c r="U313" s="223" t="s">
        <v>248</v>
      </c>
      <c r="V313" s="223" t="s">
        <v>281</v>
      </c>
      <c r="W313" s="224" t="s">
        <v>281</v>
      </c>
      <c r="X313" s="224" t="s">
        <v>281</v>
      </c>
      <c r="Y313" s="225" t="s">
        <v>281</v>
      </c>
    </row>
    <row r="314" spans="1:25">
      <c r="A314" s="219">
        <v>6</v>
      </c>
      <c r="B314" s="220" t="str">
        <f>VLOOKUP(Tabel10[[#This Row],[Code]],Ruimtegroepen[[Code]:[Ruimte omschrijving]],2,FALSE)</f>
        <v>Gangen/hallen</v>
      </c>
      <c r="C314" s="221" t="s">
        <v>541</v>
      </c>
      <c r="D314" s="220" t="s">
        <v>12</v>
      </c>
      <c r="E314" s="221" t="s">
        <v>99</v>
      </c>
      <c r="F314" s="221" t="s">
        <v>543</v>
      </c>
      <c r="G314" s="226" t="s">
        <v>281</v>
      </c>
      <c r="H314" s="222" t="s">
        <v>18</v>
      </c>
      <c r="I314" s="222" t="s">
        <v>281</v>
      </c>
      <c r="J314" s="222" t="s">
        <v>281</v>
      </c>
      <c r="K314" s="222" t="s">
        <v>281</v>
      </c>
      <c r="L314" s="222" t="s">
        <v>281</v>
      </c>
      <c r="M314" s="222" t="s">
        <v>281</v>
      </c>
      <c r="N314" s="222" t="s">
        <v>281</v>
      </c>
      <c r="O314" s="223" t="s">
        <v>18</v>
      </c>
      <c r="P314" s="223" t="s">
        <v>18</v>
      </c>
      <c r="Q314" s="223" t="s">
        <v>15</v>
      </c>
      <c r="R314" s="223" t="s">
        <v>15</v>
      </c>
      <c r="S314" s="223" t="s">
        <v>16</v>
      </c>
      <c r="T314" s="223" t="s">
        <v>328</v>
      </c>
      <c r="U314" s="223" t="s">
        <v>248</v>
      </c>
      <c r="V314" s="223" t="s">
        <v>281</v>
      </c>
      <c r="W314" s="224" t="s">
        <v>281</v>
      </c>
      <c r="X314" s="224" t="s">
        <v>281</v>
      </c>
      <c r="Y314" s="225" t="s">
        <v>281</v>
      </c>
    </row>
    <row r="315" spans="1:25">
      <c r="A315" s="219">
        <v>6</v>
      </c>
      <c r="B315" s="220" t="str">
        <f>VLOOKUP(Tabel10[[#This Row],[Code]],Ruimtegroepen[[Code]:[Ruimte omschrijving]],2,FALSE)</f>
        <v>Gangen/hallen</v>
      </c>
      <c r="C315" s="221" t="s">
        <v>541</v>
      </c>
      <c r="D315" s="220" t="s">
        <v>12</v>
      </c>
      <c r="E315" s="221" t="s">
        <v>1309</v>
      </c>
      <c r="F315" s="221" t="s">
        <v>1428</v>
      </c>
      <c r="G315" s="226" t="s">
        <v>281</v>
      </c>
      <c r="H315" s="222" t="s">
        <v>281</v>
      </c>
      <c r="I315" s="222" t="s">
        <v>18</v>
      </c>
      <c r="J315" s="222" t="s">
        <v>281</v>
      </c>
      <c r="K315" s="222" t="s">
        <v>18</v>
      </c>
      <c r="L315" s="222" t="s">
        <v>281</v>
      </c>
      <c r="M315" s="222" t="s">
        <v>281</v>
      </c>
      <c r="N315" s="222" t="s">
        <v>281</v>
      </c>
      <c r="O315" s="223" t="s">
        <v>18</v>
      </c>
      <c r="P315" s="223" t="s">
        <v>18</v>
      </c>
      <c r="Q315" s="223" t="s">
        <v>15</v>
      </c>
      <c r="R315" s="223" t="s">
        <v>15</v>
      </c>
      <c r="S315" s="223" t="s">
        <v>16</v>
      </c>
      <c r="T315" s="223" t="s">
        <v>328</v>
      </c>
      <c r="U315" s="223" t="s">
        <v>248</v>
      </c>
      <c r="V315" s="223" t="s">
        <v>281</v>
      </c>
      <c r="W315" s="224" t="s">
        <v>281</v>
      </c>
      <c r="X315" s="224" t="s">
        <v>281</v>
      </c>
      <c r="Y315" s="225" t="s">
        <v>281</v>
      </c>
    </row>
    <row r="316" spans="1:25">
      <c r="A316" s="219">
        <v>6</v>
      </c>
      <c r="B316" s="220" t="str">
        <f>VLOOKUP(Tabel10[[#This Row],[Code]],Ruimtegroepen[[Code]:[Ruimte omschrijving]],2,FALSE)</f>
        <v>Gangen/hallen</v>
      </c>
      <c r="C316" s="221" t="s">
        <v>546</v>
      </c>
      <c r="D316" s="220" t="s">
        <v>14</v>
      </c>
      <c r="E316" s="221" t="s">
        <v>100</v>
      </c>
      <c r="F316" s="221" t="s">
        <v>547</v>
      </c>
      <c r="G316" s="226" t="s">
        <v>281</v>
      </c>
      <c r="H316" s="222" t="s">
        <v>281</v>
      </c>
      <c r="I316" s="222" t="s">
        <v>281</v>
      </c>
      <c r="J316" s="222" t="s">
        <v>17</v>
      </c>
      <c r="K316" s="222" t="s">
        <v>281</v>
      </c>
      <c r="L316" s="222" t="s">
        <v>281</v>
      </c>
      <c r="M316" s="222" t="s">
        <v>281</v>
      </c>
      <c r="N316" s="222" t="s">
        <v>281</v>
      </c>
      <c r="O316" s="223" t="s">
        <v>17</v>
      </c>
      <c r="P316" s="223" t="s">
        <v>17</v>
      </c>
      <c r="Q316" s="223" t="s">
        <v>15</v>
      </c>
      <c r="R316" s="223" t="s">
        <v>15</v>
      </c>
      <c r="S316" s="223" t="s">
        <v>16</v>
      </c>
      <c r="T316" s="223" t="s">
        <v>328</v>
      </c>
      <c r="U316" s="223" t="s">
        <v>248</v>
      </c>
      <c r="V316" s="223" t="s">
        <v>281</v>
      </c>
      <c r="W316" s="224" t="s">
        <v>281</v>
      </c>
      <c r="X316" s="224" t="s">
        <v>281</v>
      </c>
      <c r="Y316" s="225" t="s">
        <v>281</v>
      </c>
    </row>
    <row r="317" spans="1:25">
      <c r="A317" s="219">
        <v>6</v>
      </c>
      <c r="B317" s="220" t="str">
        <f>VLOOKUP(Tabel10[[#This Row],[Code]],Ruimtegroepen[[Code]:[Ruimte omschrijving]],2,FALSE)</f>
        <v>Gangen/hallen</v>
      </c>
      <c r="C317" s="221" t="s">
        <v>546</v>
      </c>
      <c r="D317" s="220" t="s">
        <v>14</v>
      </c>
      <c r="E317" s="221" t="s">
        <v>99</v>
      </c>
      <c r="F317" s="221" t="s">
        <v>548</v>
      </c>
      <c r="G317" s="226" t="s">
        <v>281</v>
      </c>
      <c r="H317" s="222" t="s">
        <v>17</v>
      </c>
      <c r="I317" s="222" t="s">
        <v>281</v>
      </c>
      <c r="J317" s="222" t="s">
        <v>281</v>
      </c>
      <c r="K317" s="222" t="s">
        <v>281</v>
      </c>
      <c r="L317" s="222" t="s">
        <v>281</v>
      </c>
      <c r="M317" s="222" t="s">
        <v>281</v>
      </c>
      <c r="N317" s="222" t="s">
        <v>281</v>
      </c>
      <c r="O317" s="223" t="s">
        <v>17</v>
      </c>
      <c r="P317" s="223" t="s">
        <v>17</v>
      </c>
      <c r="Q317" s="223" t="s">
        <v>15</v>
      </c>
      <c r="R317" s="223" t="s">
        <v>15</v>
      </c>
      <c r="S317" s="223" t="s">
        <v>16</v>
      </c>
      <c r="T317" s="223" t="s">
        <v>328</v>
      </c>
      <c r="U317" s="223" t="s">
        <v>248</v>
      </c>
      <c r="V317" s="223" t="s">
        <v>281</v>
      </c>
      <c r="W317" s="224" t="s">
        <v>281</v>
      </c>
      <c r="X317" s="224" t="s">
        <v>281</v>
      </c>
      <c r="Y317" s="225" t="s">
        <v>281</v>
      </c>
    </row>
    <row r="318" spans="1:25">
      <c r="A318" s="219">
        <v>6</v>
      </c>
      <c r="B318" s="220" t="str">
        <f>VLOOKUP(Tabel10[[#This Row],[Code]],Ruimtegroepen[[Code]:[Ruimte omschrijving]],2,FALSE)</f>
        <v>Gangen/hallen</v>
      </c>
      <c r="C318" s="221" t="s">
        <v>546</v>
      </c>
      <c r="D318" s="220" t="s">
        <v>14</v>
      </c>
      <c r="E318" s="221" t="s">
        <v>101</v>
      </c>
      <c r="F318" s="221" t="s">
        <v>549</v>
      </c>
      <c r="G318" s="226" t="s">
        <v>281</v>
      </c>
      <c r="H318" s="222" t="s">
        <v>281</v>
      </c>
      <c r="I318" s="222" t="s">
        <v>17</v>
      </c>
      <c r="J318" s="222" t="s">
        <v>281</v>
      </c>
      <c r="K318" s="222" t="s">
        <v>17</v>
      </c>
      <c r="L318" s="222" t="s">
        <v>281</v>
      </c>
      <c r="M318" s="222" t="s">
        <v>281</v>
      </c>
      <c r="N318" s="222" t="s">
        <v>281</v>
      </c>
      <c r="O318" s="223" t="s">
        <v>17</v>
      </c>
      <c r="P318" s="223" t="s">
        <v>17</v>
      </c>
      <c r="Q318" s="223" t="s">
        <v>15</v>
      </c>
      <c r="R318" s="223" t="s">
        <v>15</v>
      </c>
      <c r="S318" s="223" t="s">
        <v>16</v>
      </c>
      <c r="T318" s="223" t="s">
        <v>328</v>
      </c>
      <c r="U318" s="223" t="s">
        <v>248</v>
      </c>
      <c r="V318" s="223" t="s">
        <v>281</v>
      </c>
      <c r="W318" s="224" t="s">
        <v>281</v>
      </c>
      <c r="X318" s="224" t="s">
        <v>281</v>
      </c>
      <c r="Y318" s="225" t="s">
        <v>281</v>
      </c>
    </row>
    <row r="319" spans="1:25">
      <c r="A319" s="219">
        <v>6</v>
      </c>
      <c r="B319" s="220" t="str">
        <f>VLOOKUP(Tabel10[[#This Row],[Code]],Ruimtegroepen[[Code]:[Ruimte omschrijving]],2,FALSE)</f>
        <v>Gangen/hallen</v>
      </c>
      <c r="C319" s="221" t="s">
        <v>546</v>
      </c>
      <c r="D319" s="220" t="s">
        <v>14</v>
      </c>
      <c r="E319" s="221" t="s">
        <v>102</v>
      </c>
      <c r="F319" s="221" t="s">
        <v>550</v>
      </c>
      <c r="G319" s="226" t="s">
        <v>281</v>
      </c>
      <c r="H319" s="222" t="s">
        <v>281</v>
      </c>
      <c r="I319" s="222" t="s">
        <v>17</v>
      </c>
      <c r="J319" s="222" t="s">
        <v>281</v>
      </c>
      <c r="K319" s="222" t="s">
        <v>17</v>
      </c>
      <c r="L319" s="222" t="s">
        <v>281</v>
      </c>
      <c r="M319" s="222" t="s">
        <v>281</v>
      </c>
      <c r="N319" s="222" t="s">
        <v>281</v>
      </c>
      <c r="O319" s="223" t="s">
        <v>17</v>
      </c>
      <c r="P319" s="223" t="s">
        <v>17</v>
      </c>
      <c r="Q319" s="223" t="s">
        <v>15</v>
      </c>
      <c r="R319" s="223" t="s">
        <v>15</v>
      </c>
      <c r="S319" s="223" t="s">
        <v>16</v>
      </c>
      <c r="T319" s="223" t="s">
        <v>328</v>
      </c>
      <c r="U319" s="223" t="s">
        <v>248</v>
      </c>
      <c r="V319" s="223" t="s">
        <v>281</v>
      </c>
      <c r="W319" s="224" t="s">
        <v>281</v>
      </c>
      <c r="X319" s="224" t="s">
        <v>281</v>
      </c>
      <c r="Y319" s="225" t="s">
        <v>281</v>
      </c>
    </row>
    <row r="320" spans="1:25">
      <c r="A320" s="219">
        <v>6</v>
      </c>
      <c r="B320" s="220" t="str">
        <f>VLOOKUP(Tabel10[[#This Row],[Code]],Ruimtegroepen[[Code]:[Ruimte omschrijving]],2,FALSE)</f>
        <v>Gangen/hallen</v>
      </c>
      <c r="C320" s="221" t="s">
        <v>546</v>
      </c>
      <c r="D320" s="220" t="s">
        <v>14</v>
      </c>
      <c r="E320" s="221" t="s">
        <v>99</v>
      </c>
      <c r="F320" s="221" t="s">
        <v>548</v>
      </c>
      <c r="G320" s="226" t="s">
        <v>281</v>
      </c>
      <c r="H320" s="222" t="s">
        <v>17</v>
      </c>
      <c r="I320" s="222" t="s">
        <v>281</v>
      </c>
      <c r="J320" s="222" t="s">
        <v>281</v>
      </c>
      <c r="K320" s="222" t="s">
        <v>281</v>
      </c>
      <c r="L320" s="222" t="s">
        <v>281</v>
      </c>
      <c r="M320" s="222" t="s">
        <v>281</v>
      </c>
      <c r="N320" s="222" t="s">
        <v>281</v>
      </c>
      <c r="O320" s="223" t="s">
        <v>17</v>
      </c>
      <c r="P320" s="223" t="s">
        <v>17</v>
      </c>
      <c r="Q320" s="223" t="s">
        <v>15</v>
      </c>
      <c r="R320" s="223" t="s">
        <v>15</v>
      </c>
      <c r="S320" s="223" t="s">
        <v>16</v>
      </c>
      <c r="T320" s="223" t="s">
        <v>328</v>
      </c>
      <c r="U320" s="223" t="s">
        <v>248</v>
      </c>
      <c r="V320" s="223" t="s">
        <v>281</v>
      </c>
      <c r="W320" s="224" t="s">
        <v>281</v>
      </c>
      <c r="X320" s="224" t="s">
        <v>281</v>
      </c>
      <c r="Y320" s="225" t="s">
        <v>281</v>
      </c>
    </row>
    <row r="321" spans="1:25">
      <c r="A321" s="219">
        <v>6</v>
      </c>
      <c r="B321" s="220" t="str">
        <f>VLOOKUP(Tabel10[[#This Row],[Code]],Ruimtegroepen[[Code]:[Ruimte omschrijving]],2,FALSE)</f>
        <v>Gangen/hallen</v>
      </c>
      <c r="C321" s="221" t="s">
        <v>546</v>
      </c>
      <c r="D321" s="220" t="s">
        <v>14</v>
      </c>
      <c r="E321" s="221" t="s">
        <v>1309</v>
      </c>
      <c r="F321" s="221" t="s">
        <v>1395</v>
      </c>
      <c r="G321" s="226" t="s">
        <v>281</v>
      </c>
      <c r="H321" s="222" t="s">
        <v>281</v>
      </c>
      <c r="I321" s="222" t="s">
        <v>17</v>
      </c>
      <c r="J321" s="222" t="s">
        <v>281</v>
      </c>
      <c r="K321" s="222" t="s">
        <v>17</v>
      </c>
      <c r="L321" s="222" t="s">
        <v>281</v>
      </c>
      <c r="M321" s="222" t="s">
        <v>281</v>
      </c>
      <c r="N321" s="222" t="s">
        <v>281</v>
      </c>
      <c r="O321" s="223" t="s">
        <v>17</v>
      </c>
      <c r="P321" s="223" t="s">
        <v>17</v>
      </c>
      <c r="Q321" s="223" t="s">
        <v>15</v>
      </c>
      <c r="R321" s="223" t="s">
        <v>15</v>
      </c>
      <c r="S321" s="223" t="s">
        <v>16</v>
      </c>
      <c r="T321" s="223" t="s">
        <v>328</v>
      </c>
      <c r="U321" s="223" t="s">
        <v>248</v>
      </c>
      <c r="V321" s="223" t="s">
        <v>281</v>
      </c>
      <c r="W321" s="224" t="s">
        <v>281</v>
      </c>
      <c r="X321" s="224" t="s">
        <v>281</v>
      </c>
      <c r="Y321" s="225" t="s">
        <v>281</v>
      </c>
    </row>
    <row r="322" spans="1:25">
      <c r="A322" s="219">
        <v>6</v>
      </c>
      <c r="B322" s="220" t="str">
        <f>VLOOKUP(Tabel10[[#This Row],[Code]],Ruimtegroepen[[Code]:[Ruimte omschrijving]],2,FALSE)</f>
        <v>Gangen/hallen</v>
      </c>
      <c r="C322" s="221" t="s">
        <v>551</v>
      </c>
      <c r="D322" s="220" t="s">
        <v>13</v>
      </c>
      <c r="E322" s="221" t="s">
        <v>100</v>
      </c>
      <c r="F322" s="221" t="s">
        <v>552</v>
      </c>
      <c r="G322" s="226" t="s">
        <v>281</v>
      </c>
      <c r="H322" s="222" t="s">
        <v>281</v>
      </c>
      <c r="I322" s="222" t="s">
        <v>281</v>
      </c>
      <c r="J322" s="222" t="s">
        <v>15</v>
      </c>
      <c r="K322" s="222" t="s">
        <v>281</v>
      </c>
      <c r="L322" s="222" t="s">
        <v>281</v>
      </c>
      <c r="M322" s="222" t="s">
        <v>281</v>
      </c>
      <c r="N322" s="222" t="s">
        <v>281</v>
      </c>
      <c r="O322" s="223" t="s">
        <v>15</v>
      </c>
      <c r="P322" s="223" t="s">
        <v>15</v>
      </c>
      <c r="Q322" s="223" t="s">
        <v>15</v>
      </c>
      <c r="R322" s="223" t="s">
        <v>15</v>
      </c>
      <c r="S322" s="223" t="s">
        <v>16</v>
      </c>
      <c r="T322" s="223" t="s">
        <v>328</v>
      </c>
      <c r="U322" s="223" t="s">
        <v>248</v>
      </c>
      <c r="V322" s="223" t="s">
        <v>281</v>
      </c>
      <c r="W322" s="224" t="s">
        <v>281</v>
      </c>
      <c r="X322" s="224" t="s">
        <v>281</v>
      </c>
      <c r="Y322" s="225" t="s">
        <v>281</v>
      </c>
    </row>
    <row r="323" spans="1:25">
      <c r="A323" s="219">
        <v>6</v>
      </c>
      <c r="B323" s="220" t="str">
        <f>VLOOKUP(Tabel10[[#This Row],[Code]],Ruimtegroepen[[Code]:[Ruimte omschrijving]],2,FALSE)</f>
        <v>Gangen/hallen</v>
      </c>
      <c r="C323" s="221" t="s">
        <v>551</v>
      </c>
      <c r="D323" s="220" t="s">
        <v>13</v>
      </c>
      <c r="E323" s="221" t="s">
        <v>99</v>
      </c>
      <c r="F323" s="221" t="s">
        <v>553</v>
      </c>
      <c r="G323" s="226" t="s">
        <v>281</v>
      </c>
      <c r="H323" s="222" t="s">
        <v>15</v>
      </c>
      <c r="I323" s="222" t="s">
        <v>281</v>
      </c>
      <c r="J323" s="222" t="s">
        <v>281</v>
      </c>
      <c r="K323" s="222" t="s">
        <v>281</v>
      </c>
      <c r="L323" s="222" t="s">
        <v>281</v>
      </c>
      <c r="M323" s="222" t="s">
        <v>281</v>
      </c>
      <c r="N323" s="222" t="s">
        <v>281</v>
      </c>
      <c r="O323" s="223" t="s">
        <v>15</v>
      </c>
      <c r="P323" s="223" t="s">
        <v>15</v>
      </c>
      <c r="Q323" s="223" t="s">
        <v>15</v>
      </c>
      <c r="R323" s="223" t="s">
        <v>15</v>
      </c>
      <c r="S323" s="223" t="s">
        <v>16</v>
      </c>
      <c r="T323" s="223" t="s">
        <v>328</v>
      </c>
      <c r="U323" s="223" t="s">
        <v>248</v>
      </c>
      <c r="V323" s="223" t="s">
        <v>281</v>
      </c>
      <c r="W323" s="224" t="s">
        <v>281</v>
      </c>
      <c r="X323" s="224" t="s">
        <v>281</v>
      </c>
      <c r="Y323" s="225" t="s">
        <v>281</v>
      </c>
    </row>
    <row r="324" spans="1:25">
      <c r="A324" s="219">
        <v>6</v>
      </c>
      <c r="B324" s="220" t="str">
        <f>VLOOKUP(Tabel10[[#This Row],[Code]],Ruimtegroepen[[Code]:[Ruimte omschrijving]],2,FALSE)</f>
        <v>Gangen/hallen</v>
      </c>
      <c r="C324" s="221" t="s">
        <v>551</v>
      </c>
      <c r="D324" s="220" t="s">
        <v>13</v>
      </c>
      <c r="E324" s="221" t="s">
        <v>101</v>
      </c>
      <c r="F324" s="221" t="s">
        <v>554</v>
      </c>
      <c r="G324" s="226" t="s">
        <v>281</v>
      </c>
      <c r="H324" s="222" t="s">
        <v>281</v>
      </c>
      <c r="I324" s="222" t="s">
        <v>15</v>
      </c>
      <c r="J324" s="222" t="s">
        <v>281</v>
      </c>
      <c r="K324" s="222" t="s">
        <v>15</v>
      </c>
      <c r="L324" s="222" t="s">
        <v>281</v>
      </c>
      <c r="M324" s="222" t="s">
        <v>281</v>
      </c>
      <c r="N324" s="222" t="s">
        <v>281</v>
      </c>
      <c r="O324" s="223" t="s">
        <v>15</v>
      </c>
      <c r="P324" s="223" t="s">
        <v>15</v>
      </c>
      <c r="Q324" s="223" t="s">
        <v>15</v>
      </c>
      <c r="R324" s="223" t="s">
        <v>15</v>
      </c>
      <c r="S324" s="223" t="s">
        <v>16</v>
      </c>
      <c r="T324" s="223" t="s">
        <v>328</v>
      </c>
      <c r="U324" s="223" t="s">
        <v>248</v>
      </c>
      <c r="V324" s="223" t="s">
        <v>281</v>
      </c>
      <c r="W324" s="224" t="s">
        <v>281</v>
      </c>
      <c r="X324" s="224" t="s">
        <v>281</v>
      </c>
      <c r="Y324" s="225" t="s">
        <v>281</v>
      </c>
    </row>
    <row r="325" spans="1:25">
      <c r="A325" s="219">
        <v>6</v>
      </c>
      <c r="B325" s="220" t="str">
        <f>VLOOKUP(Tabel10[[#This Row],[Code]],Ruimtegroepen[[Code]:[Ruimte omschrijving]],2,FALSE)</f>
        <v>Gangen/hallen</v>
      </c>
      <c r="C325" s="221" t="s">
        <v>551</v>
      </c>
      <c r="D325" s="220" t="s">
        <v>13</v>
      </c>
      <c r="E325" s="221" t="s">
        <v>102</v>
      </c>
      <c r="F325" s="221" t="s">
        <v>555</v>
      </c>
      <c r="G325" s="226" t="s">
        <v>281</v>
      </c>
      <c r="H325" s="222" t="s">
        <v>281</v>
      </c>
      <c r="I325" s="222" t="s">
        <v>15</v>
      </c>
      <c r="J325" s="222" t="s">
        <v>281</v>
      </c>
      <c r="K325" s="222" t="s">
        <v>15</v>
      </c>
      <c r="L325" s="222" t="s">
        <v>281</v>
      </c>
      <c r="M325" s="222" t="s">
        <v>281</v>
      </c>
      <c r="N325" s="222" t="s">
        <v>281</v>
      </c>
      <c r="O325" s="223" t="s">
        <v>15</v>
      </c>
      <c r="P325" s="223" t="s">
        <v>15</v>
      </c>
      <c r="Q325" s="223" t="s">
        <v>15</v>
      </c>
      <c r="R325" s="223" t="s">
        <v>15</v>
      </c>
      <c r="S325" s="223" t="s">
        <v>16</v>
      </c>
      <c r="T325" s="223" t="s">
        <v>328</v>
      </c>
      <c r="U325" s="223" t="s">
        <v>248</v>
      </c>
      <c r="V325" s="223" t="s">
        <v>281</v>
      </c>
      <c r="W325" s="224" t="s">
        <v>281</v>
      </c>
      <c r="X325" s="224" t="s">
        <v>281</v>
      </c>
      <c r="Y325" s="225" t="s">
        <v>281</v>
      </c>
    </row>
    <row r="326" spans="1:25">
      <c r="A326" s="219">
        <v>6</v>
      </c>
      <c r="B326" s="220" t="str">
        <f>VLOOKUP(Tabel10[[#This Row],[Code]],Ruimtegroepen[[Code]:[Ruimte omschrijving]],2,FALSE)</f>
        <v>Gangen/hallen</v>
      </c>
      <c r="C326" s="221" t="s">
        <v>551</v>
      </c>
      <c r="D326" s="220" t="s">
        <v>13</v>
      </c>
      <c r="E326" s="221" t="s">
        <v>99</v>
      </c>
      <c r="F326" s="221" t="s">
        <v>553</v>
      </c>
      <c r="G326" s="226" t="s">
        <v>281</v>
      </c>
      <c r="H326" s="222" t="s">
        <v>15</v>
      </c>
      <c r="I326" s="222" t="s">
        <v>281</v>
      </c>
      <c r="J326" s="222" t="s">
        <v>281</v>
      </c>
      <c r="K326" s="222" t="s">
        <v>281</v>
      </c>
      <c r="L326" s="222" t="s">
        <v>281</v>
      </c>
      <c r="M326" s="222" t="s">
        <v>281</v>
      </c>
      <c r="N326" s="222" t="s">
        <v>281</v>
      </c>
      <c r="O326" s="223" t="s">
        <v>15</v>
      </c>
      <c r="P326" s="223" t="s">
        <v>15</v>
      </c>
      <c r="Q326" s="223" t="s">
        <v>15</v>
      </c>
      <c r="R326" s="223" t="s">
        <v>15</v>
      </c>
      <c r="S326" s="223" t="s">
        <v>16</v>
      </c>
      <c r="T326" s="223" t="s">
        <v>328</v>
      </c>
      <c r="U326" s="223" t="s">
        <v>248</v>
      </c>
      <c r="V326" s="223" t="s">
        <v>281</v>
      </c>
      <c r="W326" s="224" t="s">
        <v>281</v>
      </c>
      <c r="X326" s="224" t="s">
        <v>281</v>
      </c>
      <c r="Y326" s="225" t="s">
        <v>281</v>
      </c>
    </row>
    <row r="327" spans="1:25">
      <c r="A327" s="219">
        <v>6</v>
      </c>
      <c r="B327" s="220" t="str">
        <f>VLOOKUP(Tabel10[[#This Row],[Code]],Ruimtegroepen[[Code]:[Ruimte omschrijving]],2,FALSE)</f>
        <v>Gangen/hallen</v>
      </c>
      <c r="C327" s="221" t="s">
        <v>551</v>
      </c>
      <c r="D327" s="220" t="s">
        <v>13</v>
      </c>
      <c r="E327" s="221" t="s">
        <v>1309</v>
      </c>
      <c r="F327" s="221" t="s">
        <v>1362</v>
      </c>
      <c r="G327" s="226" t="s">
        <v>281</v>
      </c>
      <c r="H327" s="222" t="s">
        <v>281</v>
      </c>
      <c r="I327" s="222" t="s">
        <v>15</v>
      </c>
      <c r="J327" s="222" t="s">
        <v>281</v>
      </c>
      <c r="K327" s="222" t="s">
        <v>15</v>
      </c>
      <c r="L327" s="222" t="s">
        <v>281</v>
      </c>
      <c r="M327" s="222" t="s">
        <v>281</v>
      </c>
      <c r="N327" s="222" t="s">
        <v>281</v>
      </c>
      <c r="O327" s="223" t="s">
        <v>15</v>
      </c>
      <c r="P327" s="223" t="s">
        <v>15</v>
      </c>
      <c r="Q327" s="223" t="s">
        <v>15</v>
      </c>
      <c r="R327" s="223" t="s">
        <v>15</v>
      </c>
      <c r="S327" s="223" t="s">
        <v>16</v>
      </c>
      <c r="T327" s="223" t="s">
        <v>328</v>
      </c>
      <c r="U327" s="223" t="s">
        <v>248</v>
      </c>
      <c r="V327" s="223" t="s">
        <v>281</v>
      </c>
      <c r="W327" s="224" t="s">
        <v>281</v>
      </c>
      <c r="X327" s="224" t="s">
        <v>281</v>
      </c>
      <c r="Y327" s="225" t="s">
        <v>281</v>
      </c>
    </row>
    <row r="328" spans="1:25">
      <c r="A328" s="219">
        <v>6</v>
      </c>
      <c r="B328" s="220" t="str">
        <f>VLOOKUP(Tabel10[[#This Row],[Code]],Ruimtegroepen[[Code]:[Ruimte omschrijving]],2,FALSE)</f>
        <v>Gangen/hallen</v>
      </c>
      <c r="C328" s="221" t="s">
        <v>556</v>
      </c>
      <c r="D328" s="220" t="s">
        <v>0</v>
      </c>
      <c r="E328" s="221" t="s">
        <v>100</v>
      </c>
      <c r="F328" s="221" t="s">
        <v>557</v>
      </c>
      <c r="G328" s="226" t="s">
        <v>281</v>
      </c>
      <c r="H328" s="222" t="s">
        <v>281</v>
      </c>
      <c r="I328" s="222" t="s">
        <v>281</v>
      </c>
      <c r="J328" s="222" t="s">
        <v>16</v>
      </c>
      <c r="K328" s="222" t="s">
        <v>281</v>
      </c>
      <c r="L328" s="222" t="s">
        <v>281</v>
      </c>
      <c r="M328" s="222" t="s">
        <v>281</v>
      </c>
      <c r="N328" s="222" t="s">
        <v>281</v>
      </c>
      <c r="O328" s="223" t="s">
        <v>16</v>
      </c>
      <c r="P328" s="223" t="s">
        <v>16</v>
      </c>
      <c r="Q328" s="223" t="s">
        <v>16</v>
      </c>
      <c r="R328" s="223" t="s">
        <v>16</v>
      </c>
      <c r="S328" s="223" t="s">
        <v>16</v>
      </c>
      <c r="T328" s="223" t="s">
        <v>328</v>
      </c>
      <c r="U328" s="223" t="s">
        <v>248</v>
      </c>
      <c r="V328" s="223" t="s">
        <v>281</v>
      </c>
      <c r="W328" s="224" t="s">
        <v>281</v>
      </c>
      <c r="X328" s="224" t="s">
        <v>281</v>
      </c>
      <c r="Y328" s="225" t="s">
        <v>281</v>
      </c>
    </row>
    <row r="329" spans="1:25">
      <c r="A329" s="219">
        <v>6</v>
      </c>
      <c r="B329" s="220" t="str">
        <f>VLOOKUP(Tabel10[[#This Row],[Code]],Ruimtegroepen[[Code]:[Ruimte omschrijving]],2,FALSE)</f>
        <v>Gangen/hallen</v>
      </c>
      <c r="C329" s="221" t="s">
        <v>556</v>
      </c>
      <c r="D329" s="220" t="s">
        <v>0</v>
      </c>
      <c r="E329" s="221" t="s">
        <v>99</v>
      </c>
      <c r="F329" s="221" t="s">
        <v>558</v>
      </c>
      <c r="G329" s="226" t="s">
        <v>281</v>
      </c>
      <c r="H329" s="222" t="s">
        <v>16</v>
      </c>
      <c r="I329" s="222" t="s">
        <v>281</v>
      </c>
      <c r="J329" s="222" t="s">
        <v>281</v>
      </c>
      <c r="K329" s="222" t="s">
        <v>281</v>
      </c>
      <c r="L329" s="222" t="s">
        <v>281</v>
      </c>
      <c r="M329" s="222" t="s">
        <v>281</v>
      </c>
      <c r="N329" s="222" t="s">
        <v>281</v>
      </c>
      <c r="O329" s="223" t="s">
        <v>16</v>
      </c>
      <c r="P329" s="223" t="s">
        <v>16</v>
      </c>
      <c r="Q329" s="223" t="s">
        <v>16</v>
      </c>
      <c r="R329" s="223" t="s">
        <v>16</v>
      </c>
      <c r="S329" s="223" t="s">
        <v>16</v>
      </c>
      <c r="T329" s="223" t="s">
        <v>328</v>
      </c>
      <c r="U329" s="223" t="s">
        <v>248</v>
      </c>
      <c r="V329" s="223" t="s">
        <v>281</v>
      </c>
      <c r="W329" s="224" t="s">
        <v>281</v>
      </c>
      <c r="X329" s="224" t="s">
        <v>281</v>
      </c>
      <c r="Y329" s="225" t="s">
        <v>281</v>
      </c>
    </row>
    <row r="330" spans="1:25">
      <c r="A330" s="219">
        <v>6</v>
      </c>
      <c r="B330" s="220" t="str">
        <f>VLOOKUP(Tabel10[[#This Row],[Code]],Ruimtegroepen[[Code]:[Ruimte omschrijving]],2,FALSE)</f>
        <v>Gangen/hallen</v>
      </c>
      <c r="C330" s="221" t="s">
        <v>556</v>
      </c>
      <c r="D330" s="220" t="s">
        <v>0</v>
      </c>
      <c r="E330" s="221" t="s">
        <v>101</v>
      </c>
      <c r="F330" s="221" t="s">
        <v>559</v>
      </c>
      <c r="G330" s="226" t="s">
        <v>281</v>
      </c>
      <c r="H330" s="222" t="s">
        <v>281</v>
      </c>
      <c r="I330" s="222" t="s">
        <v>16</v>
      </c>
      <c r="J330" s="222" t="s">
        <v>360</v>
      </c>
      <c r="K330" s="222" t="s">
        <v>16</v>
      </c>
      <c r="L330" s="222" t="s">
        <v>281</v>
      </c>
      <c r="M330" s="222" t="s">
        <v>281</v>
      </c>
      <c r="N330" s="222" t="s">
        <v>281</v>
      </c>
      <c r="O330" s="223" t="s">
        <v>16</v>
      </c>
      <c r="P330" s="223" t="s">
        <v>16</v>
      </c>
      <c r="Q330" s="223" t="s">
        <v>16</v>
      </c>
      <c r="R330" s="223" t="s">
        <v>16</v>
      </c>
      <c r="S330" s="223" t="s">
        <v>16</v>
      </c>
      <c r="T330" s="223" t="s">
        <v>328</v>
      </c>
      <c r="U330" s="223" t="s">
        <v>248</v>
      </c>
      <c r="V330" s="223" t="s">
        <v>281</v>
      </c>
      <c r="W330" s="224" t="s">
        <v>281</v>
      </c>
      <c r="X330" s="224" t="s">
        <v>281</v>
      </c>
      <c r="Y330" s="225" t="s">
        <v>281</v>
      </c>
    </row>
    <row r="331" spans="1:25">
      <c r="A331" s="219">
        <v>6</v>
      </c>
      <c r="B331" s="220" t="str">
        <f>VLOOKUP(Tabel10[[#This Row],[Code]],Ruimtegroepen[[Code]:[Ruimte omschrijving]],2,FALSE)</f>
        <v>Gangen/hallen</v>
      </c>
      <c r="C331" s="221" t="s">
        <v>556</v>
      </c>
      <c r="D331" s="220" t="s">
        <v>0</v>
      </c>
      <c r="E331" s="221" t="s">
        <v>102</v>
      </c>
      <c r="F331" s="221" t="s">
        <v>560</v>
      </c>
      <c r="G331" s="226" t="s">
        <v>281</v>
      </c>
      <c r="H331" s="222" t="s">
        <v>281</v>
      </c>
      <c r="I331" s="222" t="s">
        <v>16</v>
      </c>
      <c r="J331" s="222" t="s">
        <v>281</v>
      </c>
      <c r="K331" s="222" t="s">
        <v>16</v>
      </c>
      <c r="L331" s="222" t="s">
        <v>281</v>
      </c>
      <c r="M331" s="222" t="s">
        <v>281</v>
      </c>
      <c r="N331" s="222" t="s">
        <v>281</v>
      </c>
      <c r="O331" s="223" t="s">
        <v>16</v>
      </c>
      <c r="P331" s="223" t="s">
        <v>16</v>
      </c>
      <c r="Q331" s="223" t="s">
        <v>16</v>
      </c>
      <c r="R331" s="223" t="s">
        <v>16</v>
      </c>
      <c r="S331" s="223" t="s">
        <v>16</v>
      </c>
      <c r="T331" s="223" t="s">
        <v>328</v>
      </c>
      <c r="U331" s="223" t="s">
        <v>248</v>
      </c>
      <c r="V331" s="223" t="s">
        <v>281</v>
      </c>
      <c r="W331" s="224" t="s">
        <v>281</v>
      </c>
      <c r="X331" s="224" t="s">
        <v>281</v>
      </c>
      <c r="Y331" s="225" t="s">
        <v>281</v>
      </c>
    </row>
    <row r="332" spans="1:25">
      <c r="A332" s="219">
        <v>6</v>
      </c>
      <c r="B332" s="220" t="str">
        <f>VLOOKUP(Tabel10[[#This Row],[Code]],Ruimtegroepen[[Code]:[Ruimte omschrijving]],2,FALSE)</f>
        <v>Gangen/hallen</v>
      </c>
      <c r="C332" s="221" t="s">
        <v>556</v>
      </c>
      <c r="D332" s="220" t="s">
        <v>0</v>
      </c>
      <c r="E332" s="221" t="s">
        <v>99</v>
      </c>
      <c r="F332" s="221" t="s">
        <v>558</v>
      </c>
      <c r="G332" s="226" t="s">
        <v>281</v>
      </c>
      <c r="H332" s="222" t="s">
        <v>16</v>
      </c>
      <c r="I332" s="222" t="s">
        <v>281</v>
      </c>
      <c r="J332" s="222" t="s">
        <v>281</v>
      </c>
      <c r="K332" s="222" t="s">
        <v>281</v>
      </c>
      <c r="L332" s="222" t="s">
        <v>281</v>
      </c>
      <c r="M332" s="222" t="s">
        <v>281</v>
      </c>
      <c r="N332" s="222" t="s">
        <v>281</v>
      </c>
      <c r="O332" s="223" t="s">
        <v>16</v>
      </c>
      <c r="P332" s="223" t="s">
        <v>16</v>
      </c>
      <c r="Q332" s="223" t="s">
        <v>16</v>
      </c>
      <c r="R332" s="223" t="s">
        <v>16</v>
      </c>
      <c r="S332" s="223" t="s">
        <v>16</v>
      </c>
      <c r="T332" s="223" t="s">
        <v>328</v>
      </c>
      <c r="U332" s="223" t="s">
        <v>248</v>
      </c>
      <c r="V332" s="223" t="s">
        <v>281</v>
      </c>
      <c r="W332" s="224" t="s">
        <v>281</v>
      </c>
      <c r="X332" s="224" t="s">
        <v>281</v>
      </c>
      <c r="Y332" s="225" t="s">
        <v>281</v>
      </c>
    </row>
    <row r="333" spans="1:25">
      <c r="A333" s="219">
        <v>6</v>
      </c>
      <c r="B333" s="220" t="str">
        <f>VLOOKUP(Tabel10[[#This Row],[Code]],Ruimtegroepen[[Code]:[Ruimte omschrijving]],2,FALSE)</f>
        <v>Gangen/hallen</v>
      </c>
      <c r="C333" s="221" t="s">
        <v>556</v>
      </c>
      <c r="D333" s="220" t="s">
        <v>0</v>
      </c>
      <c r="E333" s="221" t="s">
        <v>1309</v>
      </c>
      <c r="F333" s="221" t="s">
        <v>1346</v>
      </c>
      <c r="G333" s="226" t="s">
        <v>281</v>
      </c>
      <c r="H333" s="222" t="s">
        <v>281</v>
      </c>
      <c r="I333" s="222" t="s">
        <v>16</v>
      </c>
      <c r="J333" s="222" t="s">
        <v>281</v>
      </c>
      <c r="K333" s="222" t="s">
        <v>16</v>
      </c>
      <c r="L333" s="222" t="s">
        <v>281</v>
      </c>
      <c r="M333" s="222" t="s">
        <v>281</v>
      </c>
      <c r="N333" s="222" t="s">
        <v>281</v>
      </c>
      <c r="O333" s="223" t="s">
        <v>16</v>
      </c>
      <c r="P333" s="223" t="s">
        <v>16</v>
      </c>
      <c r="Q333" s="223" t="s">
        <v>16</v>
      </c>
      <c r="R333" s="223" t="s">
        <v>16</v>
      </c>
      <c r="S333" s="223" t="s">
        <v>16</v>
      </c>
      <c r="T333" s="223" t="s">
        <v>328</v>
      </c>
      <c r="U333" s="223" t="s">
        <v>248</v>
      </c>
      <c r="V333" s="223" t="s">
        <v>281</v>
      </c>
      <c r="W333" s="224" t="s">
        <v>281</v>
      </c>
      <c r="X333" s="224" t="s">
        <v>281</v>
      </c>
      <c r="Y333" s="225" t="s">
        <v>281</v>
      </c>
    </row>
    <row r="334" spans="1:25">
      <c r="A334" s="219">
        <v>6</v>
      </c>
      <c r="B334" s="220" t="str">
        <f>VLOOKUP(Tabel10[[#This Row],[Code]],Ruimtegroepen[[Code]:[Ruimte omschrijving]],2,FALSE)</f>
        <v>Gangen/hallen</v>
      </c>
      <c r="C334" s="221" t="s">
        <v>561</v>
      </c>
      <c r="D334" s="220" t="s">
        <v>27</v>
      </c>
      <c r="E334" s="221" t="s">
        <v>100</v>
      </c>
      <c r="F334" s="221" t="s">
        <v>562</v>
      </c>
      <c r="G334" s="226" t="s">
        <v>281</v>
      </c>
      <c r="H334" s="222" t="s">
        <v>281</v>
      </c>
      <c r="I334" s="222" t="s">
        <v>15</v>
      </c>
      <c r="J334" s="222" t="s">
        <v>281</v>
      </c>
      <c r="K334" s="222" t="s">
        <v>281</v>
      </c>
      <c r="L334" s="222" t="s">
        <v>281</v>
      </c>
      <c r="M334" s="222" t="s">
        <v>281</v>
      </c>
      <c r="N334" s="222" t="s">
        <v>281</v>
      </c>
      <c r="O334" s="223" t="s">
        <v>15</v>
      </c>
      <c r="P334" s="223" t="s">
        <v>15</v>
      </c>
      <c r="Q334" s="223" t="s">
        <v>15</v>
      </c>
      <c r="R334" s="223" t="s">
        <v>281</v>
      </c>
      <c r="S334" s="223" t="s">
        <v>281</v>
      </c>
      <c r="T334" s="223" t="s">
        <v>281</v>
      </c>
      <c r="U334" s="223" t="s">
        <v>281</v>
      </c>
      <c r="V334" s="223" t="s">
        <v>281</v>
      </c>
      <c r="W334" s="224" t="s">
        <v>281</v>
      </c>
      <c r="X334" s="224" t="s">
        <v>281</v>
      </c>
      <c r="Y334" s="225" t="s">
        <v>281</v>
      </c>
    </row>
    <row r="335" spans="1:25">
      <c r="A335" s="219">
        <v>6</v>
      </c>
      <c r="B335" s="220" t="str">
        <f>VLOOKUP(Tabel10[[#This Row],[Code]],Ruimtegroepen[[Code]:[Ruimte omschrijving]],2,FALSE)</f>
        <v>Gangen/hallen</v>
      </c>
      <c r="C335" s="221" t="s">
        <v>561</v>
      </c>
      <c r="D335" s="220" t="s">
        <v>27</v>
      </c>
      <c r="E335" s="221" t="s">
        <v>99</v>
      </c>
      <c r="F335" s="221" t="s">
        <v>563</v>
      </c>
      <c r="G335" s="226" t="s">
        <v>281</v>
      </c>
      <c r="H335" s="222" t="s">
        <v>15</v>
      </c>
      <c r="I335" s="222" t="s">
        <v>281</v>
      </c>
      <c r="J335" s="222" t="s">
        <v>281</v>
      </c>
      <c r="K335" s="222" t="s">
        <v>281</v>
      </c>
      <c r="L335" s="222" t="s">
        <v>281</v>
      </c>
      <c r="M335" s="222" t="s">
        <v>281</v>
      </c>
      <c r="N335" s="222" t="s">
        <v>281</v>
      </c>
      <c r="O335" s="223" t="s">
        <v>15</v>
      </c>
      <c r="P335" s="223" t="s">
        <v>15</v>
      </c>
      <c r="Q335" s="223" t="s">
        <v>15</v>
      </c>
      <c r="R335" s="223" t="s">
        <v>281</v>
      </c>
      <c r="S335" s="223" t="s">
        <v>281</v>
      </c>
      <c r="T335" s="223" t="s">
        <v>281</v>
      </c>
      <c r="U335" s="223" t="s">
        <v>281</v>
      </c>
      <c r="V335" s="223" t="s">
        <v>281</v>
      </c>
      <c r="W335" s="224" t="s">
        <v>281</v>
      </c>
      <c r="X335" s="224" t="s">
        <v>281</v>
      </c>
      <c r="Y335" s="225" t="s">
        <v>281</v>
      </c>
    </row>
    <row r="336" spans="1:25">
      <c r="A336" s="219">
        <v>6</v>
      </c>
      <c r="B336" s="220" t="str">
        <f>VLOOKUP(Tabel10[[#This Row],[Code]],Ruimtegroepen[[Code]:[Ruimte omschrijving]],2,FALSE)</f>
        <v>Gangen/hallen</v>
      </c>
      <c r="C336" s="221" t="s">
        <v>561</v>
      </c>
      <c r="D336" s="220" t="s">
        <v>27</v>
      </c>
      <c r="E336" s="221" t="s">
        <v>101</v>
      </c>
      <c r="F336" s="221" t="s">
        <v>564</v>
      </c>
      <c r="G336" s="226" t="s">
        <v>281</v>
      </c>
      <c r="H336" s="222" t="s">
        <v>281</v>
      </c>
      <c r="I336" s="222" t="s">
        <v>15</v>
      </c>
      <c r="J336" s="222" t="s">
        <v>281</v>
      </c>
      <c r="K336" s="222" t="s">
        <v>281</v>
      </c>
      <c r="L336" s="222" t="s">
        <v>281</v>
      </c>
      <c r="M336" s="222" t="s">
        <v>281</v>
      </c>
      <c r="N336" s="222" t="s">
        <v>281</v>
      </c>
      <c r="O336" s="223" t="s">
        <v>15</v>
      </c>
      <c r="P336" s="223" t="s">
        <v>15</v>
      </c>
      <c r="Q336" s="223" t="s">
        <v>15</v>
      </c>
      <c r="R336" s="223" t="s">
        <v>281</v>
      </c>
      <c r="S336" s="223" t="s">
        <v>281</v>
      </c>
      <c r="T336" s="223" t="s">
        <v>281</v>
      </c>
      <c r="U336" s="223" t="s">
        <v>281</v>
      </c>
      <c r="V336" s="223" t="s">
        <v>281</v>
      </c>
      <c r="W336" s="224" t="s">
        <v>281</v>
      </c>
      <c r="X336" s="224" t="s">
        <v>281</v>
      </c>
      <c r="Y336" s="225" t="s">
        <v>281</v>
      </c>
    </row>
    <row r="337" spans="1:25">
      <c r="A337" s="219">
        <v>6</v>
      </c>
      <c r="B337" s="220" t="str">
        <f>VLOOKUP(Tabel10[[#This Row],[Code]],Ruimtegroepen[[Code]:[Ruimte omschrijving]],2,FALSE)</f>
        <v>Gangen/hallen</v>
      </c>
      <c r="C337" s="221" t="s">
        <v>561</v>
      </c>
      <c r="D337" s="220" t="s">
        <v>27</v>
      </c>
      <c r="E337" s="221" t="s">
        <v>102</v>
      </c>
      <c r="F337" s="221" t="s">
        <v>565</v>
      </c>
      <c r="G337" s="226" t="s">
        <v>281</v>
      </c>
      <c r="H337" s="222" t="s">
        <v>281</v>
      </c>
      <c r="I337" s="222" t="s">
        <v>15</v>
      </c>
      <c r="J337" s="222" t="s">
        <v>281</v>
      </c>
      <c r="K337" s="222" t="s">
        <v>281</v>
      </c>
      <c r="L337" s="222" t="s">
        <v>281</v>
      </c>
      <c r="M337" s="222" t="s">
        <v>281</v>
      </c>
      <c r="N337" s="222" t="s">
        <v>281</v>
      </c>
      <c r="O337" s="223" t="s">
        <v>15</v>
      </c>
      <c r="P337" s="223" t="s">
        <v>15</v>
      </c>
      <c r="Q337" s="223" t="s">
        <v>15</v>
      </c>
      <c r="R337" s="223" t="s">
        <v>281</v>
      </c>
      <c r="S337" s="223" t="s">
        <v>281</v>
      </c>
      <c r="T337" s="223" t="s">
        <v>281</v>
      </c>
      <c r="U337" s="223" t="s">
        <v>281</v>
      </c>
      <c r="V337" s="223" t="s">
        <v>281</v>
      </c>
      <c r="W337" s="224" t="s">
        <v>281</v>
      </c>
      <c r="X337" s="224" t="s">
        <v>281</v>
      </c>
      <c r="Y337" s="225" t="s">
        <v>281</v>
      </c>
    </row>
    <row r="338" spans="1:25">
      <c r="A338" s="219">
        <v>6</v>
      </c>
      <c r="B338" s="220" t="str">
        <f>VLOOKUP(Tabel10[[#This Row],[Code]],Ruimtegroepen[[Code]:[Ruimte omschrijving]],2,FALSE)</f>
        <v>Gangen/hallen</v>
      </c>
      <c r="C338" s="221" t="s">
        <v>561</v>
      </c>
      <c r="D338" s="220" t="s">
        <v>27</v>
      </c>
      <c r="E338" s="221" t="s">
        <v>99</v>
      </c>
      <c r="F338" s="221" t="s">
        <v>563</v>
      </c>
      <c r="G338" s="226" t="s">
        <v>281</v>
      </c>
      <c r="H338" s="222" t="s">
        <v>15</v>
      </c>
      <c r="I338" s="222" t="s">
        <v>281</v>
      </c>
      <c r="J338" s="222" t="s">
        <v>281</v>
      </c>
      <c r="K338" s="222" t="s">
        <v>281</v>
      </c>
      <c r="L338" s="222" t="s">
        <v>281</v>
      </c>
      <c r="M338" s="222" t="s">
        <v>281</v>
      </c>
      <c r="N338" s="222" t="s">
        <v>281</v>
      </c>
      <c r="O338" s="223" t="s">
        <v>15</v>
      </c>
      <c r="P338" s="223" t="s">
        <v>15</v>
      </c>
      <c r="Q338" s="223" t="s">
        <v>15</v>
      </c>
      <c r="R338" s="223" t="s">
        <v>281</v>
      </c>
      <c r="S338" s="223" t="s">
        <v>281</v>
      </c>
      <c r="T338" s="223" t="s">
        <v>281</v>
      </c>
      <c r="U338" s="223" t="s">
        <v>281</v>
      </c>
      <c r="V338" s="223" t="s">
        <v>281</v>
      </c>
      <c r="W338" s="224" t="s">
        <v>281</v>
      </c>
      <c r="X338" s="224" t="s">
        <v>281</v>
      </c>
      <c r="Y338" s="225" t="s">
        <v>281</v>
      </c>
    </row>
    <row r="339" spans="1:25">
      <c r="A339" s="219">
        <v>6</v>
      </c>
      <c r="B339" s="220" t="str">
        <f>VLOOKUP(Tabel10[[#This Row],[Code]],Ruimtegroepen[[Code]:[Ruimte omschrijving]],2,FALSE)</f>
        <v>Gangen/hallen</v>
      </c>
      <c r="C339" s="221" t="s">
        <v>561</v>
      </c>
      <c r="D339" s="220" t="s">
        <v>27</v>
      </c>
      <c r="E339" s="221" t="s">
        <v>1309</v>
      </c>
      <c r="F339" s="221" t="s">
        <v>1379</v>
      </c>
      <c r="G339" s="226" t="s">
        <v>281</v>
      </c>
      <c r="H339" s="222" t="s">
        <v>281</v>
      </c>
      <c r="I339" s="222" t="s">
        <v>15</v>
      </c>
      <c r="J339" s="222" t="s">
        <v>281</v>
      </c>
      <c r="K339" s="222" t="s">
        <v>281</v>
      </c>
      <c r="L339" s="222" t="s">
        <v>281</v>
      </c>
      <c r="M339" s="222" t="s">
        <v>281</v>
      </c>
      <c r="N339" s="222" t="s">
        <v>281</v>
      </c>
      <c r="O339" s="223" t="s">
        <v>15</v>
      </c>
      <c r="P339" s="223" t="s">
        <v>15</v>
      </c>
      <c r="Q339" s="223" t="s">
        <v>15</v>
      </c>
      <c r="R339" s="223" t="s">
        <v>281</v>
      </c>
      <c r="S339" s="223" t="s">
        <v>281</v>
      </c>
      <c r="T339" s="223" t="s">
        <v>281</v>
      </c>
      <c r="U339" s="223" t="s">
        <v>281</v>
      </c>
      <c r="V339" s="223" t="s">
        <v>281</v>
      </c>
      <c r="W339" s="224" t="s">
        <v>281</v>
      </c>
      <c r="X339" s="224" t="s">
        <v>281</v>
      </c>
      <c r="Y339" s="225" t="s">
        <v>281</v>
      </c>
    </row>
    <row r="340" spans="1:25">
      <c r="A340" s="219">
        <v>6</v>
      </c>
      <c r="B340" s="220" t="str">
        <f>VLOOKUP(Tabel10[[#This Row],[Code]],Ruimtegroepen[[Code]:[Ruimte omschrijving]],2,FALSE)</f>
        <v>Gangen/hallen</v>
      </c>
      <c r="C340" s="221" t="s">
        <v>566</v>
      </c>
      <c r="D340" s="220" t="s">
        <v>28</v>
      </c>
      <c r="E340" s="221" t="s">
        <v>100</v>
      </c>
      <c r="F340" s="221" t="s">
        <v>567</v>
      </c>
      <c r="G340" s="226" t="s">
        <v>281</v>
      </c>
      <c r="H340" s="222" t="s">
        <v>281</v>
      </c>
      <c r="I340" s="222" t="s">
        <v>17</v>
      </c>
      <c r="J340" s="222" t="s">
        <v>281</v>
      </c>
      <c r="K340" s="222" t="s">
        <v>281</v>
      </c>
      <c r="L340" s="222" t="s">
        <v>281</v>
      </c>
      <c r="M340" s="222" t="s">
        <v>281</v>
      </c>
      <c r="N340" s="222" t="s">
        <v>281</v>
      </c>
      <c r="O340" s="223" t="s">
        <v>17</v>
      </c>
      <c r="P340" s="223" t="s">
        <v>17</v>
      </c>
      <c r="Q340" s="223" t="s">
        <v>15</v>
      </c>
      <c r="R340" s="223" t="s">
        <v>281</v>
      </c>
      <c r="S340" s="223" t="s">
        <v>281</v>
      </c>
      <c r="T340" s="223" t="s">
        <v>281</v>
      </c>
      <c r="U340" s="223" t="s">
        <v>281</v>
      </c>
      <c r="V340" s="223" t="s">
        <v>281</v>
      </c>
      <c r="W340" s="224" t="s">
        <v>281</v>
      </c>
      <c r="X340" s="224" t="s">
        <v>281</v>
      </c>
      <c r="Y340" s="225" t="s">
        <v>281</v>
      </c>
    </row>
    <row r="341" spans="1:25">
      <c r="A341" s="219">
        <v>6</v>
      </c>
      <c r="B341" s="220" t="str">
        <f>VLOOKUP(Tabel10[[#This Row],[Code]],Ruimtegroepen[[Code]:[Ruimte omschrijving]],2,FALSE)</f>
        <v>Gangen/hallen</v>
      </c>
      <c r="C341" s="221" t="s">
        <v>566</v>
      </c>
      <c r="D341" s="220" t="s">
        <v>28</v>
      </c>
      <c r="E341" s="221" t="s">
        <v>99</v>
      </c>
      <c r="F341" s="221" t="s">
        <v>568</v>
      </c>
      <c r="G341" s="226" t="s">
        <v>281</v>
      </c>
      <c r="H341" s="222" t="s">
        <v>17</v>
      </c>
      <c r="I341" s="222" t="s">
        <v>281</v>
      </c>
      <c r="J341" s="222" t="s">
        <v>281</v>
      </c>
      <c r="K341" s="222" t="s">
        <v>281</v>
      </c>
      <c r="L341" s="222" t="s">
        <v>281</v>
      </c>
      <c r="M341" s="222" t="s">
        <v>281</v>
      </c>
      <c r="N341" s="222" t="s">
        <v>281</v>
      </c>
      <c r="O341" s="223" t="s">
        <v>17</v>
      </c>
      <c r="P341" s="223" t="s">
        <v>17</v>
      </c>
      <c r="Q341" s="223" t="s">
        <v>15</v>
      </c>
      <c r="R341" s="223" t="s">
        <v>281</v>
      </c>
      <c r="S341" s="223" t="s">
        <v>281</v>
      </c>
      <c r="T341" s="223" t="s">
        <v>281</v>
      </c>
      <c r="U341" s="223" t="s">
        <v>281</v>
      </c>
      <c r="V341" s="223" t="s">
        <v>281</v>
      </c>
      <c r="W341" s="224" t="s">
        <v>281</v>
      </c>
      <c r="X341" s="224" t="s">
        <v>281</v>
      </c>
      <c r="Y341" s="225" t="s">
        <v>281</v>
      </c>
    </row>
    <row r="342" spans="1:25">
      <c r="A342" s="219">
        <v>6</v>
      </c>
      <c r="B342" s="220" t="str">
        <f>VLOOKUP(Tabel10[[#This Row],[Code]],Ruimtegroepen[[Code]:[Ruimte omschrijving]],2,FALSE)</f>
        <v>Gangen/hallen</v>
      </c>
      <c r="C342" s="221" t="s">
        <v>566</v>
      </c>
      <c r="D342" s="220" t="s">
        <v>28</v>
      </c>
      <c r="E342" s="221" t="s">
        <v>101</v>
      </c>
      <c r="F342" s="221" t="s">
        <v>569</v>
      </c>
      <c r="G342" s="226" t="s">
        <v>281</v>
      </c>
      <c r="H342" s="222" t="s">
        <v>281</v>
      </c>
      <c r="I342" s="222" t="s">
        <v>17</v>
      </c>
      <c r="J342" s="222" t="s">
        <v>281</v>
      </c>
      <c r="K342" s="222" t="s">
        <v>281</v>
      </c>
      <c r="L342" s="222" t="s">
        <v>281</v>
      </c>
      <c r="M342" s="222" t="s">
        <v>281</v>
      </c>
      <c r="N342" s="222" t="s">
        <v>281</v>
      </c>
      <c r="O342" s="223" t="s">
        <v>17</v>
      </c>
      <c r="P342" s="223" t="s">
        <v>17</v>
      </c>
      <c r="Q342" s="223" t="s">
        <v>15</v>
      </c>
      <c r="R342" s="223" t="s">
        <v>281</v>
      </c>
      <c r="S342" s="223" t="s">
        <v>281</v>
      </c>
      <c r="T342" s="223" t="s">
        <v>281</v>
      </c>
      <c r="U342" s="223" t="s">
        <v>281</v>
      </c>
      <c r="V342" s="223" t="s">
        <v>281</v>
      </c>
      <c r="W342" s="224" t="s">
        <v>281</v>
      </c>
      <c r="X342" s="224" t="s">
        <v>281</v>
      </c>
      <c r="Y342" s="225" t="s">
        <v>281</v>
      </c>
    </row>
    <row r="343" spans="1:25">
      <c r="A343" s="219">
        <v>6</v>
      </c>
      <c r="B343" s="220" t="str">
        <f>VLOOKUP(Tabel10[[#This Row],[Code]],Ruimtegroepen[[Code]:[Ruimte omschrijving]],2,FALSE)</f>
        <v>Gangen/hallen</v>
      </c>
      <c r="C343" s="221" t="s">
        <v>566</v>
      </c>
      <c r="D343" s="220" t="s">
        <v>28</v>
      </c>
      <c r="E343" s="221" t="s">
        <v>102</v>
      </c>
      <c r="F343" s="221" t="s">
        <v>570</v>
      </c>
      <c r="G343" s="226" t="s">
        <v>281</v>
      </c>
      <c r="H343" s="222" t="s">
        <v>281</v>
      </c>
      <c r="I343" s="222" t="s">
        <v>17</v>
      </c>
      <c r="J343" s="222" t="s">
        <v>281</v>
      </c>
      <c r="K343" s="222" t="s">
        <v>281</v>
      </c>
      <c r="L343" s="222" t="s">
        <v>281</v>
      </c>
      <c r="M343" s="222" t="s">
        <v>281</v>
      </c>
      <c r="N343" s="222" t="s">
        <v>281</v>
      </c>
      <c r="O343" s="223" t="s">
        <v>17</v>
      </c>
      <c r="P343" s="223" t="s">
        <v>17</v>
      </c>
      <c r="Q343" s="223" t="s">
        <v>15</v>
      </c>
      <c r="R343" s="223" t="s">
        <v>281</v>
      </c>
      <c r="S343" s="223" t="s">
        <v>281</v>
      </c>
      <c r="T343" s="223" t="s">
        <v>281</v>
      </c>
      <c r="U343" s="223" t="s">
        <v>281</v>
      </c>
      <c r="V343" s="223" t="s">
        <v>281</v>
      </c>
      <c r="W343" s="224" t="s">
        <v>281</v>
      </c>
      <c r="X343" s="224" t="s">
        <v>281</v>
      </c>
      <c r="Y343" s="225" t="s">
        <v>281</v>
      </c>
    </row>
    <row r="344" spans="1:25">
      <c r="A344" s="219">
        <v>6</v>
      </c>
      <c r="B344" s="220" t="str">
        <f>VLOOKUP(Tabel10[[#This Row],[Code]],Ruimtegroepen[[Code]:[Ruimte omschrijving]],2,FALSE)</f>
        <v>Gangen/hallen</v>
      </c>
      <c r="C344" s="221" t="s">
        <v>566</v>
      </c>
      <c r="D344" s="220" t="s">
        <v>28</v>
      </c>
      <c r="E344" s="221" t="s">
        <v>99</v>
      </c>
      <c r="F344" s="221" t="s">
        <v>568</v>
      </c>
      <c r="G344" s="226" t="s">
        <v>281</v>
      </c>
      <c r="H344" s="222" t="s">
        <v>17</v>
      </c>
      <c r="I344" s="222" t="s">
        <v>281</v>
      </c>
      <c r="J344" s="222" t="s">
        <v>281</v>
      </c>
      <c r="K344" s="222" t="s">
        <v>281</v>
      </c>
      <c r="L344" s="222" t="s">
        <v>281</v>
      </c>
      <c r="M344" s="222" t="s">
        <v>281</v>
      </c>
      <c r="N344" s="222" t="s">
        <v>281</v>
      </c>
      <c r="O344" s="223" t="s">
        <v>17</v>
      </c>
      <c r="P344" s="223" t="s">
        <v>17</v>
      </c>
      <c r="Q344" s="223" t="s">
        <v>15</v>
      </c>
      <c r="R344" s="223" t="s">
        <v>281</v>
      </c>
      <c r="S344" s="223" t="s">
        <v>281</v>
      </c>
      <c r="T344" s="223" t="s">
        <v>281</v>
      </c>
      <c r="U344" s="223" t="s">
        <v>281</v>
      </c>
      <c r="V344" s="223" t="s">
        <v>281</v>
      </c>
      <c r="W344" s="224" t="s">
        <v>281</v>
      </c>
      <c r="X344" s="224" t="s">
        <v>281</v>
      </c>
      <c r="Y344" s="225" t="s">
        <v>281</v>
      </c>
    </row>
    <row r="345" spans="1:25">
      <c r="A345" s="219">
        <v>6</v>
      </c>
      <c r="B345" s="220" t="str">
        <f>VLOOKUP(Tabel10[[#This Row],[Code]],Ruimtegroepen[[Code]:[Ruimte omschrijving]],2,FALSE)</f>
        <v>Gangen/hallen</v>
      </c>
      <c r="C345" s="221" t="s">
        <v>566</v>
      </c>
      <c r="D345" s="220" t="s">
        <v>28</v>
      </c>
      <c r="E345" s="221" t="s">
        <v>1309</v>
      </c>
      <c r="F345" s="221" t="s">
        <v>1412</v>
      </c>
      <c r="G345" s="226" t="s">
        <v>281</v>
      </c>
      <c r="H345" s="222" t="s">
        <v>281</v>
      </c>
      <c r="I345" s="222" t="s">
        <v>17</v>
      </c>
      <c r="J345" s="222" t="s">
        <v>281</v>
      </c>
      <c r="K345" s="222" t="s">
        <v>281</v>
      </c>
      <c r="L345" s="222" t="s">
        <v>281</v>
      </c>
      <c r="M345" s="222" t="s">
        <v>281</v>
      </c>
      <c r="N345" s="222" t="s">
        <v>281</v>
      </c>
      <c r="O345" s="223" t="s">
        <v>17</v>
      </c>
      <c r="P345" s="223" t="s">
        <v>17</v>
      </c>
      <c r="Q345" s="223" t="s">
        <v>15</v>
      </c>
      <c r="R345" s="223" t="s">
        <v>281</v>
      </c>
      <c r="S345" s="223" t="s">
        <v>281</v>
      </c>
      <c r="T345" s="223" t="s">
        <v>281</v>
      </c>
      <c r="U345" s="223" t="s">
        <v>281</v>
      </c>
      <c r="V345" s="223" t="s">
        <v>281</v>
      </c>
      <c r="W345" s="224" t="s">
        <v>281</v>
      </c>
      <c r="X345" s="224" t="s">
        <v>281</v>
      </c>
      <c r="Y345" s="225" t="s">
        <v>281</v>
      </c>
    </row>
    <row r="346" spans="1:25">
      <c r="A346" s="219">
        <v>7</v>
      </c>
      <c r="B346" s="220" t="str">
        <f>VLOOKUP(Tabel10[[#This Row],[Code]],Ruimtegroepen[[Code]:[Ruimte omschrijving]],2,FALSE)</f>
        <v>Entree</v>
      </c>
      <c r="C346" s="221" t="s">
        <v>571</v>
      </c>
      <c r="D346" s="220" t="s">
        <v>29</v>
      </c>
      <c r="E346" s="221" t="s">
        <v>100</v>
      </c>
      <c r="F346" s="221" t="s">
        <v>572</v>
      </c>
      <c r="G346" s="226" t="s">
        <v>281</v>
      </c>
      <c r="H346" s="222" t="s">
        <v>281</v>
      </c>
      <c r="I346" s="222" t="s">
        <v>281</v>
      </c>
      <c r="J346" s="222" t="s">
        <v>2</v>
      </c>
      <c r="K346" s="222" t="s">
        <v>281</v>
      </c>
      <c r="L346" s="222" t="s">
        <v>281</v>
      </c>
      <c r="M346" s="222" t="s">
        <v>281</v>
      </c>
      <c r="N346" s="222" t="s">
        <v>2</v>
      </c>
      <c r="O346" s="223" t="s">
        <v>2</v>
      </c>
      <c r="P346" s="223" t="s">
        <v>2</v>
      </c>
      <c r="Q346" s="223" t="s">
        <v>15</v>
      </c>
      <c r="R346" s="223" t="s">
        <v>15</v>
      </c>
      <c r="S346" s="223" t="s">
        <v>16</v>
      </c>
      <c r="T346" s="223" t="s">
        <v>328</v>
      </c>
      <c r="U346" s="223" t="s">
        <v>248</v>
      </c>
      <c r="V346" s="223" t="s">
        <v>2</v>
      </c>
      <c r="W346" s="224" t="s">
        <v>281</v>
      </c>
      <c r="X346" s="224" t="s">
        <v>281</v>
      </c>
      <c r="Y346" s="225" t="s">
        <v>281</v>
      </c>
    </row>
    <row r="347" spans="1:25">
      <c r="A347" s="219">
        <v>7</v>
      </c>
      <c r="B347" s="220" t="str">
        <f>VLOOKUP(Tabel10[[#This Row],[Code]],Ruimtegroepen[[Code]:[Ruimte omschrijving]],2,FALSE)</f>
        <v>Entree</v>
      </c>
      <c r="C347" s="221" t="s">
        <v>571</v>
      </c>
      <c r="D347" s="220" t="s">
        <v>29</v>
      </c>
      <c r="E347" s="221" t="s">
        <v>99</v>
      </c>
      <c r="F347" s="221" t="s">
        <v>573</v>
      </c>
      <c r="G347" s="226" t="s">
        <v>281</v>
      </c>
      <c r="H347" s="222" t="s">
        <v>2</v>
      </c>
      <c r="I347" s="222" t="s">
        <v>281</v>
      </c>
      <c r="J347" s="222" t="s">
        <v>281</v>
      </c>
      <c r="K347" s="222" t="s">
        <v>281</v>
      </c>
      <c r="L347" s="222" t="s">
        <v>281</v>
      </c>
      <c r="M347" s="222" t="s">
        <v>281</v>
      </c>
      <c r="N347" s="222" t="s">
        <v>2</v>
      </c>
      <c r="O347" s="223" t="s">
        <v>2</v>
      </c>
      <c r="P347" s="223" t="s">
        <v>2</v>
      </c>
      <c r="Q347" s="223" t="s">
        <v>15</v>
      </c>
      <c r="R347" s="223" t="s">
        <v>15</v>
      </c>
      <c r="S347" s="223" t="s">
        <v>16</v>
      </c>
      <c r="T347" s="223" t="s">
        <v>328</v>
      </c>
      <c r="U347" s="223" t="s">
        <v>248</v>
      </c>
      <c r="V347" s="223" t="s">
        <v>2</v>
      </c>
      <c r="W347" s="224" t="s">
        <v>281</v>
      </c>
      <c r="X347" s="224" t="s">
        <v>281</v>
      </c>
      <c r="Y347" s="225" t="s">
        <v>281</v>
      </c>
    </row>
    <row r="348" spans="1:25">
      <c r="A348" s="219">
        <v>7</v>
      </c>
      <c r="B348" s="220" t="str">
        <f>VLOOKUP(Tabel10[[#This Row],[Code]],Ruimtegroepen[[Code]:[Ruimte omschrijving]],2,FALSE)</f>
        <v>Entree</v>
      </c>
      <c r="C348" s="221" t="s">
        <v>571</v>
      </c>
      <c r="D348" s="220" t="s">
        <v>29</v>
      </c>
      <c r="E348" s="221" t="s">
        <v>101</v>
      </c>
      <c r="F348" s="221" t="s">
        <v>574</v>
      </c>
      <c r="G348" s="226" t="s">
        <v>281</v>
      </c>
      <c r="H348" s="222" t="s">
        <v>281</v>
      </c>
      <c r="I348" s="222" t="s">
        <v>2</v>
      </c>
      <c r="J348" s="222" t="s">
        <v>281</v>
      </c>
      <c r="K348" s="222" t="s">
        <v>2</v>
      </c>
      <c r="L348" s="222" t="s">
        <v>281</v>
      </c>
      <c r="M348" s="222" t="s">
        <v>281</v>
      </c>
      <c r="N348" s="222" t="s">
        <v>2</v>
      </c>
      <c r="O348" s="223" t="s">
        <v>2</v>
      </c>
      <c r="P348" s="223" t="s">
        <v>2</v>
      </c>
      <c r="Q348" s="223" t="s">
        <v>15</v>
      </c>
      <c r="R348" s="223" t="s">
        <v>15</v>
      </c>
      <c r="S348" s="223" t="s">
        <v>16</v>
      </c>
      <c r="T348" s="223" t="s">
        <v>328</v>
      </c>
      <c r="U348" s="223" t="s">
        <v>248</v>
      </c>
      <c r="V348" s="223" t="s">
        <v>2</v>
      </c>
      <c r="W348" s="224" t="s">
        <v>281</v>
      </c>
      <c r="X348" s="224" t="s">
        <v>281</v>
      </c>
      <c r="Y348" s="225" t="s">
        <v>281</v>
      </c>
    </row>
    <row r="349" spans="1:25">
      <c r="A349" s="219">
        <v>7</v>
      </c>
      <c r="B349" s="220" t="str">
        <f>VLOOKUP(Tabel10[[#This Row],[Code]],Ruimtegroepen[[Code]:[Ruimte omschrijving]],2,FALSE)</f>
        <v>Entree</v>
      </c>
      <c r="C349" s="221" t="s">
        <v>571</v>
      </c>
      <c r="D349" s="220" t="s">
        <v>29</v>
      </c>
      <c r="E349" s="221" t="s">
        <v>102</v>
      </c>
      <c r="F349" s="221" t="s">
        <v>575</v>
      </c>
      <c r="G349" s="226" t="s">
        <v>281</v>
      </c>
      <c r="H349" s="222" t="s">
        <v>281</v>
      </c>
      <c r="I349" s="222" t="s">
        <v>2</v>
      </c>
      <c r="J349" s="222" t="s">
        <v>281</v>
      </c>
      <c r="K349" s="222" t="s">
        <v>2</v>
      </c>
      <c r="L349" s="222" t="s">
        <v>281</v>
      </c>
      <c r="M349" s="222" t="s">
        <v>281</v>
      </c>
      <c r="N349" s="222" t="s">
        <v>2</v>
      </c>
      <c r="O349" s="223" t="s">
        <v>2</v>
      </c>
      <c r="P349" s="223" t="s">
        <v>2</v>
      </c>
      <c r="Q349" s="223" t="s">
        <v>15</v>
      </c>
      <c r="R349" s="223" t="s">
        <v>15</v>
      </c>
      <c r="S349" s="223" t="s">
        <v>16</v>
      </c>
      <c r="T349" s="223" t="s">
        <v>328</v>
      </c>
      <c r="U349" s="223" t="s">
        <v>248</v>
      </c>
      <c r="V349" s="223" t="s">
        <v>2</v>
      </c>
      <c r="W349" s="224" t="s">
        <v>281</v>
      </c>
      <c r="X349" s="224" t="s">
        <v>281</v>
      </c>
      <c r="Y349" s="225" t="s">
        <v>281</v>
      </c>
    </row>
    <row r="350" spans="1:25">
      <c r="A350" s="219">
        <v>7</v>
      </c>
      <c r="B350" s="220" t="str">
        <f>VLOOKUP(Tabel10[[#This Row],[Code]],Ruimtegroepen[[Code]:[Ruimte omschrijving]],2,FALSE)</f>
        <v>Entree</v>
      </c>
      <c r="C350" s="221" t="s">
        <v>571</v>
      </c>
      <c r="D350" s="220" t="s">
        <v>29</v>
      </c>
      <c r="E350" s="221" t="s">
        <v>99</v>
      </c>
      <c r="F350" s="221" t="s">
        <v>573</v>
      </c>
      <c r="G350" s="226" t="s">
        <v>281</v>
      </c>
      <c r="H350" s="222" t="s">
        <v>2</v>
      </c>
      <c r="I350" s="222" t="s">
        <v>281</v>
      </c>
      <c r="J350" s="222" t="s">
        <v>281</v>
      </c>
      <c r="K350" s="222" t="s">
        <v>281</v>
      </c>
      <c r="L350" s="222" t="s">
        <v>281</v>
      </c>
      <c r="M350" s="222" t="s">
        <v>281</v>
      </c>
      <c r="N350" s="222" t="s">
        <v>2</v>
      </c>
      <c r="O350" s="223" t="s">
        <v>2</v>
      </c>
      <c r="P350" s="223" t="s">
        <v>2</v>
      </c>
      <c r="Q350" s="223" t="s">
        <v>15</v>
      </c>
      <c r="R350" s="223" t="s">
        <v>15</v>
      </c>
      <c r="S350" s="223" t="s">
        <v>16</v>
      </c>
      <c r="T350" s="223" t="s">
        <v>328</v>
      </c>
      <c r="U350" s="223" t="s">
        <v>248</v>
      </c>
      <c r="V350" s="223" t="s">
        <v>2</v>
      </c>
      <c r="W350" s="224" t="s">
        <v>281</v>
      </c>
      <c r="X350" s="224" t="s">
        <v>281</v>
      </c>
      <c r="Y350" s="225" t="s">
        <v>281</v>
      </c>
    </row>
    <row r="351" spans="1:25">
      <c r="A351" s="219">
        <v>7</v>
      </c>
      <c r="B351" s="220" t="str">
        <f>VLOOKUP(Tabel10[[#This Row],[Code]],Ruimtegroepen[[Code]:[Ruimte omschrijving]],2,FALSE)</f>
        <v>Entree</v>
      </c>
      <c r="C351" s="221" t="s">
        <v>571</v>
      </c>
      <c r="D351" s="220" t="s">
        <v>29</v>
      </c>
      <c r="E351" s="221" t="s">
        <v>1309</v>
      </c>
      <c r="F351" s="221" t="s">
        <v>1480</v>
      </c>
      <c r="G351" s="226" t="s">
        <v>281</v>
      </c>
      <c r="H351" s="222" t="s">
        <v>281</v>
      </c>
      <c r="I351" s="222" t="s">
        <v>2</v>
      </c>
      <c r="J351" s="222" t="s">
        <v>281</v>
      </c>
      <c r="K351" s="222" t="s">
        <v>2</v>
      </c>
      <c r="L351" s="222" t="s">
        <v>281</v>
      </c>
      <c r="M351" s="222" t="s">
        <v>281</v>
      </c>
      <c r="N351" s="222" t="s">
        <v>2</v>
      </c>
      <c r="O351" s="223" t="s">
        <v>2</v>
      </c>
      <c r="P351" s="223" t="s">
        <v>2</v>
      </c>
      <c r="Q351" s="223" t="s">
        <v>15</v>
      </c>
      <c r="R351" s="223" t="s">
        <v>15</v>
      </c>
      <c r="S351" s="223" t="s">
        <v>16</v>
      </c>
      <c r="T351" s="223" t="s">
        <v>328</v>
      </c>
      <c r="U351" s="223" t="s">
        <v>248</v>
      </c>
      <c r="V351" s="223" t="s">
        <v>2</v>
      </c>
      <c r="W351" s="224" t="s">
        <v>281</v>
      </c>
      <c r="X351" s="224" t="s">
        <v>281</v>
      </c>
      <c r="Y351" s="225" t="s">
        <v>281</v>
      </c>
    </row>
    <row r="352" spans="1:25">
      <c r="A352" s="219">
        <v>7</v>
      </c>
      <c r="B352" s="220" t="str">
        <f>VLOOKUP(Tabel10[[#This Row],[Code]],Ruimtegroepen[[Code]:[Ruimte omschrijving]],2,FALSE)</f>
        <v>Entree</v>
      </c>
      <c r="C352" s="221" t="s">
        <v>576</v>
      </c>
      <c r="D352" s="220" t="s">
        <v>1</v>
      </c>
      <c r="E352" s="221" t="s">
        <v>100</v>
      </c>
      <c r="F352" s="221" t="s">
        <v>577</v>
      </c>
      <c r="G352" s="226" t="s">
        <v>281</v>
      </c>
      <c r="H352" s="222" t="s">
        <v>281</v>
      </c>
      <c r="I352" s="222" t="s">
        <v>281</v>
      </c>
      <c r="J352" s="222" t="s">
        <v>2</v>
      </c>
      <c r="K352" s="222" t="s">
        <v>281</v>
      </c>
      <c r="L352" s="222" t="s">
        <v>281</v>
      </c>
      <c r="M352" s="222" t="s">
        <v>281</v>
      </c>
      <c r="N352" s="222" t="s">
        <v>281</v>
      </c>
      <c r="O352" s="223" t="s">
        <v>2</v>
      </c>
      <c r="P352" s="223" t="s">
        <v>2</v>
      </c>
      <c r="Q352" s="223" t="s">
        <v>15</v>
      </c>
      <c r="R352" s="223" t="s">
        <v>15</v>
      </c>
      <c r="S352" s="223" t="s">
        <v>16</v>
      </c>
      <c r="T352" s="223" t="s">
        <v>328</v>
      </c>
      <c r="U352" s="223" t="s">
        <v>248</v>
      </c>
      <c r="V352" s="223" t="s">
        <v>281</v>
      </c>
      <c r="W352" s="224" t="s">
        <v>281</v>
      </c>
      <c r="X352" s="224" t="s">
        <v>281</v>
      </c>
      <c r="Y352" s="225" t="s">
        <v>281</v>
      </c>
    </row>
    <row r="353" spans="1:25">
      <c r="A353" s="219">
        <v>7</v>
      </c>
      <c r="B353" s="220" t="str">
        <f>VLOOKUP(Tabel10[[#This Row],[Code]],Ruimtegroepen[[Code]:[Ruimte omschrijving]],2,FALSE)</f>
        <v>Entree</v>
      </c>
      <c r="C353" s="221" t="s">
        <v>576</v>
      </c>
      <c r="D353" s="220" t="s">
        <v>1</v>
      </c>
      <c r="E353" s="221" t="s">
        <v>99</v>
      </c>
      <c r="F353" s="221" t="s">
        <v>578</v>
      </c>
      <c r="G353" s="226" t="s">
        <v>281</v>
      </c>
      <c r="H353" s="222" t="s">
        <v>2</v>
      </c>
      <c r="I353" s="222" t="s">
        <v>281</v>
      </c>
      <c r="J353" s="222" t="s">
        <v>281</v>
      </c>
      <c r="K353" s="222" t="s">
        <v>281</v>
      </c>
      <c r="L353" s="222" t="s">
        <v>281</v>
      </c>
      <c r="M353" s="222" t="s">
        <v>281</v>
      </c>
      <c r="N353" s="222" t="s">
        <v>281</v>
      </c>
      <c r="O353" s="223" t="s">
        <v>2</v>
      </c>
      <c r="P353" s="223" t="s">
        <v>2</v>
      </c>
      <c r="Q353" s="223" t="s">
        <v>15</v>
      </c>
      <c r="R353" s="223" t="s">
        <v>15</v>
      </c>
      <c r="S353" s="223" t="s">
        <v>16</v>
      </c>
      <c r="T353" s="223" t="s">
        <v>328</v>
      </c>
      <c r="U353" s="223" t="s">
        <v>248</v>
      </c>
      <c r="V353" s="223" t="s">
        <v>281</v>
      </c>
      <c r="W353" s="224" t="s">
        <v>281</v>
      </c>
      <c r="X353" s="224" t="s">
        <v>281</v>
      </c>
      <c r="Y353" s="225" t="s">
        <v>281</v>
      </c>
    </row>
    <row r="354" spans="1:25">
      <c r="A354" s="219">
        <v>7</v>
      </c>
      <c r="B354" s="220" t="str">
        <f>VLOOKUP(Tabel10[[#This Row],[Code]],Ruimtegroepen[[Code]:[Ruimte omschrijving]],2,FALSE)</f>
        <v>Entree</v>
      </c>
      <c r="C354" s="221" t="s">
        <v>576</v>
      </c>
      <c r="D354" s="220" t="s">
        <v>1</v>
      </c>
      <c r="E354" s="221" t="s">
        <v>101</v>
      </c>
      <c r="F354" s="221" t="s">
        <v>579</v>
      </c>
      <c r="G354" s="226" t="s">
        <v>281</v>
      </c>
      <c r="H354" s="222" t="s">
        <v>281</v>
      </c>
      <c r="I354" s="222" t="s">
        <v>2</v>
      </c>
      <c r="J354" s="222" t="s">
        <v>281</v>
      </c>
      <c r="K354" s="222" t="s">
        <v>2</v>
      </c>
      <c r="L354" s="222" t="s">
        <v>281</v>
      </c>
      <c r="M354" s="222" t="s">
        <v>281</v>
      </c>
      <c r="N354" s="222" t="s">
        <v>281</v>
      </c>
      <c r="O354" s="223" t="s">
        <v>2</v>
      </c>
      <c r="P354" s="223" t="s">
        <v>2</v>
      </c>
      <c r="Q354" s="223" t="s">
        <v>15</v>
      </c>
      <c r="R354" s="223" t="s">
        <v>15</v>
      </c>
      <c r="S354" s="223" t="s">
        <v>16</v>
      </c>
      <c r="T354" s="223" t="s">
        <v>328</v>
      </c>
      <c r="U354" s="223" t="s">
        <v>248</v>
      </c>
      <c r="V354" s="223" t="s">
        <v>281</v>
      </c>
      <c r="W354" s="224" t="s">
        <v>281</v>
      </c>
      <c r="X354" s="224" t="s">
        <v>281</v>
      </c>
      <c r="Y354" s="225" t="s">
        <v>281</v>
      </c>
    </row>
    <row r="355" spans="1:25">
      <c r="A355" s="219">
        <v>7</v>
      </c>
      <c r="B355" s="220" t="str">
        <f>VLOOKUP(Tabel10[[#This Row],[Code]],Ruimtegroepen[[Code]:[Ruimte omschrijving]],2,FALSE)</f>
        <v>Entree</v>
      </c>
      <c r="C355" s="221" t="s">
        <v>576</v>
      </c>
      <c r="D355" s="220" t="s">
        <v>1</v>
      </c>
      <c r="E355" s="221" t="s">
        <v>102</v>
      </c>
      <c r="F355" s="221" t="s">
        <v>580</v>
      </c>
      <c r="G355" s="226" t="s">
        <v>281</v>
      </c>
      <c r="H355" s="222" t="s">
        <v>281</v>
      </c>
      <c r="I355" s="222" t="s">
        <v>2</v>
      </c>
      <c r="J355" s="222" t="s">
        <v>281</v>
      </c>
      <c r="K355" s="222" t="s">
        <v>2</v>
      </c>
      <c r="L355" s="222" t="s">
        <v>281</v>
      </c>
      <c r="M355" s="222" t="s">
        <v>281</v>
      </c>
      <c r="N355" s="222" t="s">
        <v>281</v>
      </c>
      <c r="O355" s="223" t="s">
        <v>2</v>
      </c>
      <c r="P355" s="223" t="s">
        <v>2</v>
      </c>
      <c r="Q355" s="223" t="s">
        <v>15</v>
      </c>
      <c r="R355" s="223" t="s">
        <v>15</v>
      </c>
      <c r="S355" s="223" t="s">
        <v>16</v>
      </c>
      <c r="T355" s="223" t="s">
        <v>328</v>
      </c>
      <c r="U355" s="223" t="s">
        <v>248</v>
      </c>
      <c r="V355" s="223" t="s">
        <v>281</v>
      </c>
      <c r="W355" s="224" t="s">
        <v>281</v>
      </c>
      <c r="X355" s="224" t="s">
        <v>281</v>
      </c>
      <c r="Y355" s="225" t="s">
        <v>281</v>
      </c>
    </row>
    <row r="356" spans="1:25">
      <c r="A356" s="219">
        <v>7</v>
      </c>
      <c r="B356" s="220" t="str">
        <f>VLOOKUP(Tabel10[[#This Row],[Code]],Ruimtegroepen[[Code]:[Ruimte omschrijving]],2,FALSE)</f>
        <v>Entree</v>
      </c>
      <c r="C356" s="221" t="s">
        <v>576</v>
      </c>
      <c r="D356" s="220" t="s">
        <v>1</v>
      </c>
      <c r="E356" s="221" t="s">
        <v>99</v>
      </c>
      <c r="F356" s="221" t="s">
        <v>578</v>
      </c>
      <c r="G356" s="226" t="s">
        <v>281</v>
      </c>
      <c r="H356" s="222" t="s">
        <v>2</v>
      </c>
      <c r="I356" s="222" t="s">
        <v>281</v>
      </c>
      <c r="J356" s="222" t="s">
        <v>281</v>
      </c>
      <c r="K356" s="222" t="s">
        <v>281</v>
      </c>
      <c r="L356" s="222" t="s">
        <v>281</v>
      </c>
      <c r="M356" s="222" t="s">
        <v>281</v>
      </c>
      <c r="N356" s="222" t="s">
        <v>281</v>
      </c>
      <c r="O356" s="223" t="s">
        <v>2</v>
      </c>
      <c r="P356" s="223" t="s">
        <v>2</v>
      </c>
      <c r="Q356" s="223" t="s">
        <v>15</v>
      </c>
      <c r="R356" s="223" t="s">
        <v>15</v>
      </c>
      <c r="S356" s="223" t="s">
        <v>16</v>
      </c>
      <c r="T356" s="223" t="s">
        <v>328</v>
      </c>
      <c r="U356" s="223" t="s">
        <v>248</v>
      </c>
      <c r="V356" s="223" t="s">
        <v>281</v>
      </c>
      <c r="W356" s="224" t="s">
        <v>281</v>
      </c>
      <c r="X356" s="224" t="s">
        <v>281</v>
      </c>
      <c r="Y356" s="225" t="s">
        <v>281</v>
      </c>
    </row>
    <row r="357" spans="1:25">
      <c r="A357" s="219">
        <v>7</v>
      </c>
      <c r="B357" s="220" t="str">
        <f>VLOOKUP(Tabel10[[#This Row],[Code]],Ruimtegroepen[[Code]:[Ruimte omschrijving]],2,FALSE)</f>
        <v>Entree</v>
      </c>
      <c r="C357" s="221" t="s">
        <v>576</v>
      </c>
      <c r="D357" s="220" t="s">
        <v>1</v>
      </c>
      <c r="E357" s="221" t="s">
        <v>1309</v>
      </c>
      <c r="F357" s="221" t="s">
        <v>1464</v>
      </c>
      <c r="G357" s="226" t="s">
        <v>281</v>
      </c>
      <c r="H357" s="222" t="s">
        <v>281</v>
      </c>
      <c r="I357" s="222" t="s">
        <v>2</v>
      </c>
      <c r="J357" s="222" t="s">
        <v>281</v>
      </c>
      <c r="K357" s="222" t="s">
        <v>2</v>
      </c>
      <c r="L357" s="222" t="s">
        <v>281</v>
      </c>
      <c r="M357" s="222" t="s">
        <v>281</v>
      </c>
      <c r="N357" s="222" t="s">
        <v>281</v>
      </c>
      <c r="O357" s="223" t="s">
        <v>2</v>
      </c>
      <c r="P357" s="223" t="s">
        <v>2</v>
      </c>
      <c r="Q357" s="223" t="s">
        <v>15</v>
      </c>
      <c r="R357" s="223" t="s">
        <v>15</v>
      </c>
      <c r="S357" s="223" t="s">
        <v>16</v>
      </c>
      <c r="T357" s="223" t="s">
        <v>328</v>
      </c>
      <c r="U357" s="223" t="s">
        <v>248</v>
      </c>
      <c r="V357" s="223" t="s">
        <v>281</v>
      </c>
      <c r="W357" s="224" t="s">
        <v>281</v>
      </c>
      <c r="X357" s="224" t="s">
        <v>281</v>
      </c>
      <c r="Y357" s="225" t="s">
        <v>281</v>
      </c>
    </row>
    <row r="358" spans="1:25">
      <c r="A358" s="219">
        <v>7</v>
      </c>
      <c r="B358" s="220" t="str">
        <f>VLOOKUP(Tabel10[[#This Row],[Code]],Ruimtegroepen[[Code]:[Ruimte omschrijving]],2,FALSE)</f>
        <v>Entree</v>
      </c>
      <c r="C358" s="221" t="s">
        <v>581</v>
      </c>
      <c r="D358" s="220" t="s">
        <v>21</v>
      </c>
      <c r="E358" s="221" t="s">
        <v>100</v>
      </c>
      <c r="F358" s="221" t="s">
        <v>582</v>
      </c>
      <c r="G358" s="226" t="s">
        <v>281</v>
      </c>
      <c r="H358" s="222" t="s">
        <v>281</v>
      </c>
      <c r="I358" s="222" t="s">
        <v>281</v>
      </c>
      <c r="J358" s="222" t="s">
        <v>20</v>
      </c>
      <c r="K358" s="222" t="s">
        <v>281</v>
      </c>
      <c r="L358" s="222" t="s">
        <v>281</v>
      </c>
      <c r="M358" s="222" t="s">
        <v>281</v>
      </c>
      <c r="N358" s="222" t="s">
        <v>281</v>
      </c>
      <c r="O358" s="223" t="s">
        <v>20</v>
      </c>
      <c r="P358" s="223" t="s">
        <v>20</v>
      </c>
      <c r="Q358" s="223" t="s">
        <v>15</v>
      </c>
      <c r="R358" s="223" t="s">
        <v>15</v>
      </c>
      <c r="S358" s="223" t="s">
        <v>16</v>
      </c>
      <c r="T358" s="223" t="s">
        <v>328</v>
      </c>
      <c r="U358" s="223" t="s">
        <v>248</v>
      </c>
      <c r="V358" s="223" t="s">
        <v>281</v>
      </c>
      <c r="W358" s="224" t="s">
        <v>281</v>
      </c>
      <c r="X358" s="224" t="s">
        <v>281</v>
      </c>
      <c r="Y358" s="225" t="s">
        <v>281</v>
      </c>
    </row>
    <row r="359" spans="1:25">
      <c r="A359" s="219">
        <v>7</v>
      </c>
      <c r="B359" s="220" t="str">
        <f>VLOOKUP(Tabel10[[#This Row],[Code]],Ruimtegroepen[[Code]:[Ruimte omschrijving]],2,FALSE)</f>
        <v>Entree</v>
      </c>
      <c r="C359" s="221" t="s">
        <v>581</v>
      </c>
      <c r="D359" s="220" t="s">
        <v>21</v>
      </c>
      <c r="E359" s="221" t="s">
        <v>99</v>
      </c>
      <c r="F359" s="221" t="s">
        <v>583</v>
      </c>
      <c r="G359" s="226" t="s">
        <v>281</v>
      </c>
      <c r="H359" s="222" t="s">
        <v>20</v>
      </c>
      <c r="I359" s="222" t="s">
        <v>281</v>
      </c>
      <c r="J359" s="222" t="s">
        <v>281</v>
      </c>
      <c r="K359" s="222" t="s">
        <v>281</v>
      </c>
      <c r="L359" s="222" t="s">
        <v>281</v>
      </c>
      <c r="M359" s="222" t="s">
        <v>281</v>
      </c>
      <c r="N359" s="222" t="s">
        <v>281</v>
      </c>
      <c r="O359" s="223" t="s">
        <v>20</v>
      </c>
      <c r="P359" s="223" t="s">
        <v>20</v>
      </c>
      <c r="Q359" s="223" t="s">
        <v>15</v>
      </c>
      <c r="R359" s="223" t="s">
        <v>15</v>
      </c>
      <c r="S359" s="223" t="s">
        <v>16</v>
      </c>
      <c r="T359" s="223" t="s">
        <v>328</v>
      </c>
      <c r="U359" s="223" t="s">
        <v>248</v>
      </c>
      <c r="V359" s="223" t="s">
        <v>281</v>
      </c>
      <c r="W359" s="224" t="s">
        <v>281</v>
      </c>
      <c r="X359" s="224" t="s">
        <v>281</v>
      </c>
      <c r="Y359" s="225" t="s">
        <v>281</v>
      </c>
    </row>
    <row r="360" spans="1:25">
      <c r="A360" s="219">
        <v>7</v>
      </c>
      <c r="B360" s="220" t="str">
        <f>VLOOKUP(Tabel10[[#This Row],[Code]],Ruimtegroepen[[Code]:[Ruimte omschrijving]],2,FALSE)</f>
        <v>Entree</v>
      </c>
      <c r="C360" s="221" t="s">
        <v>581</v>
      </c>
      <c r="D360" s="220" t="s">
        <v>21</v>
      </c>
      <c r="E360" s="221" t="s">
        <v>101</v>
      </c>
      <c r="F360" s="221" t="s">
        <v>584</v>
      </c>
      <c r="G360" s="226" t="s">
        <v>281</v>
      </c>
      <c r="H360" s="222" t="s">
        <v>281</v>
      </c>
      <c r="I360" s="222" t="s">
        <v>20</v>
      </c>
      <c r="J360" s="222" t="s">
        <v>281</v>
      </c>
      <c r="K360" s="222" t="s">
        <v>20</v>
      </c>
      <c r="L360" s="222" t="s">
        <v>281</v>
      </c>
      <c r="M360" s="222" t="s">
        <v>281</v>
      </c>
      <c r="N360" s="222" t="s">
        <v>281</v>
      </c>
      <c r="O360" s="223" t="s">
        <v>20</v>
      </c>
      <c r="P360" s="223" t="s">
        <v>20</v>
      </c>
      <c r="Q360" s="223" t="s">
        <v>15</v>
      </c>
      <c r="R360" s="223" t="s">
        <v>15</v>
      </c>
      <c r="S360" s="223" t="s">
        <v>16</v>
      </c>
      <c r="T360" s="223" t="s">
        <v>328</v>
      </c>
      <c r="U360" s="223" t="s">
        <v>248</v>
      </c>
      <c r="V360" s="223" t="s">
        <v>281</v>
      </c>
      <c r="W360" s="224" t="s">
        <v>281</v>
      </c>
      <c r="X360" s="224" t="s">
        <v>281</v>
      </c>
      <c r="Y360" s="225" t="s">
        <v>281</v>
      </c>
    </row>
    <row r="361" spans="1:25">
      <c r="A361" s="219">
        <v>7</v>
      </c>
      <c r="B361" s="220" t="str">
        <f>VLOOKUP(Tabel10[[#This Row],[Code]],Ruimtegroepen[[Code]:[Ruimte omschrijving]],2,FALSE)</f>
        <v>Entree</v>
      </c>
      <c r="C361" s="221" t="s">
        <v>581</v>
      </c>
      <c r="D361" s="220" t="s">
        <v>21</v>
      </c>
      <c r="E361" s="221" t="s">
        <v>102</v>
      </c>
      <c r="F361" s="221" t="s">
        <v>585</v>
      </c>
      <c r="G361" s="226" t="s">
        <v>281</v>
      </c>
      <c r="H361" s="222" t="s">
        <v>281</v>
      </c>
      <c r="I361" s="222" t="s">
        <v>20</v>
      </c>
      <c r="J361" s="222" t="s">
        <v>281</v>
      </c>
      <c r="K361" s="222" t="s">
        <v>20</v>
      </c>
      <c r="L361" s="222" t="s">
        <v>281</v>
      </c>
      <c r="M361" s="222" t="s">
        <v>281</v>
      </c>
      <c r="N361" s="222" t="s">
        <v>281</v>
      </c>
      <c r="O361" s="223" t="s">
        <v>20</v>
      </c>
      <c r="P361" s="223" t="s">
        <v>20</v>
      </c>
      <c r="Q361" s="223" t="s">
        <v>15</v>
      </c>
      <c r="R361" s="223" t="s">
        <v>15</v>
      </c>
      <c r="S361" s="223" t="s">
        <v>16</v>
      </c>
      <c r="T361" s="223" t="s">
        <v>328</v>
      </c>
      <c r="U361" s="223" t="s">
        <v>248</v>
      </c>
      <c r="V361" s="223" t="s">
        <v>281</v>
      </c>
      <c r="W361" s="224" t="s">
        <v>281</v>
      </c>
      <c r="X361" s="224" t="s">
        <v>281</v>
      </c>
      <c r="Y361" s="225" t="s">
        <v>281</v>
      </c>
    </row>
    <row r="362" spans="1:25">
      <c r="A362" s="219">
        <v>7</v>
      </c>
      <c r="B362" s="220" t="str">
        <f>VLOOKUP(Tabel10[[#This Row],[Code]],Ruimtegroepen[[Code]:[Ruimte omschrijving]],2,FALSE)</f>
        <v>Entree</v>
      </c>
      <c r="C362" s="221" t="s">
        <v>581</v>
      </c>
      <c r="D362" s="220" t="s">
        <v>21</v>
      </c>
      <c r="E362" s="221" t="s">
        <v>99</v>
      </c>
      <c r="F362" s="221" t="s">
        <v>583</v>
      </c>
      <c r="G362" s="226" t="s">
        <v>281</v>
      </c>
      <c r="H362" s="222" t="s">
        <v>20</v>
      </c>
      <c r="I362" s="222" t="s">
        <v>281</v>
      </c>
      <c r="J362" s="222" t="s">
        <v>281</v>
      </c>
      <c r="K362" s="222" t="s">
        <v>281</v>
      </c>
      <c r="L362" s="222" t="s">
        <v>281</v>
      </c>
      <c r="M362" s="222" t="s">
        <v>281</v>
      </c>
      <c r="N362" s="222" t="s">
        <v>281</v>
      </c>
      <c r="O362" s="223" t="s">
        <v>20</v>
      </c>
      <c r="P362" s="223" t="s">
        <v>20</v>
      </c>
      <c r="Q362" s="223" t="s">
        <v>15</v>
      </c>
      <c r="R362" s="223" t="s">
        <v>15</v>
      </c>
      <c r="S362" s="223" t="s">
        <v>16</v>
      </c>
      <c r="T362" s="223" t="s">
        <v>328</v>
      </c>
      <c r="U362" s="223" t="s">
        <v>248</v>
      </c>
      <c r="V362" s="223" t="s">
        <v>281</v>
      </c>
      <c r="W362" s="224" t="s">
        <v>281</v>
      </c>
      <c r="X362" s="224" t="s">
        <v>281</v>
      </c>
      <c r="Y362" s="225" t="s">
        <v>281</v>
      </c>
    </row>
    <row r="363" spans="1:25">
      <c r="A363" s="219">
        <v>7</v>
      </c>
      <c r="B363" s="220" t="str">
        <f>VLOOKUP(Tabel10[[#This Row],[Code]],Ruimtegroepen[[Code]:[Ruimte omschrijving]],2,FALSE)</f>
        <v>Entree</v>
      </c>
      <c r="C363" s="221" t="s">
        <v>581</v>
      </c>
      <c r="D363" s="220" t="s">
        <v>21</v>
      </c>
      <c r="E363" s="221" t="s">
        <v>1309</v>
      </c>
      <c r="F363" s="221" t="s">
        <v>1447</v>
      </c>
      <c r="G363" s="226" t="s">
        <v>281</v>
      </c>
      <c r="H363" s="222" t="s">
        <v>281</v>
      </c>
      <c r="I363" s="222" t="s">
        <v>20</v>
      </c>
      <c r="J363" s="222" t="s">
        <v>281</v>
      </c>
      <c r="K363" s="222" t="s">
        <v>20</v>
      </c>
      <c r="L363" s="222" t="s">
        <v>281</v>
      </c>
      <c r="M363" s="222" t="s">
        <v>281</v>
      </c>
      <c r="N363" s="222" t="s">
        <v>281</v>
      </c>
      <c r="O363" s="223" t="s">
        <v>20</v>
      </c>
      <c r="P363" s="223" t="s">
        <v>20</v>
      </c>
      <c r="Q363" s="223" t="s">
        <v>15</v>
      </c>
      <c r="R363" s="223" t="s">
        <v>15</v>
      </c>
      <c r="S363" s="223" t="s">
        <v>16</v>
      </c>
      <c r="T363" s="223" t="s">
        <v>328</v>
      </c>
      <c r="U363" s="223" t="s">
        <v>248</v>
      </c>
      <c r="V363" s="223" t="s">
        <v>281</v>
      </c>
      <c r="W363" s="224" t="s">
        <v>281</v>
      </c>
      <c r="X363" s="224" t="s">
        <v>281</v>
      </c>
      <c r="Y363" s="225" t="s">
        <v>281</v>
      </c>
    </row>
    <row r="364" spans="1:25">
      <c r="A364" s="219">
        <v>7</v>
      </c>
      <c r="B364" s="220" t="str">
        <f>VLOOKUP(Tabel10[[#This Row],[Code]],Ruimtegroepen[[Code]:[Ruimte omschrijving]],2,FALSE)</f>
        <v>Entree</v>
      </c>
      <c r="C364" s="221" t="s">
        <v>586</v>
      </c>
      <c r="D364" s="220" t="s">
        <v>12</v>
      </c>
      <c r="E364" s="221" t="s">
        <v>100</v>
      </c>
      <c r="F364" s="221" t="s">
        <v>587</v>
      </c>
      <c r="G364" s="226" t="s">
        <v>281</v>
      </c>
      <c r="H364" s="222" t="s">
        <v>281</v>
      </c>
      <c r="I364" s="222" t="s">
        <v>281</v>
      </c>
      <c r="J364" s="222" t="s">
        <v>18</v>
      </c>
      <c r="K364" s="222" t="s">
        <v>281</v>
      </c>
      <c r="L364" s="222" t="s">
        <v>281</v>
      </c>
      <c r="M364" s="222" t="s">
        <v>281</v>
      </c>
      <c r="N364" s="222" t="s">
        <v>281</v>
      </c>
      <c r="O364" s="223" t="s">
        <v>18</v>
      </c>
      <c r="P364" s="223" t="s">
        <v>18</v>
      </c>
      <c r="Q364" s="223" t="s">
        <v>15</v>
      </c>
      <c r="R364" s="223" t="s">
        <v>15</v>
      </c>
      <c r="S364" s="223" t="s">
        <v>16</v>
      </c>
      <c r="T364" s="223" t="s">
        <v>328</v>
      </c>
      <c r="U364" s="223" t="s">
        <v>248</v>
      </c>
      <c r="V364" s="223" t="s">
        <v>281</v>
      </c>
      <c r="W364" s="224" t="s">
        <v>281</v>
      </c>
      <c r="X364" s="224" t="s">
        <v>281</v>
      </c>
      <c r="Y364" s="225" t="s">
        <v>281</v>
      </c>
    </row>
    <row r="365" spans="1:25">
      <c r="A365" s="219">
        <v>7</v>
      </c>
      <c r="B365" s="220" t="str">
        <f>VLOOKUP(Tabel10[[#This Row],[Code]],Ruimtegroepen[[Code]:[Ruimte omschrijving]],2,FALSE)</f>
        <v>Entree</v>
      </c>
      <c r="C365" s="221" t="s">
        <v>586</v>
      </c>
      <c r="D365" s="220" t="s">
        <v>12</v>
      </c>
      <c r="E365" s="221" t="s">
        <v>99</v>
      </c>
      <c r="F365" s="221" t="s">
        <v>588</v>
      </c>
      <c r="G365" s="226" t="s">
        <v>281</v>
      </c>
      <c r="H365" s="222" t="s">
        <v>18</v>
      </c>
      <c r="I365" s="222" t="s">
        <v>281</v>
      </c>
      <c r="J365" s="222" t="s">
        <v>281</v>
      </c>
      <c r="K365" s="222" t="s">
        <v>281</v>
      </c>
      <c r="L365" s="222" t="s">
        <v>281</v>
      </c>
      <c r="M365" s="222" t="s">
        <v>281</v>
      </c>
      <c r="N365" s="222" t="s">
        <v>281</v>
      </c>
      <c r="O365" s="223" t="s">
        <v>18</v>
      </c>
      <c r="P365" s="223" t="s">
        <v>18</v>
      </c>
      <c r="Q365" s="223" t="s">
        <v>15</v>
      </c>
      <c r="R365" s="223" t="s">
        <v>15</v>
      </c>
      <c r="S365" s="223" t="s">
        <v>16</v>
      </c>
      <c r="T365" s="223" t="s">
        <v>328</v>
      </c>
      <c r="U365" s="223" t="s">
        <v>248</v>
      </c>
      <c r="V365" s="223" t="s">
        <v>281</v>
      </c>
      <c r="W365" s="224" t="s">
        <v>281</v>
      </c>
      <c r="X365" s="224" t="s">
        <v>281</v>
      </c>
      <c r="Y365" s="225" t="s">
        <v>281</v>
      </c>
    </row>
    <row r="366" spans="1:25">
      <c r="A366" s="219">
        <v>7</v>
      </c>
      <c r="B366" s="220" t="str">
        <f>VLOOKUP(Tabel10[[#This Row],[Code]],Ruimtegroepen[[Code]:[Ruimte omschrijving]],2,FALSE)</f>
        <v>Entree</v>
      </c>
      <c r="C366" s="221" t="s">
        <v>586</v>
      </c>
      <c r="D366" s="220" t="s">
        <v>12</v>
      </c>
      <c r="E366" s="221" t="s">
        <v>101</v>
      </c>
      <c r="F366" s="221" t="s">
        <v>589</v>
      </c>
      <c r="G366" s="226" t="s">
        <v>281</v>
      </c>
      <c r="H366" s="222" t="s">
        <v>281</v>
      </c>
      <c r="I366" s="222" t="s">
        <v>18</v>
      </c>
      <c r="J366" s="222" t="s">
        <v>281</v>
      </c>
      <c r="K366" s="222" t="s">
        <v>18</v>
      </c>
      <c r="L366" s="222" t="s">
        <v>281</v>
      </c>
      <c r="M366" s="222" t="s">
        <v>281</v>
      </c>
      <c r="N366" s="222" t="s">
        <v>281</v>
      </c>
      <c r="O366" s="223" t="s">
        <v>18</v>
      </c>
      <c r="P366" s="223" t="s">
        <v>18</v>
      </c>
      <c r="Q366" s="223" t="s">
        <v>15</v>
      </c>
      <c r="R366" s="223" t="s">
        <v>15</v>
      </c>
      <c r="S366" s="223" t="s">
        <v>16</v>
      </c>
      <c r="T366" s="223" t="s">
        <v>328</v>
      </c>
      <c r="U366" s="223" t="s">
        <v>248</v>
      </c>
      <c r="V366" s="223" t="s">
        <v>281</v>
      </c>
      <c r="W366" s="224" t="s">
        <v>281</v>
      </c>
      <c r="X366" s="224" t="s">
        <v>281</v>
      </c>
      <c r="Y366" s="225" t="s">
        <v>281</v>
      </c>
    </row>
    <row r="367" spans="1:25">
      <c r="A367" s="219">
        <v>7</v>
      </c>
      <c r="B367" s="220" t="str">
        <f>VLOOKUP(Tabel10[[#This Row],[Code]],Ruimtegroepen[[Code]:[Ruimte omschrijving]],2,FALSE)</f>
        <v>Entree</v>
      </c>
      <c r="C367" s="221" t="s">
        <v>586</v>
      </c>
      <c r="D367" s="220" t="s">
        <v>12</v>
      </c>
      <c r="E367" s="221" t="s">
        <v>102</v>
      </c>
      <c r="F367" s="221" t="s">
        <v>590</v>
      </c>
      <c r="G367" s="226" t="s">
        <v>281</v>
      </c>
      <c r="H367" s="222" t="s">
        <v>281</v>
      </c>
      <c r="I367" s="222" t="s">
        <v>18</v>
      </c>
      <c r="J367" s="222" t="s">
        <v>281</v>
      </c>
      <c r="K367" s="222" t="s">
        <v>18</v>
      </c>
      <c r="L367" s="222" t="s">
        <v>281</v>
      </c>
      <c r="M367" s="222" t="s">
        <v>281</v>
      </c>
      <c r="N367" s="222" t="s">
        <v>281</v>
      </c>
      <c r="O367" s="223" t="s">
        <v>18</v>
      </c>
      <c r="P367" s="223" t="s">
        <v>18</v>
      </c>
      <c r="Q367" s="223" t="s">
        <v>15</v>
      </c>
      <c r="R367" s="223" t="s">
        <v>15</v>
      </c>
      <c r="S367" s="223" t="s">
        <v>16</v>
      </c>
      <c r="T367" s="223" t="s">
        <v>328</v>
      </c>
      <c r="U367" s="223" t="s">
        <v>248</v>
      </c>
      <c r="V367" s="223" t="s">
        <v>281</v>
      </c>
      <c r="W367" s="224" t="s">
        <v>281</v>
      </c>
      <c r="X367" s="224" t="s">
        <v>281</v>
      </c>
      <c r="Y367" s="225" t="s">
        <v>281</v>
      </c>
    </row>
    <row r="368" spans="1:25">
      <c r="A368" s="219">
        <v>7</v>
      </c>
      <c r="B368" s="220" t="str">
        <f>VLOOKUP(Tabel10[[#This Row],[Code]],Ruimtegroepen[[Code]:[Ruimte omschrijving]],2,FALSE)</f>
        <v>Entree</v>
      </c>
      <c r="C368" s="221" t="s">
        <v>586</v>
      </c>
      <c r="D368" s="220" t="s">
        <v>12</v>
      </c>
      <c r="E368" s="221" t="s">
        <v>99</v>
      </c>
      <c r="F368" s="221" t="s">
        <v>588</v>
      </c>
      <c r="G368" s="226" t="s">
        <v>281</v>
      </c>
      <c r="H368" s="222" t="s">
        <v>18</v>
      </c>
      <c r="I368" s="222" t="s">
        <v>281</v>
      </c>
      <c r="J368" s="222" t="s">
        <v>281</v>
      </c>
      <c r="K368" s="222" t="s">
        <v>281</v>
      </c>
      <c r="L368" s="222" t="s">
        <v>281</v>
      </c>
      <c r="M368" s="222" t="s">
        <v>281</v>
      </c>
      <c r="N368" s="222" t="s">
        <v>281</v>
      </c>
      <c r="O368" s="223" t="s">
        <v>18</v>
      </c>
      <c r="P368" s="223" t="s">
        <v>18</v>
      </c>
      <c r="Q368" s="223" t="s">
        <v>15</v>
      </c>
      <c r="R368" s="223" t="s">
        <v>15</v>
      </c>
      <c r="S368" s="223" t="s">
        <v>16</v>
      </c>
      <c r="T368" s="223" t="s">
        <v>328</v>
      </c>
      <c r="U368" s="223" t="s">
        <v>248</v>
      </c>
      <c r="V368" s="223" t="s">
        <v>281</v>
      </c>
      <c r="W368" s="224" t="s">
        <v>281</v>
      </c>
      <c r="X368" s="224" t="s">
        <v>281</v>
      </c>
      <c r="Y368" s="225" t="s">
        <v>281</v>
      </c>
    </row>
    <row r="369" spans="1:25">
      <c r="A369" s="219">
        <v>7</v>
      </c>
      <c r="B369" s="220" t="str">
        <f>VLOOKUP(Tabel10[[#This Row],[Code]],Ruimtegroepen[[Code]:[Ruimte omschrijving]],2,FALSE)</f>
        <v>Entree</v>
      </c>
      <c r="C369" s="221" t="s">
        <v>586</v>
      </c>
      <c r="D369" s="220" t="s">
        <v>12</v>
      </c>
      <c r="E369" s="221" t="s">
        <v>1309</v>
      </c>
      <c r="F369" s="221" t="s">
        <v>1429</v>
      </c>
      <c r="G369" s="226" t="s">
        <v>281</v>
      </c>
      <c r="H369" s="222" t="s">
        <v>281</v>
      </c>
      <c r="I369" s="222" t="s">
        <v>18</v>
      </c>
      <c r="J369" s="222" t="s">
        <v>281</v>
      </c>
      <c r="K369" s="222" t="s">
        <v>18</v>
      </c>
      <c r="L369" s="222" t="s">
        <v>281</v>
      </c>
      <c r="M369" s="222" t="s">
        <v>281</v>
      </c>
      <c r="N369" s="222" t="s">
        <v>281</v>
      </c>
      <c r="O369" s="223" t="s">
        <v>18</v>
      </c>
      <c r="P369" s="223" t="s">
        <v>18</v>
      </c>
      <c r="Q369" s="223" t="s">
        <v>15</v>
      </c>
      <c r="R369" s="223" t="s">
        <v>15</v>
      </c>
      <c r="S369" s="223" t="s">
        <v>16</v>
      </c>
      <c r="T369" s="223" t="s">
        <v>328</v>
      </c>
      <c r="U369" s="223" t="s">
        <v>248</v>
      </c>
      <c r="V369" s="223" t="s">
        <v>281</v>
      </c>
      <c r="W369" s="224" t="s">
        <v>281</v>
      </c>
      <c r="X369" s="224" t="s">
        <v>281</v>
      </c>
      <c r="Y369" s="225" t="s">
        <v>281</v>
      </c>
    </row>
    <row r="370" spans="1:25">
      <c r="A370" s="219">
        <v>7</v>
      </c>
      <c r="B370" s="220" t="str">
        <f>VLOOKUP(Tabel10[[#This Row],[Code]],Ruimtegroepen[[Code]:[Ruimte omschrijving]],2,FALSE)</f>
        <v>Entree</v>
      </c>
      <c r="C370" s="221" t="s">
        <v>591</v>
      </c>
      <c r="D370" s="220" t="s">
        <v>14</v>
      </c>
      <c r="E370" s="221" t="s">
        <v>100</v>
      </c>
      <c r="F370" s="221" t="s">
        <v>592</v>
      </c>
      <c r="G370" s="226" t="s">
        <v>281</v>
      </c>
      <c r="H370" s="222" t="s">
        <v>281</v>
      </c>
      <c r="I370" s="222" t="s">
        <v>17</v>
      </c>
      <c r="J370" s="222" t="s">
        <v>281</v>
      </c>
      <c r="K370" s="222" t="s">
        <v>15</v>
      </c>
      <c r="L370" s="222" t="s">
        <v>281</v>
      </c>
      <c r="M370" s="222" t="s">
        <v>281</v>
      </c>
      <c r="N370" s="222" t="s">
        <v>281</v>
      </c>
      <c r="O370" s="223" t="s">
        <v>17</v>
      </c>
      <c r="P370" s="223" t="s">
        <v>17</v>
      </c>
      <c r="Q370" s="223" t="s">
        <v>15</v>
      </c>
      <c r="R370" s="223" t="s">
        <v>15</v>
      </c>
      <c r="S370" s="223" t="s">
        <v>16</v>
      </c>
      <c r="T370" s="223" t="s">
        <v>328</v>
      </c>
      <c r="U370" s="223" t="s">
        <v>248</v>
      </c>
      <c r="V370" s="223" t="s">
        <v>281</v>
      </c>
      <c r="W370" s="224" t="s">
        <v>281</v>
      </c>
      <c r="X370" s="224" t="s">
        <v>281</v>
      </c>
      <c r="Y370" s="225" t="s">
        <v>281</v>
      </c>
    </row>
    <row r="371" spans="1:25">
      <c r="A371" s="219">
        <v>7</v>
      </c>
      <c r="B371" s="220" t="str">
        <f>VLOOKUP(Tabel10[[#This Row],[Code]],Ruimtegroepen[[Code]:[Ruimte omschrijving]],2,FALSE)</f>
        <v>Entree</v>
      </c>
      <c r="C371" s="221" t="s">
        <v>591</v>
      </c>
      <c r="D371" s="220" t="s">
        <v>14</v>
      </c>
      <c r="E371" s="221" t="s">
        <v>99</v>
      </c>
      <c r="F371" s="221" t="s">
        <v>593</v>
      </c>
      <c r="G371" s="226" t="s">
        <v>281</v>
      </c>
      <c r="H371" s="222" t="s">
        <v>17</v>
      </c>
      <c r="I371" s="222" t="s">
        <v>281</v>
      </c>
      <c r="J371" s="222" t="s">
        <v>281</v>
      </c>
      <c r="K371" s="222" t="s">
        <v>281</v>
      </c>
      <c r="L371" s="222" t="s">
        <v>281</v>
      </c>
      <c r="M371" s="222" t="s">
        <v>281</v>
      </c>
      <c r="N371" s="222" t="s">
        <v>281</v>
      </c>
      <c r="O371" s="223" t="s">
        <v>17</v>
      </c>
      <c r="P371" s="223" t="s">
        <v>17</v>
      </c>
      <c r="Q371" s="223" t="s">
        <v>15</v>
      </c>
      <c r="R371" s="223" t="s">
        <v>15</v>
      </c>
      <c r="S371" s="223" t="s">
        <v>16</v>
      </c>
      <c r="T371" s="223" t="s">
        <v>328</v>
      </c>
      <c r="U371" s="223" t="s">
        <v>248</v>
      </c>
      <c r="V371" s="223" t="s">
        <v>281</v>
      </c>
      <c r="W371" s="224" t="s">
        <v>281</v>
      </c>
      <c r="X371" s="224" t="s">
        <v>281</v>
      </c>
      <c r="Y371" s="225" t="s">
        <v>281</v>
      </c>
    </row>
    <row r="372" spans="1:25">
      <c r="A372" s="219">
        <v>7</v>
      </c>
      <c r="B372" s="220" t="str">
        <f>VLOOKUP(Tabel10[[#This Row],[Code]],Ruimtegroepen[[Code]:[Ruimte omschrijving]],2,FALSE)</f>
        <v>Entree</v>
      </c>
      <c r="C372" s="221" t="s">
        <v>591</v>
      </c>
      <c r="D372" s="220" t="s">
        <v>14</v>
      </c>
      <c r="E372" s="221" t="s">
        <v>101</v>
      </c>
      <c r="F372" s="221" t="s">
        <v>594</v>
      </c>
      <c r="G372" s="226" t="s">
        <v>281</v>
      </c>
      <c r="H372" s="222" t="s">
        <v>281</v>
      </c>
      <c r="I372" s="222" t="s">
        <v>17</v>
      </c>
      <c r="J372" s="222" t="s">
        <v>281</v>
      </c>
      <c r="K372" s="222" t="s">
        <v>17</v>
      </c>
      <c r="L372" s="222" t="s">
        <v>281</v>
      </c>
      <c r="M372" s="222" t="s">
        <v>281</v>
      </c>
      <c r="N372" s="222" t="s">
        <v>281</v>
      </c>
      <c r="O372" s="223" t="s">
        <v>17</v>
      </c>
      <c r="P372" s="223" t="s">
        <v>17</v>
      </c>
      <c r="Q372" s="223" t="s">
        <v>15</v>
      </c>
      <c r="R372" s="223" t="s">
        <v>15</v>
      </c>
      <c r="S372" s="223" t="s">
        <v>16</v>
      </c>
      <c r="T372" s="223" t="s">
        <v>328</v>
      </c>
      <c r="U372" s="223" t="s">
        <v>248</v>
      </c>
      <c r="V372" s="223" t="s">
        <v>281</v>
      </c>
      <c r="W372" s="224" t="s">
        <v>281</v>
      </c>
      <c r="X372" s="224" t="s">
        <v>281</v>
      </c>
      <c r="Y372" s="225" t="s">
        <v>281</v>
      </c>
    </row>
    <row r="373" spans="1:25">
      <c r="A373" s="219">
        <v>7</v>
      </c>
      <c r="B373" s="220" t="str">
        <f>VLOOKUP(Tabel10[[#This Row],[Code]],Ruimtegroepen[[Code]:[Ruimte omschrijving]],2,FALSE)</f>
        <v>Entree</v>
      </c>
      <c r="C373" s="221" t="s">
        <v>591</v>
      </c>
      <c r="D373" s="220" t="s">
        <v>14</v>
      </c>
      <c r="E373" s="221" t="s">
        <v>102</v>
      </c>
      <c r="F373" s="221" t="s">
        <v>595</v>
      </c>
      <c r="G373" s="226" t="s">
        <v>281</v>
      </c>
      <c r="H373" s="222" t="s">
        <v>281</v>
      </c>
      <c r="I373" s="222" t="s">
        <v>17</v>
      </c>
      <c r="J373" s="222" t="s">
        <v>281</v>
      </c>
      <c r="K373" s="222" t="s">
        <v>17</v>
      </c>
      <c r="L373" s="222" t="s">
        <v>281</v>
      </c>
      <c r="M373" s="222" t="s">
        <v>281</v>
      </c>
      <c r="N373" s="222" t="s">
        <v>281</v>
      </c>
      <c r="O373" s="223" t="s">
        <v>17</v>
      </c>
      <c r="P373" s="223" t="s">
        <v>17</v>
      </c>
      <c r="Q373" s="223" t="s">
        <v>15</v>
      </c>
      <c r="R373" s="223" t="s">
        <v>15</v>
      </c>
      <c r="S373" s="223" t="s">
        <v>16</v>
      </c>
      <c r="T373" s="223" t="s">
        <v>328</v>
      </c>
      <c r="U373" s="223" t="s">
        <v>248</v>
      </c>
      <c r="V373" s="223" t="s">
        <v>281</v>
      </c>
      <c r="W373" s="224" t="s">
        <v>281</v>
      </c>
      <c r="X373" s="224" t="s">
        <v>281</v>
      </c>
      <c r="Y373" s="225" t="s">
        <v>281</v>
      </c>
    </row>
    <row r="374" spans="1:25">
      <c r="A374" s="219">
        <v>7</v>
      </c>
      <c r="B374" s="220" t="str">
        <f>VLOOKUP(Tabel10[[#This Row],[Code]],Ruimtegroepen[[Code]:[Ruimte omschrijving]],2,FALSE)</f>
        <v>Entree</v>
      </c>
      <c r="C374" s="221" t="s">
        <v>591</v>
      </c>
      <c r="D374" s="220" t="s">
        <v>14</v>
      </c>
      <c r="E374" s="221" t="s">
        <v>99</v>
      </c>
      <c r="F374" s="221" t="s">
        <v>593</v>
      </c>
      <c r="G374" s="226" t="s">
        <v>281</v>
      </c>
      <c r="H374" s="222" t="s">
        <v>17</v>
      </c>
      <c r="I374" s="222" t="s">
        <v>281</v>
      </c>
      <c r="J374" s="222" t="s">
        <v>281</v>
      </c>
      <c r="K374" s="222" t="s">
        <v>281</v>
      </c>
      <c r="L374" s="222" t="s">
        <v>281</v>
      </c>
      <c r="M374" s="222" t="s">
        <v>281</v>
      </c>
      <c r="N374" s="222" t="s">
        <v>281</v>
      </c>
      <c r="O374" s="223" t="s">
        <v>17</v>
      </c>
      <c r="P374" s="223" t="s">
        <v>17</v>
      </c>
      <c r="Q374" s="223" t="s">
        <v>15</v>
      </c>
      <c r="R374" s="223" t="s">
        <v>15</v>
      </c>
      <c r="S374" s="223" t="s">
        <v>16</v>
      </c>
      <c r="T374" s="223" t="s">
        <v>328</v>
      </c>
      <c r="U374" s="223" t="s">
        <v>248</v>
      </c>
      <c r="V374" s="223" t="s">
        <v>281</v>
      </c>
      <c r="W374" s="224" t="s">
        <v>281</v>
      </c>
      <c r="X374" s="224" t="s">
        <v>281</v>
      </c>
      <c r="Y374" s="225" t="s">
        <v>281</v>
      </c>
    </row>
    <row r="375" spans="1:25">
      <c r="A375" s="219">
        <v>7</v>
      </c>
      <c r="B375" s="220" t="str">
        <f>VLOOKUP(Tabel10[[#This Row],[Code]],Ruimtegroepen[[Code]:[Ruimte omschrijving]],2,FALSE)</f>
        <v>Entree</v>
      </c>
      <c r="C375" s="221" t="s">
        <v>591</v>
      </c>
      <c r="D375" s="220" t="s">
        <v>14</v>
      </c>
      <c r="E375" s="221" t="s">
        <v>1309</v>
      </c>
      <c r="F375" s="221" t="s">
        <v>1396</v>
      </c>
      <c r="G375" s="226" t="s">
        <v>281</v>
      </c>
      <c r="H375" s="222" t="s">
        <v>281</v>
      </c>
      <c r="I375" s="222" t="s">
        <v>17</v>
      </c>
      <c r="J375" s="222" t="s">
        <v>281</v>
      </c>
      <c r="K375" s="222" t="s">
        <v>17</v>
      </c>
      <c r="L375" s="222" t="s">
        <v>281</v>
      </c>
      <c r="M375" s="222" t="s">
        <v>281</v>
      </c>
      <c r="N375" s="222" t="s">
        <v>281</v>
      </c>
      <c r="O375" s="223" t="s">
        <v>17</v>
      </c>
      <c r="P375" s="223" t="s">
        <v>17</v>
      </c>
      <c r="Q375" s="223" t="s">
        <v>15</v>
      </c>
      <c r="R375" s="223" t="s">
        <v>15</v>
      </c>
      <c r="S375" s="223" t="s">
        <v>16</v>
      </c>
      <c r="T375" s="223" t="s">
        <v>328</v>
      </c>
      <c r="U375" s="223" t="s">
        <v>248</v>
      </c>
      <c r="V375" s="223" t="s">
        <v>281</v>
      </c>
      <c r="W375" s="224" t="s">
        <v>281</v>
      </c>
      <c r="X375" s="224" t="s">
        <v>281</v>
      </c>
      <c r="Y375" s="225" t="s">
        <v>281</v>
      </c>
    </row>
    <row r="376" spans="1:25">
      <c r="A376" s="219">
        <v>7</v>
      </c>
      <c r="B376" s="220" t="str">
        <f>VLOOKUP(Tabel10[[#This Row],[Code]],Ruimtegroepen[[Code]:[Ruimte omschrijving]],2,FALSE)</f>
        <v>Entree</v>
      </c>
      <c r="C376" s="221" t="s">
        <v>596</v>
      </c>
      <c r="D376" s="220" t="s">
        <v>13</v>
      </c>
      <c r="E376" s="221" t="s">
        <v>100</v>
      </c>
      <c r="F376" s="221" t="s">
        <v>597</v>
      </c>
      <c r="G376" s="226" t="s">
        <v>281</v>
      </c>
      <c r="H376" s="222" t="s">
        <v>281</v>
      </c>
      <c r="I376" s="222" t="s">
        <v>281</v>
      </c>
      <c r="J376" s="222" t="s">
        <v>15</v>
      </c>
      <c r="K376" s="222" t="s">
        <v>281</v>
      </c>
      <c r="L376" s="222" t="s">
        <v>281</v>
      </c>
      <c r="M376" s="222" t="s">
        <v>281</v>
      </c>
      <c r="N376" s="222" t="s">
        <v>281</v>
      </c>
      <c r="O376" s="223" t="s">
        <v>15</v>
      </c>
      <c r="P376" s="223" t="s">
        <v>15</v>
      </c>
      <c r="Q376" s="223" t="s">
        <v>15</v>
      </c>
      <c r="R376" s="223" t="s">
        <v>15</v>
      </c>
      <c r="S376" s="223" t="s">
        <v>16</v>
      </c>
      <c r="T376" s="223" t="s">
        <v>328</v>
      </c>
      <c r="U376" s="223" t="s">
        <v>248</v>
      </c>
      <c r="V376" s="223" t="s">
        <v>281</v>
      </c>
      <c r="W376" s="224" t="s">
        <v>281</v>
      </c>
      <c r="X376" s="224" t="s">
        <v>281</v>
      </c>
      <c r="Y376" s="225" t="s">
        <v>281</v>
      </c>
    </row>
    <row r="377" spans="1:25">
      <c r="A377" s="219">
        <v>7</v>
      </c>
      <c r="B377" s="220" t="str">
        <f>VLOOKUP(Tabel10[[#This Row],[Code]],Ruimtegroepen[[Code]:[Ruimte omschrijving]],2,FALSE)</f>
        <v>Entree</v>
      </c>
      <c r="C377" s="221" t="s">
        <v>596</v>
      </c>
      <c r="D377" s="220" t="s">
        <v>13</v>
      </c>
      <c r="E377" s="221" t="s">
        <v>99</v>
      </c>
      <c r="F377" s="221" t="s">
        <v>598</v>
      </c>
      <c r="G377" s="226" t="s">
        <v>281</v>
      </c>
      <c r="H377" s="222" t="s">
        <v>15</v>
      </c>
      <c r="I377" s="222" t="s">
        <v>281</v>
      </c>
      <c r="J377" s="222" t="s">
        <v>281</v>
      </c>
      <c r="K377" s="222" t="s">
        <v>281</v>
      </c>
      <c r="L377" s="222" t="s">
        <v>281</v>
      </c>
      <c r="M377" s="222" t="s">
        <v>281</v>
      </c>
      <c r="N377" s="222" t="s">
        <v>281</v>
      </c>
      <c r="O377" s="223" t="s">
        <v>15</v>
      </c>
      <c r="P377" s="223" t="s">
        <v>15</v>
      </c>
      <c r="Q377" s="223" t="s">
        <v>15</v>
      </c>
      <c r="R377" s="223" t="s">
        <v>15</v>
      </c>
      <c r="S377" s="223" t="s">
        <v>16</v>
      </c>
      <c r="T377" s="223" t="s">
        <v>328</v>
      </c>
      <c r="U377" s="223" t="s">
        <v>248</v>
      </c>
      <c r="V377" s="223" t="s">
        <v>281</v>
      </c>
      <c r="W377" s="224" t="s">
        <v>281</v>
      </c>
      <c r="X377" s="224" t="s">
        <v>281</v>
      </c>
      <c r="Y377" s="225" t="s">
        <v>281</v>
      </c>
    </row>
    <row r="378" spans="1:25">
      <c r="A378" s="219">
        <v>7</v>
      </c>
      <c r="B378" s="220" t="str">
        <f>VLOOKUP(Tabel10[[#This Row],[Code]],Ruimtegroepen[[Code]:[Ruimte omschrijving]],2,FALSE)</f>
        <v>Entree</v>
      </c>
      <c r="C378" s="221" t="s">
        <v>596</v>
      </c>
      <c r="D378" s="220" t="s">
        <v>13</v>
      </c>
      <c r="E378" s="221" t="s">
        <v>101</v>
      </c>
      <c r="F378" s="221" t="s">
        <v>599</v>
      </c>
      <c r="G378" s="226" t="s">
        <v>281</v>
      </c>
      <c r="H378" s="222" t="s">
        <v>281</v>
      </c>
      <c r="I378" s="222" t="s">
        <v>15</v>
      </c>
      <c r="J378" s="222" t="s">
        <v>281</v>
      </c>
      <c r="K378" s="222" t="s">
        <v>15</v>
      </c>
      <c r="L378" s="222" t="s">
        <v>281</v>
      </c>
      <c r="M378" s="222" t="s">
        <v>281</v>
      </c>
      <c r="N378" s="222" t="s">
        <v>281</v>
      </c>
      <c r="O378" s="223" t="s">
        <v>15</v>
      </c>
      <c r="P378" s="223" t="s">
        <v>15</v>
      </c>
      <c r="Q378" s="223" t="s">
        <v>15</v>
      </c>
      <c r="R378" s="223" t="s">
        <v>15</v>
      </c>
      <c r="S378" s="223" t="s">
        <v>16</v>
      </c>
      <c r="T378" s="223" t="s">
        <v>328</v>
      </c>
      <c r="U378" s="223" t="s">
        <v>248</v>
      </c>
      <c r="V378" s="223" t="s">
        <v>281</v>
      </c>
      <c r="W378" s="224" t="s">
        <v>281</v>
      </c>
      <c r="X378" s="224" t="s">
        <v>281</v>
      </c>
      <c r="Y378" s="225" t="s">
        <v>281</v>
      </c>
    </row>
    <row r="379" spans="1:25">
      <c r="A379" s="219">
        <v>7</v>
      </c>
      <c r="B379" s="220" t="str">
        <f>VLOOKUP(Tabel10[[#This Row],[Code]],Ruimtegroepen[[Code]:[Ruimte omschrijving]],2,FALSE)</f>
        <v>Entree</v>
      </c>
      <c r="C379" s="221" t="s">
        <v>596</v>
      </c>
      <c r="D379" s="220" t="s">
        <v>13</v>
      </c>
      <c r="E379" s="221" t="s">
        <v>102</v>
      </c>
      <c r="F379" s="221" t="s">
        <v>600</v>
      </c>
      <c r="G379" s="226" t="s">
        <v>281</v>
      </c>
      <c r="H379" s="222" t="s">
        <v>281</v>
      </c>
      <c r="I379" s="222" t="s">
        <v>15</v>
      </c>
      <c r="J379" s="222" t="s">
        <v>281</v>
      </c>
      <c r="K379" s="222" t="s">
        <v>15</v>
      </c>
      <c r="L379" s="222" t="s">
        <v>281</v>
      </c>
      <c r="M379" s="222" t="s">
        <v>281</v>
      </c>
      <c r="N379" s="222" t="s">
        <v>281</v>
      </c>
      <c r="O379" s="223" t="s">
        <v>15</v>
      </c>
      <c r="P379" s="223" t="s">
        <v>15</v>
      </c>
      <c r="Q379" s="223" t="s">
        <v>15</v>
      </c>
      <c r="R379" s="223" t="s">
        <v>15</v>
      </c>
      <c r="S379" s="223" t="s">
        <v>16</v>
      </c>
      <c r="T379" s="223" t="s">
        <v>328</v>
      </c>
      <c r="U379" s="223" t="s">
        <v>248</v>
      </c>
      <c r="V379" s="223" t="s">
        <v>281</v>
      </c>
      <c r="W379" s="224" t="s">
        <v>281</v>
      </c>
      <c r="X379" s="224" t="s">
        <v>281</v>
      </c>
      <c r="Y379" s="225" t="s">
        <v>281</v>
      </c>
    </row>
    <row r="380" spans="1:25">
      <c r="A380" s="219">
        <v>7</v>
      </c>
      <c r="B380" s="220" t="str">
        <f>VLOOKUP(Tabel10[[#This Row],[Code]],Ruimtegroepen[[Code]:[Ruimte omschrijving]],2,FALSE)</f>
        <v>Entree</v>
      </c>
      <c r="C380" s="221" t="s">
        <v>596</v>
      </c>
      <c r="D380" s="220" t="s">
        <v>13</v>
      </c>
      <c r="E380" s="221" t="s">
        <v>99</v>
      </c>
      <c r="F380" s="221" t="s">
        <v>598</v>
      </c>
      <c r="G380" s="226" t="s">
        <v>281</v>
      </c>
      <c r="H380" s="222" t="s">
        <v>15</v>
      </c>
      <c r="I380" s="222" t="s">
        <v>281</v>
      </c>
      <c r="J380" s="222" t="s">
        <v>281</v>
      </c>
      <c r="K380" s="222" t="s">
        <v>281</v>
      </c>
      <c r="L380" s="222" t="s">
        <v>281</v>
      </c>
      <c r="M380" s="222" t="s">
        <v>281</v>
      </c>
      <c r="N380" s="222" t="s">
        <v>281</v>
      </c>
      <c r="O380" s="223" t="s">
        <v>15</v>
      </c>
      <c r="P380" s="223" t="s">
        <v>15</v>
      </c>
      <c r="Q380" s="223" t="s">
        <v>15</v>
      </c>
      <c r="R380" s="223" t="s">
        <v>15</v>
      </c>
      <c r="S380" s="223" t="s">
        <v>16</v>
      </c>
      <c r="T380" s="223" t="s">
        <v>328</v>
      </c>
      <c r="U380" s="223" t="s">
        <v>248</v>
      </c>
      <c r="V380" s="223" t="s">
        <v>281</v>
      </c>
      <c r="W380" s="224" t="s">
        <v>281</v>
      </c>
      <c r="X380" s="224" t="s">
        <v>281</v>
      </c>
      <c r="Y380" s="225" t="s">
        <v>281</v>
      </c>
    </row>
    <row r="381" spans="1:25">
      <c r="A381" s="219">
        <v>7</v>
      </c>
      <c r="B381" s="220" t="str">
        <f>VLOOKUP(Tabel10[[#This Row],[Code]],Ruimtegroepen[[Code]:[Ruimte omschrijving]],2,FALSE)</f>
        <v>Entree</v>
      </c>
      <c r="C381" s="221" t="s">
        <v>596</v>
      </c>
      <c r="D381" s="220" t="s">
        <v>13</v>
      </c>
      <c r="E381" s="221" t="s">
        <v>1309</v>
      </c>
      <c r="F381" s="221" t="s">
        <v>1363</v>
      </c>
      <c r="G381" s="226" t="s">
        <v>281</v>
      </c>
      <c r="H381" s="222" t="s">
        <v>281</v>
      </c>
      <c r="I381" s="222" t="s">
        <v>15</v>
      </c>
      <c r="J381" s="222" t="s">
        <v>281</v>
      </c>
      <c r="K381" s="222" t="s">
        <v>15</v>
      </c>
      <c r="L381" s="222" t="s">
        <v>281</v>
      </c>
      <c r="M381" s="222" t="s">
        <v>281</v>
      </c>
      <c r="N381" s="222" t="s">
        <v>281</v>
      </c>
      <c r="O381" s="223" t="s">
        <v>15</v>
      </c>
      <c r="P381" s="223" t="s">
        <v>15</v>
      </c>
      <c r="Q381" s="223" t="s">
        <v>15</v>
      </c>
      <c r="R381" s="223" t="s">
        <v>15</v>
      </c>
      <c r="S381" s="223" t="s">
        <v>16</v>
      </c>
      <c r="T381" s="223" t="s">
        <v>328</v>
      </c>
      <c r="U381" s="223" t="s">
        <v>248</v>
      </c>
      <c r="V381" s="223" t="s">
        <v>281</v>
      </c>
      <c r="W381" s="224" t="s">
        <v>281</v>
      </c>
      <c r="X381" s="224" t="s">
        <v>281</v>
      </c>
      <c r="Y381" s="225" t="s">
        <v>281</v>
      </c>
    </row>
    <row r="382" spans="1:25">
      <c r="A382" s="219">
        <v>7</v>
      </c>
      <c r="B382" s="220" t="str">
        <f>VLOOKUP(Tabel10[[#This Row],[Code]],Ruimtegroepen[[Code]:[Ruimte omschrijving]],2,FALSE)</f>
        <v>Entree</v>
      </c>
      <c r="C382" s="221" t="s">
        <v>601</v>
      </c>
      <c r="D382" s="220" t="s">
        <v>0</v>
      </c>
      <c r="E382" s="221" t="s">
        <v>100</v>
      </c>
      <c r="F382" s="221" t="s">
        <v>602</v>
      </c>
      <c r="G382" s="226" t="s">
        <v>281</v>
      </c>
      <c r="H382" s="222" t="s">
        <v>281</v>
      </c>
      <c r="I382" s="222" t="s">
        <v>281</v>
      </c>
      <c r="J382" s="222" t="s">
        <v>16</v>
      </c>
      <c r="K382" s="222" t="s">
        <v>281</v>
      </c>
      <c r="L382" s="222" t="s">
        <v>281</v>
      </c>
      <c r="M382" s="222" t="s">
        <v>281</v>
      </c>
      <c r="N382" s="222" t="s">
        <v>281</v>
      </c>
      <c r="O382" s="223" t="s">
        <v>16</v>
      </c>
      <c r="P382" s="223" t="s">
        <v>16</v>
      </c>
      <c r="Q382" s="223" t="s">
        <v>16</v>
      </c>
      <c r="R382" s="223" t="s">
        <v>16</v>
      </c>
      <c r="S382" s="223" t="s">
        <v>16</v>
      </c>
      <c r="T382" s="223" t="s">
        <v>328</v>
      </c>
      <c r="U382" s="223" t="s">
        <v>248</v>
      </c>
      <c r="V382" s="223" t="s">
        <v>281</v>
      </c>
      <c r="W382" s="224" t="s">
        <v>281</v>
      </c>
      <c r="X382" s="224" t="s">
        <v>281</v>
      </c>
      <c r="Y382" s="225" t="s">
        <v>281</v>
      </c>
    </row>
    <row r="383" spans="1:25">
      <c r="A383" s="219">
        <v>7</v>
      </c>
      <c r="B383" s="220" t="str">
        <f>VLOOKUP(Tabel10[[#This Row],[Code]],Ruimtegroepen[[Code]:[Ruimte omschrijving]],2,FALSE)</f>
        <v>Entree</v>
      </c>
      <c r="C383" s="221" t="s">
        <v>601</v>
      </c>
      <c r="D383" s="220" t="s">
        <v>0</v>
      </c>
      <c r="E383" s="221" t="s">
        <v>99</v>
      </c>
      <c r="F383" s="221" t="s">
        <v>603</v>
      </c>
      <c r="G383" s="226" t="s">
        <v>281</v>
      </c>
      <c r="H383" s="222" t="s">
        <v>16</v>
      </c>
      <c r="I383" s="222" t="s">
        <v>281</v>
      </c>
      <c r="J383" s="222" t="s">
        <v>281</v>
      </c>
      <c r="K383" s="222" t="s">
        <v>281</v>
      </c>
      <c r="L383" s="222" t="s">
        <v>281</v>
      </c>
      <c r="M383" s="222" t="s">
        <v>281</v>
      </c>
      <c r="N383" s="222" t="s">
        <v>281</v>
      </c>
      <c r="O383" s="223" t="s">
        <v>16</v>
      </c>
      <c r="P383" s="223" t="s">
        <v>16</v>
      </c>
      <c r="Q383" s="223" t="s">
        <v>16</v>
      </c>
      <c r="R383" s="223" t="s">
        <v>16</v>
      </c>
      <c r="S383" s="223" t="s">
        <v>16</v>
      </c>
      <c r="T383" s="223" t="s">
        <v>328</v>
      </c>
      <c r="U383" s="223" t="s">
        <v>248</v>
      </c>
      <c r="V383" s="223" t="s">
        <v>281</v>
      </c>
      <c r="W383" s="224" t="s">
        <v>281</v>
      </c>
      <c r="X383" s="224" t="s">
        <v>281</v>
      </c>
      <c r="Y383" s="225" t="s">
        <v>281</v>
      </c>
    </row>
    <row r="384" spans="1:25">
      <c r="A384" s="219">
        <v>7</v>
      </c>
      <c r="B384" s="220" t="str">
        <f>VLOOKUP(Tabel10[[#This Row],[Code]],Ruimtegroepen[[Code]:[Ruimte omschrijving]],2,FALSE)</f>
        <v>Entree</v>
      </c>
      <c r="C384" s="221" t="s">
        <v>601</v>
      </c>
      <c r="D384" s="220" t="s">
        <v>0</v>
      </c>
      <c r="E384" s="221" t="s">
        <v>101</v>
      </c>
      <c r="F384" s="221" t="s">
        <v>604</v>
      </c>
      <c r="G384" s="226" t="s">
        <v>281</v>
      </c>
      <c r="H384" s="222" t="s">
        <v>281</v>
      </c>
      <c r="I384" s="222" t="s">
        <v>16</v>
      </c>
      <c r="J384" s="222" t="s">
        <v>281</v>
      </c>
      <c r="K384" s="222" t="s">
        <v>16</v>
      </c>
      <c r="L384" s="222" t="s">
        <v>281</v>
      </c>
      <c r="M384" s="222" t="s">
        <v>281</v>
      </c>
      <c r="N384" s="222" t="s">
        <v>281</v>
      </c>
      <c r="O384" s="223" t="s">
        <v>16</v>
      </c>
      <c r="P384" s="223" t="s">
        <v>16</v>
      </c>
      <c r="Q384" s="223" t="s">
        <v>16</v>
      </c>
      <c r="R384" s="223" t="s">
        <v>16</v>
      </c>
      <c r="S384" s="223" t="s">
        <v>16</v>
      </c>
      <c r="T384" s="223" t="s">
        <v>328</v>
      </c>
      <c r="U384" s="223" t="s">
        <v>248</v>
      </c>
      <c r="V384" s="223" t="s">
        <v>281</v>
      </c>
      <c r="W384" s="224" t="s">
        <v>281</v>
      </c>
      <c r="X384" s="224" t="s">
        <v>281</v>
      </c>
      <c r="Y384" s="225" t="s">
        <v>281</v>
      </c>
    </row>
    <row r="385" spans="1:25">
      <c r="A385" s="219">
        <v>7</v>
      </c>
      <c r="B385" s="220" t="str">
        <f>VLOOKUP(Tabel10[[#This Row],[Code]],Ruimtegroepen[[Code]:[Ruimte omschrijving]],2,FALSE)</f>
        <v>Entree</v>
      </c>
      <c r="C385" s="221" t="s">
        <v>601</v>
      </c>
      <c r="D385" s="220" t="s">
        <v>0</v>
      </c>
      <c r="E385" s="221" t="s">
        <v>102</v>
      </c>
      <c r="F385" s="221" t="s">
        <v>605</v>
      </c>
      <c r="G385" s="226" t="s">
        <v>281</v>
      </c>
      <c r="H385" s="222" t="s">
        <v>281</v>
      </c>
      <c r="I385" s="222" t="s">
        <v>16</v>
      </c>
      <c r="J385" s="222" t="s">
        <v>281</v>
      </c>
      <c r="K385" s="222" t="s">
        <v>16</v>
      </c>
      <c r="L385" s="222" t="s">
        <v>281</v>
      </c>
      <c r="M385" s="222" t="s">
        <v>281</v>
      </c>
      <c r="N385" s="222" t="s">
        <v>281</v>
      </c>
      <c r="O385" s="223" t="s">
        <v>16</v>
      </c>
      <c r="P385" s="223" t="s">
        <v>16</v>
      </c>
      <c r="Q385" s="223" t="s">
        <v>16</v>
      </c>
      <c r="R385" s="223" t="s">
        <v>16</v>
      </c>
      <c r="S385" s="223" t="s">
        <v>16</v>
      </c>
      <c r="T385" s="223" t="s">
        <v>328</v>
      </c>
      <c r="U385" s="223" t="s">
        <v>248</v>
      </c>
      <c r="V385" s="223" t="s">
        <v>281</v>
      </c>
      <c r="W385" s="224" t="s">
        <v>281</v>
      </c>
      <c r="X385" s="224" t="s">
        <v>281</v>
      </c>
      <c r="Y385" s="225" t="s">
        <v>281</v>
      </c>
    </row>
    <row r="386" spans="1:25">
      <c r="A386" s="219">
        <v>7</v>
      </c>
      <c r="B386" s="220" t="str">
        <f>VLOOKUP(Tabel10[[#This Row],[Code]],Ruimtegroepen[[Code]:[Ruimte omschrijving]],2,FALSE)</f>
        <v>Entree</v>
      </c>
      <c r="C386" s="221" t="s">
        <v>601</v>
      </c>
      <c r="D386" s="220" t="s">
        <v>0</v>
      </c>
      <c r="E386" s="221" t="s">
        <v>99</v>
      </c>
      <c r="F386" s="221" t="s">
        <v>603</v>
      </c>
      <c r="G386" s="226" t="s">
        <v>281</v>
      </c>
      <c r="H386" s="222" t="s">
        <v>16</v>
      </c>
      <c r="I386" s="222" t="s">
        <v>281</v>
      </c>
      <c r="J386" s="222" t="s">
        <v>281</v>
      </c>
      <c r="K386" s="222" t="s">
        <v>281</v>
      </c>
      <c r="L386" s="222" t="s">
        <v>281</v>
      </c>
      <c r="M386" s="222" t="s">
        <v>281</v>
      </c>
      <c r="N386" s="222" t="s">
        <v>281</v>
      </c>
      <c r="O386" s="223" t="s">
        <v>16</v>
      </c>
      <c r="P386" s="223" t="s">
        <v>16</v>
      </c>
      <c r="Q386" s="223" t="s">
        <v>16</v>
      </c>
      <c r="R386" s="223" t="s">
        <v>16</v>
      </c>
      <c r="S386" s="223" t="s">
        <v>16</v>
      </c>
      <c r="T386" s="223" t="s">
        <v>328</v>
      </c>
      <c r="U386" s="223" t="s">
        <v>248</v>
      </c>
      <c r="V386" s="223" t="s">
        <v>281</v>
      </c>
      <c r="W386" s="224" t="s">
        <v>281</v>
      </c>
      <c r="X386" s="224" t="s">
        <v>281</v>
      </c>
      <c r="Y386" s="225" t="s">
        <v>281</v>
      </c>
    </row>
    <row r="387" spans="1:25">
      <c r="A387" s="219">
        <v>7</v>
      </c>
      <c r="B387" s="220" t="str">
        <f>VLOOKUP(Tabel10[[#This Row],[Code]],Ruimtegroepen[[Code]:[Ruimte omschrijving]],2,FALSE)</f>
        <v>Entree</v>
      </c>
      <c r="C387" s="221" t="s">
        <v>601</v>
      </c>
      <c r="D387" s="220" t="s">
        <v>0</v>
      </c>
      <c r="E387" s="221" t="s">
        <v>1309</v>
      </c>
      <c r="F387" s="221" t="s">
        <v>1347</v>
      </c>
      <c r="G387" s="226" t="s">
        <v>281</v>
      </c>
      <c r="H387" s="222" t="s">
        <v>281</v>
      </c>
      <c r="I387" s="222" t="s">
        <v>16</v>
      </c>
      <c r="J387" s="222" t="s">
        <v>281</v>
      </c>
      <c r="K387" s="222" t="s">
        <v>16</v>
      </c>
      <c r="L387" s="222" t="s">
        <v>281</v>
      </c>
      <c r="M387" s="222" t="s">
        <v>281</v>
      </c>
      <c r="N387" s="222" t="s">
        <v>281</v>
      </c>
      <c r="O387" s="223" t="s">
        <v>16</v>
      </c>
      <c r="P387" s="223" t="s">
        <v>16</v>
      </c>
      <c r="Q387" s="223" t="s">
        <v>16</v>
      </c>
      <c r="R387" s="223" t="s">
        <v>16</v>
      </c>
      <c r="S387" s="223" t="s">
        <v>16</v>
      </c>
      <c r="T387" s="223" t="s">
        <v>328</v>
      </c>
      <c r="U387" s="223" t="s">
        <v>248</v>
      </c>
      <c r="V387" s="223" t="s">
        <v>281</v>
      </c>
      <c r="W387" s="224" t="s">
        <v>281</v>
      </c>
      <c r="X387" s="224" t="s">
        <v>281</v>
      </c>
      <c r="Y387" s="225" t="s">
        <v>281</v>
      </c>
    </row>
    <row r="388" spans="1:25">
      <c r="A388" s="219">
        <v>7</v>
      </c>
      <c r="B388" s="220" t="str">
        <f>VLOOKUP(Tabel10[[#This Row],[Code]],Ruimtegroepen[[Code]:[Ruimte omschrijving]],2,FALSE)</f>
        <v>Entree</v>
      </c>
      <c r="C388" s="221" t="s">
        <v>606</v>
      </c>
      <c r="D388" s="220" t="s">
        <v>27</v>
      </c>
      <c r="E388" s="221" t="s">
        <v>100</v>
      </c>
      <c r="F388" s="221" t="s">
        <v>607</v>
      </c>
      <c r="G388" s="226" t="s">
        <v>281</v>
      </c>
      <c r="H388" s="222" t="s">
        <v>281</v>
      </c>
      <c r="I388" s="222" t="s">
        <v>15</v>
      </c>
      <c r="J388" s="222" t="s">
        <v>281</v>
      </c>
      <c r="K388" s="222" t="s">
        <v>281</v>
      </c>
      <c r="L388" s="222" t="s">
        <v>281</v>
      </c>
      <c r="M388" s="222" t="s">
        <v>281</v>
      </c>
      <c r="N388" s="222" t="s">
        <v>281</v>
      </c>
      <c r="O388" s="223" t="s">
        <v>15</v>
      </c>
      <c r="P388" s="223" t="s">
        <v>15</v>
      </c>
      <c r="Q388" s="223" t="s">
        <v>15</v>
      </c>
      <c r="R388" s="223" t="s">
        <v>281</v>
      </c>
      <c r="S388" s="223" t="s">
        <v>281</v>
      </c>
      <c r="T388" s="223" t="s">
        <v>281</v>
      </c>
      <c r="U388" s="223" t="s">
        <v>281</v>
      </c>
      <c r="V388" s="223" t="s">
        <v>281</v>
      </c>
      <c r="W388" s="224" t="s">
        <v>281</v>
      </c>
      <c r="X388" s="224" t="s">
        <v>281</v>
      </c>
      <c r="Y388" s="225" t="s">
        <v>281</v>
      </c>
    </row>
    <row r="389" spans="1:25">
      <c r="A389" s="219">
        <v>7</v>
      </c>
      <c r="B389" s="220" t="str">
        <f>VLOOKUP(Tabel10[[#This Row],[Code]],Ruimtegroepen[[Code]:[Ruimte omschrijving]],2,FALSE)</f>
        <v>Entree</v>
      </c>
      <c r="C389" s="221" t="s">
        <v>606</v>
      </c>
      <c r="D389" s="220" t="s">
        <v>27</v>
      </c>
      <c r="E389" s="221" t="s">
        <v>99</v>
      </c>
      <c r="F389" s="221" t="s">
        <v>608</v>
      </c>
      <c r="G389" s="226" t="s">
        <v>281</v>
      </c>
      <c r="H389" s="222" t="s">
        <v>15</v>
      </c>
      <c r="I389" s="222" t="s">
        <v>281</v>
      </c>
      <c r="J389" s="222" t="s">
        <v>281</v>
      </c>
      <c r="K389" s="222" t="s">
        <v>281</v>
      </c>
      <c r="L389" s="222" t="s">
        <v>281</v>
      </c>
      <c r="M389" s="222" t="s">
        <v>281</v>
      </c>
      <c r="N389" s="222" t="s">
        <v>281</v>
      </c>
      <c r="O389" s="223" t="s">
        <v>15</v>
      </c>
      <c r="P389" s="223" t="s">
        <v>15</v>
      </c>
      <c r="Q389" s="223" t="s">
        <v>15</v>
      </c>
      <c r="R389" s="223" t="s">
        <v>281</v>
      </c>
      <c r="S389" s="223" t="s">
        <v>281</v>
      </c>
      <c r="T389" s="223" t="s">
        <v>281</v>
      </c>
      <c r="U389" s="223" t="s">
        <v>281</v>
      </c>
      <c r="V389" s="223" t="s">
        <v>281</v>
      </c>
      <c r="W389" s="224" t="s">
        <v>281</v>
      </c>
      <c r="X389" s="224" t="s">
        <v>281</v>
      </c>
      <c r="Y389" s="225" t="s">
        <v>281</v>
      </c>
    </row>
    <row r="390" spans="1:25">
      <c r="A390" s="219">
        <v>7</v>
      </c>
      <c r="B390" s="220" t="str">
        <f>VLOOKUP(Tabel10[[#This Row],[Code]],Ruimtegroepen[[Code]:[Ruimte omschrijving]],2,FALSE)</f>
        <v>Entree</v>
      </c>
      <c r="C390" s="221" t="s">
        <v>606</v>
      </c>
      <c r="D390" s="220" t="s">
        <v>27</v>
      </c>
      <c r="E390" s="221" t="s">
        <v>101</v>
      </c>
      <c r="F390" s="221" t="s">
        <v>609</v>
      </c>
      <c r="G390" s="226" t="s">
        <v>281</v>
      </c>
      <c r="H390" s="222" t="s">
        <v>281</v>
      </c>
      <c r="I390" s="222" t="s">
        <v>15</v>
      </c>
      <c r="J390" s="222" t="s">
        <v>281</v>
      </c>
      <c r="K390" s="222" t="s">
        <v>281</v>
      </c>
      <c r="L390" s="222" t="s">
        <v>281</v>
      </c>
      <c r="M390" s="222" t="s">
        <v>281</v>
      </c>
      <c r="N390" s="222" t="s">
        <v>281</v>
      </c>
      <c r="O390" s="223" t="s">
        <v>15</v>
      </c>
      <c r="P390" s="223" t="s">
        <v>15</v>
      </c>
      <c r="Q390" s="223" t="s">
        <v>15</v>
      </c>
      <c r="R390" s="223" t="s">
        <v>281</v>
      </c>
      <c r="S390" s="223" t="s">
        <v>281</v>
      </c>
      <c r="T390" s="223" t="s">
        <v>281</v>
      </c>
      <c r="U390" s="223" t="s">
        <v>281</v>
      </c>
      <c r="V390" s="223" t="s">
        <v>281</v>
      </c>
      <c r="W390" s="224" t="s">
        <v>281</v>
      </c>
      <c r="X390" s="224" t="s">
        <v>281</v>
      </c>
      <c r="Y390" s="225" t="s">
        <v>281</v>
      </c>
    </row>
    <row r="391" spans="1:25">
      <c r="A391" s="219">
        <v>7</v>
      </c>
      <c r="B391" s="220" t="str">
        <f>VLOOKUP(Tabel10[[#This Row],[Code]],Ruimtegroepen[[Code]:[Ruimte omschrijving]],2,FALSE)</f>
        <v>Entree</v>
      </c>
      <c r="C391" s="221" t="s">
        <v>606</v>
      </c>
      <c r="D391" s="220" t="s">
        <v>27</v>
      </c>
      <c r="E391" s="221" t="s">
        <v>102</v>
      </c>
      <c r="F391" s="221" t="s">
        <v>610</v>
      </c>
      <c r="G391" s="226" t="s">
        <v>281</v>
      </c>
      <c r="H391" s="222" t="s">
        <v>281</v>
      </c>
      <c r="I391" s="222" t="s">
        <v>15</v>
      </c>
      <c r="J391" s="222" t="s">
        <v>281</v>
      </c>
      <c r="K391" s="222" t="s">
        <v>281</v>
      </c>
      <c r="L391" s="222" t="s">
        <v>281</v>
      </c>
      <c r="M391" s="222" t="s">
        <v>281</v>
      </c>
      <c r="N391" s="222" t="s">
        <v>281</v>
      </c>
      <c r="O391" s="223" t="s">
        <v>15</v>
      </c>
      <c r="P391" s="223" t="s">
        <v>15</v>
      </c>
      <c r="Q391" s="223" t="s">
        <v>15</v>
      </c>
      <c r="R391" s="223" t="s">
        <v>281</v>
      </c>
      <c r="S391" s="223" t="s">
        <v>281</v>
      </c>
      <c r="T391" s="223" t="s">
        <v>281</v>
      </c>
      <c r="U391" s="223" t="s">
        <v>281</v>
      </c>
      <c r="V391" s="223" t="s">
        <v>281</v>
      </c>
      <c r="W391" s="224" t="s">
        <v>281</v>
      </c>
      <c r="X391" s="224" t="s">
        <v>281</v>
      </c>
      <c r="Y391" s="225" t="s">
        <v>281</v>
      </c>
    </row>
    <row r="392" spans="1:25">
      <c r="A392" s="219">
        <v>7</v>
      </c>
      <c r="B392" s="220" t="str">
        <f>VLOOKUP(Tabel10[[#This Row],[Code]],Ruimtegroepen[[Code]:[Ruimte omschrijving]],2,FALSE)</f>
        <v>Entree</v>
      </c>
      <c r="C392" s="221" t="s">
        <v>606</v>
      </c>
      <c r="D392" s="220" t="s">
        <v>27</v>
      </c>
      <c r="E392" s="221" t="s">
        <v>99</v>
      </c>
      <c r="F392" s="221" t="s">
        <v>608</v>
      </c>
      <c r="G392" s="226" t="s">
        <v>281</v>
      </c>
      <c r="H392" s="222" t="s">
        <v>15</v>
      </c>
      <c r="I392" s="222" t="s">
        <v>281</v>
      </c>
      <c r="J392" s="222" t="s">
        <v>281</v>
      </c>
      <c r="K392" s="222" t="s">
        <v>281</v>
      </c>
      <c r="L392" s="222" t="s">
        <v>281</v>
      </c>
      <c r="M392" s="222" t="s">
        <v>281</v>
      </c>
      <c r="N392" s="222" t="s">
        <v>281</v>
      </c>
      <c r="O392" s="223" t="s">
        <v>15</v>
      </c>
      <c r="P392" s="223" t="s">
        <v>15</v>
      </c>
      <c r="Q392" s="223" t="s">
        <v>15</v>
      </c>
      <c r="R392" s="223" t="s">
        <v>281</v>
      </c>
      <c r="S392" s="223" t="s">
        <v>281</v>
      </c>
      <c r="T392" s="223" t="s">
        <v>281</v>
      </c>
      <c r="U392" s="223" t="s">
        <v>281</v>
      </c>
      <c r="V392" s="223" t="s">
        <v>281</v>
      </c>
      <c r="W392" s="224" t="s">
        <v>281</v>
      </c>
      <c r="X392" s="224" t="s">
        <v>281</v>
      </c>
      <c r="Y392" s="225" t="s">
        <v>281</v>
      </c>
    </row>
    <row r="393" spans="1:25">
      <c r="A393" s="219">
        <v>7</v>
      </c>
      <c r="B393" s="220" t="str">
        <f>VLOOKUP(Tabel10[[#This Row],[Code]],Ruimtegroepen[[Code]:[Ruimte omschrijving]],2,FALSE)</f>
        <v>Entree</v>
      </c>
      <c r="C393" s="221" t="s">
        <v>606</v>
      </c>
      <c r="D393" s="220" t="s">
        <v>27</v>
      </c>
      <c r="E393" s="221" t="s">
        <v>1309</v>
      </c>
      <c r="F393" s="221" t="s">
        <v>1380</v>
      </c>
      <c r="G393" s="226" t="s">
        <v>281</v>
      </c>
      <c r="H393" s="222" t="s">
        <v>281</v>
      </c>
      <c r="I393" s="222" t="s">
        <v>15</v>
      </c>
      <c r="J393" s="222" t="s">
        <v>281</v>
      </c>
      <c r="K393" s="222" t="s">
        <v>281</v>
      </c>
      <c r="L393" s="222" t="s">
        <v>281</v>
      </c>
      <c r="M393" s="222" t="s">
        <v>281</v>
      </c>
      <c r="N393" s="222" t="s">
        <v>281</v>
      </c>
      <c r="O393" s="223" t="s">
        <v>15</v>
      </c>
      <c r="P393" s="223" t="s">
        <v>15</v>
      </c>
      <c r="Q393" s="223" t="s">
        <v>15</v>
      </c>
      <c r="R393" s="223" t="s">
        <v>281</v>
      </c>
      <c r="S393" s="223" t="s">
        <v>281</v>
      </c>
      <c r="T393" s="223" t="s">
        <v>281</v>
      </c>
      <c r="U393" s="223" t="s">
        <v>281</v>
      </c>
      <c r="V393" s="223" t="s">
        <v>281</v>
      </c>
      <c r="W393" s="224" t="s">
        <v>281</v>
      </c>
      <c r="X393" s="224" t="s">
        <v>281</v>
      </c>
      <c r="Y393" s="225" t="s">
        <v>281</v>
      </c>
    </row>
    <row r="394" spans="1:25">
      <c r="A394" s="219">
        <v>7</v>
      </c>
      <c r="B394" s="220" t="str">
        <f>VLOOKUP(Tabel10[[#This Row],[Code]],Ruimtegroepen[[Code]:[Ruimte omschrijving]],2,FALSE)</f>
        <v>Entree</v>
      </c>
      <c r="C394" s="221" t="s">
        <v>611</v>
      </c>
      <c r="D394" s="220" t="s">
        <v>28</v>
      </c>
      <c r="E394" s="221" t="s">
        <v>100</v>
      </c>
      <c r="F394" s="221" t="s">
        <v>612</v>
      </c>
      <c r="G394" s="226" t="s">
        <v>281</v>
      </c>
      <c r="H394" s="222" t="s">
        <v>281</v>
      </c>
      <c r="I394" s="222" t="s">
        <v>17</v>
      </c>
      <c r="J394" s="222" t="s">
        <v>281</v>
      </c>
      <c r="K394" s="222" t="s">
        <v>281</v>
      </c>
      <c r="L394" s="222" t="s">
        <v>281</v>
      </c>
      <c r="M394" s="222" t="s">
        <v>281</v>
      </c>
      <c r="N394" s="222" t="s">
        <v>281</v>
      </c>
      <c r="O394" s="223" t="s">
        <v>17</v>
      </c>
      <c r="P394" s="223" t="s">
        <v>17</v>
      </c>
      <c r="Q394" s="223" t="s">
        <v>15</v>
      </c>
      <c r="R394" s="223" t="s">
        <v>281</v>
      </c>
      <c r="S394" s="223" t="s">
        <v>281</v>
      </c>
      <c r="T394" s="223" t="s">
        <v>281</v>
      </c>
      <c r="U394" s="223" t="s">
        <v>281</v>
      </c>
      <c r="V394" s="223" t="s">
        <v>281</v>
      </c>
      <c r="W394" s="224" t="s">
        <v>281</v>
      </c>
      <c r="X394" s="224" t="s">
        <v>281</v>
      </c>
      <c r="Y394" s="225" t="s">
        <v>281</v>
      </c>
    </row>
    <row r="395" spans="1:25">
      <c r="A395" s="219">
        <v>7</v>
      </c>
      <c r="B395" s="220" t="str">
        <f>VLOOKUP(Tabel10[[#This Row],[Code]],Ruimtegroepen[[Code]:[Ruimte omschrijving]],2,FALSE)</f>
        <v>Entree</v>
      </c>
      <c r="C395" s="221" t="s">
        <v>611</v>
      </c>
      <c r="D395" s="220" t="s">
        <v>28</v>
      </c>
      <c r="E395" s="221" t="s">
        <v>99</v>
      </c>
      <c r="F395" s="221" t="s">
        <v>613</v>
      </c>
      <c r="G395" s="226" t="s">
        <v>281</v>
      </c>
      <c r="H395" s="222" t="s">
        <v>17</v>
      </c>
      <c r="I395" s="222" t="s">
        <v>281</v>
      </c>
      <c r="J395" s="222" t="s">
        <v>281</v>
      </c>
      <c r="K395" s="222" t="s">
        <v>281</v>
      </c>
      <c r="L395" s="222" t="s">
        <v>281</v>
      </c>
      <c r="M395" s="222" t="s">
        <v>281</v>
      </c>
      <c r="N395" s="222" t="s">
        <v>281</v>
      </c>
      <c r="O395" s="223" t="s">
        <v>17</v>
      </c>
      <c r="P395" s="223" t="s">
        <v>17</v>
      </c>
      <c r="Q395" s="223" t="s">
        <v>15</v>
      </c>
      <c r="R395" s="223" t="s">
        <v>281</v>
      </c>
      <c r="S395" s="223" t="s">
        <v>281</v>
      </c>
      <c r="T395" s="223" t="s">
        <v>281</v>
      </c>
      <c r="U395" s="223" t="s">
        <v>281</v>
      </c>
      <c r="V395" s="223" t="s">
        <v>281</v>
      </c>
      <c r="W395" s="224" t="s">
        <v>281</v>
      </c>
      <c r="X395" s="224" t="s">
        <v>281</v>
      </c>
      <c r="Y395" s="225" t="s">
        <v>281</v>
      </c>
    </row>
    <row r="396" spans="1:25">
      <c r="A396" s="219">
        <v>7</v>
      </c>
      <c r="B396" s="220" t="str">
        <f>VLOOKUP(Tabel10[[#This Row],[Code]],Ruimtegroepen[[Code]:[Ruimte omschrijving]],2,FALSE)</f>
        <v>Entree</v>
      </c>
      <c r="C396" s="221" t="s">
        <v>611</v>
      </c>
      <c r="D396" s="220" t="s">
        <v>28</v>
      </c>
      <c r="E396" s="221" t="s">
        <v>101</v>
      </c>
      <c r="F396" s="221" t="s">
        <v>614</v>
      </c>
      <c r="G396" s="226" t="s">
        <v>281</v>
      </c>
      <c r="H396" s="222" t="s">
        <v>281</v>
      </c>
      <c r="I396" s="222" t="s">
        <v>17</v>
      </c>
      <c r="J396" s="222" t="s">
        <v>281</v>
      </c>
      <c r="K396" s="222" t="s">
        <v>281</v>
      </c>
      <c r="L396" s="222" t="s">
        <v>281</v>
      </c>
      <c r="M396" s="222" t="s">
        <v>281</v>
      </c>
      <c r="N396" s="222" t="s">
        <v>281</v>
      </c>
      <c r="O396" s="223" t="s">
        <v>17</v>
      </c>
      <c r="P396" s="223" t="s">
        <v>17</v>
      </c>
      <c r="Q396" s="223" t="s">
        <v>15</v>
      </c>
      <c r="R396" s="223" t="s">
        <v>281</v>
      </c>
      <c r="S396" s="223" t="s">
        <v>281</v>
      </c>
      <c r="T396" s="223" t="s">
        <v>281</v>
      </c>
      <c r="U396" s="223" t="s">
        <v>281</v>
      </c>
      <c r="V396" s="223" t="s">
        <v>281</v>
      </c>
      <c r="W396" s="224" t="s">
        <v>281</v>
      </c>
      <c r="X396" s="224" t="s">
        <v>281</v>
      </c>
      <c r="Y396" s="225" t="s">
        <v>281</v>
      </c>
    </row>
    <row r="397" spans="1:25">
      <c r="A397" s="219">
        <v>7</v>
      </c>
      <c r="B397" s="220" t="str">
        <f>VLOOKUP(Tabel10[[#This Row],[Code]],Ruimtegroepen[[Code]:[Ruimte omschrijving]],2,FALSE)</f>
        <v>Entree</v>
      </c>
      <c r="C397" s="221" t="s">
        <v>611</v>
      </c>
      <c r="D397" s="220" t="s">
        <v>28</v>
      </c>
      <c r="E397" s="221" t="s">
        <v>102</v>
      </c>
      <c r="F397" s="221" t="s">
        <v>615</v>
      </c>
      <c r="G397" s="226" t="s">
        <v>281</v>
      </c>
      <c r="H397" s="222" t="s">
        <v>281</v>
      </c>
      <c r="I397" s="222" t="s">
        <v>17</v>
      </c>
      <c r="J397" s="222" t="s">
        <v>281</v>
      </c>
      <c r="K397" s="222" t="s">
        <v>281</v>
      </c>
      <c r="L397" s="222" t="s">
        <v>281</v>
      </c>
      <c r="M397" s="222" t="s">
        <v>281</v>
      </c>
      <c r="N397" s="222" t="s">
        <v>281</v>
      </c>
      <c r="O397" s="223" t="s">
        <v>17</v>
      </c>
      <c r="P397" s="223" t="s">
        <v>17</v>
      </c>
      <c r="Q397" s="223" t="s">
        <v>15</v>
      </c>
      <c r="R397" s="223" t="s">
        <v>281</v>
      </c>
      <c r="S397" s="223" t="s">
        <v>281</v>
      </c>
      <c r="T397" s="223" t="s">
        <v>281</v>
      </c>
      <c r="U397" s="223" t="s">
        <v>281</v>
      </c>
      <c r="V397" s="223" t="s">
        <v>281</v>
      </c>
      <c r="W397" s="224" t="s">
        <v>281</v>
      </c>
      <c r="X397" s="224" t="s">
        <v>281</v>
      </c>
      <c r="Y397" s="225" t="s">
        <v>281</v>
      </c>
    </row>
    <row r="398" spans="1:25">
      <c r="A398" s="219">
        <v>7</v>
      </c>
      <c r="B398" s="220" t="str">
        <f>VLOOKUP(Tabel10[[#This Row],[Code]],Ruimtegroepen[[Code]:[Ruimte omschrijving]],2,FALSE)</f>
        <v>Entree</v>
      </c>
      <c r="C398" s="221" t="s">
        <v>611</v>
      </c>
      <c r="D398" s="220" t="s">
        <v>28</v>
      </c>
      <c r="E398" s="221" t="s">
        <v>99</v>
      </c>
      <c r="F398" s="221" t="s">
        <v>613</v>
      </c>
      <c r="G398" s="226" t="s">
        <v>281</v>
      </c>
      <c r="H398" s="222" t="s">
        <v>17</v>
      </c>
      <c r="I398" s="222" t="s">
        <v>281</v>
      </c>
      <c r="J398" s="222" t="s">
        <v>281</v>
      </c>
      <c r="K398" s="222" t="s">
        <v>281</v>
      </c>
      <c r="L398" s="222" t="s">
        <v>281</v>
      </c>
      <c r="M398" s="222" t="s">
        <v>281</v>
      </c>
      <c r="N398" s="222" t="s">
        <v>281</v>
      </c>
      <c r="O398" s="223" t="s">
        <v>17</v>
      </c>
      <c r="P398" s="223" t="s">
        <v>17</v>
      </c>
      <c r="Q398" s="223" t="s">
        <v>15</v>
      </c>
      <c r="R398" s="223" t="s">
        <v>281</v>
      </c>
      <c r="S398" s="223" t="s">
        <v>281</v>
      </c>
      <c r="T398" s="223" t="s">
        <v>281</v>
      </c>
      <c r="U398" s="223" t="s">
        <v>281</v>
      </c>
      <c r="V398" s="223" t="s">
        <v>281</v>
      </c>
      <c r="W398" s="224" t="s">
        <v>281</v>
      </c>
      <c r="X398" s="224" t="s">
        <v>281</v>
      </c>
      <c r="Y398" s="225" t="s">
        <v>281</v>
      </c>
    </row>
    <row r="399" spans="1:25">
      <c r="A399" s="219">
        <v>7</v>
      </c>
      <c r="B399" s="220" t="str">
        <f>VLOOKUP(Tabel10[[#This Row],[Code]],Ruimtegroepen[[Code]:[Ruimte omschrijving]],2,FALSE)</f>
        <v>Entree</v>
      </c>
      <c r="C399" s="221" t="s">
        <v>611</v>
      </c>
      <c r="D399" s="220" t="s">
        <v>28</v>
      </c>
      <c r="E399" s="221" t="s">
        <v>1309</v>
      </c>
      <c r="F399" s="221" t="s">
        <v>1413</v>
      </c>
      <c r="G399" s="226" t="s">
        <v>281</v>
      </c>
      <c r="H399" s="222" t="s">
        <v>281</v>
      </c>
      <c r="I399" s="222" t="s">
        <v>17</v>
      </c>
      <c r="J399" s="222" t="s">
        <v>281</v>
      </c>
      <c r="K399" s="222" t="s">
        <v>281</v>
      </c>
      <c r="L399" s="222" t="s">
        <v>281</v>
      </c>
      <c r="M399" s="222" t="s">
        <v>281</v>
      </c>
      <c r="N399" s="222" t="s">
        <v>281</v>
      </c>
      <c r="O399" s="223" t="s">
        <v>17</v>
      </c>
      <c r="P399" s="223" t="s">
        <v>17</v>
      </c>
      <c r="Q399" s="223" t="s">
        <v>15</v>
      </c>
      <c r="R399" s="223" t="s">
        <v>281</v>
      </c>
      <c r="S399" s="223" t="s">
        <v>281</v>
      </c>
      <c r="T399" s="223" t="s">
        <v>281</v>
      </c>
      <c r="U399" s="223" t="s">
        <v>281</v>
      </c>
      <c r="V399" s="223" t="s">
        <v>281</v>
      </c>
      <c r="W399" s="224" t="s">
        <v>281</v>
      </c>
      <c r="X399" s="224" t="s">
        <v>281</v>
      </c>
      <c r="Y399" s="225" t="s">
        <v>281</v>
      </c>
    </row>
    <row r="400" spans="1:25">
      <c r="A400" s="219">
        <v>8</v>
      </c>
      <c r="B400" s="220" t="str">
        <f>VLOOKUP(Tabel10[[#This Row],[Code]],Ruimtegroepen[[Code]:[Ruimte omschrijving]],2,FALSE)</f>
        <v>Kinderopvang</v>
      </c>
      <c r="C400" s="221" t="s">
        <v>616</v>
      </c>
      <c r="D400" s="220" t="s">
        <v>29</v>
      </c>
      <c r="E400" s="221" t="s">
        <v>100</v>
      </c>
      <c r="F400" s="221" t="s">
        <v>617</v>
      </c>
      <c r="G400" s="226" t="s">
        <v>281</v>
      </c>
      <c r="H400" s="222" t="s">
        <v>281</v>
      </c>
      <c r="I400" s="222" t="s">
        <v>20</v>
      </c>
      <c r="J400" s="222" t="s">
        <v>15</v>
      </c>
      <c r="K400" s="222" t="s">
        <v>281</v>
      </c>
      <c r="L400" s="222" t="s">
        <v>281</v>
      </c>
      <c r="M400" s="222" t="s">
        <v>281</v>
      </c>
      <c r="N400" s="222" t="s">
        <v>2</v>
      </c>
      <c r="O400" s="223" t="s">
        <v>2</v>
      </c>
      <c r="P400" s="223" t="s">
        <v>2</v>
      </c>
      <c r="Q400" s="223" t="s">
        <v>15</v>
      </c>
      <c r="R400" s="223" t="s">
        <v>15</v>
      </c>
      <c r="S400" s="223" t="s">
        <v>16</v>
      </c>
      <c r="T400" s="223" t="s">
        <v>328</v>
      </c>
      <c r="U400" s="223" t="s">
        <v>248</v>
      </c>
      <c r="V400" s="223" t="s">
        <v>2</v>
      </c>
      <c r="W400" s="224" t="s">
        <v>281</v>
      </c>
      <c r="X400" s="224" t="s">
        <v>281</v>
      </c>
      <c r="Y400" s="225" t="s">
        <v>281</v>
      </c>
    </row>
    <row r="401" spans="1:25">
      <c r="A401" s="219">
        <v>8</v>
      </c>
      <c r="B401" s="220" t="str">
        <f>VLOOKUP(Tabel10[[#This Row],[Code]],Ruimtegroepen[[Code]:[Ruimte omschrijving]],2,FALSE)</f>
        <v>Kinderopvang</v>
      </c>
      <c r="C401" s="221" t="s">
        <v>616</v>
      </c>
      <c r="D401" s="220" t="s">
        <v>29</v>
      </c>
      <c r="E401" s="221" t="s">
        <v>99</v>
      </c>
      <c r="F401" s="221" t="s">
        <v>618</v>
      </c>
      <c r="G401" s="226" t="s">
        <v>281</v>
      </c>
      <c r="H401" s="222" t="s">
        <v>2</v>
      </c>
      <c r="I401" s="222" t="s">
        <v>281</v>
      </c>
      <c r="J401" s="222" t="s">
        <v>281</v>
      </c>
      <c r="K401" s="222" t="s">
        <v>281</v>
      </c>
      <c r="L401" s="222" t="s">
        <v>281</v>
      </c>
      <c r="M401" s="222" t="s">
        <v>281</v>
      </c>
      <c r="N401" s="222" t="s">
        <v>2</v>
      </c>
      <c r="O401" s="223" t="s">
        <v>2</v>
      </c>
      <c r="P401" s="223" t="s">
        <v>2</v>
      </c>
      <c r="Q401" s="223" t="s">
        <v>15</v>
      </c>
      <c r="R401" s="223" t="s">
        <v>15</v>
      </c>
      <c r="S401" s="223" t="s">
        <v>16</v>
      </c>
      <c r="T401" s="223" t="s">
        <v>328</v>
      </c>
      <c r="U401" s="223" t="s">
        <v>248</v>
      </c>
      <c r="V401" s="223" t="s">
        <v>2</v>
      </c>
      <c r="W401" s="224" t="s">
        <v>281</v>
      </c>
      <c r="X401" s="224" t="s">
        <v>281</v>
      </c>
      <c r="Y401" s="225" t="s">
        <v>281</v>
      </c>
    </row>
    <row r="402" spans="1:25">
      <c r="A402" s="219">
        <v>8</v>
      </c>
      <c r="B402" s="220" t="str">
        <f>VLOOKUP(Tabel10[[#This Row],[Code]],Ruimtegroepen[[Code]:[Ruimte omschrijving]],2,FALSE)</f>
        <v>Kinderopvang</v>
      </c>
      <c r="C402" s="221" t="s">
        <v>616</v>
      </c>
      <c r="D402" s="220" t="s">
        <v>29</v>
      </c>
      <c r="E402" s="221" t="s">
        <v>101</v>
      </c>
      <c r="F402" s="221" t="s">
        <v>619</v>
      </c>
      <c r="G402" s="226" t="s">
        <v>281</v>
      </c>
      <c r="H402" s="222" t="s">
        <v>281</v>
      </c>
      <c r="I402" s="222" t="s">
        <v>20</v>
      </c>
      <c r="J402" s="222" t="s">
        <v>15</v>
      </c>
      <c r="K402" s="222" t="s">
        <v>282</v>
      </c>
      <c r="L402" s="222" t="s">
        <v>281</v>
      </c>
      <c r="M402" s="222" t="s">
        <v>281</v>
      </c>
      <c r="N402" s="222" t="s">
        <v>2</v>
      </c>
      <c r="O402" s="223" t="s">
        <v>2</v>
      </c>
      <c r="P402" s="223" t="s">
        <v>2</v>
      </c>
      <c r="Q402" s="223" t="s">
        <v>15</v>
      </c>
      <c r="R402" s="223" t="s">
        <v>15</v>
      </c>
      <c r="S402" s="223" t="s">
        <v>16</v>
      </c>
      <c r="T402" s="223" t="s">
        <v>328</v>
      </c>
      <c r="U402" s="223" t="s">
        <v>248</v>
      </c>
      <c r="V402" s="223" t="s">
        <v>2</v>
      </c>
      <c r="W402" s="224" t="s">
        <v>281</v>
      </c>
      <c r="X402" s="224" t="s">
        <v>281</v>
      </c>
      <c r="Y402" s="225" t="s">
        <v>281</v>
      </c>
    </row>
    <row r="403" spans="1:25">
      <c r="A403" s="219">
        <v>8</v>
      </c>
      <c r="B403" s="220" t="str">
        <f>VLOOKUP(Tabel10[[#This Row],[Code]],Ruimtegroepen[[Code]:[Ruimte omschrijving]],2,FALSE)</f>
        <v>Kinderopvang</v>
      </c>
      <c r="C403" s="221" t="s">
        <v>616</v>
      </c>
      <c r="D403" s="220" t="s">
        <v>29</v>
      </c>
      <c r="E403" s="221" t="s">
        <v>102</v>
      </c>
      <c r="F403" s="221" t="s">
        <v>620</v>
      </c>
      <c r="G403" s="226" t="s">
        <v>281</v>
      </c>
      <c r="H403" s="222" t="s">
        <v>281</v>
      </c>
      <c r="I403" s="222" t="s">
        <v>20</v>
      </c>
      <c r="J403" s="222" t="s">
        <v>15</v>
      </c>
      <c r="K403" s="222" t="s">
        <v>282</v>
      </c>
      <c r="L403" s="222" t="s">
        <v>281</v>
      </c>
      <c r="M403" s="222" t="s">
        <v>281</v>
      </c>
      <c r="N403" s="222" t="s">
        <v>2</v>
      </c>
      <c r="O403" s="223" t="s">
        <v>2</v>
      </c>
      <c r="P403" s="223" t="s">
        <v>2</v>
      </c>
      <c r="Q403" s="223" t="s">
        <v>15</v>
      </c>
      <c r="R403" s="223" t="s">
        <v>15</v>
      </c>
      <c r="S403" s="223" t="s">
        <v>16</v>
      </c>
      <c r="T403" s="223" t="s">
        <v>328</v>
      </c>
      <c r="U403" s="223" t="s">
        <v>248</v>
      </c>
      <c r="V403" s="223" t="s">
        <v>2</v>
      </c>
      <c r="W403" s="224" t="s">
        <v>281</v>
      </c>
      <c r="X403" s="224" t="s">
        <v>281</v>
      </c>
      <c r="Y403" s="225" t="s">
        <v>281</v>
      </c>
    </row>
    <row r="404" spans="1:25">
      <c r="A404" s="219">
        <v>8</v>
      </c>
      <c r="B404" s="220" t="str">
        <f>VLOOKUP(Tabel10[[#This Row],[Code]],Ruimtegroepen[[Code]:[Ruimte omschrijving]],2,FALSE)</f>
        <v>Kinderopvang</v>
      </c>
      <c r="C404" s="221" t="s">
        <v>616</v>
      </c>
      <c r="D404" s="220" t="s">
        <v>29</v>
      </c>
      <c r="E404" s="221" t="s">
        <v>99</v>
      </c>
      <c r="F404" s="221" t="s">
        <v>618</v>
      </c>
      <c r="G404" s="226" t="s">
        <v>281</v>
      </c>
      <c r="H404" s="222" t="s">
        <v>2</v>
      </c>
      <c r="I404" s="222" t="s">
        <v>281</v>
      </c>
      <c r="J404" s="222" t="s">
        <v>281</v>
      </c>
      <c r="K404" s="222" t="s">
        <v>281</v>
      </c>
      <c r="L404" s="222" t="s">
        <v>281</v>
      </c>
      <c r="M404" s="222" t="s">
        <v>281</v>
      </c>
      <c r="N404" s="222" t="s">
        <v>2</v>
      </c>
      <c r="O404" s="223" t="s">
        <v>2</v>
      </c>
      <c r="P404" s="223" t="s">
        <v>2</v>
      </c>
      <c r="Q404" s="223" t="s">
        <v>15</v>
      </c>
      <c r="R404" s="223" t="s">
        <v>15</v>
      </c>
      <c r="S404" s="223" t="s">
        <v>16</v>
      </c>
      <c r="T404" s="223" t="s">
        <v>328</v>
      </c>
      <c r="U404" s="223" t="s">
        <v>248</v>
      </c>
      <c r="V404" s="223" t="s">
        <v>2</v>
      </c>
      <c r="W404" s="224" t="s">
        <v>281</v>
      </c>
      <c r="X404" s="224" t="s">
        <v>281</v>
      </c>
      <c r="Y404" s="225" t="s">
        <v>281</v>
      </c>
    </row>
    <row r="405" spans="1:25">
      <c r="A405" s="219">
        <v>8</v>
      </c>
      <c r="B405" s="220" t="str">
        <f>VLOOKUP(Tabel10[[#This Row],[Code]],Ruimtegroepen[[Code]:[Ruimte omschrijving]],2,FALSE)</f>
        <v>Kinderopvang</v>
      </c>
      <c r="C405" s="221" t="s">
        <v>616</v>
      </c>
      <c r="D405" s="220" t="s">
        <v>29</v>
      </c>
      <c r="E405" s="221" t="s">
        <v>1309</v>
      </c>
      <c r="F405" s="221" t="s">
        <v>1481</v>
      </c>
      <c r="G405" s="226" t="s">
        <v>281</v>
      </c>
      <c r="H405" s="222" t="s">
        <v>281</v>
      </c>
      <c r="I405" s="222" t="s">
        <v>20</v>
      </c>
      <c r="J405" s="222" t="s">
        <v>15</v>
      </c>
      <c r="K405" s="222" t="s">
        <v>282</v>
      </c>
      <c r="L405" s="222" t="s">
        <v>281</v>
      </c>
      <c r="M405" s="222" t="s">
        <v>281</v>
      </c>
      <c r="N405" s="222" t="s">
        <v>2</v>
      </c>
      <c r="O405" s="223" t="s">
        <v>2</v>
      </c>
      <c r="P405" s="223" t="s">
        <v>2</v>
      </c>
      <c r="Q405" s="223" t="s">
        <v>15</v>
      </c>
      <c r="R405" s="223" t="s">
        <v>15</v>
      </c>
      <c r="S405" s="223" t="s">
        <v>16</v>
      </c>
      <c r="T405" s="223" t="s">
        <v>328</v>
      </c>
      <c r="U405" s="223" t="s">
        <v>248</v>
      </c>
      <c r="V405" s="223" t="s">
        <v>2</v>
      </c>
      <c r="W405" s="224" t="s">
        <v>281</v>
      </c>
      <c r="X405" s="224" t="s">
        <v>281</v>
      </c>
      <c r="Y405" s="225" t="s">
        <v>281</v>
      </c>
    </row>
    <row r="406" spans="1:25">
      <c r="A406" s="219">
        <v>8</v>
      </c>
      <c r="B406" s="220" t="str">
        <f>VLOOKUP(Tabel10[[#This Row],[Code]],Ruimtegroepen[[Code]:[Ruimte omschrijving]],2,FALSE)</f>
        <v>Kinderopvang</v>
      </c>
      <c r="C406" s="221" t="s">
        <v>621</v>
      </c>
      <c r="D406" s="220" t="s">
        <v>1</v>
      </c>
      <c r="E406" s="221" t="s">
        <v>100</v>
      </c>
      <c r="F406" s="221" t="s">
        <v>622</v>
      </c>
      <c r="G406" s="226" t="s">
        <v>281</v>
      </c>
      <c r="H406" s="222" t="s">
        <v>281</v>
      </c>
      <c r="I406" s="222" t="s">
        <v>20</v>
      </c>
      <c r="J406" s="222" t="s">
        <v>15</v>
      </c>
      <c r="K406" s="222" t="s">
        <v>281</v>
      </c>
      <c r="L406" s="222" t="s">
        <v>281</v>
      </c>
      <c r="M406" s="222" t="s">
        <v>281</v>
      </c>
      <c r="N406" s="222" t="s">
        <v>281</v>
      </c>
      <c r="O406" s="223" t="s">
        <v>2</v>
      </c>
      <c r="P406" s="223" t="s">
        <v>2</v>
      </c>
      <c r="Q406" s="223" t="s">
        <v>15</v>
      </c>
      <c r="R406" s="223" t="s">
        <v>15</v>
      </c>
      <c r="S406" s="223" t="s">
        <v>16</v>
      </c>
      <c r="T406" s="223" t="s">
        <v>328</v>
      </c>
      <c r="U406" s="223" t="s">
        <v>248</v>
      </c>
      <c r="V406" s="223" t="s">
        <v>281</v>
      </c>
      <c r="W406" s="224" t="s">
        <v>281</v>
      </c>
      <c r="X406" s="224" t="s">
        <v>281</v>
      </c>
      <c r="Y406" s="225" t="s">
        <v>281</v>
      </c>
    </row>
    <row r="407" spans="1:25">
      <c r="A407" s="219">
        <v>8</v>
      </c>
      <c r="B407" s="220" t="str">
        <f>VLOOKUP(Tabel10[[#This Row],[Code]],Ruimtegroepen[[Code]:[Ruimte omschrijving]],2,FALSE)</f>
        <v>Kinderopvang</v>
      </c>
      <c r="C407" s="221" t="s">
        <v>621</v>
      </c>
      <c r="D407" s="220" t="s">
        <v>1</v>
      </c>
      <c r="E407" s="221" t="s">
        <v>99</v>
      </c>
      <c r="F407" s="221" t="s">
        <v>623</v>
      </c>
      <c r="G407" s="226" t="s">
        <v>281</v>
      </c>
      <c r="H407" s="222" t="s">
        <v>2</v>
      </c>
      <c r="I407" s="222" t="s">
        <v>281</v>
      </c>
      <c r="J407" s="222" t="s">
        <v>281</v>
      </c>
      <c r="K407" s="222" t="s">
        <v>281</v>
      </c>
      <c r="L407" s="222" t="s">
        <v>281</v>
      </c>
      <c r="M407" s="222" t="s">
        <v>281</v>
      </c>
      <c r="N407" s="222" t="s">
        <v>281</v>
      </c>
      <c r="O407" s="223" t="s">
        <v>2</v>
      </c>
      <c r="P407" s="223" t="s">
        <v>2</v>
      </c>
      <c r="Q407" s="223" t="s">
        <v>15</v>
      </c>
      <c r="R407" s="223" t="s">
        <v>15</v>
      </c>
      <c r="S407" s="223" t="s">
        <v>16</v>
      </c>
      <c r="T407" s="223" t="s">
        <v>328</v>
      </c>
      <c r="U407" s="223" t="s">
        <v>248</v>
      </c>
      <c r="V407" s="223" t="s">
        <v>281</v>
      </c>
      <c r="W407" s="224" t="s">
        <v>281</v>
      </c>
      <c r="X407" s="224" t="s">
        <v>281</v>
      </c>
      <c r="Y407" s="225" t="s">
        <v>281</v>
      </c>
    </row>
    <row r="408" spans="1:25">
      <c r="A408" s="219">
        <v>8</v>
      </c>
      <c r="B408" s="220" t="str">
        <f>VLOOKUP(Tabel10[[#This Row],[Code]],Ruimtegroepen[[Code]:[Ruimte omschrijving]],2,FALSE)</f>
        <v>Kinderopvang</v>
      </c>
      <c r="C408" s="221" t="s">
        <v>621</v>
      </c>
      <c r="D408" s="220" t="s">
        <v>1</v>
      </c>
      <c r="E408" s="221" t="s">
        <v>101</v>
      </c>
      <c r="F408" s="221" t="s">
        <v>624</v>
      </c>
      <c r="G408" s="226" t="s">
        <v>281</v>
      </c>
      <c r="H408" s="222" t="s">
        <v>281</v>
      </c>
      <c r="I408" s="222" t="s">
        <v>20</v>
      </c>
      <c r="J408" s="222" t="s">
        <v>15</v>
      </c>
      <c r="K408" s="222" t="s">
        <v>282</v>
      </c>
      <c r="L408" s="222" t="s">
        <v>281</v>
      </c>
      <c r="M408" s="222" t="s">
        <v>281</v>
      </c>
      <c r="N408" s="222" t="s">
        <v>281</v>
      </c>
      <c r="O408" s="223" t="s">
        <v>2</v>
      </c>
      <c r="P408" s="223" t="s">
        <v>2</v>
      </c>
      <c r="Q408" s="223" t="s">
        <v>15</v>
      </c>
      <c r="R408" s="223" t="s">
        <v>15</v>
      </c>
      <c r="S408" s="223" t="s">
        <v>16</v>
      </c>
      <c r="T408" s="223" t="s">
        <v>328</v>
      </c>
      <c r="U408" s="223" t="s">
        <v>248</v>
      </c>
      <c r="V408" s="223" t="s">
        <v>281</v>
      </c>
      <c r="W408" s="224" t="s">
        <v>281</v>
      </c>
      <c r="X408" s="224" t="s">
        <v>281</v>
      </c>
      <c r="Y408" s="225" t="s">
        <v>281</v>
      </c>
    </row>
    <row r="409" spans="1:25">
      <c r="A409" s="219">
        <v>8</v>
      </c>
      <c r="B409" s="220" t="str">
        <f>VLOOKUP(Tabel10[[#This Row],[Code]],Ruimtegroepen[[Code]:[Ruimte omschrijving]],2,FALSE)</f>
        <v>Kinderopvang</v>
      </c>
      <c r="C409" s="221" t="s">
        <v>621</v>
      </c>
      <c r="D409" s="220" t="s">
        <v>1</v>
      </c>
      <c r="E409" s="221" t="s">
        <v>102</v>
      </c>
      <c r="F409" s="221" t="s">
        <v>625</v>
      </c>
      <c r="G409" s="226" t="s">
        <v>281</v>
      </c>
      <c r="H409" s="222" t="s">
        <v>281</v>
      </c>
      <c r="I409" s="222" t="s">
        <v>2</v>
      </c>
      <c r="J409" s="222" t="s">
        <v>281</v>
      </c>
      <c r="K409" s="222" t="s">
        <v>282</v>
      </c>
      <c r="L409" s="222" t="s">
        <v>281</v>
      </c>
      <c r="M409" s="222" t="s">
        <v>281</v>
      </c>
      <c r="N409" s="222" t="s">
        <v>281</v>
      </c>
      <c r="O409" s="223" t="s">
        <v>2</v>
      </c>
      <c r="P409" s="223" t="s">
        <v>2</v>
      </c>
      <c r="Q409" s="223" t="s">
        <v>15</v>
      </c>
      <c r="R409" s="223" t="s">
        <v>15</v>
      </c>
      <c r="S409" s="223" t="s">
        <v>16</v>
      </c>
      <c r="T409" s="223" t="s">
        <v>328</v>
      </c>
      <c r="U409" s="223" t="s">
        <v>248</v>
      </c>
      <c r="V409" s="223" t="s">
        <v>281</v>
      </c>
      <c r="W409" s="224" t="s">
        <v>281</v>
      </c>
      <c r="X409" s="224" t="s">
        <v>281</v>
      </c>
      <c r="Y409" s="225" t="s">
        <v>281</v>
      </c>
    </row>
    <row r="410" spans="1:25">
      <c r="A410" s="219">
        <v>8</v>
      </c>
      <c r="B410" s="220" t="str">
        <f>VLOOKUP(Tabel10[[#This Row],[Code]],Ruimtegroepen[[Code]:[Ruimte omschrijving]],2,FALSE)</f>
        <v>Kinderopvang</v>
      </c>
      <c r="C410" s="221" t="s">
        <v>621</v>
      </c>
      <c r="D410" s="220" t="s">
        <v>1</v>
      </c>
      <c r="E410" s="221" t="s">
        <v>99</v>
      </c>
      <c r="F410" s="221" t="s">
        <v>623</v>
      </c>
      <c r="G410" s="226" t="s">
        <v>281</v>
      </c>
      <c r="H410" s="222" t="s">
        <v>2</v>
      </c>
      <c r="I410" s="222" t="s">
        <v>281</v>
      </c>
      <c r="J410" s="222" t="s">
        <v>281</v>
      </c>
      <c r="K410" s="222" t="s">
        <v>281</v>
      </c>
      <c r="L410" s="222" t="s">
        <v>281</v>
      </c>
      <c r="M410" s="222" t="s">
        <v>281</v>
      </c>
      <c r="N410" s="222" t="s">
        <v>281</v>
      </c>
      <c r="O410" s="223" t="s">
        <v>2</v>
      </c>
      <c r="P410" s="223" t="s">
        <v>2</v>
      </c>
      <c r="Q410" s="223" t="s">
        <v>15</v>
      </c>
      <c r="R410" s="223" t="s">
        <v>15</v>
      </c>
      <c r="S410" s="223" t="s">
        <v>16</v>
      </c>
      <c r="T410" s="223" t="s">
        <v>328</v>
      </c>
      <c r="U410" s="223" t="s">
        <v>248</v>
      </c>
      <c r="V410" s="223" t="s">
        <v>281</v>
      </c>
      <c r="W410" s="224" t="s">
        <v>281</v>
      </c>
      <c r="X410" s="224" t="s">
        <v>281</v>
      </c>
      <c r="Y410" s="225" t="s">
        <v>281</v>
      </c>
    </row>
    <row r="411" spans="1:25">
      <c r="A411" s="219">
        <v>8</v>
      </c>
      <c r="B411" s="220" t="str">
        <f>VLOOKUP(Tabel10[[#This Row],[Code]],Ruimtegroepen[[Code]:[Ruimte omschrijving]],2,FALSE)</f>
        <v>Kinderopvang</v>
      </c>
      <c r="C411" s="221" t="s">
        <v>621</v>
      </c>
      <c r="D411" s="220" t="s">
        <v>1</v>
      </c>
      <c r="E411" s="221" t="s">
        <v>1309</v>
      </c>
      <c r="F411" s="221" t="s">
        <v>1465</v>
      </c>
      <c r="G411" s="226" t="s">
        <v>281</v>
      </c>
      <c r="H411" s="222" t="s">
        <v>281</v>
      </c>
      <c r="I411" s="222" t="s">
        <v>2</v>
      </c>
      <c r="J411" s="222" t="s">
        <v>281</v>
      </c>
      <c r="K411" s="222" t="s">
        <v>282</v>
      </c>
      <c r="L411" s="222" t="s">
        <v>281</v>
      </c>
      <c r="M411" s="222" t="s">
        <v>281</v>
      </c>
      <c r="N411" s="222" t="s">
        <v>281</v>
      </c>
      <c r="O411" s="223" t="s">
        <v>2</v>
      </c>
      <c r="P411" s="223" t="s">
        <v>2</v>
      </c>
      <c r="Q411" s="223" t="s">
        <v>15</v>
      </c>
      <c r="R411" s="223" t="s">
        <v>15</v>
      </c>
      <c r="S411" s="223" t="s">
        <v>16</v>
      </c>
      <c r="T411" s="223" t="s">
        <v>328</v>
      </c>
      <c r="U411" s="223" t="s">
        <v>248</v>
      </c>
      <c r="V411" s="223" t="s">
        <v>281</v>
      </c>
      <c r="W411" s="224" t="s">
        <v>281</v>
      </c>
      <c r="X411" s="224" t="s">
        <v>281</v>
      </c>
      <c r="Y411" s="225" t="s">
        <v>281</v>
      </c>
    </row>
    <row r="412" spans="1:25">
      <c r="A412" s="219">
        <v>8</v>
      </c>
      <c r="B412" s="220" t="str">
        <f>VLOOKUP(Tabel10[[#This Row],[Code]],Ruimtegroepen[[Code]:[Ruimte omschrijving]],2,FALSE)</f>
        <v>Kinderopvang</v>
      </c>
      <c r="C412" s="221" t="s">
        <v>626</v>
      </c>
      <c r="D412" s="220" t="s">
        <v>21</v>
      </c>
      <c r="E412" s="221" t="s">
        <v>100</v>
      </c>
      <c r="F412" s="221" t="s">
        <v>627</v>
      </c>
      <c r="G412" s="226" t="s">
        <v>281</v>
      </c>
      <c r="H412" s="222" t="s">
        <v>281</v>
      </c>
      <c r="I412" s="222" t="s">
        <v>18</v>
      </c>
      <c r="J412" s="222" t="s">
        <v>15</v>
      </c>
      <c r="K412" s="222" t="s">
        <v>281</v>
      </c>
      <c r="L412" s="222" t="s">
        <v>281</v>
      </c>
      <c r="M412" s="222" t="s">
        <v>281</v>
      </c>
      <c r="N412" s="222" t="s">
        <v>281</v>
      </c>
      <c r="O412" s="223" t="s">
        <v>20</v>
      </c>
      <c r="P412" s="223" t="s">
        <v>20</v>
      </c>
      <c r="Q412" s="223" t="s">
        <v>15</v>
      </c>
      <c r="R412" s="223" t="s">
        <v>15</v>
      </c>
      <c r="S412" s="223" t="s">
        <v>16</v>
      </c>
      <c r="T412" s="223" t="s">
        <v>328</v>
      </c>
      <c r="U412" s="223" t="s">
        <v>248</v>
      </c>
      <c r="V412" s="223" t="s">
        <v>281</v>
      </c>
      <c r="W412" s="224" t="s">
        <v>281</v>
      </c>
      <c r="X412" s="224" t="s">
        <v>281</v>
      </c>
      <c r="Y412" s="225" t="s">
        <v>281</v>
      </c>
    </row>
    <row r="413" spans="1:25">
      <c r="A413" s="219">
        <v>8</v>
      </c>
      <c r="B413" s="220" t="str">
        <f>VLOOKUP(Tabel10[[#This Row],[Code]],Ruimtegroepen[[Code]:[Ruimte omschrijving]],2,FALSE)</f>
        <v>Kinderopvang</v>
      </c>
      <c r="C413" s="221" t="s">
        <v>626</v>
      </c>
      <c r="D413" s="220" t="s">
        <v>21</v>
      </c>
      <c r="E413" s="221" t="s">
        <v>99</v>
      </c>
      <c r="F413" s="221" t="s">
        <v>628</v>
      </c>
      <c r="G413" s="226" t="s">
        <v>281</v>
      </c>
      <c r="H413" s="222" t="s">
        <v>20</v>
      </c>
      <c r="I413" s="222" t="s">
        <v>281</v>
      </c>
      <c r="J413" s="222" t="s">
        <v>281</v>
      </c>
      <c r="K413" s="222" t="s">
        <v>281</v>
      </c>
      <c r="L413" s="222" t="s">
        <v>281</v>
      </c>
      <c r="M413" s="222" t="s">
        <v>281</v>
      </c>
      <c r="N413" s="222" t="s">
        <v>281</v>
      </c>
      <c r="O413" s="223" t="s">
        <v>20</v>
      </c>
      <c r="P413" s="223" t="s">
        <v>20</v>
      </c>
      <c r="Q413" s="223" t="s">
        <v>15</v>
      </c>
      <c r="R413" s="223" t="s">
        <v>15</v>
      </c>
      <c r="S413" s="223" t="s">
        <v>16</v>
      </c>
      <c r="T413" s="223" t="s">
        <v>328</v>
      </c>
      <c r="U413" s="223" t="s">
        <v>248</v>
      </c>
      <c r="V413" s="223" t="s">
        <v>281</v>
      </c>
      <c r="W413" s="224" t="s">
        <v>281</v>
      </c>
      <c r="X413" s="224" t="s">
        <v>281</v>
      </c>
      <c r="Y413" s="225" t="s">
        <v>281</v>
      </c>
    </row>
    <row r="414" spans="1:25">
      <c r="A414" s="219">
        <v>8</v>
      </c>
      <c r="B414" s="220" t="str">
        <f>VLOOKUP(Tabel10[[#This Row],[Code]],Ruimtegroepen[[Code]:[Ruimte omschrijving]],2,FALSE)</f>
        <v>Kinderopvang</v>
      </c>
      <c r="C414" s="221" t="s">
        <v>626</v>
      </c>
      <c r="D414" s="220" t="s">
        <v>21</v>
      </c>
      <c r="E414" s="221" t="s">
        <v>101</v>
      </c>
      <c r="F414" s="221" t="s">
        <v>629</v>
      </c>
      <c r="G414" s="226" t="s">
        <v>281</v>
      </c>
      <c r="H414" s="222" t="s">
        <v>281</v>
      </c>
      <c r="I414" s="222" t="s">
        <v>18</v>
      </c>
      <c r="J414" s="222" t="s">
        <v>15</v>
      </c>
      <c r="K414" s="222" t="s">
        <v>282</v>
      </c>
      <c r="L414" s="222" t="s">
        <v>281</v>
      </c>
      <c r="M414" s="222" t="s">
        <v>281</v>
      </c>
      <c r="N414" s="222" t="s">
        <v>281</v>
      </c>
      <c r="O414" s="223" t="s">
        <v>20</v>
      </c>
      <c r="P414" s="223" t="s">
        <v>20</v>
      </c>
      <c r="Q414" s="223" t="s">
        <v>15</v>
      </c>
      <c r="R414" s="223" t="s">
        <v>15</v>
      </c>
      <c r="S414" s="223" t="s">
        <v>16</v>
      </c>
      <c r="T414" s="223" t="s">
        <v>328</v>
      </c>
      <c r="U414" s="223" t="s">
        <v>248</v>
      </c>
      <c r="V414" s="223" t="s">
        <v>281</v>
      </c>
      <c r="W414" s="224" t="s">
        <v>281</v>
      </c>
      <c r="X414" s="224" t="s">
        <v>281</v>
      </c>
      <c r="Y414" s="225" t="s">
        <v>281</v>
      </c>
    </row>
    <row r="415" spans="1:25">
      <c r="A415" s="219">
        <v>8</v>
      </c>
      <c r="B415" s="220" t="str">
        <f>VLOOKUP(Tabel10[[#This Row],[Code]],Ruimtegroepen[[Code]:[Ruimte omschrijving]],2,FALSE)</f>
        <v>Kinderopvang</v>
      </c>
      <c r="C415" s="221" t="s">
        <v>626</v>
      </c>
      <c r="D415" s="220" t="s">
        <v>21</v>
      </c>
      <c r="E415" s="221" t="s">
        <v>102</v>
      </c>
      <c r="F415" s="221" t="s">
        <v>630</v>
      </c>
      <c r="G415" s="226" t="s">
        <v>281</v>
      </c>
      <c r="H415" s="222" t="s">
        <v>281</v>
      </c>
      <c r="I415" s="222" t="s">
        <v>18</v>
      </c>
      <c r="J415" s="222" t="s">
        <v>15</v>
      </c>
      <c r="K415" s="222" t="s">
        <v>282</v>
      </c>
      <c r="L415" s="222" t="s">
        <v>281</v>
      </c>
      <c r="M415" s="222" t="s">
        <v>281</v>
      </c>
      <c r="N415" s="222" t="s">
        <v>281</v>
      </c>
      <c r="O415" s="223" t="s">
        <v>20</v>
      </c>
      <c r="P415" s="223" t="s">
        <v>20</v>
      </c>
      <c r="Q415" s="223" t="s">
        <v>15</v>
      </c>
      <c r="R415" s="223" t="s">
        <v>15</v>
      </c>
      <c r="S415" s="223" t="s">
        <v>16</v>
      </c>
      <c r="T415" s="223" t="s">
        <v>328</v>
      </c>
      <c r="U415" s="223" t="s">
        <v>248</v>
      </c>
      <c r="V415" s="223" t="s">
        <v>281</v>
      </c>
      <c r="W415" s="224" t="s">
        <v>281</v>
      </c>
      <c r="X415" s="224" t="s">
        <v>281</v>
      </c>
      <c r="Y415" s="225" t="s">
        <v>281</v>
      </c>
    </row>
    <row r="416" spans="1:25">
      <c r="A416" s="219">
        <v>8</v>
      </c>
      <c r="B416" s="220" t="str">
        <f>VLOOKUP(Tabel10[[#This Row],[Code]],Ruimtegroepen[[Code]:[Ruimte omschrijving]],2,FALSE)</f>
        <v>Kinderopvang</v>
      </c>
      <c r="C416" s="221" t="s">
        <v>626</v>
      </c>
      <c r="D416" s="220" t="s">
        <v>21</v>
      </c>
      <c r="E416" s="221" t="s">
        <v>99</v>
      </c>
      <c r="F416" s="221" t="s">
        <v>628</v>
      </c>
      <c r="G416" s="226" t="s">
        <v>281</v>
      </c>
      <c r="H416" s="222" t="s">
        <v>20</v>
      </c>
      <c r="I416" s="222" t="s">
        <v>281</v>
      </c>
      <c r="J416" s="222" t="s">
        <v>281</v>
      </c>
      <c r="K416" s="222" t="s">
        <v>281</v>
      </c>
      <c r="L416" s="222" t="s">
        <v>281</v>
      </c>
      <c r="M416" s="222" t="s">
        <v>281</v>
      </c>
      <c r="N416" s="222" t="s">
        <v>281</v>
      </c>
      <c r="O416" s="223" t="s">
        <v>20</v>
      </c>
      <c r="P416" s="223" t="s">
        <v>20</v>
      </c>
      <c r="Q416" s="223" t="s">
        <v>15</v>
      </c>
      <c r="R416" s="223" t="s">
        <v>15</v>
      </c>
      <c r="S416" s="223" t="s">
        <v>16</v>
      </c>
      <c r="T416" s="223" t="s">
        <v>328</v>
      </c>
      <c r="U416" s="223" t="s">
        <v>248</v>
      </c>
      <c r="V416" s="223" t="s">
        <v>281</v>
      </c>
      <c r="W416" s="224" t="s">
        <v>281</v>
      </c>
      <c r="X416" s="224" t="s">
        <v>281</v>
      </c>
      <c r="Y416" s="225" t="s">
        <v>281</v>
      </c>
    </row>
    <row r="417" spans="1:25">
      <c r="A417" s="219">
        <v>8</v>
      </c>
      <c r="B417" s="220" t="str">
        <f>VLOOKUP(Tabel10[[#This Row],[Code]],Ruimtegroepen[[Code]:[Ruimte omschrijving]],2,FALSE)</f>
        <v>Kinderopvang</v>
      </c>
      <c r="C417" s="221" t="s">
        <v>626</v>
      </c>
      <c r="D417" s="220" t="s">
        <v>21</v>
      </c>
      <c r="E417" s="221" t="s">
        <v>1309</v>
      </c>
      <c r="F417" s="221" t="s">
        <v>1448</v>
      </c>
      <c r="G417" s="226" t="s">
        <v>281</v>
      </c>
      <c r="H417" s="222" t="s">
        <v>281</v>
      </c>
      <c r="I417" s="222" t="s">
        <v>18</v>
      </c>
      <c r="J417" s="222" t="s">
        <v>15</v>
      </c>
      <c r="K417" s="222" t="s">
        <v>282</v>
      </c>
      <c r="L417" s="222" t="s">
        <v>281</v>
      </c>
      <c r="M417" s="222" t="s">
        <v>281</v>
      </c>
      <c r="N417" s="222" t="s">
        <v>281</v>
      </c>
      <c r="O417" s="223" t="s">
        <v>20</v>
      </c>
      <c r="P417" s="223" t="s">
        <v>20</v>
      </c>
      <c r="Q417" s="223" t="s">
        <v>15</v>
      </c>
      <c r="R417" s="223" t="s">
        <v>15</v>
      </c>
      <c r="S417" s="223" t="s">
        <v>16</v>
      </c>
      <c r="T417" s="223" t="s">
        <v>328</v>
      </c>
      <c r="U417" s="223" t="s">
        <v>248</v>
      </c>
      <c r="V417" s="223" t="s">
        <v>281</v>
      </c>
      <c r="W417" s="224" t="s">
        <v>281</v>
      </c>
      <c r="X417" s="224" t="s">
        <v>281</v>
      </c>
      <c r="Y417" s="225" t="s">
        <v>281</v>
      </c>
    </row>
    <row r="418" spans="1:25">
      <c r="A418" s="219">
        <v>8</v>
      </c>
      <c r="B418" s="220" t="str">
        <f>VLOOKUP(Tabel10[[#This Row],[Code]],Ruimtegroepen[[Code]:[Ruimte omschrijving]],2,FALSE)</f>
        <v>Kinderopvang</v>
      </c>
      <c r="C418" s="221" t="s">
        <v>631</v>
      </c>
      <c r="D418" s="220" t="s">
        <v>12</v>
      </c>
      <c r="E418" s="221" t="s">
        <v>100</v>
      </c>
      <c r="F418" s="221" t="s">
        <v>632</v>
      </c>
      <c r="G418" s="226" t="s">
        <v>281</v>
      </c>
      <c r="H418" s="222" t="s">
        <v>281</v>
      </c>
      <c r="I418" s="222" t="s">
        <v>17</v>
      </c>
      <c r="J418" s="222" t="s">
        <v>15</v>
      </c>
      <c r="K418" s="222" t="s">
        <v>281</v>
      </c>
      <c r="L418" s="222" t="s">
        <v>281</v>
      </c>
      <c r="M418" s="222" t="s">
        <v>281</v>
      </c>
      <c r="N418" s="222" t="s">
        <v>281</v>
      </c>
      <c r="O418" s="223" t="s">
        <v>18</v>
      </c>
      <c r="P418" s="223" t="s">
        <v>18</v>
      </c>
      <c r="Q418" s="223" t="s">
        <v>15</v>
      </c>
      <c r="R418" s="223" t="s">
        <v>15</v>
      </c>
      <c r="S418" s="223" t="s">
        <v>16</v>
      </c>
      <c r="T418" s="223" t="s">
        <v>328</v>
      </c>
      <c r="U418" s="223" t="s">
        <v>248</v>
      </c>
      <c r="V418" s="223" t="s">
        <v>281</v>
      </c>
      <c r="W418" s="224" t="s">
        <v>281</v>
      </c>
      <c r="X418" s="224" t="s">
        <v>281</v>
      </c>
      <c r="Y418" s="225" t="s">
        <v>281</v>
      </c>
    </row>
    <row r="419" spans="1:25">
      <c r="A419" s="219">
        <v>8</v>
      </c>
      <c r="B419" s="220" t="str">
        <f>VLOOKUP(Tabel10[[#This Row],[Code]],Ruimtegroepen[[Code]:[Ruimte omschrijving]],2,FALSE)</f>
        <v>Kinderopvang</v>
      </c>
      <c r="C419" s="221" t="s">
        <v>631</v>
      </c>
      <c r="D419" s="220" t="s">
        <v>12</v>
      </c>
      <c r="E419" s="221" t="s">
        <v>99</v>
      </c>
      <c r="F419" s="221" t="s">
        <v>633</v>
      </c>
      <c r="G419" s="226" t="s">
        <v>281</v>
      </c>
      <c r="H419" s="222" t="s">
        <v>18</v>
      </c>
      <c r="I419" s="222" t="s">
        <v>281</v>
      </c>
      <c r="J419" s="222" t="s">
        <v>281</v>
      </c>
      <c r="K419" s="222" t="s">
        <v>281</v>
      </c>
      <c r="L419" s="222" t="s">
        <v>281</v>
      </c>
      <c r="M419" s="222" t="s">
        <v>281</v>
      </c>
      <c r="N419" s="222" t="s">
        <v>281</v>
      </c>
      <c r="O419" s="223" t="s">
        <v>18</v>
      </c>
      <c r="P419" s="223" t="s">
        <v>18</v>
      </c>
      <c r="Q419" s="223" t="s">
        <v>15</v>
      </c>
      <c r="R419" s="223" t="s">
        <v>15</v>
      </c>
      <c r="S419" s="223" t="s">
        <v>16</v>
      </c>
      <c r="T419" s="223" t="s">
        <v>328</v>
      </c>
      <c r="U419" s="223" t="s">
        <v>248</v>
      </c>
      <c r="V419" s="223" t="s">
        <v>281</v>
      </c>
      <c r="W419" s="224" t="s">
        <v>281</v>
      </c>
      <c r="X419" s="224" t="s">
        <v>281</v>
      </c>
      <c r="Y419" s="225" t="s">
        <v>281</v>
      </c>
    </row>
    <row r="420" spans="1:25">
      <c r="A420" s="219">
        <v>8</v>
      </c>
      <c r="B420" s="220" t="str">
        <f>VLOOKUP(Tabel10[[#This Row],[Code]],Ruimtegroepen[[Code]:[Ruimte omschrijving]],2,FALSE)</f>
        <v>Kinderopvang</v>
      </c>
      <c r="C420" s="221" t="s">
        <v>631</v>
      </c>
      <c r="D420" s="220" t="s">
        <v>12</v>
      </c>
      <c r="E420" s="221" t="s">
        <v>101</v>
      </c>
      <c r="F420" s="221" t="s">
        <v>634</v>
      </c>
      <c r="G420" s="226" t="s">
        <v>281</v>
      </c>
      <c r="H420" s="222" t="s">
        <v>281</v>
      </c>
      <c r="I420" s="222" t="s">
        <v>17</v>
      </c>
      <c r="J420" s="222" t="s">
        <v>15</v>
      </c>
      <c r="K420" s="222" t="s">
        <v>282</v>
      </c>
      <c r="L420" s="222" t="s">
        <v>281</v>
      </c>
      <c r="M420" s="222" t="s">
        <v>281</v>
      </c>
      <c r="N420" s="222" t="s">
        <v>281</v>
      </c>
      <c r="O420" s="223" t="s">
        <v>18</v>
      </c>
      <c r="P420" s="223" t="s">
        <v>18</v>
      </c>
      <c r="Q420" s="223" t="s">
        <v>15</v>
      </c>
      <c r="R420" s="223" t="s">
        <v>15</v>
      </c>
      <c r="S420" s="223" t="s">
        <v>16</v>
      </c>
      <c r="T420" s="223" t="s">
        <v>328</v>
      </c>
      <c r="U420" s="223" t="s">
        <v>248</v>
      </c>
      <c r="V420" s="223" t="s">
        <v>281</v>
      </c>
      <c r="W420" s="224" t="s">
        <v>281</v>
      </c>
      <c r="X420" s="224" t="s">
        <v>281</v>
      </c>
      <c r="Y420" s="225" t="s">
        <v>281</v>
      </c>
    </row>
    <row r="421" spans="1:25">
      <c r="A421" s="219">
        <v>8</v>
      </c>
      <c r="B421" s="220" t="str">
        <f>VLOOKUP(Tabel10[[#This Row],[Code]],Ruimtegroepen[[Code]:[Ruimte omschrijving]],2,FALSE)</f>
        <v>Kinderopvang</v>
      </c>
      <c r="C421" s="221" t="s">
        <v>631</v>
      </c>
      <c r="D421" s="220" t="s">
        <v>12</v>
      </c>
      <c r="E421" s="221" t="s">
        <v>102</v>
      </c>
      <c r="F421" s="221" t="s">
        <v>635</v>
      </c>
      <c r="G421" s="226" t="s">
        <v>281</v>
      </c>
      <c r="H421" s="222" t="s">
        <v>281</v>
      </c>
      <c r="I421" s="222" t="s">
        <v>17</v>
      </c>
      <c r="J421" s="222" t="s">
        <v>15</v>
      </c>
      <c r="K421" s="222" t="s">
        <v>282</v>
      </c>
      <c r="L421" s="222" t="s">
        <v>281</v>
      </c>
      <c r="M421" s="222" t="s">
        <v>281</v>
      </c>
      <c r="N421" s="222" t="s">
        <v>281</v>
      </c>
      <c r="O421" s="223" t="s">
        <v>18</v>
      </c>
      <c r="P421" s="223" t="s">
        <v>18</v>
      </c>
      <c r="Q421" s="223" t="s">
        <v>15</v>
      </c>
      <c r="R421" s="223" t="s">
        <v>15</v>
      </c>
      <c r="S421" s="223" t="s">
        <v>16</v>
      </c>
      <c r="T421" s="223" t="s">
        <v>328</v>
      </c>
      <c r="U421" s="223" t="s">
        <v>248</v>
      </c>
      <c r="V421" s="223" t="s">
        <v>281</v>
      </c>
      <c r="W421" s="224" t="s">
        <v>281</v>
      </c>
      <c r="X421" s="224" t="s">
        <v>281</v>
      </c>
      <c r="Y421" s="225" t="s">
        <v>281</v>
      </c>
    </row>
    <row r="422" spans="1:25">
      <c r="A422" s="219">
        <v>8</v>
      </c>
      <c r="B422" s="220" t="str">
        <f>VLOOKUP(Tabel10[[#This Row],[Code]],Ruimtegroepen[[Code]:[Ruimte omschrijving]],2,FALSE)</f>
        <v>Kinderopvang</v>
      </c>
      <c r="C422" s="221" t="s">
        <v>631</v>
      </c>
      <c r="D422" s="220" t="s">
        <v>12</v>
      </c>
      <c r="E422" s="221" t="s">
        <v>99</v>
      </c>
      <c r="F422" s="221" t="s">
        <v>633</v>
      </c>
      <c r="G422" s="226" t="s">
        <v>281</v>
      </c>
      <c r="H422" s="222" t="s">
        <v>18</v>
      </c>
      <c r="I422" s="222" t="s">
        <v>281</v>
      </c>
      <c r="J422" s="222" t="s">
        <v>281</v>
      </c>
      <c r="K422" s="222" t="s">
        <v>281</v>
      </c>
      <c r="L422" s="222" t="s">
        <v>281</v>
      </c>
      <c r="M422" s="222" t="s">
        <v>281</v>
      </c>
      <c r="N422" s="222" t="s">
        <v>281</v>
      </c>
      <c r="O422" s="223" t="s">
        <v>18</v>
      </c>
      <c r="P422" s="223" t="s">
        <v>18</v>
      </c>
      <c r="Q422" s="223" t="s">
        <v>15</v>
      </c>
      <c r="R422" s="223" t="s">
        <v>15</v>
      </c>
      <c r="S422" s="223" t="s">
        <v>16</v>
      </c>
      <c r="T422" s="223" t="s">
        <v>328</v>
      </c>
      <c r="U422" s="223" t="s">
        <v>248</v>
      </c>
      <c r="V422" s="223" t="s">
        <v>281</v>
      </c>
      <c r="W422" s="224" t="s">
        <v>281</v>
      </c>
      <c r="X422" s="224" t="s">
        <v>281</v>
      </c>
      <c r="Y422" s="225" t="s">
        <v>281</v>
      </c>
    </row>
    <row r="423" spans="1:25">
      <c r="A423" s="219">
        <v>8</v>
      </c>
      <c r="B423" s="220" t="str">
        <f>VLOOKUP(Tabel10[[#This Row],[Code]],Ruimtegroepen[[Code]:[Ruimte omschrijving]],2,FALSE)</f>
        <v>Kinderopvang</v>
      </c>
      <c r="C423" s="221" t="s">
        <v>631</v>
      </c>
      <c r="D423" s="220" t="s">
        <v>12</v>
      </c>
      <c r="E423" s="221" t="s">
        <v>1309</v>
      </c>
      <c r="F423" s="221" t="s">
        <v>1430</v>
      </c>
      <c r="G423" s="226" t="s">
        <v>281</v>
      </c>
      <c r="H423" s="222" t="s">
        <v>281</v>
      </c>
      <c r="I423" s="222" t="s">
        <v>17</v>
      </c>
      <c r="J423" s="222" t="s">
        <v>15</v>
      </c>
      <c r="K423" s="222" t="s">
        <v>282</v>
      </c>
      <c r="L423" s="222" t="s">
        <v>281</v>
      </c>
      <c r="M423" s="222" t="s">
        <v>281</v>
      </c>
      <c r="N423" s="222" t="s">
        <v>281</v>
      </c>
      <c r="O423" s="223" t="s">
        <v>18</v>
      </c>
      <c r="P423" s="223" t="s">
        <v>18</v>
      </c>
      <c r="Q423" s="223" t="s">
        <v>15</v>
      </c>
      <c r="R423" s="223" t="s">
        <v>15</v>
      </c>
      <c r="S423" s="223" t="s">
        <v>16</v>
      </c>
      <c r="T423" s="223" t="s">
        <v>328</v>
      </c>
      <c r="U423" s="223" t="s">
        <v>248</v>
      </c>
      <c r="V423" s="223" t="s">
        <v>281</v>
      </c>
      <c r="W423" s="224" t="s">
        <v>281</v>
      </c>
      <c r="X423" s="224" t="s">
        <v>281</v>
      </c>
      <c r="Y423" s="225" t="s">
        <v>281</v>
      </c>
    </row>
    <row r="424" spans="1:25">
      <c r="A424" s="219">
        <v>8</v>
      </c>
      <c r="B424" s="220" t="str">
        <f>VLOOKUP(Tabel10[[#This Row],[Code]],Ruimtegroepen[[Code]:[Ruimte omschrijving]],2,FALSE)</f>
        <v>Kinderopvang</v>
      </c>
      <c r="C424" s="221" t="s">
        <v>636</v>
      </c>
      <c r="D424" s="220" t="s">
        <v>14</v>
      </c>
      <c r="E424" s="221" t="s">
        <v>100</v>
      </c>
      <c r="F424" s="221" t="s">
        <v>637</v>
      </c>
      <c r="G424" s="226" t="s">
        <v>281</v>
      </c>
      <c r="H424" s="222" t="s">
        <v>281</v>
      </c>
      <c r="I424" s="222" t="s">
        <v>15</v>
      </c>
      <c r="J424" s="222" t="s">
        <v>15</v>
      </c>
      <c r="K424" s="222" t="s">
        <v>281</v>
      </c>
      <c r="L424" s="222" t="s">
        <v>281</v>
      </c>
      <c r="M424" s="222" t="s">
        <v>281</v>
      </c>
      <c r="N424" s="222" t="s">
        <v>281</v>
      </c>
      <c r="O424" s="223" t="s">
        <v>17</v>
      </c>
      <c r="P424" s="223" t="s">
        <v>17</v>
      </c>
      <c r="Q424" s="223" t="s">
        <v>15</v>
      </c>
      <c r="R424" s="223" t="s">
        <v>15</v>
      </c>
      <c r="S424" s="223" t="s">
        <v>16</v>
      </c>
      <c r="T424" s="223" t="s">
        <v>328</v>
      </c>
      <c r="U424" s="223" t="s">
        <v>248</v>
      </c>
      <c r="V424" s="223" t="s">
        <v>281</v>
      </c>
      <c r="W424" s="224" t="s">
        <v>281</v>
      </c>
      <c r="X424" s="224" t="s">
        <v>281</v>
      </c>
      <c r="Y424" s="225" t="s">
        <v>281</v>
      </c>
    </row>
    <row r="425" spans="1:25">
      <c r="A425" s="219">
        <v>8</v>
      </c>
      <c r="B425" s="220" t="str">
        <f>VLOOKUP(Tabel10[[#This Row],[Code]],Ruimtegroepen[[Code]:[Ruimte omschrijving]],2,FALSE)</f>
        <v>Kinderopvang</v>
      </c>
      <c r="C425" s="221" t="s">
        <v>636</v>
      </c>
      <c r="D425" s="220" t="s">
        <v>14</v>
      </c>
      <c r="E425" s="221" t="s">
        <v>99</v>
      </c>
      <c r="F425" s="221" t="s">
        <v>638</v>
      </c>
      <c r="G425" s="226" t="s">
        <v>281</v>
      </c>
      <c r="H425" s="222" t="s">
        <v>17</v>
      </c>
      <c r="I425" s="222" t="s">
        <v>281</v>
      </c>
      <c r="J425" s="222" t="s">
        <v>281</v>
      </c>
      <c r="K425" s="222" t="s">
        <v>281</v>
      </c>
      <c r="L425" s="222" t="s">
        <v>281</v>
      </c>
      <c r="M425" s="222" t="s">
        <v>281</v>
      </c>
      <c r="N425" s="222" t="s">
        <v>281</v>
      </c>
      <c r="O425" s="223" t="s">
        <v>17</v>
      </c>
      <c r="P425" s="223" t="s">
        <v>17</v>
      </c>
      <c r="Q425" s="223" t="s">
        <v>15</v>
      </c>
      <c r="R425" s="223" t="s">
        <v>15</v>
      </c>
      <c r="S425" s="223" t="s">
        <v>16</v>
      </c>
      <c r="T425" s="223" t="s">
        <v>328</v>
      </c>
      <c r="U425" s="223" t="s">
        <v>248</v>
      </c>
      <c r="V425" s="223" t="s">
        <v>281</v>
      </c>
      <c r="W425" s="224" t="s">
        <v>281</v>
      </c>
      <c r="X425" s="224" t="s">
        <v>281</v>
      </c>
      <c r="Y425" s="225" t="s">
        <v>281</v>
      </c>
    </row>
    <row r="426" spans="1:25">
      <c r="A426" s="219">
        <v>8</v>
      </c>
      <c r="B426" s="220" t="str">
        <f>VLOOKUP(Tabel10[[#This Row],[Code]],Ruimtegroepen[[Code]:[Ruimte omschrijving]],2,FALSE)</f>
        <v>Kinderopvang</v>
      </c>
      <c r="C426" s="221" t="s">
        <v>636</v>
      </c>
      <c r="D426" s="220" t="s">
        <v>14</v>
      </c>
      <c r="E426" s="221" t="s">
        <v>101</v>
      </c>
      <c r="F426" s="221" t="s">
        <v>639</v>
      </c>
      <c r="G426" s="226" t="s">
        <v>281</v>
      </c>
      <c r="H426" s="222" t="s">
        <v>281</v>
      </c>
      <c r="I426" s="222" t="s">
        <v>15</v>
      </c>
      <c r="J426" s="222" t="s">
        <v>15</v>
      </c>
      <c r="K426" s="222" t="s">
        <v>282</v>
      </c>
      <c r="L426" s="222" t="s">
        <v>281</v>
      </c>
      <c r="M426" s="222" t="s">
        <v>281</v>
      </c>
      <c r="N426" s="222" t="s">
        <v>281</v>
      </c>
      <c r="O426" s="223" t="s">
        <v>17</v>
      </c>
      <c r="P426" s="223" t="s">
        <v>17</v>
      </c>
      <c r="Q426" s="223" t="s">
        <v>15</v>
      </c>
      <c r="R426" s="223" t="s">
        <v>15</v>
      </c>
      <c r="S426" s="223" t="s">
        <v>16</v>
      </c>
      <c r="T426" s="223" t="s">
        <v>328</v>
      </c>
      <c r="U426" s="223" t="s">
        <v>248</v>
      </c>
      <c r="V426" s="223" t="s">
        <v>281</v>
      </c>
      <c r="W426" s="224" t="s">
        <v>281</v>
      </c>
      <c r="X426" s="224" t="s">
        <v>281</v>
      </c>
      <c r="Y426" s="225" t="s">
        <v>281</v>
      </c>
    </row>
    <row r="427" spans="1:25">
      <c r="A427" s="219">
        <v>8</v>
      </c>
      <c r="B427" s="220" t="str">
        <f>VLOOKUP(Tabel10[[#This Row],[Code]],Ruimtegroepen[[Code]:[Ruimte omschrijving]],2,FALSE)</f>
        <v>Kinderopvang</v>
      </c>
      <c r="C427" s="221" t="s">
        <v>636</v>
      </c>
      <c r="D427" s="220" t="s">
        <v>14</v>
      </c>
      <c r="E427" s="221" t="s">
        <v>102</v>
      </c>
      <c r="F427" s="221" t="s">
        <v>640</v>
      </c>
      <c r="G427" s="226" t="s">
        <v>281</v>
      </c>
      <c r="H427" s="222" t="s">
        <v>281</v>
      </c>
      <c r="I427" s="222" t="s">
        <v>15</v>
      </c>
      <c r="J427" s="222" t="s">
        <v>15</v>
      </c>
      <c r="K427" s="222" t="s">
        <v>282</v>
      </c>
      <c r="L427" s="222" t="s">
        <v>281</v>
      </c>
      <c r="M427" s="222" t="s">
        <v>281</v>
      </c>
      <c r="N427" s="222" t="s">
        <v>281</v>
      </c>
      <c r="O427" s="223" t="s">
        <v>17</v>
      </c>
      <c r="P427" s="223" t="s">
        <v>17</v>
      </c>
      <c r="Q427" s="223" t="s">
        <v>15</v>
      </c>
      <c r="R427" s="223" t="s">
        <v>15</v>
      </c>
      <c r="S427" s="223" t="s">
        <v>16</v>
      </c>
      <c r="T427" s="223" t="s">
        <v>328</v>
      </c>
      <c r="U427" s="223" t="s">
        <v>248</v>
      </c>
      <c r="V427" s="223" t="s">
        <v>281</v>
      </c>
      <c r="W427" s="224" t="s">
        <v>281</v>
      </c>
      <c r="X427" s="224" t="s">
        <v>281</v>
      </c>
      <c r="Y427" s="225" t="s">
        <v>281</v>
      </c>
    </row>
    <row r="428" spans="1:25">
      <c r="A428" s="219">
        <v>8</v>
      </c>
      <c r="B428" s="220" t="str">
        <f>VLOOKUP(Tabel10[[#This Row],[Code]],Ruimtegroepen[[Code]:[Ruimte omschrijving]],2,FALSE)</f>
        <v>Kinderopvang</v>
      </c>
      <c r="C428" s="221" t="s">
        <v>636</v>
      </c>
      <c r="D428" s="220" t="s">
        <v>14</v>
      </c>
      <c r="E428" s="221" t="s">
        <v>99</v>
      </c>
      <c r="F428" s="221" t="s">
        <v>638</v>
      </c>
      <c r="G428" s="226" t="s">
        <v>281</v>
      </c>
      <c r="H428" s="222" t="s">
        <v>17</v>
      </c>
      <c r="I428" s="222" t="s">
        <v>281</v>
      </c>
      <c r="J428" s="222" t="s">
        <v>281</v>
      </c>
      <c r="K428" s="222" t="s">
        <v>281</v>
      </c>
      <c r="L428" s="222" t="s">
        <v>281</v>
      </c>
      <c r="M428" s="222" t="s">
        <v>281</v>
      </c>
      <c r="N428" s="222" t="s">
        <v>281</v>
      </c>
      <c r="O428" s="223" t="s">
        <v>17</v>
      </c>
      <c r="P428" s="223" t="s">
        <v>17</v>
      </c>
      <c r="Q428" s="223" t="s">
        <v>15</v>
      </c>
      <c r="R428" s="223" t="s">
        <v>15</v>
      </c>
      <c r="S428" s="223" t="s">
        <v>16</v>
      </c>
      <c r="T428" s="223" t="s">
        <v>328</v>
      </c>
      <c r="U428" s="223" t="s">
        <v>248</v>
      </c>
      <c r="V428" s="223" t="s">
        <v>281</v>
      </c>
      <c r="W428" s="224" t="s">
        <v>281</v>
      </c>
      <c r="X428" s="224" t="s">
        <v>281</v>
      </c>
      <c r="Y428" s="225" t="s">
        <v>281</v>
      </c>
    </row>
    <row r="429" spans="1:25">
      <c r="A429" s="219">
        <v>8</v>
      </c>
      <c r="B429" s="220" t="str">
        <f>VLOOKUP(Tabel10[[#This Row],[Code]],Ruimtegroepen[[Code]:[Ruimte omschrijving]],2,FALSE)</f>
        <v>Kinderopvang</v>
      </c>
      <c r="C429" s="221" t="s">
        <v>636</v>
      </c>
      <c r="D429" s="220" t="s">
        <v>14</v>
      </c>
      <c r="E429" s="221" t="s">
        <v>1309</v>
      </c>
      <c r="F429" s="221" t="s">
        <v>1397</v>
      </c>
      <c r="G429" s="226" t="s">
        <v>281</v>
      </c>
      <c r="H429" s="222" t="s">
        <v>281</v>
      </c>
      <c r="I429" s="222" t="s">
        <v>15</v>
      </c>
      <c r="J429" s="222" t="s">
        <v>15</v>
      </c>
      <c r="K429" s="222" t="s">
        <v>282</v>
      </c>
      <c r="L429" s="222" t="s">
        <v>281</v>
      </c>
      <c r="M429" s="222" t="s">
        <v>281</v>
      </c>
      <c r="N429" s="222" t="s">
        <v>281</v>
      </c>
      <c r="O429" s="223" t="s">
        <v>17</v>
      </c>
      <c r="P429" s="223" t="s">
        <v>17</v>
      </c>
      <c r="Q429" s="223" t="s">
        <v>15</v>
      </c>
      <c r="R429" s="223" t="s">
        <v>15</v>
      </c>
      <c r="S429" s="223" t="s">
        <v>16</v>
      </c>
      <c r="T429" s="223" t="s">
        <v>328</v>
      </c>
      <c r="U429" s="223" t="s">
        <v>248</v>
      </c>
      <c r="V429" s="223" t="s">
        <v>281</v>
      </c>
      <c r="W429" s="224" t="s">
        <v>281</v>
      </c>
      <c r="X429" s="224" t="s">
        <v>281</v>
      </c>
      <c r="Y429" s="225" t="s">
        <v>281</v>
      </c>
    </row>
    <row r="430" spans="1:25">
      <c r="A430" s="219">
        <v>8</v>
      </c>
      <c r="B430" s="220" t="str">
        <f>VLOOKUP(Tabel10[[#This Row],[Code]],Ruimtegroepen[[Code]:[Ruimte omschrijving]],2,FALSE)</f>
        <v>Kinderopvang</v>
      </c>
      <c r="C430" s="221" t="s">
        <v>641</v>
      </c>
      <c r="D430" s="220" t="s">
        <v>13</v>
      </c>
      <c r="E430" s="221" t="s">
        <v>100</v>
      </c>
      <c r="F430" s="221" t="s">
        <v>642</v>
      </c>
      <c r="G430" s="226" t="s">
        <v>281</v>
      </c>
      <c r="H430" s="222" t="s">
        <v>281</v>
      </c>
      <c r="I430" s="222" t="s">
        <v>281</v>
      </c>
      <c r="J430" s="222" t="s">
        <v>15</v>
      </c>
      <c r="K430" s="222" t="s">
        <v>281</v>
      </c>
      <c r="L430" s="222" t="s">
        <v>281</v>
      </c>
      <c r="M430" s="222" t="s">
        <v>281</v>
      </c>
      <c r="N430" s="222" t="s">
        <v>281</v>
      </c>
      <c r="O430" s="223" t="s">
        <v>15</v>
      </c>
      <c r="P430" s="223" t="s">
        <v>15</v>
      </c>
      <c r="Q430" s="223" t="s">
        <v>15</v>
      </c>
      <c r="R430" s="223" t="s">
        <v>15</v>
      </c>
      <c r="S430" s="223" t="s">
        <v>16</v>
      </c>
      <c r="T430" s="223" t="s">
        <v>328</v>
      </c>
      <c r="U430" s="223" t="s">
        <v>248</v>
      </c>
      <c r="V430" s="223" t="s">
        <v>281</v>
      </c>
      <c r="W430" s="224" t="s">
        <v>281</v>
      </c>
      <c r="X430" s="224" t="s">
        <v>281</v>
      </c>
      <c r="Y430" s="225" t="s">
        <v>281</v>
      </c>
    </row>
    <row r="431" spans="1:25">
      <c r="A431" s="219">
        <v>8</v>
      </c>
      <c r="B431" s="220" t="str">
        <f>VLOOKUP(Tabel10[[#This Row],[Code]],Ruimtegroepen[[Code]:[Ruimte omschrijving]],2,FALSE)</f>
        <v>Kinderopvang</v>
      </c>
      <c r="C431" s="221" t="s">
        <v>641</v>
      </c>
      <c r="D431" s="220" t="s">
        <v>13</v>
      </c>
      <c r="E431" s="221" t="s">
        <v>99</v>
      </c>
      <c r="F431" s="221" t="s">
        <v>643</v>
      </c>
      <c r="G431" s="226" t="s">
        <v>281</v>
      </c>
      <c r="H431" s="222" t="s">
        <v>15</v>
      </c>
      <c r="I431" s="222" t="s">
        <v>281</v>
      </c>
      <c r="J431" s="222" t="s">
        <v>281</v>
      </c>
      <c r="K431" s="222" t="s">
        <v>281</v>
      </c>
      <c r="L431" s="222" t="s">
        <v>281</v>
      </c>
      <c r="M431" s="222" t="s">
        <v>281</v>
      </c>
      <c r="N431" s="222" t="s">
        <v>281</v>
      </c>
      <c r="O431" s="223" t="s">
        <v>15</v>
      </c>
      <c r="P431" s="223" t="s">
        <v>15</v>
      </c>
      <c r="Q431" s="223" t="s">
        <v>15</v>
      </c>
      <c r="R431" s="223" t="s">
        <v>15</v>
      </c>
      <c r="S431" s="223" t="s">
        <v>16</v>
      </c>
      <c r="T431" s="223" t="s">
        <v>328</v>
      </c>
      <c r="U431" s="223" t="s">
        <v>248</v>
      </c>
      <c r="V431" s="223" t="s">
        <v>281</v>
      </c>
      <c r="W431" s="224" t="s">
        <v>281</v>
      </c>
      <c r="X431" s="224" t="s">
        <v>281</v>
      </c>
      <c r="Y431" s="225" t="s">
        <v>281</v>
      </c>
    </row>
    <row r="432" spans="1:25">
      <c r="A432" s="219">
        <v>8</v>
      </c>
      <c r="B432" s="220" t="str">
        <f>VLOOKUP(Tabel10[[#This Row],[Code]],Ruimtegroepen[[Code]:[Ruimte omschrijving]],2,FALSE)</f>
        <v>Kinderopvang</v>
      </c>
      <c r="C432" s="221" t="s">
        <v>641</v>
      </c>
      <c r="D432" s="220" t="s">
        <v>13</v>
      </c>
      <c r="E432" s="221" t="s">
        <v>101</v>
      </c>
      <c r="F432" s="221" t="s">
        <v>644</v>
      </c>
      <c r="G432" s="226" t="s">
        <v>281</v>
      </c>
      <c r="H432" s="222" t="s">
        <v>281</v>
      </c>
      <c r="I432" s="222" t="s">
        <v>281</v>
      </c>
      <c r="J432" s="222" t="s">
        <v>15</v>
      </c>
      <c r="K432" s="222" t="s">
        <v>282</v>
      </c>
      <c r="L432" s="222" t="s">
        <v>281</v>
      </c>
      <c r="M432" s="222" t="s">
        <v>281</v>
      </c>
      <c r="N432" s="222" t="s">
        <v>281</v>
      </c>
      <c r="O432" s="223" t="s">
        <v>15</v>
      </c>
      <c r="P432" s="223" t="s">
        <v>15</v>
      </c>
      <c r="Q432" s="223" t="s">
        <v>15</v>
      </c>
      <c r="R432" s="223" t="s">
        <v>15</v>
      </c>
      <c r="S432" s="223" t="s">
        <v>16</v>
      </c>
      <c r="T432" s="223" t="s">
        <v>328</v>
      </c>
      <c r="U432" s="223" t="s">
        <v>248</v>
      </c>
      <c r="V432" s="223" t="s">
        <v>281</v>
      </c>
      <c r="W432" s="224" t="s">
        <v>281</v>
      </c>
      <c r="X432" s="224" t="s">
        <v>281</v>
      </c>
      <c r="Y432" s="225" t="s">
        <v>281</v>
      </c>
    </row>
    <row r="433" spans="1:25">
      <c r="A433" s="219">
        <v>8</v>
      </c>
      <c r="B433" s="220" t="str">
        <f>VLOOKUP(Tabel10[[#This Row],[Code]],Ruimtegroepen[[Code]:[Ruimte omschrijving]],2,FALSE)</f>
        <v>Kinderopvang</v>
      </c>
      <c r="C433" s="221" t="s">
        <v>641</v>
      </c>
      <c r="D433" s="220" t="s">
        <v>13</v>
      </c>
      <c r="E433" s="221" t="s">
        <v>102</v>
      </c>
      <c r="F433" s="221" t="s">
        <v>645</v>
      </c>
      <c r="G433" s="226" t="s">
        <v>281</v>
      </c>
      <c r="H433" s="222" t="s">
        <v>281</v>
      </c>
      <c r="I433" s="222" t="s">
        <v>281</v>
      </c>
      <c r="J433" s="222" t="s">
        <v>15</v>
      </c>
      <c r="K433" s="222" t="s">
        <v>282</v>
      </c>
      <c r="L433" s="222" t="s">
        <v>281</v>
      </c>
      <c r="M433" s="222" t="s">
        <v>281</v>
      </c>
      <c r="N433" s="222" t="s">
        <v>281</v>
      </c>
      <c r="O433" s="223" t="s">
        <v>15</v>
      </c>
      <c r="P433" s="223" t="s">
        <v>15</v>
      </c>
      <c r="Q433" s="223" t="s">
        <v>15</v>
      </c>
      <c r="R433" s="223" t="s">
        <v>15</v>
      </c>
      <c r="S433" s="223" t="s">
        <v>16</v>
      </c>
      <c r="T433" s="223" t="s">
        <v>328</v>
      </c>
      <c r="U433" s="223" t="s">
        <v>248</v>
      </c>
      <c r="V433" s="223" t="s">
        <v>281</v>
      </c>
      <c r="W433" s="224" t="s">
        <v>281</v>
      </c>
      <c r="X433" s="224" t="s">
        <v>281</v>
      </c>
      <c r="Y433" s="225" t="s">
        <v>281</v>
      </c>
    </row>
    <row r="434" spans="1:25">
      <c r="A434" s="219">
        <v>8</v>
      </c>
      <c r="B434" s="220" t="str">
        <f>VLOOKUP(Tabel10[[#This Row],[Code]],Ruimtegroepen[[Code]:[Ruimte omschrijving]],2,FALSE)</f>
        <v>Kinderopvang</v>
      </c>
      <c r="C434" s="221" t="s">
        <v>641</v>
      </c>
      <c r="D434" s="220" t="s">
        <v>13</v>
      </c>
      <c r="E434" s="221" t="s">
        <v>99</v>
      </c>
      <c r="F434" s="221" t="s">
        <v>643</v>
      </c>
      <c r="G434" s="226" t="s">
        <v>281</v>
      </c>
      <c r="H434" s="222" t="s">
        <v>15</v>
      </c>
      <c r="I434" s="222" t="s">
        <v>281</v>
      </c>
      <c r="J434" s="222" t="s">
        <v>281</v>
      </c>
      <c r="K434" s="222" t="s">
        <v>281</v>
      </c>
      <c r="L434" s="222" t="s">
        <v>281</v>
      </c>
      <c r="M434" s="222" t="s">
        <v>281</v>
      </c>
      <c r="N434" s="222" t="s">
        <v>281</v>
      </c>
      <c r="O434" s="223" t="s">
        <v>15</v>
      </c>
      <c r="P434" s="223" t="s">
        <v>15</v>
      </c>
      <c r="Q434" s="223" t="s">
        <v>15</v>
      </c>
      <c r="R434" s="223" t="s">
        <v>15</v>
      </c>
      <c r="S434" s="223" t="s">
        <v>16</v>
      </c>
      <c r="T434" s="223" t="s">
        <v>328</v>
      </c>
      <c r="U434" s="223" t="s">
        <v>248</v>
      </c>
      <c r="V434" s="223" t="s">
        <v>281</v>
      </c>
      <c r="W434" s="224" t="s">
        <v>281</v>
      </c>
      <c r="X434" s="224" t="s">
        <v>281</v>
      </c>
      <c r="Y434" s="225" t="s">
        <v>281</v>
      </c>
    </row>
    <row r="435" spans="1:25">
      <c r="A435" s="219">
        <v>8</v>
      </c>
      <c r="B435" s="220" t="str">
        <f>VLOOKUP(Tabel10[[#This Row],[Code]],Ruimtegroepen[[Code]:[Ruimte omschrijving]],2,FALSE)</f>
        <v>Kinderopvang</v>
      </c>
      <c r="C435" s="221" t="s">
        <v>641</v>
      </c>
      <c r="D435" s="220" t="s">
        <v>13</v>
      </c>
      <c r="E435" s="221" t="s">
        <v>1309</v>
      </c>
      <c r="F435" s="221" t="s">
        <v>1364</v>
      </c>
      <c r="G435" s="226" t="s">
        <v>281</v>
      </c>
      <c r="H435" s="222" t="s">
        <v>281</v>
      </c>
      <c r="I435" s="222" t="s">
        <v>281</v>
      </c>
      <c r="J435" s="222" t="s">
        <v>15</v>
      </c>
      <c r="K435" s="222" t="s">
        <v>282</v>
      </c>
      <c r="L435" s="222" t="s">
        <v>281</v>
      </c>
      <c r="M435" s="222" t="s">
        <v>281</v>
      </c>
      <c r="N435" s="222" t="s">
        <v>281</v>
      </c>
      <c r="O435" s="223" t="s">
        <v>15</v>
      </c>
      <c r="P435" s="223" t="s">
        <v>15</v>
      </c>
      <c r="Q435" s="223" t="s">
        <v>15</v>
      </c>
      <c r="R435" s="223" t="s">
        <v>15</v>
      </c>
      <c r="S435" s="223" t="s">
        <v>16</v>
      </c>
      <c r="T435" s="223" t="s">
        <v>328</v>
      </c>
      <c r="U435" s="223" t="s">
        <v>248</v>
      </c>
      <c r="V435" s="223" t="s">
        <v>281</v>
      </c>
      <c r="W435" s="224" t="s">
        <v>281</v>
      </c>
      <c r="X435" s="224" t="s">
        <v>281</v>
      </c>
      <c r="Y435" s="225" t="s">
        <v>281</v>
      </c>
    </row>
    <row r="436" spans="1:25">
      <c r="A436" s="219">
        <v>8</v>
      </c>
      <c r="B436" s="220" t="str">
        <f>VLOOKUP(Tabel10[[#This Row],[Code]],Ruimtegroepen[[Code]:[Ruimte omschrijving]],2,FALSE)</f>
        <v>Kinderopvang</v>
      </c>
      <c r="C436" s="221" t="s">
        <v>646</v>
      </c>
      <c r="D436" s="220" t="s">
        <v>0</v>
      </c>
      <c r="E436" s="221" t="s">
        <v>100</v>
      </c>
      <c r="F436" s="221" t="s">
        <v>647</v>
      </c>
      <c r="G436" s="226" t="s">
        <v>281</v>
      </c>
      <c r="H436" s="222" t="s">
        <v>281</v>
      </c>
      <c r="I436" s="222" t="s">
        <v>281</v>
      </c>
      <c r="J436" s="222" t="s">
        <v>16</v>
      </c>
      <c r="K436" s="222" t="s">
        <v>281</v>
      </c>
      <c r="L436" s="222" t="s">
        <v>281</v>
      </c>
      <c r="M436" s="222" t="s">
        <v>281</v>
      </c>
      <c r="N436" s="222" t="s">
        <v>281</v>
      </c>
      <c r="O436" s="223" t="s">
        <v>16</v>
      </c>
      <c r="P436" s="223" t="s">
        <v>16</v>
      </c>
      <c r="Q436" s="223" t="s">
        <v>16</v>
      </c>
      <c r="R436" s="223" t="s">
        <v>16</v>
      </c>
      <c r="S436" s="223" t="s">
        <v>16</v>
      </c>
      <c r="T436" s="223" t="s">
        <v>328</v>
      </c>
      <c r="U436" s="223" t="s">
        <v>248</v>
      </c>
      <c r="V436" s="223" t="s">
        <v>281</v>
      </c>
      <c r="W436" s="224" t="s">
        <v>281</v>
      </c>
      <c r="X436" s="224" t="s">
        <v>281</v>
      </c>
      <c r="Y436" s="225" t="s">
        <v>281</v>
      </c>
    </row>
    <row r="437" spans="1:25">
      <c r="A437" s="219">
        <v>8</v>
      </c>
      <c r="B437" s="220" t="str">
        <f>VLOOKUP(Tabel10[[#This Row],[Code]],Ruimtegroepen[[Code]:[Ruimte omschrijving]],2,FALSE)</f>
        <v>Kinderopvang</v>
      </c>
      <c r="C437" s="221" t="s">
        <v>646</v>
      </c>
      <c r="D437" s="220" t="s">
        <v>0</v>
      </c>
      <c r="E437" s="221" t="s">
        <v>99</v>
      </c>
      <c r="F437" s="221" t="s">
        <v>648</v>
      </c>
      <c r="G437" s="226" t="s">
        <v>281</v>
      </c>
      <c r="H437" s="222" t="s">
        <v>16</v>
      </c>
      <c r="I437" s="222" t="s">
        <v>281</v>
      </c>
      <c r="J437" s="222" t="s">
        <v>281</v>
      </c>
      <c r="K437" s="222" t="s">
        <v>281</v>
      </c>
      <c r="L437" s="222" t="s">
        <v>281</v>
      </c>
      <c r="M437" s="222" t="s">
        <v>281</v>
      </c>
      <c r="N437" s="222" t="s">
        <v>281</v>
      </c>
      <c r="O437" s="223" t="s">
        <v>16</v>
      </c>
      <c r="P437" s="223" t="s">
        <v>16</v>
      </c>
      <c r="Q437" s="223" t="s">
        <v>16</v>
      </c>
      <c r="R437" s="223" t="s">
        <v>16</v>
      </c>
      <c r="S437" s="223" t="s">
        <v>16</v>
      </c>
      <c r="T437" s="223" t="s">
        <v>328</v>
      </c>
      <c r="U437" s="223" t="s">
        <v>248</v>
      </c>
      <c r="V437" s="223" t="s">
        <v>281</v>
      </c>
      <c r="W437" s="224" t="s">
        <v>281</v>
      </c>
      <c r="X437" s="224" t="s">
        <v>281</v>
      </c>
      <c r="Y437" s="225" t="s">
        <v>281</v>
      </c>
    </row>
    <row r="438" spans="1:25">
      <c r="A438" s="219">
        <v>8</v>
      </c>
      <c r="B438" s="220" t="str">
        <f>VLOOKUP(Tabel10[[#This Row],[Code]],Ruimtegroepen[[Code]:[Ruimte omschrijving]],2,FALSE)</f>
        <v>Kinderopvang</v>
      </c>
      <c r="C438" s="221" t="s">
        <v>646</v>
      </c>
      <c r="D438" s="220" t="s">
        <v>0</v>
      </c>
      <c r="E438" s="221" t="s">
        <v>101</v>
      </c>
      <c r="F438" s="221" t="s">
        <v>649</v>
      </c>
      <c r="G438" s="226" t="s">
        <v>281</v>
      </c>
      <c r="H438" s="222" t="s">
        <v>281</v>
      </c>
      <c r="I438" s="222" t="s">
        <v>281</v>
      </c>
      <c r="J438" s="222" t="s">
        <v>16</v>
      </c>
      <c r="K438" s="222" t="s">
        <v>282</v>
      </c>
      <c r="L438" s="222" t="s">
        <v>281</v>
      </c>
      <c r="M438" s="222" t="s">
        <v>281</v>
      </c>
      <c r="N438" s="222" t="s">
        <v>281</v>
      </c>
      <c r="O438" s="223" t="s">
        <v>16</v>
      </c>
      <c r="P438" s="223" t="s">
        <v>16</v>
      </c>
      <c r="Q438" s="223" t="s">
        <v>16</v>
      </c>
      <c r="R438" s="223" t="s">
        <v>16</v>
      </c>
      <c r="S438" s="223" t="s">
        <v>16</v>
      </c>
      <c r="T438" s="223" t="s">
        <v>328</v>
      </c>
      <c r="U438" s="223" t="s">
        <v>248</v>
      </c>
      <c r="V438" s="223" t="s">
        <v>281</v>
      </c>
      <c r="W438" s="224" t="s">
        <v>281</v>
      </c>
      <c r="X438" s="224" t="s">
        <v>281</v>
      </c>
      <c r="Y438" s="225" t="s">
        <v>281</v>
      </c>
    </row>
    <row r="439" spans="1:25">
      <c r="A439" s="219">
        <v>8</v>
      </c>
      <c r="B439" s="220" t="str">
        <f>VLOOKUP(Tabel10[[#This Row],[Code]],Ruimtegroepen[[Code]:[Ruimte omschrijving]],2,FALSE)</f>
        <v>Kinderopvang</v>
      </c>
      <c r="C439" s="221" t="s">
        <v>646</v>
      </c>
      <c r="D439" s="220" t="s">
        <v>0</v>
      </c>
      <c r="E439" s="221" t="s">
        <v>102</v>
      </c>
      <c r="F439" s="221" t="s">
        <v>650</v>
      </c>
      <c r="G439" s="226" t="s">
        <v>281</v>
      </c>
      <c r="H439" s="222" t="s">
        <v>281</v>
      </c>
      <c r="I439" s="222" t="s">
        <v>281</v>
      </c>
      <c r="J439" s="222" t="s">
        <v>16</v>
      </c>
      <c r="K439" s="222" t="s">
        <v>282</v>
      </c>
      <c r="L439" s="222" t="s">
        <v>281</v>
      </c>
      <c r="M439" s="222" t="s">
        <v>281</v>
      </c>
      <c r="N439" s="222" t="s">
        <v>281</v>
      </c>
      <c r="O439" s="223" t="s">
        <v>16</v>
      </c>
      <c r="P439" s="223" t="s">
        <v>16</v>
      </c>
      <c r="Q439" s="223" t="s">
        <v>16</v>
      </c>
      <c r="R439" s="223" t="s">
        <v>16</v>
      </c>
      <c r="S439" s="223" t="s">
        <v>16</v>
      </c>
      <c r="T439" s="223" t="s">
        <v>328</v>
      </c>
      <c r="U439" s="223" t="s">
        <v>248</v>
      </c>
      <c r="V439" s="223" t="s">
        <v>281</v>
      </c>
      <c r="W439" s="224" t="s">
        <v>281</v>
      </c>
      <c r="X439" s="224" t="s">
        <v>281</v>
      </c>
      <c r="Y439" s="225" t="s">
        <v>281</v>
      </c>
    </row>
    <row r="440" spans="1:25">
      <c r="A440" s="219">
        <v>8</v>
      </c>
      <c r="B440" s="220" t="str">
        <f>VLOOKUP(Tabel10[[#This Row],[Code]],Ruimtegroepen[[Code]:[Ruimte omschrijving]],2,FALSE)</f>
        <v>Kinderopvang</v>
      </c>
      <c r="C440" s="221" t="s">
        <v>646</v>
      </c>
      <c r="D440" s="220" t="s">
        <v>0</v>
      </c>
      <c r="E440" s="221" t="s">
        <v>99</v>
      </c>
      <c r="F440" s="221" t="s">
        <v>648</v>
      </c>
      <c r="G440" s="226" t="s">
        <v>281</v>
      </c>
      <c r="H440" s="222" t="s">
        <v>16</v>
      </c>
      <c r="I440" s="222" t="s">
        <v>281</v>
      </c>
      <c r="J440" s="222" t="s">
        <v>281</v>
      </c>
      <c r="K440" s="222" t="s">
        <v>281</v>
      </c>
      <c r="L440" s="222" t="s">
        <v>281</v>
      </c>
      <c r="M440" s="222" t="s">
        <v>281</v>
      </c>
      <c r="N440" s="222" t="s">
        <v>281</v>
      </c>
      <c r="O440" s="223" t="s">
        <v>16</v>
      </c>
      <c r="P440" s="223" t="s">
        <v>16</v>
      </c>
      <c r="Q440" s="223" t="s">
        <v>16</v>
      </c>
      <c r="R440" s="223" t="s">
        <v>16</v>
      </c>
      <c r="S440" s="223" t="s">
        <v>16</v>
      </c>
      <c r="T440" s="223" t="s">
        <v>328</v>
      </c>
      <c r="U440" s="223" t="s">
        <v>248</v>
      </c>
      <c r="V440" s="223" t="s">
        <v>281</v>
      </c>
      <c r="W440" s="224" t="s">
        <v>281</v>
      </c>
      <c r="X440" s="224" t="s">
        <v>281</v>
      </c>
      <c r="Y440" s="225" t="s">
        <v>281</v>
      </c>
    </row>
    <row r="441" spans="1:25">
      <c r="A441" s="219">
        <v>8</v>
      </c>
      <c r="B441" s="220" t="str">
        <f>VLOOKUP(Tabel10[[#This Row],[Code]],Ruimtegroepen[[Code]:[Ruimte omschrijving]],2,FALSE)</f>
        <v>Kinderopvang</v>
      </c>
      <c r="C441" s="221" t="s">
        <v>646</v>
      </c>
      <c r="D441" s="220" t="s">
        <v>0</v>
      </c>
      <c r="E441" s="221" t="s">
        <v>1309</v>
      </c>
      <c r="F441" s="221" t="s">
        <v>1348</v>
      </c>
      <c r="G441" s="226" t="s">
        <v>281</v>
      </c>
      <c r="H441" s="222" t="s">
        <v>281</v>
      </c>
      <c r="I441" s="222" t="s">
        <v>281</v>
      </c>
      <c r="J441" s="222" t="s">
        <v>16</v>
      </c>
      <c r="K441" s="222" t="s">
        <v>282</v>
      </c>
      <c r="L441" s="222" t="s">
        <v>281</v>
      </c>
      <c r="M441" s="222" t="s">
        <v>281</v>
      </c>
      <c r="N441" s="222" t="s">
        <v>281</v>
      </c>
      <c r="O441" s="223" t="s">
        <v>16</v>
      </c>
      <c r="P441" s="223" t="s">
        <v>16</v>
      </c>
      <c r="Q441" s="223" t="s">
        <v>16</v>
      </c>
      <c r="R441" s="223" t="s">
        <v>16</v>
      </c>
      <c r="S441" s="223" t="s">
        <v>16</v>
      </c>
      <c r="T441" s="223" t="s">
        <v>328</v>
      </c>
      <c r="U441" s="223" t="s">
        <v>248</v>
      </c>
      <c r="V441" s="223" t="s">
        <v>281</v>
      </c>
      <c r="W441" s="224" t="s">
        <v>281</v>
      </c>
      <c r="X441" s="224" t="s">
        <v>281</v>
      </c>
      <c r="Y441" s="225" t="s">
        <v>281</v>
      </c>
    </row>
    <row r="442" spans="1:25">
      <c r="A442" s="219">
        <v>8</v>
      </c>
      <c r="B442" s="220" t="str">
        <f>VLOOKUP(Tabel10[[#This Row],[Code]],Ruimtegroepen[[Code]:[Ruimte omschrijving]],2,FALSE)</f>
        <v>Kinderopvang</v>
      </c>
      <c r="C442" s="221" t="s">
        <v>651</v>
      </c>
      <c r="D442" s="220" t="s">
        <v>27</v>
      </c>
      <c r="E442" s="221" t="s">
        <v>100</v>
      </c>
      <c r="F442" s="221" t="s">
        <v>652</v>
      </c>
      <c r="G442" s="226" t="s">
        <v>281</v>
      </c>
      <c r="H442" s="222" t="s">
        <v>281</v>
      </c>
      <c r="I442" s="222" t="s">
        <v>15</v>
      </c>
      <c r="J442" s="222" t="s">
        <v>281</v>
      </c>
      <c r="K442" s="222" t="s">
        <v>281</v>
      </c>
      <c r="L442" s="222" t="s">
        <v>281</v>
      </c>
      <c r="M442" s="222" t="s">
        <v>281</v>
      </c>
      <c r="N442" s="222" t="s">
        <v>281</v>
      </c>
      <c r="O442" s="223" t="s">
        <v>15</v>
      </c>
      <c r="P442" s="223" t="s">
        <v>15</v>
      </c>
      <c r="Q442" s="223" t="s">
        <v>15</v>
      </c>
      <c r="R442" s="223" t="s">
        <v>281</v>
      </c>
      <c r="S442" s="223" t="s">
        <v>281</v>
      </c>
      <c r="T442" s="223" t="s">
        <v>281</v>
      </c>
      <c r="U442" s="223" t="s">
        <v>281</v>
      </c>
      <c r="V442" s="223" t="s">
        <v>281</v>
      </c>
      <c r="W442" s="224" t="s">
        <v>281</v>
      </c>
      <c r="X442" s="224" t="s">
        <v>281</v>
      </c>
      <c r="Y442" s="225" t="s">
        <v>281</v>
      </c>
    </row>
    <row r="443" spans="1:25">
      <c r="A443" s="219">
        <v>8</v>
      </c>
      <c r="B443" s="220" t="str">
        <f>VLOOKUP(Tabel10[[#This Row],[Code]],Ruimtegroepen[[Code]:[Ruimte omschrijving]],2,FALSE)</f>
        <v>Kinderopvang</v>
      </c>
      <c r="C443" s="221" t="s">
        <v>651</v>
      </c>
      <c r="D443" s="220" t="s">
        <v>27</v>
      </c>
      <c r="E443" s="221" t="s">
        <v>99</v>
      </c>
      <c r="F443" s="221" t="s">
        <v>653</v>
      </c>
      <c r="G443" s="226" t="s">
        <v>281</v>
      </c>
      <c r="H443" s="222" t="s">
        <v>15</v>
      </c>
      <c r="I443" s="222" t="s">
        <v>281</v>
      </c>
      <c r="J443" s="222" t="s">
        <v>281</v>
      </c>
      <c r="K443" s="222" t="s">
        <v>281</v>
      </c>
      <c r="L443" s="222" t="s">
        <v>281</v>
      </c>
      <c r="M443" s="222" t="s">
        <v>281</v>
      </c>
      <c r="N443" s="222" t="s">
        <v>281</v>
      </c>
      <c r="O443" s="223" t="s">
        <v>15</v>
      </c>
      <c r="P443" s="223" t="s">
        <v>15</v>
      </c>
      <c r="Q443" s="223" t="s">
        <v>15</v>
      </c>
      <c r="R443" s="223" t="s">
        <v>281</v>
      </c>
      <c r="S443" s="223" t="s">
        <v>281</v>
      </c>
      <c r="T443" s="223" t="s">
        <v>281</v>
      </c>
      <c r="U443" s="223" t="s">
        <v>281</v>
      </c>
      <c r="V443" s="223" t="s">
        <v>281</v>
      </c>
      <c r="W443" s="224" t="s">
        <v>281</v>
      </c>
      <c r="X443" s="224" t="s">
        <v>281</v>
      </c>
      <c r="Y443" s="225" t="s">
        <v>281</v>
      </c>
    </row>
    <row r="444" spans="1:25">
      <c r="A444" s="219">
        <v>8</v>
      </c>
      <c r="B444" s="220" t="str">
        <f>VLOOKUP(Tabel10[[#This Row],[Code]],Ruimtegroepen[[Code]:[Ruimte omschrijving]],2,FALSE)</f>
        <v>Kinderopvang</v>
      </c>
      <c r="C444" s="221" t="s">
        <v>651</v>
      </c>
      <c r="D444" s="220" t="s">
        <v>27</v>
      </c>
      <c r="E444" s="221" t="s">
        <v>101</v>
      </c>
      <c r="F444" s="221" t="s">
        <v>654</v>
      </c>
      <c r="G444" s="226" t="s">
        <v>281</v>
      </c>
      <c r="H444" s="222" t="s">
        <v>281</v>
      </c>
      <c r="I444" s="222" t="s">
        <v>15</v>
      </c>
      <c r="J444" s="222" t="s">
        <v>281</v>
      </c>
      <c r="K444" s="222" t="s">
        <v>281</v>
      </c>
      <c r="L444" s="222" t="s">
        <v>281</v>
      </c>
      <c r="M444" s="222" t="s">
        <v>281</v>
      </c>
      <c r="N444" s="222" t="s">
        <v>281</v>
      </c>
      <c r="O444" s="223" t="s">
        <v>15</v>
      </c>
      <c r="P444" s="223" t="s">
        <v>15</v>
      </c>
      <c r="Q444" s="223" t="s">
        <v>15</v>
      </c>
      <c r="R444" s="223" t="s">
        <v>281</v>
      </c>
      <c r="S444" s="223" t="s">
        <v>281</v>
      </c>
      <c r="T444" s="223" t="s">
        <v>281</v>
      </c>
      <c r="U444" s="223" t="s">
        <v>281</v>
      </c>
      <c r="V444" s="223" t="s">
        <v>281</v>
      </c>
      <c r="W444" s="224" t="s">
        <v>281</v>
      </c>
      <c r="X444" s="224" t="s">
        <v>281</v>
      </c>
      <c r="Y444" s="225" t="s">
        <v>281</v>
      </c>
    </row>
    <row r="445" spans="1:25">
      <c r="A445" s="219">
        <v>8</v>
      </c>
      <c r="B445" s="220" t="str">
        <f>VLOOKUP(Tabel10[[#This Row],[Code]],Ruimtegroepen[[Code]:[Ruimte omschrijving]],2,FALSE)</f>
        <v>Kinderopvang</v>
      </c>
      <c r="C445" s="221" t="s">
        <v>651</v>
      </c>
      <c r="D445" s="220" t="s">
        <v>27</v>
      </c>
      <c r="E445" s="221" t="s">
        <v>102</v>
      </c>
      <c r="F445" s="221" t="s">
        <v>655</v>
      </c>
      <c r="G445" s="226" t="s">
        <v>281</v>
      </c>
      <c r="H445" s="222" t="s">
        <v>281</v>
      </c>
      <c r="I445" s="222" t="s">
        <v>15</v>
      </c>
      <c r="J445" s="222" t="s">
        <v>281</v>
      </c>
      <c r="K445" s="222" t="s">
        <v>281</v>
      </c>
      <c r="L445" s="222" t="s">
        <v>281</v>
      </c>
      <c r="M445" s="222" t="s">
        <v>281</v>
      </c>
      <c r="N445" s="222" t="s">
        <v>281</v>
      </c>
      <c r="O445" s="223" t="s">
        <v>15</v>
      </c>
      <c r="P445" s="223" t="s">
        <v>15</v>
      </c>
      <c r="Q445" s="223" t="s">
        <v>15</v>
      </c>
      <c r="R445" s="223" t="s">
        <v>281</v>
      </c>
      <c r="S445" s="223" t="s">
        <v>281</v>
      </c>
      <c r="T445" s="223" t="s">
        <v>281</v>
      </c>
      <c r="U445" s="223" t="s">
        <v>281</v>
      </c>
      <c r="V445" s="223" t="s">
        <v>281</v>
      </c>
      <c r="W445" s="224" t="s">
        <v>281</v>
      </c>
      <c r="X445" s="224" t="s">
        <v>281</v>
      </c>
      <c r="Y445" s="225" t="s">
        <v>281</v>
      </c>
    </row>
    <row r="446" spans="1:25">
      <c r="A446" s="219">
        <v>8</v>
      </c>
      <c r="B446" s="220" t="str">
        <f>VLOOKUP(Tabel10[[#This Row],[Code]],Ruimtegroepen[[Code]:[Ruimte omschrijving]],2,FALSE)</f>
        <v>Kinderopvang</v>
      </c>
      <c r="C446" s="221" t="s">
        <v>651</v>
      </c>
      <c r="D446" s="220" t="s">
        <v>27</v>
      </c>
      <c r="E446" s="221" t="s">
        <v>99</v>
      </c>
      <c r="F446" s="221" t="s">
        <v>653</v>
      </c>
      <c r="G446" s="226" t="s">
        <v>281</v>
      </c>
      <c r="H446" s="222" t="s">
        <v>15</v>
      </c>
      <c r="I446" s="222" t="s">
        <v>281</v>
      </c>
      <c r="J446" s="222" t="s">
        <v>281</v>
      </c>
      <c r="K446" s="222" t="s">
        <v>281</v>
      </c>
      <c r="L446" s="222" t="s">
        <v>281</v>
      </c>
      <c r="M446" s="222" t="s">
        <v>281</v>
      </c>
      <c r="N446" s="222" t="s">
        <v>281</v>
      </c>
      <c r="O446" s="223" t="s">
        <v>15</v>
      </c>
      <c r="P446" s="223" t="s">
        <v>15</v>
      </c>
      <c r="Q446" s="223" t="s">
        <v>15</v>
      </c>
      <c r="R446" s="223" t="s">
        <v>281</v>
      </c>
      <c r="S446" s="223" t="s">
        <v>281</v>
      </c>
      <c r="T446" s="223" t="s">
        <v>281</v>
      </c>
      <c r="U446" s="223" t="s">
        <v>281</v>
      </c>
      <c r="V446" s="223" t="s">
        <v>281</v>
      </c>
      <c r="W446" s="224" t="s">
        <v>281</v>
      </c>
      <c r="X446" s="224" t="s">
        <v>281</v>
      </c>
      <c r="Y446" s="225" t="s">
        <v>281</v>
      </c>
    </row>
    <row r="447" spans="1:25">
      <c r="A447" s="219">
        <v>8</v>
      </c>
      <c r="B447" s="220" t="str">
        <f>VLOOKUP(Tabel10[[#This Row],[Code]],Ruimtegroepen[[Code]:[Ruimte omschrijving]],2,FALSE)</f>
        <v>Kinderopvang</v>
      </c>
      <c r="C447" s="221" t="s">
        <v>651</v>
      </c>
      <c r="D447" s="220" t="s">
        <v>27</v>
      </c>
      <c r="E447" s="221" t="s">
        <v>1309</v>
      </c>
      <c r="F447" s="221" t="s">
        <v>1381</v>
      </c>
      <c r="G447" s="226" t="s">
        <v>281</v>
      </c>
      <c r="H447" s="222" t="s">
        <v>281</v>
      </c>
      <c r="I447" s="222" t="s">
        <v>15</v>
      </c>
      <c r="J447" s="222" t="s">
        <v>281</v>
      </c>
      <c r="K447" s="222" t="s">
        <v>281</v>
      </c>
      <c r="L447" s="222" t="s">
        <v>281</v>
      </c>
      <c r="M447" s="222" t="s">
        <v>281</v>
      </c>
      <c r="N447" s="222" t="s">
        <v>281</v>
      </c>
      <c r="O447" s="223" t="s">
        <v>15</v>
      </c>
      <c r="P447" s="223" t="s">
        <v>15</v>
      </c>
      <c r="Q447" s="223" t="s">
        <v>15</v>
      </c>
      <c r="R447" s="223" t="s">
        <v>281</v>
      </c>
      <c r="S447" s="223" t="s">
        <v>281</v>
      </c>
      <c r="T447" s="223" t="s">
        <v>281</v>
      </c>
      <c r="U447" s="223" t="s">
        <v>281</v>
      </c>
      <c r="V447" s="223" t="s">
        <v>281</v>
      </c>
      <c r="W447" s="224" t="s">
        <v>281</v>
      </c>
      <c r="X447" s="224" t="s">
        <v>281</v>
      </c>
      <c r="Y447" s="225" t="s">
        <v>281</v>
      </c>
    </row>
    <row r="448" spans="1:25">
      <c r="A448" s="219">
        <v>8</v>
      </c>
      <c r="B448" s="220" t="str">
        <f>VLOOKUP(Tabel10[[#This Row],[Code]],Ruimtegroepen[[Code]:[Ruimte omschrijving]],2,FALSE)</f>
        <v>Kinderopvang</v>
      </c>
      <c r="C448" s="221" t="s">
        <v>656</v>
      </c>
      <c r="D448" s="220" t="s">
        <v>28</v>
      </c>
      <c r="E448" s="221" t="s">
        <v>100</v>
      </c>
      <c r="F448" s="221" t="s">
        <v>657</v>
      </c>
      <c r="G448" s="226" t="s">
        <v>281</v>
      </c>
      <c r="H448" s="222" t="s">
        <v>281</v>
      </c>
      <c r="I448" s="222" t="s">
        <v>17</v>
      </c>
      <c r="J448" s="222" t="s">
        <v>281</v>
      </c>
      <c r="K448" s="222" t="s">
        <v>281</v>
      </c>
      <c r="L448" s="222" t="s">
        <v>281</v>
      </c>
      <c r="M448" s="222" t="s">
        <v>281</v>
      </c>
      <c r="N448" s="222" t="s">
        <v>281</v>
      </c>
      <c r="O448" s="223" t="s">
        <v>17</v>
      </c>
      <c r="P448" s="223" t="s">
        <v>17</v>
      </c>
      <c r="Q448" s="223" t="s">
        <v>15</v>
      </c>
      <c r="R448" s="223" t="s">
        <v>281</v>
      </c>
      <c r="S448" s="223" t="s">
        <v>281</v>
      </c>
      <c r="T448" s="223" t="s">
        <v>281</v>
      </c>
      <c r="U448" s="223" t="s">
        <v>281</v>
      </c>
      <c r="V448" s="223" t="s">
        <v>281</v>
      </c>
      <c r="W448" s="224" t="s">
        <v>281</v>
      </c>
      <c r="X448" s="224" t="s">
        <v>281</v>
      </c>
      <c r="Y448" s="225" t="s">
        <v>281</v>
      </c>
    </row>
    <row r="449" spans="1:25">
      <c r="A449" s="219">
        <v>8</v>
      </c>
      <c r="B449" s="220" t="str">
        <f>VLOOKUP(Tabel10[[#This Row],[Code]],Ruimtegroepen[[Code]:[Ruimte omschrijving]],2,FALSE)</f>
        <v>Kinderopvang</v>
      </c>
      <c r="C449" s="221" t="s">
        <v>656</v>
      </c>
      <c r="D449" s="220" t="s">
        <v>28</v>
      </c>
      <c r="E449" s="221" t="s">
        <v>99</v>
      </c>
      <c r="F449" s="221" t="s">
        <v>658</v>
      </c>
      <c r="G449" s="226" t="s">
        <v>281</v>
      </c>
      <c r="H449" s="222" t="s">
        <v>17</v>
      </c>
      <c r="I449" s="222" t="s">
        <v>281</v>
      </c>
      <c r="J449" s="222" t="s">
        <v>281</v>
      </c>
      <c r="K449" s="222" t="s">
        <v>281</v>
      </c>
      <c r="L449" s="222" t="s">
        <v>281</v>
      </c>
      <c r="M449" s="222" t="s">
        <v>281</v>
      </c>
      <c r="N449" s="222" t="s">
        <v>281</v>
      </c>
      <c r="O449" s="223" t="s">
        <v>17</v>
      </c>
      <c r="P449" s="223" t="s">
        <v>17</v>
      </c>
      <c r="Q449" s="223" t="s">
        <v>15</v>
      </c>
      <c r="R449" s="223" t="s">
        <v>281</v>
      </c>
      <c r="S449" s="223" t="s">
        <v>281</v>
      </c>
      <c r="T449" s="223" t="s">
        <v>281</v>
      </c>
      <c r="U449" s="223" t="s">
        <v>281</v>
      </c>
      <c r="V449" s="223" t="s">
        <v>281</v>
      </c>
      <c r="W449" s="224" t="s">
        <v>281</v>
      </c>
      <c r="X449" s="224" t="s">
        <v>281</v>
      </c>
      <c r="Y449" s="225" t="s">
        <v>281</v>
      </c>
    </row>
    <row r="450" spans="1:25">
      <c r="A450" s="219">
        <v>8</v>
      </c>
      <c r="B450" s="220" t="str">
        <f>VLOOKUP(Tabel10[[#This Row],[Code]],Ruimtegroepen[[Code]:[Ruimte omschrijving]],2,FALSE)</f>
        <v>Kinderopvang</v>
      </c>
      <c r="C450" s="221" t="s">
        <v>656</v>
      </c>
      <c r="D450" s="220" t="s">
        <v>28</v>
      </c>
      <c r="E450" s="221" t="s">
        <v>101</v>
      </c>
      <c r="F450" s="221" t="s">
        <v>659</v>
      </c>
      <c r="G450" s="226" t="s">
        <v>281</v>
      </c>
      <c r="H450" s="222" t="s">
        <v>281</v>
      </c>
      <c r="I450" s="222" t="s">
        <v>17</v>
      </c>
      <c r="J450" s="222" t="s">
        <v>281</v>
      </c>
      <c r="K450" s="222" t="s">
        <v>281</v>
      </c>
      <c r="L450" s="222" t="s">
        <v>281</v>
      </c>
      <c r="M450" s="222" t="s">
        <v>281</v>
      </c>
      <c r="N450" s="222" t="s">
        <v>281</v>
      </c>
      <c r="O450" s="223" t="s">
        <v>17</v>
      </c>
      <c r="P450" s="223" t="s">
        <v>17</v>
      </c>
      <c r="Q450" s="223" t="s">
        <v>15</v>
      </c>
      <c r="R450" s="223" t="s">
        <v>281</v>
      </c>
      <c r="S450" s="223" t="s">
        <v>281</v>
      </c>
      <c r="T450" s="223" t="s">
        <v>281</v>
      </c>
      <c r="U450" s="223" t="s">
        <v>281</v>
      </c>
      <c r="V450" s="223" t="s">
        <v>281</v>
      </c>
      <c r="W450" s="224" t="s">
        <v>281</v>
      </c>
      <c r="X450" s="224" t="s">
        <v>281</v>
      </c>
      <c r="Y450" s="225" t="s">
        <v>281</v>
      </c>
    </row>
    <row r="451" spans="1:25">
      <c r="A451" s="219">
        <v>8</v>
      </c>
      <c r="B451" s="220" t="str">
        <f>VLOOKUP(Tabel10[[#This Row],[Code]],Ruimtegroepen[[Code]:[Ruimte omschrijving]],2,FALSE)</f>
        <v>Kinderopvang</v>
      </c>
      <c r="C451" s="221" t="s">
        <v>656</v>
      </c>
      <c r="D451" s="220" t="s">
        <v>28</v>
      </c>
      <c r="E451" s="221" t="s">
        <v>102</v>
      </c>
      <c r="F451" s="221" t="s">
        <v>660</v>
      </c>
      <c r="G451" s="226" t="s">
        <v>281</v>
      </c>
      <c r="H451" s="222" t="s">
        <v>281</v>
      </c>
      <c r="I451" s="222" t="s">
        <v>17</v>
      </c>
      <c r="J451" s="222" t="s">
        <v>281</v>
      </c>
      <c r="K451" s="222" t="s">
        <v>281</v>
      </c>
      <c r="L451" s="222" t="s">
        <v>281</v>
      </c>
      <c r="M451" s="222" t="s">
        <v>281</v>
      </c>
      <c r="N451" s="222" t="s">
        <v>281</v>
      </c>
      <c r="O451" s="223" t="s">
        <v>17</v>
      </c>
      <c r="P451" s="223" t="s">
        <v>17</v>
      </c>
      <c r="Q451" s="223" t="s">
        <v>15</v>
      </c>
      <c r="R451" s="223" t="s">
        <v>281</v>
      </c>
      <c r="S451" s="223" t="s">
        <v>281</v>
      </c>
      <c r="T451" s="223" t="s">
        <v>281</v>
      </c>
      <c r="U451" s="223" t="s">
        <v>281</v>
      </c>
      <c r="V451" s="223" t="s">
        <v>281</v>
      </c>
      <c r="W451" s="224" t="s">
        <v>281</v>
      </c>
      <c r="X451" s="224" t="s">
        <v>281</v>
      </c>
      <c r="Y451" s="225" t="s">
        <v>281</v>
      </c>
    </row>
    <row r="452" spans="1:25">
      <c r="A452" s="219">
        <v>8</v>
      </c>
      <c r="B452" s="220" t="str">
        <f>VLOOKUP(Tabel10[[#This Row],[Code]],Ruimtegroepen[[Code]:[Ruimte omschrijving]],2,FALSE)</f>
        <v>Kinderopvang</v>
      </c>
      <c r="C452" s="221" t="s">
        <v>656</v>
      </c>
      <c r="D452" s="220" t="s">
        <v>28</v>
      </c>
      <c r="E452" s="221" t="s">
        <v>99</v>
      </c>
      <c r="F452" s="221" t="s">
        <v>658</v>
      </c>
      <c r="G452" s="226" t="s">
        <v>281</v>
      </c>
      <c r="H452" s="222" t="s">
        <v>17</v>
      </c>
      <c r="I452" s="222" t="s">
        <v>281</v>
      </c>
      <c r="J452" s="222" t="s">
        <v>281</v>
      </c>
      <c r="K452" s="222" t="s">
        <v>281</v>
      </c>
      <c r="L452" s="222" t="s">
        <v>281</v>
      </c>
      <c r="M452" s="222" t="s">
        <v>281</v>
      </c>
      <c r="N452" s="222" t="s">
        <v>281</v>
      </c>
      <c r="O452" s="223" t="s">
        <v>17</v>
      </c>
      <c r="P452" s="223" t="s">
        <v>17</v>
      </c>
      <c r="Q452" s="223" t="s">
        <v>15</v>
      </c>
      <c r="R452" s="223" t="s">
        <v>281</v>
      </c>
      <c r="S452" s="223" t="s">
        <v>281</v>
      </c>
      <c r="T452" s="223" t="s">
        <v>281</v>
      </c>
      <c r="U452" s="223" t="s">
        <v>281</v>
      </c>
      <c r="V452" s="223" t="s">
        <v>281</v>
      </c>
      <c r="W452" s="224" t="s">
        <v>281</v>
      </c>
      <c r="X452" s="224" t="s">
        <v>281</v>
      </c>
      <c r="Y452" s="225" t="s">
        <v>281</v>
      </c>
    </row>
    <row r="453" spans="1:25">
      <c r="A453" s="219">
        <v>8</v>
      </c>
      <c r="B453" s="220" t="str">
        <f>VLOOKUP(Tabel10[[#This Row],[Code]],Ruimtegroepen[[Code]:[Ruimte omschrijving]],2,FALSE)</f>
        <v>Kinderopvang</v>
      </c>
      <c r="C453" s="221" t="s">
        <v>656</v>
      </c>
      <c r="D453" s="220" t="s">
        <v>28</v>
      </c>
      <c r="E453" s="221" t="s">
        <v>1309</v>
      </c>
      <c r="F453" s="221" t="s">
        <v>1414</v>
      </c>
      <c r="G453" s="226" t="s">
        <v>281</v>
      </c>
      <c r="H453" s="222" t="s">
        <v>281</v>
      </c>
      <c r="I453" s="222" t="s">
        <v>17</v>
      </c>
      <c r="J453" s="222" t="s">
        <v>281</v>
      </c>
      <c r="K453" s="222" t="s">
        <v>281</v>
      </c>
      <c r="L453" s="222" t="s">
        <v>281</v>
      </c>
      <c r="M453" s="222" t="s">
        <v>281</v>
      </c>
      <c r="N453" s="222" t="s">
        <v>281</v>
      </c>
      <c r="O453" s="223" t="s">
        <v>17</v>
      </c>
      <c r="P453" s="223" t="s">
        <v>17</v>
      </c>
      <c r="Q453" s="223" t="s">
        <v>15</v>
      </c>
      <c r="R453" s="223" t="s">
        <v>281</v>
      </c>
      <c r="S453" s="223" t="s">
        <v>281</v>
      </c>
      <c r="T453" s="223" t="s">
        <v>281</v>
      </c>
      <c r="U453" s="223" t="s">
        <v>281</v>
      </c>
      <c r="V453" s="223" t="s">
        <v>281</v>
      </c>
      <c r="W453" s="224" t="s">
        <v>281</v>
      </c>
      <c r="X453" s="224" t="s">
        <v>281</v>
      </c>
      <c r="Y453" s="225" t="s">
        <v>281</v>
      </c>
    </row>
    <row r="454" spans="1:25">
      <c r="A454" s="219">
        <v>9</v>
      </c>
      <c r="B454" s="220" t="str">
        <f>VLOOKUP(Tabel10[[#This Row],[Code]],Ruimtegroepen[[Code]:[Ruimte omschrijving]],2,FALSE)</f>
        <v>Bibliotheek/OLC</v>
      </c>
      <c r="C454" s="221" t="s">
        <v>661</v>
      </c>
      <c r="D454" s="220" t="s">
        <v>29</v>
      </c>
      <c r="E454" s="221" t="s">
        <v>100</v>
      </c>
      <c r="F454" s="221" t="s">
        <v>662</v>
      </c>
      <c r="G454" s="226" t="s">
        <v>281</v>
      </c>
      <c r="H454" s="222" t="s">
        <v>281</v>
      </c>
      <c r="I454" s="222" t="s">
        <v>20</v>
      </c>
      <c r="J454" s="222" t="s">
        <v>15</v>
      </c>
      <c r="K454" s="222" t="s">
        <v>281</v>
      </c>
      <c r="L454" s="222" t="s">
        <v>281</v>
      </c>
      <c r="M454" s="222" t="s">
        <v>281</v>
      </c>
      <c r="N454" s="222" t="s">
        <v>2</v>
      </c>
      <c r="O454" s="223" t="s">
        <v>2</v>
      </c>
      <c r="P454" s="223" t="s">
        <v>2</v>
      </c>
      <c r="Q454" s="223" t="s">
        <v>15</v>
      </c>
      <c r="R454" s="223" t="s">
        <v>15</v>
      </c>
      <c r="S454" s="223" t="s">
        <v>16</v>
      </c>
      <c r="T454" s="223" t="s">
        <v>328</v>
      </c>
      <c r="U454" s="223" t="s">
        <v>248</v>
      </c>
      <c r="V454" s="223" t="s">
        <v>2</v>
      </c>
      <c r="W454" s="224" t="s">
        <v>281</v>
      </c>
      <c r="X454" s="224" t="s">
        <v>281</v>
      </c>
      <c r="Y454" s="225" t="s">
        <v>281</v>
      </c>
    </row>
    <row r="455" spans="1:25">
      <c r="A455" s="219">
        <v>9</v>
      </c>
      <c r="B455" s="220" t="str">
        <f>VLOOKUP(Tabel10[[#This Row],[Code]],Ruimtegroepen[[Code]:[Ruimte omschrijving]],2,FALSE)</f>
        <v>Bibliotheek/OLC</v>
      </c>
      <c r="C455" s="221" t="s">
        <v>661</v>
      </c>
      <c r="D455" s="220" t="s">
        <v>29</v>
      </c>
      <c r="E455" s="221" t="s">
        <v>99</v>
      </c>
      <c r="F455" s="221" t="s">
        <v>663</v>
      </c>
      <c r="G455" s="226" t="s">
        <v>281</v>
      </c>
      <c r="H455" s="222" t="s">
        <v>2</v>
      </c>
      <c r="I455" s="222" t="s">
        <v>281</v>
      </c>
      <c r="J455" s="222" t="s">
        <v>281</v>
      </c>
      <c r="K455" s="222" t="s">
        <v>281</v>
      </c>
      <c r="L455" s="222" t="s">
        <v>281</v>
      </c>
      <c r="M455" s="222" t="s">
        <v>281</v>
      </c>
      <c r="N455" s="222" t="s">
        <v>2</v>
      </c>
      <c r="O455" s="223" t="s">
        <v>2</v>
      </c>
      <c r="P455" s="223" t="s">
        <v>2</v>
      </c>
      <c r="Q455" s="223" t="s">
        <v>15</v>
      </c>
      <c r="R455" s="223" t="s">
        <v>15</v>
      </c>
      <c r="S455" s="223" t="s">
        <v>16</v>
      </c>
      <c r="T455" s="223" t="s">
        <v>328</v>
      </c>
      <c r="U455" s="223" t="s">
        <v>248</v>
      </c>
      <c r="V455" s="223" t="s">
        <v>2</v>
      </c>
      <c r="W455" s="224" t="s">
        <v>281</v>
      </c>
      <c r="X455" s="224" t="s">
        <v>281</v>
      </c>
      <c r="Y455" s="225" t="s">
        <v>281</v>
      </c>
    </row>
    <row r="456" spans="1:25">
      <c r="A456" s="219">
        <v>9</v>
      </c>
      <c r="B456" s="220" t="str">
        <f>VLOOKUP(Tabel10[[#This Row],[Code]],Ruimtegroepen[[Code]:[Ruimte omschrijving]],2,FALSE)</f>
        <v>Bibliotheek/OLC</v>
      </c>
      <c r="C456" s="221" t="s">
        <v>661</v>
      </c>
      <c r="D456" s="220" t="s">
        <v>29</v>
      </c>
      <c r="E456" s="221" t="s">
        <v>101</v>
      </c>
      <c r="F456" s="221" t="s">
        <v>664</v>
      </c>
      <c r="G456" s="226" t="s">
        <v>281</v>
      </c>
      <c r="H456" s="222" t="s">
        <v>281</v>
      </c>
      <c r="I456" s="222" t="s">
        <v>20</v>
      </c>
      <c r="J456" s="222" t="s">
        <v>15</v>
      </c>
      <c r="K456" s="222" t="s">
        <v>282</v>
      </c>
      <c r="L456" s="222" t="s">
        <v>281</v>
      </c>
      <c r="M456" s="222" t="s">
        <v>281</v>
      </c>
      <c r="N456" s="222" t="s">
        <v>2</v>
      </c>
      <c r="O456" s="223" t="s">
        <v>2</v>
      </c>
      <c r="P456" s="223" t="s">
        <v>2</v>
      </c>
      <c r="Q456" s="223" t="s">
        <v>15</v>
      </c>
      <c r="R456" s="223" t="s">
        <v>15</v>
      </c>
      <c r="S456" s="223" t="s">
        <v>16</v>
      </c>
      <c r="T456" s="223" t="s">
        <v>328</v>
      </c>
      <c r="U456" s="223" t="s">
        <v>248</v>
      </c>
      <c r="V456" s="223" t="s">
        <v>2</v>
      </c>
      <c r="W456" s="224" t="s">
        <v>281</v>
      </c>
      <c r="X456" s="224" t="s">
        <v>281</v>
      </c>
      <c r="Y456" s="225" t="s">
        <v>281</v>
      </c>
    </row>
    <row r="457" spans="1:25">
      <c r="A457" s="219">
        <v>9</v>
      </c>
      <c r="B457" s="220" t="str">
        <f>VLOOKUP(Tabel10[[#This Row],[Code]],Ruimtegroepen[[Code]:[Ruimte omschrijving]],2,FALSE)</f>
        <v>Bibliotheek/OLC</v>
      </c>
      <c r="C457" s="221" t="s">
        <v>661</v>
      </c>
      <c r="D457" s="220" t="s">
        <v>29</v>
      </c>
      <c r="E457" s="221" t="s">
        <v>102</v>
      </c>
      <c r="F457" s="221" t="s">
        <v>665</v>
      </c>
      <c r="G457" s="226" t="s">
        <v>281</v>
      </c>
      <c r="H457" s="222" t="s">
        <v>281</v>
      </c>
      <c r="I457" s="222" t="s">
        <v>20</v>
      </c>
      <c r="J457" s="222" t="s">
        <v>15</v>
      </c>
      <c r="K457" s="222" t="s">
        <v>282</v>
      </c>
      <c r="L457" s="222" t="s">
        <v>281</v>
      </c>
      <c r="M457" s="222" t="s">
        <v>281</v>
      </c>
      <c r="N457" s="222" t="s">
        <v>2</v>
      </c>
      <c r="O457" s="223" t="s">
        <v>2</v>
      </c>
      <c r="P457" s="223" t="s">
        <v>2</v>
      </c>
      <c r="Q457" s="223" t="s">
        <v>15</v>
      </c>
      <c r="R457" s="223" t="s">
        <v>15</v>
      </c>
      <c r="S457" s="223" t="s">
        <v>16</v>
      </c>
      <c r="T457" s="223" t="s">
        <v>328</v>
      </c>
      <c r="U457" s="223" t="s">
        <v>248</v>
      </c>
      <c r="V457" s="223" t="s">
        <v>2</v>
      </c>
      <c r="W457" s="224" t="s">
        <v>281</v>
      </c>
      <c r="X457" s="224" t="s">
        <v>281</v>
      </c>
      <c r="Y457" s="225" t="s">
        <v>281</v>
      </c>
    </row>
    <row r="458" spans="1:25">
      <c r="A458" s="219">
        <v>9</v>
      </c>
      <c r="B458" s="220" t="str">
        <f>VLOOKUP(Tabel10[[#This Row],[Code]],Ruimtegroepen[[Code]:[Ruimte omschrijving]],2,FALSE)</f>
        <v>Bibliotheek/OLC</v>
      </c>
      <c r="C458" s="221" t="s">
        <v>661</v>
      </c>
      <c r="D458" s="220" t="s">
        <v>29</v>
      </c>
      <c r="E458" s="221" t="s">
        <v>99</v>
      </c>
      <c r="F458" s="221" t="s">
        <v>663</v>
      </c>
      <c r="G458" s="226" t="s">
        <v>281</v>
      </c>
      <c r="H458" s="222" t="s">
        <v>2</v>
      </c>
      <c r="I458" s="222" t="s">
        <v>281</v>
      </c>
      <c r="J458" s="222" t="s">
        <v>281</v>
      </c>
      <c r="K458" s="222" t="s">
        <v>281</v>
      </c>
      <c r="L458" s="222" t="s">
        <v>281</v>
      </c>
      <c r="M458" s="222" t="s">
        <v>281</v>
      </c>
      <c r="N458" s="222" t="s">
        <v>2</v>
      </c>
      <c r="O458" s="223" t="s">
        <v>2</v>
      </c>
      <c r="P458" s="223" t="s">
        <v>2</v>
      </c>
      <c r="Q458" s="223" t="s">
        <v>15</v>
      </c>
      <c r="R458" s="223" t="s">
        <v>15</v>
      </c>
      <c r="S458" s="223" t="s">
        <v>16</v>
      </c>
      <c r="T458" s="223" t="s">
        <v>328</v>
      </c>
      <c r="U458" s="223" t="s">
        <v>248</v>
      </c>
      <c r="V458" s="223" t="s">
        <v>2</v>
      </c>
      <c r="W458" s="224" t="s">
        <v>281</v>
      </c>
      <c r="X458" s="224" t="s">
        <v>281</v>
      </c>
      <c r="Y458" s="225" t="s">
        <v>281</v>
      </c>
    </row>
    <row r="459" spans="1:25">
      <c r="A459" s="219">
        <v>9</v>
      </c>
      <c r="B459" s="220" t="str">
        <f>VLOOKUP(Tabel10[[#This Row],[Code]],Ruimtegroepen[[Code]:[Ruimte omschrijving]],2,FALSE)</f>
        <v>Bibliotheek/OLC</v>
      </c>
      <c r="C459" s="221" t="s">
        <v>661</v>
      </c>
      <c r="D459" s="220" t="s">
        <v>29</v>
      </c>
      <c r="E459" s="221" t="s">
        <v>1309</v>
      </c>
      <c r="F459" s="221" t="s">
        <v>1482</v>
      </c>
      <c r="G459" s="226" t="s">
        <v>281</v>
      </c>
      <c r="H459" s="222" t="s">
        <v>281</v>
      </c>
      <c r="I459" s="222" t="s">
        <v>20</v>
      </c>
      <c r="J459" s="222" t="s">
        <v>15</v>
      </c>
      <c r="K459" s="222" t="s">
        <v>282</v>
      </c>
      <c r="L459" s="222" t="s">
        <v>281</v>
      </c>
      <c r="M459" s="222" t="s">
        <v>281</v>
      </c>
      <c r="N459" s="222" t="s">
        <v>2</v>
      </c>
      <c r="O459" s="223" t="s">
        <v>2</v>
      </c>
      <c r="P459" s="223" t="s">
        <v>2</v>
      </c>
      <c r="Q459" s="223" t="s">
        <v>15</v>
      </c>
      <c r="R459" s="223" t="s">
        <v>15</v>
      </c>
      <c r="S459" s="223" t="s">
        <v>16</v>
      </c>
      <c r="T459" s="223" t="s">
        <v>328</v>
      </c>
      <c r="U459" s="223" t="s">
        <v>248</v>
      </c>
      <c r="V459" s="223" t="s">
        <v>2</v>
      </c>
      <c r="W459" s="224" t="s">
        <v>281</v>
      </c>
      <c r="X459" s="224" t="s">
        <v>281</v>
      </c>
      <c r="Y459" s="225" t="s">
        <v>281</v>
      </c>
    </row>
    <row r="460" spans="1:25">
      <c r="A460" s="219">
        <v>9</v>
      </c>
      <c r="B460" s="220" t="str">
        <f>VLOOKUP(Tabel10[[#This Row],[Code]],Ruimtegroepen[[Code]:[Ruimte omschrijving]],2,FALSE)</f>
        <v>Bibliotheek/OLC</v>
      </c>
      <c r="C460" s="221" t="s">
        <v>666</v>
      </c>
      <c r="D460" s="220" t="s">
        <v>1</v>
      </c>
      <c r="E460" s="221" t="s">
        <v>100</v>
      </c>
      <c r="F460" s="221" t="s">
        <v>667</v>
      </c>
      <c r="G460" s="226" t="s">
        <v>281</v>
      </c>
      <c r="H460" s="222" t="s">
        <v>281</v>
      </c>
      <c r="I460" s="222" t="s">
        <v>20</v>
      </c>
      <c r="J460" s="222" t="s">
        <v>15</v>
      </c>
      <c r="K460" s="222" t="s">
        <v>281</v>
      </c>
      <c r="L460" s="222" t="s">
        <v>281</v>
      </c>
      <c r="M460" s="222" t="s">
        <v>281</v>
      </c>
      <c r="N460" s="222" t="s">
        <v>281</v>
      </c>
      <c r="O460" s="223" t="s">
        <v>2</v>
      </c>
      <c r="P460" s="223" t="s">
        <v>2</v>
      </c>
      <c r="Q460" s="223" t="s">
        <v>15</v>
      </c>
      <c r="R460" s="223" t="s">
        <v>15</v>
      </c>
      <c r="S460" s="223" t="s">
        <v>16</v>
      </c>
      <c r="T460" s="223" t="s">
        <v>328</v>
      </c>
      <c r="U460" s="223" t="s">
        <v>248</v>
      </c>
      <c r="V460" s="223" t="s">
        <v>281</v>
      </c>
      <c r="W460" s="224" t="s">
        <v>281</v>
      </c>
      <c r="X460" s="224" t="s">
        <v>281</v>
      </c>
      <c r="Y460" s="225" t="s">
        <v>281</v>
      </c>
    </row>
    <row r="461" spans="1:25">
      <c r="A461" s="219">
        <v>9</v>
      </c>
      <c r="B461" s="220" t="str">
        <f>VLOOKUP(Tabel10[[#This Row],[Code]],Ruimtegroepen[[Code]:[Ruimte omschrijving]],2,FALSE)</f>
        <v>Bibliotheek/OLC</v>
      </c>
      <c r="C461" s="221" t="s">
        <v>666</v>
      </c>
      <c r="D461" s="220" t="s">
        <v>1</v>
      </c>
      <c r="E461" s="221" t="s">
        <v>99</v>
      </c>
      <c r="F461" s="221" t="s">
        <v>668</v>
      </c>
      <c r="G461" s="226" t="s">
        <v>281</v>
      </c>
      <c r="H461" s="222" t="s">
        <v>2</v>
      </c>
      <c r="I461" s="222" t="s">
        <v>281</v>
      </c>
      <c r="J461" s="222" t="s">
        <v>281</v>
      </c>
      <c r="K461" s="222" t="s">
        <v>281</v>
      </c>
      <c r="L461" s="222" t="s">
        <v>281</v>
      </c>
      <c r="M461" s="222" t="s">
        <v>281</v>
      </c>
      <c r="N461" s="222" t="s">
        <v>281</v>
      </c>
      <c r="O461" s="223" t="s">
        <v>2</v>
      </c>
      <c r="P461" s="223" t="s">
        <v>2</v>
      </c>
      <c r="Q461" s="223" t="s">
        <v>15</v>
      </c>
      <c r="R461" s="223" t="s">
        <v>15</v>
      </c>
      <c r="S461" s="223" t="s">
        <v>16</v>
      </c>
      <c r="T461" s="223" t="s">
        <v>328</v>
      </c>
      <c r="U461" s="223" t="s">
        <v>248</v>
      </c>
      <c r="V461" s="223" t="s">
        <v>281</v>
      </c>
      <c r="W461" s="224" t="s">
        <v>281</v>
      </c>
      <c r="X461" s="224" t="s">
        <v>281</v>
      </c>
      <c r="Y461" s="225" t="s">
        <v>281</v>
      </c>
    </row>
    <row r="462" spans="1:25">
      <c r="A462" s="219">
        <v>9</v>
      </c>
      <c r="B462" s="220" t="str">
        <f>VLOOKUP(Tabel10[[#This Row],[Code]],Ruimtegroepen[[Code]:[Ruimte omschrijving]],2,FALSE)</f>
        <v>Bibliotheek/OLC</v>
      </c>
      <c r="C462" s="221" t="s">
        <v>666</v>
      </c>
      <c r="D462" s="220" t="s">
        <v>1</v>
      </c>
      <c r="E462" s="221" t="s">
        <v>101</v>
      </c>
      <c r="F462" s="221" t="s">
        <v>669</v>
      </c>
      <c r="G462" s="226" t="s">
        <v>281</v>
      </c>
      <c r="H462" s="222" t="s">
        <v>281</v>
      </c>
      <c r="I462" s="222" t="s">
        <v>20</v>
      </c>
      <c r="J462" s="222" t="s">
        <v>15</v>
      </c>
      <c r="K462" s="222" t="s">
        <v>282</v>
      </c>
      <c r="L462" s="222" t="s">
        <v>281</v>
      </c>
      <c r="M462" s="222" t="s">
        <v>281</v>
      </c>
      <c r="N462" s="222" t="s">
        <v>281</v>
      </c>
      <c r="O462" s="223" t="s">
        <v>2</v>
      </c>
      <c r="P462" s="223" t="s">
        <v>2</v>
      </c>
      <c r="Q462" s="223" t="s">
        <v>15</v>
      </c>
      <c r="R462" s="223" t="s">
        <v>15</v>
      </c>
      <c r="S462" s="223" t="s">
        <v>16</v>
      </c>
      <c r="T462" s="223" t="s">
        <v>328</v>
      </c>
      <c r="U462" s="223" t="s">
        <v>248</v>
      </c>
      <c r="V462" s="223" t="s">
        <v>281</v>
      </c>
      <c r="W462" s="224" t="s">
        <v>281</v>
      </c>
      <c r="X462" s="224" t="s">
        <v>281</v>
      </c>
      <c r="Y462" s="225" t="s">
        <v>281</v>
      </c>
    </row>
    <row r="463" spans="1:25">
      <c r="A463" s="219">
        <v>9</v>
      </c>
      <c r="B463" s="220" t="str">
        <f>VLOOKUP(Tabel10[[#This Row],[Code]],Ruimtegroepen[[Code]:[Ruimte omschrijving]],2,FALSE)</f>
        <v>Bibliotheek/OLC</v>
      </c>
      <c r="C463" s="221" t="s">
        <v>666</v>
      </c>
      <c r="D463" s="220" t="s">
        <v>1</v>
      </c>
      <c r="E463" s="221" t="s">
        <v>102</v>
      </c>
      <c r="F463" s="221" t="s">
        <v>670</v>
      </c>
      <c r="G463" s="226" t="s">
        <v>281</v>
      </c>
      <c r="H463" s="222" t="s">
        <v>281</v>
      </c>
      <c r="I463" s="222" t="s">
        <v>2</v>
      </c>
      <c r="J463" s="222" t="s">
        <v>281</v>
      </c>
      <c r="K463" s="222" t="s">
        <v>282</v>
      </c>
      <c r="L463" s="222" t="s">
        <v>281</v>
      </c>
      <c r="M463" s="222" t="s">
        <v>281</v>
      </c>
      <c r="N463" s="222" t="s">
        <v>281</v>
      </c>
      <c r="O463" s="223" t="s">
        <v>2</v>
      </c>
      <c r="P463" s="223" t="s">
        <v>2</v>
      </c>
      <c r="Q463" s="223" t="s">
        <v>15</v>
      </c>
      <c r="R463" s="223" t="s">
        <v>15</v>
      </c>
      <c r="S463" s="223" t="s">
        <v>16</v>
      </c>
      <c r="T463" s="223" t="s">
        <v>328</v>
      </c>
      <c r="U463" s="223" t="s">
        <v>248</v>
      </c>
      <c r="V463" s="223" t="s">
        <v>281</v>
      </c>
      <c r="W463" s="224" t="s">
        <v>281</v>
      </c>
      <c r="X463" s="224" t="s">
        <v>281</v>
      </c>
      <c r="Y463" s="225" t="s">
        <v>281</v>
      </c>
    </row>
    <row r="464" spans="1:25">
      <c r="A464" s="219">
        <v>9</v>
      </c>
      <c r="B464" s="220" t="str">
        <f>VLOOKUP(Tabel10[[#This Row],[Code]],Ruimtegroepen[[Code]:[Ruimte omschrijving]],2,FALSE)</f>
        <v>Bibliotheek/OLC</v>
      </c>
      <c r="C464" s="221" t="s">
        <v>666</v>
      </c>
      <c r="D464" s="220" t="s">
        <v>1</v>
      </c>
      <c r="E464" s="221" t="s">
        <v>99</v>
      </c>
      <c r="F464" s="221" t="s">
        <v>668</v>
      </c>
      <c r="G464" s="226" t="s">
        <v>281</v>
      </c>
      <c r="H464" s="222" t="s">
        <v>2</v>
      </c>
      <c r="I464" s="222" t="s">
        <v>281</v>
      </c>
      <c r="J464" s="222" t="s">
        <v>281</v>
      </c>
      <c r="K464" s="222" t="s">
        <v>281</v>
      </c>
      <c r="L464" s="222" t="s">
        <v>281</v>
      </c>
      <c r="M464" s="222" t="s">
        <v>281</v>
      </c>
      <c r="N464" s="222" t="s">
        <v>281</v>
      </c>
      <c r="O464" s="223" t="s">
        <v>2</v>
      </c>
      <c r="P464" s="223" t="s">
        <v>2</v>
      </c>
      <c r="Q464" s="223" t="s">
        <v>15</v>
      </c>
      <c r="R464" s="223" t="s">
        <v>15</v>
      </c>
      <c r="S464" s="223" t="s">
        <v>16</v>
      </c>
      <c r="T464" s="223" t="s">
        <v>328</v>
      </c>
      <c r="U464" s="223" t="s">
        <v>248</v>
      </c>
      <c r="V464" s="223" t="s">
        <v>281</v>
      </c>
      <c r="W464" s="224" t="s">
        <v>281</v>
      </c>
      <c r="X464" s="224" t="s">
        <v>281</v>
      </c>
      <c r="Y464" s="225" t="s">
        <v>281</v>
      </c>
    </row>
    <row r="465" spans="1:25">
      <c r="A465" s="219">
        <v>9</v>
      </c>
      <c r="B465" s="220" t="str">
        <f>VLOOKUP(Tabel10[[#This Row],[Code]],Ruimtegroepen[[Code]:[Ruimte omschrijving]],2,FALSE)</f>
        <v>Bibliotheek/OLC</v>
      </c>
      <c r="C465" s="221" t="s">
        <v>666</v>
      </c>
      <c r="D465" s="220" t="s">
        <v>1</v>
      </c>
      <c r="E465" s="221" t="s">
        <v>1309</v>
      </c>
      <c r="F465" s="221" t="s">
        <v>1466</v>
      </c>
      <c r="G465" s="226" t="s">
        <v>281</v>
      </c>
      <c r="H465" s="222" t="s">
        <v>281</v>
      </c>
      <c r="I465" s="222" t="s">
        <v>2</v>
      </c>
      <c r="J465" s="222" t="s">
        <v>281</v>
      </c>
      <c r="K465" s="222" t="s">
        <v>282</v>
      </c>
      <c r="L465" s="222" t="s">
        <v>281</v>
      </c>
      <c r="M465" s="222" t="s">
        <v>281</v>
      </c>
      <c r="N465" s="222" t="s">
        <v>281</v>
      </c>
      <c r="O465" s="223" t="s">
        <v>2</v>
      </c>
      <c r="P465" s="223" t="s">
        <v>2</v>
      </c>
      <c r="Q465" s="223" t="s">
        <v>15</v>
      </c>
      <c r="R465" s="223" t="s">
        <v>15</v>
      </c>
      <c r="S465" s="223" t="s">
        <v>16</v>
      </c>
      <c r="T465" s="223" t="s">
        <v>328</v>
      </c>
      <c r="U465" s="223" t="s">
        <v>248</v>
      </c>
      <c r="V465" s="223" t="s">
        <v>281</v>
      </c>
      <c r="W465" s="224" t="s">
        <v>281</v>
      </c>
      <c r="X465" s="224" t="s">
        <v>281</v>
      </c>
      <c r="Y465" s="225" t="s">
        <v>281</v>
      </c>
    </row>
    <row r="466" spans="1:25">
      <c r="A466" s="219">
        <v>9</v>
      </c>
      <c r="B466" s="220" t="str">
        <f>VLOOKUP(Tabel10[[#This Row],[Code]],Ruimtegroepen[[Code]:[Ruimte omschrijving]],2,FALSE)</f>
        <v>Bibliotheek/OLC</v>
      </c>
      <c r="C466" s="221" t="s">
        <v>671</v>
      </c>
      <c r="D466" s="220" t="s">
        <v>21</v>
      </c>
      <c r="E466" s="221" t="s">
        <v>100</v>
      </c>
      <c r="F466" s="221" t="s">
        <v>672</v>
      </c>
      <c r="G466" s="226" t="s">
        <v>281</v>
      </c>
      <c r="H466" s="222" t="s">
        <v>281</v>
      </c>
      <c r="I466" s="222" t="s">
        <v>18</v>
      </c>
      <c r="J466" s="222" t="s">
        <v>15</v>
      </c>
      <c r="K466" s="222" t="s">
        <v>281</v>
      </c>
      <c r="L466" s="222" t="s">
        <v>281</v>
      </c>
      <c r="M466" s="222" t="s">
        <v>281</v>
      </c>
      <c r="N466" s="222" t="s">
        <v>281</v>
      </c>
      <c r="O466" s="223" t="s">
        <v>20</v>
      </c>
      <c r="P466" s="223" t="s">
        <v>20</v>
      </c>
      <c r="Q466" s="223" t="s">
        <v>15</v>
      </c>
      <c r="R466" s="223" t="s">
        <v>15</v>
      </c>
      <c r="S466" s="223" t="s">
        <v>16</v>
      </c>
      <c r="T466" s="223" t="s">
        <v>328</v>
      </c>
      <c r="U466" s="223" t="s">
        <v>248</v>
      </c>
      <c r="V466" s="223" t="s">
        <v>281</v>
      </c>
      <c r="W466" s="224" t="s">
        <v>281</v>
      </c>
      <c r="X466" s="224" t="s">
        <v>281</v>
      </c>
      <c r="Y466" s="225" t="s">
        <v>281</v>
      </c>
    </row>
    <row r="467" spans="1:25">
      <c r="A467" s="219">
        <v>9</v>
      </c>
      <c r="B467" s="220" t="str">
        <f>VLOOKUP(Tabel10[[#This Row],[Code]],Ruimtegroepen[[Code]:[Ruimte omschrijving]],2,FALSE)</f>
        <v>Bibliotheek/OLC</v>
      </c>
      <c r="C467" s="221" t="s">
        <v>671</v>
      </c>
      <c r="D467" s="220" t="s">
        <v>21</v>
      </c>
      <c r="E467" s="221" t="s">
        <v>99</v>
      </c>
      <c r="F467" s="221" t="s">
        <v>673</v>
      </c>
      <c r="G467" s="226" t="s">
        <v>281</v>
      </c>
      <c r="H467" s="222" t="s">
        <v>20</v>
      </c>
      <c r="I467" s="222" t="s">
        <v>281</v>
      </c>
      <c r="J467" s="222" t="s">
        <v>281</v>
      </c>
      <c r="K467" s="222" t="s">
        <v>281</v>
      </c>
      <c r="L467" s="222" t="s">
        <v>281</v>
      </c>
      <c r="M467" s="222" t="s">
        <v>281</v>
      </c>
      <c r="N467" s="222" t="s">
        <v>281</v>
      </c>
      <c r="O467" s="223" t="s">
        <v>20</v>
      </c>
      <c r="P467" s="223" t="s">
        <v>20</v>
      </c>
      <c r="Q467" s="223" t="s">
        <v>15</v>
      </c>
      <c r="R467" s="223" t="s">
        <v>15</v>
      </c>
      <c r="S467" s="223" t="s">
        <v>16</v>
      </c>
      <c r="T467" s="223" t="s">
        <v>328</v>
      </c>
      <c r="U467" s="223" t="s">
        <v>248</v>
      </c>
      <c r="V467" s="223" t="s">
        <v>281</v>
      </c>
      <c r="W467" s="224" t="s">
        <v>281</v>
      </c>
      <c r="X467" s="224" t="s">
        <v>281</v>
      </c>
      <c r="Y467" s="225" t="s">
        <v>281</v>
      </c>
    </row>
    <row r="468" spans="1:25">
      <c r="A468" s="219">
        <v>9</v>
      </c>
      <c r="B468" s="220" t="str">
        <f>VLOOKUP(Tabel10[[#This Row],[Code]],Ruimtegroepen[[Code]:[Ruimte omschrijving]],2,FALSE)</f>
        <v>Bibliotheek/OLC</v>
      </c>
      <c r="C468" s="221" t="s">
        <v>671</v>
      </c>
      <c r="D468" s="220" t="s">
        <v>21</v>
      </c>
      <c r="E468" s="221" t="s">
        <v>101</v>
      </c>
      <c r="F468" s="221" t="s">
        <v>674</v>
      </c>
      <c r="G468" s="226" t="s">
        <v>281</v>
      </c>
      <c r="H468" s="222" t="s">
        <v>281</v>
      </c>
      <c r="I468" s="222" t="s">
        <v>18</v>
      </c>
      <c r="J468" s="222" t="s">
        <v>15</v>
      </c>
      <c r="K468" s="222" t="s">
        <v>282</v>
      </c>
      <c r="L468" s="222" t="s">
        <v>281</v>
      </c>
      <c r="M468" s="222" t="s">
        <v>281</v>
      </c>
      <c r="N468" s="222" t="s">
        <v>281</v>
      </c>
      <c r="O468" s="223" t="s">
        <v>20</v>
      </c>
      <c r="P468" s="223" t="s">
        <v>20</v>
      </c>
      <c r="Q468" s="223" t="s">
        <v>15</v>
      </c>
      <c r="R468" s="223" t="s">
        <v>15</v>
      </c>
      <c r="S468" s="223" t="s">
        <v>16</v>
      </c>
      <c r="T468" s="223" t="s">
        <v>328</v>
      </c>
      <c r="U468" s="223" t="s">
        <v>248</v>
      </c>
      <c r="V468" s="223" t="s">
        <v>281</v>
      </c>
      <c r="W468" s="224" t="s">
        <v>281</v>
      </c>
      <c r="X468" s="224" t="s">
        <v>281</v>
      </c>
      <c r="Y468" s="225" t="s">
        <v>281</v>
      </c>
    </row>
    <row r="469" spans="1:25">
      <c r="A469" s="219">
        <v>9</v>
      </c>
      <c r="B469" s="220" t="str">
        <f>VLOOKUP(Tabel10[[#This Row],[Code]],Ruimtegroepen[[Code]:[Ruimte omschrijving]],2,FALSE)</f>
        <v>Bibliotheek/OLC</v>
      </c>
      <c r="C469" s="221" t="s">
        <v>671</v>
      </c>
      <c r="D469" s="220" t="s">
        <v>21</v>
      </c>
      <c r="E469" s="221" t="s">
        <v>102</v>
      </c>
      <c r="F469" s="221" t="s">
        <v>675</v>
      </c>
      <c r="G469" s="226" t="s">
        <v>281</v>
      </c>
      <c r="H469" s="222" t="s">
        <v>281</v>
      </c>
      <c r="I469" s="222" t="s">
        <v>18</v>
      </c>
      <c r="J469" s="222" t="s">
        <v>15</v>
      </c>
      <c r="K469" s="222" t="s">
        <v>282</v>
      </c>
      <c r="L469" s="222" t="s">
        <v>281</v>
      </c>
      <c r="M469" s="222" t="s">
        <v>281</v>
      </c>
      <c r="N469" s="222" t="s">
        <v>281</v>
      </c>
      <c r="O469" s="223" t="s">
        <v>20</v>
      </c>
      <c r="P469" s="223" t="s">
        <v>20</v>
      </c>
      <c r="Q469" s="223" t="s">
        <v>15</v>
      </c>
      <c r="R469" s="223" t="s">
        <v>15</v>
      </c>
      <c r="S469" s="223" t="s">
        <v>16</v>
      </c>
      <c r="T469" s="223" t="s">
        <v>328</v>
      </c>
      <c r="U469" s="223" t="s">
        <v>248</v>
      </c>
      <c r="V469" s="223" t="s">
        <v>281</v>
      </c>
      <c r="W469" s="224" t="s">
        <v>281</v>
      </c>
      <c r="X469" s="224" t="s">
        <v>281</v>
      </c>
      <c r="Y469" s="225" t="s">
        <v>281</v>
      </c>
    </row>
    <row r="470" spans="1:25">
      <c r="A470" s="219">
        <v>9</v>
      </c>
      <c r="B470" s="220" t="str">
        <f>VLOOKUP(Tabel10[[#This Row],[Code]],Ruimtegroepen[[Code]:[Ruimte omschrijving]],2,FALSE)</f>
        <v>Bibliotheek/OLC</v>
      </c>
      <c r="C470" s="221" t="s">
        <v>671</v>
      </c>
      <c r="D470" s="220" t="s">
        <v>21</v>
      </c>
      <c r="E470" s="221" t="s">
        <v>99</v>
      </c>
      <c r="F470" s="221" t="s">
        <v>673</v>
      </c>
      <c r="G470" s="226" t="s">
        <v>281</v>
      </c>
      <c r="H470" s="222" t="s">
        <v>20</v>
      </c>
      <c r="I470" s="222" t="s">
        <v>281</v>
      </c>
      <c r="J470" s="222" t="s">
        <v>281</v>
      </c>
      <c r="K470" s="222" t="s">
        <v>281</v>
      </c>
      <c r="L470" s="222" t="s">
        <v>281</v>
      </c>
      <c r="M470" s="222" t="s">
        <v>281</v>
      </c>
      <c r="N470" s="222" t="s">
        <v>281</v>
      </c>
      <c r="O470" s="223" t="s">
        <v>20</v>
      </c>
      <c r="P470" s="223" t="s">
        <v>20</v>
      </c>
      <c r="Q470" s="223" t="s">
        <v>15</v>
      </c>
      <c r="R470" s="223" t="s">
        <v>15</v>
      </c>
      <c r="S470" s="223" t="s">
        <v>16</v>
      </c>
      <c r="T470" s="223" t="s">
        <v>328</v>
      </c>
      <c r="U470" s="223" t="s">
        <v>248</v>
      </c>
      <c r="V470" s="223" t="s">
        <v>281</v>
      </c>
      <c r="W470" s="224" t="s">
        <v>281</v>
      </c>
      <c r="X470" s="224" t="s">
        <v>281</v>
      </c>
      <c r="Y470" s="225" t="s">
        <v>281</v>
      </c>
    </row>
    <row r="471" spans="1:25">
      <c r="A471" s="219">
        <v>9</v>
      </c>
      <c r="B471" s="220" t="str">
        <f>VLOOKUP(Tabel10[[#This Row],[Code]],Ruimtegroepen[[Code]:[Ruimte omschrijving]],2,FALSE)</f>
        <v>Bibliotheek/OLC</v>
      </c>
      <c r="C471" s="221" t="s">
        <v>671</v>
      </c>
      <c r="D471" s="220" t="s">
        <v>21</v>
      </c>
      <c r="E471" s="221" t="s">
        <v>1309</v>
      </c>
      <c r="F471" s="221" t="s">
        <v>1449</v>
      </c>
      <c r="G471" s="226" t="s">
        <v>281</v>
      </c>
      <c r="H471" s="222" t="s">
        <v>281</v>
      </c>
      <c r="I471" s="222" t="s">
        <v>18</v>
      </c>
      <c r="J471" s="222" t="s">
        <v>15</v>
      </c>
      <c r="K471" s="222" t="s">
        <v>282</v>
      </c>
      <c r="L471" s="222" t="s">
        <v>281</v>
      </c>
      <c r="M471" s="222" t="s">
        <v>281</v>
      </c>
      <c r="N471" s="222" t="s">
        <v>281</v>
      </c>
      <c r="O471" s="223" t="s">
        <v>20</v>
      </c>
      <c r="P471" s="223" t="s">
        <v>20</v>
      </c>
      <c r="Q471" s="223" t="s">
        <v>15</v>
      </c>
      <c r="R471" s="223" t="s">
        <v>15</v>
      </c>
      <c r="S471" s="223" t="s">
        <v>16</v>
      </c>
      <c r="T471" s="223" t="s">
        <v>328</v>
      </c>
      <c r="U471" s="223" t="s">
        <v>248</v>
      </c>
      <c r="V471" s="223" t="s">
        <v>281</v>
      </c>
      <c r="W471" s="224" t="s">
        <v>281</v>
      </c>
      <c r="X471" s="224" t="s">
        <v>281</v>
      </c>
      <c r="Y471" s="225" t="s">
        <v>281</v>
      </c>
    </row>
    <row r="472" spans="1:25">
      <c r="A472" s="219">
        <v>9</v>
      </c>
      <c r="B472" s="220" t="str">
        <f>VLOOKUP(Tabel10[[#This Row],[Code]],Ruimtegroepen[[Code]:[Ruimte omschrijving]],2,FALSE)</f>
        <v>Bibliotheek/OLC</v>
      </c>
      <c r="C472" s="221" t="s">
        <v>676</v>
      </c>
      <c r="D472" s="220" t="s">
        <v>12</v>
      </c>
      <c r="E472" s="221" t="s">
        <v>100</v>
      </c>
      <c r="F472" s="221" t="s">
        <v>677</v>
      </c>
      <c r="G472" s="226" t="s">
        <v>281</v>
      </c>
      <c r="H472" s="222" t="s">
        <v>281</v>
      </c>
      <c r="I472" s="222" t="s">
        <v>17</v>
      </c>
      <c r="J472" s="222" t="s">
        <v>15</v>
      </c>
      <c r="K472" s="222" t="s">
        <v>281</v>
      </c>
      <c r="L472" s="222" t="s">
        <v>281</v>
      </c>
      <c r="M472" s="222" t="s">
        <v>281</v>
      </c>
      <c r="N472" s="222" t="s">
        <v>281</v>
      </c>
      <c r="O472" s="223" t="s">
        <v>18</v>
      </c>
      <c r="P472" s="223" t="s">
        <v>18</v>
      </c>
      <c r="Q472" s="223" t="s">
        <v>15</v>
      </c>
      <c r="R472" s="223" t="s">
        <v>15</v>
      </c>
      <c r="S472" s="223" t="s">
        <v>16</v>
      </c>
      <c r="T472" s="223" t="s">
        <v>328</v>
      </c>
      <c r="U472" s="223" t="s">
        <v>248</v>
      </c>
      <c r="V472" s="223" t="s">
        <v>281</v>
      </c>
      <c r="W472" s="224" t="s">
        <v>281</v>
      </c>
      <c r="X472" s="224" t="s">
        <v>281</v>
      </c>
      <c r="Y472" s="225" t="s">
        <v>281</v>
      </c>
    </row>
    <row r="473" spans="1:25">
      <c r="A473" s="219">
        <v>9</v>
      </c>
      <c r="B473" s="220" t="str">
        <f>VLOOKUP(Tabel10[[#This Row],[Code]],Ruimtegroepen[[Code]:[Ruimte omschrijving]],2,FALSE)</f>
        <v>Bibliotheek/OLC</v>
      </c>
      <c r="C473" s="221" t="s">
        <v>676</v>
      </c>
      <c r="D473" s="220" t="s">
        <v>12</v>
      </c>
      <c r="E473" s="221" t="s">
        <v>99</v>
      </c>
      <c r="F473" s="221" t="s">
        <v>678</v>
      </c>
      <c r="G473" s="226" t="s">
        <v>281</v>
      </c>
      <c r="H473" s="222" t="s">
        <v>18</v>
      </c>
      <c r="I473" s="222" t="s">
        <v>281</v>
      </c>
      <c r="J473" s="222" t="s">
        <v>281</v>
      </c>
      <c r="K473" s="222" t="s">
        <v>281</v>
      </c>
      <c r="L473" s="222" t="s">
        <v>281</v>
      </c>
      <c r="M473" s="222" t="s">
        <v>281</v>
      </c>
      <c r="N473" s="222" t="s">
        <v>281</v>
      </c>
      <c r="O473" s="223" t="s">
        <v>18</v>
      </c>
      <c r="P473" s="223" t="s">
        <v>18</v>
      </c>
      <c r="Q473" s="223" t="s">
        <v>15</v>
      </c>
      <c r="R473" s="223" t="s">
        <v>15</v>
      </c>
      <c r="S473" s="223" t="s">
        <v>16</v>
      </c>
      <c r="T473" s="223" t="s">
        <v>328</v>
      </c>
      <c r="U473" s="223" t="s">
        <v>248</v>
      </c>
      <c r="V473" s="223" t="s">
        <v>281</v>
      </c>
      <c r="W473" s="224" t="s">
        <v>281</v>
      </c>
      <c r="X473" s="224" t="s">
        <v>281</v>
      </c>
      <c r="Y473" s="225" t="s">
        <v>281</v>
      </c>
    </row>
    <row r="474" spans="1:25">
      <c r="A474" s="219">
        <v>9</v>
      </c>
      <c r="B474" s="220" t="str">
        <f>VLOOKUP(Tabel10[[#This Row],[Code]],Ruimtegroepen[[Code]:[Ruimte omschrijving]],2,FALSE)</f>
        <v>Bibliotheek/OLC</v>
      </c>
      <c r="C474" s="221" t="s">
        <v>676</v>
      </c>
      <c r="D474" s="220" t="s">
        <v>12</v>
      </c>
      <c r="E474" s="221" t="s">
        <v>101</v>
      </c>
      <c r="F474" s="221" t="s">
        <v>679</v>
      </c>
      <c r="G474" s="226" t="s">
        <v>281</v>
      </c>
      <c r="H474" s="222" t="s">
        <v>281</v>
      </c>
      <c r="I474" s="222" t="s">
        <v>17</v>
      </c>
      <c r="J474" s="222" t="s">
        <v>15</v>
      </c>
      <c r="K474" s="222" t="s">
        <v>282</v>
      </c>
      <c r="L474" s="222" t="s">
        <v>281</v>
      </c>
      <c r="M474" s="222" t="s">
        <v>281</v>
      </c>
      <c r="N474" s="222" t="s">
        <v>281</v>
      </c>
      <c r="O474" s="223" t="s">
        <v>18</v>
      </c>
      <c r="P474" s="223" t="s">
        <v>18</v>
      </c>
      <c r="Q474" s="223" t="s">
        <v>15</v>
      </c>
      <c r="R474" s="223" t="s">
        <v>15</v>
      </c>
      <c r="S474" s="223" t="s">
        <v>16</v>
      </c>
      <c r="T474" s="223" t="s">
        <v>328</v>
      </c>
      <c r="U474" s="223" t="s">
        <v>248</v>
      </c>
      <c r="V474" s="223" t="s">
        <v>281</v>
      </c>
      <c r="W474" s="224" t="s">
        <v>281</v>
      </c>
      <c r="X474" s="224" t="s">
        <v>281</v>
      </c>
      <c r="Y474" s="225" t="s">
        <v>281</v>
      </c>
    </row>
    <row r="475" spans="1:25">
      <c r="A475" s="219">
        <v>9</v>
      </c>
      <c r="B475" s="220" t="str">
        <f>VLOOKUP(Tabel10[[#This Row],[Code]],Ruimtegroepen[[Code]:[Ruimte omschrijving]],2,FALSE)</f>
        <v>Bibliotheek/OLC</v>
      </c>
      <c r="C475" s="221" t="s">
        <v>676</v>
      </c>
      <c r="D475" s="220" t="s">
        <v>12</v>
      </c>
      <c r="E475" s="221" t="s">
        <v>102</v>
      </c>
      <c r="F475" s="221" t="s">
        <v>680</v>
      </c>
      <c r="G475" s="226" t="s">
        <v>281</v>
      </c>
      <c r="H475" s="222" t="s">
        <v>281</v>
      </c>
      <c r="I475" s="222" t="s">
        <v>17</v>
      </c>
      <c r="J475" s="222" t="s">
        <v>15</v>
      </c>
      <c r="K475" s="222" t="s">
        <v>282</v>
      </c>
      <c r="L475" s="222" t="s">
        <v>281</v>
      </c>
      <c r="M475" s="222" t="s">
        <v>281</v>
      </c>
      <c r="N475" s="222" t="s">
        <v>281</v>
      </c>
      <c r="O475" s="223" t="s">
        <v>18</v>
      </c>
      <c r="P475" s="223" t="s">
        <v>18</v>
      </c>
      <c r="Q475" s="223" t="s">
        <v>15</v>
      </c>
      <c r="R475" s="223" t="s">
        <v>15</v>
      </c>
      <c r="S475" s="223" t="s">
        <v>16</v>
      </c>
      <c r="T475" s="223" t="s">
        <v>328</v>
      </c>
      <c r="U475" s="223" t="s">
        <v>248</v>
      </c>
      <c r="V475" s="223" t="s">
        <v>281</v>
      </c>
      <c r="W475" s="224" t="s">
        <v>281</v>
      </c>
      <c r="X475" s="224" t="s">
        <v>281</v>
      </c>
      <c r="Y475" s="225" t="s">
        <v>281</v>
      </c>
    </row>
    <row r="476" spans="1:25">
      <c r="A476" s="219">
        <v>9</v>
      </c>
      <c r="B476" s="220" t="str">
        <f>VLOOKUP(Tabel10[[#This Row],[Code]],Ruimtegroepen[[Code]:[Ruimte omschrijving]],2,FALSE)</f>
        <v>Bibliotheek/OLC</v>
      </c>
      <c r="C476" s="221" t="s">
        <v>676</v>
      </c>
      <c r="D476" s="220" t="s">
        <v>12</v>
      </c>
      <c r="E476" s="221" t="s">
        <v>99</v>
      </c>
      <c r="F476" s="221" t="s">
        <v>678</v>
      </c>
      <c r="G476" s="226" t="s">
        <v>281</v>
      </c>
      <c r="H476" s="222" t="s">
        <v>18</v>
      </c>
      <c r="I476" s="222" t="s">
        <v>281</v>
      </c>
      <c r="J476" s="222" t="s">
        <v>281</v>
      </c>
      <c r="K476" s="222" t="s">
        <v>281</v>
      </c>
      <c r="L476" s="222" t="s">
        <v>281</v>
      </c>
      <c r="M476" s="222" t="s">
        <v>281</v>
      </c>
      <c r="N476" s="222" t="s">
        <v>281</v>
      </c>
      <c r="O476" s="223" t="s">
        <v>18</v>
      </c>
      <c r="P476" s="223" t="s">
        <v>18</v>
      </c>
      <c r="Q476" s="223" t="s">
        <v>15</v>
      </c>
      <c r="R476" s="223" t="s">
        <v>15</v>
      </c>
      <c r="S476" s="223" t="s">
        <v>16</v>
      </c>
      <c r="T476" s="223" t="s">
        <v>328</v>
      </c>
      <c r="U476" s="223" t="s">
        <v>248</v>
      </c>
      <c r="V476" s="223" t="s">
        <v>281</v>
      </c>
      <c r="W476" s="224" t="s">
        <v>281</v>
      </c>
      <c r="X476" s="224" t="s">
        <v>281</v>
      </c>
      <c r="Y476" s="225" t="s">
        <v>281</v>
      </c>
    </row>
    <row r="477" spans="1:25">
      <c r="A477" s="219">
        <v>9</v>
      </c>
      <c r="B477" s="220" t="str">
        <f>VLOOKUP(Tabel10[[#This Row],[Code]],Ruimtegroepen[[Code]:[Ruimte omschrijving]],2,FALSE)</f>
        <v>Bibliotheek/OLC</v>
      </c>
      <c r="C477" s="221" t="s">
        <v>676</v>
      </c>
      <c r="D477" s="220" t="s">
        <v>12</v>
      </c>
      <c r="E477" s="221" t="s">
        <v>1309</v>
      </c>
      <c r="F477" s="221" t="s">
        <v>1431</v>
      </c>
      <c r="G477" s="226" t="s">
        <v>281</v>
      </c>
      <c r="H477" s="222" t="s">
        <v>281</v>
      </c>
      <c r="I477" s="222" t="s">
        <v>17</v>
      </c>
      <c r="J477" s="222" t="s">
        <v>15</v>
      </c>
      <c r="K477" s="222" t="s">
        <v>282</v>
      </c>
      <c r="L477" s="222" t="s">
        <v>281</v>
      </c>
      <c r="M477" s="222" t="s">
        <v>281</v>
      </c>
      <c r="N477" s="222" t="s">
        <v>281</v>
      </c>
      <c r="O477" s="223" t="s">
        <v>18</v>
      </c>
      <c r="P477" s="223" t="s">
        <v>18</v>
      </c>
      <c r="Q477" s="223" t="s">
        <v>15</v>
      </c>
      <c r="R477" s="223" t="s">
        <v>15</v>
      </c>
      <c r="S477" s="223" t="s">
        <v>16</v>
      </c>
      <c r="T477" s="223" t="s">
        <v>328</v>
      </c>
      <c r="U477" s="223" t="s">
        <v>248</v>
      </c>
      <c r="V477" s="223" t="s">
        <v>281</v>
      </c>
      <c r="W477" s="224" t="s">
        <v>281</v>
      </c>
      <c r="X477" s="224" t="s">
        <v>281</v>
      </c>
      <c r="Y477" s="225" t="s">
        <v>281</v>
      </c>
    </row>
    <row r="478" spans="1:25">
      <c r="A478" s="219">
        <v>9</v>
      </c>
      <c r="B478" s="220" t="str">
        <f>VLOOKUP(Tabel10[[#This Row],[Code]],Ruimtegroepen[[Code]:[Ruimte omschrijving]],2,FALSE)</f>
        <v>Bibliotheek/OLC</v>
      </c>
      <c r="C478" s="221" t="s">
        <v>681</v>
      </c>
      <c r="D478" s="220" t="s">
        <v>14</v>
      </c>
      <c r="E478" s="221" t="s">
        <v>100</v>
      </c>
      <c r="F478" s="221" t="s">
        <v>682</v>
      </c>
      <c r="G478" s="226" t="s">
        <v>281</v>
      </c>
      <c r="H478" s="222" t="s">
        <v>281</v>
      </c>
      <c r="I478" s="222" t="s">
        <v>15</v>
      </c>
      <c r="J478" s="222" t="s">
        <v>15</v>
      </c>
      <c r="K478" s="222" t="s">
        <v>281</v>
      </c>
      <c r="L478" s="222" t="s">
        <v>281</v>
      </c>
      <c r="M478" s="222" t="s">
        <v>281</v>
      </c>
      <c r="N478" s="222" t="s">
        <v>281</v>
      </c>
      <c r="O478" s="223" t="s">
        <v>17</v>
      </c>
      <c r="P478" s="223" t="s">
        <v>17</v>
      </c>
      <c r="Q478" s="223" t="s">
        <v>15</v>
      </c>
      <c r="R478" s="223" t="s">
        <v>15</v>
      </c>
      <c r="S478" s="223" t="s">
        <v>16</v>
      </c>
      <c r="T478" s="223" t="s">
        <v>328</v>
      </c>
      <c r="U478" s="223" t="s">
        <v>248</v>
      </c>
      <c r="V478" s="223" t="s">
        <v>281</v>
      </c>
      <c r="W478" s="224" t="s">
        <v>281</v>
      </c>
      <c r="X478" s="224" t="s">
        <v>281</v>
      </c>
      <c r="Y478" s="225" t="s">
        <v>281</v>
      </c>
    </row>
    <row r="479" spans="1:25">
      <c r="A479" s="219">
        <v>9</v>
      </c>
      <c r="B479" s="220" t="str">
        <f>VLOOKUP(Tabel10[[#This Row],[Code]],Ruimtegroepen[[Code]:[Ruimte omschrijving]],2,FALSE)</f>
        <v>Bibliotheek/OLC</v>
      </c>
      <c r="C479" s="221" t="s">
        <v>681</v>
      </c>
      <c r="D479" s="220" t="s">
        <v>14</v>
      </c>
      <c r="E479" s="221" t="s">
        <v>99</v>
      </c>
      <c r="F479" s="221" t="s">
        <v>683</v>
      </c>
      <c r="G479" s="226" t="s">
        <v>281</v>
      </c>
      <c r="H479" s="222" t="s">
        <v>17</v>
      </c>
      <c r="I479" s="222" t="s">
        <v>281</v>
      </c>
      <c r="J479" s="222" t="s">
        <v>281</v>
      </c>
      <c r="K479" s="222" t="s">
        <v>281</v>
      </c>
      <c r="L479" s="222" t="s">
        <v>281</v>
      </c>
      <c r="M479" s="222" t="s">
        <v>281</v>
      </c>
      <c r="N479" s="222" t="s">
        <v>281</v>
      </c>
      <c r="O479" s="223" t="s">
        <v>17</v>
      </c>
      <c r="P479" s="223" t="s">
        <v>17</v>
      </c>
      <c r="Q479" s="223" t="s">
        <v>15</v>
      </c>
      <c r="R479" s="223" t="s">
        <v>15</v>
      </c>
      <c r="S479" s="223" t="s">
        <v>16</v>
      </c>
      <c r="T479" s="223" t="s">
        <v>328</v>
      </c>
      <c r="U479" s="223" t="s">
        <v>248</v>
      </c>
      <c r="V479" s="223" t="s">
        <v>281</v>
      </c>
      <c r="W479" s="224" t="s">
        <v>281</v>
      </c>
      <c r="X479" s="224" t="s">
        <v>281</v>
      </c>
      <c r="Y479" s="225" t="s">
        <v>281</v>
      </c>
    </row>
    <row r="480" spans="1:25">
      <c r="A480" s="219">
        <v>9</v>
      </c>
      <c r="B480" s="220" t="str">
        <f>VLOOKUP(Tabel10[[#This Row],[Code]],Ruimtegroepen[[Code]:[Ruimte omschrijving]],2,FALSE)</f>
        <v>Bibliotheek/OLC</v>
      </c>
      <c r="C480" s="221" t="s">
        <v>681</v>
      </c>
      <c r="D480" s="220" t="s">
        <v>14</v>
      </c>
      <c r="E480" s="221" t="s">
        <v>101</v>
      </c>
      <c r="F480" s="221" t="s">
        <v>684</v>
      </c>
      <c r="G480" s="226" t="s">
        <v>281</v>
      </c>
      <c r="H480" s="222" t="s">
        <v>281</v>
      </c>
      <c r="I480" s="222" t="s">
        <v>15</v>
      </c>
      <c r="J480" s="222" t="s">
        <v>15</v>
      </c>
      <c r="K480" s="222" t="s">
        <v>282</v>
      </c>
      <c r="L480" s="222" t="s">
        <v>281</v>
      </c>
      <c r="M480" s="222" t="s">
        <v>281</v>
      </c>
      <c r="N480" s="222" t="s">
        <v>281</v>
      </c>
      <c r="O480" s="223" t="s">
        <v>17</v>
      </c>
      <c r="P480" s="223" t="s">
        <v>17</v>
      </c>
      <c r="Q480" s="223" t="s">
        <v>15</v>
      </c>
      <c r="R480" s="223" t="s">
        <v>15</v>
      </c>
      <c r="S480" s="223" t="s">
        <v>16</v>
      </c>
      <c r="T480" s="223" t="s">
        <v>328</v>
      </c>
      <c r="U480" s="223" t="s">
        <v>248</v>
      </c>
      <c r="V480" s="223" t="s">
        <v>281</v>
      </c>
      <c r="W480" s="224" t="s">
        <v>281</v>
      </c>
      <c r="X480" s="224" t="s">
        <v>281</v>
      </c>
      <c r="Y480" s="225" t="s">
        <v>281</v>
      </c>
    </row>
    <row r="481" spans="1:25">
      <c r="A481" s="219">
        <v>9</v>
      </c>
      <c r="B481" s="220" t="str">
        <f>VLOOKUP(Tabel10[[#This Row],[Code]],Ruimtegroepen[[Code]:[Ruimte omschrijving]],2,FALSE)</f>
        <v>Bibliotheek/OLC</v>
      </c>
      <c r="C481" s="221" t="s">
        <v>681</v>
      </c>
      <c r="D481" s="220" t="s">
        <v>14</v>
      </c>
      <c r="E481" s="221" t="s">
        <v>102</v>
      </c>
      <c r="F481" s="221" t="s">
        <v>685</v>
      </c>
      <c r="G481" s="226" t="s">
        <v>281</v>
      </c>
      <c r="H481" s="222" t="s">
        <v>281</v>
      </c>
      <c r="I481" s="222" t="s">
        <v>15</v>
      </c>
      <c r="J481" s="222" t="s">
        <v>15</v>
      </c>
      <c r="K481" s="222" t="s">
        <v>282</v>
      </c>
      <c r="L481" s="222" t="s">
        <v>281</v>
      </c>
      <c r="M481" s="222" t="s">
        <v>281</v>
      </c>
      <c r="N481" s="222" t="s">
        <v>281</v>
      </c>
      <c r="O481" s="223" t="s">
        <v>17</v>
      </c>
      <c r="P481" s="223" t="s">
        <v>17</v>
      </c>
      <c r="Q481" s="223" t="s">
        <v>15</v>
      </c>
      <c r="R481" s="223" t="s">
        <v>15</v>
      </c>
      <c r="S481" s="223" t="s">
        <v>16</v>
      </c>
      <c r="T481" s="223" t="s">
        <v>328</v>
      </c>
      <c r="U481" s="223" t="s">
        <v>248</v>
      </c>
      <c r="V481" s="223" t="s">
        <v>281</v>
      </c>
      <c r="W481" s="224" t="s">
        <v>281</v>
      </c>
      <c r="X481" s="224" t="s">
        <v>281</v>
      </c>
      <c r="Y481" s="225" t="s">
        <v>281</v>
      </c>
    </row>
    <row r="482" spans="1:25">
      <c r="A482" s="219">
        <v>9</v>
      </c>
      <c r="B482" s="220" t="str">
        <f>VLOOKUP(Tabel10[[#This Row],[Code]],Ruimtegroepen[[Code]:[Ruimte omschrijving]],2,FALSE)</f>
        <v>Bibliotheek/OLC</v>
      </c>
      <c r="C482" s="221" t="s">
        <v>681</v>
      </c>
      <c r="D482" s="220" t="s">
        <v>14</v>
      </c>
      <c r="E482" s="221" t="s">
        <v>99</v>
      </c>
      <c r="F482" s="221" t="s">
        <v>683</v>
      </c>
      <c r="G482" s="226" t="s">
        <v>281</v>
      </c>
      <c r="H482" s="222" t="s">
        <v>17</v>
      </c>
      <c r="I482" s="222" t="s">
        <v>281</v>
      </c>
      <c r="J482" s="222" t="s">
        <v>281</v>
      </c>
      <c r="K482" s="222" t="s">
        <v>281</v>
      </c>
      <c r="L482" s="222" t="s">
        <v>281</v>
      </c>
      <c r="M482" s="222" t="s">
        <v>281</v>
      </c>
      <c r="N482" s="222" t="s">
        <v>281</v>
      </c>
      <c r="O482" s="223" t="s">
        <v>17</v>
      </c>
      <c r="P482" s="223" t="s">
        <v>17</v>
      </c>
      <c r="Q482" s="223" t="s">
        <v>15</v>
      </c>
      <c r="R482" s="223" t="s">
        <v>15</v>
      </c>
      <c r="S482" s="223" t="s">
        <v>16</v>
      </c>
      <c r="T482" s="223" t="s">
        <v>328</v>
      </c>
      <c r="U482" s="223" t="s">
        <v>248</v>
      </c>
      <c r="V482" s="223" t="s">
        <v>281</v>
      </c>
      <c r="W482" s="224" t="s">
        <v>281</v>
      </c>
      <c r="X482" s="224" t="s">
        <v>281</v>
      </c>
      <c r="Y482" s="225" t="s">
        <v>281</v>
      </c>
    </row>
    <row r="483" spans="1:25">
      <c r="A483" s="219">
        <v>9</v>
      </c>
      <c r="B483" s="220" t="str">
        <f>VLOOKUP(Tabel10[[#This Row],[Code]],Ruimtegroepen[[Code]:[Ruimte omschrijving]],2,FALSE)</f>
        <v>Bibliotheek/OLC</v>
      </c>
      <c r="C483" s="221" t="s">
        <v>681</v>
      </c>
      <c r="D483" s="220" t="s">
        <v>14</v>
      </c>
      <c r="E483" s="221" t="s">
        <v>1309</v>
      </c>
      <c r="F483" s="221" t="s">
        <v>1398</v>
      </c>
      <c r="G483" s="226" t="s">
        <v>281</v>
      </c>
      <c r="H483" s="222" t="s">
        <v>281</v>
      </c>
      <c r="I483" s="222" t="s">
        <v>15</v>
      </c>
      <c r="J483" s="222" t="s">
        <v>15</v>
      </c>
      <c r="K483" s="222" t="s">
        <v>282</v>
      </c>
      <c r="L483" s="222" t="s">
        <v>281</v>
      </c>
      <c r="M483" s="222" t="s">
        <v>281</v>
      </c>
      <c r="N483" s="222" t="s">
        <v>281</v>
      </c>
      <c r="O483" s="223" t="s">
        <v>17</v>
      </c>
      <c r="P483" s="223" t="s">
        <v>17</v>
      </c>
      <c r="Q483" s="223" t="s">
        <v>15</v>
      </c>
      <c r="R483" s="223" t="s">
        <v>15</v>
      </c>
      <c r="S483" s="223" t="s">
        <v>16</v>
      </c>
      <c r="T483" s="223" t="s">
        <v>328</v>
      </c>
      <c r="U483" s="223" t="s">
        <v>248</v>
      </c>
      <c r="V483" s="223" t="s">
        <v>281</v>
      </c>
      <c r="W483" s="224" t="s">
        <v>281</v>
      </c>
      <c r="X483" s="224" t="s">
        <v>281</v>
      </c>
      <c r="Y483" s="225" t="s">
        <v>281</v>
      </c>
    </row>
    <row r="484" spans="1:25">
      <c r="A484" s="219">
        <v>9</v>
      </c>
      <c r="B484" s="220" t="str">
        <f>VLOOKUP(Tabel10[[#This Row],[Code]],Ruimtegroepen[[Code]:[Ruimte omschrijving]],2,FALSE)</f>
        <v>Bibliotheek/OLC</v>
      </c>
      <c r="C484" s="221" t="s">
        <v>686</v>
      </c>
      <c r="D484" s="220" t="s">
        <v>13</v>
      </c>
      <c r="E484" s="221" t="s">
        <v>100</v>
      </c>
      <c r="F484" s="221" t="s">
        <v>687</v>
      </c>
      <c r="G484" s="226" t="s">
        <v>281</v>
      </c>
      <c r="H484" s="222" t="s">
        <v>281</v>
      </c>
      <c r="I484" s="222" t="s">
        <v>281</v>
      </c>
      <c r="J484" s="222" t="s">
        <v>15</v>
      </c>
      <c r="K484" s="222" t="s">
        <v>281</v>
      </c>
      <c r="L484" s="222" t="s">
        <v>281</v>
      </c>
      <c r="M484" s="222" t="s">
        <v>281</v>
      </c>
      <c r="N484" s="222" t="s">
        <v>281</v>
      </c>
      <c r="O484" s="223" t="s">
        <v>15</v>
      </c>
      <c r="P484" s="223" t="s">
        <v>15</v>
      </c>
      <c r="Q484" s="223" t="s">
        <v>15</v>
      </c>
      <c r="R484" s="223" t="s">
        <v>15</v>
      </c>
      <c r="S484" s="223" t="s">
        <v>16</v>
      </c>
      <c r="T484" s="223" t="s">
        <v>328</v>
      </c>
      <c r="U484" s="223" t="s">
        <v>248</v>
      </c>
      <c r="V484" s="223" t="s">
        <v>281</v>
      </c>
      <c r="W484" s="224" t="s">
        <v>281</v>
      </c>
      <c r="X484" s="224" t="s">
        <v>281</v>
      </c>
      <c r="Y484" s="225" t="s">
        <v>281</v>
      </c>
    </row>
    <row r="485" spans="1:25">
      <c r="A485" s="219">
        <v>9</v>
      </c>
      <c r="B485" s="220" t="str">
        <f>VLOOKUP(Tabel10[[#This Row],[Code]],Ruimtegroepen[[Code]:[Ruimte omschrijving]],2,FALSE)</f>
        <v>Bibliotheek/OLC</v>
      </c>
      <c r="C485" s="221" t="s">
        <v>686</v>
      </c>
      <c r="D485" s="220" t="s">
        <v>13</v>
      </c>
      <c r="E485" s="221" t="s">
        <v>99</v>
      </c>
      <c r="F485" s="221" t="s">
        <v>688</v>
      </c>
      <c r="G485" s="226" t="s">
        <v>281</v>
      </c>
      <c r="H485" s="222" t="s">
        <v>15</v>
      </c>
      <c r="I485" s="222" t="s">
        <v>281</v>
      </c>
      <c r="J485" s="222" t="s">
        <v>281</v>
      </c>
      <c r="K485" s="222" t="s">
        <v>281</v>
      </c>
      <c r="L485" s="222" t="s">
        <v>281</v>
      </c>
      <c r="M485" s="222" t="s">
        <v>281</v>
      </c>
      <c r="N485" s="222" t="s">
        <v>281</v>
      </c>
      <c r="O485" s="223" t="s">
        <v>15</v>
      </c>
      <c r="P485" s="223" t="s">
        <v>15</v>
      </c>
      <c r="Q485" s="223" t="s">
        <v>15</v>
      </c>
      <c r="R485" s="223" t="s">
        <v>15</v>
      </c>
      <c r="S485" s="223" t="s">
        <v>16</v>
      </c>
      <c r="T485" s="223" t="s">
        <v>328</v>
      </c>
      <c r="U485" s="223" t="s">
        <v>248</v>
      </c>
      <c r="V485" s="223" t="s">
        <v>281</v>
      </c>
      <c r="W485" s="224" t="s">
        <v>281</v>
      </c>
      <c r="X485" s="224" t="s">
        <v>281</v>
      </c>
      <c r="Y485" s="225" t="s">
        <v>281</v>
      </c>
    </row>
    <row r="486" spans="1:25">
      <c r="A486" s="219">
        <v>9</v>
      </c>
      <c r="B486" s="220" t="str">
        <f>VLOOKUP(Tabel10[[#This Row],[Code]],Ruimtegroepen[[Code]:[Ruimte omschrijving]],2,FALSE)</f>
        <v>Bibliotheek/OLC</v>
      </c>
      <c r="C486" s="221" t="s">
        <v>686</v>
      </c>
      <c r="D486" s="220" t="s">
        <v>13</v>
      </c>
      <c r="E486" s="221" t="s">
        <v>101</v>
      </c>
      <c r="F486" s="221" t="s">
        <v>689</v>
      </c>
      <c r="G486" s="226" t="s">
        <v>281</v>
      </c>
      <c r="H486" s="222" t="s">
        <v>281</v>
      </c>
      <c r="I486" s="222" t="s">
        <v>281</v>
      </c>
      <c r="J486" s="222" t="s">
        <v>15</v>
      </c>
      <c r="K486" s="222" t="s">
        <v>282</v>
      </c>
      <c r="L486" s="222" t="s">
        <v>281</v>
      </c>
      <c r="M486" s="222" t="s">
        <v>281</v>
      </c>
      <c r="N486" s="222" t="s">
        <v>281</v>
      </c>
      <c r="O486" s="223" t="s">
        <v>15</v>
      </c>
      <c r="P486" s="223" t="s">
        <v>15</v>
      </c>
      <c r="Q486" s="223" t="s">
        <v>15</v>
      </c>
      <c r="R486" s="223" t="s">
        <v>15</v>
      </c>
      <c r="S486" s="223" t="s">
        <v>16</v>
      </c>
      <c r="T486" s="223" t="s">
        <v>328</v>
      </c>
      <c r="U486" s="223" t="s">
        <v>248</v>
      </c>
      <c r="V486" s="223" t="s">
        <v>281</v>
      </c>
      <c r="W486" s="224" t="s">
        <v>281</v>
      </c>
      <c r="X486" s="224" t="s">
        <v>281</v>
      </c>
      <c r="Y486" s="225" t="s">
        <v>281</v>
      </c>
    </row>
    <row r="487" spans="1:25">
      <c r="A487" s="219">
        <v>9</v>
      </c>
      <c r="B487" s="220" t="str">
        <f>VLOOKUP(Tabel10[[#This Row],[Code]],Ruimtegroepen[[Code]:[Ruimte omschrijving]],2,FALSE)</f>
        <v>Bibliotheek/OLC</v>
      </c>
      <c r="C487" s="221" t="s">
        <v>686</v>
      </c>
      <c r="D487" s="220" t="s">
        <v>13</v>
      </c>
      <c r="E487" s="221" t="s">
        <v>102</v>
      </c>
      <c r="F487" s="221" t="s">
        <v>690</v>
      </c>
      <c r="G487" s="226" t="s">
        <v>281</v>
      </c>
      <c r="H487" s="222" t="s">
        <v>281</v>
      </c>
      <c r="I487" s="222" t="s">
        <v>281</v>
      </c>
      <c r="J487" s="222" t="s">
        <v>15</v>
      </c>
      <c r="K487" s="222" t="s">
        <v>282</v>
      </c>
      <c r="L487" s="222" t="s">
        <v>281</v>
      </c>
      <c r="M487" s="222" t="s">
        <v>281</v>
      </c>
      <c r="N487" s="222" t="s">
        <v>281</v>
      </c>
      <c r="O487" s="223" t="s">
        <v>15</v>
      </c>
      <c r="P487" s="223" t="s">
        <v>15</v>
      </c>
      <c r="Q487" s="223" t="s">
        <v>15</v>
      </c>
      <c r="R487" s="223" t="s">
        <v>15</v>
      </c>
      <c r="S487" s="223" t="s">
        <v>16</v>
      </c>
      <c r="T487" s="223" t="s">
        <v>328</v>
      </c>
      <c r="U487" s="223" t="s">
        <v>248</v>
      </c>
      <c r="V487" s="223" t="s">
        <v>281</v>
      </c>
      <c r="W487" s="224" t="s">
        <v>281</v>
      </c>
      <c r="X487" s="224" t="s">
        <v>281</v>
      </c>
      <c r="Y487" s="225" t="s">
        <v>281</v>
      </c>
    </row>
    <row r="488" spans="1:25">
      <c r="A488" s="219">
        <v>9</v>
      </c>
      <c r="B488" s="220" t="str">
        <f>VLOOKUP(Tabel10[[#This Row],[Code]],Ruimtegroepen[[Code]:[Ruimte omschrijving]],2,FALSE)</f>
        <v>Bibliotheek/OLC</v>
      </c>
      <c r="C488" s="221" t="s">
        <v>686</v>
      </c>
      <c r="D488" s="220" t="s">
        <v>13</v>
      </c>
      <c r="E488" s="221" t="s">
        <v>99</v>
      </c>
      <c r="F488" s="221" t="s">
        <v>688</v>
      </c>
      <c r="G488" s="226" t="s">
        <v>281</v>
      </c>
      <c r="H488" s="222" t="s">
        <v>15</v>
      </c>
      <c r="I488" s="222" t="s">
        <v>281</v>
      </c>
      <c r="J488" s="222" t="s">
        <v>281</v>
      </c>
      <c r="K488" s="222" t="s">
        <v>281</v>
      </c>
      <c r="L488" s="222" t="s">
        <v>281</v>
      </c>
      <c r="M488" s="222" t="s">
        <v>281</v>
      </c>
      <c r="N488" s="222" t="s">
        <v>281</v>
      </c>
      <c r="O488" s="223" t="s">
        <v>15</v>
      </c>
      <c r="P488" s="223" t="s">
        <v>15</v>
      </c>
      <c r="Q488" s="223" t="s">
        <v>15</v>
      </c>
      <c r="R488" s="223" t="s">
        <v>15</v>
      </c>
      <c r="S488" s="223" t="s">
        <v>16</v>
      </c>
      <c r="T488" s="223" t="s">
        <v>328</v>
      </c>
      <c r="U488" s="223" t="s">
        <v>248</v>
      </c>
      <c r="V488" s="223" t="s">
        <v>281</v>
      </c>
      <c r="W488" s="224" t="s">
        <v>281</v>
      </c>
      <c r="X488" s="224" t="s">
        <v>281</v>
      </c>
      <c r="Y488" s="225" t="s">
        <v>281</v>
      </c>
    </row>
    <row r="489" spans="1:25">
      <c r="A489" s="219">
        <v>9</v>
      </c>
      <c r="B489" s="220" t="str">
        <f>VLOOKUP(Tabel10[[#This Row],[Code]],Ruimtegroepen[[Code]:[Ruimte omschrijving]],2,FALSE)</f>
        <v>Bibliotheek/OLC</v>
      </c>
      <c r="C489" s="221" t="s">
        <v>686</v>
      </c>
      <c r="D489" s="220" t="s">
        <v>13</v>
      </c>
      <c r="E489" s="221" t="s">
        <v>1309</v>
      </c>
      <c r="F489" s="221" t="s">
        <v>1365</v>
      </c>
      <c r="G489" s="226" t="s">
        <v>281</v>
      </c>
      <c r="H489" s="222" t="s">
        <v>281</v>
      </c>
      <c r="I489" s="222" t="s">
        <v>281</v>
      </c>
      <c r="J489" s="222" t="s">
        <v>15</v>
      </c>
      <c r="K489" s="222" t="s">
        <v>282</v>
      </c>
      <c r="L489" s="222" t="s">
        <v>281</v>
      </c>
      <c r="M489" s="222" t="s">
        <v>281</v>
      </c>
      <c r="N489" s="222" t="s">
        <v>281</v>
      </c>
      <c r="O489" s="223" t="s">
        <v>15</v>
      </c>
      <c r="P489" s="223" t="s">
        <v>15</v>
      </c>
      <c r="Q489" s="223" t="s">
        <v>15</v>
      </c>
      <c r="R489" s="223" t="s">
        <v>15</v>
      </c>
      <c r="S489" s="223" t="s">
        <v>16</v>
      </c>
      <c r="T489" s="223" t="s">
        <v>328</v>
      </c>
      <c r="U489" s="223" t="s">
        <v>248</v>
      </c>
      <c r="V489" s="223" t="s">
        <v>281</v>
      </c>
      <c r="W489" s="224" t="s">
        <v>281</v>
      </c>
      <c r="X489" s="224" t="s">
        <v>281</v>
      </c>
      <c r="Y489" s="225" t="s">
        <v>281</v>
      </c>
    </row>
    <row r="490" spans="1:25">
      <c r="A490" s="219">
        <v>9</v>
      </c>
      <c r="B490" s="220" t="str">
        <f>VLOOKUP(Tabel10[[#This Row],[Code]],Ruimtegroepen[[Code]:[Ruimte omschrijving]],2,FALSE)</f>
        <v>Bibliotheek/OLC</v>
      </c>
      <c r="C490" s="221" t="s">
        <v>691</v>
      </c>
      <c r="D490" s="220" t="s">
        <v>0</v>
      </c>
      <c r="E490" s="221" t="s">
        <v>100</v>
      </c>
      <c r="F490" s="221" t="s">
        <v>692</v>
      </c>
      <c r="G490" s="226" t="s">
        <v>281</v>
      </c>
      <c r="H490" s="222" t="s">
        <v>281</v>
      </c>
      <c r="I490" s="222" t="s">
        <v>281</v>
      </c>
      <c r="J490" s="222" t="s">
        <v>16</v>
      </c>
      <c r="K490" s="222" t="s">
        <v>281</v>
      </c>
      <c r="L490" s="222" t="s">
        <v>281</v>
      </c>
      <c r="M490" s="222" t="s">
        <v>281</v>
      </c>
      <c r="N490" s="222" t="s">
        <v>281</v>
      </c>
      <c r="O490" s="223" t="s">
        <v>16</v>
      </c>
      <c r="P490" s="223" t="s">
        <v>16</v>
      </c>
      <c r="Q490" s="223" t="s">
        <v>16</v>
      </c>
      <c r="R490" s="223" t="s">
        <v>16</v>
      </c>
      <c r="S490" s="223" t="s">
        <v>16</v>
      </c>
      <c r="T490" s="223" t="s">
        <v>328</v>
      </c>
      <c r="U490" s="223" t="s">
        <v>248</v>
      </c>
      <c r="V490" s="223" t="s">
        <v>281</v>
      </c>
      <c r="W490" s="224" t="s">
        <v>281</v>
      </c>
      <c r="X490" s="224" t="s">
        <v>281</v>
      </c>
      <c r="Y490" s="225" t="s">
        <v>281</v>
      </c>
    </row>
    <row r="491" spans="1:25">
      <c r="A491" s="219">
        <v>9</v>
      </c>
      <c r="B491" s="220" t="str">
        <f>VLOOKUP(Tabel10[[#This Row],[Code]],Ruimtegroepen[[Code]:[Ruimte omschrijving]],2,FALSE)</f>
        <v>Bibliotheek/OLC</v>
      </c>
      <c r="C491" s="221" t="s">
        <v>691</v>
      </c>
      <c r="D491" s="220" t="s">
        <v>0</v>
      </c>
      <c r="E491" s="221" t="s">
        <v>99</v>
      </c>
      <c r="F491" s="221" t="s">
        <v>693</v>
      </c>
      <c r="G491" s="226" t="s">
        <v>281</v>
      </c>
      <c r="H491" s="222" t="s">
        <v>16</v>
      </c>
      <c r="I491" s="222" t="s">
        <v>281</v>
      </c>
      <c r="J491" s="222" t="s">
        <v>281</v>
      </c>
      <c r="K491" s="222" t="s">
        <v>281</v>
      </c>
      <c r="L491" s="222" t="s">
        <v>281</v>
      </c>
      <c r="M491" s="222" t="s">
        <v>281</v>
      </c>
      <c r="N491" s="222" t="s">
        <v>281</v>
      </c>
      <c r="O491" s="223" t="s">
        <v>16</v>
      </c>
      <c r="P491" s="223" t="s">
        <v>16</v>
      </c>
      <c r="Q491" s="223" t="s">
        <v>16</v>
      </c>
      <c r="R491" s="223" t="s">
        <v>16</v>
      </c>
      <c r="S491" s="223" t="s">
        <v>16</v>
      </c>
      <c r="T491" s="223" t="s">
        <v>328</v>
      </c>
      <c r="U491" s="223" t="s">
        <v>248</v>
      </c>
      <c r="V491" s="223" t="s">
        <v>281</v>
      </c>
      <c r="W491" s="224" t="s">
        <v>281</v>
      </c>
      <c r="X491" s="224" t="s">
        <v>281</v>
      </c>
      <c r="Y491" s="225" t="s">
        <v>281</v>
      </c>
    </row>
    <row r="492" spans="1:25">
      <c r="A492" s="219">
        <v>9</v>
      </c>
      <c r="B492" s="220" t="str">
        <f>VLOOKUP(Tabel10[[#This Row],[Code]],Ruimtegroepen[[Code]:[Ruimte omschrijving]],2,FALSE)</f>
        <v>Bibliotheek/OLC</v>
      </c>
      <c r="C492" s="221" t="s">
        <v>691</v>
      </c>
      <c r="D492" s="220" t="s">
        <v>0</v>
      </c>
      <c r="E492" s="221" t="s">
        <v>101</v>
      </c>
      <c r="F492" s="221" t="s">
        <v>694</v>
      </c>
      <c r="G492" s="226" t="s">
        <v>281</v>
      </c>
      <c r="H492" s="222" t="s">
        <v>281</v>
      </c>
      <c r="I492" s="222" t="s">
        <v>281</v>
      </c>
      <c r="J492" s="222" t="s">
        <v>16</v>
      </c>
      <c r="K492" s="222" t="s">
        <v>282</v>
      </c>
      <c r="L492" s="222" t="s">
        <v>281</v>
      </c>
      <c r="M492" s="222" t="s">
        <v>281</v>
      </c>
      <c r="N492" s="222" t="s">
        <v>281</v>
      </c>
      <c r="O492" s="223" t="s">
        <v>16</v>
      </c>
      <c r="P492" s="223" t="s">
        <v>16</v>
      </c>
      <c r="Q492" s="223" t="s">
        <v>16</v>
      </c>
      <c r="R492" s="223" t="s">
        <v>16</v>
      </c>
      <c r="S492" s="223" t="s">
        <v>16</v>
      </c>
      <c r="T492" s="223" t="s">
        <v>328</v>
      </c>
      <c r="U492" s="223" t="s">
        <v>248</v>
      </c>
      <c r="V492" s="223" t="s">
        <v>281</v>
      </c>
      <c r="W492" s="224" t="s">
        <v>281</v>
      </c>
      <c r="X492" s="224" t="s">
        <v>281</v>
      </c>
      <c r="Y492" s="225" t="s">
        <v>281</v>
      </c>
    </row>
    <row r="493" spans="1:25">
      <c r="A493" s="219">
        <v>9</v>
      </c>
      <c r="B493" s="220" t="str">
        <f>VLOOKUP(Tabel10[[#This Row],[Code]],Ruimtegroepen[[Code]:[Ruimte omschrijving]],2,FALSE)</f>
        <v>Bibliotheek/OLC</v>
      </c>
      <c r="C493" s="221" t="s">
        <v>691</v>
      </c>
      <c r="D493" s="220" t="s">
        <v>0</v>
      </c>
      <c r="E493" s="221" t="s">
        <v>102</v>
      </c>
      <c r="F493" s="221" t="s">
        <v>695</v>
      </c>
      <c r="G493" s="226" t="s">
        <v>281</v>
      </c>
      <c r="H493" s="222" t="s">
        <v>281</v>
      </c>
      <c r="I493" s="222" t="s">
        <v>281</v>
      </c>
      <c r="J493" s="222" t="s">
        <v>16</v>
      </c>
      <c r="K493" s="222" t="s">
        <v>282</v>
      </c>
      <c r="L493" s="222" t="s">
        <v>281</v>
      </c>
      <c r="M493" s="222" t="s">
        <v>281</v>
      </c>
      <c r="N493" s="222" t="s">
        <v>281</v>
      </c>
      <c r="O493" s="223" t="s">
        <v>16</v>
      </c>
      <c r="P493" s="223" t="s">
        <v>16</v>
      </c>
      <c r="Q493" s="223" t="s">
        <v>16</v>
      </c>
      <c r="R493" s="223" t="s">
        <v>16</v>
      </c>
      <c r="S493" s="223" t="s">
        <v>16</v>
      </c>
      <c r="T493" s="223" t="s">
        <v>328</v>
      </c>
      <c r="U493" s="223" t="s">
        <v>248</v>
      </c>
      <c r="V493" s="223" t="s">
        <v>281</v>
      </c>
      <c r="W493" s="224" t="s">
        <v>281</v>
      </c>
      <c r="X493" s="224" t="s">
        <v>281</v>
      </c>
      <c r="Y493" s="225" t="s">
        <v>281</v>
      </c>
    </row>
    <row r="494" spans="1:25">
      <c r="A494" s="219">
        <v>9</v>
      </c>
      <c r="B494" s="220" t="str">
        <f>VLOOKUP(Tabel10[[#This Row],[Code]],Ruimtegroepen[[Code]:[Ruimte omschrijving]],2,FALSE)</f>
        <v>Bibliotheek/OLC</v>
      </c>
      <c r="C494" s="221" t="s">
        <v>691</v>
      </c>
      <c r="D494" s="220" t="s">
        <v>0</v>
      </c>
      <c r="E494" s="221" t="s">
        <v>99</v>
      </c>
      <c r="F494" s="221" t="s">
        <v>693</v>
      </c>
      <c r="G494" s="226" t="s">
        <v>281</v>
      </c>
      <c r="H494" s="222" t="s">
        <v>16</v>
      </c>
      <c r="I494" s="222" t="s">
        <v>281</v>
      </c>
      <c r="J494" s="222" t="s">
        <v>281</v>
      </c>
      <c r="K494" s="222" t="s">
        <v>281</v>
      </c>
      <c r="L494" s="222" t="s">
        <v>281</v>
      </c>
      <c r="M494" s="222" t="s">
        <v>281</v>
      </c>
      <c r="N494" s="222" t="s">
        <v>281</v>
      </c>
      <c r="O494" s="223" t="s">
        <v>16</v>
      </c>
      <c r="P494" s="223" t="s">
        <v>16</v>
      </c>
      <c r="Q494" s="223" t="s">
        <v>16</v>
      </c>
      <c r="R494" s="223" t="s">
        <v>16</v>
      </c>
      <c r="S494" s="223" t="s">
        <v>16</v>
      </c>
      <c r="T494" s="223" t="s">
        <v>328</v>
      </c>
      <c r="U494" s="223" t="s">
        <v>248</v>
      </c>
      <c r="V494" s="223" t="s">
        <v>281</v>
      </c>
      <c r="W494" s="224" t="s">
        <v>281</v>
      </c>
      <c r="X494" s="224" t="s">
        <v>281</v>
      </c>
      <c r="Y494" s="225" t="s">
        <v>281</v>
      </c>
    </row>
    <row r="495" spans="1:25">
      <c r="A495" s="219">
        <v>9</v>
      </c>
      <c r="B495" s="220" t="str">
        <f>VLOOKUP(Tabel10[[#This Row],[Code]],Ruimtegroepen[[Code]:[Ruimte omschrijving]],2,FALSE)</f>
        <v>Bibliotheek/OLC</v>
      </c>
      <c r="C495" s="221" t="s">
        <v>691</v>
      </c>
      <c r="D495" s="220" t="s">
        <v>0</v>
      </c>
      <c r="E495" s="221" t="s">
        <v>1309</v>
      </c>
      <c r="F495" s="221" t="s">
        <v>1349</v>
      </c>
      <c r="G495" s="226" t="s">
        <v>281</v>
      </c>
      <c r="H495" s="222" t="s">
        <v>281</v>
      </c>
      <c r="I495" s="222" t="s">
        <v>281</v>
      </c>
      <c r="J495" s="222" t="s">
        <v>16</v>
      </c>
      <c r="K495" s="222" t="s">
        <v>282</v>
      </c>
      <c r="L495" s="222" t="s">
        <v>281</v>
      </c>
      <c r="M495" s="222" t="s">
        <v>281</v>
      </c>
      <c r="N495" s="222" t="s">
        <v>281</v>
      </c>
      <c r="O495" s="223" t="s">
        <v>16</v>
      </c>
      <c r="P495" s="223" t="s">
        <v>16</v>
      </c>
      <c r="Q495" s="223" t="s">
        <v>16</v>
      </c>
      <c r="R495" s="223" t="s">
        <v>16</v>
      </c>
      <c r="S495" s="223" t="s">
        <v>16</v>
      </c>
      <c r="T495" s="223" t="s">
        <v>328</v>
      </c>
      <c r="U495" s="223" t="s">
        <v>248</v>
      </c>
      <c r="V495" s="223" t="s">
        <v>281</v>
      </c>
      <c r="W495" s="224" t="s">
        <v>281</v>
      </c>
      <c r="X495" s="224" t="s">
        <v>281</v>
      </c>
      <c r="Y495" s="225" t="s">
        <v>281</v>
      </c>
    </row>
    <row r="496" spans="1:25">
      <c r="A496" s="219">
        <v>9</v>
      </c>
      <c r="B496" s="220" t="str">
        <f>VLOOKUP(Tabel10[[#This Row],[Code]],Ruimtegroepen[[Code]:[Ruimte omschrijving]],2,FALSE)</f>
        <v>Bibliotheek/OLC</v>
      </c>
      <c r="C496" s="221" t="s">
        <v>696</v>
      </c>
      <c r="D496" s="220" t="s">
        <v>27</v>
      </c>
      <c r="E496" s="221" t="s">
        <v>100</v>
      </c>
      <c r="F496" s="221" t="s">
        <v>697</v>
      </c>
      <c r="G496" s="226" t="s">
        <v>281</v>
      </c>
      <c r="H496" s="222" t="s">
        <v>281</v>
      </c>
      <c r="I496" s="222" t="s">
        <v>15</v>
      </c>
      <c r="J496" s="222" t="s">
        <v>281</v>
      </c>
      <c r="K496" s="222" t="s">
        <v>281</v>
      </c>
      <c r="L496" s="222" t="s">
        <v>281</v>
      </c>
      <c r="M496" s="222" t="s">
        <v>281</v>
      </c>
      <c r="N496" s="222" t="s">
        <v>281</v>
      </c>
      <c r="O496" s="223" t="s">
        <v>15</v>
      </c>
      <c r="P496" s="223" t="s">
        <v>15</v>
      </c>
      <c r="Q496" s="223" t="s">
        <v>15</v>
      </c>
      <c r="R496" s="223" t="s">
        <v>281</v>
      </c>
      <c r="S496" s="223" t="s">
        <v>281</v>
      </c>
      <c r="T496" s="223" t="s">
        <v>281</v>
      </c>
      <c r="U496" s="223" t="s">
        <v>281</v>
      </c>
      <c r="V496" s="223" t="s">
        <v>281</v>
      </c>
      <c r="W496" s="224" t="s">
        <v>281</v>
      </c>
      <c r="X496" s="224" t="s">
        <v>281</v>
      </c>
      <c r="Y496" s="225" t="s">
        <v>281</v>
      </c>
    </row>
    <row r="497" spans="1:25">
      <c r="A497" s="219">
        <v>9</v>
      </c>
      <c r="B497" s="220" t="str">
        <f>VLOOKUP(Tabel10[[#This Row],[Code]],Ruimtegroepen[[Code]:[Ruimte omschrijving]],2,FALSE)</f>
        <v>Bibliotheek/OLC</v>
      </c>
      <c r="C497" s="221" t="s">
        <v>696</v>
      </c>
      <c r="D497" s="220" t="s">
        <v>27</v>
      </c>
      <c r="E497" s="221" t="s">
        <v>99</v>
      </c>
      <c r="F497" s="221" t="s">
        <v>698</v>
      </c>
      <c r="G497" s="226" t="s">
        <v>281</v>
      </c>
      <c r="H497" s="222" t="s">
        <v>15</v>
      </c>
      <c r="I497" s="222" t="s">
        <v>281</v>
      </c>
      <c r="J497" s="222" t="s">
        <v>281</v>
      </c>
      <c r="K497" s="222" t="s">
        <v>281</v>
      </c>
      <c r="L497" s="222" t="s">
        <v>281</v>
      </c>
      <c r="M497" s="222" t="s">
        <v>281</v>
      </c>
      <c r="N497" s="222" t="s">
        <v>281</v>
      </c>
      <c r="O497" s="223" t="s">
        <v>15</v>
      </c>
      <c r="P497" s="223" t="s">
        <v>15</v>
      </c>
      <c r="Q497" s="223" t="s">
        <v>15</v>
      </c>
      <c r="R497" s="223" t="s">
        <v>281</v>
      </c>
      <c r="S497" s="223" t="s">
        <v>281</v>
      </c>
      <c r="T497" s="223" t="s">
        <v>281</v>
      </c>
      <c r="U497" s="223" t="s">
        <v>281</v>
      </c>
      <c r="V497" s="223" t="s">
        <v>281</v>
      </c>
      <c r="W497" s="224" t="s">
        <v>281</v>
      </c>
      <c r="X497" s="224" t="s">
        <v>281</v>
      </c>
      <c r="Y497" s="225" t="s">
        <v>281</v>
      </c>
    </row>
    <row r="498" spans="1:25">
      <c r="A498" s="219">
        <v>9</v>
      </c>
      <c r="B498" s="220" t="str">
        <f>VLOOKUP(Tabel10[[#This Row],[Code]],Ruimtegroepen[[Code]:[Ruimte omschrijving]],2,FALSE)</f>
        <v>Bibliotheek/OLC</v>
      </c>
      <c r="C498" s="221" t="s">
        <v>696</v>
      </c>
      <c r="D498" s="220" t="s">
        <v>27</v>
      </c>
      <c r="E498" s="221" t="s">
        <v>101</v>
      </c>
      <c r="F498" s="221" t="s">
        <v>699</v>
      </c>
      <c r="G498" s="226" t="s">
        <v>281</v>
      </c>
      <c r="H498" s="222" t="s">
        <v>281</v>
      </c>
      <c r="I498" s="222" t="s">
        <v>15</v>
      </c>
      <c r="J498" s="222" t="s">
        <v>281</v>
      </c>
      <c r="K498" s="222" t="s">
        <v>281</v>
      </c>
      <c r="L498" s="222" t="s">
        <v>281</v>
      </c>
      <c r="M498" s="222" t="s">
        <v>281</v>
      </c>
      <c r="N498" s="222" t="s">
        <v>281</v>
      </c>
      <c r="O498" s="223" t="s">
        <v>15</v>
      </c>
      <c r="P498" s="223" t="s">
        <v>15</v>
      </c>
      <c r="Q498" s="223" t="s">
        <v>15</v>
      </c>
      <c r="R498" s="223" t="s">
        <v>281</v>
      </c>
      <c r="S498" s="223" t="s">
        <v>281</v>
      </c>
      <c r="T498" s="223" t="s">
        <v>281</v>
      </c>
      <c r="U498" s="223" t="s">
        <v>281</v>
      </c>
      <c r="V498" s="223" t="s">
        <v>281</v>
      </c>
      <c r="W498" s="224" t="s">
        <v>281</v>
      </c>
      <c r="X498" s="224" t="s">
        <v>281</v>
      </c>
      <c r="Y498" s="225" t="s">
        <v>281</v>
      </c>
    </row>
    <row r="499" spans="1:25">
      <c r="A499" s="219">
        <v>9</v>
      </c>
      <c r="B499" s="220" t="str">
        <f>VLOOKUP(Tabel10[[#This Row],[Code]],Ruimtegroepen[[Code]:[Ruimte omschrijving]],2,FALSE)</f>
        <v>Bibliotheek/OLC</v>
      </c>
      <c r="C499" s="221" t="s">
        <v>696</v>
      </c>
      <c r="D499" s="220" t="s">
        <v>27</v>
      </c>
      <c r="E499" s="221" t="s">
        <v>102</v>
      </c>
      <c r="F499" s="221" t="s">
        <v>700</v>
      </c>
      <c r="G499" s="226" t="s">
        <v>281</v>
      </c>
      <c r="H499" s="222" t="s">
        <v>281</v>
      </c>
      <c r="I499" s="222" t="s">
        <v>15</v>
      </c>
      <c r="J499" s="222" t="s">
        <v>281</v>
      </c>
      <c r="K499" s="222" t="s">
        <v>281</v>
      </c>
      <c r="L499" s="222" t="s">
        <v>281</v>
      </c>
      <c r="M499" s="222" t="s">
        <v>281</v>
      </c>
      <c r="N499" s="222" t="s">
        <v>281</v>
      </c>
      <c r="O499" s="223" t="s">
        <v>15</v>
      </c>
      <c r="P499" s="223" t="s">
        <v>15</v>
      </c>
      <c r="Q499" s="223" t="s">
        <v>15</v>
      </c>
      <c r="R499" s="223" t="s">
        <v>281</v>
      </c>
      <c r="S499" s="223" t="s">
        <v>281</v>
      </c>
      <c r="T499" s="223" t="s">
        <v>281</v>
      </c>
      <c r="U499" s="223" t="s">
        <v>281</v>
      </c>
      <c r="V499" s="223" t="s">
        <v>281</v>
      </c>
      <c r="W499" s="224" t="s">
        <v>281</v>
      </c>
      <c r="X499" s="224" t="s">
        <v>281</v>
      </c>
      <c r="Y499" s="225" t="s">
        <v>281</v>
      </c>
    </row>
    <row r="500" spans="1:25">
      <c r="A500" s="219">
        <v>9</v>
      </c>
      <c r="B500" s="220" t="str">
        <f>VLOOKUP(Tabel10[[#This Row],[Code]],Ruimtegroepen[[Code]:[Ruimte omschrijving]],2,FALSE)</f>
        <v>Bibliotheek/OLC</v>
      </c>
      <c r="C500" s="221" t="s">
        <v>696</v>
      </c>
      <c r="D500" s="220" t="s">
        <v>27</v>
      </c>
      <c r="E500" s="221" t="s">
        <v>99</v>
      </c>
      <c r="F500" s="221" t="s">
        <v>698</v>
      </c>
      <c r="G500" s="226" t="s">
        <v>281</v>
      </c>
      <c r="H500" s="222" t="s">
        <v>15</v>
      </c>
      <c r="I500" s="222" t="s">
        <v>281</v>
      </c>
      <c r="J500" s="222" t="s">
        <v>281</v>
      </c>
      <c r="K500" s="222" t="s">
        <v>281</v>
      </c>
      <c r="L500" s="222" t="s">
        <v>281</v>
      </c>
      <c r="M500" s="222" t="s">
        <v>281</v>
      </c>
      <c r="N500" s="222" t="s">
        <v>281</v>
      </c>
      <c r="O500" s="223" t="s">
        <v>15</v>
      </c>
      <c r="P500" s="223" t="s">
        <v>15</v>
      </c>
      <c r="Q500" s="223" t="s">
        <v>15</v>
      </c>
      <c r="R500" s="223" t="s">
        <v>281</v>
      </c>
      <c r="S500" s="223" t="s">
        <v>281</v>
      </c>
      <c r="T500" s="223" t="s">
        <v>281</v>
      </c>
      <c r="U500" s="223" t="s">
        <v>281</v>
      </c>
      <c r="V500" s="223" t="s">
        <v>281</v>
      </c>
      <c r="W500" s="224" t="s">
        <v>281</v>
      </c>
      <c r="X500" s="224" t="s">
        <v>281</v>
      </c>
      <c r="Y500" s="225" t="s">
        <v>281</v>
      </c>
    </row>
    <row r="501" spans="1:25">
      <c r="A501" s="219">
        <v>9</v>
      </c>
      <c r="B501" s="220" t="str">
        <f>VLOOKUP(Tabel10[[#This Row],[Code]],Ruimtegroepen[[Code]:[Ruimte omschrijving]],2,FALSE)</f>
        <v>Bibliotheek/OLC</v>
      </c>
      <c r="C501" s="221" t="s">
        <v>696</v>
      </c>
      <c r="D501" s="220" t="s">
        <v>27</v>
      </c>
      <c r="E501" s="221" t="s">
        <v>1309</v>
      </c>
      <c r="F501" s="221" t="s">
        <v>1382</v>
      </c>
      <c r="G501" s="226" t="s">
        <v>281</v>
      </c>
      <c r="H501" s="222" t="s">
        <v>281</v>
      </c>
      <c r="I501" s="222" t="s">
        <v>15</v>
      </c>
      <c r="J501" s="222" t="s">
        <v>281</v>
      </c>
      <c r="K501" s="222" t="s">
        <v>281</v>
      </c>
      <c r="L501" s="222" t="s">
        <v>281</v>
      </c>
      <c r="M501" s="222" t="s">
        <v>281</v>
      </c>
      <c r="N501" s="222" t="s">
        <v>281</v>
      </c>
      <c r="O501" s="223" t="s">
        <v>15</v>
      </c>
      <c r="P501" s="223" t="s">
        <v>15</v>
      </c>
      <c r="Q501" s="223" t="s">
        <v>15</v>
      </c>
      <c r="R501" s="223" t="s">
        <v>281</v>
      </c>
      <c r="S501" s="223" t="s">
        <v>281</v>
      </c>
      <c r="T501" s="223" t="s">
        <v>281</v>
      </c>
      <c r="U501" s="223" t="s">
        <v>281</v>
      </c>
      <c r="V501" s="223" t="s">
        <v>281</v>
      </c>
      <c r="W501" s="224" t="s">
        <v>281</v>
      </c>
      <c r="X501" s="224" t="s">
        <v>281</v>
      </c>
      <c r="Y501" s="225" t="s">
        <v>281</v>
      </c>
    </row>
    <row r="502" spans="1:25">
      <c r="A502" s="219">
        <v>9</v>
      </c>
      <c r="B502" s="220" t="str">
        <f>VLOOKUP(Tabel10[[#This Row],[Code]],Ruimtegroepen[[Code]:[Ruimte omschrijving]],2,FALSE)</f>
        <v>Bibliotheek/OLC</v>
      </c>
      <c r="C502" s="221" t="s">
        <v>701</v>
      </c>
      <c r="D502" s="220" t="s">
        <v>28</v>
      </c>
      <c r="E502" s="221" t="s">
        <v>100</v>
      </c>
      <c r="F502" s="221" t="s">
        <v>702</v>
      </c>
      <c r="G502" s="226" t="s">
        <v>281</v>
      </c>
      <c r="H502" s="222" t="s">
        <v>281</v>
      </c>
      <c r="I502" s="222" t="s">
        <v>17</v>
      </c>
      <c r="J502" s="222" t="s">
        <v>281</v>
      </c>
      <c r="K502" s="222" t="s">
        <v>281</v>
      </c>
      <c r="L502" s="222" t="s">
        <v>281</v>
      </c>
      <c r="M502" s="222" t="s">
        <v>281</v>
      </c>
      <c r="N502" s="222" t="s">
        <v>281</v>
      </c>
      <c r="O502" s="223" t="s">
        <v>17</v>
      </c>
      <c r="P502" s="223" t="s">
        <v>17</v>
      </c>
      <c r="Q502" s="223" t="s">
        <v>15</v>
      </c>
      <c r="R502" s="223" t="s">
        <v>281</v>
      </c>
      <c r="S502" s="223" t="s">
        <v>281</v>
      </c>
      <c r="T502" s="223" t="s">
        <v>281</v>
      </c>
      <c r="U502" s="223" t="s">
        <v>281</v>
      </c>
      <c r="V502" s="223" t="s">
        <v>281</v>
      </c>
      <c r="W502" s="224" t="s">
        <v>281</v>
      </c>
      <c r="X502" s="224" t="s">
        <v>281</v>
      </c>
      <c r="Y502" s="225" t="s">
        <v>281</v>
      </c>
    </row>
    <row r="503" spans="1:25">
      <c r="A503" s="219">
        <v>9</v>
      </c>
      <c r="B503" s="220" t="str">
        <f>VLOOKUP(Tabel10[[#This Row],[Code]],Ruimtegroepen[[Code]:[Ruimte omschrijving]],2,FALSE)</f>
        <v>Bibliotheek/OLC</v>
      </c>
      <c r="C503" s="221" t="s">
        <v>701</v>
      </c>
      <c r="D503" s="220" t="s">
        <v>28</v>
      </c>
      <c r="E503" s="221" t="s">
        <v>99</v>
      </c>
      <c r="F503" s="221" t="s">
        <v>703</v>
      </c>
      <c r="G503" s="226" t="s">
        <v>281</v>
      </c>
      <c r="H503" s="222" t="s">
        <v>17</v>
      </c>
      <c r="I503" s="222" t="s">
        <v>281</v>
      </c>
      <c r="J503" s="222" t="s">
        <v>281</v>
      </c>
      <c r="K503" s="222" t="s">
        <v>281</v>
      </c>
      <c r="L503" s="222" t="s">
        <v>281</v>
      </c>
      <c r="M503" s="222" t="s">
        <v>281</v>
      </c>
      <c r="N503" s="222" t="s">
        <v>281</v>
      </c>
      <c r="O503" s="223" t="s">
        <v>17</v>
      </c>
      <c r="P503" s="223" t="s">
        <v>17</v>
      </c>
      <c r="Q503" s="223" t="s">
        <v>15</v>
      </c>
      <c r="R503" s="223" t="s">
        <v>281</v>
      </c>
      <c r="S503" s="223" t="s">
        <v>281</v>
      </c>
      <c r="T503" s="223" t="s">
        <v>281</v>
      </c>
      <c r="U503" s="223" t="s">
        <v>281</v>
      </c>
      <c r="V503" s="223" t="s">
        <v>281</v>
      </c>
      <c r="W503" s="224" t="s">
        <v>281</v>
      </c>
      <c r="X503" s="224" t="s">
        <v>281</v>
      </c>
      <c r="Y503" s="225" t="s">
        <v>281</v>
      </c>
    </row>
    <row r="504" spans="1:25">
      <c r="A504" s="219">
        <v>9</v>
      </c>
      <c r="B504" s="220" t="str">
        <f>VLOOKUP(Tabel10[[#This Row],[Code]],Ruimtegroepen[[Code]:[Ruimte omschrijving]],2,FALSE)</f>
        <v>Bibliotheek/OLC</v>
      </c>
      <c r="C504" s="221" t="s">
        <v>701</v>
      </c>
      <c r="D504" s="220" t="s">
        <v>28</v>
      </c>
      <c r="E504" s="221" t="s">
        <v>101</v>
      </c>
      <c r="F504" s="221" t="s">
        <v>704</v>
      </c>
      <c r="G504" s="226" t="s">
        <v>281</v>
      </c>
      <c r="H504" s="222" t="s">
        <v>281</v>
      </c>
      <c r="I504" s="222" t="s">
        <v>17</v>
      </c>
      <c r="J504" s="222" t="s">
        <v>281</v>
      </c>
      <c r="K504" s="222" t="s">
        <v>281</v>
      </c>
      <c r="L504" s="222" t="s">
        <v>281</v>
      </c>
      <c r="M504" s="222" t="s">
        <v>281</v>
      </c>
      <c r="N504" s="222" t="s">
        <v>281</v>
      </c>
      <c r="O504" s="223" t="s">
        <v>17</v>
      </c>
      <c r="P504" s="223" t="s">
        <v>17</v>
      </c>
      <c r="Q504" s="223" t="s">
        <v>15</v>
      </c>
      <c r="R504" s="223" t="s">
        <v>281</v>
      </c>
      <c r="S504" s="223" t="s">
        <v>281</v>
      </c>
      <c r="T504" s="223" t="s">
        <v>281</v>
      </c>
      <c r="U504" s="223" t="s">
        <v>281</v>
      </c>
      <c r="V504" s="223" t="s">
        <v>281</v>
      </c>
      <c r="W504" s="224" t="s">
        <v>281</v>
      </c>
      <c r="X504" s="224" t="s">
        <v>281</v>
      </c>
      <c r="Y504" s="225" t="s">
        <v>281</v>
      </c>
    </row>
    <row r="505" spans="1:25">
      <c r="A505" s="219">
        <v>9</v>
      </c>
      <c r="B505" s="220" t="str">
        <f>VLOOKUP(Tabel10[[#This Row],[Code]],Ruimtegroepen[[Code]:[Ruimte omschrijving]],2,FALSE)</f>
        <v>Bibliotheek/OLC</v>
      </c>
      <c r="C505" s="221" t="s">
        <v>701</v>
      </c>
      <c r="D505" s="220" t="s">
        <v>28</v>
      </c>
      <c r="E505" s="221" t="s">
        <v>102</v>
      </c>
      <c r="F505" s="221" t="s">
        <v>705</v>
      </c>
      <c r="G505" s="226" t="s">
        <v>281</v>
      </c>
      <c r="H505" s="222" t="s">
        <v>281</v>
      </c>
      <c r="I505" s="222" t="s">
        <v>17</v>
      </c>
      <c r="J505" s="222" t="s">
        <v>281</v>
      </c>
      <c r="K505" s="222" t="s">
        <v>281</v>
      </c>
      <c r="L505" s="222" t="s">
        <v>281</v>
      </c>
      <c r="M505" s="222" t="s">
        <v>281</v>
      </c>
      <c r="N505" s="222" t="s">
        <v>281</v>
      </c>
      <c r="O505" s="223" t="s">
        <v>17</v>
      </c>
      <c r="P505" s="223" t="s">
        <v>17</v>
      </c>
      <c r="Q505" s="223" t="s">
        <v>15</v>
      </c>
      <c r="R505" s="223" t="s">
        <v>281</v>
      </c>
      <c r="S505" s="223" t="s">
        <v>281</v>
      </c>
      <c r="T505" s="223" t="s">
        <v>281</v>
      </c>
      <c r="U505" s="223" t="s">
        <v>281</v>
      </c>
      <c r="V505" s="223" t="s">
        <v>281</v>
      </c>
      <c r="W505" s="224" t="s">
        <v>281</v>
      </c>
      <c r="X505" s="224" t="s">
        <v>281</v>
      </c>
      <c r="Y505" s="225" t="s">
        <v>281</v>
      </c>
    </row>
    <row r="506" spans="1:25">
      <c r="A506" s="219">
        <v>9</v>
      </c>
      <c r="B506" s="220" t="str">
        <f>VLOOKUP(Tabel10[[#This Row],[Code]],Ruimtegroepen[[Code]:[Ruimte omschrijving]],2,FALSE)</f>
        <v>Bibliotheek/OLC</v>
      </c>
      <c r="C506" s="221" t="s">
        <v>701</v>
      </c>
      <c r="D506" s="220" t="s">
        <v>28</v>
      </c>
      <c r="E506" s="221" t="s">
        <v>99</v>
      </c>
      <c r="F506" s="221" t="s">
        <v>703</v>
      </c>
      <c r="G506" s="226" t="s">
        <v>281</v>
      </c>
      <c r="H506" s="222" t="s">
        <v>17</v>
      </c>
      <c r="I506" s="222" t="s">
        <v>281</v>
      </c>
      <c r="J506" s="222" t="s">
        <v>281</v>
      </c>
      <c r="K506" s="222" t="s">
        <v>281</v>
      </c>
      <c r="L506" s="222" t="s">
        <v>281</v>
      </c>
      <c r="M506" s="222" t="s">
        <v>281</v>
      </c>
      <c r="N506" s="222" t="s">
        <v>281</v>
      </c>
      <c r="O506" s="223" t="s">
        <v>17</v>
      </c>
      <c r="P506" s="223" t="s">
        <v>17</v>
      </c>
      <c r="Q506" s="223" t="s">
        <v>15</v>
      </c>
      <c r="R506" s="223" t="s">
        <v>281</v>
      </c>
      <c r="S506" s="223" t="s">
        <v>281</v>
      </c>
      <c r="T506" s="223" t="s">
        <v>281</v>
      </c>
      <c r="U506" s="223" t="s">
        <v>281</v>
      </c>
      <c r="V506" s="223" t="s">
        <v>281</v>
      </c>
      <c r="W506" s="224" t="s">
        <v>281</v>
      </c>
      <c r="X506" s="224" t="s">
        <v>281</v>
      </c>
      <c r="Y506" s="225" t="s">
        <v>281</v>
      </c>
    </row>
    <row r="507" spans="1:25">
      <c r="A507" s="219">
        <v>9</v>
      </c>
      <c r="B507" s="220" t="str">
        <f>VLOOKUP(Tabel10[[#This Row],[Code]],Ruimtegroepen[[Code]:[Ruimte omschrijving]],2,FALSE)</f>
        <v>Bibliotheek/OLC</v>
      </c>
      <c r="C507" s="221" t="s">
        <v>701</v>
      </c>
      <c r="D507" s="220" t="s">
        <v>28</v>
      </c>
      <c r="E507" s="221" t="s">
        <v>1309</v>
      </c>
      <c r="F507" s="221" t="s">
        <v>1415</v>
      </c>
      <c r="G507" s="226" t="s">
        <v>281</v>
      </c>
      <c r="H507" s="222" t="s">
        <v>281</v>
      </c>
      <c r="I507" s="222" t="s">
        <v>17</v>
      </c>
      <c r="J507" s="222" t="s">
        <v>281</v>
      </c>
      <c r="K507" s="222" t="s">
        <v>281</v>
      </c>
      <c r="L507" s="222" t="s">
        <v>281</v>
      </c>
      <c r="M507" s="222" t="s">
        <v>281</v>
      </c>
      <c r="N507" s="222" t="s">
        <v>281</v>
      </c>
      <c r="O507" s="223" t="s">
        <v>17</v>
      </c>
      <c r="P507" s="223" t="s">
        <v>17</v>
      </c>
      <c r="Q507" s="223" t="s">
        <v>15</v>
      </c>
      <c r="R507" s="223" t="s">
        <v>281</v>
      </c>
      <c r="S507" s="223" t="s">
        <v>281</v>
      </c>
      <c r="T507" s="223" t="s">
        <v>281</v>
      </c>
      <c r="U507" s="223" t="s">
        <v>281</v>
      </c>
      <c r="V507" s="223" t="s">
        <v>281</v>
      </c>
      <c r="W507" s="224" t="s">
        <v>281</v>
      </c>
      <c r="X507" s="224" t="s">
        <v>281</v>
      </c>
      <c r="Y507" s="225" t="s">
        <v>281</v>
      </c>
    </row>
    <row r="508" spans="1:25">
      <c r="A508" s="219">
        <v>10</v>
      </c>
      <c r="B508" s="220" t="str">
        <f>VLOOKUP(Tabel10[[#This Row],[Code]],Ruimtegroepen[[Code]:[Ruimte omschrijving]],2,FALSE)</f>
        <v>Trappenhuizen/lift</v>
      </c>
      <c r="C508" s="221" t="s">
        <v>706</v>
      </c>
      <c r="D508" s="220" t="s">
        <v>29</v>
      </c>
      <c r="E508" s="221" t="s">
        <v>100</v>
      </c>
      <c r="F508" s="221" t="s">
        <v>707</v>
      </c>
      <c r="G508" s="226" t="s">
        <v>281</v>
      </c>
      <c r="H508" s="222" t="s">
        <v>281</v>
      </c>
      <c r="I508" s="222" t="s">
        <v>20</v>
      </c>
      <c r="J508" s="222" t="s">
        <v>15</v>
      </c>
      <c r="K508" s="222" t="s">
        <v>281</v>
      </c>
      <c r="L508" s="222" t="s">
        <v>281</v>
      </c>
      <c r="M508" s="222" t="s">
        <v>281</v>
      </c>
      <c r="N508" s="222" t="s">
        <v>2</v>
      </c>
      <c r="O508" s="223" t="s">
        <v>2</v>
      </c>
      <c r="P508" s="223" t="s">
        <v>2</v>
      </c>
      <c r="Q508" s="223" t="s">
        <v>15</v>
      </c>
      <c r="R508" s="223" t="s">
        <v>15</v>
      </c>
      <c r="S508" s="223" t="s">
        <v>16</v>
      </c>
      <c r="T508" s="223" t="s">
        <v>328</v>
      </c>
      <c r="U508" s="223" t="s">
        <v>248</v>
      </c>
      <c r="V508" s="223" t="s">
        <v>2</v>
      </c>
      <c r="W508" s="224" t="s">
        <v>281</v>
      </c>
      <c r="X508" s="224" t="s">
        <v>281</v>
      </c>
      <c r="Y508" s="225" t="s">
        <v>281</v>
      </c>
    </row>
    <row r="509" spans="1:25">
      <c r="A509" s="219">
        <v>10</v>
      </c>
      <c r="B509" s="220" t="str">
        <f>VLOOKUP(Tabel10[[#This Row],[Code]],Ruimtegroepen[[Code]:[Ruimte omschrijving]],2,FALSE)</f>
        <v>Trappenhuizen/lift</v>
      </c>
      <c r="C509" s="221" t="s">
        <v>706</v>
      </c>
      <c r="D509" s="220" t="s">
        <v>29</v>
      </c>
      <c r="E509" s="221" t="s">
        <v>99</v>
      </c>
      <c r="F509" s="221" t="s">
        <v>708</v>
      </c>
      <c r="G509" s="226" t="s">
        <v>281</v>
      </c>
      <c r="H509" s="222" t="s">
        <v>2</v>
      </c>
      <c r="I509" s="222" t="s">
        <v>281</v>
      </c>
      <c r="J509" s="222" t="s">
        <v>281</v>
      </c>
      <c r="K509" s="222" t="s">
        <v>281</v>
      </c>
      <c r="L509" s="222" t="s">
        <v>281</v>
      </c>
      <c r="M509" s="222" t="s">
        <v>281</v>
      </c>
      <c r="N509" s="222" t="s">
        <v>2</v>
      </c>
      <c r="O509" s="223" t="s">
        <v>2</v>
      </c>
      <c r="P509" s="223" t="s">
        <v>2</v>
      </c>
      <c r="Q509" s="223" t="s">
        <v>15</v>
      </c>
      <c r="R509" s="223" t="s">
        <v>15</v>
      </c>
      <c r="S509" s="223" t="s">
        <v>16</v>
      </c>
      <c r="T509" s="223" t="s">
        <v>328</v>
      </c>
      <c r="U509" s="223" t="s">
        <v>248</v>
      </c>
      <c r="V509" s="223" t="s">
        <v>2</v>
      </c>
      <c r="W509" s="224" t="s">
        <v>281</v>
      </c>
      <c r="X509" s="224" t="s">
        <v>281</v>
      </c>
      <c r="Y509" s="225" t="s">
        <v>281</v>
      </c>
    </row>
    <row r="510" spans="1:25">
      <c r="A510" s="219">
        <v>10</v>
      </c>
      <c r="B510" s="220" t="str">
        <f>VLOOKUP(Tabel10[[#This Row],[Code]],Ruimtegroepen[[Code]:[Ruimte omschrijving]],2,FALSE)</f>
        <v>Trappenhuizen/lift</v>
      </c>
      <c r="C510" s="221" t="s">
        <v>706</v>
      </c>
      <c r="D510" s="220" t="s">
        <v>29</v>
      </c>
      <c r="E510" s="221" t="s">
        <v>101</v>
      </c>
      <c r="F510" s="221" t="s">
        <v>709</v>
      </c>
      <c r="G510" s="226" t="s">
        <v>281</v>
      </c>
      <c r="H510" s="222" t="s">
        <v>281</v>
      </c>
      <c r="I510" s="222" t="s">
        <v>20</v>
      </c>
      <c r="J510" s="222" t="s">
        <v>15</v>
      </c>
      <c r="K510" s="222" t="s">
        <v>282</v>
      </c>
      <c r="L510" s="222" t="s">
        <v>281</v>
      </c>
      <c r="M510" s="222" t="s">
        <v>281</v>
      </c>
      <c r="N510" s="222" t="s">
        <v>2</v>
      </c>
      <c r="O510" s="223" t="s">
        <v>2</v>
      </c>
      <c r="P510" s="223" t="s">
        <v>2</v>
      </c>
      <c r="Q510" s="223" t="s">
        <v>15</v>
      </c>
      <c r="R510" s="223" t="s">
        <v>15</v>
      </c>
      <c r="S510" s="223" t="s">
        <v>16</v>
      </c>
      <c r="T510" s="223" t="s">
        <v>328</v>
      </c>
      <c r="U510" s="223" t="s">
        <v>248</v>
      </c>
      <c r="V510" s="223" t="s">
        <v>2</v>
      </c>
      <c r="W510" s="224" t="s">
        <v>281</v>
      </c>
      <c r="X510" s="224" t="s">
        <v>281</v>
      </c>
      <c r="Y510" s="225" t="s">
        <v>281</v>
      </c>
    </row>
    <row r="511" spans="1:25">
      <c r="A511" s="219">
        <v>10</v>
      </c>
      <c r="B511" s="220" t="str">
        <f>VLOOKUP(Tabel10[[#This Row],[Code]],Ruimtegroepen[[Code]:[Ruimte omschrijving]],2,FALSE)</f>
        <v>Trappenhuizen/lift</v>
      </c>
      <c r="C511" s="221" t="s">
        <v>706</v>
      </c>
      <c r="D511" s="220" t="s">
        <v>29</v>
      </c>
      <c r="E511" s="221" t="s">
        <v>102</v>
      </c>
      <c r="F511" s="221" t="s">
        <v>710</v>
      </c>
      <c r="G511" s="226" t="s">
        <v>281</v>
      </c>
      <c r="H511" s="222" t="s">
        <v>281</v>
      </c>
      <c r="I511" s="222" t="s">
        <v>20</v>
      </c>
      <c r="J511" s="222" t="s">
        <v>15</v>
      </c>
      <c r="K511" s="222" t="s">
        <v>282</v>
      </c>
      <c r="L511" s="222" t="s">
        <v>281</v>
      </c>
      <c r="M511" s="222" t="s">
        <v>281</v>
      </c>
      <c r="N511" s="222" t="s">
        <v>2</v>
      </c>
      <c r="O511" s="223" t="s">
        <v>2</v>
      </c>
      <c r="P511" s="223" t="s">
        <v>2</v>
      </c>
      <c r="Q511" s="223" t="s">
        <v>15</v>
      </c>
      <c r="R511" s="223" t="s">
        <v>15</v>
      </c>
      <c r="S511" s="223" t="s">
        <v>16</v>
      </c>
      <c r="T511" s="223" t="s">
        <v>328</v>
      </c>
      <c r="U511" s="223" t="s">
        <v>248</v>
      </c>
      <c r="V511" s="223" t="s">
        <v>2</v>
      </c>
      <c r="W511" s="224" t="s">
        <v>281</v>
      </c>
      <c r="X511" s="224" t="s">
        <v>281</v>
      </c>
      <c r="Y511" s="225" t="s">
        <v>281</v>
      </c>
    </row>
    <row r="512" spans="1:25">
      <c r="A512" s="219">
        <v>10</v>
      </c>
      <c r="B512" s="220" t="str">
        <f>VLOOKUP(Tabel10[[#This Row],[Code]],Ruimtegroepen[[Code]:[Ruimte omschrijving]],2,FALSE)</f>
        <v>Trappenhuizen/lift</v>
      </c>
      <c r="C512" s="221" t="s">
        <v>706</v>
      </c>
      <c r="D512" s="220" t="s">
        <v>29</v>
      </c>
      <c r="E512" s="221" t="s">
        <v>99</v>
      </c>
      <c r="F512" s="221" t="s">
        <v>708</v>
      </c>
      <c r="G512" s="226" t="s">
        <v>281</v>
      </c>
      <c r="H512" s="222" t="s">
        <v>2</v>
      </c>
      <c r="I512" s="222" t="s">
        <v>281</v>
      </c>
      <c r="J512" s="222" t="s">
        <v>281</v>
      </c>
      <c r="K512" s="222" t="s">
        <v>281</v>
      </c>
      <c r="L512" s="222" t="s">
        <v>281</v>
      </c>
      <c r="M512" s="222" t="s">
        <v>281</v>
      </c>
      <c r="N512" s="222" t="s">
        <v>2</v>
      </c>
      <c r="O512" s="223" t="s">
        <v>2</v>
      </c>
      <c r="P512" s="223" t="s">
        <v>2</v>
      </c>
      <c r="Q512" s="223" t="s">
        <v>15</v>
      </c>
      <c r="R512" s="223" t="s">
        <v>15</v>
      </c>
      <c r="S512" s="223" t="s">
        <v>16</v>
      </c>
      <c r="T512" s="223" t="s">
        <v>328</v>
      </c>
      <c r="U512" s="223" t="s">
        <v>248</v>
      </c>
      <c r="V512" s="223" t="s">
        <v>2</v>
      </c>
      <c r="W512" s="224" t="s">
        <v>281</v>
      </c>
      <c r="X512" s="224" t="s">
        <v>281</v>
      </c>
      <c r="Y512" s="225" t="s">
        <v>281</v>
      </c>
    </row>
    <row r="513" spans="1:25">
      <c r="A513" s="219">
        <v>10</v>
      </c>
      <c r="B513" s="220" t="str">
        <f>VLOOKUP(Tabel10[[#This Row],[Code]],Ruimtegroepen[[Code]:[Ruimte omschrijving]],2,FALSE)</f>
        <v>Trappenhuizen/lift</v>
      </c>
      <c r="C513" s="221" t="s">
        <v>706</v>
      </c>
      <c r="D513" s="220" t="s">
        <v>29</v>
      </c>
      <c r="E513" s="221" t="s">
        <v>1309</v>
      </c>
      <c r="F513" s="221" t="s">
        <v>1483</v>
      </c>
      <c r="G513" s="226" t="s">
        <v>281</v>
      </c>
      <c r="H513" s="222" t="s">
        <v>281</v>
      </c>
      <c r="I513" s="222" t="s">
        <v>20</v>
      </c>
      <c r="J513" s="222" t="s">
        <v>15</v>
      </c>
      <c r="K513" s="222" t="s">
        <v>282</v>
      </c>
      <c r="L513" s="222" t="s">
        <v>281</v>
      </c>
      <c r="M513" s="222" t="s">
        <v>281</v>
      </c>
      <c r="N513" s="222" t="s">
        <v>2</v>
      </c>
      <c r="O513" s="223" t="s">
        <v>2</v>
      </c>
      <c r="P513" s="223" t="s">
        <v>2</v>
      </c>
      <c r="Q513" s="223" t="s">
        <v>15</v>
      </c>
      <c r="R513" s="223" t="s">
        <v>15</v>
      </c>
      <c r="S513" s="223" t="s">
        <v>16</v>
      </c>
      <c r="T513" s="223" t="s">
        <v>328</v>
      </c>
      <c r="U513" s="223" t="s">
        <v>248</v>
      </c>
      <c r="V513" s="223" t="s">
        <v>2</v>
      </c>
      <c r="W513" s="224" t="s">
        <v>281</v>
      </c>
      <c r="X513" s="224" t="s">
        <v>281</v>
      </c>
      <c r="Y513" s="225" t="s">
        <v>281</v>
      </c>
    </row>
    <row r="514" spans="1:25">
      <c r="A514" s="219">
        <v>10</v>
      </c>
      <c r="B514" s="220" t="str">
        <f>VLOOKUP(Tabel10[[#This Row],[Code]],Ruimtegroepen[[Code]:[Ruimte omschrijving]],2,FALSE)</f>
        <v>Trappenhuizen/lift</v>
      </c>
      <c r="C514" s="221" t="s">
        <v>711</v>
      </c>
      <c r="D514" s="220" t="s">
        <v>1</v>
      </c>
      <c r="E514" s="221" t="s">
        <v>100</v>
      </c>
      <c r="F514" s="221" t="s">
        <v>712</v>
      </c>
      <c r="G514" s="226" t="s">
        <v>281</v>
      </c>
      <c r="H514" s="222" t="s">
        <v>281</v>
      </c>
      <c r="I514" s="222" t="s">
        <v>20</v>
      </c>
      <c r="J514" s="222" t="s">
        <v>15</v>
      </c>
      <c r="K514" s="222" t="s">
        <v>281</v>
      </c>
      <c r="L514" s="222" t="s">
        <v>281</v>
      </c>
      <c r="M514" s="222" t="s">
        <v>281</v>
      </c>
      <c r="N514" s="222" t="s">
        <v>281</v>
      </c>
      <c r="O514" s="223" t="s">
        <v>2</v>
      </c>
      <c r="P514" s="223" t="s">
        <v>2</v>
      </c>
      <c r="Q514" s="223" t="s">
        <v>15</v>
      </c>
      <c r="R514" s="223" t="s">
        <v>15</v>
      </c>
      <c r="S514" s="223" t="s">
        <v>16</v>
      </c>
      <c r="T514" s="223" t="s">
        <v>328</v>
      </c>
      <c r="U514" s="223" t="s">
        <v>248</v>
      </c>
      <c r="V514" s="223" t="s">
        <v>281</v>
      </c>
      <c r="W514" s="224" t="s">
        <v>281</v>
      </c>
      <c r="X514" s="224" t="s">
        <v>281</v>
      </c>
      <c r="Y514" s="225" t="s">
        <v>281</v>
      </c>
    </row>
    <row r="515" spans="1:25">
      <c r="A515" s="219">
        <v>10</v>
      </c>
      <c r="B515" s="220" t="str">
        <f>VLOOKUP(Tabel10[[#This Row],[Code]],Ruimtegroepen[[Code]:[Ruimte omschrijving]],2,FALSE)</f>
        <v>Trappenhuizen/lift</v>
      </c>
      <c r="C515" s="221" t="s">
        <v>711</v>
      </c>
      <c r="D515" s="220" t="s">
        <v>1</v>
      </c>
      <c r="E515" s="221" t="s">
        <v>99</v>
      </c>
      <c r="F515" s="221" t="s">
        <v>713</v>
      </c>
      <c r="G515" s="226" t="s">
        <v>281</v>
      </c>
      <c r="H515" s="222" t="s">
        <v>2</v>
      </c>
      <c r="I515" s="222" t="s">
        <v>281</v>
      </c>
      <c r="J515" s="222" t="s">
        <v>281</v>
      </c>
      <c r="K515" s="222" t="s">
        <v>281</v>
      </c>
      <c r="L515" s="222" t="s">
        <v>281</v>
      </c>
      <c r="M515" s="222" t="s">
        <v>281</v>
      </c>
      <c r="N515" s="222" t="s">
        <v>281</v>
      </c>
      <c r="O515" s="223" t="s">
        <v>2</v>
      </c>
      <c r="P515" s="223" t="s">
        <v>2</v>
      </c>
      <c r="Q515" s="223" t="s">
        <v>15</v>
      </c>
      <c r="R515" s="223" t="s">
        <v>15</v>
      </c>
      <c r="S515" s="223" t="s">
        <v>16</v>
      </c>
      <c r="T515" s="223" t="s">
        <v>328</v>
      </c>
      <c r="U515" s="223" t="s">
        <v>248</v>
      </c>
      <c r="V515" s="223" t="s">
        <v>281</v>
      </c>
      <c r="W515" s="224" t="s">
        <v>281</v>
      </c>
      <c r="X515" s="224" t="s">
        <v>281</v>
      </c>
      <c r="Y515" s="225" t="s">
        <v>281</v>
      </c>
    </row>
    <row r="516" spans="1:25">
      <c r="A516" s="219">
        <v>10</v>
      </c>
      <c r="B516" s="220" t="str">
        <f>VLOOKUP(Tabel10[[#This Row],[Code]],Ruimtegroepen[[Code]:[Ruimte omschrijving]],2,FALSE)</f>
        <v>Trappenhuizen/lift</v>
      </c>
      <c r="C516" s="221" t="s">
        <v>711</v>
      </c>
      <c r="D516" s="220" t="s">
        <v>1</v>
      </c>
      <c r="E516" s="221" t="s">
        <v>101</v>
      </c>
      <c r="F516" s="221" t="s">
        <v>714</v>
      </c>
      <c r="G516" s="226" t="s">
        <v>281</v>
      </c>
      <c r="H516" s="222" t="s">
        <v>281</v>
      </c>
      <c r="I516" s="222" t="s">
        <v>20</v>
      </c>
      <c r="J516" s="222" t="s">
        <v>15</v>
      </c>
      <c r="K516" s="222" t="s">
        <v>282</v>
      </c>
      <c r="L516" s="222" t="s">
        <v>281</v>
      </c>
      <c r="M516" s="222" t="s">
        <v>281</v>
      </c>
      <c r="N516" s="222" t="s">
        <v>281</v>
      </c>
      <c r="O516" s="223" t="s">
        <v>2</v>
      </c>
      <c r="P516" s="223" t="s">
        <v>2</v>
      </c>
      <c r="Q516" s="223" t="s">
        <v>15</v>
      </c>
      <c r="R516" s="223" t="s">
        <v>15</v>
      </c>
      <c r="S516" s="223" t="s">
        <v>16</v>
      </c>
      <c r="T516" s="223" t="s">
        <v>328</v>
      </c>
      <c r="U516" s="223" t="s">
        <v>248</v>
      </c>
      <c r="V516" s="223" t="s">
        <v>281</v>
      </c>
      <c r="W516" s="224" t="s">
        <v>281</v>
      </c>
      <c r="X516" s="224" t="s">
        <v>281</v>
      </c>
      <c r="Y516" s="225" t="s">
        <v>281</v>
      </c>
    </row>
    <row r="517" spans="1:25">
      <c r="A517" s="219">
        <v>10</v>
      </c>
      <c r="B517" s="220" t="str">
        <f>VLOOKUP(Tabel10[[#This Row],[Code]],Ruimtegroepen[[Code]:[Ruimte omschrijving]],2,FALSE)</f>
        <v>Trappenhuizen/lift</v>
      </c>
      <c r="C517" s="221" t="s">
        <v>711</v>
      </c>
      <c r="D517" s="220" t="s">
        <v>1</v>
      </c>
      <c r="E517" s="221" t="s">
        <v>102</v>
      </c>
      <c r="F517" s="221" t="s">
        <v>715</v>
      </c>
      <c r="G517" s="226" t="s">
        <v>281</v>
      </c>
      <c r="H517" s="222" t="s">
        <v>281</v>
      </c>
      <c r="I517" s="222" t="s">
        <v>2</v>
      </c>
      <c r="J517" s="222" t="s">
        <v>281</v>
      </c>
      <c r="K517" s="222" t="s">
        <v>282</v>
      </c>
      <c r="L517" s="222" t="s">
        <v>281</v>
      </c>
      <c r="M517" s="222" t="s">
        <v>281</v>
      </c>
      <c r="N517" s="222" t="s">
        <v>281</v>
      </c>
      <c r="O517" s="223" t="s">
        <v>2</v>
      </c>
      <c r="P517" s="223" t="s">
        <v>2</v>
      </c>
      <c r="Q517" s="223" t="s">
        <v>15</v>
      </c>
      <c r="R517" s="223" t="s">
        <v>15</v>
      </c>
      <c r="S517" s="223" t="s">
        <v>16</v>
      </c>
      <c r="T517" s="223" t="s">
        <v>328</v>
      </c>
      <c r="U517" s="223" t="s">
        <v>248</v>
      </c>
      <c r="V517" s="223" t="s">
        <v>281</v>
      </c>
      <c r="W517" s="224" t="s">
        <v>281</v>
      </c>
      <c r="X517" s="224" t="s">
        <v>281</v>
      </c>
      <c r="Y517" s="225" t="s">
        <v>281</v>
      </c>
    </row>
    <row r="518" spans="1:25">
      <c r="A518" s="219">
        <v>10</v>
      </c>
      <c r="B518" s="220" t="str">
        <f>VLOOKUP(Tabel10[[#This Row],[Code]],Ruimtegroepen[[Code]:[Ruimte omschrijving]],2,FALSE)</f>
        <v>Trappenhuizen/lift</v>
      </c>
      <c r="C518" s="221" t="s">
        <v>711</v>
      </c>
      <c r="D518" s="220" t="s">
        <v>1</v>
      </c>
      <c r="E518" s="221" t="s">
        <v>99</v>
      </c>
      <c r="F518" s="221" t="s">
        <v>713</v>
      </c>
      <c r="G518" s="226" t="s">
        <v>281</v>
      </c>
      <c r="H518" s="222" t="s">
        <v>2</v>
      </c>
      <c r="I518" s="222" t="s">
        <v>281</v>
      </c>
      <c r="J518" s="222" t="s">
        <v>281</v>
      </c>
      <c r="K518" s="222" t="s">
        <v>281</v>
      </c>
      <c r="L518" s="222" t="s">
        <v>281</v>
      </c>
      <c r="M518" s="222" t="s">
        <v>281</v>
      </c>
      <c r="N518" s="222" t="s">
        <v>281</v>
      </c>
      <c r="O518" s="223" t="s">
        <v>2</v>
      </c>
      <c r="P518" s="223" t="s">
        <v>2</v>
      </c>
      <c r="Q518" s="223" t="s">
        <v>15</v>
      </c>
      <c r="R518" s="223" t="s">
        <v>15</v>
      </c>
      <c r="S518" s="223" t="s">
        <v>16</v>
      </c>
      <c r="T518" s="223" t="s">
        <v>328</v>
      </c>
      <c r="U518" s="223" t="s">
        <v>248</v>
      </c>
      <c r="V518" s="223" t="s">
        <v>281</v>
      </c>
      <c r="W518" s="224" t="s">
        <v>281</v>
      </c>
      <c r="X518" s="224" t="s">
        <v>281</v>
      </c>
      <c r="Y518" s="225" t="s">
        <v>281</v>
      </c>
    </row>
    <row r="519" spans="1:25">
      <c r="A519" s="219">
        <v>10</v>
      </c>
      <c r="B519" s="220" t="str">
        <f>VLOOKUP(Tabel10[[#This Row],[Code]],Ruimtegroepen[[Code]:[Ruimte omschrijving]],2,FALSE)</f>
        <v>Trappenhuizen/lift</v>
      </c>
      <c r="C519" s="221" t="s">
        <v>711</v>
      </c>
      <c r="D519" s="220" t="s">
        <v>1</v>
      </c>
      <c r="E519" s="221" t="s">
        <v>1309</v>
      </c>
      <c r="F519" s="221" t="s">
        <v>1467</v>
      </c>
      <c r="G519" s="226" t="s">
        <v>281</v>
      </c>
      <c r="H519" s="222" t="s">
        <v>281</v>
      </c>
      <c r="I519" s="222" t="s">
        <v>2</v>
      </c>
      <c r="J519" s="222" t="s">
        <v>281</v>
      </c>
      <c r="K519" s="222" t="s">
        <v>282</v>
      </c>
      <c r="L519" s="222" t="s">
        <v>281</v>
      </c>
      <c r="M519" s="222" t="s">
        <v>281</v>
      </c>
      <c r="N519" s="222" t="s">
        <v>281</v>
      </c>
      <c r="O519" s="223" t="s">
        <v>2</v>
      </c>
      <c r="P519" s="223" t="s">
        <v>2</v>
      </c>
      <c r="Q519" s="223" t="s">
        <v>15</v>
      </c>
      <c r="R519" s="223" t="s">
        <v>15</v>
      </c>
      <c r="S519" s="223" t="s">
        <v>16</v>
      </c>
      <c r="T519" s="223" t="s">
        <v>328</v>
      </c>
      <c r="U519" s="223" t="s">
        <v>248</v>
      </c>
      <c r="V519" s="223" t="s">
        <v>281</v>
      </c>
      <c r="W519" s="224" t="s">
        <v>281</v>
      </c>
      <c r="X519" s="224" t="s">
        <v>281</v>
      </c>
      <c r="Y519" s="225" t="s">
        <v>281</v>
      </c>
    </row>
    <row r="520" spans="1:25">
      <c r="A520" s="219">
        <v>10</v>
      </c>
      <c r="B520" s="220" t="str">
        <f>VLOOKUP(Tabel10[[#This Row],[Code]],Ruimtegroepen[[Code]:[Ruimte omschrijving]],2,FALSE)</f>
        <v>Trappenhuizen/lift</v>
      </c>
      <c r="C520" s="221" t="s">
        <v>716</v>
      </c>
      <c r="D520" s="220" t="s">
        <v>21</v>
      </c>
      <c r="E520" s="221" t="s">
        <v>100</v>
      </c>
      <c r="F520" s="221" t="s">
        <v>717</v>
      </c>
      <c r="G520" s="226" t="s">
        <v>281</v>
      </c>
      <c r="H520" s="222" t="s">
        <v>281</v>
      </c>
      <c r="I520" s="222" t="s">
        <v>18</v>
      </c>
      <c r="J520" s="222" t="s">
        <v>15</v>
      </c>
      <c r="K520" s="222" t="s">
        <v>281</v>
      </c>
      <c r="L520" s="222" t="s">
        <v>281</v>
      </c>
      <c r="M520" s="222" t="s">
        <v>281</v>
      </c>
      <c r="N520" s="222" t="s">
        <v>281</v>
      </c>
      <c r="O520" s="223" t="s">
        <v>20</v>
      </c>
      <c r="P520" s="223" t="s">
        <v>20</v>
      </c>
      <c r="Q520" s="223" t="s">
        <v>15</v>
      </c>
      <c r="R520" s="223" t="s">
        <v>15</v>
      </c>
      <c r="S520" s="223" t="s">
        <v>16</v>
      </c>
      <c r="T520" s="223" t="s">
        <v>328</v>
      </c>
      <c r="U520" s="223" t="s">
        <v>248</v>
      </c>
      <c r="V520" s="223" t="s">
        <v>281</v>
      </c>
      <c r="W520" s="224" t="s">
        <v>281</v>
      </c>
      <c r="X520" s="224" t="s">
        <v>281</v>
      </c>
      <c r="Y520" s="225" t="s">
        <v>281</v>
      </c>
    </row>
    <row r="521" spans="1:25">
      <c r="A521" s="219">
        <v>10</v>
      </c>
      <c r="B521" s="220" t="str">
        <f>VLOOKUP(Tabel10[[#This Row],[Code]],Ruimtegroepen[[Code]:[Ruimte omschrijving]],2,FALSE)</f>
        <v>Trappenhuizen/lift</v>
      </c>
      <c r="C521" s="221" t="s">
        <v>716</v>
      </c>
      <c r="D521" s="220" t="s">
        <v>21</v>
      </c>
      <c r="E521" s="221" t="s">
        <v>99</v>
      </c>
      <c r="F521" s="221" t="s">
        <v>718</v>
      </c>
      <c r="G521" s="226" t="s">
        <v>281</v>
      </c>
      <c r="H521" s="222" t="s">
        <v>20</v>
      </c>
      <c r="I521" s="222" t="s">
        <v>281</v>
      </c>
      <c r="J521" s="222" t="s">
        <v>281</v>
      </c>
      <c r="K521" s="222" t="s">
        <v>281</v>
      </c>
      <c r="L521" s="222" t="s">
        <v>281</v>
      </c>
      <c r="M521" s="222" t="s">
        <v>281</v>
      </c>
      <c r="N521" s="222" t="s">
        <v>281</v>
      </c>
      <c r="O521" s="223" t="s">
        <v>20</v>
      </c>
      <c r="P521" s="223" t="s">
        <v>20</v>
      </c>
      <c r="Q521" s="223" t="s">
        <v>15</v>
      </c>
      <c r="R521" s="223" t="s">
        <v>15</v>
      </c>
      <c r="S521" s="223" t="s">
        <v>16</v>
      </c>
      <c r="T521" s="223" t="s">
        <v>328</v>
      </c>
      <c r="U521" s="223" t="s">
        <v>248</v>
      </c>
      <c r="V521" s="223" t="s">
        <v>281</v>
      </c>
      <c r="W521" s="224" t="s">
        <v>281</v>
      </c>
      <c r="X521" s="224" t="s">
        <v>281</v>
      </c>
      <c r="Y521" s="225" t="s">
        <v>281</v>
      </c>
    </row>
    <row r="522" spans="1:25">
      <c r="A522" s="219">
        <v>10</v>
      </c>
      <c r="B522" s="220" t="str">
        <f>VLOOKUP(Tabel10[[#This Row],[Code]],Ruimtegroepen[[Code]:[Ruimte omschrijving]],2,FALSE)</f>
        <v>Trappenhuizen/lift</v>
      </c>
      <c r="C522" s="221" t="s">
        <v>716</v>
      </c>
      <c r="D522" s="220" t="s">
        <v>21</v>
      </c>
      <c r="E522" s="221" t="s">
        <v>101</v>
      </c>
      <c r="F522" s="221" t="s">
        <v>719</v>
      </c>
      <c r="G522" s="226" t="s">
        <v>281</v>
      </c>
      <c r="H522" s="222" t="s">
        <v>281</v>
      </c>
      <c r="I522" s="222" t="s">
        <v>18</v>
      </c>
      <c r="J522" s="222" t="s">
        <v>15</v>
      </c>
      <c r="K522" s="222" t="s">
        <v>282</v>
      </c>
      <c r="L522" s="222" t="s">
        <v>281</v>
      </c>
      <c r="M522" s="222" t="s">
        <v>281</v>
      </c>
      <c r="N522" s="222" t="s">
        <v>281</v>
      </c>
      <c r="O522" s="223" t="s">
        <v>20</v>
      </c>
      <c r="P522" s="223" t="s">
        <v>20</v>
      </c>
      <c r="Q522" s="223" t="s">
        <v>15</v>
      </c>
      <c r="R522" s="223" t="s">
        <v>15</v>
      </c>
      <c r="S522" s="223" t="s">
        <v>16</v>
      </c>
      <c r="T522" s="223" t="s">
        <v>328</v>
      </c>
      <c r="U522" s="223" t="s">
        <v>248</v>
      </c>
      <c r="V522" s="223" t="s">
        <v>281</v>
      </c>
      <c r="W522" s="224" t="s">
        <v>281</v>
      </c>
      <c r="X522" s="224" t="s">
        <v>281</v>
      </c>
      <c r="Y522" s="225" t="s">
        <v>281</v>
      </c>
    </row>
    <row r="523" spans="1:25">
      <c r="A523" s="219">
        <v>10</v>
      </c>
      <c r="B523" s="220" t="str">
        <f>VLOOKUP(Tabel10[[#This Row],[Code]],Ruimtegroepen[[Code]:[Ruimte omschrijving]],2,FALSE)</f>
        <v>Trappenhuizen/lift</v>
      </c>
      <c r="C523" s="221" t="s">
        <v>716</v>
      </c>
      <c r="D523" s="220" t="s">
        <v>21</v>
      </c>
      <c r="E523" s="221" t="s">
        <v>102</v>
      </c>
      <c r="F523" s="221" t="s">
        <v>720</v>
      </c>
      <c r="G523" s="226" t="s">
        <v>281</v>
      </c>
      <c r="H523" s="222" t="s">
        <v>281</v>
      </c>
      <c r="I523" s="222" t="s">
        <v>18</v>
      </c>
      <c r="J523" s="222" t="s">
        <v>15</v>
      </c>
      <c r="K523" s="222" t="s">
        <v>282</v>
      </c>
      <c r="L523" s="222" t="s">
        <v>281</v>
      </c>
      <c r="M523" s="222" t="s">
        <v>281</v>
      </c>
      <c r="N523" s="222" t="s">
        <v>281</v>
      </c>
      <c r="O523" s="223" t="s">
        <v>20</v>
      </c>
      <c r="P523" s="223" t="s">
        <v>20</v>
      </c>
      <c r="Q523" s="223" t="s">
        <v>15</v>
      </c>
      <c r="R523" s="223" t="s">
        <v>15</v>
      </c>
      <c r="S523" s="223" t="s">
        <v>16</v>
      </c>
      <c r="T523" s="223" t="s">
        <v>328</v>
      </c>
      <c r="U523" s="223" t="s">
        <v>248</v>
      </c>
      <c r="V523" s="223" t="s">
        <v>281</v>
      </c>
      <c r="W523" s="224" t="s">
        <v>281</v>
      </c>
      <c r="X523" s="224" t="s">
        <v>281</v>
      </c>
      <c r="Y523" s="225" t="s">
        <v>281</v>
      </c>
    </row>
    <row r="524" spans="1:25">
      <c r="A524" s="219">
        <v>10</v>
      </c>
      <c r="B524" s="220" t="str">
        <f>VLOOKUP(Tabel10[[#This Row],[Code]],Ruimtegroepen[[Code]:[Ruimte omschrijving]],2,FALSE)</f>
        <v>Trappenhuizen/lift</v>
      </c>
      <c r="C524" s="221" t="s">
        <v>716</v>
      </c>
      <c r="D524" s="220" t="s">
        <v>21</v>
      </c>
      <c r="E524" s="221" t="s">
        <v>99</v>
      </c>
      <c r="F524" s="221" t="s">
        <v>718</v>
      </c>
      <c r="G524" s="226" t="s">
        <v>281</v>
      </c>
      <c r="H524" s="222" t="s">
        <v>20</v>
      </c>
      <c r="I524" s="222" t="s">
        <v>281</v>
      </c>
      <c r="J524" s="222" t="s">
        <v>281</v>
      </c>
      <c r="K524" s="222" t="s">
        <v>281</v>
      </c>
      <c r="L524" s="222" t="s">
        <v>281</v>
      </c>
      <c r="M524" s="222" t="s">
        <v>281</v>
      </c>
      <c r="N524" s="222" t="s">
        <v>281</v>
      </c>
      <c r="O524" s="223" t="s">
        <v>20</v>
      </c>
      <c r="P524" s="223" t="s">
        <v>20</v>
      </c>
      <c r="Q524" s="223" t="s">
        <v>15</v>
      </c>
      <c r="R524" s="223" t="s">
        <v>15</v>
      </c>
      <c r="S524" s="223" t="s">
        <v>16</v>
      </c>
      <c r="T524" s="223" t="s">
        <v>328</v>
      </c>
      <c r="U524" s="223" t="s">
        <v>248</v>
      </c>
      <c r="V524" s="223" t="s">
        <v>281</v>
      </c>
      <c r="W524" s="224" t="s">
        <v>281</v>
      </c>
      <c r="X524" s="224" t="s">
        <v>281</v>
      </c>
      <c r="Y524" s="225" t="s">
        <v>281</v>
      </c>
    </row>
    <row r="525" spans="1:25">
      <c r="A525" s="219">
        <v>10</v>
      </c>
      <c r="B525" s="220" t="str">
        <f>VLOOKUP(Tabel10[[#This Row],[Code]],Ruimtegroepen[[Code]:[Ruimte omschrijving]],2,FALSE)</f>
        <v>Trappenhuizen/lift</v>
      </c>
      <c r="C525" s="221" t="s">
        <v>716</v>
      </c>
      <c r="D525" s="220" t="s">
        <v>21</v>
      </c>
      <c r="E525" s="221" t="s">
        <v>1309</v>
      </c>
      <c r="F525" s="221" t="s">
        <v>1450</v>
      </c>
      <c r="G525" s="226" t="s">
        <v>281</v>
      </c>
      <c r="H525" s="222" t="s">
        <v>281</v>
      </c>
      <c r="I525" s="222" t="s">
        <v>18</v>
      </c>
      <c r="J525" s="222" t="s">
        <v>15</v>
      </c>
      <c r="K525" s="222" t="s">
        <v>282</v>
      </c>
      <c r="L525" s="222" t="s">
        <v>281</v>
      </c>
      <c r="M525" s="222" t="s">
        <v>281</v>
      </c>
      <c r="N525" s="222" t="s">
        <v>281</v>
      </c>
      <c r="O525" s="223" t="s">
        <v>20</v>
      </c>
      <c r="P525" s="223" t="s">
        <v>20</v>
      </c>
      <c r="Q525" s="223" t="s">
        <v>15</v>
      </c>
      <c r="R525" s="223" t="s">
        <v>15</v>
      </c>
      <c r="S525" s="223" t="s">
        <v>16</v>
      </c>
      <c r="T525" s="223" t="s">
        <v>328</v>
      </c>
      <c r="U525" s="223" t="s">
        <v>248</v>
      </c>
      <c r="V525" s="223" t="s">
        <v>281</v>
      </c>
      <c r="W525" s="224" t="s">
        <v>281</v>
      </c>
      <c r="X525" s="224" t="s">
        <v>281</v>
      </c>
      <c r="Y525" s="225" t="s">
        <v>281</v>
      </c>
    </row>
    <row r="526" spans="1:25">
      <c r="A526" s="219">
        <v>10</v>
      </c>
      <c r="B526" s="220" t="str">
        <f>VLOOKUP(Tabel10[[#This Row],[Code]],Ruimtegroepen[[Code]:[Ruimte omschrijving]],2,FALSE)</f>
        <v>Trappenhuizen/lift</v>
      </c>
      <c r="C526" s="221" t="s">
        <v>721</v>
      </c>
      <c r="D526" s="220" t="s">
        <v>12</v>
      </c>
      <c r="E526" s="221" t="s">
        <v>100</v>
      </c>
      <c r="F526" s="221" t="s">
        <v>722</v>
      </c>
      <c r="G526" s="226" t="s">
        <v>281</v>
      </c>
      <c r="H526" s="222" t="s">
        <v>281</v>
      </c>
      <c r="I526" s="222" t="s">
        <v>17</v>
      </c>
      <c r="J526" s="222" t="s">
        <v>15</v>
      </c>
      <c r="K526" s="222" t="s">
        <v>281</v>
      </c>
      <c r="L526" s="222" t="s">
        <v>281</v>
      </c>
      <c r="M526" s="222" t="s">
        <v>281</v>
      </c>
      <c r="N526" s="222" t="s">
        <v>281</v>
      </c>
      <c r="O526" s="223" t="s">
        <v>18</v>
      </c>
      <c r="P526" s="223" t="s">
        <v>18</v>
      </c>
      <c r="Q526" s="223" t="s">
        <v>15</v>
      </c>
      <c r="R526" s="223" t="s">
        <v>15</v>
      </c>
      <c r="S526" s="223" t="s">
        <v>16</v>
      </c>
      <c r="T526" s="223" t="s">
        <v>328</v>
      </c>
      <c r="U526" s="223" t="s">
        <v>248</v>
      </c>
      <c r="V526" s="223" t="s">
        <v>281</v>
      </c>
      <c r="W526" s="224" t="s">
        <v>281</v>
      </c>
      <c r="X526" s="224" t="s">
        <v>281</v>
      </c>
      <c r="Y526" s="225" t="s">
        <v>281</v>
      </c>
    </row>
    <row r="527" spans="1:25">
      <c r="A527" s="219">
        <v>10</v>
      </c>
      <c r="B527" s="220" t="str">
        <f>VLOOKUP(Tabel10[[#This Row],[Code]],Ruimtegroepen[[Code]:[Ruimte omschrijving]],2,FALSE)</f>
        <v>Trappenhuizen/lift</v>
      </c>
      <c r="C527" s="221" t="s">
        <v>721</v>
      </c>
      <c r="D527" s="220" t="s">
        <v>12</v>
      </c>
      <c r="E527" s="221" t="s">
        <v>99</v>
      </c>
      <c r="F527" s="221" t="s">
        <v>723</v>
      </c>
      <c r="G527" s="226" t="s">
        <v>281</v>
      </c>
      <c r="H527" s="222" t="s">
        <v>18</v>
      </c>
      <c r="I527" s="222" t="s">
        <v>281</v>
      </c>
      <c r="J527" s="222" t="s">
        <v>281</v>
      </c>
      <c r="K527" s="222" t="s">
        <v>281</v>
      </c>
      <c r="L527" s="222" t="s">
        <v>281</v>
      </c>
      <c r="M527" s="222" t="s">
        <v>281</v>
      </c>
      <c r="N527" s="222" t="s">
        <v>281</v>
      </c>
      <c r="O527" s="223" t="s">
        <v>18</v>
      </c>
      <c r="P527" s="223" t="s">
        <v>18</v>
      </c>
      <c r="Q527" s="223" t="s">
        <v>15</v>
      </c>
      <c r="R527" s="223" t="s">
        <v>15</v>
      </c>
      <c r="S527" s="223" t="s">
        <v>16</v>
      </c>
      <c r="T527" s="223" t="s">
        <v>328</v>
      </c>
      <c r="U527" s="223" t="s">
        <v>248</v>
      </c>
      <c r="V527" s="223" t="s">
        <v>281</v>
      </c>
      <c r="W527" s="224" t="s">
        <v>281</v>
      </c>
      <c r="X527" s="224" t="s">
        <v>281</v>
      </c>
      <c r="Y527" s="225" t="s">
        <v>281</v>
      </c>
    </row>
    <row r="528" spans="1:25">
      <c r="A528" s="219">
        <v>10</v>
      </c>
      <c r="B528" s="220" t="str">
        <f>VLOOKUP(Tabel10[[#This Row],[Code]],Ruimtegroepen[[Code]:[Ruimte omschrijving]],2,FALSE)</f>
        <v>Trappenhuizen/lift</v>
      </c>
      <c r="C528" s="221" t="s">
        <v>721</v>
      </c>
      <c r="D528" s="220" t="s">
        <v>12</v>
      </c>
      <c r="E528" s="221" t="s">
        <v>101</v>
      </c>
      <c r="F528" s="221" t="s">
        <v>724</v>
      </c>
      <c r="G528" s="226" t="s">
        <v>281</v>
      </c>
      <c r="H528" s="222" t="s">
        <v>281</v>
      </c>
      <c r="I528" s="222" t="s">
        <v>17</v>
      </c>
      <c r="J528" s="222" t="s">
        <v>15</v>
      </c>
      <c r="K528" s="222" t="s">
        <v>282</v>
      </c>
      <c r="L528" s="222" t="s">
        <v>281</v>
      </c>
      <c r="M528" s="222" t="s">
        <v>281</v>
      </c>
      <c r="N528" s="222" t="s">
        <v>281</v>
      </c>
      <c r="O528" s="223" t="s">
        <v>18</v>
      </c>
      <c r="P528" s="223" t="s">
        <v>18</v>
      </c>
      <c r="Q528" s="223" t="s">
        <v>15</v>
      </c>
      <c r="R528" s="223" t="s">
        <v>15</v>
      </c>
      <c r="S528" s="223" t="s">
        <v>16</v>
      </c>
      <c r="T528" s="223" t="s">
        <v>328</v>
      </c>
      <c r="U528" s="223" t="s">
        <v>248</v>
      </c>
      <c r="V528" s="223" t="s">
        <v>281</v>
      </c>
      <c r="W528" s="224" t="s">
        <v>281</v>
      </c>
      <c r="X528" s="224" t="s">
        <v>281</v>
      </c>
      <c r="Y528" s="225" t="s">
        <v>281</v>
      </c>
    </row>
    <row r="529" spans="1:25">
      <c r="A529" s="219">
        <v>10</v>
      </c>
      <c r="B529" s="220" t="str">
        <f>VLOOKUP(Tabel10[[#This Row],[Code]],Ruimtegroepen[[Code]:[Ruimte omschrijving]],2,FALSE)</f>
        <v>Trappenhuizen/lift</v>
      </c>
      <c r="C529" s="221" t="s">
        <v>721</v>
      </c>
      <c r="D529" s="220" t="s">
        <v>12</v>
      </c>
      <c r="E529" s="221" t="s">
        <v>102</v>
      </c>
      <c r="F529" s="221" t="s">
        <v>725</v>
      </c>
      <c r="G529" s="226" t="s">
        <v>281</v>
      </c>
      <c r="H529" s="222" t="s">
        <v>281</v>
      </c>
      <c r="I529" s="222" t="s">
        <v>17</v>
      </c>
      <c r="J529" s="222" t="s">
        <v>15</v>
      </c>
      <c r="K529" s="222" t="s">
        <v>282</v>
      </c>
      <c r="L529" s="222" t="s">
        <v>281</v>
      </c>
      <c r="M529" s="222" t="s">
        <v>281</v>
      </c>
      <c r="N529" s="222" t="s">
        <v>281</v>
      </c>
      <c r="O529" s="223" t="s">
        <v>18</v>
      </c>
      <c r="P529" s="223" t="s">
        <v>18</v>
      </c>
      <c r="Q529" s="223" t="s">
        <v>15</v>
      </c>
      <c r="R529" s="223" t="s">
        <v>15</v>
      </c>
      <c r="S529" s="223" t="s">
        <v>16</v>
      </c>
      <c r="T529" s="223" t="s">
        <v>328</v>
      </c>
      <c r="U529" s="223" t="s">
        <v>248</v>
      </c>
      <c r="V529" s="223" t="s">
        <v>281</v>
      </c>
      <c r="W529" s="224" t="s">
        <v>281</v>
      </c>
      <c r="X529" s="224" t="s">
        <v>281</v>
      </c>
      <c r="Y529" s="225" t="s">
        <v>281</v>
      </c>
    </row>
    <row r="530" spans="1:25">
      <c r="A530" s="219">
        <v>10</v>
      </c>
      <c r="B530" s="220" t="str">
        <f>VLOOKUP(Tabel10[[#This Row],[Code]],Ruimtegroepen[[Code]:[Ruimte omschrijving]],2,FALSE)</f>
        <v>Trappenhuizen/lift</v>
      </c>
      <c r="C530" s="221" t="s">
        <v>721</v>
      </c>
      <c r="D530" s="220" t="s">
        <v>12</v>
      </c>
      <c r="E530" s="221" t="s">
        <v>99</v>
      </c>
      <c r="F530" s="221" t="s">
        <v>723</v>
      </c>
      <c r="G530" s="226" t="s">
        <v>281</v>
      </c>
      <c r="H530" s="222" t="s">
        <v>18</v>
      </c>
      <c r="I530" s="222" t="s">
        <v>281</v>
      </c>
      <c r="J530" s="222" t="s">
        <v>281</v>
      </c>
      <c r="K530" s="222" t="s">
        <v>281</v>
      </c>
      <c r="L530" s="222" t="s">
        <v>281</v>
      </c>
      <c r="M530" s="222" t="s">
        <v>281</v>
      </c>
      <c r="N530" s="222" t="s">
        <v>281</v>
      </c>
      <c r="O530" s="223" t="s">
        <v>18</v>
      </c>
      <c r="P530" s="223" t="s">
        <v>18</v>
      </c>
      <c r="Q530" s="223" t="s">
        <v>15</v>
      </c>
      <c r="R530" s="223" t="s">
        <v>15</v>
      </c>
      <c r="S530" s="223" t="s">
        <v>16</v>
      </c>
      <c r="T530" s="223" t="s">
        <v>328</v>
      </c>
      <c r="U530" s="223" t="s">
        <v>248</v>
      </c>
      <c r="V530" s="223" t="s">
        <v>281</v>
      </c>
      <c r="W530" s="224" t="s">
        <v>281</v>
      </c>
      <c r="X530" s="224" t="s">
        <v>281</v>
      </c>
      <c r="Y530" s="225" t="s">
        <v>281</v>
      </c>
    </row>
    <row r="531" spans="1:25">
      <c r="A531" s="219">
        <v>10</v>
      </c>
      <c r="B531" s="220" t="str">
        <f>VLOOKUP(Tabel10[[#This Row],[Code]],Ruimtegroepen[[Code]:[Ruimte omschrijving]],2,FALSE)</f>
        <v>Trappenhuizen/lift</v>
      </c>
      <c r="C531" s="221" t="s">
        <v>721</v>
      </c>
      <c r="D531" s="220" t="s">
        <v>12</v>
      </c>
      <c r="E531" s="221" t="s">
        <v>1309</v>
      </c>
      <c r="F531" s="221" t="s">
        <v>1432</v>
      </c>
      <c r="G531" s="226" t="s">
        <v>281</v>
      </c>
      <c r="H531" s="222" t="s">
        <v>281</v>
      </c>
      <c r="I531" s="222" t="s">
        <v>17</v>
      </c>
      <c r="J531" s="222" t="s">
        <v>15</v>
      </c>
      <c r="K531" s="222" t="s">
        <v>282</v>
      </c>
      <c r="L531" s="222" t="s">
        <v>281</v>
      </c>
      <c r="M531" s="222" t="s">
        <v>281</v>
      </c>
      <c r="N531" s="222" t="s">
        <v>281</v>
      </c>
      <c r="O531" s="223" t="s">
        <v>18</v>
      </c>
      <c r="P531" s="223" t="s">
        <v>18</v>
      </c>
      <c r="Q531" s="223" t="s">
        <v>15</v>
      </c>
      <c r="R531" s="223" t="s">
        <v>15</v>
      </c>
      <c r="S531" s="223" t="s">
        <v>16</v>
      </c>
      <c r="T531" s="223" t="s">
        <v>328</v>
      </c>
      <c r="U531" s="223" t="s">
        <v>248</v>
      </c>
      <c r="V531" s="223" t="s">
        <v>281</v>
      </c>
      <c r="W531" s="224" t="s">
        <v>281</v>
      </c>
      <c r="X531" s="224" t="s">
        <v>281</v>
      </c>
      <c r="Y531" s="225" t="s">
        <v>281</v>
      </c>
    </row>
    <row r="532" spans="1:25">
      <c r="A532" s="219">
        <v>10</v>
      </c>
      <c r="B532" s="220" t="str">
        <f>VLOOKUP(Tabel10[[#This Row],[Code]],Ruimtegroepen[[Code]:[Ruimte omschrijving]],2,FALSE)</f>
        <v>Trappenhuizen/lift</v>
      </c>
      <c r="C532" s="221" t="s">
        <v>726</v>
      </c>
      <c r="D532" s="220" t="s">
        <v>14</v>
      </c>
      <c r="E532" s="221" t="s">
        <v>100</v>
      </c>
      <c r="F532" s="221" t="s">
        <v>727</v>
      </c>
      <c r="G532" s="226" t="s">
        <v>281</v>
      </c>
      <c r="H532" s="222" t="s">
        <v>281</v>
      </c>
      <c r="I532" s="222" t="s">
        <v>15</v>
      </c>
      <c r="J532" s="222" t="s">
        <v>15</v>
      </c>
      <c r="K532" s="222" t="s">
        <v>281</v>
      </c>
      <c r="L532" s="222" t="s">
        <v>281</v>
      </c>
      <c r="M532" s="222" t="s">
        <v>281</v>
      </c>
      <c r="N532" s="222" t="s">
        <v>281</v>
      </c>
      <c r="O532" s="223" t="s">
        <v>17</v>
      </c>
      <c r="P532" s="223" t="s">
        <v>17</v>
      </c>
      <c r="Q532" s="223" t="s">
        <v>15</v>
      </c>
      <c r="R532" s="223" t="s">
        <v>15</v>
      </c>
      <c r="S532" s="223" t="s">
        <v>16</v>
      </c>
      <c r="T532" s="223" t="s">
        <v>328</v>
      </c>
      <c r="U532" s="223" t="s">
        <v>248</v>
      </c>
      <c r="V532" s="223" t="s">
        <v>281</v>
      </c>
      <c r="W532" s="224" t="s">
        <v>281</v>
      </c>
      <c r="X532" s="224" t="s">
        <v>281</v>
      </c>
      <c r="Y532" s="225" t="s">
        <v>281</v>
      </c>
    </row>
    <row r="533" spans="1:25">
      <c r="A533" s="219">
        <v>10</v>
      </c>
      <c r="B533" s="220" t="str">
        <f>VLOOKUP(Tabel10[[#This Row],[Code]],Ruimtegroepen[[Code]:[Ruimte omschrijving]],2,FALSE)</f>
        <v>Trappenhuizen/lift</v>
      </c>
      <c r="C533" s="221" t="s">
        <v>726</v>
      </c>
      <c r="D533" s="220" t="s">
        <v>14</v>
      </c>
      <c r="E533" s="221" t="s">
        <v>99</v>
      </c>
      <c r="F533" s="221" t="s">
        <v>728</v>
      </c>
      <c r="G533" s="226" t="s">
        <v>281</v>
      </c>
      <c r="H533" s="222" t="s">
        <v>17</v>
      </c>
      <c r="I533" s="222" t="s">
        <v>281</v>
      </c>
      <c r="J533" s="222" t="s">
        <v>281</v>
      </c>
      <c r="K533" s="222" t="s">
        <v>281</v>
      </c>
      <c r="L533" s="222" t="s">
        <v>281</v>
      </c>
      <c r="M533" s="222" t="s">
        <v>281</v>
      </c>
      <c r="N533" s="222" t="s">
        <v>281</v>
      </c>
      <c r="O533" s="223" t="s">
        <v>17</v>
      </c>
      <c r="P533" s="223" t="s">
        <v>17</v>
      </c>
      <c r="Q533" s="223" t="s">
        <v>15</v>
      </c>
      <c r="R533" s="223" t="s">
        <v>15</v>
      </c>
      <c r="S533" s="223" t="s">
        <v>16</v>
      </c>
      <c r="T533" s="223" t="s">
        <v>328</v>
      </c>
      <c r="U533" s="223" t="s">
        <v>248</v>
      </c>
      <c r="V533" s="223" t="s">
        <v>281</v>
      </c>
      <c r="W533" s="224" t="s">
        <v>281</v>
      </c>
      <c r="X533" s="224" t="s">
        <v>281</v>
      </c>
      <c r="Y533" s="225" t="s">
        <v>281</v>
      </c>
    </row>
    <row r="534" spans="1:25">
      <c r="A534" s="219">
        <v>10</v>
      </c>
      <c r="B534" s="220" t="str">
        <f>VLOOKUP(Tabel10[[#This Row],[Code]],Ruimtegroepen[[Code]:[Ruimte omschrijving]],2,FALSE)</f>
        <v>Trappenhuizen/lift</v>
      </c>
      <c r="C534" s="221" t="s">
        <v>726</v>
      </c>
      <c r="D534" s="220" t="s">
        <v>14</v>
      </c>
      <c r="E534" s="221" t="s">
        <v>101</v>
      </c>
      <c r="F534" s="221" t="s">
        <v>729</v>
      </c>
      <c r="G534" s="226" t="s">
        <v>281</v>
      </c>
      <c r="H534" s="222" t="s">
        <v>281</v>
      </c>
      <c r="I534" s="222" t="s">
        <v>15</v>
      </c>
      <c r="J534" s="222" t="s">
        <v>15</v>
      </c>
      <c r="K534" s="222" t="s">
        <v>282</v>
      </c>
      <c r="L534" s="222" t="s">
        <v>281</v>
      </c>
      <c r="M534" s="222" t="s">
        <v>281</v>
      </c>
      <c r="N534" s="222" t="s">
        <v>281</v>
      </c>
      <c r="O534" s="223" t="s">
        <v>17</v>
      </c>
      <c r="P534" s="223" t="s">
        <v>17</v>
      </c>
      <c r="Q534" s="223" t="s">
        <v>15</v>
      </c>
      <c r="R534" s="223" t="s">
        <v>15</v>
      </c>
      <c r="S534" s="223" t="s">
        <v>16</v>
      </c>
      <c r="T534" s="223" t="s">
        <v>328</v>
      </c>
      <c r="U534" s="223" t="s">
        <v>248</v>
      </c>
      <c r="V534" s="223" t="s">
        <v>281</v>
      </c>
      <c r="W534" s="224" t="s">
        <v>281</v>
      </c>
      <c r="X534" s="224" t="s">
        <v>281</v>
      </c>
      <c r="Y534" s="225" t="s">
        <v>281</v>
      </c>
    </row>
    <row r="535" spans="1:25">
      <c r="A535" s="219">
        <v>10</v>
      </c>
      <c r="B535" s="220" t="str">
        <f>VLOOKUP(Tabel10[[#This Row],[Code]],Ruimtegroepen[[Code]:[Ruimte omschrijving]],2,FALSE)</f>
        <v>Trappenhuizen/lift</v>
      </c>
      <c r="C535" s="221" t="s">
        <v>726</v>
      </c>
      <c r="D535" s="220" t="s">
        <v>14</v>
      </c>
      <c r="E535" s="221" t="s">
        <v>102</v>
      </c>
      <c r="F535" s="221" t="s">
        <v>730</v>
      </c>
      <c r="G535" s="226" t="s">
        <v>281</v>
      </c>
      <c r="H535" s="222" t="s">
        <v>281</v>
      </c>
      <c r="I535" s="222" t="s">
        <v>15</v>
      </c>
      <c r="J535" s="222" t="s">
        <v>15</v>
      </c>
      <c r="K535" s="222" t="s">
        <v>282</v>
      </c>
      <c r="L535" s="222" t="s">
        <v>281</v>
      </c>
      <c r="M535" s="222" t="s">
        <v>281</v>
      </c>
      <c r="N535" s="222" t="s">
        <v>281</v>
      </c>
      <c r="O535" s="223" t="s">
        <v>17</v>
      </c>
      <c r="P535" s="223" t="s">
        <v>17</v>
      </c>
      <c r="Q535" s="223" t="s">
        <v>15</v>
      </c>
      <c r="R535" s="223" t="s">
        <v>15</v>
      </c>
      <c r="S535" s="223" t="s">
        <v>16</v>
      </c>
      <c r="T535" s="223" t="s">
        <v>328</v>
      </c>
      <c r="U535" s="223" t="s">
        <v>248</v>
      </c>
      <c r="V535" s="223" t="s">
        <v>281</v>
      </c>
      <c r="W535" s="224" t="s">
        <v>281</v>
      </c>
      <c r="X535" s="224" t="s">
        <v>281</v>
      </c>
      <c r="Y535" s="225" t="s">
        <v>281</v>
      </c>
    </row>
    <row r="536" spans="1:25">
      <c r="A536" s="219">
        <v>10</v>
      </c>
      <c r="B536" s="220" t="str">
        <f>VLOOKUP(Tabel10[[#This Row],[Code]],Ruimtegroepen[[Code]:[Ruimte omschrijving]],2,FALSE)</f>
        <v>Trappenhuizen/lift</v>
      </c>
      <c r="C536" s="221" t="s">
        <v>726</v>
      </c>
      <c r="D536" s="220" t="s">
        <v>14</v>
      </c>
      <c r="E536" s="221" t="s">
        <v>99</v>
      </c>
      <c r="F536" s="221" t="s">
        <v>728</v>
      </c>
      <c r="G536" s="226" t="s">
        <v>281</v>
      </c>
      <c r="H536" s="222" t="s">
        <v>17</v>
      </c>
      <c r="I536" s="222" t="s">
        <v>281</v>
      </c>
      <c r="J536" s="222" t="s">
        <v>281</v>
      </c>
      <c r="K536" s="222" t="s">
        <v>281</v>
      </c>
      <c r="L536" s="222" t="s">
        <v>281</v>
      </c>
      <c r="M536" s="222" t="s">
        <v>281</v>
      </c>
      <c r="N536" s="222" t="s">
        <v>281</v>
      </c>
      <c r="O536" s="223" t="s">
        <v>17</v>
      </c>
      <c r="P536" s="223" t="s">
        <v>17</v>
      </c>
      <c r="Q536" s="223" t="s">
        <v>15</v>
      </c>
      <c r="R536" s="223" t="s">
        <v>15</v>
      </c>
      <c r="S536" s="223" t="s">
        <v>16</v>
      </c>
      <c r="T536" s="223" t="s">
        <v>328</v>
      </c>
      <c r="U536" s="223" t="s">
        <v>248</v>
      </c>
      <c r="V536" s="223" t="s">
        <v>281</v>
      </c>
      <c r="W536" s="224" t="s">
        <v>281</v>
      </c>
      <c r="X536" s="224" t="s">
        <v>281</v>
      </c>
      <c r="Y536" s="225" t="s">
        <v>281</v>
      </c>
    </row>
    <row r="537" spans="1:25">
      <c r="A537" s="219">
        <v>10</v>
      </c>
      <c r="B537" s="220" t="str">
        <f>VLOOKUP(Tabel10[[#This Row],[Code]],Ruimtegroepen[[Code]:[Ruimte omschrijving]],2,FALSE)</f>
        <v>Trappenhuizen/lift</v>
      </c>
      <c r="C537" s="221" t="s">
        <v>726</v>
      </c>
      <c r="D537" s="220" t="s">
        <v>14</v>
      </c>
      <c r="E537" s="221" t="s">
        <v>1309</v>
      </c>
      <c r="F537" s="221" t="s">
        <v>1399</v>
      </c>
      <c r="G537" s="226" t="s">
        <v>281</v>
      </c>
      <c r="H537" s="222" t="s">
        <v>281</v>
      </c>
      <c r="I537" s="222" t="s">
        <v>15</v>
      </c>
      <c r="J537" s="222" t="s">
        <v>15</v>
      </c>
      <c r="K537" s="222" t="s">
        <v>282</v>
      </c>
      <c r="L537" s="222" t="s">
        <v>281</v>
      </c>
      <c r="M537" s="222" t="s">
        <v>281</v>
      </c>
      <c r="N537" s="222" t="s">
        <v>281</v>
      </c>
      <c r="O537" s="223" t="s">
        <v>17</v>
      </c>
      <c r="P537" s="223" t="s">
        <v>17</v>
      </c>
      <c r="Q537" s="223" t="s">
        <v>15</v>
      </c>
      <c r="R537" s="223" t="s">
        <v>15</v>
      </c>
      <c r="S537" s="223" t="s">
        <v>16</v>
      </c>
      <c r="T537" s="223" t="s">
        <v>328</v>
      </c>
      <c r="U537" s="223" t="s">
        <v>248</v>
      </c>
      <c r="V537" s="223" t="s">
        <v>281</v>
      </c>
      <c r="W537" s="224" t="s">
        <v>281</v>
      </c>
      <c r="X537" s="224" t="s">
        <v>281</v>
      </c>
      <c r="Y537" s="225" t="s">
        <v>281</v>
      </c>
    </row>
    <row r="538" spans="1:25">
      <c r="A538" s="219">
        <v>10</v>
      </c>
      <c r="B538" s="220" t="str">
        <f>VLOOKUP(Tabel10[[#This Row],[Code]],Ruimtegroepen[[Code]:[Ruimte omschrijving]],2,FALSE)</f>
        <v>Trappenhuizen/lift</v>
      </c>
      <c r="C538" s="221" t="s">
        <v>731</v>
      </c>
      <c r="D538" s="220" t="s">
        <v>13</v>
      </c>
      <c r="E538" s="221" t="s">
        <v>100</v>
      </c>
      <c r="F538" s="221" t="s">
        <v>732</v>
      </c>
      <c r="G538" s="226" t="s">
        <v>281</v>
      </c>
      <c r="H538" s="222" t="s">
        <v>281</v>
      </c>
      <c r="I538" s="222" t="s">
        <v>281</v>
      </c>
      <c r="J538" s="222" t="s">
        <v>15</v>
      </c>
      <c r="K538" s="222" t="s">
        <v>281</v>
      </c>
      <c r="L538" s="222" t="s">
        <v>281</v>
      </c>
      <c r="M538" s="222" t="s">
        <v>281</v>
      </c>
      <c r="N538" s="222" t="s">
        <v>281</v>
      </c>
      <c r="O538" s="223" t="s">
        <v>15</v>
      </c>
      <c r="P538" s="223" t="s">
        <v>15</v>
      </c>
      <c r="Q538" s="223" t="s">
        <v>15</v>
      </c>
      <c r="R538" s="223" t="s">
        <v>15</v>
      </c>
      <c r="S538" s="223" t="s">
        <v>16</v>
      </c>
      <c r="T538" s="223" t="s">
        <v>328</v>
      </c>
      <c r="U538" s="223" t="s">
        <v>248</v>
      </c>
      <c r="V538" s="223" t="s">
        <v>281</v>
      </c>
      <c r="W538" s="224" t="s">
        <v>281</v>
      </c>
      <c r="X538" s="224" t="s">
        <v>281</v>
      </c>
      <c r="Y538" s="225" t="s">
        <v>281</v>
      </c>
    </row>
    <row r="539" spans="1:25">
      <c r="A539" s="219">
        <v>10</v>
      </c>
      <c r="B539" s="220" t="str">
        <f>VLOOKUP(Tabel10[[#This Row],[Code]],Ruimtegroepen[[Code]:[Ruimte omschrijving]],2,FALSE)</f>
        <v>Trappenhuizen/lift</v>
      </c>
      <c r="C539" s="221" t="s">
        <v>731</v>
      </c>
      <c r="D539" s="220" t="s">
        <v>13</v>
      </c>
      <c r="E539" s="221" t="s">
        <v>99</v>
      </c>
      <c r="F539" s="221" t="s">
        <v>733</v>
      </c>
      <c r="G539" s="226" t="s">
        <v>281</v>
      </c>
      <c r="H539" s="222" t="s">
        <v>15</v>
      </c>
      <c r="I539" s="222" t="s">
        <v>281</v>
      </c>
      <c r="J539" s="222" t="s">
        <v>281</v>
      </c>
      <c r="K539" s="222" t="s">
        <v>281</v>
      </c>
      <c r="L539" s="222" t="s">
        <v>281</v>
      </c>
      <c r="M539" s="222" t="s">
        <v>281</v>
      </c>
      <c r="N539" s="222" t="s">
        <v>281</v>
      </c>
      <c r="O539" s="223" t="s">
        <v>15</v>
      </c>
      <c r="P539" s="223" t="s">
        <v>15</v>
      </c>
      <c r="Q539" s="223" t="s">
        <v>15</v>
      </c>
      <c r="R539" s="223" t="s">
        <v>15</v>
      </c>
      <c r="S539" s="223" t="s">
        <v>16</v>
      </c>
      <c r="T539" s="223" t="s">
        <v>328</v>
      </c>
      <c r="U539" s="223" t="s">
        <v>248</v>
      </c>
      <c r="V539" s="223" t="s">
        <v>281</v>
      </c>
      <c r="W539" s="224" t="s">
        <v>281</v>
      </c>
      <c r="X539" s="224" t="s">
        <v>281</v>
      </c>
      <c r="Y539" s="225" t="s">
        <v>281</v>
      </c>
    </row>
    <row r="540" spans="1:25">
      <c r="A540" s="219">
        <v>10</v>
      </c>
      <c r="B540" s="220" t="str">
        <f>VLOOKUP(Tabel10[[#This Row],[Code]],Ruimtegroepen[[Code]:[Ruimte omschrijving]],2,FALSE)</f>
        <v>Trappenhuizen/lift</v>
      </c>
      <c r="C540" s="221" t="s">
        <v>731</v>
      </c>
      <c r="D540" s="220" t="s">
        <v>13</v>
      </c>
      <c r="E540" s="221" t="s">
        <v>101</v>
      </c>
      <c r="F540" s="221" t="s">
        <v>734</v>
      </c>
      <c r="G540" s="226" t="s">
        <v>281</v>
      </c>
      <c r="H540" s="222" t="s">
        <v>281</v>
      </c>
      <c r="I540" s="222" t="s">
        <v>281</v>
      </c>
      <c r="J540" s="222" t="s">
        <v>15</v>
      </c>
      <c r="K540" s="222" t="s">
        <v>282</v>
      </c>
      <c r="L540" s="222" t="s">
        <v>281</v>
      </c>
      <c r="M540" s="222" t="s">
        <v>281</v>
      </c>
      <c r="N540" s="222" t="s">
        <v>281</v>
      </c>
      <c r="O540" s="223" t="s">
        <v>15</v>
      </c>
      <c r="P540" s="223" t="s">
        <v>15</v>
      </c>
      <c r="Q540" s="223" t="s">
        <v>15</v>
      </c>
      <c r="R540" s="223" t="s">
        <v>15</v>
      </c>
      <c r="S540" s="223" t="s">
        <v>16</v>
      </c>
      <c r="T540" s="223" t="s">
        <v>328</v>
      </c>
      <c r="U540" s="223" t="s">
        <v>248</v>
      </c>
      <c r="V540" s="223" t="s">
        <v>281</v>
      </c>
      <c r="W540" s="224" t="s">
        <v>281</v>
      </c>
      <c r="X540" s="224" t="s">
        <v>281</v>
      </c>
      <c r="Y540" s="225" t="s">
        <v>281</v>
      </c>
    </row>
    <row r="541" spans="1:25">
      <c r="A541" s="219">
        <v>10</v>
      </c>
      <c r="B541" s="220" t="str">
        <f>VLOOKUP(Tabel10[[#This Row],[Code]],Ruimtegroepen[[Code]:[Ruimte omschrijving]],2,FALSE)</f>
        <v>Trappenhuizen/lift</v>
      </c>
      <c r="C541" s="221" t="s">
        <v>731</v>
      </c>
      <c r="D541" s="220" t="s">
        <v>13</v>
      </c>
      <c r="E541" s="221" t="s">
        <v>102</v>
      </c>
      <c r="F541" s="221" t="s">
        <v>735</v>
      </c>
      <c r="G541" s="226" t="s">
        <v>281</v>
      </c>
      <c r="H541" s="222" t="s">
        <v>281</v>
      </c>
      <c r="I541" s="222" t="s">
        <v>281</v>
      </c>
      <c r="J541" s="222" t="s">
        <v>15</v>
      </c>
      <c r="K541" s="222" t="s">
        <v>282</v>
      </c>
      <c r="L541" s="222" t="s">
        <v>281</v>
      </c>
      <c r="M541" s="222" t="s">
        <v>281</v>
      </c>
      <c r="N541" s="222" t="s">
        <v>281</v>
      </c>
      <c r="O541" s="223" t="s">
        <v>15</v>
      </c>
      <c r="P541" s="223" t="s">
        <v>15</v>
      </c>
      <c r="Q541" s="223" t="s">
        <v>15</v>
      </c>
      <c r="R541" s="223" t="s">
        <v>15</v>
      </c>
      <c r="S541" s="223" t="s">
        <v>16</v>
      </c>
      <c r="T541" s="223" t="s">
        <v>328</v>
      </c>
      <c r="U541" s="223" t="s">
        <v>248</v>
      </c>
      <c r="V541" s="223" t="s">
        <v>281</v>
      </c>
      <c r="W541" s="224" t="s">
        <v>281</v>
      </c>
      <c r="X541" s="224" t="s">
        <v>281</v>
      </c>
      <c r="Y541" s="225" t="s">
        <v>281</v>
      </c>
    </row>
    <row r="542" spans="1:25">
      <c r="A542" s="219">
        <v>10</v>
      </c>
      <c r="B542" s="220" t="str">
        <f>VLOOKUP(Tabel10[[#This Row],[Code]],Ruimtegroepen[[Code]:[Ruimte omschrijving]],2,FALSE)</f>
        <v>Trappenhuizen/lift</v>
      </c>
      <c r="C542" s="221" t="s">
        <v>731</v>
      </c>
      <c r="D542" s="220" t="s">
        <v>13</v>
      </c>
      <c r="E542" s="221" t="s">
        <v>99</v>
      </c>
      <c r="F542" s="221" t="s">
        <v>733</v>
      </c>
      <c r="G542" s="226" t="s">
        <v>281</v>
      </c>
      <c r="H542" s="222" t="s">
        <v>15</v>
      </c>
      <c r="I542" s="222" t="s">
        <v>281</v>
      </c>
      <c r="J542" s="222" t="s">
        <v>281</v>
      </c>
      <c r="K542" s="222" t="s">
        <v>281</v>
      </c>
      <c r="L542" s="222" t="s">
        <v>281</v>
      </c>
      <c r="M542" s="222" t="s">
        <v>281</v>
      </c>
      <c r="N542" s="222" t="s">
        <v>281</v>
      </c>
      <c r="O542" s="223" t="s">
        <v>15</v>
      </c>
      <c r="P542" s="223" t="s">
        <v>15</v>
      </c>
      <c r="Q542" s="223" t="s">
        <v>15</v>
      </c>
      <c r="R542" s="223" t="s">
        <v>15</v>
      </c>
      <c r="S542" s="223" t="s">
        <v>16</v>
      </c>
      <c r="T542" s="223" t="s">
        <v>328</v>
      </c>
      <c r="U542" s="223" t="s">
        <v>248</v>
      </c>
      <c r="V542" s="223" t="s">
        <v>281</v>
      </c>
      <c r="W542" s="224" t="s">
        <v>281</v>
      </c>
      <c r="X542" s="224" t="s">
        <v>281</v>
      </c>
      <c r="Y542" s="225" t="s">
        <v>281</v>
      </c>
    </row>
    <row r="543" spans="1:25">
      <c r="A543" s="219">
        <v>10</v>
      </c>
      <c r="B543" s="220" t="str">
        <f>VLOOKUP(Tabel10[[#This Row],[Code]],Ruimtegroepen[[Code]:[Ruimte omschrijving]],2,FALSE)</f>
        <v>Trappenhuizen/lift</v>
      </c>
      <c r="C543" s="221" t="s">
        <v>731</v>
      </c>
      <c r="D543" s="220" t="s">
        <v>13</v>
      </c>
      <c r="E543" s="221" t="s">
        <v>1309</v>
      </c>
      <c r="F543" s="221" t="s">
        <v>1366</v>
      </c>
      <c r="G543" s="226" t="s">
        <v>281</v>
      </c>
      <c r="H543" s="222" t="s">
        <v>281</v>
      </c>
      <c r="I543" s="222" t="s">
        <v>281</v>
      </c>
      <c r="J543" s="222" t="s">
        <v>15</v>
      </c>
      <c r="K543" s="222" t="s">
        <v>282</v>
      </c>
      <c r="L543" s="222" t="s">
        <v>281</v>
      </c>
      <c r="M543" s="222" t="s">
        <v>281</v>
      </c>
      <c r="N543" s="222" t="s">
        <v>281</v>
      </c>
      <c r="O543" s="223" t="s">
        <v>15</v>
      </c>
      <c r="P543" s="223" t="s">
        <v>15</v>
      </c>
      <c r="Q543" s="223" t="s">
        <v>15</v>
      </c>
      <c r="R543" s="223" t="s">
        <v>15</v>
      </c>
      <c r="S543" s="223" t="s">
        <v>16</v>
      </c>
      <c r="T543" s="223" t="s">
        <v>328</v>
      </c>
      <c r="U543" s="223" t="s">
        <v>248</v>
      </c>
      <c r="V543" s="223" t="s">
        <v>281</v>
      </c>
      <c r="W543" s="224" t="s">
        <v>281</v>
      </c>
      <c r="X543" s="224" t="s">
        <v>281</v>
      </c>
      <c r="Y543" s="225" t="s">
        <v>281</v>
      </c>
    </row>
    <row r="544" spans="1:25">
      <c r="A544" s="219">
        <v>10</v>
      </c>
      <c r="B544" s="220" t="str">
        <f>VLOOKUP(Tabel10[[#This Row],[Code]],Ruimtegroepen[[Code]:[Ruimte omschrijving]],2,FALSE)</f>
        <v>Trappenhuizen/lift</v>
      </c>
      <c r="C544" s="221" t="s">
        <v>736</v>
      </c>
      <c r="D544" s="220" t="s">
        <v>0</v>
      </c>
      <c r="E544" s="221" t="s">
        <v>100</v>
      </c>
      <c r="F544" s="221" t="s">
        <v>737</v>
      </c>
      <c r="G544" s="226" t="s">
        <v>281</v>
      </c>
      <c r="H544" s="222" t="s">
        <v>281</v>
      </c>
      <c r="I544" s="222" t="s">
        <v>281</v>
      </c>
      <c r="J544" s="222" t="s">
        <v>16</v>
      </c>
      <c r="K544" s="222" t="s">
        <v>281</v>
      </c>
      <c r="L544" s="222" t="s">
        <v>281</v>
      </c>
      <c r="M544" s="222" t="s">
        <v>281</v>
      </c>
      <c r="N544" s="222" t="s">
        <v>281</v>
      </c>
      <c r="O544" s="223" t="s">
        <v>16</v>
      </c>
      <c r="P544" s="223" t="s">
        <v>16</v>
      </c>
      <c r="Q544" s="223" t="s">
        <v>16</v>
      </c>
      <c r="R544" s="223" t="s">
        <v>16</v>
      </c>
      <c r="S544" s="223" t="s">
        <v>16</v>
      </c>
      <c r="T544" s="223" t="s">
        <v>328</v>
      </c>
      <c r="U544" s="223" t="s">
        <v>248</v>
      </c>
      <c r="V544" s="223" t="s">
        <v>281</v>
      </c>
      <c r="W544" s="224" t="s">
        <v>281</v>
      </c>
      <c r="X544" s="224" t="s">
        <v>281</v>
      </c>
      <c r="Y544" s="225" t="s">
        <v>281</v>
      </c>
    </row>
    <row r="545" spans="1:25">
      <c r="A545" s="219">
        <v>10</v>
      </c>
      <c r="B545" s="220" t="str">
        <f>VLOOKUP(Tabel10[[#This Row],[Code]],Ruimtegroepen[[Code]:[Ruimte omschrijving]],2,FALSE)</f>
        <v>Trappenhuizen/lift</v>
      </c>
      <c r="C545" s="221" t="s">
        <v>736</v>
      </c>
      <c r="D545" s="220" t="s">
        <v>0</v>
      </c>
      <c r="E545" s="221" t="s">
        <v>99</v>
      </c>
      <c r="F545" s="221" t="s">
        <v>738</v>
      </c>
      <c r="G545" s="226" t="s">
        <v>281</v>
      </c>
      <c r="H545" s="222" t="s">
        <v>16</v>
      </c>
      <c r="I545" s="222" t="s">
        <v>281</v>
      </c>
      <c r="J545" s="222" t="s">
        <v>281</v>
      </c>
      <c r="K545" s="222" t="s">
        <v>281</v>
      </c>
      <c r="L545" s="222" t="s">
        <v>281</v>
      </c>
      <c r="M545" s="222" t="s">
        <v>281</v>
      </c>
      <c r="N545" s="222" t="s">
        <v>281</v>
      </c>
      <c r="O545" s="223" t="s">
        <v>16</v>
      </c>
      <c r="P545" s="223" t="s">
        <v>16</v>
      </c>
      <c r="Q545" s="223" t="s">
        <v>16</v>
      </c>
      <c r="R545" s="223" t="s">
        <v>16</v>
      </c>
      <c r="S545" s="223" t="s">
        <v>16</v>
      </c>
      <c r="T545" s="223" t="s">
        <v>328</v>
      </c>
      <c r="U545" s="223" t="s">
        <v>248</v>
      </c>
      <c r="V545" s="223" t="s">
        <v>281</v>
      </c>
      <c r="W545" s="224" t="s">
        <v>281</v>
      </c>
      <c r="X545" s="224" t="s">
        <v>281</v>
      </c>
      <c r="Y545" s="225" t="s">
        <v>281</v>
      </c>
    </row>
    <row r="546" spans="1:25">
      <c r="A546" s="219">
        <v>10</v>
      </c>
      <c r="B546" s="220" t="str">
        <f>VLOOKUP(Tabel10[[#This Row],[Code]],Ruimtegroepen[[Code]:[Ruimte omschrijving]],2,FALSE)</f>
        <v>Trappenhuizen/lift</v>
      </c>
      <c r="C546" s="221" t="s">
        <v>736</v>
      </c>
      <c r="D546" s="220" t="s">
        <v>0</v>
      </c>
      <c r="E546" s="221" t="s">
        <v>101</v>
      </c>
      <c r="F546" s="221" t="s">
        <v>739</v>
      </c>
      <c r="G546" s="226" t="s">
        <v>281</v>
      </c>
      <c r="H546" s="222" t="s">
        <v>281</v>
      </c>
      <c r="I546" s="222" t="s">
        <v>281</v>
      </c>
      <c r="J546" s="222" t="s">
        <v>16</v>
      </c>
      <c r="K546" s="222" t="s">
        <v>282</v>
      </c>
      <c r="L546" s="222" t="s">
        <v>281</v>
      </c>
      <c r="M546" s="222" t="s">
        <v>281</v>
      </c>
      <c r="N546" s="222" t="s">
        <v>281</v>
      </c>
      <c r="O546" s="223" t="s">
        <v>16</v>
      </c>
      <c r="P546" s="223" t="s">
        <v>16</v>
      </c>
      <c r="Q546" s="223" t="s">
        <v>16</v>
      </c>
      <c r="R546" s="223" t="s">
        <v>16</v>
      </c>
      <c r="S546" s="223" t="s">
        <v>16</v>
      </c>
      <c r="T546" s="223" t="s">
        <v>328</v>
      </c>
      <c r="U546" s="223" t="s">
        <v>248</v>
      </c>
      <c r="V546" s="223" t="s">
        <v>281</v>
      </c>
      <c r="W546" s="224" t="s">
        <v>281</v>
      </c>
      <c r="X546" s="224" t="s">
        <v>281</v>
      </c>
      <c r="Y546" s="225" t="s">
        <v>281</v>
      </c>
    </row>
    <row r="547" spans="1:25">
      <c r="A547" s="219">
        <v>10</v>
      </c>
      <c r="B547" s="220" t="str">
        <f>VLOOKUP(Tabel10[[#This Row],[Code]],Ruimtegroepen[[Code]:[Ruimte omschrijving]],2,FALSE)</f>
        <v>Trappenhuizen/lift</v>
      </c>
      <c r="C547" s="221" t="s">
        <v>736</v>
      </c>
      <c r="D547" s="220" t="s">
        <v>0</v>
      </c>
      <c r="E547" s="221" t="s">
        <v>102</v>
      </c>
      <c r="F547" s="221" t="s">
        <v>740</v>
      </c>
      <c r="G547" s="226" t="s">
        <v>281</v>
      </c>
      <c r="H547" s="222" t="s">
        <v>281</v>
      </c>
      <c r="I547" s="222" t="s">
        <v>281</v>
      </c>
      <c r="J547" s="222" t="s">
        <v>16</v>
      </c>
      <c r="K547" s="222" t="s">
        <v>282</v>
      </c>
      <c r="L547" s="222" t="s">
        <v>281</v>
      </c>
      <c r="M547" s="222" t="s">
        <v>281</v>
      </c>
      <c r="N547" s="222" t="s">
        <v>281</v>
      </c>
      <c r="O547" s="223" t="s">
        <v>16</v>
      </c>
      <c r="P547" s="223" t="s">
        <v>16</v>
      </c>
      <c r="Q547" s="223" t="s">
        <v>16</v>
      </c>
      <c r="R547" s="223" t="s">
        <v>16</v>
      </c>
      <c r="S547" s="223" t="s">
        <v>16</v>
      </c>
      <c r="T547" s="223" t="s">
        <v>328</v>
      </c>
      <c r="U547" s="223" t="s">
        <v>248</v>
      </c>
      <c r="V547" s="223" t="s">
        <v>281</v>
      </c>
      <c r="W547" s="224" t="s">
        <v>281</v>
      </c>
      <c r="X547" s="224" t="s">
        <v>281</v>
      </c>
      <c r="Y547" s="225" t="s">
        <v>281</v>
      </c>
    </row>
    <row r="548" spans="1:25">
      <c r="A548" s="219">
        <v>10</v>
      </c>
      <c r="B548" s="220" t="str">
        <f>VLOOKUP(Tabel10[[#This Row],[Code]],Ruimtegroepen[[Code]:[Ruimte omschrijving]],2,FALSE)</f>
        <v>Trappenhuizen/lift</v>
      </c>
      <c r="C548" s="221" t="s">
        <v>736</v>
      </c>
      <c r="D548" s="220" t="s">
        <v>0</v>
      </c>
      <c r="E548" s="221" t="s">
        <v>99</v>
      </c>
      <c r="F548" s="221" t="s">
        <v>738</v>
      </c>
      <c r="G548" s="226" t="s">
        <v>281</v>
      </c>
      <c r="H548" s="222" t="s">
        <v>16</v>
      </c>
      <c r="I548" s="222" t="s">
        <v>281</v>
      </c>
      <c r="J548" s="222" t="s">
        <v>281</v>
      </c>
      <c r="K548" s="222" t="s">
        <v>281</v>
      </c>
      <c r="L548" s="222" t="s">
        <v>281</v>
      </c>
      <c r="M548" s="222" t="s">
        <v>281</v>
      </c>
      <c r="N548" s="222" t="s">
        <v>281</v>
      </c>
      <c r="O548" s="223" t="s">
        <v>16</v>
      </c>
      <c r="P548" s="223" t="s">
        <v>16</v>
      </c>
      <c r="Q548" s="223" t="s">
        <v>16</v>
      </c>
      <c r="R548" s="223" t="s">
        <v>16</v>
      </c>
      <c r="S548" s="223" t="s">
        <v>16</v>
      </c>
      <c r="T548" s="223" t="s">
        <v>328</v>
      </c>
      <c r="U548" s="223" t="s">
        <v>248</v>
      </c>
      <c r="V548" s="223" t="s">
        <v>281</v>
      </c>
      <c r="W548" s="224" t="s">
        <v>281</v>
      </c>
      <c r="X548" s="224" t="s">
        <v>281</v>
      </c>
      <c r="Y548" s="225" t="s">
        <v>281</v>
      </c>
    </row>
    <row r="549" spans="1:25">
      <c r="A549" s="219">
        <v>10</v>
      </c>
      <c r="B549" s="220" t="str">
        <f>VLOOKUP(Tabel10[[#This Row],[Code]],Ruimtegroepen[[Code]:[Ruimte omschrijving]],2,FALSE)</f>
        <v>Trappenhuizen/lift</v>
      </c>
      <c r="C549" s="221" t="s">
        <v>736</v>
      </c>
      <c r="D549" s="220" t="s">
        <v>0</v>
      </c>
      <c r="E549" s="221" t="s">
        <v>1309</v>
      </c>
      <c r="F549" s="221" t="s">
        <v>1350</v>
      </c>
      <c r="G549" s="226" t="s">
        <v>281</v>
      </c>
      <c r="H549" s="222" t="s">
        <v>281</v>
      </c>
      <c r="I549" s="222" t="s">
        <v>281</v>
      </c>
      <c r="J549" s="222" t="s">
        <v>16</v>
      </c>
      <c r="K549" s="222" t="s">
        <v>282</v>
      </c>
      <c r="L549" s="222" t="s">
        <v>281</v>
      </c>
      <c r="M549" s="222" t="s">
        <v>281</v>
      </c>
      <c r="N549" s="222" t="s">
        <v>281</v>
      </c>
      <c r="O549" s="223" t="s">
        <v>16</v>
      </c>
      <c r="P549" s="223" t="s">
        <v>16</v>
      </c>
      <c r="Q549" s="223" t="s">
        <v>16</v>
      </c>
      <c r="R549" s="223" t="s">
        <v>16</v>
      </c>
      <c r="S549" s="223" t="s">
        <v>16</v>
      </c>
      <c r="T549" s="223" t="s">
        <v>328</v>
      </c>
      <c r="U549" s="223" t="s">
        <v>248</v>
      </c>
      <c r="V549" s="223" t="s">
        <v>281</v>
      </c>
      <c r="W549" s="224" t="s">
        <v>281</v>
      </c>
      <c r="X549" s="224" t="s">
        <v>281</v>
      </c>
      <c r="Y549" s="225" t="s">
        <v>281</v>
      </c>
    </row>
    <row r="550" spans="1:25">
      <c r="A550" s="219">
        <v>10</v>
      </c>
      <c r="B550" s="220" t="str">
        <f>VLOOKUP(Tabel10[[#This Row],[Code]],Ruimtegroepen[[Code]:[Ruimte omschrijving]],2,FALSE)</f>
        <v>Trappenhuizen/lift</v>
      </c>
      <c r="C550" s="221" t="s">
        <v>741</v>
      </c>
      <c r="D550" s="220" t="s">
        <v>27</v>
      </c>
      <c r="E550" s="221" t="s">
        <v>100</v>
      </c>
      <c r="F550" s="221" t="s">
        <v>742</v>
      </c>
      <c r="G550" s="226" t="s">
        <v>281</v>
      </c>
      <c r="H550" s="222" t="s">
        <v>281</v>
      </c>
      <c r="I550" s="222" t="s">
        <v>15</v>
      </c>
      <c r="J550" s="222" t="s">
        <v>281</v>
      </c>
      <c r="K550" s="222" t="s">
        <v>281</v>
      </c>
      <c r="L550" s="222" t="s">
        <v>281</v>
      </c>
      <c r="M550" s="222" t="s">
        <v>281</v>
      </c>
      <c r="N550" s="222" t="s">
        <v>281</v>
      </c>
      <c r="O550" s="223" t="s">
        <v>15</v>
      </c>
      <c r="P550" s="223" t="s">
        <v>15</v>
      </c>
      <c r="Q550" s="223" t="s">
        <v>15</v>
      </c>
      <c r="R550" s="223" t="s">
        <v>281</v>
      </c>
      <c r="S550" s="223" t="s">
        <v>281</v>
      </c>
      <c r="T550" s="223" t="s">
        <v>281</v>
      </c>
      <c r="U550" s="223" t="s">
        <v>281</v>
      </c>
      <c r="V550" s="223" t="s">
        <v>281</v>
      </c>
      <c r="W550" s="224" t="s">
        <v>281</v>
      </c>
      <c r="X550" s="224" t="s">
        <v>281</v>
      </c>
      <c r="Y550" s="225" t="s">
        <v>281</v>
      </c>
    </row>
    <row r="551" spans="1:25">
      <c r="A551" s="219">
        <v>10</v>
      </c>
      <c r="B551" s="220" t="str">
        <f>VLOOKUP(Tabel10[[#This Row],[Code]],Ruimtegroepen[[Code]:[Ruimte omschrijving]],2,FALSE)</f>
        <v>Trappenhuizen/lift</v>
      </c>
      <c r="C551" s="221" t="s">
        <v>741</v>
      </c>
      <c r="D551" s="220" t="s">
        <v>27</v>
      </c>
      <c r="E551" s="221" t="s">
        <v>99</v>
      </c>
      <c r="F551" s="221" t="s">
        <v>743</v>
      </c>
      <c r="G551" s="226" t="s">
        <v>281</v>
      </c>
      <c r="H551" s="222" t="s">
        <v>15</v>
      </c>
      <c r="I551" s="222" t="s">
        <v>281</v>
      </c>
      <c r="J551" s="222" t="s">
        <v>281</v>
      </c>
      <c r="K551" s="222" t="s">
        <v>281</v>
      </c>
      <c r="L551" s="222" t="s">
        <v>281</v>
      </c>
      <c r="M551" s="222" t="s">
        <v>281</v>
      </c>
      <c r="N551" s="222" t="s">
        <v>281</v>
      </c>
      <c r="O551" s="223" t="s">
        <v>15</v>
      </c>
      <c r="P551" s="223" t="s">
        <v>15</v>
      </c>
      <c r="Q551" s="223" t="s">
        <v>15</v>
      </c>
      <c r="R551" s="223" t="s">
        <v>281</v>
      </c>
      <c r="S551" s="223" t="s">
        <v>281</v>
      </c>
      <c r="T551" s="223" t="s">
        <v>281</v>
      </c>
      <c r="U551" s="223" t="s">
        <v>281</v>
      </c>
      <c r="V551" s="223" t="s">
        <v>281</v>
      </c>
      <c r="W551" s="224" t="s">
        <v>281</v>
      </c>
      <c r="X551" s="224" t="s">
        <v>281</v>
      </c>
      <c r="Y551" s="225" t="s">
        <v>281</v>
      </c>
    </row>
    <row r="552" spans="1:25">
      <c r="A552" s="219">
        <v>10</v>
      </c>
      <c r="B552" s="220" t="str">
        <f>VLOOKUP(Tabel10[[#This Row],[Code]],Ruimtegroepen[[Code]:[Ruimte omschrijving]],2,FALSE)</f>
        <v>Trappenhuizen/lift</v>
      </c>
      <c r="C552" s="221" t="s">
        <v>741</v>
      </c>
      <c r="D552" s="220" t="s">
        <v>27</v>
      </c>
      <c r="E552" s="221" t="s">
        <v>101</v>
      </c>
      <c r="F552" s="221" t="s">
        <v>744</v>
      </c>
      <c r="G552" s="226" t="s">
        <v>281</v>
      </c>
      <c r="H552" s="222" t="s">
        <v>281</v>
      </c>
      <c r="I552" s="222" t="s">
        <v>15</v>
      </c>
      <c r="J552" s="222" t="s">
        <v>281</v>
      </c>
      <c r="K552" s="222" t="s">
        <v>281</v>
      </c>
      <c r="L552" s="222" t="s">
        <v>281</v>
      </c>
      <c r="M552" s="222" t="s">
        <v>281</v>
      </c>
      <c r="N552" s="222" t="s">
        <v>281</v>
      </c>
      <c r="O552" s="223" t="s">
        <v>15</v>
      </c>
      <c r="P552" s="223" t="s">
        <v>15</v>
      </c>
      <c r="Q552" s="223" t="s">
        <v>15</v>
      </c>
      <c r="R552" s="223" t="s">
        <v>281</v>
      </c>
      <c r="S552" s="223" t="s">
        <v>281</v>
      </c>
      <c r="T552" s="223" t="s">
        <v>281</v>
      </c>
      <c r="U552" s="223" t="s">
        <v>281</v>
      </c>
      <c r="V552" s="223" t="s">
        <v>281</v>
      </c>
      <c r="W552" s="224" t="s">
        <v>281</v>
      </c>
      <c r="X552" s="224" t="s">
        <v>281</v>
      </c>
      <c r="Y552" s="225" t="s">
        <v>281</v>
      </c>
    </row>
    <row r="553" spans="1:25">
      <c r="A553" s="219">
        <v>10</v>
      </c>
      <c r="B553" s="220" t="str">
        <f>VLOOKUP(Tabel10[[#This Row],[Code]],Ruimtegroepen[[Code]:[Ruimte omschrijving]],2,FALSE)</f>
        <v>Trappenhuizen/lift</v>
      </c>
      <c r="C553" s="221" t="s">
        <v>741</v>
      </c>
      <c r="D553" s="220" t="s">
        <v>27</v>
      </c>
      <c r="E553" s="221" t="s">
        <v>102</v>
      </c>
      <c r="F553" s="221" t="s">
        <v>745</v>
      </c>
      <c r="G553" s="226" t="s">
        <v>281</v>
      </c>
      <c r="H553" s="222" t="s">
        <v>281</v>
      </c>
      <c r="I553" s="222" t="s">
        <v>15</v>
      </c>
      <c r="J553" s="222" t="s">
        <v>281</v>
      </c>
      <c r="K553" s="222" t="s">
        <v>281</v>
      </c>
      <c r="L553" s="222" t="s">
        <v>281</v>
      </c>
      <c r="M553" s="222" t="s">
        <v>281</v>
      </c>
      <c r="N553" s="222" t="s">
        <v>281</v>
      </c>
      <c r="O553" s="223" t="s">
        <v>15</v>
      </c>
      <c r="P553" s="223" t="s">
        <v>15</v>
      </c>
      <c r="Q553" s="223" t="s">
        <v>15</v>
      </c>
      <c r="R553" s="223" t="s">
        <v>281</v>
      </c>
      <c r="S553" s="223" t="s">
        <v>281</v>
      </c>
      <c r="T553" s="223" t="s">
        <v>281</v>
      </c>
      <c r="U553" s="223" t="s">
        <v>281</v>
      </c>
      <c r="V553" s="223" t="s">
        <v>281</v>
      </c>
      <c r="W553" s="224" t="s">
        <v>281</v>
      </c>
      <c r="X553" s="224" t="s">
        <v>281</v>
      </c>
      <c r="Y553" s="225" t="s">
        <v>281</v>
      </c>
    </row>
    <row r="554" spans="1:25">
      <c r="A554" s="219">
        <v>10</v>
      </c>
      <c r="B554" s="220" t="str">
        <f>VLOOKUP(Tabel10[[#This Row],[Code]],Ruimtegroepen[[Code]:[Ruimte omschrijving]],2,FALSE)</f>
        <v>Trappenhuizen/lift</v>
      </c>
      <c r="C554" s="221" t="s">
        <v>741</v>
      </c>
      <c r="D554" s="220" t="s">
        <v>27</v>
      </c>
      <c r="E554" s="221" t="s">
        <v>99</v>
      </c>
      <c r="F554" s="221" t="s">
        <v>743</v>
      </c>
      <c r="G554" s="226" t="s">
        <v>281</v>
      </c>
      <c r="H554" s="222" t="s">
        <v>15</v>
      </c>
      <c r="I554" s="222" t="s">
        <v>281</v>
      </c>
      <c r="J554" s="222" t="s">
        <v>281</v>
      </c>
      <c r="K554" s="222" t="s">
        <v>281</v>
      </c>
      <c r="L554" s="222" t="s">
        <v>281</v>
      </c>
      <c r="M554" s="222" t="s">
        <v>281</v>
      </c>
      <c r="N554" s="222" t="s">
        <v>281</v>
      </c>
      <c r="O554" s="223" t="s">
        <v>15</v>
      </c>
      <c r="P554" s="223" t="s">
        <v>15</v>
      </c>
      <c r="Q554" s="223" t="s">
        <v>15</v>
      </c>
      <c r="R554" s="223" t="s">
        <v>281</v>
      </c>
      <c r="S554" s="223" t="s">
        <v>281</v>
      </c>
      <c r="T554" s="223" t="s">
        <v>281</v>
      </c>
      <c r="U554" s="223" t="s">
        <v>281</v>
      </c>
      <c r="V554" s="223" t="s">
        <v>281</v>
      </c>
      <c r="W554" s="224" t="s">
        <v>281</v>
      </c>
      <c r="X554" s="224" t="s">
        <v>281</v>
      </c>
      <c r="Y554" s="225" t="s">
        <v>281</v>
      </c>
    </row>
    <row r="555" spans="1:25">
      <c r="A555" s="219">
        <v>10</v>
      </c>
      <c r="B555" s="220" t="str">
        <f>VLOOKUP(Tabel10[[#This Row],[Code]],Ruimtegroepen[[Code]:[Ruimte omschrijving]],2,FALSE)</f>
        <v>Trappenhuizen/lift</v>
      </c>
      <c r="C555" s="221" t="s">
        <v>741</v>
      </c>
      <c r="D555" s="220" t="s">
        <v>27</v>
      </c>
      <c r="E555" s="221" t="s">
        <v>1309</v>
      </c>
      <c r="F555" s="221" t="s">
        <v>1383</v>
      </c>
      <c r="G555" s="226" t="s">
        <v>281</v>
      </c>
      <c r="H555" s="222" t="s">
        <v>281</v>
      </c>
      <c r="I555" s="222" t="s">
        <v>15</v>
      </c>
      <c r="J555" s="222" t="s">
        <v>281</v>
      </c>
      <c r="K555" s="222" t="s">
        <v>281</v>
      </c>
      <c r="L555" s="222" t="s">
        <v>281</v>
      </c>
      <c r="M555" s="222" t="s">
        <v>281</v>
      </c>
      <c r="N555" s="222" t="s">
        <v>281</v>
      </c>
      <c r="O555" s="223" t="s">
        <v>15</v>
      </c>
      <c r="P555" s="223" t="s">
        <v>15</v>
      </c>
      <c r="Q555" s="223" t="s">
        <v>15</v>
      </c>
      <c r="R555" s="223" t="s">
        <v>281</v>
      </c>
      <c r="S555" s="223" t="s">
        <v>281</v>
      </c>
      <c r="T555" s="223" t="s">
        <v>281</v>
      </c>
      <c r="U555" s="223" t="s">
        <v>281</v>
      </c>
      <c r="V555" s="223" t="s">
        <v>281</v>
      </c>
      <c r="W555" s="224" t="s">
        <v>281</v>
      </c>
      <c r="X555" s="224" t="s">
        <v>281</v>
      </c>
      <c r="Y555" s="225" t="s">
        <v>281</v>
      </c>
    </row>
    <row r="556" spans="1:25">
      <c r="A556" s="219">
        <v>10</v>
      </c>
      <c r="B556" s="220" t="str">
        <f>VLOOKUP(Tabel10[[#This Row],[Code]],Ruimtegroepen[[Code]:[Ruimte omschrijving]],2,FALSE)</f>
        <v>Trappenhuizen/lift</v>
      </c>
      <c r="C556" s="221" t="s">
        <v>746</v>
      </c>
      <c r="D556" s="220" t="s">
        <v>28</v>
      </c>
      <c r="E556" s="221" t="s">
        <v>100</v>
      </c>
      <c r="F556" s="221" t="s">
        <v>747</v>
      </c>
      <c r="G556" s="226" t="s">
        <v>281</v>
      </c>
      <c r="H556" s="222" t="s">
        <v>281</v>
      </c>
      <c r="I556" s="222" t="s">
        <v>17</v>
      </c>
      <c r="J556" s="222" t="s">
        <v>281</v>
      </c>
      <c r="K556" s="222" t="s">
        <v>281</v>
      </c>
      <c r="L556" s="222" t="s">
        <v>281</v>
      </c>
      <c r="M556" s="222" t="s">
        <v>281</v>
      </c>
      <c r="N556" s="222" t="s">
        <v>281</v>
      </c>
      <c r="O556" s="223" t="s">
        <v>17</v>
      </c>
      <c r="P556" s="223" t="s">
        <v>17</v>
      </c>
      <c r="Q556" s="223" t="s">
        <v>15</v>
      </c>
      <c r="R556" s="223" t="s">
        <v>281</v>
      </c>
      <c r="S556" s="223" t="s">
        <v>281</v>
      </c>
      <c r="T556" s="223" t="s">
        <v>281</v>
      </c>
      <c r="U556" s="223" t="s">
        <v>281</v>
      </c>
      <c r="V556" s="223" t="s">
        <v>281</v>
      </c>
      <c r="W556" s="224" t="s">
        <v>281</v>
      </c>
      <c r="X556" s="224" t="s">
        <v>281</v>
      </c>
      <c r="Y556" s="225" t="s">
        <v>281</v>
      </c>
    </row>
    <row r="557" spans="1:25">
      <c r="A557" s="219">
        <v>10</v>
      </c>
      <c r="B557" s="220" t="str">
        <f>VLOOKUP(Tabel10[[#This Row],[Code]],Ruimtegroepen[[Code]:[Ruimte omschrijving]],2,FALSE)</f>
        <v>Trappenhuizen/lift</v>
      </c>
      <c r="C557" s="221" t="s">
        <v>746</v>
      </c>
      <c r="D557" s="220" t="s">
        <v>28</v>
      </c>
      <c r="E557" s="221" t="s">
        <v>99</v>
      </c>
      <c r="F557" s="221" t="s">
        <v>748</v>
      </c>
      <c r="G557" s="226" t="s">
        <v>281</v>
      </c>
      <c r="H557" s="222" t="s">
        <v>17</v>
      </c>
      <c r="I557" s="222" t="s">
        <v>281</v>
      </c>
      <c r="J557" s="222" t="s">
        <v>281</v>
      </c>
      <c r="K557" s="222" t="s">
        <v>281</v>
      </c>
      <c r="L557" s="222" t="s">
        <v>281</v>
      </c>
      <c r="M557" s="222" t="s">
        <v>281</v>
      </c>
      <c r="N557" s="222" t="s">
        <v>281</v>
      </c>
      <c r="O557" s="223" t="s">
        <v>17</v>
      </c>
      <c r="P557" s="223" t="s">
        <v>17</v>
      </c>
      <c r="Q557" s="223" t="s">
        <v>15</v>
      </c>
      <c r="R557" s="223" t="s">
        <v>281</v>
      </c>
      <c r="S557" s="223" t="s">
        <v>281</v>
      </c>
      <c r="T557" s="223" t="s">
        <v>281</v>
      </c>
      <c r="U557" s="223" t="s">
        <v>281</v>
      </c>
      <c r="V557" s="223" t="s">
        <v>281</v>
      </c>
      <c r="W557" s="224" t="s">
        <v>281</v>
      </c>
      <c r="X557" s="224" t="s">
        <v>281</v>
      </c>
      <c r="Y557" s="225" t="s">
        <v>281</v>
      </c>
    </row>
    <row r="558" spans="1:25">
      <c r="A558" s="219">
        <v>10</v>
      </c>
      <c r="B558" s="220" t="str">
        <f>VLOOKUP(Tabel10[[#This Row],[Code]],Ruimtegroepen[[Code]:[Ruimte omschrijving]],2,FALSE)</f>
        <v>Trappenhuizen/lift</v>
      </c>
      <c r="C558" s="221" t="s">
        <v>746</v>
      </c>
      <c r="D558" s="220" t="s">
        <v>28</v>
      </c>
      <c r="E558" s="221" t="s">
        <v>101</v>
      </c>
      <c r="F558" s="221" t="s">
        <v>749</v>
      </c>
      <c r="G558" s="226" t="s">
        <v>281</v>
      </c>
      <c r="H558" s="222" t="s">
        <v>281</v>
      </c>
      <c r="I558" s="222" t="s">
        <v>17</v>
      </c>
      <c r="J558" s="222" t="s">
        <v>281</v>
      </c>
      <c r="K558" s="222" t="s">
        <v>281</v>
      </c>
      <c r="L558" s="222" t="s">
        <v>281</v>
      </c>
      <c r="M558" s="222" t="s">
        <v>281</v>
      </c>
      <c r="N558" s="222" t="s">
        <v>281</v>
      </c>
      <c r="O558" s="223" t="s">
        <v>17</v>
      </c>
      <c r="P558" s="223" t="s">
        <v>17</v>
      </c>
      <c r="Q558" s="223" t="s">
        <v>15</v>
      </c>
      <c r="R558" s="223" t="s">
        <v>281</v>
      </c>
      <c r="S558" s="223" t="s">
        <v>281</v>
      </c>
      <c r="T558" s="223" t="s">
        <v>281</v>
      </c>
      <c r="U558" s="223" t="s">
        <v>281</v>
      </c>
      <c r="V558" s="223" t="s">
        <v>281</v>
      </c>
      <c r="W558" s="224" t="s">
        <v>281</v>
      </c>
      <c r="X558" s="224" t="s">
        <v>281</v>
      </c>
      <c r="Y558" s="225" t="s">
        <v>281</v>
      </c>
    </row>
    <row r="559" spans="1:25">
      <c r="A559" s="219">
        <v>10</v>
      </c>
      <c r="B559" s="220" t="str">
        <f>VLOOKUP(Tabel10[[#This Row],[Code]],Ruimtegroepen[[Code]:[Ruimte omschrijving]],2,FALSE)</f>
        <v>Trappenhuizen/lift</v>
      </c>
      <c r="C559" s="221" t="s">
        <v>746</v>
      </c>
      <c r="D559" s="220" t="s">
        <v>28</v>
      </c>
      <c r="E559" s="221" t="s">
        <v>102</v>
      </c>
      <c r="F559" s="221" t="s">
        <v>750</v>
      </c>
      <c r="G559" s="226" t="s">
        <v>281</v>
      </c>
      <c r="H559" s="222" t="s">
        <v>281</v>
      </c>
      <c r="I559" s="222" t="s">
        <v>17</v>
      </c>
      <c r="J559" s="222" t="s">
        <v>281</v>
      </c>
      <c r="K559" s="222" t="s">
        <v>281</v>
      </c>
      <c r="L559" s="222" t="s">
        <v>281</v>
      </c>
      <c r="M559" s="222" t="s">
        <v>281</v>
      </c>
      <c r="N559" s="222" t="s">
        <v>281</v>
      </c>
      <c r="O559" s="223" t="s">
        <v>17</v>
      </c>
      <c r="P559" s="223" t="s">
        <v>17</v>
      </c>
      <c r="Q559" s="223" t="s">
        <v>15</v>
      </c>
      <c r="R559" s="223" t="s">
        <v>281</v>
      </c>
      <c r="S559" s="223" t="s">
        <v>281</v>
      </c>
      <c r="T559" s="223" t="s">
        <v>281</v>
      </c>
      <c r="U559" s="223" t="s">
        <v>281</v>
      </c>
      <c r="V559" s="223" t="s">
        <v>281</v>
      </c>
      <c r="W559" s="224" t="s">
        <v>281</v>
      </c>
      <c r="X559" s="224" t="s">
        <v>281</v>
      </c>
      <c r="Y559" s="225" t="s">
        <v>281</v>
      </c>
    </row>
    <row r="560" spans="1:25">
      <c r="A560" s="219">
        <v>10</v>
      </c>
      <c r="B560" s="220" t="str">
        <f>VLOOKUP(Tabel10[[#This Row],[Code]],Ruimtegroepen[[Code]:[Ruimte omschrijving]],2,FALSE)</f>
        <v>Trappenhuizen/lift</v>
      </c>
      <c r="C560" s="221" t="s">
        <v>746</v>
      </c>
      <c r="D560" s="220" t="s">
        <v>28</v>
      </c>
      <c r="E560" s="221" t="s">
        <v>99</v>
      </c>
      <c r="F560" s="221" t="s">
        <v>748</v>
      </c>
      <c r="G560" s="226" t="s">
        <v>281</v>
      </c>
      <c r="H560" s="222" t="s">
        <v>17</v>
      </c>
      <c r="I560" s="222" t="s">
        <v>281</v>
      </c>
      <c r="J560" s="222" t="s">
        <v>281</v>
      </c>
      <c r="K560" s="222" t="s">
        <v>281</v>
      </c>
      <c r="L560" s="222" t="s">
        <v>281</v>
      </c>
      <c r="M560" s="222" t="s">
        <v>281</v>
      </c>
      <c r="N560" s="222" t="s">
        <v>281</v>
      </c>
      <c r="O560" s="223" t="s">
        <v>17</v>
      </c>
      <c r="P560" s="223" t="s">
        <v>17</v>
      </c>
      <c r="Q560" s="223" t="s">
        <v>15</v>
      </c>
      <c r="R560" s="223" t="s">
        <v>281</v>
      </c>
      <c r="S560" s="223" t="s">
        <v>281</v>
      </c>
      <c r="T560" s="223" t="s">
        <v>281</v>
      </c>
      <c r="U560" s="223" t="s">
        <v>281</v>
      </c>
      <c r="V560" s="223" t="s">
        <v>281</v>
      </c>
      <c r="W560" s="224" t="s">
        <v>281</v>
      </c>
      <c r="X560" s="224" t="s">
        <v>281</v>
      </c>
      <c r="Y560" s="225" t="s">
        <v>281</v>
      </c>
    </row>
    <row r="561" spans="1:25">
      <c r="A561" s="219">
        <v>10</v>
      </c>
      <c r="B561" s="220" t="str">
        <f>VLOOKUP(Tabel10[[#This Row],[Code]],Ruimtegroepen[[Code]:[Ruimte omschrijving]],2,FALSE)</f>
        <v>Trappenhuizen/lift</v>
      </c>
      <c r="C561" s="221" t="s">
        <v>746</v>
      </c>
      <c r="D561" s="220" t="s">
        <v>28</v>
      </c>
      <c r="E561" s="221" t="s">
        <v>1309</v>
      </c>
      <c r="F561" s="221" t="s">
        <v>1416</v>
      </c>
      <c r="G561" s="226" t="s">
        <v>281</v>
      </c>
      <c r="H561" s="222" t="s">
        <v>281</v>
      </c>
      <c r="I561" s="222" t="s">
        <v>17</v>
      </c>
      <c r="J561" s="222" t="s">
        <v>281</v>
      </c>
      <c r="K561" s="222" t="s">
        <v>281</v>
      </c>
      <c r="L561" s="222" t="s">
        <v>281</v>
      </c>
      <c r="M561" s="222" t="s">
        <v>281</v>
      </c>
      <c r="N561" s="222" t="s">
        <v>281</v>
      </c>
      <c r="O561" s="223" t="s">
        <v>17</v>
      </c>
      <c r="P561" s="223" t="s">
        <v>17</v>
      </c>
      <c r="Q561" s="223" t="s">
        <v>15</v>
      </c>
      <c r="R561" s="223" t="s">
        <v>281</v>
      </c>
      <c r="S561" s="223" t="s">
        <v>281</v>
      </c>
      <c r="T561" s="223" t="s">
        <v>281</v>
      </c>
      <c r="U561" s="223" t="s">
        <v>281</v>
      </c>
      <c r="V561" s="223" t="s">
        <v>281</v>
      </c>
      <c r="W561" s="224" t="s">
        <v>281</v>
      </c>
      <c r="X561" s="224" t="s">
        <v>281</v>
      </c>
      <c r="Y561" s="225" t="s">
        <v>281</v>
      </c>
    </row>
    <row r="562" spans="1:25">
      <c r="A562" s="219">
        <v>11</v>
      </c>
      <c r="B562" s="220" t="str">
        <f>VLOOKUP(Tabel10[[#This Row],[Code]],Ruimtegroepen[[Code]:[Ruimte omschrijving]],2,FALSE)</f>
        <v>Garderobes</v>
      </c>
      <c r="C562" s="221" t="s">
        <v>751</v>
      </c>
      <c r="D562" s="220" t="s">
        <v>29</v>
      </c>
      <c r="E562" s="221" t="s">
        <v>100</v>
      </c>
      <c r="F562" s="221" t="s">
        <v>752</v>
      </c>
      <c r="G562" s="226" t="s">
        <v>281</v>
      </c>
      <c r="H562" s="222" t="s">
        <v>281</v>
      </c>
      <c r="I562" s="222" t="s">
        <v>20</v>
      </c>
      <c r="J562" s="222" t="s">
        <v>15</v>
      </c>
      <c r="K562" s="222" t="s">
        <v>281</v>
      </c>
      <c r="L562" s="222" t="s">
        <v>281</v>
      </c>
      <c r="M562" s="222" t="s">
        <v>281</v>
      </c>
      <c r="N562" s="222" t="s">
        <v>2</v>
      </c>
      <c r="O562" s="223" t="s">
        <v>2</v>
      </c>
      <c r="P562" s="223" t="s">
        <v>2</v>
      </c>
      <c r="Q562" s="223" t="s">
        <v>15</v>
      </c>
      <c r="R562" s="223" t="s">
        <v>15</v>
      </c>
      <c r="S562" s="223" t="s">
        <v>16</v>
      </c>
      <c r="T562" s="223" t="s">
        <v>328</v>
      </c>
      <c r="U562" s="223" t="s">
        <v>248</v>
      </c>
      <c r="V562" s="223" t="s">
        <v>2</v>
      </c>
      <c r="W562" s="224" t="s">
        <v>281</v>
      </c>
      <c r="X562" s="224" t="s">
        <v>281</v>
      </c>
      <c r="Y562" s="225" t="s">
        <v>281</v>
      </c>
    </row>
    <row r="563" spans="1:25">
      <c r="A563" s="219">
        <v>11</v>
      </c>
      <c r="B563" s="220" t="str">
        <f>VLOOKUP(Tabel10[[#This Row],[Code]],Ruimtegroepen[[Code]:[Ruimte omschrijving]],2,FALSE)</f>
        <v>Garderobes</v>
      </c>
      <c r="C563" s="221" t="s">
        <v>751</v>
      </c>
      <c r="D563" s="220" t="s">
        <v>29</v>
      </c>
      <c r="E563" s="221" t="s">
        <v>99</v>
      </c>
      <c r="F563" s="221" t="s">
        <v>753</v>
      </c>
      <c r="G563" s="226" t="s">
        <v>281</v>
      </c>
      <c r="H563" s="222" t="s">
        <v>2</v>
      </c>
      <c r="I563" s="222" t="s">
        <v>281</v>
      </c>
      <c r="J563" s="222" t="s">
        <v>281</v>
      </c>
      <c r="K563" s="222" t="s">
        <v>281</v>
      </c>
      <c r="L563" s="222" t="s">
        <v>281</v>
      </c>
      <c r="M563" s="222" t="s">
        <v>281</v>
      </c>
      <c r="N563" s="222" t="s">
        <v>2</v>
      </c>
      <c r="O563" s="223" t="s">
        <v>2</v>
      </c>
      <c r="P563" s="223" t="s">
        <v>2</v>
      </c>
      <c r="Q563" s="223" t="s">
        <v>15</v>
      </c>
      <c r="R563" s="223" t="s">
        <v>15</v>
      </c>
      <c r="S563" s="223" t="s">
        <v>16</v>
      </c>
      <c r="T563" s="223" t="s">
        <v>328</v>
      </c>
      <c r="U563" s="223" t="s">
        <v>248</v>
      </c>
      <c r="V563" s="223" t="s">
        <v>2</v>
      </c>
      <c r="W563" s="224" t="s">
        <v>281</v>
      </c>
      <c r="X563" s="224" t="s">
        <v>281</v>
      </c>
      <c r="Y563" s="225" t="s">
        <v>281</v>
      </c>
    </row>
    <row r="564" spans="1:25">
      <c r="A564" s="219">
        <v>11</v>
      </c>
      <c r="B564" s="220" t="str">
        <f>VLOOKUP(Tabel10[[#This Row],[Code]],Ruimtegroepen[[Code]:[Ruimte omschrijving]],2,FALSE)</f>
        <v>Garderobes</v>
      </c>
      <c r="C564" s="221" t="s">
        <v>751</v>
      </c>
      <c r="D564" s="220" t="s">
        <v>29</v>
      </c>
      <c r="E564" s="221" t="s">
        <v>101</v>
      </c>
      <c r="F564" s="221" t="s">
        <v>754</v>
      </c>
      <c r="G564" s="226" t="s">
        <v>281</v>
      </c>
      <c r="H564" s="222" t="s">
        <v>281</v>
      </c>
      <c r="I564" s="222" t="s">
        <v>20</v>
      </c>
      <c r="J564" s="222" t="s">
        <v>15</v>
      </c>
      <c r="K564" s="222" t="s">
        <v>282</v>
      </c>
      <c r="L564" s="222" t="s">
        <v>281</v>
      </c>
      <c r="M564" s="222" t="s">
        <v>281</v>
      </c>
      <c r="N564" s="222" t="s">
        <v>2</v>
      </c>
      <c r="O564" s="223" t="s">
        <v>2</v>
      </c>
      <c r="P564" s="223" t="s">
        <v>2</v>
      </c>
      <c r="Q564" s="223" t="s">
        <v>15</v>
      </c>
      <c r="R564" s="223" t="s">
        <v>15</v>
      </c>
      <c r="S564" s="223" t="s">
        <v>16</v>
      </c>
      <c r="T564" s="223" t="s">
        <v>328</v>
      </c>
      <c r="U564" s="223" t="s">
        <v>248</v>
      </c>
      <c r="V564" s="223" t="s">
        <v>2</v>
      </c>
      <c r="W564" s="224" t="s">
        <v>281</v>
      </c>
      <c r="X564" s="224" t="s">
        <v>281</v>
      </c>
      <c r="Y564" s="225" t="s">
        <v>281</v>
      </c>
    </row>
    <row r="565" spans="1:25">
      <c r="A565" s="219">
        <v>11</v>
      </c>
      <c r="B565" s="220" t="str">
        <f>VLOOKUP(Tabel10[[#This Row],[Code]],Ruimtegroepen[[Code]:[Ruimte omschrijving]],2,FALSE)</f>
        <v>Garderobes</v>
      </c>
      <c r="C565" s="221" t="s">
        <v>751</v>
      </c>
      <c r="D565" s="220" t="s">
        <v>29</v>
      </c>
      <c r="E565" s="221" t="s">
        <v>102</v>
      </c>
      <c r="F565" s="221" t="s">
        <v>755</v>
      </c>
      <c r="G565" s="226" t="s">
        <v>281</v>
      </c>
      <c r="H565" s="222" t="s">
        <v>281</v>
      </c>
      <c r="I565" s="222" t="s">
        <v>20</v>
      </c>
      <c r="J565" s="222" t="s">
        <v>15</v>
      </c>
      <c r="K565" s="222" t="s">
        <v>282</v>
      </c>
      <c r="L565" s="222" t="s">
        <v>281</v>
      </c>
      <c r="M565" s="222" t="s">
        <v>281</v>
      </c>
      <c r="N565" s="222" t="s">
        <v>2</v>
      </c>
      <c r="O565" s="223" t="s">
        <v>2</v>
      </c>
      <c r="P565" s="223" t="s">
        <v>2</v>
      </c>
      <c r="Q565" s="223" t="s">
        <v>15</v>
      </c>
      <c r="R565" s="223" t="s">
        <v>15</v>
      </c>
      <c r="S565" s="223" t="s">
        <v>16</v>
      </c>
      <c r="T565" s="223" t="s">
        <v>328</v>
      </c>
      <c r="U565" s="223" t="s">
        <v>248</v>
      </c>
      <c r="V565" s="223" t="s">
        <v>2</v>
      </c>
      <c r="W565" s="224" t="s">
        <v>281</v>
      </c>
      <c r="X565" s="224" t="s">
        <v>281</v>
      </c>
      <c r="Y565" s="225" t="s">
        <v>281</v>
      </c>
    </row>
    <row r="566" spans="1:25">
      <c r="A566" s="219">
        <v>11</v>
      </c>
      <c r="B566" s="220" t="str">
        <f>VLOOKUP(Tabel10[[#This Row],[Code]],Ruimtegroepen[[Code]:[Ruimte omschrijving]],2,FALSE)</f>
        <v>Garderobes</v>
      </c>
      <c r="C566" s="221" t="s">
        <v>751</v>
      </c>
      <c r="D566" s="220" t="s">
        <v>29</v>
      </c>
      <c r="E566" s="221" t="s">
        <v>99</v>
      </c>
      <c r="F566" s="221" t="s">
        <v>753</v>
      </c>
      <c r="G566" s="226" t="s">
        <v>281</v>
      </c>
      <c r="H566" s="222" t="s">
        <v>2</v>
      </c>
      <c r="I566" s="222" t="s">
        <v>281</v>
      </c>
      <c r="J566" s="222" t="s">
        <v>281</v>
      </c>
      <c r="K566" s="222" t="s">
        <v>281</v>
      </c>
      <c r="L566" s="222" t="s">
        <v>281</v>
      </c>
      <c r="M566" s="222" t="s">
        <v>281</v>
      </c>
      <c r="N566" s="222" t="s">
        <v>2</v>
      </c>
      <c r="O566" s="223" t="s">
        <v>2</v>
      </c>
      <c r="P566" s="223" t="s">
        <v>2</v>
      </c>
      <c r="Q566" s="223" t="s">
        <v>15</v>
      </c>
      <c r="R566" s="223" t="s">
        <v>15</v>
      </c>
      <c r="S566" s="223" t="s">
        <v>16</v>
      </c>
      <c r="T566" s="223" t="s">
        <v>328</v>
      </c>
      <c r="U566" s="223" t="s">
        <v>248</v>
      </c>
      <c r="V566" s="223" t="s">
        <v>2</v>
      </c>
      <c r="W566" s="224" t="s">
        <v>281</v>
      </c>
      <c r="X566" s="224" t="s">
        <v>281</v>
      </c>
      <c r="Y566" s="225" t="s">
        <v>281</v>
      </c>
    </row>
    <row r="567" spans="1:25">
      <c r="A567" s="219">
        <v>11</v>
      </c>
      <c r="B567" s="220" t="str">
        <f>VLOOKUP(Tabel10[[#This Row],[Code]],Ruimtegroepen[[Code]:[Ruimte omschrijving]],2,FALSE)</f>
        <v>Garderobes</v>
      </c>
      <c r="C567" s="221" t="s">
        <v>751</v>
      </c>
      <c r="D567" s="220" t="s">
        <v>29</v>
      </c>
      <c r="E567" s="221" t="s">
        <v>1309</v>
      </c>
      <c r="F567" s="221" t="s">
        <v>1484</v>
      </c>
      <c r="G567" s="226" t="s">
        <v>281</v>
      </c>
      <c r="H567" s="222" t="s">
        <v>281</v>
      </c>
      <c r="I567" s="222" t="s">
        <v>20</v>
      </c>
      <c r="J567" s="222" t="s">
        <v>15</v>
      </c>
      <c r="K567" s="222" t="s">
        <v>282</v>
      </c>
      <c r="L567" s="222" t="s">
        <v>281</v>
      </c>
      <c r="M567" s="222" t="s">
        <v>281</v>
      </c>
      <c r="N567" s="222" t="s">
        <v>2</v>
      </c>
      <c r="O567" s="223" t="s">
        <v>2</v>
      </c>
      <c r="P567" s="223" t="s">
        <v>2</v>
      </c>
      <c r="Q567" s="223" t="s">
        <v>15</v>
      </c>
      <c r="R567" s="223" t="s">
        <v>15</v>
      </c>
      <c r="S567" s="223" t="s">
        <v>16</v>
      </c>
      <c r="T567" s="223" t="s">
        <v>328</v>
      </c>
      <c r="U567" s="223" t="s">
        <v>248</v>
      </c>
      <c r="V567" s="223" t="s">
        <v>2</v>
      </c>
      <c r="W567" s="224" t="s">
        <v>281</v>
      </c>
      <c r="X567" s="224" t="s">
        <v>281</v>
      </c>
      <c r="Y567" s="225" t="s">
        <v>281</v>
      </c>
    </row>
    <row r="568" spans="1:25">
      <c r="A568" s="219">
        <v>11</v>
      </c>
      <c r="B568" s="220" t="str">
        <f>VLOOKUP(Tabel10[[#This Row],[Code]],Ruimtegroepen[[Code]:[Ruimte omschrijving]],2,FALSE)</f>
        <v>Garderobes</v>
      </c>
      <c r="C568" s="221" t="s">
        <v>756</v>
      </c>
      <c r="D568" s="220" t="s">
        <v>1</v>
      </c>
      <c r="E568" s="221" t="s">
        <v>100</v>
      </c>
      <c r="F568" s="221" t="s">
        <v>757</v>
      </c>
      <c r="G568" s="226" t="s">
        <v>281</v>
      </c>
      <c r="H568" s="222" t="s">
        <v>281</v>
      </c>
      <c r="I568" s="222" t="s">
        <v>20</v>
      </c>
      <c r="J568" s="222" t="s">
        <v>15</v>
      </c>
      <c r="K568" s="222" t="s">
        <v>281</v>
      </c>
      <c r="L568" s="222" t="s">
        <v>281</v>
      </c>
      <c r="M568" s="222" t="s">
        <v>281</v>
      </c>
      <c r="N568" s="222" t="s">
        <v>281</v>
      </c>
      <c r="O568" s="223" t="s">
        <v>2</v>
      </c>
      <c r="P568" s="223" t="s">
        <v>2</v>
      </c>
      <c r="Q568" s="223" t="s">
        <v>15</v>
      </c>
      <c r="R568" s="223" t="s">
        <v>15</v>
      </c>
      <c r="S568" s="223" t="s">
        <v>16</v>
      </c>
      <c r="T568" s="223" t="s">
        <v>328</v>
      </c>
      <c r="U568" s="223" t="s">
        <v>248</v>
      </c>
      <c r="V568" s="223" t="s">
        <v>281</v>
      </c>
      <c r="W568" s="224" t="s">
        <v>281</v>
      </c>
      <c r="X568" s="224" t="s">
        <v>281</v>
      </c>
      <c r="Y568" s="225" t="s">
        <v>281</v>
      </c>
    </row>
    <row r="569" spans="1:25">
      <c r="A569" s="219">
        <v>11</v>
      </c>
      <c r="B569" s="220" t="str">
        <f>VLOOKUP(Tabel10[[#This Row],[Code]],Ruimtegroepen[[Code]:[Ruimte omschrijving]],2,FALSE)</f>
        <v>Garderobes</v>
      </c>
      <c r="C569" s="221" t="s">
        <v>756</v>
      </c>
      <c r="D569" s="220" t="s">
        <v>1</v>
      </c>
      <c r="E569" s="221" t="s">
        <v>99</v>
      </c>
      <c r="F569" s="221" t="s">
        <v>758</v>
      </c>
      <c r="G569" s="226" t="s">
        <v>281</v>
      </c>
      <c r="H569" s="222" t="s">
        <v>2</v>
      </c>
      <c r="I569" s="222" t="s">
        <v>281</v>
      </c>
      <c r="J569" s="222" t="s">
        <v>281</v>
      </c>
      <c r="K569" s="222" t="s">
        <v>281</v>
      </c>
      <c r="L569" s="222" t="s">
        <v>281</v>
      </c>
      <c r="M569" s="222" t="s">
        <v>281</v>
      </c>
      <c r="N569" s="222" t="s">
        <v>281</v>
      </c>
      <c r="O569" s="223" t="s">
        <v>2</v>
      </c>
      <c r="P569" s="223" t="s">
        <v>2</v>
      </c>
      <c r="Q569" s="223" t="s">
        <v>15</v>
      </c>
      <c r="R569" s="223" t="s">
        <v>15</v>
      </c>
      <c r="S569" s="223" t="s">
        <v>16</v>
      </c>
      <c r="T569" s="223" t="s">
        <v>328</v>
      </c>
      <c r="U569" s="223" t="s">
        <v>248</v>
      </c>
      <c r="V569" s="223" t="s">
        <v>281</v>
      </c>
      <c r="W569" s="224" t="s">
        <v>281</v>
      </c>
      <c r="X569" s="224" t="s">
        <v>281</v>
      </c>
      <c r="Y569" s="225" t="s">
        <v>281</v>
      </c>
    </row>
    <row r="570" spans="1:25">
      <c r="A570" s="219">
        <v>11</v>
      </c>
      <c r="B570" s="220" t="str">
        <f>VLOOKUP(Tabel10[[#This Row],[Code]],Ruimtegroepen[[Code]:[Ruimte omschrijving]],2,FALSE)</f>
        <v>Garderobes</v>
      </c>
      <c r="C570" s="221" t="s">
        <v>756</v>
      </c>
      <c r="D570" s="220" t="s">
        <v>1</v>
      </c>
      <c r="E570" s="221" t="s">
        <v>101</v>
      </c>
      <c r="F570" s="221" t="s">
        <v>759</v>
      </c>
      <c r="G570" s="226" t="s">
        <v>281</v>
      </c>
      <c r="H570" s="222" t="s">
        <v>281</v>
      </c>
      <c r="I570" s="222" t="s">
        <v>20</v>
      </c>
      <c r="J570" s="222" t="s">
        <v>15</v>
      </c>
      <c r="K570" s="222" t="s">
        <v>282</v>
      </c>
      <c r="L570" s="222" t="s">
        <v>281</v>
      </c>
      <c r="M570" s="222" t="s">
        <v>281</v>
      </c>
      <c r="N570" s="222" t="s">
        <v>281</v>
      </c>
      <c r="O570" s="223" t="s">
        <v>2</v>
      </c>
      <c r="P570" s="223" t="s">
        <v>2</v>
      </c>
      <c r="Q570" s="223" t="s">
        <v>15</v>
      </c>
      <c r="R570" s="223" t="s">
        <v>15</v>
      </c>
      <c r="S570" s="223" t="s">
        <v>16</v>
      </c>
      <c r="T570" s="223" t="s">
        <v>328</v>
      </c>
      <c r="U570" s="223" t="s">
        <v>248</v>
      </c>
      <c r="V570" s="223" t="s">
        <v>281</v>
      </c>
      <c r="W570" s="224" t="s">
        <v>281</v>
      </c>
      <c r="X570" s="224" t="s">
        <v>281</v>
      </c>
      <c r="Y570" s="225" t="s">
        <v>281</v>
      </c>
    </row>
    <row r="571" spans="1:25">
      <c r="A571" s="219">
        <v>11</v>
      </c>
      <c r="B571" s="220" t="str">
        <f>VLOOKUP(Tabel10[[#This Row],[Code]],Ruimtegroepen[[Code]:[Ruimte omschrijving]],2,FALSE)</f>
        <v>Garderobes</v>
      </c>
      <c r="C571" s="221" t="s">
        <v>756</v>
      </c>
      <c r="D571" s="220" t="s">
        <v>1</v>
      </c>
      <c r="E571" s="221" t="s">
        <v>102</v>
      </c>
      <c r="F571" s="221" t="s">
        <v>760</v>
      </c>
      <c r="G571" s="226" t="s">
        <v>281</v>
      </c>
      <c r="H571" s="222" t="s">
        <v>281</v>
      </c>
      <c r="I571" s="222" t="s">
        <v>2</v>
      </c>
      <c r="J571" s="222" t="s">
        <v>281</v>
      </c>
      <c r="K571" s="222" t="s">
        <v>282</v>
      </c>
      <c r="L571" s="222" t="s">
        <v>281</v>
      </c>
      <c r="M571" s="222" t="s">
        <v>281</v>
      </c>
      <c r="N571" s="222" t="s">
        <v>281</v>
      </c>
      <c r="O571" s="223" t="s">
        <v>2</v>
      </c>
      <c r="P571" s="223" t="s">
        <v>2</v>
      </c>
      <c r="Q571" s="223" t="s">
        <v>15</v>
      </c>
      <c r="R571" s="223" t="s">
        <v>15</v>
      </c>
      <c r="S571" s="223" t="s">
        <v>16</v>
      </c>
      <c r="T571" s="223" t="s">
        <v>328</v>
      </c>
      <c r="U571" s="223" t="s">
        <v>248</v>
      </c>
      <c r="V571" s="223" t="s">
        <v>281</v>
      </c>
      <c r="W571" s="224" t="s">
        <v>281</v>
      </c>
      <c r="X571" s="224" t="s">
        <v>281</v>
      </c>
      <c r="Y571" s="225" t="s">
        <v>281</v>
      </c>
    </row>
    <row r="572" spans="1:25">
      <c r="A572" s="219">
        <v>11</v>
      </c>
      <c r="B572" s="220" t="str">
        <f>VLOOKUP(Tabel10[[#This Row],[Code]],Ruimtegroepen[[Code]:[Ruimte omschrijving]],2,FALSE)</f>
        <v>Garderobes</v>
      </c>
      <c r="C572" s="221" t="s">
        <v>756</v>
      </c>
      <c r="D572" s="220" t="s">
        <v>1</v>
      </c>
      <c r="E572" s="221" t="s">
        <v>99</v>
      </c>
      <c r="F572" s="221" t="s">
        <v>758</v>
      </c>
      <c r="G572" s="226" t="s">
        <v>281</v>
      </c>
      <c r="H572" s="222" t="s">
        <v>2</v>
      </c>
      <c r="I572" s="222" t="s">
        <v>281</v>
      </c>
      <c r="J572" s="222" t="s">
        <v>281</v>
      </c>
      <c r="K572" s="222" t="s">
        <v>281</v>
      </c>
      <c r="L572" s="222" t="s">
        <v>281</v>
      </c>
      <c r="M572" s="222" t="s">
        <v>281</v>
      </c>
      <c r="N572" s="222" t="s">
        <v>281</v>
      </c>
      <c r="O572" s="223" t="s">
        <v>2</v>
      </c>
      <c r="P572" s="223" t="s">
        <v>2</v>
      </c>
      <c r="Q572" s="223" t="s">
        <v>15</v>
      </c>
      <c r="R572" s="223" t="s">
        <v>15</v>
      </c>
      <c r="S572" s="223" t="s">
        <v>16</v>
      </c>
      <c r="T572" s="223" t="s">
        <v>328</v>
      </c>
      <c r="U572" s="223" t="s">
        <v>248</v>
      </c>
      <c r="V572" s="223" t="s">
        <v>281</v>
      </c>
      <c r="W572" s="224" t="s">
        <v>281</v>
      </c>
      <c r="X572" s="224" t="s">
        <v>281</v>
      </c>
      <c r="Y572" s="225" t="s">
        <v>281</v>
      </c>
    </row>
    <row r="573" spans="1:25">
      <c r="A573" s="219">
        <v>11</v>
      </c>
      <c r="B573" s="220" t="str">
        <f>VLOOKUP(Tabel10[[#This Row],[Code]],Ruimtegroepen[[Code]:[Ruimte omschrijving]],2,FALSE)</f>
        <v>Garderobes</v>
      </c>
      <c r="C573" s="221" t="s">
        <v>756</v>
      </c>
      <c r="D573" s="220" t="s">
        <v>1</v>
      </c>
      <c r="E573" s="221" t="s">
        <v>1309</v>
      </c>
      <c r="F573" s="221" t="s">
        <v>1468</v>
      </c>
      <c r="G573" s="226" t="s">
        <v>281</v>
      </c>
      <c r="H573" s="222" t="s">
        <v>281</v>
      </c>
      <c r="I573" s="222" t="s">
        <v>2</v>
      </c>
      <c r="J573" s="222" t="s">
        <v>281</v>
      </c>
      <c r="K573" s="222" t="s">
        <v>282</v>
      </c>
      <c r="L573" s="222" t="s">
        <v>281</v>
      </c>
      <c r="M573" s="222" t="s">
        <v>281</v>
      </c>
      <c r="N573" s="222" t="s">
        <v>281</v>
      </c>
      <c r="O573" s="223" t="s">
        <v>2</v>
      </c>
      <c r="P573" s="223" t="s">
        <v>2</v>
      </c>
      <c r="Q573" s="223" t="s">
        <v>15</v>
      </c>
      <c r="R573" s="223" t="s">
        <v>15</v>
      </c>
      <c r="S573" s="223" t="s">
        <v>16</v>
      </c>
      <c r="T573" s="223" t="s">
        <v>328</v>
      </c>
      <c r="U573" s="223" t="s">
        <v>248</v>
      </c>
      <c r="V573" s="223" t="s">
        <v>281</v>
      </c>
      <c r="W573" s="224" t="s">
        <v>281</v>
      </c>
      <c r="X573" s="224" t="s">
        <v>281</v>
      </c>
      <c r="Y573" s="225" t="s">
        <v>281</v>
      </c>
    </row>
    <row r="574" spans="1:25">
      <c r="A574" s="219">
        <v>11</v>
      </c>
      <c r="B574" s="220" t="str">
        <f>VLOOKUP(Tabel10[[#This Row],[Code]],Ruimtegroepen[[Code]:[Ruimte omschrijving]],2,FALSE)</f>
        <v>Garderobes</v>
      </c>
      <c r="C574" s="221" t="s">
        <v>761</v>
      </c>
      <c r="D574" s="220" t="s">
        <v>21</v>
      </c>
      <c r="E574" s="221" t="s">
        <v>100</v>
      </c>
      <c r="F574" s="221" t="s">
        <v>762</v>
      </c>
      <c r="G574" s="226" t="s">
        <v>281</v>
      </c>
      <c r="H574" s="222" t="s">
        <v>281</v>
      </c>
      <c r="I574" s="222" t="s">
        <v>18</v>
      </c>
      <c r="J574" s="222" t="s">
        <v>15</v>
      </c>
      <c r="K574" s="222" t="s">
        <v>281</v>
      </c>
      <c r="L574" s="222" t="s">
        <v>281</v>
      </c>
      <c r="M574" s="222" t="s">
        <v>281</v>
      </c>
      <c r="N574" s="222" t="s">
        <v>281</v>
      </c>
      <c r="O574" s="223" t="s">
        <v>20</v>
      </c>
      <c r="P574" s="223" t="s">
        <v>20</v>
      </c>
      <c r="Q574" s="223" t="s">
        <v>15</v>
      </c>
      <c r="R574" s="223" t="s">
        <v>15</v>
      </c>
      <c r="S574" s="223" t="s">
        <v>16</v>
      </c>
      <c r="T574" s="223" t="s">
        <v>328</v>
      </c>
      <c r="U574" s="223" t="s">
        <v>248</v>
      </c>
      <c r="V574" s="223" t="s">
        <v>281</v>
      </c>
      <c r="W574" s="224" t="s">
        <v>281</v>
      </c>
      <c r="X574" s="224" t="s">
        <v>281</v>
      </c>
      <c r="Y574" s="225" t="s">
        <v>281</v>
      </c>
    </row>
    <row r="575" spans="1:25">
      <c r="A575" s="219">
        <v>11</v>
      </c>
      <c r="B575" s="220" t="str">
        <f>VLOOKUP(Tabel10[[#This Row],[Code]],Ruimtegroepen[[Code]:[Ruimte omschrijving]],2,FALSE)</f>
        <v>Garderobes</v>
      </c>
      <c r="C575" s="221" t="s">
        <v>761</v>
      </c>
      <c r="D575" s="220" t="s">
        <v>21</v>
      </c>
      <c r="E575" s="221" t="s">
        <v>99</v>
      </c>
      <c r="F575" s="221" t="s">
        <v>763</v>
      </c>
      <c r="G575" s="226" t="s">
        <v>281</v>
      </c>
      <c r="H575" s="222" t="s">
        <v>20</v>
      </c>
      <c r="I575" s="222" t="s">
        <v>281</v>
      </c>
      <c r="J575" s="222" t="s">
        <v>281</v>
      </c>
      <c r="K575" s="222" t="s">
        <v>281</v>
      </c>
      <c r="L575" s="222" t="s">
        <v>281</v>
      </c>
      <c r="M575" s="222" t="s">
        <v>281</v>
      </c>
      <c r="N575" s="222" t="s">
        <v>281</v>
      </c>
      <c r="O575" s="223" t="s">
        <v>20</v>
      </c>
      <c r="P575" s="223" t="s">
        <v>20</v>
      </c>
      <c r="Q575" s="223" t="s">
        <v>15</v>
      </c>
      <c r="R575" s="223" t="s">
        <v>15</v>
      </c>
      <c r="S575" s="223" t="s">
        <v>16</v>
      </c>
      <c r="T575" s="223" t="s">
        <v>328</v>
      </c>
      <c r="U575" s="223" t="s">
        <v>248</v>
      </c>
      <c r="V575" s="223" t="s">
        <v>281</v>
      </c>
      <c r="W575" s="224" t="s">
        <v>281</v>
      </c>
      <c r="X575" s="224" t="s">
        <v>281</v>
      </c>
      <c r="Y575" s="225" t="s">
        <v>281</v>
      </c>
    </row>
    <row r="576" spans="1:25">
      <c r="A576" s="219">
        <v>11</v>
      </c>
      <c r="B576" s="220" t="str">
        <f>VLOOKUP(Tabel10[[#This Row],[Code]],Ruimtegroepen[[Code]:[Ruimte omschrijving]],2,FALSE)</f>
        <v>Garderobes</v>
      </c>
      <c r="C576" s="221" t="s">
        <v>761</v>
      </c>
      <c r="D576" s="220" t="s">
        <v>21</v>
      </c>
      <c r="E576" s="221" t="s">
        <v>101</v>
      </c>
      <c r="F576" s="221" t="s">
        <v>764</v>
      </c>
      <c r="G576" s="226" t="s">
        <v>281</v>
      </c>
      <c r="H576" s="222" t="s">
        <v>281</v>
      </c>
      <c r="I576" s="222" t="s">
        <v>18</v>
      </c>
      <c r="J576" s="222" t="s">
        <v>15</v>
      </c>
      <c r="K576" s="222" t="s">
        <v>282</v>
      </c>
      <c r="L576" s="222" t="s">
        <v>281</v>
      </c>
      <c r="M576" s="222" t="s">
        <v>281</v>
      </c>
      <c r="N576" s="222" t="s">
        <v>281</v>
      </c>
      <c r="O576" s="223" t="s">
        <v>20</v>
      </c>
      <c r="P576" s="223" t="s">
        <v>20</v>
      </c>
      <c r="Q576" s="223" t="s">
        <v>15</v>
      </c>
      <c r="R576" s="223" t="s">
        <v>15</v>
      </c>
      <c r="S576" s="223" t="s">
        <v>16</v>
      </c>
      <c r="T576" s="223" t="s">
        <v>328</v>
      </c>
      <c r="U576" s="223" t="s">
        <v>248</v>
      </c>
      <c r="V576" s="223" t="s">
        <v>281</v>
      </c>
      <c r="W576" s="224" t="s">
        <v>281</v>
      </c>
      <c r="X576" s="224" t="s">
        <v>281</v>
      </c>
      <c r="Y576" s="225" t="s">
        <v>281</v>
      </c>
    </row>
    <row r="577" spans="1:25">
      <c r="A577" s="219">
        <v>11</v>
      </c>
      <c r="B577" s="220" t="str">
        <f>VLOOKUP(Tabel10[[#This Row],[Code]],Ruimtegroepen[[Code]:[Ruimte omschrijving]],2,FALSE)</f>
        <v>Garderobes</v>
      </c>
      <c r="C577" s="221" t="s">
        <v>761</v>
      </c>
      <c r="D577" s="220" t="s">
        <v>21</v>
      </c>
      <c r="E577" s="221" t="s">
        <v>102</v>
      </c>
      <c r="F577" s="221" t="s">
        <v>765</v>
      </c>
      <c r="G577" s="226" t="s">
        <v>281</v>
      </c>
      <c r="H577" s="222" t="s">
        <v>281</v>
      </c>
      <c r="I577" s="222" t="s">
        <v>18</v>
      </c>
      <c r="J577" s="222" t="s">
        <v>15</v>
      </c>
      <c r="K577" s="222" t="s">
        <v>282</v>
      </c>
      <c r="L577" s="222" t="s">
        <v>281</v>
      </c>
      <c r="M577" s="222" t="s">
        <v>281</v>
      </c>
      <c r="N577" s="222" t="s">
        <v>281</v>
      </c>
      <c r="O577" s="223" t="s">
        <v>20</v>
      </c>
      <c r="P577" s="223" t="s">
        <v>20</v>
      </c>
      <c r="Q577" s="223" t="s">
        <v>15</v>
      </c>
      <c r="R577" s="223" t="s">
        <v>15</v>
      </c>
      <c r="S577" s="223" t="s">
        <v>16</v>
      </c>
      <c r="T577" s="223" t="s">
        <v>328</v>
      </c>
      <c r="U577" s="223" t="s">
        <v>248</v>
      </c>
      <c r="V577" s="223" t="s">
        <v>281</v>
      </c>
      <c r="W577" s="224" t="s">
        <v>281</v>
      </c>
      <c r="X577" s="224" t="s">
        <v>281</v>
      </c>
      <c r="Y577" s="225" t="s">
        <v>281</v>
      </c>
    </row>
    <row r="578" spans="1:25">
      <c r="A578" s="219">
        <v>11</v>
      </c>
      <c r="B578" s="220" t="str">
        <f>VLOOKUP(Tabel10[[#This Row],[Code]],Ruimtegroepen[[Code]:[Ruimte omschrijving]],2,FALSE)</f>
        <v>Garderobes</v>
      </c>
      <c r="C578" s="221" t="s">
        <v>761</v>
      </c>
      <c r="D578" s="220" t="s">
        <v>21</v>
      </c>
      <c r="E578" s="221" t="s">
        <v>99</v>
      </c>
      <c r="F578" s="221" t="s">
        <v>763</v>
      </c>
      <c r="G578" s="226" t="s">
        <v>281</v>
      </c>
      <c r="H578" s="222" t="s">
        <v>20</v>
      </c>
      <c r="I578" s="222" t="s">
        <v>281</v>
      </c>
      <c r="J578" s="222" t="s">
        <v>281</v>
      </c>
      <c r="K578" s="222" t="s">
        <v>281</v>
      </c>
      <c r="L578" s="222" t="s">
        <v>281</v>
      </c>
      <c r="M578" s="222" t="s">
        <v>281</v>
      </c>
      <c r="N578" s="222" t="s">
        <v>281</v>
      </c>
      <c r="O578" s="223" t="s">
        <v>20</v>
      </c>
      <c r="P578" s="223" t="s">
        <v>20</v>
      </c>
      <c r="Q578" s="223" t="s">
        <v>15</v>
      </c>
      <c r="R578" s="223" t="s">
        <v>15</v>
      </c>
      <c r="S578" s="223" t="s">
        <v>16</v>
      </c>
      <c r="T578" s="223" t="s">
        <v>328</v>
      </c>
      <c r="U578" s="223" t="s">
        <v>248</v>
      </c>
      <c r="V578" s="223" t="s">
        <v>281</v>
      </c>
      <c r="W578" s="224" t="s">
        <v>281</v>
      </c>
      <c r="X578" s="224" t="s">
        <v>281</v>
      </c>
      <c r="Y578" s="225" t="s">
        <v>281</v>
      </c>
    </row>
    <row r="579" spans="1:25">
      <c r="A579" s="219">
        <v>11</v>
      </c>
      <c r="B579" s="220" t="str">
        <f>VLOOKUP(Tabel10[[#This Row],[Code]],Ruimtegroepen[[Code]:[Ruimte omschrijving]],2,FALSE)</f>
        <v>Garderobes</v>
      </c>
      <c r="C579" s="221" t="s">
        <v>761</v>
      </c>
      <c r="D579" s="220" t="s">
        <v>21</v>
      </c>
      <c r="E579" s="221" t="s">
        <v>1309</v>
      </c>
      <c r="F579" s="221" t="s">
        <v>1451</v>
      </c>
      <c r="G579" s="226" t="s">
        <v>281</v>
      </c>
      <c r="H579" s="222" t="s">
        <v>281</v>
      </c>
      <c r="I579" s="222" t="s">
        <v>18</v>
      </c>
      <c r="J579" s="222" t="s">
        <v>15</v>
      </c>
      <c r="K579" s="222" t="s">
        <v>282</v>
      </c>
      <c r="L579" s="222" t="s">
        <v>281</v>
      </c>
      <c r="M579" s="222" t="s">
        <v>281</v>
      </c>
      <c r="N579" s="222" t="s">
        <v>281</v>
      </c>
      <c r="O579" s="223" t="s">
        <v>20</v>
      </c>
      <c r="P579" s="223" t="s">
        <v>20</v>
      </c>
      <c r="Q579" s="223" t="s">
        <v>15</v>
      </c>
      <c r="R579" s="223" t="s">
        <v>15</v>
      </c>
      <c r="S579" s="223" t="s">
        <v>16</v>
      </c>
      <c r="T579" s="223" t="s">
        <v>328</v>
      </c>
      <c r="U579" s="223" t="s">
        <v>248</v>
      </c>
      <c r="V579" s="223" t="s">
        <v>281</v>
      </c>
      <c r="W579" s="224" t="s">
        <v>281</v>
      </c>
      <c r="X579" s="224" t="s">
        <v>281</v>
      </c>
      <c r="Y579" s="225" t="s">
        <v>281</v>
      </c>
    </row>
    <row r="580" spans="1:25">
      <c r="A580" s="219">
        <v>11</v>
      </c>
      <c r="B580" s="220" t="str">
        <f>VLOOKUP(Tabel10[[#This Row],[Code]],Ruimtegroepen[[Code]:[Ruimte omschrijving]],2,FALSE)</f>
        <v>Garderobes</v>
      </c>
      <c r="C580" s="221" t="s">
        <v>766</v>
      </c>
      <c r="D580" s="220" t="s">
        <v>12</v>
      </c>
      <c r="E580" s="221" t="s">
        <v>100</v>
      </c>
      <c r="F580" s="221" t="s">
        <v>767</v>
      </c>
      <c r="G580" s="226" t="s">
        <v>281</v>
      </c>
      <c r="H580" s="222" t="s">
        <v>281</v>
      </c>
      <c r="I580" s="222" t="s">
        <v>17</v>
      </c>
      <c r="J580" s="222" t="s">
        <v>15</v>
      </c>
      <c r="K580" s="222" t="s">
        <v>281</v>
      </c>
      <c r="L580" s="222" t="s">
        <v>281</v>
      </c>
      <c r="M580" s="222" t="s">
        <v>281</v>
      </c>
      <c r="N580" s="222" t="s">
        <v>281</v>
      </c>
      <c r="O580" s="223" t="s">
        <v>18</v>
      </c>
      <c r="P580" s="223" t="s">
        <v>18</v>
      </c>
      <c r="Q580" s="223" t="s">
        <v>15</v>
      </c>
      <c r="R580" s="223" t="s">
        <v>15</v>
      </c>
      <c r="S580" s="223" t="s">
        <v>16</v>
      </c>
      <c r="T580" s="223" t="s">
        <v>328</v>
      </c>
      <c r="U580" s="223" t="s">
        <v>248</v>
      </c>
      <c r="V580" s="223" t="s">
        <v>281</v>
      </c>
      <c r="W580" s="224" t="s">
        <v>281</v>
      </c>
      <c r="X580" s="224" t="s">
        <v>281</v>
      </c>
      <c r="Y580" s="225" t="s">
        <v>281</v>
      </c>
    </row>
    <row r="581" spans="1:25">
      <c r="A581" s="219">
        <v>11</v>
      </c>
      <c r="B581" s="220" t="str">
        <f>VLOOKUP(Tabel10[[#This Row],[Code]],Ruimtegroepen[[Code]:[Ruimte omschrijving]],2,FALSE)</f>
        <v>Garderobes</v>
      </c>
      <c r="C581" s="221" t="s">
        <v>766</v>
      </c>
      <c r="D581" s="220" t="s">
        <v>12</v>
      </c>
      <c r="E581" s="221" t="s">
        <v>99</v>
      </c>
      <c r="F581" s="221" t="s">
        <v>768</v>
      </c>
      <c r="G581" s="226" t="s">
        <v>281</v>
      </c>
      <c r="H581" s="222" t="s">
        <v>18</v>
      </c>
      <c r="I581" s="222" t="s">
        <v>281</v>
      </c>
      <c r="J581" s="222" t="s">
        <v>281</v>
      </c>
      <c r="K581" s="222" t="s">
        <v>281</v>
      </c>
      <c r="L581" s="222" t="s">
        <v>281</v>
      </c>
      <c r="M581" s="222" t="s">
        <v>281</v>
      </c>
      <c r="N581" s="222" t="s">
        <v>281</v>
      </c>
      <c r="O581" s="223" t="s">
        <v>18</v>
      </c>
      <c r="P581" s="223" t="s">
        <v>18</v>
      </c>
      <c r="Q581" s="223" t="s">
        <v>15</v>
      </c>
      <c r="R581" s="223" t="s">
        <v>15</v>
      </c>
      <c r="S581" s="223" t="s">
        <v>16</v>
      </c>
      <c r="T581" s="223" t="s">
        <v>328</v>
      </c>
      <c r="U581" s="223" t="s">
        <v>248</v>
      </c>
      <c r="V581" s="223" t="s">
        <v>281</v>
      </c>
      <c r="W581" s="224" t="s">
        <v>281</v>
      </c>
      <c r="X581" s="224" t="s">
        <v>281</v>
      </c>
      <c r="Y581" s="225" t="s">
        <v>281</v>
      </c>
    </row>
    <row r="582" spans="1:25">
      <c r="A582" s="219">
        <v>11</v>
      </c>
      <c r="B582" s="220" t="str">
        <f>VLOOKUP(Tabel10[[#This Row],[Code]],Ruimtegroepen[[Code]:[Ruimte omschrijving]],2,FALSE)</f>
        <v>Garderobes</v>
      </c>
      <c r="C582" s="221" t="s">
        <v>766</v>
      </c>
      <c r="D582" s="220" t="s">
        <v>12</v>
      </c>
      <c r="E582" s="221" t="s">
        <v>101</v>
      </c>
      <c r="F582" s="221" t="s">
        <v>769</v>
      </c>
      <c r="G582" s="226" t="s">
        <v>281</v>
      </c>
      <c r="H582" s="222" t="s">
        <v>281</v>
      </c>
      <c r="I582" s="222" t="s">
        <v>17</v>
      </c>
      <c r="J582" s="222" t="s">
        <v>15</v>
      </c>
      <c r="K582" s="222" t="s">
        <v>282</v>
      </c>
      <c r="L582" s="222" t="s">
        <v>281</v>
      </c>
      <c r="M582" s="222" t="s">
        <v>281</v>
      </c>
      <c r="N582" s="222" t="s">
        <v>281</v>
      </c>
      <c r="O582" s="223" t="s">
        <v>18</v>
      </c>
      <c r="P582" s="223" t="s">
        <v>18</v>
      </c>
      <c r="Q582" s="223" t="s">
        <v>15</v>
      </c>
      <c r="R582" s="223" t="s">
        <v>15</v>
      </c>
      <c r="S582" s="223" t="s">
        <v>16</v>
      </c>
      <c r="T582" s="223" t="s">
        <v>328</v>
      </c>
      <c r="U582" s="223" t="s">
        <v>248</v>
      </c>
      <c r="V582" s="223" t="s">
        <v>281</v>
      </c>
      <c r="W582" s="224" t="s">
        <v>281</v>
      </c>
      <c r="X582" s="224" t="s">
        <v>281</v>
      </c>
      <c r="Y582" s="225" t="s">
        <v>281</v>
      </c>
    </row>
    <row r="583" spans="1:25">
      <c r="A583" s="219">
        <v>11</v>
      </c>
      <c r="B583" s="220" t="str">
        <f>VLOOKUP(Tabel10[[#This Row],[Code]],Ruimtegroepen[[Code]:[Ruimte omschrijving]],2,FALSE)</f>
        <v>Garderobes</v>
      </c>
      <c r="C583" s="221" t="s">
        <v>766</v>
      </c>
      <c r="D583" s="220" t="s">
        <v>12</v>
      </c>
      <c r="E583" s="221" t="s">
        <v>102</v>
      </c>
      <c r="F583" s="221" t="s">
        <v>770</v>
      </c>
      <c r="G583" s="226" t="s">
        <v>281</v>
      </c>
      <c r="H583" s="222" t="s">
        <v>281</v>
      </c>
      <c r="I583" s="222" t="s">
        <v>17</v>
      </c>
      <c r="J583" s="222" t="s">
        <v>15</v>
      </c>
      <c r="K583" s="222" t="s">
        <v>282</v>
      </c>
      <c r="L583" s="222" t="s">
        <v>281</v>
      </c>
      <c r="M583" s="222" t="s">
        <v>281</v>
      </c>
      <c r="N583" s="222" t="s">
        <v>281</v>
      </c>
      <c r="O583" s="223" t="s">
        <v>18</v>
      </c>
      <c r="P583" s="223" t="s">
        <v>18</v>
      </c>
      <c r="Q583" s="223" t="s">
        <v>15</v>
      </c>
      <c r="R583" s="223" t="s">
        <v>15</v>
      </c>
      <c r="S583" s="223" t="s">
        <v>16</v>
      </c>
      <c r="T583" s="223" t="s">
        <v>328</v>
      </c>
      <c r="U583" s="223" t="s">
        <v>248</v>
      </c>
      <c r="V583" s="223" t="s">
        <v>281</v>
      </c>
      <c r="W583" s="224" t="s">
        <v>281</v>
      </c>
      <c r="X583" s="224" t="s">
        <v>281</v>
      </c>
      <c r="Y583" s="225" t="s">
        <v>281</v>
      </c>
    </row>
    <row r="584" spans="1:25">
      <c r="A584" s="219">
        <v>11</v>
      </c>
      <c r="B584" s="220" t="str">
        <f>VLOOKUP(Tabel10[[#This Row],[Code]],Ruimtegroepen[[Code]:[Ruimte omschrijving]],2,FALSE)</f>
        <v>Garderobes</v>
      </c>
      <c r="C584" s="221" t="s">
        <v>766</v>
      </c>
      <c r="D584" s="220" t="s">
        <v>12</v>
      </c>
      <c r="E584" s="221" t="s">
        <v>99</v>
      </c>
      <c r="F584" s="221" t="s">
        <v>768</v>
      </c>
      <c r="G584" s="226" t="s">
        <v>281</v>
      </c>
      <c r="H584" s="222" t="s">
        <v>18</v>
      </c>
      <c r="I584" s="222" t="s">
        <v>281</v>
      </c>
      <c r="J584" s="222" t="s">
        <v>281</v>
      </c>
      <c r="K584" s="222" t="s">
        <v>281</v>
      </c>
      <c r="L584" s="222" t="s">
        <v>281</v>
      </c>
      <c r="M584" s="222" t="s">
        <v>281</v>
      </c>
      <c r="N584" s="222" t="s">
        <v>281</v>
      </c>
      <c r="O584" s="223" t="s">
        <v>18</v>
      </c>
      <c r="P584" s="223" t="s">
        <v>18</v>
      </c>
      <c r="Q584" s="223" t="s">
        <v>15</v>
      </c>
      <c r="R584" s="223" t="s">
        <v>15</v>
      </c>
      <c r="S584" s="223" t="s">
        <v>16</v>
      </c>
      <c r="T584" s="223" t="s">
        <v>328</v>
      </c>
      <c r="U584" s="223" t="s">
        <v>248</v>
      </c>
      <c r="V584" s="223" t="s">
        <v>281</v>
      </c>
      <c r="W584" s="224" t="s">
        <v>281</v>
      </c>
      <c r="X584" s="224" t="s">
        <v>281</v>
      </c>
      <c r="Y584" s="225" t="s">
        <v>281</v>
      </c>
    </row>
    <row r="585" spans="1:25">
      <c r="A585" s="219">
        <v>11</v>
      </c>
      <c r="B585" s="220" t="str">
        <f>VLOOKUP(Tabel10[[#This Row],[Code]],Ruimtegroepen[[Code]:[Ruimte omschrijving]],2,FALSE)</f>
        <v>Garderobes</v>
      </c>
      <c r="C585" s="221" t="s">
        <v>766</v>
      </c>
      <c r="D585" s="220" t="s">
        <v>12</v>
      </c>
      <c r="E585" s="221" t="s">
        <v>1309</v>
      </c>
      <c r="F585" s="221" t="s">
        <v>1433</v>
      </c>
      <c r="G585" s="226" t="s">
        <v>281</v>
      </c>
      <c r="H585" s="222" t="s">
        <v>281</v>
      </c>
      <c r="I585" s="222" t="s">
        <v>17</v>
      </c>
      <c r="J585" s="222" t="s">
        <v>15</v>
      </c>
      <c r="K585" s="222" t="s">
        <v>282</v>
      </c>
      <c r="L585" s="222" t="s">
        <v>281</v>
      </c>
      <c r="M585" s="222" t="s">
        <v>281</v>
      </c>
      <c r="N585" s="222" t="s">
        <v>281</v>
      </c>
      <c r="O585" s="223" t="s">
        <v>18</v>
      </c>
      <c r="P585" s="223" t="s">
        <v>18</v>
      </c>
      <c r="Q585" s="223" t="s">
        <v>15</v>
      </c>
      <c r="R585" s="223" t="s">
        <v>15</v>
      </c>
      <c r="S585" s="223" t="s">
        <v>16</v>
      </c>
      <c r="T585" s="223" t="s">
        <v>328</v>
      </c>
      <c r="U585" s="223" t="s">
        <v>248</v>
      </c>
      <c r="V585" s="223" t="s">
        <v>281</v>
      </c>
      <c r="W585" s="224" t="s">
        <v>281</v>
      </c>
      <c r="X585" s="224" t="s">
        <v>281</v>
      </c>
      <c r="Y585" s="225" t="s">
        <v>281</v>
      </c>
    </row>
    <row r="586" spans="1:25">
      <c r="A586" s="219">
        <v>11</v>
      </c>
      <c r="B586" s="220" t="str">
        <f>VLOOKUP(Tabel10[[#This Row],[Code]],Ruimtegroepen[[Code]:[Ruimte omschrijving]],2,FALSE)</f>
        <v>Garderobes</v>
      </c>
      <c r="C586" s="221" t="s">
        <v>771</v>
      </c>
      <c r="D586" s="220" t="s">
        <v>14</v>
      </c>
      <c r="E586" s="221" t="s">
        <v>100</v>
      </c>
      <c r="F586" s="221" t="s">
        <v>772</v>
      </c>
      <c r="G586" s="226" t="s">
        <v>281</v>
      </c>
      <c r="H586" s="222" t="s">
        <v>281</v>
      </c>
      <c r="I586" s="222" t="s">
        <v>15</v>
      </c>
      <c r="J586" s="222" t="s">
        <v>15</v>
      </c>
      <c r="K586" s="222" t="s">
        <v>281</v>
      </c>
      <c r="L586" s="222" t="s">
        <v>281</v>
      </c>
      <c r="M586" s="222" t="s">
        <v>281</v>
      </c>
      <c r="N586" s="222" t="s">
        <v>281</v>
      </c>
      <c r="O586" s="223" t="s">
        <v>17</v>
      </c>
      <c r="P586" s="223" t="s">
        <v>17</v>
      </c>
      <c r="Q586" s="223" t="s">
        <v>15</v>
      </c>
      <c r="R586" s="223" t="s">
        <v>15</v>
      </c>
      <c r="S586" s="223" t="s">
        <v>16</v>
      </c>
      <c r="T586" s="223" t="s">
        <v>328</v>
      </c>
      <c r="U586" s="223" t="s">
        <v>248</v>
      </c>
      <c r="V586" s="223" t="s">
        <v>281</v>
      </c>
      <c r="W586" s="224" t="s">
        <v>281</v>
      </c>
      <c r="X586" s="224" t="s">
        <v>281</v>
      </c>
      <c r="Y586" s="225" t="s">
        <v>281</v>
      </c>
    </row>
    <row r="587" spans="1:25">
      <c r="A587" s="219">
        <v>11</v>
      </c>
      <c r="B587" s="220" t="str">
        <f>VLOOKUP(Tabel10[[#This Row],[Code]],Ruimtegroepen[[Code]:[Ruimte omschrijving]],2,FALSE)</f>
        <v>Garderobes</v>
      </c>
      <c r="C587" s="221" t="s">
        <v>771</v>
      </c>
      <c r="D587" s="220" t="s">
        <v>14</v>
      </c>
      <c r="E587" s="221" t="s">
        <v>99</v>
      </c>
      <c r="F587" s="221" t="s">
        <v>773</v>
      </c>
      <c r="G587" s="226" t="s">
        <v>281</v>
      </c>
      <c r="H587" s="222" t="s">
        <v>17</v>
      </c>
      <c r="I587" s="222" t="s">
        <v>281</v>
      </c>
      <c r="J587" s="222" t="s">
        <v>281</v>
      </c>
      <c r="K587" s="222" t="s">
        <v>281</v>
      </c>
      <c r="L587" s="222" t="s">
        <v>281</v>
      </c>
      <c r="M587" s="222" t="s">
        <v>281</v>
      </c>
      <c r="N587" s="222" t="s">
        <v>281</v>
      </c>
      <c r="O587" s="223" t="s">
        <v>17</v>
      </c>
      <c r="P587" s="223" t="s">
        <v>17</v>
      </c>
      <c r="Q587" s="223" t="s">
        <v>15</v>
      </c>
      <c r="R587" s="223" t="s">
        <v>15</v>
      </c>
      <c r="S587" s="223" t="s">
        <v>16</v>
      </c>
      <c r="T587" s="223" t="s">
        <v>328</v>
      </c>
      <c r="U587" s="223" t="s">
        <v>248</v>
      </c>
      <c r="V587" s="223" t="s">
        <v>281</v>
      </c>
      <c r="W587" s="224" t="s">
        <v>281</v>
      </c>
      <c r="X587" s="224" t="s">
        <v>281</v>
      </c>
      <c r="Y587" s="225" t="s">
        <v>281</v>
      </c>
    </row>
    <row r="588" spans="1:25">
      <c r="A588" s="219">
        <v>11</v>
      </c>
      <c r="B588" s="220" t="str">
        <f>VLOOKUP(Tabel10[[#This Row],[Code]],Ruimtegroepen[[Code]:[Ruimte omschrijving]],2,FALSE)</f>
        <v>Garderobes</v>
      </c>
      <c r="C588" s="221" t="s">
        <v>771</v>
      </c>
      <c r="D588" s="220" t="s">
        <v>14</v>
      </c>
      <c r="E588" s="221" t="s">
        <v>101</v>
      </c>
      <c r="F588" s="221" t="s">
        <v>774</v>
      </c>
      <c r="G588" s="226" t="s">
        <v>281</v>
      </c>
      <c r="H588" s="222" t="s">
        <v>281</v>
      </c>
      <c r="I588" s="222" t="s">
        <v>15</v>
      </c>
      <c r="J588" s="222" t="s">
        <v>15</v>
      </c>
      <c r="K588" s="222" t="s">
        <v>282</v>
      </c>
      <c r="L588" s="222" t="s">
        <v>281</v>
      </c>
      <c r="M588" s="222" t="s">
        <v>281</v>
      </c>
      <c r="N588" s="222" t="s">
        <v>281</v>
      </c>
      <c r="O588" s="223" t="s">
        <v>17</v>
      </c>
      <c r="P588" s="223" t="s">
        <v>17</v>
      </c>
      <c r="Q588" s="223" t="s">
        <v>15</v>
      </c>
      <c r="R588" s="223" t="s">
        <v>15</v>
      </c>
      <c r="S588" s="223" t="s">
        <v>16</v>
      </c>
      <c r="T588" s="223" t="s">
        <v>328</v>
      </c>
      <c r="U588" s="223" t="s">
        <v>248</v>
      </c>
      <c r="V588" s="223" t="s">
        <v>281</v>
      </c>
      <c r="W588" s="224" t="s">
        <v>281</v>
      </c>
      <c r="X588" s="224" t="s">
        <v>281</v>
      </c>
      <c r="Y588" s="225" t="s">
        <v>281</v>
      </c>
    </row>
    <row r="589" spans="1:25">
      <c r="A589" s="219">
        <v>11</v>
      </c>
      <c r="B589" s="220" t="str">
        <f>VLOOKUP(Tabel10[[#This Row],[Code]],Ruimtegroepen[[Code]:[Ruimte omschrijving]],2,FALSE)</f>
        <v>Garderobes</v>
      </c>
      <c r="C589" s="221" t="s">
        <v>771</v>
      </c>
      <c r="D589" s="220" t="s">
        <v>14</v>
      </c>
      <c r="E589" s="221" t="s">
        <v>102</v>
      </c>
      <c r="F589" s="221" t="s">
        <v>775</v>
      </c>
      <c r="G589" s="226" t="s">
        <v>281</v>
      </c>
      <c r="H589" s="222" t="s">
        <v>281</v>
      </c>
      <c r="I589" s="222" t="s">
        <v>15</v>
      </c>
      <c r="J589" s="222" t="s">
        <v>15</v>
      </c>
      <c r="K589" s="222" t="s">
        <v>282</v>
      </c>
      <c r="L589" s="222" t="s">
        <v>281</v>
      </c>
      <c r="M589" s="222" t="s">
        <v>281</v>
      </c>
      <c r="N589" s="222" t="s">
        <v>281</v>
      </c>
      <c r="O589" s="223" t="s">
        <v>17</v>
      </c>
      <c r="P589" s="223" t="s">
        <v>17</v>
      </c>
      <c r="Q589" s="223" t="s">
        <v>15</v>
      </c>
      <c r="R589" s="223" t="s">
        <v>15</v>
      </c>
      <c r="S589" s="223" t="s">
        <v>16</v>
      </c>
      <c r="T589" s="223" t="s">
        <v>328</v>
      </c>
      <c r="U589" s="223" t="s">
        <v>248</v>
      </c>
      <c r="V589" s="223" t="s">
        <v>281</v>
      </c>
      <c r="W589" s="224" t="s">
        <v>281</v>
      </c>
      <c r="X589" s="224" t="s">
        <v>281</v>
      </c>
      <c r="Y589" s="225" t="s">
        <v>281</v>
      </c>
    </row>
    <row r="590" spans="1:25">
      <c r="A590" s="219">
        <v>11</v>
      </c>
      <c r="B590" s="220" t="str">
        <f>VLOOKUP(Tabel10[[#This Row],[Code]],Ruimtegroepen[[Code]:[Ruimte omschrijving]],2,FALSE)</f>
        <v>Garderobes</v>
      </c>
      <c r="C590" s="221" t="s">
        <v>771</v>
      </c>
      <c r="D590" s="220" t="s">
        <v>14</v>
      </c>
      <c r="E590" s="221" t="s">
        <v>99</v>
      </c>
      <c r="F590" s="221" t="s">
        <v>773</v>
      </c>
      <c r="G590" s="226" t="s">
        <v>281</v>
      </c>
      <c r="H590" s="222" t="s">
        <v>17</v>
      </c>
      <c r="I590" s="222" t="s">
        <v>281</v>
      </c>
      <c r="J590" s="222" t="s">
        <v>281</v>
      </c>
      <c r="K590" s="222" t="s">
        <v>281</v>
      </c>
      <c r="L590" s="222" t="s">
        <v>281</v>
      </c>
      <c r="M590" s="222" t="s">
        <v>281</v>
      </c>
      <c r="N590" s="222" t="s">
        <v>281</v>
      </c>
      <c r="O590" s="223" t="s">
        <v>17</v>
      </c>
      <c r="P590" s="223" t="s">
        <v>17</v>
      </c>
      <c r="Q590" s="223" t="s">
        <v>15</v>
      </c>
      <c r="R590" s="223" t="s">
        <v>15</v>
      </c>
      <c r="S590" s="223" t="s">
        <v>16</v>
      </c>
      <c r="T590" s="223" t="s">
        <v>328</v>
      </c>
      <c r="U590" s="223" t="s">
        <v>248</v>
      </c>
      <c r="V590" s="223" t="s">
        <v>281</v>
      </c>
      <c r="W590" s="224" t="s">
        <v>281</v>
      </c>
      <c r="X590" s="224" t="s">
        <v>281</v>
      </c>
      <c r="Y590" s="225" t="s">
        <v>281</v>
      </c>
    </row>
    <row r="591" spans="1:25">
      <c r="A591" s="219">
        <v>11</v>
      </c>
      <c r="B591" s="220" t="str">
        <f>VLOOKUP(Tabel10[[#This Row],[Code]],Ruimtegroepen[[Code]:[Ruimte omschrijving]],2,FALSE)</f>
        <v>Garderobes</v>
      </c>
      <c r="C591" s="221" t="s">
        <v>771</v>
      </c>
      <c r="D591" s="220" t="s">
        <v>14</v>
      </c>
      <c r="E591" s="221" t="s">
        <v>1309</v>
      </c>
      <c r="F591" s="221" t="s">
        <v>1400</v>
      </c>
      <c r="G591" s="226" t="s">
        <v>281</v>
      </c>
      <c r="H591" s="222" t="s">
        <v>281</v>
      </c>
      <c r="I591" s="222" t="s">
        <v>15</v>
      </c>
      <c r="J591" s="222" t="s">
        <v>15</v>
      </c>
      <c r="K591" s="222" t="s">
        <v>282</v>
      </c>
      <c r="L591" s="222" t="s">
        <v>281</v>
      </c>
      <c r="M591" s="222" t="s">
        <v>281</v>
      </c>
      <c r="N591" s="222" t="s">
        <v>281</v>
      </c>
      <c r="O591" s="223" t="s">
        <v>17</v>
      </c>
      <c r="P591" s="223" t="s">
        <v>17</v>
      </c>
      <c r="Q591" s="223" t="s">
        <v>15</v>
      </c>
      <c r="R591" s="223" t="s">
        <v>15</v>
      </c>
      <c r="S591" s="223" t="s">
        <v>16</v>
      </c>
      <c r="T591" s="223" t="s">
        <v>328</v>
      </c>
      <c r="U591" s="223" t="s">
        <v>248</v>
      </c>
      <c r="V591" s="223" t="s">
        <v>281</v>
      </c>
      <c r="W591" s="224" t="s">
        <v>281</v>
      </c>
      <c r="X591" s="224" t="s">
        <v>281</v>
      </c>
      <c r="Y591" s="225" t="s">
        <v>281</v>
      </c>
    </row>
    <row r="592" spans="1:25">
      <c r="A592" s="219">
        <v>11</v>
      </c>
      <c r="B592" s="220" t="str">
        <f>VLOOKUP(Tabel10[[#This Row],[Code]],Ruimtegroepen[[Code]:[Ruimte omschrijving]],2,FALSE)</f>
        <v>Garderobes</v>
      </c>
      <c r="C592" s="221" t="s">
        <v>776</v>
      </c>
      <c r="D592" s="220" t="s">
        <v>13</v>
      </c>
      <c r="E592" s="221" t="s">
        <v>100</v>
      </c>
      <c r="F592" s="221" t="s">
        <v>777</v>
      </c>
      <c r="G592" s="226" t="s">
        <v>281</v>
      </c>
      <c r="H592" s="222" t="s">
        <v>281</v>
      </c>
      <c r="I592" s="222" t="s">
        <v>281</v>
      </c>
      <c r="J592" s="222" t="s">
        <v>15</v>
      </c>
      <c r="K592" s="222" t="s">
        <v>281</v>
      </c>
      <c r="L592" s="222" t="s">
        <v>281</v>
      </c>
      <c r="M592" s="222" t="s">
        <v>281</v>
      </c>
      <c r="N592" s="222" t="s">
        <v>281</v>
      </c>
      <c r="O592" s="223" t="s">
        <v>15</v>
      </c>
      <c r="P592" s="223" t="s">
        <v>15</v>
      </c>
      <c r="Q592" s="223" t="s">
        <v>15</v>
      </c>
      <c r="R592" s="223" t="s">
        <v>15</v>
      </c>
      <c r="S592" s="223" t="s">
        <v>16</v>
      </c>
      <c r="T592" s="223" t="s">
        <v>328</v>
      </c>
      <c r="U592" s="223" t="s">
        <v>248</v>
      </c>
      <c r="V592" s="223" t="s">
        <v>281</v>
      </c>
      <c r="W592" s="224" t="s">
        <v>281</v>
      </c>
      <c r="X592" s="224" t="s">
        <v>281</v>
      </c>
      <c r="Y592" s="225" t="s">
        <v>281</v>
      </c>
    </row>
    <row r="593" spans="1:25">
      <c r="A593" s="219">
        <v>11</v>
      </c>
      <c r="B593" s="220" t="str">
        <f>VLOOKUP(Tabel10[[#This Row],[Code]],Ruimtegroepen[[Code]:[Ruimte omschrijving]],2,FALSE)</f>
        <v>Garderobes</v>
      </c>
      <c r="C593" s="221" t="s">
        <v>776</v>
      </c>
      <c r="D593" s="220" t="s">
        <v>13</v>
      </c>
      <c r="E593" s="221" t="s">
        <v>99</v>
      </c>
      <c r="F593" s="221" t="s">
        <v>778</v>
      </c>
      <c r="G593" s="226" t="s">
        <v>281</v>
      </c>
      <c r="H593" s="222" t="s">
        <v>15</v>
      </c>
      <c r="I593" s="222" t="s">
        <v>281</v>
      </c>
      <c r="J593" s="222" t="s">
        <v>281</v>
      </c>
      <c r="K593" s="222" t="s">
        <v>281</v>
      </c>
      <c r="L593" s="222" t="s">
        <v>281</v>
      </c>
      <c r="M593" s="222" t="s">
        <v>281</v>
      </c>
      <c r="N593" s="222" t="s">
        <v>281</v>
      </c>
      <c r="O593" s="223" t="s">
        <v>15</v>
      </c>
      <c r="P593" s="223" t="s">
        <v>15</v>
      </c>
      <c r="Q593" s="223" t="s">
        <v>15</v>
      </c>
      <c r="R593" s="223" t="s">
        <v>15</v>
      </c>
      <c r="S593" s="223" t="s">
        <v>16</v>
      </c>
      <c r="T593" s="223" t="s">
        <v>328</v>
      </c>
      <c r="U593" s="223" t="s">
        <v>248</v>
      </c>
      <c r="V593" s="223" t="s">
        <v>281</v>
      </c>
      <c r="W593" s="224" t="s">
        <v>281</v>
      </c>
      <c r="X593" s="224" t="s">
        <v>281</v>
      </c>
      <c r="Y593" s="225" t="s">
        <v>281</v>
      </c>
    </row>
    <row r="594" spans="1:25">
      <c r="A594" s="219">
        <v>11</v>
      </c>
      <c r="B594" s="220" t="str">
        <f>VLOOKUP(Tabel10[[#This Row],[Code]],Ruimtegroepen[[Code]:[Ruimte omschrijving]],2,FALSE)</f>
        <v>Garderobes</v>
      </c>
      <c r="C594" s="221" t="s">
        <v>776</v>
      </c>
      <c r="D594" s="220" t="s">
        <v>13</v>
      </c>
      <c r="E594" s="221" t="s">
        <v>101</v>
      </c>
      <c r="F594" s="221" t="s">
        <v>779</v>
      </c>
      <c r="G594" s="226" t="s">
        <v>281</v>
      </c>
      <c r="H594" s="222" t="s">
        <v>281</v>
      </c>
      <c r="I594" s="222" t="s">
        <v>281</v>
      </c>
      <c r="J594" s="222" t="s">
        <v>15</v>
      </c>
      <c r="K594" s="222" t="s">
        <v>282</v>
      </c>
      <c r="L594" s="222" t="s">
        <v>281</v>
      </c>
      <c r="M594" s="222" t="s">
        <v>281</v>
      </c>
      <c r="N594" s="222" t="s">
        <v>281</v>
      </c>
      <c r="O594" s="223" t="s">
        <v>15</v>
      </c>
      <c r="P594" s="223" t="s">
        <v>15</v>
      </c>
      <c r="Q594" s="223" t="s">
        <v>15</v>
      </c>
      <c r="R594" s="223" t="s">
        <v>15</v>
      </c>
      <c r="S594" s="223" t="s">
        <v>16</v>
      </c>
      <c r="T594" s="223" t="s">
        <v>328</v>
      </c>
      <c r="U594" s="223" t="s">
        <v>248</v>
      </c>
      <c r="V594" s="223" t="s">
        <v>281</v>
      </c>
      <c r="W594" s="224" t="s">
        <v>281</v>
      </c>
      <c r="X594" s="224" t="s">
        <v>281</v>
      </c>
      <c r="Y594" s="225" t="s">
        <v>281</v>
      </c>
    </row>
    <row r="595" spans="1:25">
      <c r="A595" s="219">
        <v>11</v>
      </c>
      <c r="B595" s="220" t="str">
        <f>VLOOKUP(Tabel10[[#This Row],[Code]],Ruimtegroepen[[Code]:[Ruimte omschrijving]],2,FALSE)</f>
        <v>Garderobes</v>
      </c>
      <c r="C595" s="221" t="s">
        <v>776</v>
      </c>
      <c r="D595" s="220" t="s">
        <v>13</v>
      </c>
      <c r="E595" s="221" t="s">
        <v>102</v>
      </c>
      <c r="F595" s="221" t="s">
        <v>780</v>
      </c>
      <c r="G595" s="226" t="s">
        <v>281</v>
      </c>
      <c r="H595" s="222" t="s">
        <v>281</v>
      </c>
      <c r="I595" s="222" t="s">
        <v>281</v>
      </c>
      <c r="J595" s="222" t="s">
        <v>15</v>
      </c>
      <c r="K595" s="222" t="s">
        <v>282</v>
      </c>
      <c r="L595" s="222" t="s">
        <v>281</v>
      </c>
      <c r="M595" s="222" t="s">
        <v>281</v>
      </c>
      <c r="N595" s="222" t="s">
        <v>281</v>
      </c>
      <c r="O595" s="223" t="s">
        <v>15</v>
      </c>
      <c r="P595" s="223" t="s">
        <v>15</v>
      </c>
      <c r="Q595" s="223" t="s">
        <v>15</v>
      </c>
      <c r="R595" s="223" t="s">
        <v>15</v>
      </c>
      <c r="S595" s="223" t="s">
        <v>16</v>
      </c>
      <c r="T595" s="223" t="s">
        <v>328</v>
      </c>
      <c r="U595" s="223" t="s">
        <v>248</v>
      </c>
      <c r="V595" s="223" t="s">
        <v>281</v>
      </c>
      <c r="W595" s="224" t="s">
        <v>281</v>
      </c>
      <c r="X595" s="224" t="s">
        <v>281</v>
      </c>
      <c r="Y595" s="225" t="s">
        <v>281</v>
      </c>
    </row>
    <row r="596" spans="1:25">
      <c r="A596" s="219">
        <v>11</v>
      </c>
      <c r="B596" s="220" t="str">
        <f>VLOOKUP(Tabel10[[#This Row],[Code]],Ruimtegroepen[[Code]:[Ruimte omschrijving]],2,FALSE)</f>
        <v>Garderobes</v>
      </c>
      <c r="C596" s="221" t="s">
        <v>776</v>
      </c>
      <c r="D596" s="220" t="s">
        <v>13</v>
      </c>
      <c r="E596" s="221" t="s">
        <v>99</v>
      </c>
      <c r="F596" s="221" t="s">
        <v>778</v>
      </c>
      <c r="G596" s="226" t="s">
        <v>281</v>
      </c>
      <c r="H596" s="222" t="s">
        <v>15</v>
      </c>
      <c r="I596" s="222" t="s">
        <v>281</v>
      </c>
      <c r="J596" s="222" t="s">
        <v>281</v>
      </c>
      <c r="K596" s="222" t="s">
        <v>281</v>
      </c>
      <c r="L596" s="222" t="s">
        <v>281</v>
      </c>
      <c r="M596" s="222" t="s">
        <v>281</v>
      </c>
      <c r="N596" s="222" t="s">
        <v>281</v>
      </c>
      <c r="O596" s="223" t="s">
        <v>15</v>
      </c>
      <c r="P596" s="223" t="s">
        <v>15</v>
      </c>
      <c r="Q596" s="223" t="s">
        <v>15</v>
      </c>
      <c r="R596" s="223" t="s">
        <v>15</v>
      </c>
      <c r="S596" s="223" t="s">
        <v>16</v>
      </c>
      <c r="T596" s="223" t="s">
        <v>328</v>
      </c>
      <c r="U596" s="223" t="s">
        <v>248</v>
      </c>
      <c r="V596" s="223" t="s">
        <v>281</v>
      </c>
      <c r="W596" s="224" t="s">
        <v>281</v>
      </c>
      <c r="X596" s="224" t="s">
        <v>281</v>
      </c>
      <c r="Y596" s="225" t="s">
        <v>281</v>
      </c>
    </row>
    <row r="597" spans="1:25">
      <c r="A597" s="219">
        <v>11</v>
      </c>
      <c r="B597" s="220" t="str">
        <f>VLOOKUP(Tabel10[[#This Row],[Code]],Ruimtegroepen[[Code]:[Ruimte omschrijving]],2,FALSE)</f>
        <v>Garderobes</v>
      </c>
      <c r="C597" s="221" t="s">
        <v>776</v>
      </c>
      <c r="D597" s="220" t="s">
        <v>13</v>
      </c>
      <c r="E597" s="221" t="s">
        <v>1309</v>
      </c>
      <c r="F597" s="221" t="s">
        <v>1367</v>
      </c>
      <c r="G597" s="226" t="s">
        <v>281</v>
      </c>
      <c r="H597" s="222" t="s">
        <v>281</v>
      </c>
      <c r="I597" s="222" t="s">
        <v>281</v>
      </c>
      <c r="J597" s="222" t="s">
        <v>15</v>
      </c>
      <c r="K597" s="222" t="s">
        <v>282</v>
      </c>
      <c r="L597" s="222" t="s">
        <v>281</v>
      </c>
      <c r="M597" s="222" t="s">
        <v>281</v>
      </c>
      <c r="N597" s="222" t="s">
        <v>281</v>
      </c>
      <c r="O597" s="223" t="s">
        <v>15</v>
      </c>
      <c r="P597" s="223" t="s">
        <v>15</v>
      </c>
      <c r="Q597" s="223" t="s">
        <v>15</v>
      </c>
      <c r="R597" s="223" t="s">
        <v>15</v>
      </c>
      <c r="S597" s="223" t="s">
        <v>16</v>
      </c>
      <c r="T597" s="223" t="s">
        <v>328</v>
      </c>
      <c r="U597" s="223" t="s">
        <v>248</v>
      </c>
      <c r="V597" s="223" t="s">
        <v>281</v>
      </c>
      <c r="W597" s="224" t="s">
        <v>281</v>
      </c>
      <c r="X597" s="224" t="s">
        <v>281</v>
      </c>
      <c r="Y597" s="225" t="s">
        <v>281</v>
      </c>
    </row>
    <row r="598" spans="1:25">
      <c r="A598" s="219">
        <v>11</v>
      </c>
      <c r="B598" s="220" t="str">
        <f>VLOOKUP(Tabel10[[#This Row],[Code]],Ruimtegroepen[[Code]:[Ruimte omschrijving]],2,FALSE)</f>
        <v>Garderobes</v>
      </c>
      <c r="C598" s="221" t="s">
        <v>781</v>
      </c>
      <c r="D598" s="220" t="s">
        <v>0</v>
      </c>
      <c r="E598" s="221" t="s">
        <v>100</v>
      </c>
      <c r="F598" s="221" t="s">
        <v>782</v>
      </c>
      <c r="G598" s="226" t="s">
        <v>281</v>
      </c>
      <c r="H598" s="222" t="s">
        <v>281</v>
      </c>
      <c r="I598" s="222" t="s">
        <v>281</v>
      </c>
      <c r="J598" s="222" t="s">
        <v>16</v>
      </c>
      <c r="K598" s="222" t="s">
        <v>281</v>
      </c>
      <c r="L598" s="222" t="s">
        <v>281</v>
      </c>
      <c r="M598" s="222" t="s">
        <v>281</v>
      </c>
      <c r="N598" s="222" t="s">
        <v>281</v>
      </c>
      <c r="O598" s="223" t="s">
        <v>16</v>
      </c>
      <c r="P598" s="223" t="s">
        <v>16</v>
      </c>
      <c r="Q598" s="223" t="s">
        <v>16</v>
      </c>
      <c r="R598" s="223" t="s">
        <v>16</v>
      </c>
      <c r="S598" s="223" t="s">
        <v>16</v>
      </c>
      <c r="T598" s="223" t="s">
        <v>328</v>
      </c>
      <c r="U598" s="223" t="s">
        <v>248</v>
      </c>
      <c r="V598" s="223" t="s">
        <v>281</v>
      </c>
      <c r="W598" s="224" t="s">
        <v>281</v>
      </c>
      <c r="X598" s="224" t="s">
        <v>281</v>
      </c>
      <c r="Y598" s="225" t="s">
        <v>281</v>
      </c>
    </row>
    <row r="599" spans="1:25">
      <c r="A599" s="219">
        <v>11</v>
      </c>
      <c r="B599" s="220" t="str">
        <f>VLOOKUP(Tabel10[[#This Row],[Code]],Ruimtegroepen[[Code]:[Ruimte omschrijving]],2,FALSE)</f>
        <v>Garderobes</v>
      </c>
      <c r="C599" s="221" t="s">
        <v>781</v>
      </c>
      <c r="D599" s="220" t="s">
        <v>0</v>
      </c>
      <c r="E599" s="221" t="s">
        <v>99</v>
      </c>
      <c r="F599" s="221" t="s">
        <v>783</v>
      </c>
      <c r="G599" s="226" t="s">
        <v>281</v>
      </c>
      <c r="H599" s="222" t="s">
        <v>16</v>
      </c>
      <c r="I599" s="222" t="s">
        <v>281</v>
      </c>
      <c r="J599" s="222" t="s">
        <v>281</v>
      </c>
      <c r="K599" s="222" t="s">
        <v>281</v>
      </c>
      <c r="L599" s="222" t="s">
        <v>281</v>
      </c>
      <c r="M599" s="222" t="s">
        <v>281</v>
      </c>
      <c r="N599" s="222" t="s">
        <v>281</v>
      </c>
      <c r="O599" s="223" t="s">
        <v>16</v>
      </c>
      <c r="P599" s="223" t="s">
        <v>16</v>
      </c>
      <c r="Q599" s="223" t="s">
        <v>16</v>
      </c>
      <c r="R599" s="223" t="s">
        <v>16</v>
      </c>
      <c r="S599" s="223" t="s">
        <v>16</v>
      </c>
      <c r="T599" s="223" t="s">
        <v>328</v>
      </c>
      <c r="U599" s="223" t="s">
        <v>248</v>
      </c>
      <c r="V599" s="223" t="s">
        <v>281</v>
      </c>
      <c r="W599" s="224" t="s">
        <v>281</v>
      </c>
      <c r="X599" s="224" t="s">
        <v>281</v>
      </c>
      <c r="Y599" s="225" t="s">
        <v>281</v>
      </c>
    </row>
    <row r="600" spans="1:25">
      <c r="A600" s="219">
        <v>11</v>
      </c>
      <c r="B600" s="220" t="str">
        <f>VLOOKUP(Tabel10[[#This Row],[Code]],Ruimtegroepen[[Code]:[Ruimte omschrijving]],2,FALSE)</f>
        <v>Garderobes</v>
      </c>
      <c r="C600" s="221" t="s">
        <v>781</v>
      </c>
      <c r="D600" s="220" t="s">
        <v>0</v>
      </c>
      <c r="E600" s="221" t="s">
        <v>101</v>
      </c>
      <c r="F600" s="221" t="s">
        <v>784</v>
      </c>
      <c r="G600" s="226" t="s">
        <v>281</v>
      </c>
      <c r="H600" s="222" t="s">
        <v>281</v>
      </c>
      <c r="I600" s="222" t="s">
        <v>281</v>
      </c>
      <c r="J600" s="222" t="s">
        <v>16</v>
      </c>
      <c r="K600" s="222" t="s">
        <v>282</v>
      </c>
      <c r="L600" s="222" t="s">
        <v>281</v>
      </c>
      <c r="M600" s="222" t="s">
        <v>281</v>
      </c>
      <c r="N600" s="222" t="s">
        <v>281</v>
      </c>
      <c r="O600" s="223" t="s">
        <v>16</v>
      </c>
      <c r="P600" s="223" t="s">
        <v>16</v>
      </c>
      <c r="Q600" s="223" t="s">
        <v>16</v>
      </c>
      <c r="R600" s="223" t="s">
        <v>16</v>
      </c>
      <c r="S600" s="223" t="s">
        <v>16</v>
      </c>
      <c r="T600" s="223" t="s">
        <v>328</v>
      </c>
      <c r="U600" s="223" t="s">
        <v>248</v>
      </c>
      <c r="V600" s="223" t="s">
        <v>281</v>
      </c>
      <c r="W600" s="224" t="s">
        <v>281</v>
      </c>
      <c r="X600" s="224" t="s">
        <v>281</v>
      </c>
      <c r="Y600" s="225" t="s">
        <v>281</v>
      </c>
    </row>
    <row r="601" spans="1:25">
      <c r="A601" s="219">
        <v>11</v>
      </c>
      <c r="B601" s="220" t="str">
        <f>VLOOKUP(Tabel10[[#This Row],[Code]],Ruimtegroepen[[Code]:[Ruimte omschrijving]],2,FALSE)</f>
        <v>Garderobes</v>
      </c>
      <c r="C601" s="221" t="s">
        <v>781</v>
      </c>
      <c r="D601" s="220" t="s">
        <v>0</v>
      </c>
      <c r="E601" s="221" t="s">
        <v>102</v>
      </c>
      <c r="F601" s="221" t="s">
        <v>785</v>
      </c>
      <c r="G601" s="226" t="s">
        <v>281</v>
      </c>
      <c r="H601" s="222" t="s">
        <v>281</v>
      </c>
      <c r="I601" s="222" t="s">
        <v>281</v>
      </c>
      <c r="J601" s="222" t="s">
        <v>16</v>
      </c>
      <c r="K601" s="222" t="s">
        <v>282</v>
      </c>
      <c r="L601" s="222" t="s">
        <v>281</v>
      </c>
      <c r="M601" s="222" t="s">
        <v>281</v>
      </c>
      <c r="N601" s="222" t="s">
        <v>281</v>
      </c>
      <c r="O601" s="223" t="s">
        <v>16</v>
      </c>
      <c r="P601" s="223" t="s">
        <v>16</v>
      </c>
      <c r="Q601" s="223" t="s">
        <v>16</v>
      </c>
      <c r="R601" s="223" t="s">
        <v>16</v>
      </c>
      <c r="S601" s="223" t="s">
        <v>16</v>
      </c>
      <c r="T601" s="223" t="s">
        <v>328</v>
      </c>
      <c r="U601" s="223" t="s">
        <v>248</v>
      </c>
      <c r="V601" s="223" t="s">
        <v>281</v>
      </c>
      <c r="W601" s="224" t="s">
        <v>281</v>
      </c>
      <c r="X601" s="224" t="s">
        <v>281</v>
      </c>
      <c r="Y601" s="225" t="s">
        <v>281</v>
      </c>
    </row>
    <row r="602" spans="1:25">
      <c r="A602" s="219">
        <v>11</v>
      </c>
      <c r="B602" s="220" t="str">
        <f>VLOOKUP(Tabel10[[#This Row],[Code]],Ruimtegroepen[[Code]:[Ruimte omschrijving]],2,FALSE)</f>
        <v>Garderobes</v>
      </c>
      <c r="C602" s="221" t="s">
        <v>781</v>
      </c>
      <c r="D602" s="220" t="s">
        <v>0</v>
      </c>
      <c r="E602" s="221" t="s">
        <v>99</v>
      </c>
      <c r="F602" s="221" t="s">
        <v>783</v>
      </c>
      <c r="G602" s="226" t="s">
        <v>281</v>
      </c>
      <c r="H602" s="222" t="s">
        <v>16</v>
      </c>
      <c r="I602" s="222" t="s">
        <v>281</v>
      </c>
      <c r="J602" s="222" t="s">
        <v>281</v>
      </c>
      <c r="K602" s="222" t="s">
        <v>281</v>
      </c>
      <c r="L602" s="222" t="s">
        <v>281</v>
      </c>
      <c r="M602" s="222" t="s">
        <v>281</v>
      </c>
      <c r="N602" s="222" t="s">
        <v>281</v>
      </c>
      <c r="O602" s="223" t="s">
        <v>16</v>
      </c>
      <c r="P602" s="223" t="s">
        <v>16</v>
      </c>
      <c r="Q602" s="223" t="s">
        <v>16</v>
      </c>
      <c r="R602" s="223" t="s">
        <v>16</v>
      </c>
      <c r="S602" s="223" t="s">
        <v>16</v>
      </c>
      <c r="T602" s="223" t="s">
        <v>328</v>
      </c>
      <c r="U602" s="223" t="s">
        <v>248</v>
      </c>
      <c r="V602" s="223" t="s">
        <v>281</v>
      </c>
      <c r="W602" s="224" t="s">
        <v>281</v>
      </c>
      <c r="X602" s="224" t="s">
        <v>281</v>
      </c>
      <c r="Y602" s="225" t="s">
        <v>281</v>
      </c>
    </row>
    <row r="603" spans="1:25">
      <c r="A603" s="219">
        <v>11</v>
      </c>
      <c r="B603" s="220" t="str">
        <f>VLOOKUP(Tabel10[[#This Row],[Code]],Ruimtegroepen[[Code]:[Ruimte omschrijving]],2,FALSE)</f>
        <v>Garderobes</v>
      </c>
      <c r="C603" s="221" t="s">
        <v>781</v>
      </c>
      <c r="D603" s="220" t="s">
        <v>0</v>
      </c>
      <c r="E603" s="221" t="s">
        <v>1309</v>
      </c>
      <c r="F603" s="221" t="s">
        <v>1351</v>
      </c>
      <c r="G603" s="226" t="s">
        <v>281</v>
      </c>
      <c r="H603" s="222" t="s">
        <v>281</v>
      </c>
      <c r="I603" s="222" t="s">
        <v>281</v>
      </c>
      <c r="J603" s="222" t="s">
        <v>16</v>
      </c>
      <c r="K603" s="222" t="s">
        <v>282</v>
      </c>
      <c r="L603" s="222" t="s">
        <v>281</v>
      </c>
      <c r="M603" s="222" t="s">
        <v>281</v>
      </c>
      <c r="N603" s="222" t="s">
        <v>281</v>
      </c>
      <c r="O603" s="223" t="s">
        <v>16</v>
      </c>
      <c r="P603" s="223" t="s">
        <v>16</v>
      </c>
      <c r="Q603" s="223" t="s">
        <v>16</v>
      </c>
      <c r="R603" s="223" t="s">
        <v>16</v>
      </c>
      <c r="S603" s="223" t="s">
        <v>16</v>
      </c>
      <c r="T603" s="223" t="s">
        <v>328</v>
      </c>
      <c r="U603" s="223" t="s">
        <v>248</v>
      </c>
      <c r="V603" s="223" t="s">
        <v>281</v>
      </c>
      <c r="W603" s="224" t="s">
        <v>281</v>
      </c>
      <c r="X603" s="224" t="s">
        <v>281</v>
      </c>
      <c r="Y603" s="225" t="s">
        <v>281</v>
      </c>
    </row>
    <row r="604" spans="1:25">
      <c r="A604" s="219">
        <v>11</v>
      </c>
      <c r="B604" s="220" t="str">
        <f>VLOOKUP(Tabel10[[#This Row],[Code]],Ruimtegroepen[[Code]:[Ruimte omschrijving]],2,FALSE)</f>
        <v>Garderobes</v>
      </c>
      <c r="C604" s="221" t="s">
        <v>786</v>
      </c>
      <c r="D604" s="220" t="s">
        <v>27</v>
      </c>
      <c r="E604" s="221" t="s">
        <v>100</v>
      </c>
      <c r="F604" s="221" t="s">
        <v>787</v>
      </c>
      <c r="G604" s="226" t="s">
        <v>281</v>
      </c>
      <c r="H604" s="222" t="s">
        <v>281</v>
      </c>
      <c r="I604" s="222" t="s">
        <v>15</v>
      </c>
      <c r="J604" s="222" t="s">
        <v>281</v>
      </c>
      <c r="K604" s="222" t="s">
        <v>281</v>
      </c>
      <c r="L604" s="222" t="s">
        <v>281</v>
      </c>
      <c r="M604" s="222" t="s">
        <v>281</v>
      </c>
      <c r="N604" s="222" t="s">
        <v>281</v>
      </c>
      <c r="O604" s="223" t="s">
        <v>15</v>
      </c>
      <c r="P604" s="223" t="s">
        <v>15</v>
      </c>
      <c r="Q604" s="223" t="s">
        <v>15</v>
      </c>
      <c r="R604" s="223" t="s">
        <v>281</v>
      </c>
      <c r="S604" s="223" t="s">
        <v>281</v>
      </c>
      <c r="T604" s="223" t="s">
        <v>281</v>
      </c>
      <c r="U604" s="223" t="s">
        <v>281</v>
      </c>
      <c r="V604" s="223" t="s">
        <v>281</v>
      </c>
      <c r="W604" s="224" t="s">
        <v>281</v>
      </c>
      <c r="X604" s="224" t="s">
        <v>281</v>
      </c>
      <c r="Y604" s="225" t="s">
        <v>281</v>
      </c>
    </row>
    <row r="605" spans="1:25">
      <c r="A605" s="219">
        <v>11</v>
      </c>
      <c r="B605" s="220" t="str">
        <f>VLOOKUP(Tabel10[[#This Row],[Code]],Ruimtegroepen[[Code]:[Ruimte omschrijving]],2,FALSE)</f>
        <v>Garderobes</v>
      </c>
      <c r="C605" s="221" t="s">
        <v>786</v>
      </c>
      <c r="D605" s="220" t="s">
        <v>27</v>
      </c>
      <c r="E605" s="221" t="s">
        <v>99</v>
      </c>
      <c r="F605" s="221" t="s">
        <v>788</v>
      </c>
      <c r="G605" s="226" t="s">
        <v>281</v>
      </c>
      <c r="H605" s="222" t="s">
        <v>15</v>
      </c>
      <c r="I605" s="222" t="s">
        <v>281</v>
      </c>
      <c r="J605" s="222" t="s">
        <v>281</v>
      </c>
      <c r="K605" s="222" t="s">
        <v>281</v>
      </c>
      <c r="L605" s="222" t="s">
        <v>281</v>
      </c>
      <c r="M605" s="222" t="s">
        <v>281</v>
      </c>
      <c r="N605" s="222" t="s">
        <v>281</v>
      </c>
      <c r="O605" s="223" t="s">
        <v>15</v>
      </c>
      <c r="P605" s="223" t="s">
        <v>15</v>
      </c>
      <c r="Q605" s="223" t="s">
        <v>15</v>
      </c>
      <c r="R605" s="223" t="s">
        <v>281</v>
      </c>
      <c r="S605" s="223" t="s">
        <v>281</v>
      </c>
      <c r="T605" s="223" t="s">
        <v>281</v>
      </c>
      <c r="U605" s="223" t="s">
        <v>281</v>
      </c>
      <c r="V605" s="223" t="s">
        <v>281</v>
      </c>
      <c r="W605" s="224" t="s">
        <v>281</v>
      </c>
      <c r="X605" s="224" t="s">
        <v>281</v>
      </c>
      <c r="Y605" s="225" t="s">
        <v>281</v>
      </c>
    </row>
    <row r="606" spans="1:25">
      <c r="A606" s="219">
        <v>11</v>
      </c>
      <c r="B606" s="220" t="str">
        <f>VLOOKUP(Tabel10[[#This Row],[Code]],Ruimtegroepen[[Code]:[Ruimte omschrijving]],2,FALSE)</f>
        <v>Garderobes</v>
      </c>
      <c r="C606" s="221" t="s">
        <v>786</v>
      </c>
      <c r="D606" s="220" t="s">
        <v>27</v>
      </c>
      <c r="E606" s="221" t="s">
        <v>101</v>
      </c>
      <c r="F606" s="221" t="s">
        <v>789</v>
      </c>
      <c r="G606" s="226" t="s">
        <v>281</v>
      </c>
      <c r="H606" s="222" t="s">
        <v>281</v>
      </c>
      <c r="I606" s="222" t="s">
        <v>15</v>
      </c>
      <c r="J606" s="222" t="s">
        <v>281</v>
      </c>
      <c r="K606" s="222" t="s">
        <v>281</v>
      </c>
      <c r="L606" s="222" t="s">
        <v>281</v>
      </c>
      <c r="M606" s="222" t="s">
        <v>281</v>
      </c>
      <c r="N606" s="222" t="s">
        <v>281</v>
      </c>
      <c r="O606" s="223" t="s">
        <v>15</v>
      </c>
      <c r="P606" s="223" t="s">
        <v>15</v>
      </c>
      <c r="Q606" s="223" t="s">
        <v>15</v>
      </c>
      <c r="R606" s="223" t="s">
        <v>281</v>
      </c>
      <c r="S606" s="223" t="s">
        <v>281</v>
      </c>
      <c r="T606" s="223" t="s">
        <v>281</v>
      </c>
      <c r="U606" s="223" t="s">
        <v>281</v>
      </c>
      <c r="V606" s="223" t="s">
        <v>281</v>
      </c>
      <c r="W606" s="224" t="s">
        <v>281</v>
      </c>
      <c r="X606" s="224" t="s">
        <v>281</v>
      </c>
      <c r="Y606" s="225" t="s">
        <v>281</v>
      </c>
    </row>
    <row r="607" spans="1:25">
      <c r="A607" s="219">
        <v>11</v>
      </c>
      <c r="B607" s="220" t="str">
        <f>VLOOKUP(Tabel10[[#This Row],[Code]],Ruimtegroepen[[Code]:[Ruimte omschrijving]],2,FALSE)</f>
        <v>Garderobes</v>
      </c>
      <c r="C607" s="221" t="s">
        <v>786</v>
      </c>
      <c r="D607" s="220" t="s">
        <v>27</v>
      </c>
      <c r="E607" s="221" t="s">
        <v>102</v>
      </c>
      <c r="F607" s="221" t="s">
        <v>790</v>
      </c>
      <c r="G607" s="226" t="s">
        <v>281</v>
      </c>
      <c r="H607" s="222" t="s">
        <v>281</v>
      </c>
      <c r="I607" s="222" t="s">
        <v>15</v>
      </c>
      <c r="J607" s="222" t="s">
        <v>281</v>
      </c>
      <c r="K607" s="222" t="s">
        <v>281</v>
      </c>
      <c r="L607" s="222" t="s">
        <v>281</v>
      </c>
      <c r="M607" s="222" t="s">
        <v>281</v>
      </c>
      <c r="N607" s="222" t="s">
        <v>281</v>
      </c>
      <c r="O607" s="223" t="s">
        <v>15</v>
      </c>
      <c r="P607" s="223" t="s">
        <v>15</v>
      </c>
      <c r="Q607" s="223" t="s">
        <v>15</v>
      </c>
      <c r="R607" s="223" t="s">
        <v>281</v>
      </c>
      <c r="S607" s="223" t="s">
        <v>281</v>
      </c>
      <c r="T607" s="223" t="s">
        <v>281</v>
      </c>
      <c r="U607" s="223" t="s">
        <v>281</v>
      </c>
      <c r="V607" s="223" t="s">
        <v>281</v>
      </c>
      <c r="W607" s="224" t="s">
        <v>281</v>
      </c>
      <c r="X607" s="224" t="s">
        <v>281</v>
      </c>
      <c r="Y607" s="225" t="s">
        <v>281</v>
      </c>
    </row>
    <row r="608" spans="1:25">
      <c r="A608" s="219">
        <v>11</v>
      </c>
      <c r="B608" s="220" t="str">
        <f>VLOOKUP(Tabel10[[#This Row],[Code]],Ruimtegroepen[[Code]:[Ruimte omschrijving]],2,FALSE)</f>
        <v>Garderobes</v>
      </c>
      <c r="C608" s="221" t="s">
        <v>786</v>
      </c>
      <c r="D608" s="220" t="s">
        <v>27</v>
      </c>
      <c r="E608" s="221" t="s">
        <v>99</v>
      </c>
      <c r="F608" s="221" t="s">
        <v>788</v>
      </c>
      <c r="G608" s="226" t="s">
        <v>281</v>
      </c>
      <c r="H608" s="222" t="s">
        <v>15</v>
      </c>
      <c r="I608" s="222" t="s">
        <v>281</v>
      </c>
      <c r="J608" s="222" t="s">
        <v>281</v>
      </c>
      <c r="K608" s="222" t="s">
        <v>281</v>
      </c>
      <c r="L608" s="222" t="s">
        <v>281</v>
      </c>
      <c r="M608" s="222" t="s">
        <v>281</v>
      </c>
      <c r="N608" s="222" t="s">
        <v>281</v>
      </c>
      <c r="O608" s="223" t="s">
        <v>15</v>
      </c>
      <c r="P608" s="223" t="s">
        <v>15</v>
      </c>
      <c r="Q608" s="223" t="s">
        <v>15</v>
      </c>
      <c r="R608" s="223" t="s">
        <v>281</v>
      </c>
      <c r="S608" s="223" t="s">
        <v>281</v>
      </c>
      <c r="T608" s="223" t="s">
        <v>281</v>
      </c>
      <c r="U608" s="223" t="s">
        <v>281</v>
      </c>
      <c r="V608" s="223" t="s">
        <v>281</v>
      </c>
      <c r="W608" s="224" t="s">
        <v>281</v>
      </c>
      <c r="X608" s="224" t="s">
        <v>281</v>
      </c>
      <c r="Y608" s="225" t="s">
        <v>281</v>
      </c>
    </row>
    <row r="609" spans="1:25">
      <c r="A609" s="219">
        <v>11</v>
      </c>
      <c r="B609" s="220" t="str">
        <f>VLOOKUP(Tabel10[[#This Row],[Code]],Ruimtegroepen[[Code]:[Ruimte omschrijving]],2,FALSE)</f>
        <v>Garderobes</v>
      </c>
      <c r="C609" s="221" t="s">
        <v>786</v>
      </c>
      <c r="D609" s="220" t="s">
        <v>27</v>
      </c>
      <c r="E609" s="221" t="s">
        <v>1309</v>
      </c>
      <c r="F609" s="221" t="s">
        <v>1384</v>
      </c>
      <c r="G609" s="226" t="s">
        <v>281</v>
      </c>
      <c r="H609" s="222" t="s">
        <v>281</v>
      </c>
      <c r="I609" s="222" t="s">
        <v>15</v>
      </c>
      <c r="J609" s="222" t="s">
        <v>281</v>
      </c>
      <c r="K609" s="222" t="s">
        <v>281</v>
      </c>
      <c r="L609" s="222" t="s">
        <v>281</v>
      </c>
      <c r="M609" s="222" t="s">
        <v>281</v>
      </c>
      <c r="N609" s="222" t="s">
        <v>281</v>
      </c>
      <c r="O609" s="223" t="s">
        <v>15</v>
      </c>
      <c r="P609" s="223" t="s">
        <v>15</v>
      </c>
      <c r="Q609" s="223" t="s">
        <v>15</v>
      </c>
      <c r="R609" s="223" t="s">
        <v>281</v>
      </c>
      <c r="S609" s="223" t="s">
        <v>281</v>
      </c>
      <c r="T609" s="223" t="s">
        <v>281</v>
      </c>
      <c r="U609" s="223" t="s">
        <v>281</v>
      </c>
      <c r="V609" s="223" t="s">
        <v>281</v>
      </c>
      <c r="W609" s="224" t="s">
        <v>281</v>
      </c>
      <c r="X609" s="224" t="s">
        <v>281</v>
      </c>
      <c r="Y609" s="225" t="s">
        <v>281</v>
      </c>
    </row>
    <row r="610" spans="1:25">
      <c r="A610" s="219">
        <v>11</v>
      </c>
      <c r="B610" s="220" t="str">
        <f>VLOOKUP(Tabel10[[#This Row],[Code]],Ruimtegroepen[[Code]:[Ruimte omschrijving]],2,FALSE)</f>
        <v>Garderobes</v>
      </c>
      <c r="C610" s="221" t="s">
        <v>791</v>
      </c>
      <c r="D610" s="220" t="s">
        <v>28</v>
      </c>
      <c r="E610" s="221" t="s">
        <v>100</v>
      </c>
      <c r="F610" s="221" t="s">
        <v>792</v>
      </c>
      <c r="G610" s="226" t="s">
        <v>281</v>
      </c>
      <c r="H610" s="222" t="s">
        <v>281</v>
      </c>
      <c r="I610" s="222" t="s">
        <v>17</v>
      </c>
      <c r="J610" s="222" t="s">
        <v>281</v>
      </c>
      <c r="K610" s="222" t="s">
        <v>281</v>
      </c>
      <c r="L610" s="222" t="s">
        <v>281</v>
      </c>
      <c r="M610" s="222" t="s">
        <v>281</v>
      </c>
      <c r="N610" s="222" t="s">
        <v>281</v>
      </c>
      <c r="O610" s="223" t="s">
        <v>17</v>
      </c>
      <c r="P610" s="223" t="s">
        <v>17</v>
      </c>
      <c r="Q610" s="223" t="s">
        <v>15</v>
      </c>
      <c r="R610" s="223" t="s">
        <v>281</v>
      </c>
      <c r="S610" s="223" t="s">
        <v>281</v>
      </c>
      <c r="T610" s="223" t="s">
        <v>281</v>
      </c>
      <c r="U610" s="223" t="s">
        <v>281</v>
      </c>
      <c r="V610" s="223" t="s">
        <v>281</v>
      </c>
      <c r="W610" s="224" t="s">
        <v>281</v>
      </c>
      <c r="X610" s="224" t="s">
        <v>281</v>
      </c>
      <c r="Y610" s="225" t="s">
        <v>281</v>
      </c>
    </row>
    <row r="611" spans="1:25">
      <c r="A611" s="219">
        <v>11</v>
      </c>
      <c r="B611" s="220" t="str">
        <f>VLOOKUP(Tabel10[[#This Row],[Code]],Ruimtegroepen[[Code]:[Ruimte omschrijving]],2,FALSE)</f>
        <v>Garderobes</v>
      </c>
      <c r="C611" s="221" t="s">
        <v>791</v>
      </c>
      <c r="D611" s="220" t="s">
        <v>28</v>
      </c>
      <c r="E611" s="221" t="s">
        <v>99</v>
      </c>
      <c r="F611" s="221" t="s">
        <v>793</v>
      </c>
      <c r="G611" s="226" t="s">
        <v>281</v>
      </c>
      <c r="H611" s="222" t="s">
        <v>17</v>
      </c>
      <c r="I611" s="222" t="s">
        <v>281</v>
      </c>
      <c r="J611" s="222" t="s">
        <v>281</v>
      </c>
      <c r="K611" s="222" t="s">
        <v>281</v>
      </c>
      <c r="L611" s="222" t="s">
        <v>281</v>
      </c>
      <c r="M611" s="222" t="s">
        <v>281</v>
      </c>
      <c r="N611" s="222" t="s">
        <v>281</v>
      </c>
      <c r="O611" s="223" t="s">
        <v>17</v>
      </c>
      <c r="P611" s="223" t="s">
        <v>17</v>
      </c>
      <c r="Q611" s="223" t="s">
        <v>15</v>
      </c>
      <c r="R611" s="223" t="s">
        <v>281</v>
      </c>
      <c r="S611" s="223" t="s">
        <v>281</v>
      </c>
      <c r="T611" s="223" t="s">
        <v>281</v>
      </c>
      <c r="U611" s="223" t="s">
        <v>281</v>
      </c>
      <c r="V611" s="223" t="s">
        <v>281</v>
      </c>
      <c r="W611" s="224" t="s">
        <v>281</v>
      </c>
      <c r="X611" s="224" t="s">
        <v>281</v>
      </c>
      <c r="Y611" s="225" t="s">
        <v>281</v>
      </c>
    </row>
    <row r="612" spans="1:25">
      <c r="A612" s="219">
        <v>11</v>
      </c>
      <c r="B612" s="220" t="str">
        <f>VLOOKUP(Tabel10[[#This Row],[Code]],Ruimtegroepen[[Code]:[Ruimte omschrijving]],2,FALSE)</f>
        <v>Garderobes</v>
      </c>
      <c r="C612" s="221" t="s">
        <v>791</v>
      </c>
      <c r="D612" s="220" t="s">
        <v>28</v>
      </c>
      <c r="E612" s="221" t="s">
        <v>101</v>
      </c>
      <c r="F612" s="221" t="s">
        <v>794</v>
      </c>
      <c r="G612" s="226" t="s">
        <v>281</v>
      </c>
      <c r="H612" s="222" t="s">
        <v>281</v>
      </c>
      <c r="I612" s="222" t="s">
        <v>17</v>
      </c>
      <c r="J612" s="222" t="s">
        <v>281</v>
      </c>
      <c r="K612" s="222" t="s">
        <v>281</v>
      </c>
      <c r="L612" s="222" t="s">
        <v>281</v>
      </c>
      <c r="M612" s="222" t="s">
        <v>281</v>
      </c>
      <c r="N612" s="222" t="s">
        <v>281</v>
      </c>
      <c r="O612" s="223" t="s">
        <v>17</v>
      </c>
      <c r="P612" s="223" t="s">
        <v>17</v>
      </c>
      <c r="Q612" s="223" t="s">
        <v>15</v>
      </c>
      <c r="R612" s="223" t="s">
        <v>281</v>
      </c>
      <c r="S612" s="223" t="s">
        <v>281</v>
      </c>
      <c r="T612" s="223" t="s">
        <v>281</v>
      </c>
      <c r="U612" s="223" t="s">
        <v>281</v>
      </c>
      <c r="V612" s="223" t="s">
        <v>281</v>
      </c>
      <c r="W612" s="224" t="s">
        <v>281</v>
      </c>
      <c r="X612" s="224" t="s">
        <v>281</v>
      </c>
      <c r="Y612" s="225" t="s">
        <v>281</v>
      </c>
    </row>
    <row r="613" spans="1:25">
      <c r="A613" s="219">
        <v>11</v>
      </c>
      <c r="B613" s="220" t="str">
        <f>VLOOKUP(Tabel10[[#This Row],[Code]],Ruimtegroepen[[Code]:[Ruimte omschrijving]],2,FALSE)</f>
        <v>Garderobes</v>
      </c>
      <c r="C613" s="221" t="s">
        <v>791</v>
      </c>
      <c r="D613" s="220" t="s">
        <v>28</v>
      </c>
      <c r="E613" s="221" t="s">
        <v>102</v>
      </c>
      <c r="F613" s="221" t="s">
        <v>795</v>
      </c>
      <c r="G613" s="226" t="s">
        <v>281</v>
      </c>
      <c r="H613" s="222" t="s">
        <v>281</v>
      </c>
      <c r="I613" s="222" t="s">
        <v>17</v>
      </c>
      <c r="J613" s="222" t="s">
        <v>281</v>
      </c>
      <c r="K613" s="222" t="s">
        <v>281</v>
      </c>
      <c r="L613" s="222" t="s">
        <v>281</v>
      </c>
      <c r="M613" s="222" t="s">
        <v>281</v>
      </c>
      <c r="N613" s="222" t="s">
        <v>281</v>
      </c>
      <c r="O613" s="223" t="s">
        <v>17</v>
      </c>
      <c r="P613" s="223" t="s">
        <v>17</v>
      </c>
      <c r="Q613" s="223" t="s">
        <v>15</v>
      </c>
      <c r="R613" s="223" t="s">
        <v>281</v>
      </c>
      <c r="S613" s="223" t="s">
        <v>281</v>
      </c>
      <c r="T613" s="223" t="s">
        <v>281</v>
      </c>
      <c r="U613" s="223" t="s">
        <v>281</v>
      </c>
      <c r="V613" s="223" t="s">
        <v>281</v>
      </c>
      <c r="W613" s="224" t="s">
        <v>281</v>
      </c>
      <c r="X613" s="224" t="s">
        <v>281</v>
      </c>
      <c r="Y613" s="225" t="s">
        <v>281</v>
      </c>
    </row>
    <row r="614" spans="1:25">
      <c r="A614" s="219">
        <v>11</v>
      </c>
      <c r="B614" s="220" t="str">
        <f>VLOOKUP(Tabel10[[#This Row],[Code]],Ruimtegroepen[[Code]:[Ruimte omschrijving]],2,FALSE)</f>
        <v>Garderobes</v>
      </c>
      <c r="C614" s="221" t="s">
        <v>791</v>
      </c>
      <c r="D614" s="220" t="s">
        <v>28</v>
      </c>
      <c r="E614" s="221" t="s">
        <v>99</v>
      </c>
      <c r="F614" s="221" t="s">
        <v>793</v>
      </c>
      <c r="G614" s="226" t="s">
        <v>281</v>
      </c>
      <c r="H614" s="222" t="s">
        <v>17</v>
      </c>
      <c r="I614" s="222" t="s">
        <v>281</v>
      </c>
      <c r="J614" s="222" t="s">
        <v>281</v>
      </c>
      <c r="K614" s="222" t="s">
        <v>281</v>
      </c>
      <c r="L614" s="222" t="s">
        <v>281</v>
      </c>
      <c r="M614" s="222" t="s">
        <v>281</v>
      </c>
      <c r="N614" s="222" t="s">
        <v>281</v>
      </c>
      <c r="O614" s="223" t="s">
        <v>17</v>
      </c>
      <c r="P614" s="223" t="s">
        <v>17</v>
      </c>
      <c r="Q614" s="223" t="s">
        <v>15</v>
      </c>
      <c r="R614" s="223" t="s">
        <v>281</v>
      </c>
      <c r="S614" s="223" t="s">
        <v>281</v>
      </c>
      <c r="T614" s="223" t="s">
        <v>281</v>
      </c>
      <c r="U614" s="223" t="s">
        <v>281</v>
      </c>
      <c r="V614" s="223" t="s">
        <v>281</v>
      </c>
      <c r="W614" s="224" t="s">
        <v>281</v>
      </c>
      <c r="X614" s="224" t="s">
        <v>281</v>
      </c>
      <c r="Y614" s="225" t="s">
        <v>281</v>
      </c>
    </row>
    <row r="615" spans="1:25">
      <c r="A615" s="219">
        <v>11</v>
      </c>
      <c r="B615" s="220" t="str">
        <f>VLOOKUP(Tabel10[[#This Row],[Code]],Ruimtegroepen[[Code]:[Ruimte omschrijving]],2,FALSE)</f>
        <v>Garderobes</v>
      </c>
      <c r="C615" s="221" t="s">
        <v>791</v>
      </c>
      <c r="D615" s="220" t="s">
        <v>28</v>
      </c>
      <c r="E615" s="221" t="s">
        <v>1309</v>
      </c>
      <c r="F615" s="221" t="s">
        <v>1417</v>
      </c>
      <c r="G615" s="226" t="s">
        <v>281</v>
      </c>
      <c r="H615" s="222" t="s">
        <v>281</v>
      </c>
      <c r="I615" s="222" t="s">
        <v>17</v>
      </c>
      <c r="J615" s="222" t="s">
        <v>281</v>
      </c>
      <c r="K615" s="222" t="s">
        <v>281</v>
      </c>
      <c r="L615" s="222" t="s">
        <v>281</v>
      </c>
      <c r="M615" s="222" t="s">
        <v>281</v>
      </c>
      <c r="N615" s="222" t="s">
        <v>281</v>
      </c>
      <c r="O615" s="223" t="s">
        <v>17</v>
      </c>
      <c r="P615" s="223" t="s">
        <v>17</v>
      </c>
      <c r="Q615" s="223" t="s">
        <v>15</v>
      </c>
      <c r="R615" s="223" t="s">
        <v>281</v>
      </c>
      <c r="S615" s="223" t="s">
        <v>281</v>
      </c>
      <c r="T615" s="223" t="s">
        <v>281</v>
      </c>
      <c r="U615" s="223" t="s">
        <v>281</v>
      </c>
      <c r="V615" s="223" t="s">
        <v>281</v>
      </c>
      <c r="W615" s="224" t="s">
        <v>281</v>
      </c>
      <c r="X615" s="224" t="s">
        <v>281</v>
      </c>
      <c r="Y615" s="225" t="s">
        <v>281</v>
      </c>
    </row>
    <row r="616" spans="1:25">
      <c r="A616" s="219">
        <v>12</v>
      </c>
      <c r="B616" s="220" t="str">
        <f>VLOOKUP(Tabel10[[#This Row],[Code]],Ruimtegroepen[[Code]:[Ruimte omschrijving]],2,FALSE)</f>
        <v>Kantine/Aula</v>
      </c>
      <c r="C616" s="221" t="s">
        <v>796</v>
      </c>
      <c r="D616" s="220" t="s">
        <v>29</v>
      </c>
      <c r="E616" s="221" t="s">
        <v>100</v>
      </c>
      <c r="F616" s="221" t="s">
        <v>797</v>
      </c>
      <c r="G616" s="226" t="s">
        <v>281</v>
      </c>
      <c r="H616" s="222" t="s">
        <v>281</v>
      </c>
      <c r="I616" s="222" t="s">
        <v>281</v>
      </c>
      <c r="J616" s="222" t="s">
        <v>2</v>
      </c>
      <c r="K616" s="222" t="s">
        <v>281</v>
      </c>
      <c r="L616" s="222" t="s">
        <v>281</v>
      </c>
      <c r="M616" s="222" t="s">
        <v>281</v>
      </c>
      <c r="N616" s="222" t="s">
        <v>2</v>
      </c>
      <c r="O616" s="223" t="s">
        <v>2</v>
      </c>
      <c r="P616" s="223" t="s">
        <v>2</v>
      </c>
      <c r="Q616" s="223" t="s">
        <v>15</v>
      </c>
      <c r="R616" s="223" t="s">
        <v>15</v>
      </c>
      <c r="S616" s="223" t="s">
        <v>16</v>
      </c>
      <c r="T616" s="223" t="s">
        <v>328</v>
      </c>
      <c r="U616" s="223" t="s">
        <v>248</v>
      </c>
      <c r="V616" s="223" t="s">
        <v>2</v>
      </c>
      <c r="W616" s="224" t="s">
        <v>281</v>
      </c>
      <c r="X616" s="224" t="s">
        <v>281</v>
      </c>
      <c r="Y616" s="225" t="s">
        <v>281</v>
      </c>
    </row>
    <row r="617" spans="1:25">
      <c r="A617" s="219">
        <v>12</v>
      </c>
      <c r="B617" s="220" t="str">
        <f>VLOOKUP(Tabel10[[#This Row],[Code]],Ruimtegroepen[[Code]:[Ruimte omschrijving]],2,FALSE)</f>
        <v>Kantine/Aula</v>
      </c>
      <c r="C617" s="221" t="s">
        <v>796</v>
      </c>
      <c r="D617" s="220" t="s">
        <v>29</v>
      </c>
      <c r="E617" s="221" t="s">
        <v>99</v>
      </c>
      <c r="F617" s="221" t="s">
        <v>798</v>
      </c>
      <c r="G617" s="226" t="s">
        <v>281</v>
      </c>
      <c r="H617" s="222" t="s">
        <v>2</v>
      </c>
      <c r="I617" s="222" t="s">
        <v>281</v>
      </c>
      <c r="J617" s="222" t="s">
        <v>281</v>
      </c>
      <c r="K617" s="222" t="s">
        <v>281</v>
      </c>
      <c r="L617" s="222" t="s">
        <v>281</v>
      </c>
      <c r="M617" s="222" t="s">
        <v>281</v>
      </c>
      <c r="N617" s="222" t="s">
        <v>2</v>
      </c>
      <c r="O617" s="223" t="s">
        <v>2</v>
      </c>
      <c r="P617" s="223" t="s">
        <v>2</v>
      </c>
      <c r="Q617" s="223" t="s">
        <v>15</v>
      </c>
      <c r="R617" s="223" t="s">
        <v>15</v>
      </c>
      <c r="S617" s="223" t="s">
        <v>16</v>
      </c>
      <c r="T617" s="223" t="s">
        <v>328</v>
      </c>
      <c r="U617" s="223" t="s">
        <v>248</v>
      </c>
      <c r="V617" s="223" t="s">
        <v>2</v>
      </c>
      <c r="W617" s="224" t="s">
        <v>281</v>
      </c>
      <c r="X617" s="224" t="s">
        <v>281</v>
      </c>
      <c r="Y617" s="225" t="s">
        <v>281</v>
      </c>
    </row>
    <row r="618" spans="1:25">
      <c r="A618" s="219">
        <v>12</v>
      </c>
      <c r="B618" s="220" t="str">
        <f>VLOOKUP(Tabel10[[#This Row],[Code]],Ruimtegroepen[[Code]:[Ruimte omschrijving]],2,FALSE)</f>
        <v>Kantine/Aula</v>
      </c>
      <c r="C618" s="221" t="s">
        <v>796</v>
      </c>
      <c r="D618" s="220" t="s">
        <v>29</v>
      </c>
      <c r="E618" s="221" t="s">
        <v>101</v>
      </c>
      <c r="F618" s="221" t="s">
        <v>799</v>
      </c>
      <c r="G618" s="226" t="s">
        <v>281</v>
      </c>
      <c r="H618" s="222" t="s">
        <v>281</v>
      </c>
      <c r="I618" s="222" t="s">
        <v>2</v>
      </c>
      <c r="J618" s="222" t="s">
        <v>281</v>
      </c>
      <c r="K618" s="222" t="s">
        <v>2</v>
      </c>
      <c r="L618" s="222" t="s">
        <v>281</v>
      </c>
      <c r="M618" s="222" t="s">
        <v>281</v>
      </c>
      <c r="N618" s="222" t="s">
        <v>2</v>
      </c>
      <c r="O618" s="223" t="s">
        <v>2</v>
      </c>
      <c r="P618" s="223" t="s">
        <v>2</v>
      </c>
      <c r="Q618" s="223" t="s">
        <v>15</v>
      </c>
      <c r="R618" s="223" t="s">
        <v>15</v>
      </c>
      <c r="S618" s="223" t="s">
        <v>16</v>
      </c>
      <c r="T618" s="223" t="s">
        <v>328</v>
      </c>
      <c r="U618" s="223" t="s">
        <v>248</v>
      </c>
      <c r="V618" s="223" t="s">
        <v>2</v>
      </c>
      <c r="W618" s="224" t="s">
        <v>281</v>
      </c>
      <c r="X618" s="224" t="s">
        <v>281</v>
      </c>
      <c r="Y618" s="225" t="s">
        <v>281</v>
      </c>
    </row>
    <row r="619" spans="1:25">
      <c r="A619" s="219">
        <v>12</v>
      </c>
      <c r="B619" s="220" t="str">
        <f>VLOOKUP(Tabel10[[#This Row],[Code]],Ruimtegroepen[[Code]:[Ruimte omschrijving]],2,FALSE)</f>
        <v>Kantine/Aula</v>
      </c>
      <c r="C619" s="221" t="s">
        <v>796</v>
      </c>
      <c r="D619" s="220" t="s">
        <v>29</v>
      </c>
      <c r="E619" s="221" t="s">
        <v>102</v>
      </c>
      <c r="F619" s="221" t="s">
        <v>800</v>
      </c>
      <c r="G619" s="226" t="s">
        <v>281</v>
      </c>
      <c r="H619" s="222" t="s">
        <v>281</v>
      </c>
      <c r="I619" s="222" t="s">
        <v>2</v>
      </c>
      <c r="J619" s="222" t="s">
        <v>281</v>
      </c>
      <c r="K619" s="222" t="s">
        <v>2</v>
      </c>
      <c r="L619" s="222" t="s">
        <v>281</v>
      </c>
      <c r="M619" s="222" t="s">
        <v>281</v>
      </c>
      <c r="N619" s="222" t="s">
        <v>2</v>
      </c>
      <c r="O619" s="223" t="s">
        <v>2</v>
      </c>
      <c r="P619" s="223" t="s">
        <v>2</v>
      </c>
      <c r="Q619" s="223" t="s">
        <v>15</v>
      </c>
      <c r="R619" s="223" t="s">
        <v>15</v>
      </c>
      <c r="S619" s="223" t="s">
        <v>16</v>
      </c>
      <c r="T619" s="223" t="s">
        <v>328</v>
      </c>
      <c r="U619" s="223" t="s">
        <v>248</v>
      </c>
      <c r="V619" s="223" t="s">
        <v>2</v>
      </c>
      <c r="W619" s="224" t="s">
        <v>281</v>
      </c>
      <c r="X619" s="224" t="s">
        <v>281</v>
      </c>
      <c r="Y619" s="225" t="s">
        <v>281</v>
      </c>
    </row>
    <row r="620" spans="1:25">
      <c r="A620" s="219">
        <v>12</v>
      </c>
      <c r="B620" s="220" t="str">
        <f>VLOOKUP(Tabel10[[#This Row],[Code]],Ruimtegroepen[[Code]:[Ruimte omschrijving]],2,FALSE)</f>
        <v>Kantine/Aula</v>
      </c>
      <c r="C620" s="221" t="s">
        <v>796</v>
      </c>
      <c r="D620" s="220" t="s">
        <v>29</v>
      </c>
      <c r="E620" s="221" t="s">
        <v>99</v>
      </c>
      <c r="F620" s="221" t="s">
        <v>798</v>
      </c>
      <c r="G620" s="226" t="s">
        <v>281</v>
      </c>
      <c r="H620" s="222" t="s">
        <v>2</v>
      </c>
      <c r="I620" s="222" t="s">
        <v>281</v>
      </c>
      <c r="J620" s="222" t="s">
        <v>281</v>
      </c>
      <c r="K620" s="222" t="s">
        <v>281</v>
      </c>
      <c r="L620" s="222" t="s">
        <v>281</v>
      </c>
      <c r="M620" s="222" t="s">
        <v>281</v>
      </c>
      <c r="N620" s="222" t="s">
        <v>2</v>
      </c>
      <c r="O620" s="223" t="s">
        <v>2</v>
      </c>
      <c r="P620" s="223" t="s">
        <v>2</v>
      </c>
      <c r="Q620" s="223" t="s">
        <v>15</v>
      </c>
      <c r="R620" s="223" t="s">
        <v>15</v>
      </c>
      <c r="S620" s="223" t="s">
        <v>16</v>
      </c>
      <c r="T620" s="223" t="s">
        <v>328</v>
      </c>
      <c r="U620" s="223" t="s">
        <v>248</v>
      </c>
      <c r="V620" s="223" t="s">
        <v>2</v>
      </c>
      <c r="W620" s="224" t="s">
        <v>281</v>
      </c>
      <c r="X620" s="224" t="s">
        <v>281</v>
      </c>
      <c r="Y620" s="225" t="s">
        <v>281</v>
      </c>
    </row>
    <row r="621" spans="1:25">
      <c r="A621" s="219">
        <v>12</v>
      </c>
      <c r="B621" s="220" t="str">
        <f>VLOOKUP(Tabel10[[#This Row],[Code]],Ruimtegroepen[[Code]:[Ruimte omschrijving]],2,FALSE)</f>
        <v>Kantine/Aula</v>
      </c>
      <c r="C621" s="221" t="s">
        <v>796</v>
      </c>
      <c r="D621" s="220" t="s">
        <v>29</v>
      </c>
      <c r="E621" s="221" t="s">
        <v>1309</v>
      </c>
      <c r="F621" s="221" t="s">
        <v>1485</v>
      </c>
      <c r="G621" s="226" t="s">
        <v>281</v>
      </c>
      <c r="H621" s="222" t="s">
        <v>281</v>
      </c>
      <c r="I621" s="222" t="s">
        <v>2</v>
      </c>
      <c r="J621" s="222" t="s">
        <v>281</v>
      </c>
      <c r="K621" s="222" t="s">
        <v>2</v>
      </c>
      <c r="L621" s="222" t="s">
        <v>281</v>
      </c>
      <c r="M621" s="222" t="s">
        <v>281</v>
      </c>
      <c r="N621" s="222" t="s">
        <v>2</v>
      </c>
      <c r="O621" s="223" t="s">
        <v>2</v>
      </c>
      <c r="P621" s="223" t="s">
        <v>2</v>
      </c>
      <c r="Q621" s="223" t="s">
        <v>15</v>
      </c>
      <c r="R621" s="223" t="s">
        <v>15</v>
      </c>
      <c r="S621" s="223" t="s">
        <v>16</v>
      </c>
      <c r="T621" s="223" t="s">
        <v>328</v>
      </c>
      <c r="U621" s="223" t="s">
        <v>248</v>
      </c>
      <c r="V621" s="223" t="s">
        <v>2</v>
      </c>
      <c r="W621" s="224" t="s">
        <v>281</v>
      </c>
      <c r="X621" s="224" t="s">
        <v>281</v>
      </c>
      <c r="Y621" s="225" t="s">
        <v>281</v>
      </c>
    </row>
    <row r="622" spans="1:25">
      <c r="A622" s="219">
        <v>12</v>
      </c>
      <c r="B622" s="220" t="str">
        <f>VLOOKUP(Tabel10[[#This Row],[Code]],Ruimtegroepen[[Code]:[Ruimte omschrijving]],2,FALSE)</f>
        <v>Kantine/Aula</v>
      </c>
      <c r="C622" s="221" t="s">
        <v>801</v>
      </c>
      <c r="D622" s="220" t="s">
        <v>1</v>
      </c>
      <c r="E622" s="221" t="s">
        <v>100</v>
      </c>
      <c r="F622" s="221" t="s">
        <v>802</v>
      </c>
      <c r="G622" s="226" t="s">
        <v>281</v>
      </c>
      <c r="H622" s="222" t="s">
        <v>281</v>
      </c>
      <c r="I622" s="222" t="s">
        <v>281</v>
      </c>
      <c r="J622" s="222" t="s">
        <v>2</v>
      </c>
      <c r="K622" s="222" t="s">
        <v>281</v>
      </c>
      <c r="L622" s="222" t="s">
        <v>281</v>
      </c>
      <c r="M622" s="222" t="s">
        <v>281</v>
      </c>
      <c r="N622" s="222" t="s">
        <v>281</v>
      </c>
      <c r="O622" s="223" t="s">
        <v>2</v>
      </c>
      <c r="P622" s="223" t="s">
        <v>2</v>
      </c>
      <c r="Q622" s="223" t="s">
        <v>15</v>
      </c>
      <c r="R622" s="223" t="s">
        <v>15</v>
      </c>
      <c r="S622" s="223" t="s">
        <v>16</v>
      </c>
      <c r="T622" s="223" t="s">
        <v>328</v>
      </c>
      <c r="U622" s="223" t="s">
        <v>248</v>
      </c>
      <c r="V622" s="223" t="s">
        <v>281</v>
      </c>
      <c r="W622" s="224" t="s">
        <v>281</v>
      </c>
      <c r="X622" s="224" t="s">
        <v>281</v>
      </c>
      <c r="Y622" s="225" t="s">
        <v>281</v>
      </c>
    </row>
    <row r="623" spans="1:25">
      <c r="A623" s="219">
        <v>12</v>
      </c>
      <c r="B623" s="220" t="str">
        <f>VLOOKUP(Tabel10[[#This Row],[Code]],Ruimtegroepen[[Code]:[Ruimte omschrijving]],2,FALSE)</f>
        <v>Kantine/Aula</v>
      </c>
      <c r="C623" s="221" t="s">
        <v>801</v>
      </c>
      <c r="D623" s="220" t="s">
        <v>1</v>
      </c>
      <c r="E623" s="221" t="s">
        <v>99</v>
      </c>
      <c r="F623" s="221" t="s">
        <v>803</v>
      </c>
      <c r="G623" s="226" t="s">
        <v>281</v>
      </c>
      <c r="H623" s="222" t="s">
        <v>2</v>
      </c>
      <c r="I623" s="222" t="s">
        <v>281</v>
      </c>
      <c r="J623" s="222" t="s">
        <v>281</v>
      </c>
      <c r="K623" s="222" t="s">
        <v>281</v>
      </c>
      <c r="L623" s="222" t="s">
        <v>281</v>
      </c>
      <c r="M623" s="222" t="s">
        <v>281</v>
      </c>
      <c r="N623" s="222" t="s">
        <v>281</v>
      </c>
      <c r="O623" s="223" t="s">
        <v>2</v>
      </c>
      <c r="P623" s="223" t="s">
        <v>2</v>
      </c>
      <c r="Q623" s="223" t="s">
        <v>15</v>
      </c>
      <c r="R623" s="223" t="s">
        <v>15</v>
      </c>
      <c r="S623" s="223" t="s">
        <v>16</v>
      </c>
      <c r="T623" s="223" t="s">
        <v>328</v>
      </c>
      <c r="U623" s="223" t="s">
        <v>248</v>
      </c>
      <c r="V623" s="223" t="s">
        <v>281</v>
      </c>
      <c r="W623" s="224" t="s">
        <v>281</v>
      </c>
      <c r="X623" s="224" t="s">
        <v>281</v>
      </c>
      <c r="Y623" s="225" t="s">
        <v>281</v>
      </c>
    </row>
    <row r="624" spans="1:25">
      <c r="A624" s="219">
        <v>12</v>
      </c>
      <c r="B624" s="220" t="str">
        <f>VLOOKUP(Tabel10[[#This Row],[Code]],Ruimtegroepen[[Code]:[Ruimte omschrijving]],2,FALSE)</f>
        <v>Kantine/Aula</v>
      </c>
      <c r="C624" s="221" t="s">
        <v>801</v>
      </c>
      <c r="D624" s="220" t="s">
        <v>1</v>
      </c>
      <c r="E624" s="221" t="s">
        <v>101</v>
      </c>
      <c r="F624" s="221" t="s">
        <v>804</v>
      </c>
      <c r="G624" s="226" t="s">
        <v>281</v>
      </c>
      <c r="H624" s="222" t="s">
        <v>281</v>
      </c>
      <c r="I624" s="222" t="s">
        <v>2</v>
      </c>
      <c r="J624" s="222" t="s">
        <v>281</v>
      </c>
      <c r="K624" s="222" t="s">
        <v>2</v>
      </c>
      <c r="L624" s="222" t="s">
        <v>281</v>
      </c>
      <c r="M624" s="222" t="s">
        <v>281</v>
      </c>
      <c r="N624" s="222" t="s">
        <v>281</v>
      </c>
      <c r="O624" s="223" t="s">
        <v>2</v>
      </c>
      <c r="P624" s="223" t="s">
        <v>2</v>
      </c>
      <c r="Q624" s="223" t="s">
        <v>15</v>
      </c>
      <c r="R624" s="223" t="s">
        <v>15</v>
      </c>
      <c r="S624" s="223" t="s">
        <v>16</v>
      </c>
      <c r="T624" s="223" t="s">
        <v>328</v>
      </c>
      <c r="U624" s="223" t="s">
        <v>248</v>
      </c>
      <c r="V624" s="223" t="s">
        <v>281</v>
      </c>
      <c r="W624" s="224" t="s">
        <v>281</v>
      </c>
      <c r="X624" s="224" t="s">
        <v>281</v>
      </c>
      <c r="Y624" s="225" t="s">
        <v>281</v>
      </c>
    </row>
    <row r="625" spans="1:25">
      <c r="A625" s="219">
        <v>12</v>
      </c>
      <c r="B625" s="220" t="str">
        <f>VLOOKUP(Tabel10[[#This Row],[Code]],Ruimtegroepen[[Code]:[Ruimte omschrijving]],2,FALSE)</f>
        <v>Kantine/Aula</v>
      </c>
      <c r="C625" s="221" t="s">
        <v>801</v>
      </c>
      <c r="D625" s="220" t="s">
        <v>1</v>
      </c>
      <c r="E625" s="221" t="s">
        <v>102</v>
      </c>
      <c r="F625" s="221" t="s">
        <v>805</v>
      </c>
      <c r="G625" s="226" t="s">
        <v>281</v>
      </c>
      <c r="H625" s="222" t="s">
        <v>281</v>
      </c>
      <c r="I625" s="222" t="s">
        <v>2</v>
      </c>
      <c r="J625" s="222" t="s">
        <v>281</v>
      </c>
      <c r="K625" s="222" t="s">
        <v>2</v>
      </c>
      <c r="L625" s="222" t="s">
        <v>281</v>
      </c>
      <c r="M625" s="222" t="s">
        <v>281</v>
      </c>
      <c r="N625" s="222" t="s">
        <v>281</v>
      </c>
      <c r="O625" s="223" t="s">
        <v>2</v>
      </c>
      <c r="P625" s="223" t="s">
        <v>2</v>
      </c>
      <c r="Q625" s="223" t="s">
        <v>15</v>
      </c>
      <c r="R625" s="223" t="s">
        <v>15</v>
      </c>
      <c r="S625" s="223" t="s">
        <v>16</v>
      </c>
      <c r="T625" s="223" t="s">
        <v>328</v>
      </c>
      <c r="U625" s="223" t="s">
        <v>248</v>
      </c>
      <c r="V625" s="223" t="s">
        <v>281</v>
      </c>
      <c r="W625" s="224" t="s">
        <v>281</v>
      </c>
      <c r="X625" s="224" t="s">
        <v>281</v>
      </c>
      <c r="Y625" s="225" t="s">
        <v>281</v>
      </c>
    </row>
    <row r="626" spans="1:25">
      <c r="A626" s="219">
        <v>12</v>
      </c>
      <c r="B626" s="220" t="str">
        <f>VLOOKUP(Tabel10[[#This Row],[Code]],Ruimtegroepen[[Code]:[Ruimte omschrijving]],2,FALSE)</f>
        <v>Kantine/Aula</v>
      </c>
      <c r="C626" s="221" t="s">
        <v>801</v>
      </c>
      <c r="D626" s="220" t="s">
        <v>1</v>
      </c>
      <c r="E626" s="221" t="s">
        <v>99</v>
      </c>
      <c r="F626" s="221" t="s">
        <v>803</v>
      </c>
      <c r="G626" s="226" t="s">
        <v>281</v>
      </c>
      <c r="H626" s="222" t="s">
        <v>2</v>
      </c>
      <c r="I626" s="222" t="s">
        <v>281</v>
      </c>
      <c r="J626" s="222" t="s">
        <v>281</v>
      </c>
      <c r="K626" s="222" t="s">
        <v>281</v>
      </c>
      <c r="L626" s="222" t="s">
        <v>281</v>
      </c>
      <c r="M626" s="222" t="s">
        <v>281</v>
      </c>
      <c r="N626" s="222" t="s">
        <v>281</v>
      </c>
      <c r="O626" s="223" t="s">
        <v>2</v>
      </c>
      <c r="P626" s="223" t="s">
        <v>2</v>
      </c>
      <c r="Q626" s="223" t="s">
        <v>15</v>
      </c>
      <c r="R626" s="223" t="s">
        <v>15</v>
      </c>
      <c r="S626" s="223" t="s">
        <v>16</v>
      </c>
      <c r="T626" s="223" t="s">
        <v>328</v>
      </c>
      <c r="U626" s="223" t="s">
        <v>248</v>
      </c>
      <c r="V626" s="223" t="s">
        <v>281</v>
      </c>
      <c r="W626" s="224" t="s">
        <v>281</v>
      </c>
      <c r="X626" s="224" t="s">
        <v>281</v>
      </c>
      <c r="Y626" s="225" t="s">
        <v>281</v>
      </c>
    </row>
    <row r="627" spans="1:25">
      <c r="A627" s="219">
        <v>12</v>
      </c>
      <c r="B627" s="220" t="str">
        <f>VLOOKUP(Tabel10[[#This Row],[Code]],Ruimtegroepen[[Code]:[Ruimte omschrijving]],2,FALSE)</f>
        <v>Kantine/Aula</v>
      </c>
      <c r="C627" s="221" t="s">
        <v>801</v>
      </c>
      <c r="D627" s="220" t="s">
        <v>1</v>
      </c>
      <c r="E627" s="221" t="s">
        <v>1309</v>
      </c>
      <c r="F627" s="221" t="s">
        <v>1469</v>
      </c>
      <c r="G627" s="226" t="s">
        <v>281</v>
      </c>
      <c r="H627" s="222" t="s">
        <v>281</v>
      </c>
      <c r="I627" s="222" t="s">
        <v>2</v>
      </c>
      <c r="J627" s="222" t="s">
        <v>281</v>
      </c>
      <c r="K627" s="222" t="s">
        <v>2</v>
      </c>
      <c r="L627" s="222" t="s">
        <v>281</v>
      </c>
      <c r="M627" s="222" t="s">
        <v>281</v>
      </c>
      <c r="N627" s="222" t="s">
        <v>281</v>
      </c>
      <c r="O627" s="223" t="s">
        <v>2</v>
      </c>
      <c r="P627" s="223" t="s">
        <v>2</v>
      </c>
      <c r="Q627" s="223" t="s">
        <v>15</v>
      </c>
      <c r="R627" s="223" t="s">
        <v>15</v>
      </c>
      <c r="S627" s="223" t="s">
        <v>16</v>
      </c>
      <c r="T627" s="223" t="s">
        <v>328</v>
      </c>
      <c r="U627" s="223" t="s">
        <v>248</v>
      </c>
      <c r="V627" s="223" t="s">
        <v>281</v>
      </c>
      <c r="W627" s="224" t="s">
        <v>281</v>
      </c>
      <c r="X627" s="224" t="s">
        <v>281</v>
      </c>
      <c r="Y627" s="225" t="s">
        <v>281</v>
      </c>
    </row>
    <row r="628" spans="1:25">
      <c r="A628" s="219">
        <v>12</v>
      </c>
      <c r="B628" s="220" t="str">
        <f>VLOOKUP(Tabel10[[#This Row],[Code]],Ruimtegroepen[[Code]:[Ruimte omschrijving]],2,FALSE)</f>
        <v>Kantine/Aula</v>
      </c>
      <c r="C628" s="221" t="s">
        <v>806</v>
      </c>
      <c r="D628" s="220" t="s">
        <v>21</v>
      </c>
      <c r="E628" s="221" t="s">
        <v>100</v>
      </c>
      <c r="F628" s="221" t="s">
        <v>807</v>
      </c>
      <c r="G628" s="226" t="s">
        <v>281</v>
      </c>
      <c r="H628" s="222" t="s">
        <v>281</v>
      </c>
      <c r="I628" s="222" t="s">
        <v>281</v>
      </c>
      <c r="J628" s="222" t="s">
        <v>20</v>
      </c>
      <c r="K628" s="222" t="s">
        <v>281</v>
      </c>
      <c r="L628" s="222" t="s">
        <v>281</v>
      </c>
      <c r="M628" s="222" t="s">
        <v>281</v>
      </c>
      <c r="N628" s="222" t="s">
        <v>281</v>
      </c>
      <c r="O628" s="223" t="s">
        <v>20</v>
      </c>
      <c r="P628" s="223" t="s">
        <v>20</v>
      </c>
      <c r="Q628" s="223" t="s">
        <v>15</v>
      </c>
      <c r="R628" s="223" t="s">
        <v>15</v>
      </c>
      <c r="S628" s="223" t="s">
        <v>16</v>
      </c>
      <c r="T628" s="223" t="s">
        <v>328</v>
      </c>
      <c r="U628" s="223" t="s">
        <v>248</v>
      </c>
      <c r="V628" s="223" t="s">
        <v>281</v>
      </c>
      <c r="W628" s="224" t="s">
        <v>281</v>
      </c>
      <c r="X628" s="224" t="s">
        <v>281</v>
      </c>
      <c r="Y628" s="225" t="s">
        <v>281</v>
      </c>
    </row>
    <row r="629" spans="1:25">
      <c r="A629" s="219">
        <v>12</v>
      </c>
      <c r="B629" s="220" t="str">
        <f>VLOOKUP(Tabel10[[#This Row],[Code]],Ruimtegroepen[[Code]:[Ruimte omschrijving]],2,FALSE)</f>
        <v>Kantine/Aula</v>
      </c>
      <c r="C629" s="221" t="s">
        <v>806</v>
      </c>
      <c r="D629" s="220" t="s">
        <v>21</v>
      </c>
      <c r="E629" s="221" t="s">
        <v>99</v>
      </c>
      <c r="F629" s="221" t="s">
        <v>808</v>
      </c>
      <c r="G629" s="226" t="s">
        <v>281</v>
      </c>
      <c r="H629" s="222" t="s">
        <v>20</v>
      </c>
      <c r="I629" s="222" t="s">
        <v>281</v>
      </c>
      <c r="J629" s="222" t="s">
        <v>281</v>
      </c>
      <c r="K629" s="222" t="s">
        <v>281</v>
      </c>
      <c r="L629" s="222" t="s">
        <v>281</v>
      </c>
      <c r="M629" s="222" t="s">
        <v>281</v>
      </c>
      <c r="N629" s="222" t="s">
        <v>281</v>
      </c>
      <c r="O629" s="223" t="s">
        <v>20</v>
      </c>
      <c r="P629" s="223" t="s">
        <v>20</v>
      </c>
      <c r="Q629" s="223" t="s">
        <v>15</v>
      </c>
      <c r="R629" s="223" t="s">
        <v>15</v>
      </c>
      <c r="S629" s="223" t="s">
        <v>16</v>
      </c>
      <c r="T629" s="223" t="s">
        <v>328</v>
      </c>
      <c r="U629" s="223" t="s">
        <v>248</v>
      </c>
      <c r="V629" s="223" t="s">
        <v>281</v>
      </c>
      <c r="W629" s="224" t="s">
        <v>281</v>
      </c>
      <c r="X629" s="224" t="s">
        <v>281</v>
      </c>
      <c r="Y629" s="225" t="s">
        <v>281</v>
      </c>
    </row>
    <row r="630" spans="1:25">
      <c r="A630" s="219">
        <v>12</v>
      </c>
      <c r="B630" s="220" t="str">
        <f>VLOOKUP(Tabel10[[#This Row],[Code]],Ruimtegroepen[[Code]:[Ruimte omschrijving]],2,FALSE)</f>
        <v>Kantine/Aula</v>
      </c>
      <c r="C630" s="221" t="s">
        <v>806</v>
      </c>
      <c r="D630" s="220" t="s">
        <v>21</v>
      </c>
      <c r="E630" s="221" t="s">
        <v>101</v>
      </c>
      <c r="F630" s="221" t="s">
        <v>809</v>
      </c>
      <c r="G630" s="226" t="s">
        <v>281</v>
      </c>
      <c r="H630" s="222" t="s">
        <v>281</v>
      </c>
      <c r="I630" s="222" t="s">
        <v>20</v>
      </c>
      <c r="J630" s="222" t="s">
        <v>281</v>
      </c>
      <c r="K630" s="222" t="s">
        <v>20</v>
      </c>
      <c r="L630" s="222" t="s">
        <v>281</v>
      </c>
      <c r="M630" s="222" t="s">
        <v>281</v>
      </c>
      <c r="N630" s="222" t="s">
        <v>281</v>
      </c>
      <c r="O630" s="223" t="s">
        <v>20</v>
      </c>
      <c r="P630" s="223" t="s">
        <v>20</v>
      </c>
      <c r="Q630" s="223" t="s">
        <v>15</v>
      </c>
      <c r="R630" s="223" t="s">
        <v>15</v>
      </c>
      <c r="S630" s="223" t="s">
        <v>16</v>
      </c>
      <c r="T630" s="223" t="s">
        <v>328</v>
      </c>
      <c r="U630" s="223" t="s">
        <v>248</v>
      </c>
      <c r="V630" s="223" t="s">
        <v>281</v>
      </c>
      <c r="W630" s="224" t="s">
        <v>281</v>
      </c>
      <c r="X630" s="224" t="s">
        <v>281</v>
      </c>
      <c r="Y630" s="225" t="s">
        <v>281</v>
      </c>
    </row>
    <row r="631" spans="1:25">
      <c r="A631" s="219">
        <v>12</v>
      </c>
      <c r="B631" s="220" t="str">
        <f>VLOOKUP(Tabel10[[#This Row],[Code]],Ruimtegroepen[[Code]:[Ruimte omschrijving]],2,FALSE)</f>
        <v>Kantine/Aula</v>
      </c>
      <c r="C631" s="221" t="s">
        <v>806</v>
      </c>
      <c r="D631" s="220" t="s">
        <v>21</v>
      </c>
      <c r="E631" s="221" t="s">
        <v>102</v>
      </c>
      <c r="F631" s="221" t="s">
        <v>810</v>
      </c>
      <c r="G631" s="226" t="s">
        <v>281</v>
      </c>
      <c r="H631" s="222" t="s">
        <v>281</v>
      </c>
      <c r="I631" s="222" t="s">
        <v>20</v>
      </c>
      <c r="J631" s="222" t="s">
        <v>281</v>
      </c>
      <c r="K631" s="222" t="s">
        <v>20</v>
      </c>
      <c r="L631" s="222" t="s">
        <v>281</v>
      </c>
      <c r="M631" s="222" t="s">
        <v>281</v>
      </c>
      <c r="N631" s="222" t="s">
        <v>281</v>
      </c>
      <c r="O631" s="223" t="s">
        <v>20</v>
      </c>
      <c r="P631" s="223" t="s">
        <v>20</v>
      </c>
      <c r="Q631" s="223" t="s">
        <v>15</v>
      </c>
      <c r="R631" s="223" t="s">
        <v>15</v>
      </c>
      <c r="S631" s="223" t="s">
        <v>16</v>
      </c>
      <c r="T631" s="223" t="s">
        <v>328</v>
      </c>
      <c r="U631" s="223" t="s">
        <v>248</v>
      </c>
      <c r="V631" s="223" t="s">
        <v>281</v>
      </c>
      <c r="W631" s="224" t="s">
        <v>281</v>
      </c>
      <c r="X631" s="224" t="s">
        <v>281</v>
      </c>
      <c r="Y631" s="225" t="s">
        <v>281</v>
      </c>
    </row>
    <row r="632" spans="1:25">
      <c r="A632" s="219">
        <v>12</v>
      </c>
      <c r="B632" s="220" t="str">
        <f>VLOOKUP(Tabel10[[#This Row],[Code]],Ruimtegroepen[[Code]:[Ruimte omschrijving]],2,FALSE)</f>
        <v>Kantine/Aula</v>
      </c>
      <c r="C632" s="221" t="s">
        <v>806</v>
      </c>
      <c r="D632" s="220" t="s">
        <v>21</v>
      </c>
      <c r="E632" s="221" t="s">
        <v>99</v>
      </c>
      <c r="F632" s="221" t="s">
        <v>808</v>
      </c>
      <c r="G632" s="226" t="s">
        <v>281</v>
      </c>
      <c r="H632" s="222" t="s">
        <v>20</v>
      </c>
      <c r="I632" s="222" t="s">
        <v>281</v>
      </c>
      <c r="J632" s="222" t="s">
        <v>281</v>
      </c>
      <c r="K632" s="222" t="s">
        <v>281</v>
      </c>
      <c r="L632" s="222" t="s">
        <v>281</v>
      </c>
      <c r="M632" s="222" t="s">
        <v>281</v>
      </c>
      <c r="N632" s="222" t="s">
        <v>281</v>
      </c>
      <c r="O632" s="223" t="s">
        <v>20</v>
      </c>
      <c r="P632" s="223" t="s">
        <v>20</v>
      </c>
      <c r="Q632" s="223" t="s">
        <v>15</v>
      </c>
      <c r="R632" s="223" t="s">
        <v>15</v>
      </c>
      <c r="S632" s="223" t="s">
        <v>16</v>
      </c>
      <c r="T632" s="223" t="s">
        <v>328</v>
      </c>
      <c r="U632" s="223" t="s">
        <v>248</v>
      </c>
      <c r="V632" s="223" t="s">
        <v>281</v>
      </c>
      <c r="W632" s="224" t="s">
        <v>281</v>
      </c>
      <c r="X632" s="224" t="s">
        <v>281</v>
      </c>
      <c r="Y632" s="225" t="s">
        <v>281</v>
      </c>
    </row>
    <row r="633" spans="1:25">
      <c r="A633" s="219">
        <v>12</v>
      </c>
      <c r="B633" s="220" t="str">
        <f>VLOOKUP(Tabel10[[#This Row],[Code]],Ruimtegroepen[[Code]:[Ruimte omschrijving]],2,FALSE)</f>
        <v>Kantine/Aula</v>
      </c>
      <c r="C633" s="221" t="s">
        <v>806</v>
      </c>
      <c r="D633" s="220" t="s">
        <v>21</v>
      </c>
      <c r="E633" s="221" t="s">
        <v>1309</v>
      </c>
      <c r="F633" s="221" t="s">
        <v>1452</v>
      </c>
      <c r="G633" s="226" t="s">
        <v>281</v>
      </c>
      <c r="H633" s="222" t="s">
        <v>281</v>
      </c>
      <c r="I633" s="222" t="s">
        <v>20</v>
      </c>
      <c r="J633" s="222" t="s">
        <v>281</v>
      </c>
      <c r="K633" s="222" t="s">
        <v>20</v>
      </c>
      <c r="L633" s="222" t="s">
        <v>281</v>
      </c>
      <c r="M633" s="222" t="s">
        <v>281</v>
      </c>
      <c r="N633" s="222" t="s">
        <v>281</v>
      </c>
      <c r="O633" s="223" t="s">
        <v>20</v>
      </c>
      <c r="P633" s="223" t="s">
        <v>20</v>
      </c>
      <c r="Q633" s="223" t="s">
        <v>15</v>
      </c>
      <c r="R633" s="223" t="s">
        <v>15</v>
      </c>
      <c r="S633" s="223" t="s">
        <v>16</v>
      </c>
      <c r="T633" s="223" t="s">
        <v>328</v>
      </c>
      <c r="U633" s="223" t="s">
        <v>248</v>
      </c>
      <c r="V633" s="223" t="s">
        <v>281</v>
      </c>
      <c r="W633" s="224" t="s">
        <v>281</v>
      </c>
      <c r="X633" s="224" t="s">
        <v>281</v>
      </c>
      <c r="Y633" s="225" t="s">
        <v>281</v>
      </c>
    </row>
    <row r="634" spans="1:25">
      <c r="A634" s="219">
        <v>12</v>
      </c>
      <c r="B634" s="220" t="str">
        <f>VLOOKUP(Tabel10[[#This Row],[Code]],Ruimtegroepen[[Code]:[Ruimte omschrijving]],2,FALSE)</f>
        <v>Kantine/Aula</v>
      </c>
      <c r="C634" s="221" t="s">
        <v>811</v>
      </c>
      <c r="D634" s="220" t="s">
        <v>12</v>
      </c>
      <c r="E634" s="221" t="s">
        <v>100</v>
      </c>
      <c r="F634" s="221" t="s">
        <v>812</v>
      </c>
      <c r="G634" s="226" t="s">
        <v>281</v>
      </c>
      <c r="H634" s="222" t="s">
        <v>281</v>
      </c>
      <c r="I634" s="222" t="s">
        <v>281</v>
      </c>
      <c r="J634" s="222" t="s">
        <v>18</v>
      </c>
      <c r="K634" s="222" t="s">
        <v>281</v>
      </c>
      <c r="L634" s="222" t="s">
        <v>281</v>
      </c>
      <c r="M634" s="222" t="s">
        <v>281</v>
      </c>
      <c r="N634" s="222" t="s">
        <v>281</v>
      </c>
      <c r="O634" s="223" t="s">
        <v>18</v>
      </c>
      <c r="P634" s="223" t="s">
        <v>18</v>
      </c>
      <c r="Q634" s="223" t="s">
        <v>15</v>
      </c>
      <c r="R634" s="223" t="s">
        <v>15</v>
      </c>
      <c r="S634" s="223" t="s">
        <v>16</v>
      </c>
      <c r="T634" s="223" t="s">
        <v>328</v>
      </c>
      <c r="U634" s="223" t="s">
        <v>248</v>
      </c>
      <c r="V634" s="223" t="s">
        <v>281</v>
      </c>
      <c r="W634" s="224" t="s">
        <v>281</v>
      </c>
      <c r="X634" s="224" t="s">
        <v>281</v>
      </c>
      <c r="Y634" s="225" t="s">
        <v>281</v>
      </c>
    </row>
    <row r="635" spans="1:25">
      <c r="A635" s="219">
        <v>12</v>
      </c>
      <c r="B635" s="220" t="str">
        <f>VLOOKUP(Tabel10[[#This Row],[Code]],Ruimtegroepen[[Code]:[Ruimte omschrijving]],2,FALSE)</f>
        <v>Kantine/Aula</v>
      </c>
      <c r="C635" s="221" t="s">
        <v>811</v>
      </c>
      <c r="D635" s="220" t="s">
        <v>12</v>
      </c>
      <c r="E635" s="221" t="s">
        <v>99</v>
      </c>
      <c r="F635" s="221" t="s">
        <v>813</v>
      </c>
      <c r="G635" s="226" t="s">
        <v>281</v>
      </c>
      <c r="H635" s="222" t="s">
        <v>18</v>
      </c>
      <c r="I635" s="222" t="s">
        <v>281</v>
      </c>
      <c r="J635" s="222" t="s">
        <v>281</v>
      </c>
      <c r="K635" s="222" t="s">
        <v>281</v>
      </c>
      <c r="L635" s="222" t="s">
        <v>281</v>
      </c>
      <c r="M635" s="222" t="s">
        <v>281</v>
      </c>
      <c r="N635" s="222" t="s">
        <v>281</v>
      </c>
      <c r="O635" s="223" t="s">
        <v>18</v>
      </c>
      <c r="P635" s="223" t="s">
        <v>18</v>
      </c>
      <c r="Q635" s="223" t="s">
        <v>15</v>
      </c>
      <c r="R635" s="223" t="s">
        <v>15</v>
      </c>
      <c r="S635" s="223" t="s">
        <v>16</v>
      </c>
      <c r="T635" s="223" t="s">
        <v>328</v>
      </c>
      <c r="U635" s="223" t="s">
        <v>248</v>
      </c>
      <c r="V635" s="223" t="s">
        <v>281</v>
      </c>
      <c r="W635" s="224" t="s">
        <v>281</v>
      </c>
      <c r="X635" s="224" t="s">
        <v>281</v>
      </c>
      <c r="Y635" s="225" t="s">
        <v>281</v>
      </c>
    </row>
    <row r="636" spans="1:25">
      <c r="A636" s="219">
        <v>12</v>
      </c>
      <c r="B636" s="220" t="str">
        <f>VLOOKUP(Tabel10[[#This Row],[Code]],Ruimtegroepen[[Code]:[Ruimte omschrijving]],2,FALSE)</f>
        <v>Kantine/Aula</v>
      </c>
      <c r="C636" s="221" t="s">
        <v>811</v>
      </c>
      <c r="D636" s="220" t="s">
        <v>12</v>
      </c>
      <c r="E636" s="221" t="s">
        <v>101</v>
      </c>
      <c r="F636" s="221" t="s">
        <v>814</v>
      </c>
      <c r="G636" s="226" t="s">
        <v>281</v>
      </c>
      <c r="H636" s="222" t="s">
        <v>281</v>
      </c>
      <c r="I636" s="222" t="s">
        <v>18</v>
      </c>
      <c r="J636" s="222" t="s">
        <v>281</v>
      </c>
      <c r="K636" s="222" t="s">
        <v>18</v>
      </c>
      <c r="L636" s="222" t="s">
        <v>281</v>
      </c>
      <c r="M636" s="222" t="s">
        <v>281</v>
      </c>
      <c r="N636" s="222" t="s">
        <v>281</v>
      </c>
      <c r="O636" s="223" t="s">
        <v>18</v>
      </c>
      <c r="P636" s="223" t="s">
        <v>18</v>
      </c>
      <c r="Q636" s="223" t="s">
        <v>15</v>
      </c>
      <c r="R636" s="223" t="s">
        <v>15</v>
      </c>
      <c r="S636" s="223" t="s">
        <v>16</v>
      </c>
      <c r="T636" s="223" t="s">
        <v>328</v>
      </c>
      <c r="U636" s="223" t="s">
        <v>248</v>
      </c>
      <c r="V636" s="223" t="s">
        <v>281</v>
      </c>
      <c r="W636" s="224" t="s">
        <v>281</v>
      </c>
      <c r="X636" s="224" t="s">
        <v>281</v>
      </c>
      <c r="Y636" s="225" t="s">
        <v>281</v>
      </c>
    </row>
    <row r="637" spans="1:25">
      <c r="A637" s="219">
        <v>12</v>
      </c>
      <c r="B637" s="220" t="str">
        <f>VLOOKUP(Tabel10[[#This Row],[Code]],Ruimtegroepen[[Code]:[Ruimte omschrijving]],2,FALSE)</f>
        <v>Kantine/Aula</v>
      </c>
      <c r="C637" s="221" t="s">
        <v>811</v>
      </c>
      <c r="D637" s="220" t="s">
        <v>12</v>
      </c>
      <c r="E637" s="221" t="s">
        <v>102</v>
      </c>
      <c r="F637" s="221" t="s">
        <v>815</v>
      </c>
      <c r="G637" s="226" t="s">
        <v>281</v>
      </c>
      <c r="H637" s="222" t="s">
        <v>281</v>
      </c>
      <c r="I637" s="222" t="s">
        <v>18</v>
      </c>
      <c r="J637" s="222" t="s">
        <v>281</v>
      </c>
      <c r="K637" s="222" t="s">
        <v>18</v>
      </c>
      <c r="L637" s="222" t="s">
        <v>281</v>
      </c>
      <c r="M637" s="222" t="s">
        <v>281</v>
      </c>
      <c r="N637" s="222" t="s">
        <v>281</v>
      </c>
      <c r="O637" s="223" t="s">
        <v>18</v>
      </c>
      <c r="P637" s="223" t="s">
        <v>18</v>
      </c>
      <c r="Q637" s="223" t="s">
        <v>15</v>
      </c>
      <c r="R637" s="223" t="s">
        <v>15</v>
      </c>
      <c r="S637" s="223" t="s">
        <v>16</v>
      </c>
      <c r="T637" s="223" t="s">
        <v>328</v>
      </c>
      <c r="U637" s="223" t="s">
        <v>248</v>
      </c>
      <c r="V637" s="223" t="s">
        <v>281</v>
      </c>
      <c r="W637" s="224" t="s">
        <v>281</v>
      </c>
      <c r="X637" s="224" t="s">
        <v>281</v>
      </c>
      <c r="Y637" s="225" t="s">
        <v>281</v>
      </c>
    </row>
    <row r="638" spans="1:25">
      <c r="A638" s="219">
        <v>12</v>
      </c>
      <c r="B638" s="220" t="str">
        <f>VLOOKUP(Tabel10[[#This Row],[Code]],Ruimtegroepen[[Code]:[Ruimte omschrijving]],2,FALSE)</f>
        <v>Kantine/Aula</v>
      </c>
      <c r="C638" s="221" t="s">
        <v>811</v>
      </c>
      <c r="D638" s="220" t="s">
        <v>12</v>
      </c>
      <c r="E638" s="221" t="s">
        <v>99</v>
      </c>
      <c r="F638" s="221" t="s">
        <v>813</v>
      </c>
      <c r="G638" s="226" t="s">
        <v>281</v>
      </c>
      <c r="H638" s="222" t="s">
        <v>18</v>
      </c>
      <c r="I638" s="222" t="s">
        <v>281</v>
      </c>
      <c r="J638" s="222" t="s">
        <v>281</v>
      </c>
      <c r="K638" s="222" t="s">
        <v>281</v>
      </c>
      <c r="L638" s="222" t="s">
        <v>281</v>
      </c>
      <c r="M638" s="222" t="s">
        <v>281</v>
      </c>
      <c r="N638" s="222" t="s">
        <v>281</v>
      </c>
      <c r="O638" s="223" t="s">
        <v>18</v>
      </c>
      <c r="P638" s="223" t="s">
        <v>18</v>
      </c>
      <c r="Q638" s="223" t="s">
        <v>15</v>
      </c>
      <c r="R638" s="223" t="s">
        <v>15</v>
      </c>
      <c r="S638" s="223" t="s">
        <v>16</v>
      </c>
      <c r="T638" s="223" t="s">
        <v>328</v>
      </c>
      <c r="U638" s="223" t="s">
        <v>248</v>
      </c>
      <c r="V638" s="223" t="s">
        <v>281</v>
      </c>
      <c r="W638" s="224" t="s">
        <v>281</v>
      </c>
      <c r="X638" s="224" t="s">
        <v>281</v>
      </c>
      <c r="Y638" s="225" t="s">
        <v>281</v>
      </c>
    </row>
    <row r="639" spans="1:25">
      <c r="A639" s="219">
        <v>12</v>
      </c>
      <c r="B639" s="220" t="str">
        <f>VLOOKUP(Tabel10[[#This Row],[Code]],Ruimtegroepen[[Code]:[Ruimte omschrijving]],2,FALSE)</f>
        <v>Kantine/Aula</v>
      </c>
      <c r="C639" s="221" t="s">
        <v>811</v>
      </c>
      <c r="D639" s="220" t="s">
        <v>12</v>
      </c>
      <c r="E639" s="221" t="s">
        <v>1309</v>
      </c>
      <c r="F639" s="221" t="s">
        <v>1434</v>
      </c>
      <c r="G639" s="226" t="s">
        <v>281</v>
      </c>
      <c r="H639" s="222" t="s">
        <v>281</v>
      </c>
      <c r="I639" s="222" t="s">
        <v>18</v>
      </c>
      <c r="J639" s="222" t="s">
        <v>281</v>
      </c>
      <c r="K639" s="222" t="s">
        <v>18</v>
      </c>
      <c r="L639" s="222" t="s">
        <v>281</v>
      </c>
      <c r="M639" s="222" t="s">
        <v>281</v>
      </c>
      <c r="N639" s="222" t="s">
        <v>281</v>
      </c>
      <c r="O639" s="223" t="s">
        <v>18</v>
      </c>
      <c r="P639" s="223" t="s">
        <v>18</v>
      </c>
      <c r="Q639" s="223" t="s">
        <v>15</v>
      </c>
      <c r="R639" s="223" t="s">
        <v>15</v>
      </c>
      <c r="S639" s="223" t="s">
        <v>16</v>
      </c>
      <c r="T639" s="223" t="s">
        <v>328</v>
      </c>
      <c r="U639" s="223" t="s">
        <v>248</v>
      </c>
      <c r="V639" s="223" t="s">
        <v>281</v>
      </c>
      <c r="W639" s="224" t="s">
        <v>281</v>
      </c>
      <c r="X639" s="224" t="s">
        <v>281</v>
      </c>
      <c r="Y639" s="225" t="s">
        <v>281</v>
      </c>
    </row>
    <row r="640" spans="1:25">
      <c r="A640" s="219">
        <v>12</v>
      </c>
      <c r="B640" s="220" t="str">
        <f>VLOOKUP(Tabel10[[#This Row],[Code]],Ruimtegroepen[[Code]:[Ruimte omschrijving]],2,FALSE)</f>
        <v>Kantine/Aula</v>
      </c>
      <c r="C640" s="221" t="s">
        <v>816</v>
      </c>
      <c r="D640" s="220" t="s">
        <v>14</v>
      </c>
      <c r="E640" s="221" t="s">
        <v>100</v>
      </c>
      <c r="F640" s="221" t="s">
        <v>817</v>
      </c>
      <c r="G640" s="226" t="s">
        <v>281</v>
      </c>
      <c r="H640" s="222" t="s">
        <v>281</v>
      </c>
      <c r="I640" s="222" t="s">
        <v>281</v>
      </c>
      <c r="J640" s="222" t="s">
        <v>17</v>
      </c>
      <c r="K640" s="222" t="s">
        <v>281</v>
      </c>
      <c r="L640" s="222" t="s">
        <v>281</v>
      </c>
      <c r="M640" s="222" t="s">
        <v>281</v>
      </c>
      <c r="N640" s="222" t="s">
        <v>281</v>
      </c>
      <c r="O640" s="223" t="s">
        <v>17</v>
      </c>
      <c r="P640" s="223" t="s">
        <v>17</v>
      </c>
      <c r="Q640" s="223" t="s">
        <v>15</v>
      </c>
      <c r="R640" s="223" t="s">
        <v>15</v>
      </c>
      <c r="S640" s="223" t="s">
        <v>16</v>
      </c>
      <c r="T640" s="223" t="s">
        <v>328</v>
      </c>
      <c r="U640" s="223" t="s">
        <v>248</v>
      </c>
      <c r="V640" s="223" t="s">
        <v>281</v>
      </c>
      <c r="W640" s="224" t="s">
        <v>281</v>
      </c>
      <c r="X640" s="224" t="s">
        <v>281</v>
      </c>
      <c r="Y640" s="225" t="s">
        <v>281</v>
      </c>
    </row>
    <row r="641" spans="1:25">
      <c r="A641" s="219">
        <v>12</v>
      </c>
      <c r="B641" s="220" t="str">
        <f>VLOOKUP(Tabel10[[#This Row],[Code]],Ruimtegroepen[[Code]:[Ruimte omschrijving]],2,FALSE)</f>
        <v>Kantine/Aula</v>
      </c>
      <c r="C641" s="221" t="s">
        <v>816</v>
      </c>
      <c r="D641" s="220" t="s">
        <v>14</v>
      </c>
      <c r="E641" s="221" t="s">
        <v>99</v>
      </c>
      <c r="F641" s="221" t="s">
        <v>818</v>
      </c>
      <c r="G641" s="226" t="s">
        <v>281</v>
      </c>
      <c r="H641" s="222" t="s">
        <v>17</v>
      </c>
      <c r="I641" s="222" t="s">
        <v>281</v>
      </c>
      <c r="J641" s="222" t="s">
        <v>281</v>
      </c>
      <c r="K641" s="222" t="s">
        <v>281</v>
      </c>
      <c r="L641" s="222" t="s">
        <v>281</v>
      </c>
      <c r="M641" s="222" t="s">
        <v>281</v>
      </c>
      <c r="N641" s="222" t="s">
        <v>281</v>
      </c>
      <c r="O641" s="223" t="s">
        <v>17</v>
      </c>
      <c r="P641" s="223" t="s">
        <v>17</v>
      </c>
      <c r="Q641" s="223" t="s">
        <v>15</v>
      </c>
      <c r="R641" s="223" t="s">
        <v>15</v>
      </c>
      <c r="S641" s="223" t="s">
        <v>16</v>
      </c>
      <c r="T641" s="223" t="s">
        <v>328</v>
      </c>
      <c r="U641" s="223" t="s">
        <v>248</v>
      </c>
      <c r="V641" s="223" t="s">
        <v>281</v>
      </c>
      <c r="W641" s="224" t="s">
        <v>281</v>
      </c>
      <c r="X641" s="224" t="s">
        <v>281</v>
      </c>
      <c r="Y641" s="225" t="s">
        <v>281</v>
      </c>
    </row>
    <row r="642" spans="1:25">
      <c r="A642" s="219">
        <v>12</v>
      </c>
      <c r="B642" s="220" t="str">
        <f>VLOOKUP(Tabel10[[#This Row],[Code]],Ruimtegroepen[[Code]:[Ruimte omschrijving]],2,FALSE)</f>
        <v>Kantine/Aula</v>
      </c>
      <c r="C642" s="221" t="s">
        <v>816</v>
      </c>
      <c r="D642" s="220" t="s">
        <v>14</v>
      </c>
      <c r="E642" s="221" t="s">
        <v>101</v>
      </c>
      <c r="F642" s="221" t="s">
        <v>819</v>
      </c>
      <c r="G642" s="226" t="s">
        <v>281</v>
      </c>
      <c r="H642" s="222" t="s">
        <v>281</v>
      </c>
      <c r="I642" s="222" t="s">
        <v>17</v>
      </c>
      <c r="J642" s="222" t="s">
        <v>281</v>
      </c>
      <c r="K642" s="222" t="s">
        <v>17</v>
      </c>
      <c r="L642" s="222" t="s">
        <v>281</v>
      </c>
      <c r="M642" s="222" t="s">
        <v>281</v>
      </c>
      <c r="N642" s="222" t="s">
        <v>281</v>
      </c>
      <c r="O642" s="223" t="s">
        <v>17</v>
      </c>
      <c r="P642" s="223" t="s">
        <v>17</v>
      </c>
      <c r="Q642" s="223" t="s">
        <v>15</v>
      </c>
      <c r="R642" s="223" t="s">
        <v>15</v>
      </c>
      <c r="S642" s="223" t="s">
        <v>16</v>
      </c>
      <c r="T642" s="223" t="s">
        <v>328</v>
      </c>
      <c r="U642" s="223" t="s">
        <v>248</v>
      </c>
      <c r="V642" s="223" t="s">
        <v>281</v>
      </c>
      <c r="W642" s="224" t="s">
        <v>281</v>
      </c>
      <c r="X642" s="224" t="s">
        <v>281</v>
      </c>
      <c r="Y642" s="225" t="s">
        <v>281</v>
      </c>
    </row>
    <row r="643" spans="1:25">
      <c r="A643" s="219">
        <v>12</v>
      </c>
      <c r="B643" s="220" t="str">
        <f>VLOOKUP(Tabel10[[#This Row],[Code]],Ruimtegroepen[[Code]:[Ruimte omschrijving]],2,FALSE)</f>
        <v>Kantine/Aula</v>
      </c>
      <c r="C643" s="221" t="s">
        <v>816</v>
      </c>
      <c r="D643" s="220" t="s">
        <v>14</v>
      </c>
      <c r="E643" s="221" t="s">
        <v>102</v>
      </c>
      <c r="F643" s="221" t="s">
        <v>820</v>
      </c>
      <c r="G643" s="226" t="s">
        <v>281</v>
      </c>
      <c r="H643" s="222" t="s">
        <v>281</v>
      </c>
      <c r="I643" s="222" t="s">
        <v>17</v>
      </c>
      <c r="J643" s="222" t="s">
        <v>281</v>
      </c>
      <c r="K643" s="222" t="s">
        <v>17</v>
      </c>
      <c r="L643" s="222" t="s">
        <v>281</v>
      </c>
      <c r="M643" s="222" t="s">
        <v>281</v>
      </c>
      <c r="N643" s="222" t="s">
        <v>281</v>
      </c>
      <c r="O643" s="223" t="s">
        <v>17</v>
      </c>
      <c r="P643" s="223" t="s">
        <v>17</v>
      </c>
      <c r="Q643" s="223" t="s">
        <v>15</v>
      </c>
      <c r="R643" s="223" t="s">
        <v>15</v>
      </c>
      <c r="S643" s="223" t="s">
        <v>16</v>
      </c>
      <c r="T643" s="223" t="s">
        <v>328</v>
      </c>
      <c r="U643" s="223" t="s">
        <v>248</v>
      </c>
      <c r="V643" s="223" t="s">
        <v>281</v>
      </c>
      <c r="W643" s="224" t="s">
        <v>281</v>
      </c>
      <c r="X643" s="224" t="s">
        <v>281</v>
      </c>
      <c r="Y643" s="225" t="s">
        <v>281</v>
      </c>
    </row>
    <row r="644" spans="1:25">
      <c r="A644" s="219">
        <v>12</v>
      </c>
      <c r="B644" s="220" t="str">
        <f>VLOOKUP(Tabel10[[#This Row],[Code]],Ruimtegroepen[[Code]:[Ruimte omschrijving]],2,FALSE)</f>
        <v>Kantine/Aula</v>
      </c>
      <c r="C644" s="221" t="s">
        <v>816</v>
      </c>
      <c r="D644" s="220" t="s">
        <v>14</v>
      </c>
      <c r="E644" s="221" t="s">
        <v>99</v>
      </c>
      <c r="F644" s="221" t="s">
        <v>818</v>
      </c>
      <c r="G644" s="226" t="s">
        <v>281</v>
      </c>
      <c r="H644" s="222" t="s">
        <v>17</v>
      </c>
      <c r="I644" s="222" t="s">
        <v>281</v>
      </c>
      <c r="J644" s="222" t="s">
        <v>281</v>
      </c>
      <c r="K644" s="222" t="s">
        <v>281</v>
      </c>
      <c r="L644" s="222" t="s">
        <v>281</v>
      </c>
      <c r="M644" s="222" t="s">
        <v>281</v>
      </c>
      <c r="N644" s="222" t="s">
        <v>281</v>
      </c>
      <c r="O644" s="223" t="s">
        <v>17</v>
      </c>
      <c r="P644" s="223" t="s">
        <v>17</v>
      </c>
      <c r="Q644" s="223" t="s">
        <v>15</v>
      </c>
      <c r="R644" s="223" t="s">
        <v>15</v>
      </c>
      <c r="S644" s="223" t="s">
        <v>16</v>
      </c>
      <c r="T644" s="223" t="s">
        <v>328</v>
      </c>
      <c r="U644" s="223" t="s">
        <v>248</v>
      </c>
      <c r="V644" s="223" t="s">
        <v>281</v>
      </c>
      <c r="W644" s="224" t="s">
        <v>281</v>
      </c>
      <c r="X644" s="224" t="s">
        <v>281</v>
      </c>
      <c r="Y644" s="225" t="s">
        <v>281</v>
      </c>
    </row>
    <row r="645" spans="1:25">
      <c r="A645" s="219">
        <v>12</v>
      </c>
      <c r="B645" s="220" t="str">
        <f>VLOOKUP(Tabel10[[#This Row],[Code]],Ruimtegroepen[[Code]:[Ruimte omschrijving]],2,FALSE)</f>
        <v>Kantine/Aula</v>
      </c>
      <c r="C645" s="221" t="s">
        <v>816</v>
      </c>
      <c r="D645" s="220" t="s">
        <v>14</v>
      </c>
      <c r="E645" s="221" t="s">
        <v>1309</v>
      </c>
      <c r="F645" s="221" t="s">
        <v>1401</v>
      </c>
      <c r="G645" s="226" t="s">
        <v>281</v>
      </c>
      <c r="H645" s="222" t="s">
        <v>281</v>
      </c>
      <c r="I645" s="222" t="s">
        <v>17</v>
      </c>
      <c r="J645" s="222" t="s">
        <v>281</v>
      </c>
      <c r="K645" s="222" t="s">
        <v>17</v>
      </c>
      <c r="L645" s="222" t="s">
        <v>281</v>
      </c>
      <c r="M645" s="222" t="s">
        <v>281</v>
      </c>
      <c r="N645" s="222" t="s">
        <v>281</v>
      </c>
      <c r="O645" s="223" t="s">
        <v>17</v>
      </c>
      <c r="P645" s="223" t="s">
        <v>17</v>
      </c>
      <c r="Q645" s="223" t="s">
        <v>15</v>
      </c>
      <c r="R645" s="223" t="s">
        <v>15</v>
      </c>
      <c r="S645" s="223" t="s">
        <v>16</v>
      </c>
      <c r="T645" s="223" t="s">
        <v>328</v>
      </c>
      <c r="U645" s="223" t="s">
        <v>248</v>
      </c>
      <c r="V645" s="223" t="s">
        <v>281</v>
      </c>
      <c r="W645" s="224" t="s">
        <v>281</v>
      </c>
      <c r="X645" s="224" t="s">
        <v>281</v>
      </c>
      <c r="Y645" s="225" t="s">
        <v>281</v>
      </c>
    </row>
    <row r="646" spans="1:25">
      <c r="A646" s="219">
        <v>12</v>
      </c>
      <c r="B646" s="220" t="str">
        <f>VLOOKUP(Tabel10[[#This Row],[Code]],Ruimtegroepen[[Code]:[Ruimte omschrijving]],2,FALSE)</f>
        <v>Kantine/Aula</v>
      </c>
      <c r="C646" s="221" t="s">
        <v>821</v>
      </c>
      <c r="D646" s="220" t="s">
        <v>13</v>
      </c>
      <c r="E646" s="221" t="s">
        <v>100</v>
      </c>
      <c r="F646" s="221" t="s">
        <v>822</v>
      </c>
      <c r="G646" s="226" t="s">
        <v>281</v>
      </c>
      <c r="H646" s="222" t="s">
        <v>281</v>
      </c>
      <c r="I646" s="222" t="s">
        <v>281</v>
      </c>
      <c r="J646" s="222" t="s">
        <v>15</v>
      </c>
      <c r="K646" s="222" t="s">
        <v>281</v>
      </c>
      <c r="L646" s="222" t="s">
        <v>281</v>
      </c>
      <c r="M646" s="222" t="s">
        <v>281</v>
      </c>
      <c r="N646" s="222" t="s">
        <v>281</v>
      </c>
      <c r="O646" s="223" t="s">
        <v>15</v>
      </c>
      <c r="P646" s="223" t="s">
        <v>15</v>
      </c>
      <c r="Q646" s="223" t="s">
        <v>15</v>
      </c>
      <c r="R646" s="223" t="s">
        <v>15</v>
      </c>
      <c r="S646" s="223" t="s">
        <v>16</v>
      </c>
      <c r="T646" s="223" t="s">
        <v>328</v>
      </c>
      <c r="U646" s="223" t="s">
        <v>248</v>
      </c>
      <c r="V646" s="223" t="s">
        <v>281</v>
      </c>
      <c r="W646" s="224" t="s">
        <v>281</v>
      </c>
      <c r="X646" s="224" t="s">
        <v>281</v>
      </c>
      <c r="Y646" s="225" t="s">
        <v>281</v>
      </c>
    </row>
    <row r="647" spans="1:25">
      <c r="A647" s="219">
        <v>12</v>
      </c>
      <c r="B647" s="220" t="str">
        <f>VLOOKUP(Tabel10[[#This Row],[Code]],Ruimtegroepen[[Code]:[Ruimte omschrijving]],2,FALSE)</f>
        <v>Kantine/Aula</v>
      </c>
      <c r="C647" s="221" t="s">
        <v>821</v>
      </c>
      <c r="D647" s="220" t="s">
        <v>13</v>
      </c>
      <c r="E647" s="221" t="s">
        <v>99</v>
      </c>
      <c r="F647" s="221" t="s">
        <v>823</v>
      </c>
      <c r="G647" s="226" t="s">
        <v>281</v>
      </c>
      <c r="H647" s="222" t="s">
        <v>15</v>
      </c>
      <c r="I647" s="222" t="s">
        <v>281</v>
      </c>
      <c r="J647" s="222" t="s">
        <v>281</v>
      </c>
      <c r="K647" s="222" t="s">
        <v>281</v>
      </c>
      <c r="L647" s="222" t="s">
        <v>281</v>
      </c>
      <c r="M647" s="222" t="s">
        <v>281</v>
      </c>
      <c r="N647" s="222" t="s">
        <v>281</v>
      </c>
      <c r="O647" s="223" t="s">
        <v>15</v>
      </c>
      <c r="P647" s="223" t="s">
        <v>15</v>
      </c>
      <c r="Q647" s="223" t="s">
        <v>15</v>
      </c>
      <c r="R647" s="223" t="s">
        <v>15</v>
      </c>
      <c r="S647" s="223" t="s">
        <v>16</v>
      </c>
      <c r="T647" s="223" t="s">
        <v>328</v>
      </c>
      <c r="U647" s="223" t="s">
        <v>248</v>
      </c>
      <c r="V647" s="223" t="s">
        <v>281</v>
      </c>
      <c r="W647" s="224" t="s">
        <v>281</v>
      </c>
      <c r="X647" s="224" t="s">
        <v>281</v>
      </c>
      <c r="Y647" s="225" t="s">
        <v>281</v>
      </c>
    </row>
    <row r="648" spans="1:25">
      <c r="A648" s="219">
        <v>12</v>
      </c>
      <c r="B648" s="220" t="str">
        <f>VLOOKUP(Tabel10[[#This Row],[Code]],Ruimtegroepen[[Code]:[Ruimte omschrijving]],2,FALSE)</f>
        <v>Kantine/Aula</v>
      </c>
      <c r="C648" s="221" t="s">
        <v>821</v>
      </c>
      <c r="D648" s="220" t="s">
        <v>13</v>
      </c>
      <c r="E648" s="221" t="s">
        <v>101</v>
      </c>
      <c r="F648" s="221" t="s">
        <v>824</v>
      </c>
      <c r="G648" s="226" t="s">
        <v>281</v>
      </c>
      <c r="H648" s="222" t="s">
        <v>281</v>
      </c>
      <c r="I648" s="222" t="s">
        <v>15</v>
      </c>
      <c r="J648" s="222" t="s">
        <v>281</v>
      </c>
      <c r="K648" s="222" t="s">
        <v>15</v>
      </c>
      <c r="L648" s="222" t="s">
        <v>281</v>
      </c>
      <c r="M648" s="222" t="s">
        <v>281</v>
      </c>
      <c r="N648" s="222" t="s">
        <v>281</v>
      </c>
      <c r="O648" s="223" t="s">
        <v>15</v>
      </c>
      <c r="P648" s="223" t="s">
        <v>15</v>
      </c>
      <c r="Q648" s="223" t="s">
        <v>15</v>
      </c>
      <c r="R648" s="223" t="s">
        <v>15</v>
      </c>
      <c r="S648" s="223" t="s">
        <v>16</v>
      </c>
      <c r="T648" s="223" t="s">
        <v>328</v>
      </c>
      <c r="U648" s="223" t="s">
        <v>248</v>
      </c>
      <c r="V648" s="223" t="s">
        <v>281</v>
      </c>
      <c r="W648" s="224" t="s">
        <v>281</v>
      </c>
      <c r="X648" s="224" t="s">
        <v>281</v>
      </c>
      <c r="Y648" s="225" t="s">
        <v>281</v>
      </c>
    </row>
    <row r="649" spans="1:25">
      <c r="A649" s="219">
        <v>12</v>
      </c>
      <c r="B649" s="220" t="str">
        <f>VLOOKUP(Tabel10[[#This Row],[Code]],Ruimtegroepen[[Code]:[Ruimte omschrijving]],2,FALSE)</f>
        <v>Kantine/Aula</v>
      </c>
      <c r="C649" s="221" t="s">
        <v>821</v>
      </c>
      <c r="D649" s="220" t="s">
        <v>13</v>
      </c>
      <c r="E649" s="221" t="s">
        <v>102</v>
      </c>
      <c r="F649" s="221" t="s">
        <v>825</v>
      </c>
      <c r="G649" s="226" t="s">
        <v>281</v>
      </c>
      <c r="H649" s="222" t="s">
        <v>281</v>
      </c>
      <c r="I649" s="222" t="s">
        <v>15</v>
      </c>
      <c r="J649" s="222" t="s">
        <v>281</v>
      </c>
      <c r="K649" s="222" t="s">
        <v>15</v>
      </c>
      <c r="L649" s="222" t="s">
        <v>281</v>
      </c>
      <c r="M649" s="222" t="s">
        <v>281</v>
      </c>
      <c r="N649" s="222" t="s">
        <v>281</v>
      </c>
      <c r="O649" s="223" t="s">
        <v>15</v>
      </c>
      <c r="P649" s="223" t="s">
        <v>15</v>
      </c>
      <c r="Q649" s="223" t="s">
        <v>15</v>
      </c>
      <c r="R649" s="223" t="s">
        <v>15</v>
      </c>
      <c r="S649" s="223" t="s">
        <v>16</v>
      </c>
      <c r="T649" s="223" t="s">
        <v>328</v>
      </c>
      <c r="U649" s="223" t="s">
        <v>248</v>
      </c>
      <c r="V649" s="223" t="s">
        <v>281</v>
      </c>
      <c r="W649" s="224" t="s">
        <v>281</v>
      </c>
      <c r="X649" s="224" t="s">
        <v>281</v>
      </c>
      <c r="Y649" s="225" t="s">
        <v>281</v>
      </c>
    </row>
    <row r="650" spans="1:25">
      <c r="A650" s="219">
        <v>12</v>
      </c>
      <c r="B650" s="220" t="str">
        <f>VLOOKUP(Tabel10[[#This Row],[Code]],Ruimtegroepen[[Code]:[Ruimte omschrijving]],2,FALSE)</f>
        <v>Kantine/Aula</v>
      </c>
      <c r="C650" s="221" t="s">
        <v>821</v>
      </c>
      <c r="D650" s="220" t="s">
        <v>13</v>
      </c>
      <c r="E650" s="221" t="s">
        <v>99</v>
      </c>
      <c r="F650" s="221" t="s">
        <v>823</v>
      </c>
      <c r="G650" s="226" t="s">
        <v>281</v>
      </c>
      <c r="H650" s="222" t="s">
        <v>15</v>
      </c>
      <c r="I650" s="222" t="s">
        <v>281</v>
      </c>
      <c r="J650" s="222" t="s">
        <v>281</v>
      </c>
      <c r="K650" s="222" t="s">
        <v>281</v>
      </c>
      <c r="L650" s="222" t="s">
        <v>281</v>
      </c>
      <c r="M650" s="222" t="s">
        <v>281</v>
      </c>
      <c r="N650" s="222" t="s">
        <v>281</v>
      </c>
      <c r="O650" s="223" t="s">
        <v>15</v>
      </c>
      <c r="P650" s="223" t="s">
        <v>15</v>
      </c>
      <c r="Q650" s="223" t="s">
        <v>15</v>
      </c>
      <c r="R650" s="223" t="s">
        <v>15</v>
      </c>
      <c r="S650" s="223" t="s">
        <v>16</v>
      </c>
      <c r="T650" s="223" t="s">
        <v>328</v>
      </c>
      <c r="U650" s="223" t="s">
        <v>248</v>
      </c>
      <c r="V650" s="223" t="s">
        <v>281</v>
      </c>
      <c r="W650" s="224" t="s">
        <v>281</v>
      </c>
      <c r="X650" s="224" t="s">
        <v>281</v>
      </c>
      <c r="Y650" s="225" t="s">
        <v>281</v>
      </c>
    </row>
    <row r="651" spans="1:25">
      <c r="A651" s="219">
        <v>12</v>
      </c>
      <c r="B651" s="220" t="str">
        <f>VLOOKUP(Tabel10[[#This Row],[Code]],Ruimtegroepen[[Code]:[Ruimte omschrijving]],2,FALSE)</f>
        <v>Kantine/Aula</v>
      </c>
      <c r="C651" s="221" t="s">
        <v>821</v>
      </c>
      <c r="D651" s="220" t="s">
        <v>13</v>
      </c>
      <c r="E651" s="221" t="s">
        <v>1309</v>
      </c>
      <c r="F651" s="221" t="s">
        <v>1368</v>
      </c>
      <c r="G651" s="226" t="s">
        <v>281</v>
      </c>
      <c r="H651" s="222" t="s">
        <v>281</v>
      </c>
      <c r="I651" s="222" t="s">
        <v>15</v>
      </c>
      <c r="J651" s="222" t="s">
        <v>281</v>
      </c>
      <c r="K651" s="222" t="s">
        <v>15</v>
      </c>
      <c r="L651" s="222" t="s">
        <v>281</v>
      </c>
      <c r="M651" s="222" t="s">
        <v>281</v>
      </c>
      <c r="N651" s="222" t="s">
        <v>281</v>
      </c>
      <c r="O651" s="223" t="s">
        <v>15</v>
      </c>
      <c r="P651" s="223" t="s">
        <v>15</v>
      </c>
      <c r="Q651" s="223" t="s">
        <v>15</v>
      </c>
      <c r="R651" s="223" t="s">
        <v>15</v>
      </c>
      <c r="S651" s="223" t="s">
        <v>16</v>
      </c>
      <c r="T651" s="223" t="s">
        <v>328</v>
      </c>
      <c r="U651" s="223" t="s">
        <v>248</v>
      </c>
      <c r="V651" s="223" t="s">
        <v>281</v>
      </c>
      <c r="W651" s="224" t="s">
        <v>281</v>
      </c>
      <c r="X651" s="224" t="s">
        <v>281</v>
      </c>
      <c r="Y651" s="225" t="s">
        <v>281</v>
      </c>
    </row>
    <row r="652" spans="1:25">
      <c r="A652" s="219">
        <v>12</v>
      </c>
      <c r="B652" s="220" t="str">
        <f>VLOOKUP(Tabel10[[#This Row],[Code]],Ruimtegroepen[[Code]:[Ruimte omschrijving]],2,FALSE)</f>
        <v>Kantine/Aula</v>
      </c>
      <c r="C652" s="221" t="s">
        <v>826</v>
      </c>
      <c r="D652" s="220" t="s">
        <v>0</v>
      </c>
      <c r="E652" s="221" t="s">
        <v>100</v>
      </c>
      <c r="F652" s="221" t="s">
        <v>827</v>
      </c>
      <c r="G652" s="226" t="s">
        <v>281</v>
      </c>
      <c r="H652" s="222" t="s">
        <v>281</v>
      </c>
      <c r="I652" s="222" t="s">
        <v>281</v>
      </c>
      <c r="J652" s="222" t="s">
        <v>16</v>
      </c>
      <c r="K652" s="222" t="s">
        <v>281</v>
      </c>
      <c r="L652" s="222" t="s">
        <v>281</v>
      </c>
      <c r="M652" s="222" t="s">
        <v>281</v>
      </c>
      <c r="N652" s="222" t="s">
        <v>281</v>
      </c>
      <c r="O652" s="223" t="s">
        <v>16</v>
      </c>
      <c r="P652" s="223" t="s">
        <v>16</v>
      </c>
      <c r="Q652" s="223" t="s">
        <v>16</v>
      </c>
      <c r="R652" s="223" t="s">
        <v>16</v>
      </c>
      <c r="S652" s="223" t="s">
        <v>16</v>
      </c>
      <c r="T652" s="223" t="s">
        <v>328</v>
      </c>
      <c r="U652" s="223" t="s">
        <v>248</v>
      </c>
      <c r="V652" s="223" t="s">
        <v>281</v>
      </c>
      <c r="W652" s="224" t="s">
        <v>281</v>
      </c>
      <c r="X652" s="224" t="s">
        <v>281</v>
      </c>
      <c r="Y652" s="225" t="s">
        <v>281</v>
      </c>
    </row>
    <row r="653" spans="1:25">
      <c r="A653" s="219">
        <v>12</v>
      </c>
      <c r="B653" s="220" t="str">
        <f>VLOOKUP(Tabel10[[#This Row],[Code]],Ruimtegroepen[[Code]:[Ruimte omschrijving]],2,FALSE)</f>
        <v>Kantine/Aula</v>
      </c>
      <c r="C653" s="221" t="s">
        <v>826</v>
      </c>
      <c r="D653" s="220" t="s">
        <v>0</v>
      </c>
      <c r="E653" s="221" t="s">
        <v>99</v>
      </c>
      <c r="F653" s="221" t="s">
        <v>828</v>
      </c>
      <c r="G653" s="226" t="s">
        <v>281</v>
      </c>
      <c r="H653" s="222" t="s">
        <v>16</v>
      </c>
      <c r="I653" s="222" t="s">
        <v>281</v>
      </c>
      <c r="J653" s="222" t="s">
        <v>281</v>
      </c>
      <c r="K653" s="222" t="s">
        <v>281</v>
      </c>
      <c r="L653" s="222" t="s">
        <v>281</v>
      </c>
      <c r="M653" s="222" t="s">
        <v>281</v>
      </c>
      <c r="N653" s="222" t="s">
        <v>281</v>
      </c>
      <c r="O653" s="223" t="s">
        <v>16</v>
      </c>
      <c r="P653" s="223" t="s">
        <v>16</v>
      </c>
      <c r="Q653" s="223" t="s">
        <v>16</v>
      </c>
      <c r="R653" s="223" t="s">
        <v>16</v>
      </c>
      <c r="S653" s="223" t="s">
        <v>16</v>
      </c>
      <c r="T653" s="223" t="s">
        <v>328</v>
      </c>
      <c r="U653" s="223" t="s">
        <v>248</v>
      </c>
      <c r="V653" s="223" t="s">
        <v>281</v>
      </c>
      <c r="W653" s="224" t="s">
        <v>281</v>
      </c>
      <c r="X653" s="224" t="s">
        <v>281</v>
      </c>
      <c r="Y653" s="225" t="s">
        <v>281</v>
      </c>
    </row>
    <row r="654" spans="1:25">
      <c r="A654" s="219">
        <v>12</v>
      </c>
      <c r="B654" s="220" t="str">
        <f>VLOOKUP(Tabel10[[#This Row],[Code]],Ruimtegroepen[[Code]:[Ruimte omschrijving]],2,FALSE)</f>
        <v>Kantine/Aula</v>
      </c>
      <c r="C654" s="221" t="s">
        <v>826</v>
      </c>
      <c r="D654" s="220" t="s">
        <v>0</v>
      </c>
      <c r="E654" s="221" t="s">
        <v>101</v>
      </c>
      <c r="F654" s="221" t="s">
        <v>829</v>
      </c>
      <c r="G654" s="226" t="s">
        <v>281</v>
      </c>
      <c r="H654" s="222" t="s">
        <v>281</v>
      </c>
      <c r="I654" s="222" t="s">
        <v>16</v>
      </c>
      <c r="J654" s="222" t="s">
        <v>360</v>
      </c>
      <c r="K654" s="222" t="s">
        <v>16</v>
      </c>
      <c r="L654" s="222" t="s">
        <v>281</v>
      </c>
      <c r="M654" s="222" t="s">
        <v>281</v>
      </c>
      <c r="N654" s="222" t="s">
        <v>281</v>
      </c>
      <c r="O654" s="223" t="s">
        <v>16</v>
      </c>
      <c r="P654" s="223" t="s">
        <v>16</v>
      </c>
      <c r="Q654" s="223" t="s">
        <v>16</v>
      </c>
      <c r="R654" s="223" t="s">
        <v>16</v>
      </c>
      <c r="S654" s="223" t="s">
        <v>16</v>
      </c>
      <c r="T654" s="223" t="s">
        <v>328</v>
      </c>
      <c r="U654" s="223" t="s">
        <v>248</v>
      </c>
      <c r="V654" s="223" t="s">
        <v>281</v>
      </c>
      <c r="W654" s="224" t="s">
        <v>281</v>
      </c>
      <c r="X654" s="224" t="s">
        <v>281</v>
      </c>
      <c r="Y654" s="225" t="s">
        <v>281</v>
      </c>
    </row>
    <row r="655" spans="1:25">
      <c r="A655" s="219">
        <v>12</v>
      </c>
      <c r="B655" s="220" t="str">
        <f>VLOOKUP(Tabel10[[#This Row],[Code]],Ruimtegroepen[[Code]:[Ruimte omschrijving]],2,FALSE)</f>
        <v>Kantine/Aula</v>
      </c>
      <c r="C655" s="221" t="s">
        <v>826</v>
      </c>
      <c r="D655" s="220" t="s">
        <v>0</v>
      </c>
      <c r="E655" s="221" t="s">
        <v>102</v>
      </c>
      <c r="F655" s="221" t="s">
        <v>830</v>
      </c>
      <c r="G655" s="226" t="s">
        <v>281</v>
      </c>
      <c r="H655" s="222" t="s">
        <v>281</v>
      </c>
      <c r="I655" s="222" t="s">
        <v>16</v>
      </c>
      <c r="J655" s="222" t="s">
        <v>281</v>
      </c>
      <c r="K655" s="222" t="s">
        <v>16</v>
      </c>
      <c r="L655" s="222" t="s">
        <v>281</v>
      </c>
      <c r="M655" s="222" t="s">
        <v>281</v>
      </c>
      <c r="N655" s="222" t="s">
        <v>281</v>
      </c>
      <c r="O655" s="223" t="s">
        <v>16</v>
      </c>
      <c r="P655" s="223" t="s">
        <v>16</v>
      </c>
      <c r="Q655" s="223" t="s">
        <v>16</v>
      </c>
      <c r="R655" s="223" t="s">
        <v>16</v>
      </c>
      <c r="S655" s="223" t="s">
        <v>16</v>
      </c>
      <c r="T655" s="223" t="s">
        <v>328</v>
      </c>
      <c r="U655" s="223" t="s">
        <v>248</v>
      </c>
      <c r="V655" s="223" t="s">
        <v>281</v>
      </c>
      <c r="W655" s="224" t="s">
        <v>281</v>
      </c>
      <c r="X655" s="224" t="s">
        <v>281</v>
      </c>
      <c r="Y655" s="225" t="s">
        <v>281</v>
      </c>
    </row>
    <row r="656" spans="1:25">
      <c r="A656" s="219">
        <v>12</v>
      </c>
      <c r="B656" s="220" t="str">
        <f>VLOOKUP(Tabel10[[#This Row],[Code]],Ruimtegroepen[[Code]:[Ruimte omschrijving]],2,FALSE)</f>
        <v>Kantine/Aula</v>
      </c>
      <c r="C656" s="221" t="s">
        <v>826</v>
      </c>
      <c r="D656" s="220" t="s">
        <v>0</v>
      </c>
      <c r="E656" s="221" t="s">
        <v>99</v>
      </c>
      <c r="F656" s="221" t="s">
        <v>828</v>
      </c>
      <c r="G656" s="226" t="s">
        <v>281</v>
      </c>
      <c r="H656" s="222" t="s">
        <v>16</v>
      </c>
      <c r="I656" s="222" t="s">
        <v>281</v>
      </c>
      <c r="J656" s="222" t="s">
        <v>281</v>
      </c>
      <c r="K656" s="222" t="s">
        <v>281</v>
      </c>
      <c r="L656" s="222" t="s">
        <v>281</v>
      </c>
      <c r="M656" s="222" t="s">
        <v>281</v>
      </c>
      <c r="N656" s="222" t="s">
        <v>281</v>
      </c>
      <c r="O656" s="223" t="s">
        <v>16</v>
      </c>
      <c r="P656" s="223" t="s">
        <v>16</v>
      </c>
      <c r="Q656" s="223" t="s">
        <v>16</v>
      </c>
      <c r="R656" s="223" t="s">
        <v>16</v>
      </c>
      <c r="S656" s="223" t="s">
        <v>16</v>
      </c>
      <c r="T656" s="223" t="s">
        <v>328</v>
      </c>
      <c r="U656" s="223" t="s">
        <v>248</v>
      </c>
      <c r="V656" s="223" t="s">
        <v>281</v>
      </c>
      <c r="W656" s="224" t="s">
        <v>281</v>
      </c>
      <c r="X656" s="224" t="s">
        <v>281</v>
      </c>
      <c r="Y656" s="225" t="s">
        <v>281</v>
      </c>
    </row>
    <row r="657" spans="1:25">
      <c r="A657" s="219">
        <v>12</v>
      </c>
      <c r="B657" s="220" t="str">
        <f>VLOOKUP(Tabel10[[#This Row],[Code]],Ruimtegroepen[[Code]:[Ruimte omschrijving]],2,FALSE)</f>
        <v>Kantine/Aula</v>
      </c>
      <c r="C657" s="221" t="s">
        <v>826</v>
      </c>
      <c r="D657" s="220" t="s">
        <v>0</v>
      </c>
      <c r="E657" s="221" t="s">
        <v>1309</v>
      </c>
      <c r="F657" s="221" t="s">
        <v>1352</v>
      </c>
      <c r="G657" s="226" t="s">
        <v>281</v>
      </c>
      <c r="H657" s="222" t="s">
        <v>281</v>
      </c>
      <c r="I657" s="222" t="s">
        <v>16</v>
      </c>
      <c r="J657" s="222" t="s">
        <v>281</v>
      </c>
      <c r="K657" s="222" t="s">
        <v>16</v>
      </c>
      <c r="L657" s="222" t="s">
        <v>281</v>
      </c>
      <c r="M657" s="222" t="s">
        <v>281</v>
      </c>
      <c r="N657" s="222" t="s">
        <v>281</v>
      </c>
      <c r="O657" s="223" t="s">
        <v>16</v>
      </c>
      <c r="P657" s="223" t="s">
        <v>16</v>
      </c>
      <c r="Q657" s="223" t="s">
        <v>16</v>
      </c>
      <c r="R657" s="223" t="s">
        <v>16</v>
      </c>
      <c r="S657" s="223" t="s">
        <v>16</v>
      </c>
      <c r="T657" s="223" t="s">
        <v>328</v>
      </c>
      <c r="U657" s="223" t="s">
        <v>248</v>
      </c>
      <c r="V657" s="223" t="s">
        <v>281</v>
      </c>
      <c r="W657" s="224" t="s">
        <v>281</v>
      </c>
      <c r="X657" s="224" t="s">
        <v>281</v>
      </c>
      <c r="Y657" s="225" t="s">
        <v>281</v>
      </c>
    </row>
    <row r="658" spans="1:25">
      <c r="A658" s="219">
        <v>12</v>
      </c>
      <c r="B658" s="220" t="str">
        <f>VLOOKUP(Tabel10[[#This Row],[Code]],Ruimtegroepen[[Code]:[Ruimte omschrijving]],2,FALSE)</f>
        <v>Kantine/Aula</v>
      </c>
      <c r="C658" s="221" t="s">
        <v>831</v>
      </c>
      <c r="D658" s="220" t="s">
        <v>27</v>
      </c>
      <c r="E658" s="221" t="s">
        <v>100</v>
      </c>
      <c r="F658" s="221" t="s">
        <v>832</v>
      </c>
      <c r="G658" s="226" t="s">
        <v>281</v>
      </c>
      <c r="H658" s="222" t="s">
        <v>281</v>
      </c>
      <c r="I658" s="222" t="s">
        <v>15</v>
      </c>
      <c r="J658" s="222" t="s">
        <v>281</v>
      </c>
      <c r="K658" s="222" t="s">
        <v>281</v>
      </c>
      <c r="L658" s="222" t="s">
        <v>281</v>
      </c>
      <c r="M658" s="222" t="s">
        <v>281</v>
      </c>
      <c r="N658" s="222" t="s">
        <v>281</v>
      </c>
      <c r="O658" s="223" t="s">
        <v>15</v>
      </c>
      <c r="P658" s="223" t="s">
        <v>15</v>
      </c>
      <c r="Q658" s="223" t="s">
        <v>15</v>
      </c>
      <c r="R658" s="223" t="s">
        <v>281</v>
      </c>
      <c r="S658" s="223" t="s">
        <v>281</v>
      </c>
      <c r="T658" s="223" t="s">
        <v>281</v>
      </c>
      <c r="U658" s="223" t="s">
        <v>281</v>
      </c>
      <c r="V658" s="223" t="s">
        <v>281</v>
      </c>
      <c r="W658" s="224" t="s">
        <v>281</v>
      </c>
      <c r="X658" s="224" t="s">
        <v>281</v>
      </c>
      <c r="Y658" s="225" t="s">
        <v>281</v>
      </c>
    </row>
    <row r="659" spans="1:25">
      <c r="A659" s="219">
        <v>12</v>
      </c>
      <c r="B659" s="220" t="str">
        <f>VLOOKUP(Tabel10[[#This Row],[Code]],Ruimtegroepen[[Code]:[Ruimte omschrijving]],2,FALSE)</f>
        <v>Kantine/Aula</v>
      </c>
      <c r="C659" s="221" t="s">
        <v>831</v>
      </c>
      <c r="D659" s="220" t="s">
        <v>27</v>
      </c>
      <c r="E659" s="221" t="s">
        <v>99</v>
      </c>
      <c r="F659" s="221" t="s">
        <v>833</v>
      </c>
      <c r="G659" s="226" t="s">
        <v>281</v>
      </c>
      <c r="H659" s="222" t="s">
        <v>15</v>
      </c>
      <c r="I659" s="222" t="s">
        <v>281</v>
      </c>
      <c r="J659" s="222" t="s">
        <v>281</v>
      </c>
      <c r="K659" s="222" t="s">
        <v>281</v>
      </c>
      <c r="L659" s="222" t="s">
        <v>281</v>
      </c>
      <c r="M659" s="222" t="s">
        <v>281</v>
      </c>
      <c r="N659" s="222" t="s">
        <v>281</v>
      </c>
      <c r="O659" s="223" t="s">
        <v>15</v>
      </c>
      <c r="P659" s="223" t="s">
        <v>15</v>
      </c>
      <c r="Q659" s="223" t="s">
        <v>15</v>
      </c>
      <c r="R659" s="223" t="s">
        <v>281</v>
      </c>
      <c r="S659" s="223" t="s">
        <v>281</v>
      </c>
      <c r="T659" s="223" t="s">
        <v>281</v>
      </c>
      <c r="U659" s="223" t="s">
        <v>281</v>
      </c>
      <c r="V659" s="223" t="s">
        <v>281</v>
      </c>
      <c r="W659" s="224" t="s">
        <v>281</v>
      </c>
      <c r="X659" s="224" t="s">
        <v>281</v>
      </c>
      <c r="Y659" s="225" t="s">
        <v>281</v>
      </c>
    </row>
    <row r="660" spans="1:25">
      <c r="A660" s="219">
        <v>12</v>
      </c>
      <c r="B660" s="220" t="str">
        <f>VLOOKUP(Tabel10[[#This Row],[Code]],Ruimtegroepen[[Code]:[Ruimte omschrijving]],2,FALSE)</f>
        <v>Kantine/Aula</v>
      </c>
      <c r="C660" s="221" t="s">
        <v>831</v>
      </c>
      <c r="D660" s="220" t="s">
        <v>27</v>
      </c>
      <c r="E660" s="221" t="s">
        <v>101</v>
      </c>
      <c r="F660" s="221" t="s">
        <v>834</v>
      </c>
      <c r="G660" s="226" t="s">
        <v>281</v>
      </c>
      <c r="H660" s="222" t="s">
        <v>281</v>
      </c>
      <c r="I660" s="222" t="s">
        <v>15</v>
      </c>
      <c r="J660" s="222" t="s">
        <v>281</v>
      </c>
      <c r="K660" s="222" t="s">
        <v>281</v>
      </c>
      <c r="L660" s="222" t="s">
        <v>281</v>
      </c>
      <c r="M660" s="222" t="s">
        <v>281</v>
      </c>
      <c r="N660" s="222" t="s">
        <v>281</v>
      </c>
      <c r="O660" s="223" t="s">
        <v>15</v>
      </c>
      <c r="P660" s="223" t="s">
        <v>15</v>
      </c>
      <c r="Q660" s="223" t="s">
        <v>15</v>
      </c>
      <c r="R660" s="223" t="s">
        <v>281</v>
      </c>
      <c r="S660" s="223" t="s">
        <v>281</v>
      </c>
      <c r="T660" s="223" t="s">
        <v>281</v>
      </c>
      <c r="U660" s="223" t="s">
        <v>281</v>
      </c>
      <c r="V660" s="223" t="s">
        <v>281</v>
      </c>
      <c r="W660" s="224" t="s">
        <v>281</v>
      </c>
      <c r="X660" s="224" t="s">
        <v>281</v>
      </c>
      <c r="Y660" s="225" t="s">
        <v>281</v>
      </c>
    </row>
    <row r="661" spans="1:25">
      <c r="A661" s="219">
        <v>12</v>
      </c>
      <c r="B661" s="220" t="str">
        <f>VLOOKUP(Tabel10[[#This Row],[Code]],Ruimtegroepen[[Code]:[Ruimte omschrijving]],2,FALSE)</f>
        <v>Kantine/Aula</v>
      </c>
      <c r="C661" s="221" t="s">
        <v>831</v>
      </c>
      <c r="D661" s="220" t="s">
        <v>27</v>
      </c>
      <c r="E661" s="221" t="s">
        <v>102</v>
      </c>
      <c r="F661" s="221" t="s">
        <v>835</v>
      </c>
      <c r="G661" s="226" t="s">
        <v>281</v>
      </c>
      <c r="H661" s="222" t="s">
        <v>281</v>
      </c>
      <c r="I661" s="222" t="s">
        <v>15</v>
      </c>
      <c r="J661" s="222" t="s">
        <v>281</v>
      </c>
      <c r="K661" s="222" t="s">
        <v>281</v>
      </c>
      <c r="L661" s="222" t="s">
        <v>281</v>
      </c>
      <c r="M661" s="222" t="s">
        <v>281</v>
      </c>
      <c r="N661" s="222" t="s">
        <v>281</v>
      </c>
      <c r="O661" s="223" t="s">
        <v>15</v>
      </c>
      <c r="P661" s="223" t="s">
        <v>15</v>
      </c>
      <c r="Q661" s="223" t="s">
        <v>15</v>
      </c>
      <c r="R661" s="223" t="s">
        <v>281</v>
      </c>
      <c r="S661" s="223" t="s">
        <v>281</v>
      </c>
      <c r="T661" s="223" t="s">
        <v>281</v>
      </c>
      <c r="U661" s="223" t="s">
        <v>281</v>
      </c>
      <c r="V661" s="223" t="s">
        <v>281</v>
      </c>
      <c r="W661" s="224" t="s">
        <v>281</v>
      </c>
      <c r="X661" s="224" t="s">
        <v>281</v>
      </c>
      <c r="Y661" s="225" t="s">
        <v>281</v>
      </c>
    </row>
    <row r="662" spans="1:25">
      <c r="A662" s="219">
        <v>12</v>
      </c>
      <c r="B662" s="220" t="str">
        <f>VLOOKUP(Tabel10[[#This Row],[Code]],Ruimtegroepen[[Code]:[Ruimte omschrijving]],2,FALSE)</f>
        <v>Kantine/Aula</v>
      </c>
      <c r="C662" s="221" t="s">
        <v>831</v>
      </c>
      <c r="D662" s="220" t="s">
        <v>27</v>
      </c>
      <c r="E662" s="221" t="s">
        <v>99</v>
      </c>
      <c r="F662" s="221" t="s">
        <v>833</v>
      </c>
      <c r="G662" s="226" t="s">
        <v>281</v>
      </c>
      <c r="H662" s="222" t="s">
        <v>15</v>
      </c>
      <c r="I662" s="222" t="s">
        <v>281</v>
      </c>
      <c r="J662" s="222" t="s">
        <v>281</v>
      </c>
      <c r="K662" s="222" t="s">
        <v>281</v>
      </c>
      <c r="L662" s="222" t="s">
        <v>281</v>
      </c>
      <c r="M662" s="222" t="s">
        <v>281</v>
      </c>
      <c r="N662" s="222" t="s">
        <v>281</v>
      </c>
      <c r="O662" s="223" t="s">
        <v>15</v>
      </c>
      <c r="P662" s="223" t="s">
        <v>15</v>
      </c>
      <c r="Q662" s="223" t="s">
        <v>15</v>
      </c>
      <c r="R662" s="223" t="s">
        <v>281</v>
      </c>
      <c r="S662" s="223" t="s">
        <v>281</v>
      </c>
      <c r="T662" s="223" t="s">
        <v>281</v>
      </c>
      <c r="U662" s="223" t="s">
        <v>281</v>
      </c>
      <c r="V662" s="223" t="s">
        <v>281</v>
      </c>
      <c r="W662" s="224" t="s">
        <v>281</v>
      </c>
      <c r="X662" s="224" t="s">
        <v>281</v>
      </c>
      <c r="Y662" s="225" t="s">
        <v>281</v>
      </c>
    </row>
    <row r="663" spans="1:25">
      <c r="A663" s="219">
        <v>12</v>
      </c>
      <c r="B663" s="220" t="str">
        <f>VLOOKUP(Tabel10[[#This Row],[Code]],Ruimtegroepen[[Code]:[Ruimte omschrijving]],2,FALSE)</f>
        <v>Kantine/Aula</v>
      </c>
      <c r="C663" s="221" t="s">
        <v>831</v>
      </c>
      <c r="D663" s="220" t="s">
        <v>27</v>
      </c>
      <c r="E663" s="221" t="s">
        <v>1309</v>
      </c>
      <c r="F663" s="221" t="s">
        <v>1385</v>
      </c>
      <c r="G663" s="226" t="s">
        <v>281</v>
      </c>
      <c r="H663" s="222" t="s">
        <v>281</v>
      </c>
      <c r="I663" s="222" t="s">
        <v>15</v>
      </c>
      <c r="J663" s="222" t="s">
        <v>281</v>
      </c>
      <c r="K663" s="222" t="s">
        <v>281</v>
      </c>
      <c r="L663" s="222" t="s">
        <v>281</v>
      </c>
      <c r="M663" s="222" t="s">
        <v>281</v>
      </c>
      <c r="N663" s="222" t="s">
        <v>281</v>
      </c>
      <c r="O663" s="223" t="s">
        <v>15</v>
      </c>
      <c r="P663" s="223" t="s">
        <v>15</v>
      </c>
      <c r="Q663" s="223" t="s">
        <v>15</v>
      </c>
      <c r="R663" s="223" t="s">
        <v>281</v>
      </c>
      <c r="S663" s="223" t="s">
        <v>281</v>
      </c>
      <c r="T663" s="223" t="s">
        <v>281</v>
      </c>
      <c r="U663" s="223" t="s">
        <v>281</v>
      </c>
      <c r="V663" s="223" t="s">
        <v>281</v>
      </c>
      <c r="W663" s="224" t="s">
        <v>281</v>
      </c>
      <c r="X663" s="224" t="s">
        <v>281</v>
      </c>
      <c r="Y663" s="225" t="s">
        <v>281</v>
      </c>
    </row>
    <row r="664" spans="1:25">
      <c r="A664" s="219">
        <v>12</v>
      </c>
      <c r="B664" s="220" t="str">
        <f>VLOOKUP(Tabel10[[#This Row],[Code]],Ruimtegroepen[[Code]:[Ruimte omschrijving]],2,FALSE)</f>
        <v>Kantine/Aula</v>
      </c>
      <c r="C664" s="221" t="s">
        <v>836</v>
      </c>
      <c r="D664" s="220" t="s">
        <v>28</v>
      </c>
      <c r="E664" s="221" t="s">
        <v>100</v>
      </c>
      <c r="F664" s="221" t="s">
        <v>837</v>
      </c>
      <c r="G664" s="226" t="s">
        <v>281</v>
      </c>
      <c r="H664" s="222" t="s">
        <v>281</v>
      </c>
      <c r="I664" s="222" t="s">
        <v>17</v>
      </c>
      <c r="J664" s="222" t="s">
        <v>281</v>
      </c>
      <c r="K664" s="222" t="s">
        <v>281</v>
      </c>
      <c r="L664" s="222" t="s">
        <v>281</v>
      </c>
      <c r="M664" s="222" t="s">
        <v>281</v>
      </c>
      <c r="N664" s="222" t="s">
        <v>281</v>
      </c>
      <c r="O664" s="223" t="s">
        <v>17</v>
      </c>
      <c r="P664" s="223" t="s">
        <v>17</v>
      </c>
      <c r="Q664" s="223" t="s">
        <v>15</v>
      </c>
      <c r="R664" s="223" t="s">
        <v>281</v>
      </c>
      <c r="S664" s="223" t="s">
        <v>281</v>
      </c>
      <c r="T664" s="223" t="s">
        <v>281</v>
      </c>
      <c r="U664" s="223" t="s">
        <v>281</v>
      </c>
      <c r="V664" s="223" t="s">
        <v>281</v>
      </c>
      <c r="W664" s="224" t="s">
        <v>281</v>
      </c>
      <c r="X664" s="224" t="s">
        <v>281</v>
      </c>
      <c r="Y664" s="225" t="s">
        <v>281</v>
      </c>
    </row>
    <row r="665" spans="1:25">
      <c r="A665" s="219">
        <v>12</v>
      </c>
      <c r="B665" s="220" t="str">
        <f>VLOOKUP(Tabel10[[#This Row],[Code]],Ruimtegroepen[[Code]:[Ruimte omschrijving]],2,FALSE)</f>
        <v>Kantine/Aula</v>
      </c>
      <c r="C665" s="221" t="s">
        <v>836</v>
      </c>
      <c r="D665" s="220" t="s">
        <v>28</v>
      </c>
      <c r="E665" s="221" t="s">
        <v>99</v>
      </c>
      <c r="F665" s="221" t="s">
        <v>838</v>
      </c>
      <c r="G665" s="226" t="s">
        <v>281</v>
      </c>
      <c r="H665" s="222" t="s">
        <v>17</v>
      </c>
      <c r="I665" s="222" t="s">
        <v>281</v>
      </c>
      <c r="J665" s="222" t="s">
        <v>281</v>
      </c>
      <c r="K665" s="222" t="s">
        <v>281</v>
      </c>
      <c r="L665" s="222" t="s">
        <v>281</v>
      </c>
      <c r="M665" s="222" t="s">
        <v>281</v>
      </c>
      <c r="N665" s="222" t="s">
        <v>281</v>
      </c>
      <c r="O665" s="223" t="s">
        <v>17</v>
      </c>
      <c r="P665" s="223" t="s">
        <v>17</v>
      </c>
      <c r="Q665" s="223" t="s">
        <v>15</v>
      </c>
      <c r="R665" s="223" t="s">
        <v>281</v>
      </c>
      <c r="S665" s="223" t="s">
        <v>281</v>
      </c>
      <c r="T665" s="223" t="s">
        <v>281</v>
      </c>
      <c r="U665" s="223" t="s">
        <v>281</v>
      </c>
      <c r="V665" s="223" t="s">
        <v>281</v>
      </c>
      <c r="W665" s="224" t="s">
        <v>281</v>
      </c>
      <c r="X665" s="224" t="s">
        <v>281</v>
      </c>
      <c r="Y665" s="225" t="s">
        <v>281</v>
      </c>
    </row>
    <row r="666" spans="1:25">
      <c r="A666" s="219">
        <v>12</v>
      </c>
      <c r="B666" s="220" t="str">
        <f>VLOOKUP(Tabel10[[#This Row],[Code]],Ruimtegroepen[[Code]:[Ruimte omschrijving]],2,FALSE)</f>
        <v>Kantine/Aula</v>
      </c>
      <c r="C666" s="221" t="s">
        <v>836</v>
      </c>
      <c r="D666" s="220" t="s">
        <v>28</v>
      </c>
      <c r="E666" s="221" t="s">
        <v>101</v>
      </c>
      <c r="F666" s="221" t="s">
        <v>839</v>
      </c>
      <c r="G666" s="226" t="s">
        <v>281</v>
      </c>
      <c r="H666" s="222" t="s">
        <v>281</v>
      </c>
      <c r="I666" s="222" t="s">
        <v>17</v>
      </c>
      <c r="J666" s="222" t="s">
        <v>281</v>
      </c>
      <c r="K666" s="222" t="s">
        <v>281</v>
      </c>
      <c r="L666" s="222" t="s">
        <v>281</v>
      </c>
      <c r="M666" s="222" t="s">
        <v>281</v>
      </c>
      <c r="N666" s="222" t="s">
        <v>281</v>
      </c>
      <c r="O666" s="223" t="s">
        <v>17</v>
      </c>
      <c r="P666" s="223" t="s">
        <v>17</v>
      </c>
      <c r="Q666" s="223" t="s">
        <v>15</v>
      </c>
      <c r="R666" s="223" t="s">
        <v>281</v>
      </c>
      <c r="S666" s="223" t="s">
        <v>281</v>
      </c>
      <c r="T666" s="223" t="s">
        <v>281</v>
      </c>
      <c r="U666" s="223" t="s">
        <v>281</v>
      </c>
      <c r="V666" s="223" t="s">
        <v>281</v>
      </c>
      <c r="W666" s="224" t="s">
        <v>281</v>
      </c>
      <c r="X666" s="224" t="s">
        <v>281</v>
      </c>
      <c r="Y666" s="225" t="s">
        <v>281</v>
      </c>
    </row>
    <row r="667" spans="1:25">
      <c r="A667" s="219">
        <v>12</v>
      </c>
      <c r="B667" s="220" t="str">
        <f>VLOOKUP(Tabel10[[#This Row],[Code]],Ruimtegroepen[[Code]:[Ruimte omschrijving]],2,FALSE)</f>
        <v>Kantine/Aula</v>
      </c>
      <c r="C667" s="221" t="s">
        <v>836</v>
      </c>
      <c r="D667" s="220" t="s">
        <v>28</v>
      </c>
      <c r="E667" s="221" t="s">
        <v>102</v>
      </c>
      <c r="F667" s="221" t="s">
        <v>840</v>
      </c>
      <c r="G667" s="226" t="s">
        <v>281</v>
      </c>
      <c r="H667" s="222" t="s">
        <v>281</v>
      </c>
      <c r="I667" s="222" t="s">
        <v>17</v>
      </c>
      <c r="J667" s="222" t="s">
        <v>281</v>
      </c>
      <c r="K667" s="222" t="s">
        <v>281</v>
      </c>
      <c r="L667" s="222" t="s">
        <v>281</v>
      </c>
      <c r="M667" s="222" t="s">
        <v>281</v>
      </c>
      <c r="N667" s="222" t="s">
        <v>281</v>
      </c>
      <c r="O667" s="223" t="s">
        <v>17</v>
      </c>
      <c r="P667" s="223" t="s">
        <v>17</v>
      </c>
      <c r="Q667" s="223" t="s">
        <v>15</v>
      </c>
      <c r="R667" s="223" t="s">
        <v>281</v>
      </c>
      <c r="S667" s="223" t="s">
        <v>281</v>
      </c>
      <c r="T667" s="223" t="s">
        <v>281</v>
      </c>
      <c r="U667" s="223" t="s">
        <v>281</v>
      </c>
      <c r="V667" s="223" t="s">
        <v>281</v>
      </c>
      <c r="W667" s="224" t="s">
        <v>281</v>
      </c>
      <c r="X667" s="224" t="s">
        <v>281</v>
      </c>
      <c r="Y667" s="225" t="s">
        <v>281</v>
      </c>
    </row>
    <row r="668" spans="1:25">
      <c r="A668" s="219">
        <v>12</v>
      </c>
      <c r="B668" s="220" t="str">
        <f>VLOOKUP(Tabel10[[#This Row],[Code]],Ruimtegroepen[[Code]:[Ruimte omschrijving]],2,FALSE)</f>
        <v>Kantine/Aula</v>
      </c>
      <c r="C668" s="221" t="s">
        <v>836</v>
      </c>
      <c r="D668" s="220" t="s">
        <v>28</v>
      </c>
      <c r="E668" s="221" t="s">
        <v>99</v>
      </c>
      <c r="F668" s="221" t="s">
        <v>838</v>
      </c>
      <c r="G668" s="226" t="s">
        <v>281</v>
      </c>
      <c r="H668" s="222" t="s">
        <v>17</v>
      </c>
      <c r="I668" s="222" t="s">
        <v>281</v>
      </c>
      <c r="J668" s="222" t="s">
        <v>281</v>
      </c>
      <c r="K668" s="222" t="s">
        <v>281</v>
      </c>
      <c r="L668" s="222" t="s">
        <v>281</v>
      </c>
      <c r="M668" s="222" t="s">
        <v>281</v>
      </c>
      <c r="N668" s="222" t="s">
        <v>281</v>
      </c>
      <c r="O668" s="223" t="s">
        <v>17</v>
      </c>
      <c r="P668" s="223" t="s">
        <v>17</v>
      </c>
      <c r="Q668" s="223" t="s">
        <v>15</v>
      </c>
      <c r="R668" s="223" t="s">
        <v>281</v>
      </c>
      <c r="S668" s="223" t="s">
        <v>281</v>
      </c>
      <c r="T668" s="223" t="s">
        <v>281</v>
      </c>
      <c r="U668" s="223" t="s">
        <v>281</v>
      </c>
      <c r="V668" s="223" t="s">
        <v>281</v>
      </c>
      <c r="W668" s="224" t="s">
        <v>281</v>
      </c>
      <c r="X668" s="224" t="s">
        <v>281</v>
      </c>
      <c r="Y668" s="225" t="s">
        <v>281</v>
      </c>
    </row>
    <row r="669" spans="1:25">
      <c r="A669" s="219">
        <v>12</v>
      </c>
      <c r="B669" s="220" t="str">
        <f>VLOOKUP(Tabel10[[#This Row],[Code]],Ruimtegroepen[[Code]:[Ruimte omschrijving]],2,FALSE)</f>
        <v>Kantine/Aula</v>
      </c>
      <c r="C669" s="221" t="s">
        <v>836</v>
      </c>
      <c r="D669" s="220" t="s">
        <v>28</v>
      </c>
      <c r="E669" s="221" t="s">
        <v>1309</v>
      </c>
      <c r="F669" s="221" t="s">
        <v>1418</v>
      </c>
      <c r="G669" s="226" t="s">
        <v>281</v>
      </c>
      <c r="H669" s="222" t="s">
        <v>281</v>
      </c>
      <c r="I669" s="222" t="s">
        <v>17</v>
      </c>
      <c r="J669" s="222" t="s">
        <v>281</v>
      </c>
      <c r="K669" s="222" t="s">
        <v>281</v>
      </c>
      <c r="L669" s="222" t="s">
        <v>281</v>
      </c>
      <c r="M669" s="222" t="s">
        <v>281</v>
      </c>
      <c r="N669" s="222" t="s">
        <v>281</v>
      </c>
      <c r="O669" s="223" t="s">
        <v>17</v>
      </c>
      <c r="P669" s="223" t="s">
        <v>17</v>
      </c>
      <c r="Q669" s="223" t="s">
        <v>15</v>
      </c>
      <c r="R669" s="223" t="s">
        <v>281</v>
      </c>
      <c r="S669" s="223" t="s">
        <v>281</v>
      </c>
      <c r="T669" s="223" t="s">
        <v>281</v>
      </c>
      <c r="U669" s="223" t="s">
        <v>281</v>
      </c>
      <c r="V669" s="223" t="s">
        <v>281</v>
      </c>
      <c r="W669" s="224" t="s">
        <v>281</v>
      </c>
      <c r="X669" s="224" t="s">
        <v>281</v>
      </c>
      <c r="Y669" s="225" t="s">
        <v>281</v>
      </c>
    </row>
    <row r="670" spans="1:25">
      <c r="A670" s="219">
        <v>13</v>
      </c>
      <c r="B670" s="220" t="str">
        <f>VLOOKUP(Tabel10[[#This Row],[Code]],Ruimtegroepen[[Code]:[Ruimte omschrijving]],2,FALSE)</f>
        <v>Personeelskamer</v>
      </c>
      <c r="C670" s="221" t="s">
        <v>841</v>
      </c>
      <c r="D670" s="220" t="s">
        <v>29</v>
      </c>
      <c r="E670" s="221" t="s">
        <v>100</v>
      </c>
      <c r="F670" s="221" t="s">
        <v>842</v>
      </c>
      <c r="G670" s="226" t="s">
        <v>281</v>
      </c>
      <c r="H670" s="222" t="s">
        <v>281</v>
      </c>
      <c r="I670" s="222" t="s">
        <v>20</v>
      </c>
      <c r="J670" s="222" t="s">
        <v>15</v>
      </c>
      <c r="K670" s="222" t="s">
        <v>281</v>
      </c>
      <c r="L670" s="222" t="s">
        <v>281</v>
      </c>
      <c r="M670" s="222" t="s">
        <v>281</v>
      </c>
      <c r="N670" s="222" t="s">
        <v>2</v>
      </c>
      <c r="O670" s="223" t="s">
        <v>2</v>
      </c>
      <c r="P670" s="223" t="s">
        <v>2</v>
      </c>
      <c r="Q670" s="223" t="s">
        <v>15</v>
      </c>
      <c r="R670" s="223" t="s">
        <v>15</v>
      </c>
      <c r="S670" s="223" t="s">
        <v>16</v>
      </c>
      <c r="T670" s="223" t="s">
        <v>328</v>
      </c>
      <c r="U670" s="223" t="s">
        <v>248</v>
      </c>
      <c r="V670" s="223" t="s">
        <v>2</v>
      </c>
      <c r="W670" s="224" t="s">
        <v>281</v>
      </c>
      <c r="X670" s="224" t="s">
        <v>281</v>
      </c>
      <c r="Y670" s="225" t="s">
        <v>281</v>
      </c>
    </row>
    <row r="671" spans="1:25">
      <c r="A671" s="219">
        <v>13</v>
      </c>
      <c r="B671" s="220" t="str">
        <f>VLOOKUP(Tabel10[[#This Row],[Code]],Ruimtegroepen[[Code]:[Ruimte omschrijving]],2,FALSE)</f>
        <v>Personeelskamer</v>
      </c>
      <c r="C671" s="221" t="s">
        <v>841</v>
      </c>
      <c r="D671" s="220" t="s">
        <v>29</v>
      </c>
      <c r="E671" s="221" t="s">
        <v>99</v>
      </c>
      <c r="F671" s="221" t="s">
        <v>843</v>
      </c>
      <c r="G671" s="222" t="s">
        <v>20</v>
      </c>
      <c r="H671" s="222" t="s">
        <v>15</v>
      </c>
      <c r="I671" s="222" t="s">
        <v>281</v>
      </c>
      <c r="J671" s="222" t="s">
        <v>281</v>
      </c>
      <c r="K671" s="222" t="s">
        <v>281</v>
      </c>
      <c r="L671" s="222" t="s">
        <v>281</v>
      </c>
      <c r="M671" s="222" t="s">
        <v>281</v>
      </c>
      <c r="N671" s="222" t="s">
        <v>2</v>
      </c>
      <c r="O671" s="223" t="s">
        <v>2</v>
      </c>
      <c r="P671" s="223" t="s">
        <v>2</v>
      </c>
      <c r="Q671" s="223" t="s">
        <v>15</v>
      </c>
      <c r="R671" s="223" t="s">
        <v>15</v>
      </c>
      <c r="S671" s="223" t="s">
        <v>16</v>
      </c>
      <c r="T671" s="223" t="s">
        <v>328</v>
      </c>
      <c r="U671" s="223" t="s">
        <v>248</v>
      </c>
      <c r="V671" s="223" t="s">
        <v>2</v>
      </c>
      <c r="W671" s="224" t="s">
        <v>281</v>
      </c>
      <c r="X671" s="224" t="s">
        <v>281</v>
      </c>
      <c r="Y671" s="225" t="s">
        <v>281</v>
      </c>
    </row>
    <row r="672" spans="1:25">
      <c r="A672" s="219">
        <v>13</v>
      </c>
      <c r="B672" s="220" t="str">
        <f>VLOOKUP(Tabel10[[#This Row],[Code]],Ruimtegroepen[[Code]:[Ruimte omschrijving]],2,FALSE)</f>
        <v>Personeelskamer</v>
      </c>
      <c r="C672" s="221" t="s">
        <v>841</v>
      </c>
      <c r="D672" s="220" t="s">
        <v>29</v>
      </c>
      <c r="E672" s="221" t="s">
        <v>101</v>
      </c>
      <c r="F672" s="221" t="s">
        <v>844</v>
      </c>
      <c r="G672" s="226" t="s">
        <v>281</v>
      </c>
      <c r="H672" s="222" t="s">
        <v>281</v>
      </c>
      <c r="I672" s="222" t="s">
        <v>20</v>
      </c>
      <c r="J672" s="222" t="s">
        <v>15</v>
      </c>
      <c r="K672" s="222" t="s">
        <v>248</v>
      </c>
      <c r="L672" s="222" t="s">
        <v>281</v>
      </c>
      <c r="M672" s="222" t="s">
        <v>281</v>
      </c>
      <c r="N672" s="222" t="s">
        <v>2</v>
      </c>
      <c r="O672" s="223" t="s">
        <v>2</v>
      </c>
      <c r="P672" s="223" t="s">
        <v>2</v>
      </c>
      <c r="Q672" s="223" t="s">
        <v>15</v>
      </c>
      <c r="R672" s="223" t="s">
        <v>15</v>
      </c>
      <c r="S672" s="223" t="s">
        <v>16</v>
      </c>
      <c r="T672" s="223" t="s">
        <v>328</v>
      </c>
      <c r="U672" s="223" t="s">
        <v>248</v>
      </c>
      <c r="V672" s="223" t="s">
        <v>2</v>
      </c>
      <c r="W672" s="224" t="s">
        <v>281</v>
      </c>
      <c r="X672" s="224" t="s">
        <v>281</v>
      </c>
      <c r="Y672" s="225" t="s">
        <v>281</v>
      </c>
    </row>
    <row r="673" spans="1:25">
      <c r="A673" s="219">
        <v>13</v>
      </c>
      <c r="B673" s="220" t="str">
        <f>VLOOKUP(Tabel10[[#This Row],[Code]],Ruimtegroepen[[Code]:[Ruimte omschrijving]],2,FALSE)</f>
        <v>Personeelskamer</v>
      </c>
      <c r="C673" s="221" t="s">
        <v>841</v>
      </c>
      <c r="D673" s="220" t="s">
        <v>29</v>
      </c>
      <c r="E673" s="221" t="s">
        <v>102</v>
      </c>
      <c r="F673" s="221" t="s">
        <v>845</v>
      </c>
      <c r="G673" s="226" t="s">
        <v>281</v>
      </c>
      <c r="H673" s="222" t="s">
        <v>281</v>
      </c>
      <c r="I673" s="222" t="s">
        <v>20</v>
      </c>
      <c r="J673" s="222" t="s">
        <v>15</v>
      </c>
      <c r="K673" s="222" t="s">
        <v>248</v>
      </c>
      <c r="L673" s="222" t="s">
        <v>281</v>
      </c>
      <c r="M673" s="222" t="s">
        <v>281</v>
      </c>
      <c r="N673" s="222" t="s">
        <v>2</v>
      </c>
      <c r="O673" s="223" t="s">
        <v>2</v>
      </c>
      <c r="P673" s="223" t="s">
        <v>2</v>
      </c>
      <c r="Q673" s="223" t="s">
        <v>15</v>
      </c>
      <c r="R673" s="223" t="s">
        <v>15</v>
      </c>
      <c r="S673" s="223" t="s">
        <v>16</v>
      </c>
      <c r="T673" s="223" t="s">
        <v>328</v>
      </c>
      <c r="U673" s="223" t="s">
        <v>248</v>
      </c>
      <c r="V673" s="223" t="s">
        <v>2</v>
      </c>
      <c r="W673" s="224" t="s">
        <v>281</v>
      </c>
      <c r="X673" s="224" t="s">
        <v>281</v>
      </c>
      <c r="Y673" s="225" t="s">
        <v>281</v>
      </c>
    </row>
    <row r="674" spans="1:25">
      <c r="A674" s="219">
        <v>13</v>
      </c>
      <c r="B674" s="220" t="str">
        <f>VLOOKUP(Tabel10[[#This Row],[Code]],Ruimtegroepen[[Code]:[Ruimte omschrijving]],2,FALSE)</f>
        <v>Personeelskamer</v>
      </c>
      <c r="C674" s="221" t="s">
        <v>841</v>
      </c>
      <c r="D674" s="220" t="s">
        <v>29</v>
      </c>
      <c r="E674" s="221" t="s">
        <v>99</v>
      </c>
      <c r="F674" s="221" t="s">
        <v>843</v>
      </c>
      <c r="G674" s="222" t="s">
        <v>20</v>
      </c>
      <c r="H674" s="222" t="s">
        <v>15</v>
      </c>
      <c r="I674" s="222" t="s">
        <v>281</v>
      </c>
      <c r="J674" s="222" t="s">
        <v>281</v>
      </c>
      <c r="K674" s="222" t="s">
        <v>281</v>
      </c>
      <c r="L674" s="222" t="s">
        <v>281</v>
      </c>
      <c r="M674" s="222" t="s">
        <v>281</v>
      </c>
      <c r="N674" s="222" t="s">
        <v>2</v>
      </c>
      <c r="O674" s="223" t="s">
        <v>2</v>
      </c>
      <c r="P674" s="223" t="s">
        <v>2</v>
      </c>
      <c r="Q674" s="223" t="s">
        <v>15</v>
      </c>
      <c r="R674" s="223" t="s">
        <v>15</v>
      </c>
      <c r="S674" s="223" t="s">
        <v>16</v>
      </c>
      <c r="T674" s="223" t="s">
        <v>328</v>
      </c>
      <c r="U674" s="223" t="s">
        <v>248</v>
      </c>
      <c r="V674" s="223" t="s">
        <v>2</v>
      </c>
      <c r="W674" s="224" t="s">
        <v>281</v>
      </c>
      <c r="X674" s="224" t="s">
        <v>281</v>
      </c>
      <c r="Y674" s="225" t="s">
        <v>281</v>
      </c>
    </row>
    <row r="675" spans="1:25">
      <c r="A675" s="219">
        <v>13</v>
      </c>
      <c r="B675" s="220" t="str">
        <f>VLOOKUP(Tabel10[[#This Row],[Code]],Ruimtegroepen[[Code]:[Ruimte omschrijving]],2,FALSE)</f>
        <v>Personeelskamer</v>
      </c>
      <c r="C675" s="221" t="s">
        <v>841</v>
      </c>
      <c r="D675" s="220" t="s">
        <v>29</v>
      </c>
      <c r="E675" s="221" t="s">
        <v>1309</v>
      </c>
      <c r="F675" s="221" t="s">
        <v>1486</v>
      </c>
      <c r="G675" s="226" t="s">
        <v>281</v>
      </c>
      <c r="H675" s="222" t="s">
        <v>281</v>
      </c>
      <c r="I675" s="222" t="s">
        <v>20</v>
      </c>
      <c r="J675" s="222" t="s">
        <v>15</v>
      </c>
      <c r="K675" s="222" t="s">
        <v>248</v>
      </c>
      <c r="L675" s="222" t="s">
        <v>281</v>
      </c>
      <c r="M675" s="222" t="s">
        <v>281</v>
      </c>
      <c r="N675" s="222" t="s">
        <v>2</v>
      </c>
      <c r="O675" s="223" t="s">
        <v>2</v>
      </c>
      <c r="P675" s="223" t="s">
        <v>2</v>
      </c>
      <c r="Q675" s="223" t="s">
        <v>15</v>
      </c>
      <c r="R675" s="223" t="s">
        <v>15</v>
      </c>
      <c r="S675" s="223" t="s">
        <v>16</v>
      </c>
      <c r="T675" s="223" t="s">
        <v>328</v>
      </c>
      <c r="U675" s="223" t="s">
        <v>248</v>
      </c>
      <c r="V675" s="223" t="s">
        <v>2</v>
      </c>
      <c r="W675" s="224" t="s">
        <v>281</v>
      </c>
      <c r="X675" s="224" t="s">
        <v>281</v>
      </c>
      <c r="Y675" s="225" t="s">
        <v>281</v>
      </c>
    </row>
    <row r="676" spans="1:25">
      <c r="A676" s="219">
        <v>13</v>
      </c>
      <c r="B676" s="220" t="str">
        <f>VLOOKUP(Tabel10[[#This Row],[Code]],Ruimtegroepen[[Code]:[Ruimte omschrijving]],2,FALSE)</f>
        <v>Personeelskamer</v>
      </c>
      <c r="C676" s="221" t="s">
        <v>846</v>
      </c>
      <c r="D676" s="220" t="s">
        <v>1</v>
      </c>
      <c r="E676" s="221" t="s">
        <v>100</v>
      </c>
      <c r="F676" s="221" t="s">
        <v>847</v>
      </c>
      <c r="G676" s="226" t="s">
        <v>281</v>
      </c>
      <c r="H676" s="222" t="s">
        <v>281</v>
      </c>
      <c r="I676" s="222" t="s">
        <v>20</v>
      </c>
      <c r="J676" s="222" t="s">
        <v>15</v>
      </c>
      <c r="K676" s="222" t="s">
        <v>281</v>
      </c>
      <c r="L676" s="222" t="s">
        <v>281</v>
      </c>
      <c r="M676" s="222" t="s">
        <v>281</v>
      </c>
      <c r="N676" s="222" t="s">
        <v>281</v>
      </c>
      <c r="O676" s="223" t="s">
        <v>2</v>
      </c>
      <c r="P676" s="223" t="s">
        <v>2</v>
      </c>
      <c r="Q676" s="223" t="s">
        <v>15</v>
      </c>
      <c r="R676" s="223" t="s">
        <v>15</v>
      </c>
      <c r="S676" s="223" t="s">
        <v>16</v>
      </c>
      <c r="T676" s="223" t="s">
        <v>328</v>
      </c>
      <c r="U676" s="223" t="s">
        <v>248</v>
      </c>
      <c r="V676" s="223" t="s">
        <v>281</v>
      </c>
      <c r="W676" s="224" t="s">
        <v>281</v>
      </c>
      <c r="X676" s="224" t="s">
        <v>281</v>
      </c>
      <c r="Y676" s="225" t="s">
        <v>281</v>
      </c>
    </row>
    <row r="677" spans="1:25">
      <c r="A677" s="219">
        <v>13</v>
      </c>
      <c r="B677" s="220" t="str">
        <f>VLOOKUP(Tabel10[[#This Row],[Code]],Ruimtegroepen[[Code]:[Ruimte omschrijving]],2,FALSE)</f>
        <v>Personeelskamer</v>
      </c>
      <c r="C677" s="221" t="s">
        <v>846</v>
      </c>
      <c r="D677" s="220" t="s">
        <v>1</v>
      </c>
      <c r="E677" s="221" t="s">
        <v>99</v>
      </c>
      <c r="F677" s="221" t="s">
        <v>848</v>
      </c>
      <c r="G677" s="222" t="s">
        <v>20</v>
      </c>
      <c r="H677" s="222" t="s">
        <v>15</v>
      </c>
      <c r="I677" s="222" t="s">
        <v>281</v>
      </c>
      <c r="J677" s="222" t="s">
        <v>281</v>
      </c>
      <c r="K677" s="222" t="s">
        <v>281</v>
      </c>
      <c r="L677" s="222" t="s">
        <v>281</v>
      </c>
      <c r="M677" s="222" t="s">
        <v>281</v>
      </c>
      <c r="N677" s="222" t="s">
        <v>281</v>
      </c>
      <c r="O677" s="223" t="s">
        <v>2</v>
      </c>
      <c r="P677" s="223" t="s">
        <v>2</v>
      </c>
      <c r="Q677" s="223" t="s">
        <v>15</v>
      </c>
      <c r="R677" s="223" t="s">
        <v>15</v>
      </c>
      <c r="S677" s="223" t="s">
        <v>16</v>
      </c>
      <c r="T677" s="223" t="s">
        <v>328</v>
      </c>
      <c r="U677" s="223" t="s">
        <v>248</v>
      </c>
      <c r="V677" s="223" t="s">
        <v>281</v>
      </c>
      <c r="W677" s="224" t="s">
        <v>281</v>
      </c>
      <c r="X677" s="224" t="s">
        <v>281</v>
      </c>
      <c r="Y677" s="225" t="s">
        <v>281</v>
      </c>
    </row>
    <row r="678" spans="1:25">
      <c r="A678" s="219">
        <v>13</v>
      </c>
      <c r="B678" s="220" t="str">
        <f>VLOOKUP(Tabel10[[#This Row],[Code]],Ruimtegroepen[[Code]:[Ruimte omschrijving]],2,FALSE)</f>
        <v>Personeelskamer</v>
      </c>
      <c r="C678" s="221" t="s">
        <v>846</v>
      </c>
      <c r="D678" s="220" t="s">
        <v>1</v>
      </c>
      <c r="E678" s="221" t="s">
        <v>101</v>
      </c>
      <c r="F678" s="221" t="s">
        <v>849</v>
      </c>
      <c r="G678" s="226" t="s">
        <v>281</v>
      </c>
      <c r="H678" s="222" t="s">
        <v>281</v>
      </c>
      <c r="I678" s="222" t="s">
        <v>20</v>
      </c>
      <c r="J678" s="222" t="s">
        <v>15</v>
      </c>
      <c r="K678" s="222" t="s">
        <v>248</v>
      </c>
      <c r="L678" s="222" t="s">
        <v>281</v>
      </c>
      <c r="M678" s="222" t="s">
        <v>281</v>
      </c>
      <c r="N678" s="222" t="s">
        <v>281</v>
      </c>
      <c r="O678" s="223" t="s">
        <v>2</v>
      </c>
      <c r="P678" s="223" t="s">
        <v>2</v>
      </c>
      <c r="Q678" s="223" t="s">
        <v>15</v>
      </c>
      <c r="R678" s="223" t="s">
        <v>15</v>
      </c>
      <c r="S678" s="223" t="s">
        <v>16</v>
      </c>
      <c r="T678" s="223" t="s">
        <v>328</v>
      </c>
      <c r="U678" s="223" t="s">
        <v>248</v>
      </c>
      <c r="V678" s="223" t="s">
        <v>281</v>
      </c>
      <c r="W678" s="224" t="s">
        <v>281</v>
      </c>
      <c r="X678" s="224" t="s">
        <v>281</v>
      </c>
      <c r="Y678" s="225" t="s">
        <v>281</v>
      </c>
    </row>
    <row r="679" spans="1:25">
      <c r="A679" s="219">
        <v>13</v>
      </c>
      <c r="B679" s="220" t="str">
        <f>VLOOKUP(Tabel10[[#This Row],[Code]],Ruimtegroepen[[Code]:[Ruimte omschrijving]],2,FALSE)</f>
        <v>Personeelskamer</v>
      </c>
      <c r="C679" s="221" t="s">
        <v>846</v>
      </c>
      <c r="D679" s="220" t="s">
        <v>1</v>
      </c>
      <c r="E679" s="221" t="s">
        <v>102</v>
      </c>
      <c r="F679" s="221" t="s">
        <v>850</v>
      </c>
      <c r="G679" s="226" t="s">
        <v>281</v>
      </c>
      <c r="H679" s="222" t="s">
        <v>281</v>
      </c>
      <c r="I679" s="222" t="s">
        <v>20</v>
      </c>
      <c r="J679" s="222" t="s">
        <v>15</v>
      </c>
      <c r="K679" s="222" t="s">
        <v>248</v>
      </c>
      <c r="L679" s="222" t="s">
        <v>281</v>
      </c>
      <c r="M679" s="222" t="s">
        <v>281</v>
      </c>
      <c r="N679" s="222" t="s">
        <v>281</v>
      </c>
      <c r="O679" s="223" t="s">
        <v>2</v>
      </c>
      <c r="P679" s="223" t="s">
        <v>2</v>
      </c>
      <c r="Q679" s="223" t="s">
        <v>15</v>
      </c>
      <c r="R679" s="223" t="s">
        <v>15</v>
      </c>
      <c r="S679" s="223" t="s">
        <v>16</v>
      </c>
      <c r="T679" s="223" t="s">
        <v>328</v>
      </c>
      <c r="U679" s="223" t="s">
        <v>248</v>
      </c>
      <c r="V679" s="223" t="s">
        <v>281</v>
      </c>
      <c r="W679" s="224" t="s">
        <v>281</v>
      </c>
      <c r="X679" s="224" t="s">
        <v>281</v>
      </c>
      <c r="Y679" s="225" t="s">
        <v>281</v>
      </c>
    </row>
    <row r="680" spans="1:25">
      <c r="A680" s="219">
        <v>13</v>
      </c>
      <c r="B680" s="220" t="str">
        <f>VLOOKUP(Tabel10[[#This Row],[Code]],Ruimtegroepen[[Code]:[Ruimte omschrijving]],2,FALSE)</f>
        <v>Personeelskamer</v>
      </c>
      <c r="C680" s="221" t="s">
        <v>846</v>
      </c>
      <c r="D680" s="220" t="s">
        <v>1</v>
      </c>
      <c r="E680" s="221" t="s">
        <v>99</v>
      </c>
      <c r="F680" s="221" t="s">
        <v>848</v>
      </c>
      <c r="G680" s="222" t="s">
        <v>20</v>
      </c>
      <c r="H680" s="222" t="s">
        <v>15</v>
      </c>
      <c r="I680" s="222" t="s">
        <v>281</v>
      </c>
      <c r="J680" s="222" t="s">
        <v>281</v>
      </c>
      <c r="K680" s="222" t="s">
        <v>281</v>
      </c>
      <c r="L680" s="222" t="s">
        <v>281</v>
      </c>
      <c r="M680" s="222" t="s">
        <v>281</v>
      </c>
      <c r="N680" s="222" t="s">
        <v>281</v>
      </c>
      <c r="O680" s="223" t="s">
        <v>2</v>
      </c>
      <c r="P680" s="223" t="s">
        <v>2</v>
      </c>
      <c r="Q680" s="223" t="s">
        <v>15</v>
      </c>
      <c r="R680" s="223" t="s">
        <v>15</v>
      </c>
      <c r="S680" s="223" t="s">
        <v>16</v>
      </c>
      <c r="T680" s="223" t="s">
        <v>328</v>
      </c>
      <c r="U680" s="223" t="s">
        <v>248</v>
      </c>
      <c r="V680" s="223" t="s">
        <v>281</v>
      </c>
      <c r="W680" s="224" t="s">
        <v>281</v>
      </c>
      <c r="X680" s="224" t="s">
        <v>281</v>
      </c>
      <c r="Y680" s="225" t="s">
        <v>281</v>
      </c>
    </row>
    <row r="681" spans="1:25">
      <c r="A681" s="219">
        <v>13</v>
      </c>
      <c r="B681" s="220" t="str">
        <f>VLOOKUP(Tabel10[[#This Row],[Code]],Ruimtegroepen[[Code]:[Ruimte omschrijving]],2,FALSE)</f>
        <v>Personeelskamer</v>
      </c>
      <c r="C681" s="221" t="s">
        <v>846</v>
      </c>
      <c r="D681" s="220" t="s">
        <v>1</v>
      </c>
      <c r="E681" s="221" t="s">
        <v>1309</v>
      </c>
      <c r="F681" s="221" t="s">
        <v>1470</v>
      </c>
      <c r="G681" s="226" t="s">
        <v>281</v>
      </c>
      <c r="H681" s="222" t="s">
        <v>281</v>
      </c>
      <c r="I681" s="222" t="s">
        <v>20</v>
      </c>
      <c r="J681" s="222" t="s">
        <v>15</v>
      </c>
      <c r="K681" s="222" t="s">
        <v>248</v>
      </c>
      <c r="L681" s="222" t="s">
        <v>281</v>
      </c>
      <c r="M681" s="222" t="s">
        <v>281</v>
      </c>
      <c r="N681" s="222" t="s">
        <v>281</v>
      </c>
      <c r="O681" s="223" t="s">
        <v>2</v>
      </c>
      <c r="P681" s="223" t="s">
        <v>2</v>
      </c>
      <c r="Q681" s="223" t="s">
        <v>15</v>
      </c>
      <c r="R681" s="223" t="s">
        <v>15</v>
      </c>
      <c r="S681" s="223" t="s">
        <v>16</v>
      </c>
      <c r="T681" s="223" t="s">
        <v>328</v>
      </c>
      <c r="U681" s="223" t="s">
        <v>248</v>
      </c>
      <c r="V681" s="223" t="s">
        <v>281</v>
      </c>
      <c r="W681" s="224" t="s">
        <v>281</v>
      </c>
      <c r="X681" s="224" t="s">
        <v>281</v>
      </c>
      <c r="Y681" s="225" t="s">
        <v>281</v>
      </c>
    </row>
    <row r="682" spans="1:25">
      <c r="A682" s="219">
        <v>13</v>
      </c>
      <c r="B682" s="220" t="str">
        <f>VLOOKUP(Tabel10[[#This Row],[Code]],Ruimtegroepen[[Code]:[Ruimte omschrijving]],2,FALSE)</f>
        <v>Personeelskamer</v>
      </c>
      <c r="C682" s="221" t="s">
        <v>851</v>
      </c>
      <c r="D682" s="220" t="s">
        <v>21</v>
      </c>
      <c r="E682" s="221" t="s">
        <v>100</v>
      </c>
      <c r="F682" s="221" t="s">
        <v>852</v>
      </c>
      <c r="G682" s="226" t="s">
        <v>281</v>
      </c>
      <c r="H682" s="222" t="s">
        <v>281</v>
      </c>
      <c r="I682" s="222" t="s">
        <v>18</v>
      </c>
      <c r="J682" s="222" t="s">
        <v>15</v>
      </c>
      <c r="K682" s="222" t="s">
        <v>281</v>
      </c>
      <c r="L682" s="222" t="s">
        <v>281</v>
      </c>
      <c r="M682" s="222" t="s">
        <v>281</v>
      </c>
      <c r="N682" s="222" t="s">
        <v>281</v>
      </c>
      <c r="O682" s="223" t="s">
        <v>20</v>
      </c>
      <c r="P682" s="223" t="s">
        <v>20</v>
      </c>
      <c r="Q682" s="223" t="s">
        <v>15</v>
      </c>
      <c r="R682" s="223" t="s">
        <v>15</v>
      </c>
      <c r="S682" s="223" t="s">
        <v>16</v>
      </c>
      <c r="T682" s="223" t="s">
        <v>328</v>
      </c>
      <c r="U682" s="223" t="s">
        <v>248</v>
      </c>
      <c r="V682" s="223" t="s">
        <v>281</v>
      </c>
      <c r="W682" s="224" t="s">
        <v>281</v>
      </c>
      <c r="X682" s="224" t="s">
        <v>281</v>
      </c>
      <c r="Y682" s="225" t="s">
        <v>281</v>
      </c>
    </row>
    <row r="683" spans="1:25">
      <c r="A683" s="219">
        <v>13</v>
      </c>
      <c r="B683" s="220" t="str">
        <f>VLOOKUP(Tabel10[[#This Row],[Code]],Ruimtegroepen[[Code]:[Ruimte omschrijving]],2,FALSE)</f>
        <v>Personeelskamer</v>
      </c>
      <c r="C683" s="221" t="s">
        <v>851</v>
      </c>
      <c r="D683" s="220" t="s">
        <v>21</v>
      </c>
      <c r="E683" s="221" t="s">
        <v>99</v>
      </c>
      <c r="F683" s="221" t="s">
        <v>853</v>
      </c>
      <c r="G683" s="222" t="s">
        <v>18</v>
      </c>
      <c r="H683" s="222" t="s">
        <v>15</v>
      </c>
      <c r="I683" s="222" t="s">
        <v>281</v>
      </c>
      <c r="J683" s="222" t="s">
        <v>281</v>
      </c>
      <c r="K683" s="222" t="s">
        <v>281</v>
      </c>
      <c r="L683" s="222" t="s">
        <v>281</v>
      </c>
      <c r="M683" s="222" t="s">
        <v>281</v>
      </c>
      <c r="N683" s="222" t="s">
        <v>281</v>
      </c>
      <c r="O683" s="223" t="s">
        <v>20</v>
      </c>
      <c r="P683" s="223" t="s">
        <v>20</v>
      </c>
      <c r="Q683" s="223" t="s">
        <v>15</v>
      </c>
      <c r="R683" s="223" t="s">
        <v>15</v>
      </c>
      <c r="S683" s="223" t="s">
        <v>16</v>
      </c>
      <c r="T683" s="223" t="s">
        <v>328</v>
      </c>
      <c r="U683" s="223" t="s">
        <v>248</v>
      </c>
      <c r="V683" s="223" t="s">
        <v>281</v>
      </c>
      <c r="W683" s="224" t="s">
        <v>281</v>
      </c>
      <c r="X683" s="224" t="s">
        <v>281</v>
      </c>
      <c r="Y683" s="225" t="s">
        <v>281</v>
      </c>
    </row>
    <row r="684" spans="1:25">
      <c r="A684" s="219">
        <v>13</v>
      </c>
      <c r="B684" s="220" t="str">
        <f>VLOOKUP(Tabel10[[#This Row],[Code]],Ruimtegroepen[[Code]:[Ruimte omschrijving]],2,FALSE)</f>
        <v>Personeelskamer</v>
      </c>
      <c r="C684" s="221" t="s">
        <v>851</v>
      </c>
      <c r="D684" s="220" t="s">
        <v>21</v>
      </c>
      <c r="E684" s="221" t="s">
        <v>101</v>
      </c>
      <c r="F684" s="221" t="s">
        <v>854</v>
      </c>
      <c r="G684" s="226" t="s">
        <v>281</v>
      </c>
      <c r="H684" s="222" t="s">
        <v>281</v>
      </c>
      <c r="I684" s="222" t="s">
        <v>18</v>
      </c>
      <c r="J684" s="222" t="s">
        <v>15</v>
      </c>
      <c r="K684" s="222" t="s">
        <v>248</v>
      </c>
      <c r="L684" s="222" t="s">
        <v>281</v>
      </c>
      <c r="M684" s="222" t="s">
        <v>281</v>
      </c>
      <c r="N684" s="222" t="s">
        <v>281</v>
      </c>
      <c r="O684" s="223" t="s">
        <v>20</v>
      </c>
      <c r="P684" s="223" t="s">
        <v>20</v>
      </c>
      <c r="Q684" s="223" t="s">
        <v>15</v>
      </c>
      <c r="R684" s="223" t="s">
        <v>15</v>
      </c>
      <c r="S684" s="223" t="s">
        <v>16</v>
      </c>
      <c r="T684" s="223" t="s">
        <v>328</v>
      </c>
      <c r="U684" s="223" t="s">
        <v>248</v>
      </c>
      <c r="V684" s="223" t="s">
        <v>281</v>
      </c>
      <c r="W684" s="224" t="s">
        <v>281</v>
      </c>
      <c r="X684" s="224" t="s">
        <v>281</v>
      </c>
      <c r="Y684" s="225" t="s">
        <v>281</v>
      </c>
    </row>
    <row r="685" spans="1:25">
      <c r="A685" s="219">
        <v>13</v>
      </c>
      <c r="B685" s="220" t="str">
        <f>VLOOKUP(Tabel10[[#This Row],[Code]],Ruimtegroepen[[Code]:[Ruimte omschrijving]],2,FALSE)</f>
        <v>Personeelskamer</v>
      </c>
      <c r="C685" s="221" t="s">
        <v>851</v>
      </c>
      <c r="D685" s="220" t="s">
        <v>21</v>
      </c>
      <c r="E685" s="221" t="s">
        <v>102</v>
      </c>
      <c r="F685" s="221" t="s">
        <v>855</v>
      </c>
      <c r="G685" s="226" t="s">
        <v>281</v>
      </c>
      <c r="H685" s="222" t="s">
        <v>281</v>
      </c>
      <c r="I685" s="222" t="s">
        <v>18</v>
      </c>
      <c r="J685" s="222" t="s">
        <v>15</v>
      </c>
      <c r="K685" s="222" t="s">
        <v>248</v>
      </c>
      <c r="L685" s="222" t="s">
        <v>281</v>
      </c>
      <c r="M685" s="222" t="s">
        <v>281</v>
      </c>
      <c r="N685" s="222" t="s">
        <v>281</v>
      </c>
      <c r="O685" s="223" t="s">
        <v>20</v>
      </c>
      <c r="P685" s="223" t="s">
        <v>20</v>
      </c>
      <c r="Q685" s="223" t="s">
        <v>15</v>
      </c>
      <c r="R685" s="223" t="s">
        <v>15</v>
      </c>
      <c r="S685" s="223" t="s">
        <v>16</v>
      </c>
      <c r="T685" s="223" t="s">
        <v>328</v>
      </c>
      <c r="U685" s="223" t="s">
        <v>248</v>
      </c>
      <c r="V685" s="223" t="s">
        <v>281</v>
      </c>
      <c r="W685" s="224" t="s">
        <v>281</v>
      </c>
      <c r="X685" s="224" t="s">
        <v>281</v>
      </c>
      <c r="Y685" s="225" t="s">
        <v>281</v>
      </c>
    </row>
    <row r="686" spans="1:25">
      <c r="A686" s="219">
        <v>13</v>
      </c>
      <c r="B686" s="220" t="str">
        <f>VLOOKUP(Tabel10[[#This Row],[Code]],Ruimtegroepen[[Code]:[Ruimte omschrijving]],2,FALSE)</f>
        <v>Personeelskamer</v>
      </c>
      <c r="C686" s="221" t="s">
        <v>851</v>
      </c>
      <c r="D686" s="220" t="s">
        <v>21</v>
      </c>
      <c r="E686" s="221" t="s">
        <v>99</v>
      </c>
      <c r="F686" s="221" t="s">
        <v>853</v>
      </c>
      <c r="G686" s="222" t="s">
        <v>18</v>
      </c>
      <c r="H686" s="222" t="s">
        <v>15</v>
      </c>
      <c r="I686" s="222" t="s">
        <v>281</v>
      </c>
      <c r="J686" s="222" t="s">
        <v>281</v>
      </c>
      <c r="K686" s="222" t="s">
        <v>281</v>
      </c>
      <c r="L686" s="222" t="s">
        <v>281</v>
      </c>
      <c r="M686" s="222" t="s">
        <v>281</v>
      </c>
      <c r="N686" s="222" t="s">
        <v>281</v>
      </c>
      <c r="O686" s="223" t="s">
        <v>20</v>
      </c>
      <c r="P686" s="223" t="s">
        <v>20</v>
      </c>
      <c r="Q686" s="223" t="s">
        <v>15</v>
      </c>
      <c r="R686" s="223" t="s">
        <v>15</v>
      </c>
      <c r="S686" s="223" t="s">
        <v>16</v>
      </c>
      <c r="T686" s="223" t="s">
        <v>328</v>
      </c>
      <c r="U686" s="223" t="s">
        <v>248</v>
      </c>
      <c r="V686" s="223" t="s">
        <v>281</v>
      </c>
      <c r="W686" s="224" t="s">
        <v>281</v>
      </c>
      <c r="X686" s="224" t="s">
        <v>281</v>
      </c>
      <c r="Y686" s="225" t="s">
        <v>281</v>
      </c>
    </row>
    <row r="687" spans="1:25">
      <c r="A687" s="219">
        <v>13</v>
      </c>
      <c r="B687" s="220" t="str">
        <f>VLOOKUP(Tabel10[[#This Row],[Code]],Ruimtegroepen[[Code]:[Ruimte omschrijving]],2,FALSE)</f>
        <v>Personeelskamer</v>
      </c>
      <c r="C687" s="221" t="s">
        <v>851</v>
      </c>
      <c r="D687" s="220" t="s">
        <v>21</v>
      </c>
      <c r="E687" s="221" t="s">
        <v>1309</v>
      </c>
      <c r="F687" s="221" t="s">
        <v>1453</v>
      </c>
      <c r="G687" s="226" t="s">
        <v>281</v>
      </c>
      <c r="H687" s="222" t="s">
        <v>281</v>
      </c>
      <c r="I687" s="222" t="s">
        <v>18</v>
      </c>
      <c r="J687" s="222" t="s">
        <v>15</v>
      </c>
      <c r="K687" s="222" t="s">
        <v>248</v>
      </c>
      <c r="L687" s="222" t="s">
        <v>281</v>
      </c>
      <c r="M687" s="222" t="s">
        <v>281</v>
      </c>
      <c r="N687" s="222" t="s">
        <v>281</v>
      </c>
      <c r="O687" s="223" t="s">
        <v>20</v>
      </c>
      <c r="P687" s="223" t="s">
        <v>20</v>
      </c>
      <c r="Q687" s="223" t="s">
        <v>15</v>
      </c>
      <c r="R687" s="223" t="s">
        <v>15</v>
      </c>
      <c r="S687" s="223" t="s">
        <v>16</v>
      </c>
      <c r="T687" s="223" t="s">
        <v>328</v>
      </c>
      <c r="U687" s="223" t="s">
        <v>248</v>
      </c>
      <c r="V687" s="223" t="s">
        <v>281</v>
      </c>
      <c r="W687" s="224" t="s">
        <v>281</v>
      </c>
      <c r="X687" s="224" t="s">
        <v>281</v>
      </c>
      <c r="Y687" s="225" t="s">
        <v>281</v>
      </c>
    </row>
    <row r="688" spans="1:25">
      <c r="A688" s="219">
        <v>13</v>
      </c>
      <c r="B688" s="220" t="str">
        <f>VLOOKUP(Tabel10[[#This Row],[Code]],Ruimtegroepen[[Code]:[Ruimte omschrijving]],2,FALSE)</f>
        <v>Personeelskamer</v>
      </c>
      <c r="C688" s="221" t="s">
        <v>856</v>
      </c>
      <c r="D688" s="220" t="s">
        <v>12</v>
      </c>
      <c r="E688" s="221" t="s">
        <v>100</v>
      </c>
      <c r="F688" s="221" t="s">
        <v>857</v>
      </c>
      <c r="G688" s="226" t="s">
        <v>281</v>
      </c>
      <c r="H688" s="222" t="s">
        <v>281</v>
      </c>
      <c r="I688" s="222" t="s">
        <v>17</v>
      </c>
      <c r="J688" s="222" t="s">
        <v>15</v>
      </c>
      <c r="K688" s="222" t="s">
        <v>281</v>
      </c>
      <c r="L688" s="222" t="s">
        <v>281</v>
      </c>
      <c r="M688" s="222" t="s">
        <v>281</v>
      </c>
      <c r="N688" s="222" t="s">
        <v>281</v>
      </c>
      <c r="O688" s="223" t="s">
        <v>18</v>
      </c>
      <c r="P688" s="223" t="s">
        <v>18</v>
      </c>
      <c r="Q688" s="223" t="s">
        <v>15</v>
      </c>
      <c r="R688" s="223" t="s">
        <v>15</v>
      </c>
      <c r="S688" s="223" t="s">
        <v>16</v>
      </c>
      <c r="T688" s="223" t="s">
        <v>328</v>
      </c>
      <c r="U688" s="223" t="s">
        <v>248</v>
      </c>
      <c r="V688" s="223" t="s">
        <v>281</v>
      </c>
      <c r="W688" s="224" t="s">
        <v>281</v>
      </c>
      <c r="X688" s="224" t="s">
        <v>281</v>
      </c>
      <c r="Y688" s="225" t="s">
        <v>281</v>
      </c>
    </row>
    <row r="689" spans="1:25">
      <c r="A689" s="219">
        <v>13</v>
      </c>
      <c r="B689" s="220" t="str">
        <f>VLOOKUP(Tabel10[[#This Row],[Code]],Ruimtegroepen[[Code]:[Ruimte omschrijving]],2,FALSE)</f>
        <v>Personeelskamer</v>
      </c>
      <c r="C689" s="221" t="s">
        <v>856</v>
      </c>
      <c r="D689" s="220" t="s">
        <v>12</v>
      </c>
      <c r="E689" s="221" t="s">
        <v>99</v>
      </c>
      <c r="F689" s="221" t="s">
        <v>858</v>
      </c>
      <c r="G689" s="222" t="s">
        <v>17</v>
      </c>
      <c r="H689" s="222" t="s">
        <v>15</v>
      </c>
      <c r="I689" s="222" t="s">
        <v>281</v>
      </c>
      <c r="J689" s="222" t="s">
        <v>281</v>
      </c>
      <c r="K689" s="222" t="s">
        <v>281</v>
      </c>
      <c r="L689" s="222" t="s">
        <v>281</v>
      </c>
      <c r="M689" s="222" t="s">
        <v>281</v>
      </c>
      <c r="N689" s="222" t="s">
        <v>281</v>
      </c>
      <c r="O689" s="223" t="s">
        <v>18</v>
      </c>
      <c r="P689" s="223" t="s">
        <v>18</v>
      </c>
      <c r="Q689" s="223" t="s">
        <v>15</v>
      </c>
      <c r="R689" s="223" t="s">
        <v>15</v>
      </c>
      <c r="S689" s="223" t="s">
        <v>16</v>
      </c>
      <c r="T689" s="223" t="s">
        <v>328</v>
      </c>
      <c r="U689" s="223" t="s">
        <v>248</v>
      </c>
      <c r="V689" s="223" t="s">
        <v>281</v>
      </c>
      <c r="W689" s="224" t="s">
        <v>281</v>
      </c>
      <c r="X689" s="224" t="s">
        <v>281</v>
      </c>
      <c r="Y689" s="225" t="s">
        <v>281</v>
      </c>
    </row>
    <row r="690" spans="1:25">
      <c r="A690" s="219">
        <v>13</v>
      </c>
      <c r="B690" s="220" t="str">
        <f>VLOOKUP(Tabel10[[#This Row],[Code]],Ruimtegroepen[[Code]:[Ruimte omschrijving]],2,FALSE)</f>
        <v>Personeelskamer</v>
      </c>
      <c r="C690" s="221" t="s">
        <v>856</v>
      </c>
      <c r="D690" s="220" t="s">
        <v>12</v>
      </c>
      <c r="E690" s="221" t="s">
        <v>101</v>
      </c>
      <c r="F690" s="221" t="s">
        <v>859</v>
      </c>
      <c r="G690" s="226" t="s">
        <v>281</v>
      </c>
      <c r="H690" s="222" t="s">
        <v>281</v>
      </c>
      <c r="I690" s="222" t="s">
        <v>17</v>
      </c>
      <c r="J690" s="222" t="s">
        <v>15</v>
      </c>
      <c r="K690" s="222" t="s">
        <v>248</v>
      </c>
      <c r="L690" s="222" t="s">
        <v>281</v>
      </c>
      <c r="M690" s="222" t="s">
        <v>281</v>
      </c>
      <c r="N690" s="222" t="s">
        <v>281</v>
      </c>
      <c r="O690" s="223" t="s">
        <v>18</v>
      </c>
      <c r="P690" s="223" t="s">
        <v>18</v>
      </c>
      <c r="Q690" s="223" t="s">
        <v>15</v>
      </c>
      <c r="R690" s="223" t="s">
        <v>15</v>
      </c>
      <c r="S690" s="223" t="s">
        <v>16</v>
      </c>
      <c r="T690" s="223" t="s">
        <v>328</v>
      </c>
      <c r="U690" s="223" t="s">
        <v>248</v>
      </c>
      <c r="V690" s="223" t="s">
        <v>281</v>
      </c>
      <c r="W690" s="224" t="s">
        <v>281</v>
      </c>
      <c r="X690" s="224" t="s">
        <v>281</v>
      </c>
      <c r="Y690" s="225" t="s">
        <v>281</v>
      </c>
    </row>
    <row r="691" spans="1:25">
      <c r="A691" s="219">
        <v>13</v>
      </c>
      <c r="B691" s="220" t="str">
        <f>VLOOKUP(Tabel10[[#This Row],[Code]],Ruimtegroepen[[Code]:[Ruimte omschrijving]],2,FALSE)</f>
        <v>Personeelskamer</v>
      </c>
      <c r="C691" s="221" t="s">
        <v>856</v>
      </c>
      <c r="D691" s="220" t="s">
        <v>12</v>
      </c>
      <c r="E691" s="221" t="s">
        <v>102</v>
      </c>
      <c r="F691" s="221" t="s">
        <v>860</v>
      </c>
      <c r="G691" s="226" t="s">
        <v>281</v>
      </c>
      <c r="H691" s="222" t="s">
        <v>281</v>
      </c>
      <c r="I691" s="222" t="s">
        <v>17</v>
      </c>
      <c r="J691" s="222" t="s">
        <v>15</v>
      </c>
      <c r="K691" s="222" t="s">
        <v>248</v>
      </c>
      <c r="L691" s="222" t="s">
        <v>281</v>
      </c>
      <c r="M691" s="222" t="s">
        <v>281</v>
      </c>
      <c r="N691" s="222" t="s">
        <v>281</v>
      </c>
      <c r="O691" s="223" t="s">
        <v>18</v>
      </c>
      <c r="P691" s="223" t="s">
        <v>18</v>
      </c>
      <c r="Q691" s="223" t="s">
        <v>15</v>
      </c>
      <c r="R691" s="223" t="s">
        <v>15</v>
      </c>
      <c r="S691" s="223" t="s">
        <v>16</v>
      </c>
      <c r="T691" s="223" t="s">
        <v>328</v>
      </c>
      <c r="U691" s="223" t="s">
        <v>248</v>
      </c>
      <c r="V691" s="223" t="s">
        <v>281</v>
      </c>
      <c r="W691" s="224" t="s">
        <v>281</v>
      </c>
      <c r="X691" s="224" t="s">
        <v>281</v>
      </c>
      <c r="Y691" s="225" t="s">
        <v>281</v>
      </c>
    </row>
    <row r="692" spans="1:25">
      <c r="A692" s="219">
        <v>13</v>
      </c>
      <c r="B692" s="220" t="str">
        <f>VLOOKUP(Tabel10[[#This Row],[Code]],Ruimtegroepen[[Code]:[Ruimte omschrijving]],2,FALSE)</f>
        <v>Personeelskamer</v>
      </c>
      <c r="C692" s="221" t="s">
        <v>856</v>
      </c>
      <c r="D692" s="220" t="s">
        <v>12</v>
      </c>
      <c r="E692" s="221" t="s">
        <v>99</v>
      </c>
      <c r="F692" s="221" t="s">
        <v>858</v>
      </c>
      <c r="G692" s="222" t="s">
        <v>17</v>
      </c>
      <c r="H692" s="222" t="s">
        <v>15</v>
      </c>
      <c r="I692" s="222" t="s">
        <v>281</v>
      </c>
      <c r="J692" s="222" t="s">
        <v>281</v>
      </c>
      <c r="K692" s="222" t="s">
        <v>281</v>
      </c>
      <c r="L692" s="222" t="s">
        <v>281</v>
      </c>
      <c r="M692" s="222" t="s">
        <v>281</v>
      </c>
      <c r="N692" s="222" t="s">
        <v>281</v>
      </c>
      <c r="O692" s="223" t="s">
        <v>18</v>
      </c>
      <c r="P692" s="223" t="s">
        <v>18</v>
      </c>
      <c r="Q692" s="223" t="s">
        <v>15</v>
      </c>
      <c r="R692" s="223" t="s">
        <v>15</v>
      </c>
      <c r="S692" s="223" t="s">
        <v>16</v>
      </c>
      <c r="T692" s="223" t="s">
        <v>328</v>
      </c>
      <c r="U692" s="223" t="s">
        <v>248</v>
      </c>
      <c r="V692" s="223" t="s">
        <v>281</v>
      </c>
      <c r="W692" s="224" t="s">
        <v>281</v>
      </c>
      <c r="X692" s="224" t="s">
        <v>281</v>
      </c>
      <c r="Y692" s="225" t="s">
        <v>281</v>
      </c>
    </row>
    <row r="693" spans="1:25">
      <c r="A693" s="219">
        <v>13</v>
      </c>
      <c r="B693" s="220" t="str">
        <f>VLOOKUP(Tabel10[[#This Row],[Code]],Ruimtegroepen[[Code]:[Ruimte omschrijving]],2,FALSE)</f>
        <v>Personeelskamer</v>
      </c>
      <c r="C693" s="221" t="s">
        <v>856</v>
      </c>
      <c r="D693" s="220" t="s">
        <v>12</v>
      </c>
      <c r="E693" s="221" t="s">
        <v>1309</v>
      </c>
      <c r="F693" s="221" t="s">
        <v>1435</v>
      </c>
      <c r="G693" s="226" t="s">
        <v>281</v>
      </c>
      <c r="H693" s="222" t="s">
        <v>281</v>
      </c>
      <c r="I693" s="222" t="s">
        <v>17</v>
      </c>
      <c r="J693" s="222" t="s">
        <v>15</v>
      </c>
      <c r="K693" s="222" t="s">
        <v>248</v>
      </c>
      <c r="L693" s="222" t="s">
        <v>281</v>
      </c>
      <c r="M693" s="222" t="s">
        <v>281</v>
      </c>
      <c r="N693" s="222" t="s">
        <v>281</v>
      </c>
      <c r="O693" s="223" t="s">
        <v>18</v>
      </c>
      <c r="P693" s="223" t="s">
        <v>18</v>
      </c>
      <c r="Q693" s="223" t="s">
        <v>15</v>
      </c>
      <c r="R693" s="223" t="s">
        <v>15</v>
      </c>
      <c r="S693" s="223" t="s">
        <v>16</v>
      </c>
      <c r="T693" s="223" t="s">
        <v>328</v>
      </c>
      <c r="U693" s="223" t="s">
        <v>248</v>
      </c>
      <c r="V693" s="223" t="s">
        <v>281</v>
      </c>
      <c r="W693" s="224" t="s">
        <v>281</v>
      </c>
      <c r="X693" s="224" t="s">
        <v>281</v>
      </c>
      <c r="Y693" s="225" t="s">
        <v>281</v>
      </c>
    </row>
    <row r="694" spans="1:25">
      <c r="A694" s="219">
        <v>13</v>
      </c>
      <c r="B694" s="220" t="str">
        <f>VLOOKUP(Tabel10[[#This Row],[Code]],Ruimtegroepen[[Code]:[Ruimte omschrijving]],2,FALSE)</f>
        <v>Personeelskamer</v>
      </c>
      <c r="C694" s="221" t="s">
        <v>861</v>
      </c>
      <c r="D694" s="220" t="s">
        <v>14</v>
      </c>
      <c r="E694" s="221" t="s">
        <v>100</v>
      </c>
      <c r="F694" s="221" t="s">
        <v>862</v>
      </c>
      <c r="G694" s="226" t="s">
        <v>281</v>
      </c>
      <c r="H694" s="222" t="s">
        <v>281</v>
      </c>
      <c r="I694" s="222" t="s">
        <v>15</v>
      </c>
      <c r="J694" s="222" t="s">
        <v>15</v>
      </c>
      <c r="K694" s="222" t="s">
        <v>281</v>
      </c>
      <c r="L694" s="222" t="s">
        <v>281</v>
      </c>
      <c r="M694" s="222" t="s">
        <v>281</v>
      </c>
      <c r="N694" s="222" t="s">
        <v>281</v>
      </c>
      <c r="O694" s="223" t="s">
        <v>17</v>
      </c>
      <c r="P694" s="223" t="s">
        <v>17</v>
      </c>
      <c r="Q694" s="223" t="s">
        <v>15</v>
      </c>
      <c r="R694" s="223" t="s">
        <v>15</v>
      </c>
      <c r="S694" s="223" t="s">
        <v>16</v>
      </c>
      <c r="T694" s="223" t="s">
        <v>328</v>
      </c>
      <c r="U694" s="223" t="s">
        <v>248</v>
      </c>
      <c r="V694" s="223" t="s">
        <v>281</v>
      </c>
      <c r="W694" s="224" t="s">
        <v>281</v>
      </c>
      <c r="X694" s="224" t="s">
        <v>281</v>
      </c>
      <c r="Y694" s="225" t="s">
        <v>281</v>
      </c>
    </row>
    <row r="695" spans="1:25">
      <c r="A695" s="219">
        <v>13</v>
      </c>
      <c r="B695" s="220" t="str">
        <f>VLOOKUP(Tabel10[[#This Row],[Code]],Ruimtegroepen[[Code]:[Ruimte omschrijving]],2,FALSE)</f>
        <v>Personeelskamer</v>
      </c>
      <c r="C695" s="221" t="s">
        <v>861</v>
      </c>
      <c r="D695" s="220" t="s">
        <v>14</v>
      </c>
      <c r="E695" s="221" t="s">
        <v>99</v>
      </c>
      <c r="F695" s="221" t="s">
        <v>863</v>
      </c>
      <c r="G695" s="222" t="s">
        <v>15</v>
      </c>
      <c r="H695" s="222" t="s">
        <v>15</v>
      </c>
      <c r="I695" s="222" t="s">
        <v>281</v>
      </c>
      <c r="J695" s="222" t="s">
        <v>281</v>
      </c>
      <c r="K695" s="222" t="s">
        <v>281</v>
      </c>
      <c r="L695" s="222" t="s">
        <v>281</v>
      </c>
      <c r="M695" s="222" t="s">
        <v>281</v>
      </c>
      <c r="N695" s="222" t="s">
        <v>281</v>
      </c>
      <c r="O695" s="223" t="s">
        <v>17</v>
      </c>
      <c r="P695" s="223" t="s">
        <v>17</v>
      </c>
      <c r="Q695" s="223" t="s">
        <v>15</v>
      </c>
      <c r="R695" s="223" t="s">
        <v>15</v>
      </c>
      <c r="S695" s="223" t="s">
        <v>16</v>
      </c>
      <c r="T695" s="223" t="s">
        <v>328</v>
      </c>
      <c r="U695" s="223" t="s">
        <v>248</v>
      </c>
      <c r="V695" s="223" t="s">
        <v>281</v>
      </c>
      <c r="W695" s="224" t="s">
        <v>281</v>
      </c>
      <c r="X695" s="224" t="s">
        <v>281</v>
      </c>
      <c r="Y695" s="225" t="s">
        <v>281</v>
      </c>
    </row>
    <row r="696" spans="1:25">
      <c r="A696" s="219">
        <v>13</v>
      </c>
      <c r="B696" s="220" t="str">
        <f>VLOOKUP(Tabel10[[#This Row],[Code]],Ruimtegroepen[[Code]:[Ruimte omschrijving]],2,FALSE)</f>
        <v>Personeelskamer</v>
      </c>
      <c r="C696" s="221" t="s">
        <v>861</v>
      </c>
      <c r="D696" s="220" t="s">
        <v>14</v>
      </c>
      <c r="E696" s="221" t="s">
        <v>101</v>
      </c>
      <c r="F696" s="221" t="s">
        <v>864</v>
      </c>
      <c r="G696" s="226" t="s">
        <v>281</v>
      </c>
      <c r="H696" s="222" t="s">
        <v>281</v>
      </c>
      <c r="I696" s="222" t="s">
        <v>15</v>
      </c>
      <c r="J696" s="222" t="s">
        <v>15</v>
      </c>
      <c r="K696" s="222" t="s">
        <v>248</v>
      </c>
      <c r="L696" s="222" t="s">
        <v>281</v>
      </c>
      <c r="M696" s="222" t="s">
        <v>281</v>
      </c>
      <c r="N696" s="222" t="s">
        <v>281</v>
      </c>
      <c r="O696" s="223" t="s">
        <v>17</v>
      </c>
      <c r="P696" s="223" t="s">
        <v>17</v>
      </c>
      <c r="Q696" s="223" t="s">
        <v>15</v>
      </c>
      <c r="R696" s="223" t="s">
        <v>15</v>
      </c>
      <c r="S696" s="223" t="s">
        <v>16</v>
      </c>
      <c r="T696" s="223" t="s">
        <v>328</v>
      </c>
      <c r="U696" s="223" t="s">
        <v>248</v>
      </c>
      <c r="V696" s="223" t="s">
        <v>281</v>
      </c>
      <c r="W696" s="224" t="s">
        <v>281</v>
      </c>
      <c r="X696" s="224" t="s">
        <v>281</v>
      </c>
      <c r="Y696" s="225" t="s">
        <v>281</v>
      </c>
    </row>
    <row r="697" spans="1:25">
      <c r="A697" s="219">
        <v>13</v>
      </c>
      <c r="B697" s="220" t="str">
        <f>VLOOKUP(Tabel10[[#This Row],[Code]],Ruimtegroepen[[Code]:[Ruimte omschrijving]],2,FALSE)</f>
        <v>Personeelskamer</v>
      </c>
      <c r="C697" s="221" t="s">
        <v>861</v>
      </c>
      <c r="D697" s="220" t="s">
        <v>14</v>
      </c>
      <c r="E697" s="221" t="s">
        <v>102</v>
      </c>
      <c r="F697" s="221" t="s">
        <v>865</v>
      </c>
      <c r="G697" s="226" t="s">
        <v>281</v>
      </c>
      <c r="H697" s="222" t="s">
        <v>281</v>
      </c>
      <c r="I697" s="222" t="s">
        <v>15</v>
      </c>
      <c r="J697" s="222" t="s">
        <v>15</v>
      </c>
      <c r="K697" s="222" t="s">
        <v>248</v>
      </c>
      <c r="L697" s="222" t="s">
        <v>281</v>
      </c>
      <c r="M697" s="222" t="s">
        <v>281</v>
      </c>
      <c r="N697" s="222" t="s">
        <v>281</v>
      </c>
      <c r="O697" s="223" t="s">
        <v>17</v>
      </c>
      <c r="P697" s="223" t="s">
        <v>17</v>
      </c>
      <c r="Q697" s="223" t="s">
        <v>15</v>
      </c>
      <c r="R697" s="223" t="s">
        <v>15</v>
      </c>
      <c r="S697" s="223" t="s">
        <v>16</v>
      </c>
      <c r="T697" s="223" t="s">
        <v>328</v>
      </c>
      <c r="U697" s="223" t="s">
        <v>248</v>
      </c>
      <c r="V697" s="223" t="s">
        <v>281</v>
      </c>
      <c r="W697" s="224" t="s">
        <v>281</v>
      </c>
      <c r="X697" s="224" t="s">
        <v>281</v>
      </c>
      <c r="Y697" s="225" t="s">
        <v>281</v>
      </c>
    </row>
    <row r="698" spans="1:25">
      <c r="A698" s="219">
        <v>13</v>
      </c>
      <c r="B698" s="220" t="str">
        <f>VLOOKUP(Tabel10[[#This Row],[Code]],Ruimtegroepen[[Code]:[Ruimte omschrijving]],2,FALSE)</f>
        <v>Personeelskamer</v>
      </c>
      <c r="C698" s="221" t="s">
        <v>861</v>
      </c>
      <c r="D698" s="220" t="s">
        <v>14</v>
      </c>
      <c r="E698" s="221" t="s">
        <v>99</v>
      </c>
      <c r="F698" s="221" t="s">
        <v>863</v>
      </c>
      <c r="G698" s="222" t="s">
        <v>15</v>
      </c>
      <c r="H698" s="222" t="s">
        <v>15</v>
      </c>
      <c r="I698" s="222" t="s">
        <v>281</v>
      </c>
      <c r="J698" s="222" t="s">
        <v>281</v>
      </c>
      <c r="K698" s="222" t="s">
        <v>281</v>
      </c>
      <c r="L698" s="222" t="s">
        <v>281</v>
      </c>
      <c r="M698" s="222" t="s">
        <v>281</v>
      </c>
      <c r="N698" s="222" t="s">
        <v>281</v>
      </c>
      <c r="O698" s="223" t="s">
        <v>17</v>
      </c>
      <c r="P698" s="223" t="s">
        <v>17</v>
      </c>
      <c r="Q698" s="223" t="s">
        <v>15</v>
      </c>
      <c r="R698" s="223" t="s">
        <v>15</v>
      </c>
      <c r="S698" s="223" t="s">
        <v>16</v>
      </c>
      <c r="T698" s="223" t="s">
        <v>328</v>
      </c>
      <c r="U698" s="223" t="s">
        <v>248</v>
      </c>
      <c r="V698" s="223" t="s">
        <v>281</v>
      </c>
      <c r="W698" s="224" t="s">
        <v>281</v>
      </c>
      <c r="X698" s="224" t="s">
        <v>281</v>
      </c>
      <c r="Y698" s="225" t="s">
        <v>281</v>
      </c>
    </row>
    <row r="699" spans="1:25">
      <c r="A699" s="219">
        <v>13</v>
      </c>
      <c r="B699" s="220" t="str">
        <f>VLOOKUP(Tabel10[[#This Row],[Code]],Ruimtegroepen[[Code]:[Ruimte omschrijving]],2,FALSE)</f>
        <v>Personeelskamer</v>
      </c>
      <c r="C699" s="221" t="s">
        <v>861</v>
      </c>
      <c r="D699" s="220" t="s">
        <v>14</v>
      </c>
      <c r="E699" s="221" t="s">
        <v>1309</v>
      </c>
      <c r="F699" s="221" t="s">
        <v>1402</v>
      </c>
      <c r="G699" s="226" t="s">
        <v>281</v>
      </c>
      <c r="H699" s="222" t="s">
        <v>281</v>
      </c>
      <c r="I699" s="222" t="s">
        <v>15</v>
      </c>
      <c r="J699" s="222" t="s">
        <v>15</v>
      </c>
      <c r="K699" s="222" t="s">
        <v>248</v>
      </c>
      <c r="L699" s="222" t="s">
        <v>281</v>
      </c>
      <c r="M699" s="222" t="s">
        <v>281</v>
      </c>
      <c r="N699" s="222" t="s">
        <v>281</v>
      </c>
      <c r="O699" s="223" t="s">
        <v>17</v>
      </c>
      <c r="P699" s="223" t="s">
        <v>17</v>
      </c>
      <c r="Q699" s="223" t="s">
        <v>15</v>
      </c>
      <c r="R699" s="223" t="s">
        <v>15</v>
      </c>
      <c r="S699" s="223" t="s">
        <v>16</v>
      </c>
      <c r="T699" s="223" t="s">
        <v>328</v>
      </c>
      <c r="U699" s="223" t="s">
        <v>248</v>
      </c>
      <c r="V699" s="223" t="s">
        <v>281</v>
      </c>
      <c r="W699" s="224" t="s">
        <v>281</v>
      </c>
      <c r="X699" s="224" t="s">
        <v>281</v>
      </c>
      <c r="Y699" s="225" t="s">
        <v>281</v>
      </c>
    </row>
    <row r="700" spans="1:25">
      <c r="A700" s="219">
        <v>13</v>
      </c>
      <c r="B700" s="220" t="str">
        <f>VLOOKUP(Tabel10[[#This Row],[Code]],Ruimtegroepen[[Code]:[Ruimte omschrijving]],2,FALSE)</f>
        <v>Personeelskamer</v>
      </c>
      <c r="C700" s="221" t="s">
        <v>866</v>
      </c>
      <c r="D700" s="220" t="s">
        <v>13</v>
      </c>
      <c r="E700" s="221" t="s">
        <v>100</v>
      </c>
      <c r="F700" s="221" t="s">
        <v>867</v>
      </c>
      <c r="G700" s="226" t="s">
        <v>281</v>
      </c>
      <c r="H700" s="222" t="s">
        <v>281</v>
      </c>
      <c r="I700" s="222" t="s">
        <v>281</v>
      </c>
      <c r="J700" s="222" t="s">
        <v>15</v>
      </c>
      <c r="K700" s="222" t="s">
        <v>281</v>
      </c>
      <c r="L700" s="222" t="s">
        <v>281</v>
      </c>
      <c r="M700" s="222" t="s">
        <v>281</v>
      </c>
      <c r="N700" s="222" t="s">
        <v>281</v>
      </c>
      <c r="O700" s="223" t="s">
        <v>15</v>
      </c>
      <c r="P700" s="223" t="s">
        <v>15</v>
      </c>
      <c r="Q700" s="223" t="s">
        <v>15</v>
      </c>
      <c r="R700" s="223" t="s">
        <v>15</v>
      </c>
      <c r="S700" s="223" t="s">
        <v>16</v>
      </c>
      <c r="T700" s="223" t="s">
        <v>328</v>
      </c>
      <c r="U700" s="223" t="s">
        <v>248</v>
      </c>
      <c r="V700" s="223" t="s">
        <v>281</v>
      </c>
      <c r="W700" s="224" t="s">
        <v>281</v>
      </c>
      <c r="X700" s="224" t="s">
        <v>281</v>
      </c>
      <c r="Y700" s="225" t="s">
        <v>281</v>
      </c>
    </row>
    <row r="701" spans="1:25">
      <c r="A701" s="219">
        <v>13</v>
      </c>
      <c r="B701" s="220" t="str">
        <f>VLOOKUP(Tabel10[[#This Row],[Code]],Ruimtegroepen[[Code]:[Ruimte omschrijving]],2,FALSE)</f>
        <v>Personeelskamer</v>
      </c>
      <c r="C701" s="221" t="s">
        <v>866</v>
      </c>
      <c r="D701" s="220" t="s">
        <v>13</v>
      </c>
      <c r="E701" s="221" t="s">
        <v>99</v>
      </c>
      <c r="F701" s="221" t="s">
        <v>868</v>
      </c>
      <c r="G701" s="226" t="s">
        <v>281</v>
      </c>
      <c r="H701" s="222" t="s">
        <v>15</v>
      </c>
      <c r="I701" s="222" t="s">
        <v>281</v>
      </c>
      <c r="J701" s="222" t="s">
        <v>281</v>
      </c>
      <c r="K701" s="222" t="s">
        <v>281</v>
      </c>
      <c r="L701" s="222" t="s">
        <v>281</v>
      </c>
      <c r="M701" s="222" t="s">
        <v>281</v>
      </c>
      <c r="N701" s="222" t="s">
        <v>281</v>
      </c>
      <c r="O701" s="223" t="s">
        <v>15</v>
      </c>
      <c r="P701" s="223" t="s">
        <v>15</v>
      </c>
      <c r="Q701" s="223" t="s">
        <v>15</v>
      </c>
      <c r="R701" s="223" t="s">
        <v>15</v>
      </c>
      <c r="S701" s="223" t="s">
        <v>16</v>
      </c>
      <c r="T701" s="223" t="s">
        <v>328</v>
      </c>
      <c r="U701" s="223" t="s">
        <v>248</v>
      </c>
      <c r="V701" s="223" t="s">
        <v>281</v>
      </c>
      <c r="W701" s="224" t="s">
        <v>281</v>
      </c>
      <c r="X701" s="224" t="s">
        <v>281</v>
      </c>
      <c r="Y701" s="225" t="s">
        <v>281</v>
      </c>
    </row>
    <row r="702" spans="1:25">
      <c r="A702" s="219">
        <v>13</v>
      </c>
      <c r="B702" s="220" t="str">
        <f>VLOOKUP(Tabel10[[#This Row],[Code]],Ruimtegroepen[[Code]:[Ruimte omschrijving]],2,FALSE)</f>
        <v>Personeelskamer</v>
      </c>
      <c r="C702" s="221" t="s">
        <v>866</v>
      </c>
      <c r="D702" s="220" t="s">
        <v>13</v>
      </c>
      <c r="E702" s="221" t="s">
        <v>101</v>
      </c>
      <c r="F702" s="221" t="s">
        <v>869</v>
      </c>
      <c r="G702" s="226" t="s">
        <v>281</v>
      </c>
      <c r="H702" s="222" t="s">
        <v>281</v>
      </c>
      <c r="I702" s="222" t="s">
        <v>281</v>
      </c>
      <c r="J702" s="222" t="s">
        <v>15</v>
      </c>
      <c r="K702" s="222" t="s">
        <v>248</v>
      </c>
      <c r="L702" s="222" t="s">
        <v>281</v>
      </c>
      <c r="M702" s="222" t="s">
        <v>281</v>
      </c>
      <c r="N702" s="222" t="s">
        <v>281</v>
      </c>
      <c r="O702" s="223" t="s">
        <v>15</v>
      </c>
      <c r="P702" s="223" t="s">
        <v>15</v>
      </c>
      <c r="Q702" s="223" t="s">
        <v>15</v>
      </c>
      <c r="R702" s="223" t="s">
        <v>15</v>
      </c>
      <c r="S702" s="223" t="s">
        <v>16</v>
      </c>
      <c r="T702" s="223" t="s">
        <v>328</v>
      </c>
      <c r="U702" s="223" t="s">
        <v>248</v>
      </c>
      <c r="V702" s="223" t="s">
        <v>281</v>
      </c>
      <c r="W702" s="224" t="s">
        <v>281</v>
      </c>
      <c r="X702" s="224" t="s">
        <v>281</v>
      </c>
      <c r="Y702" s="225" t="s">
        <v>281</v>
      </c>
    </row>
    <row r="703" spans="1:25">
      <c r="A703" s="219">
        <v>13</v>
      </c>
      <c r="B703" s="220" t="str">
        <f>VLOOKUP(Tabel10[[#This Row],[Code]],Ruimtegroepen[[Code]:[Ruimte omschrijving]],2,FALSE)</f>
        <v>Personeelskamer</v>
      </c>
      <c r="C703" s="221" t="s">
        <v>866</v>
      </c>
      <c r="D703" s="220" t="s">
        <v>13</v>
      </c>
      <c r="E703" s="221" t="s">
        <v>102</v>
      </c>
      <c r="F703" s="221" t="s">
        <v>870</v>
      </c>
      <c r="G703" s="226" t="s">
        <v>281</v>
      </c>
      <c r="H703" s="222" t="s">
        <v>281</v>
      </c>
      <c r="I703" s="222" t="s">
        <v>281</v>
      </c>
      <c r="J703" s="222" t="s">
        <v>15</v>
      </c>
      <c r="K703" s="222" t="s">
        <v>248</v>
      </c>
      <c r="L703" s="222" t="s">
        <v>281</v>
      </c>
      <c r="M703" s="222" t="s">
        <v>281</v>
      </c>
      <c r="N703" s="222" t="s">
        <v>281</v>
      </c>
      <c r="O703" s="223" t="s">
        <v>15</v>
      </c>
      <c r="P703" s="223" t="s">
        <v>15</v>
      </c>
      <c r="Q703" s="223" t="s">
        <v>15</v>
      </c>
      <c r="R703" s="223" t="s">
        <v>15</v>
      </c>
      <c r="S703" s="223" t="s">
        <v>16</v>
      </c>
      <c r="T703" s="223" t="s">
        <v>328</v>
      </c>
      <c r="U703" s="223" t="s">
        <v>248</v>
      </c>
      <c r="V703" s="223" t="s">
        <v>281</v>
      </c>
      <c r="W703" s="224" t="s">
        <v>281</v>
      </c>
      <c r="X703" s="224" t="s">
        <v>281</v>
      </c>
      <c r="Y703" s="225" t="s">
        <v>281</v>
      </c>
    </row>
    <row r="704" spans="1:25">
      <c r="A704" s="219">
        <v>13</v>
      </c>
      <c r="B704" s="220" t="str">
        <f>VLOOKUP(Tabel10[[#This Row],[Code]],Ruimtegroepen[[Code]:[Ruimte omschrijving]],2,FALSE)</f>
        <v>Personeelskamer</v>
      </c>
      <c r="C704" s="221" t="s">
        <v>866</v>
      </c>
      <c r="D704" s="220" t="s">
        <v>13</v>
      </c>
      <c r="E704" s="221" t="s">
        <v>99</v>
      </c>
      <c r="F704" s="221" t="s">
        <v>868</v>
      </c>
      <c r="G704" s="226" t="s">
        <v>281</v>
      </c>
      <c r="H704" s="222" t="s">
        <v>15</v>
      </c>
      <c r="I704" s="222" t="s">
        <v>281</v>
      </c>
      <c r="J704" s="222" t="s">
        <v>281</v>
      </c>
      <c r="K704" s="222" t="s">
        <v>281</v>
      </c>
      <c r="L704" s="222" t="s">
        <v>281</v>
      </c>
      <c r="M704" s="222" t="s">
        <v>281</v>
      </c>
      <c r="N704" s="222" t="s">
        <v>281</v>
      </c>
      <c r="O704" s="223" t="s">
        <v>15</v>
      </c>
      <c r="P704" s="223" t="s">
        <v>15</v>
      </c>
      <c r="Q704" s="223" t="s">
        <v>15</v>
      </c>
      <c r="R704" s="223" t="s">
        <v>15</v>
      </c>
      <c r="S704" s="223" t="s">
        <v>16</v>
      </c>
      <c r="T704" s="223" t="s">
        <v>328</v>
      </c>
      <c r="U704" s="223" t="s">
        <v>248</v>
      </c>
      <c r="V704" s="223" t="s">
        <v>281</v>
      </c>
      <c r="W704" s="224" t="s">
        <v>281</v>
      </c>
      <c r="X704" s="224" t="s">
        <v>281</v>
      </c>
      <c r="Y704" s="225" t="s">
        <v>281</v>
      </c>
    </row>
    <row r="705" spans="1:25">
      <c r="A705" s="219">
        <v>13</v>
      </c>
      <c r="B705" s="220" t="str">
        <f>VLOOKUP(Tabel10[[#This Row],[Code]],Ruimtegroepen[[Code]:[Ruimte omschrijving]],2,FALSE)</f>
        <v>Personeelskamer</v>
      </c>
      <c r="C705" s="221" t="s">
        <v>866</v>
      </c>
      <c r="D705" s="220" t="s">
        <v>13</v>
      </c>
      <c r="E705" s="221" t="s">
        <v>1309</v>
      </c>
      <c r="F705" s="221" t="s">
        <v>1369</v>
      </c>
      <c r="G705" s="226" t="s">
        <v>281</v>
      </c>
      <c r="H705" s="222" t="s">
        <v>281</v>
      </c>
      <c r="I705" s="222" t="s">
        <v>281</v>
      </c>
      <c r="J705" s="222" t="s">
        <v>15</v>
      </c>
      <c r="K705" s="222" t="s">
        <v>248</v>
      </c>
      <c r="L705" s="222" t="s">
        <v>281</v>
      </c>
      <c r="M705" s="222" t="s">
        <v>281</v>
      </c>
      <c r="N705" s="222" t="s">
        <v>281</v>
      </c>
      <c r="O705" s="223" t="s">
        <v>15</v>
      </c>
      <c r="P705" s="223" t="s">
        <v>15</v>
      </c>
      <c r="Q705" s="223" t="s">
        <v>15</v>
      </c>
      <c r="R705" s="223" t="s">
        <v>15</v>
      </c>
      <c r="S705" s="223" t="s">
        <v>16</v>
      </c>
      <c r="T705" s="223" t="s">
        <v>328</v>
      </c>
      <c r="U705" s="223" t="s">
        <v>248</v>
      </c>
      <c r="V705" s="223" t="s">
        <v>281</v>
      </c>
      <c r="W705" s="224" t="s">
        <v>281</v>
      </c>
      <c r="X705" s="224" t="s">
        <v>281</v>
      </c>
      <c r="Y705" s="225" t="s">
        <v>281</v>
      </c>
    </row>
    <row r="706" spans="1:25">
      <c r="A706" s="219">
        <v>13</v>
      </c>
      <c r="B706" s="220" t="str">
        <f>VLOOKUP(Tabel10[[#This Row],[Code]],Ruimtegroepen[[Code]:[Ruimte omschrijving]],2,FALSE)</f>
        <v>Personeelskamer</v>
      </c>
      <c r="C706" s="221" t="s">
        <v>871</v>
      </c>
      <c r="D706" s="220" t="s">
        <v>0</v>
      </c>
      <c r="E706" s="221" t="s">
        <v>100</v>
      </c>
      <c r="F706" s="221" t="s">
        <v>872</v>
      </c>
      <c r="G706" s="226" t="s">
        <v>281</v>
      </c>
      <c r="H706" s="222" t="s">
        <v>281</v>
      </c>
      <c r="I706" s="222" t="s">
        <v>16</v>
      </c>
      <c r="J706" s="222" t="s">
        <v>281</v>
      </c>
      <c r="K706" s="222" t="s">
        <v>281</v>
      </c>
      <c r="L706" s="222" t="s">
        <v>281</v>
      </c>
      <c r="M706" s="222" t="s">
        <v>281</v>
      </c>
      <c r="N706" s="222" t="s">
        <v>281</v>
      </c>
      <c r="O706" s="223" t="s">
        <v>16</v>
      </c>
      <c r="P706" s="223" t="s">
        <v>16</v>
      </c>
      <c r="Q706" s="223" t="s">
        <v>16</v>
      </c>
      <c r="R706" s="223" t="s">
        <v>16</v>
      </c>
      <c r="S706" s="223" t="s">
        <v>16</v>
      </c>
      <c r="T706" s="223" t="s">
        <v>328</v>
      </c>
      <c r="U706" s="223" t="s">
        <v>248</v>
      </c>
      <c r="V706" s="223" t="s">
        <v>281</v>
      </c>
      <c r="W706" s="224" t="s">
        <v>281</v>
      </c>
      <c r="X706" s="224" t="s">
        <v>281</v>
      </c>
      <c r="Y706" s="225" t="s">
        <v>281</v>
      </c>
    </row>
    <row r="707" spans="1:25">
      <c r="A707" s="219">
        <v>13</v>
      </c>
      <c r="B707" s="220" t="str">
        <f>VLOOKUP(Tabel10[[#This Row],[Code]],Ruimtegroepen[[Code]:[Ruimte omschrijving]],2,FALSE)</f>
        <v>Personeelskamer</v>
      </c>
      <c r="C707" s="221" t="s">
        <v>871</v>
      </c>
      <c r="D707" s="220" t="s">
        <v>0</v>
      </c>
      <c r="E707" s="221" t="s">
        <v>99</v>
      </c>
      <c r="F707" s="221" t="s">
        <v>873</v>
      </c>
      <c r="G707" s="226" t="s">
        <v>281</v>
      </c>
      <c r="H707" s="222" t="s">
        <v>16</v>
      </c>
      <c r="I707" s="222" t="s">
        <v>281</v>
      </c>
      <c r="J707" s="222" t="s">
        <v>281</v>
      </c>
      <c r="K707" s="222" t="s">
        <v>281</v>
      </c>
      <c r="L707" s="222" t="s">
        <v>281</v>
      </c>
      <c r="M707" s="222" t="s">
        <v>281</v>
      </c>
      <c r="N707" s="222" t="s">
        <v>281</v>
      </c>
      <c r="O707" s="223" t="s">
        <v>16</v>
      </c>
      <c r="P707" s="223" t="s">
        <v>16</v>
      </c>
      <c r="Q707" s="223" t="s">
        <v>16</v>
      </c>
      <c r="R707" s="223" t="s">
        <v>16</v>
      </c>
      <c r="S707" s="223" t="s">
        <v>16</v>
      </c>
      <c r="T707" s="223" t="s">
        <v>328</v>
      </c>
      <c r="U707" s="223" t="s">
        <v>248</v>
      </c>
      <c r="V707" s="223" t="s">
        <v>281</v>
      </c>
      <c r="W707" s="224" t="s">
        <v>281</v>
      </c>
      <c r="X707" s="224" t="s">
        <v>281</v>
      </c>
      <c r="Y707" s="225" t="s">
        <v>281</v>
      </c>
    </row>
    <row r="708" spans="1:25">
      <c r="A708" s="219">
        <v>13</v>
      </c>
      <c r="B708" s="220" t="str">
        <f>VLOOKUP(Tabel10[[#This Row],[Code]],Ruimtegroepen[[Code]:[Ruimte omschrijving]],2,FALSE)</f>
        <v>Personeelskamer</v>
      </c>
      <c r="C708" s="221" t="s">
        <v>871</v>
      </c>
      <c r="D708" s="220" t="s">
        <v>0</v>
      </c>
      <c r="E708" s="221" t="s">
        <v>101</v>
      </c>
      <c r="F708" s="221" t="s">
        <v>874</v>
      </c>
      <c r="G708" s="226" t="s">
        <v>281</v>
      </c>
      <c r="H708" s="222" t="s">
        <v>281</v>
      </c>
      <c r="I708" s="222" t="s">
        <v>281</v>
      </c>
      <c r="J708" s="222" t="s">
        <v>16</v>
      </c>
      <c r="K708" s="222" t="s">
        <v>248</v>
      </c>
      <c r="L708" s="222" t="s">
        <v>281</v>
      </c>
      <c r="M708" s="222" t="s">
        <v>281</v>
      </c>
      <c r="N708" s="222" t="s">
        <v>281</v>
      </c>
      <c r="O708" s="223" t="s">
        <v>16</v>
      </c>
      <c r="P708" s="223" t="s">
        <v>16</v>
      </c>
      <c r="Q708" s="223" t="s">
        <v>16</v>
      </c>
      <c r="R708" s="223" t="s">
        <v>16</v>
      </c>
      <c r="S708" s="223" t="s">
        <v>16</v>
      </c>
      <c r="T708" s="223" t="s">
        <v>328</v>
      </c>
      <c r="U708" s="223" t="s">
        <v>248</v>
      </c>
      <c r="V708" s="223" t="s">
        <v>281</v>
      </c>
      <c r="W708" s="224" t="s">
        <v>281</v>
      </c>
      <c r="X708" s="224" t="s">
        <v>281</v>
      </c>
      <c r="Y708" s="225" t="s">
        <v>281</v>
      </c>
    </row>
    <row r="709" spans="1:25">
      <c r="A709" s="219">
        <v>13</v>
      </c>
      <c r="B709" s="220" t="str">
        <f>VLOOKUP(Tabel10[[#This Row],[Code]],Ruimtegroepen[[Code]:[Ruimte omschrijving]],2,FALSE)</f>
        <v>Personeelskamer</v>
      </c>
      <c r="C709" s="221" t="s">
        <v>871</v>
      </c>
      <c r="D709" s="220" t="s">
        <v>0</v>
      </c>
      <c r="E709" s="221" t="s">
        <v>102</v>
      </c>
      <c r="F709" s="221" t="s">
        <v>875</v>
      </c>
      <c r="G709" s="226" t="s">
        <v>281</v>
      </c>
      <c r="H709" s="222" t="s">
        <v>281</v>
      </c>
      <c r="I709" s="222" t="s">
        <v>16</v>
      </c>
      <c r="J709" s="222" t="s">
        <v>281</v>
      </c>
      <c r="K709" s="222" t="s">
        <v>248</v>
      </c>
      <c r="L709" s="222" t="s">
        <v>281</v>
      </c>
      <c r="M709" s="222" t="s">
        <v>281</v>
      </c>
      <c r="N709" s="222" t="s">
        <v>281</v>
      </c>
      <c r="O709" s="223" t="s">
        <v>16</v>
      </c>
      <c r="P709" s="223" t="s">
        <v>16</v>
      </c>
      <c r="Q709" s="223" t="s">
        <v>16</v>
      </c>
      <c r="R709" s="223" t="s">
        <v>16</v>
      </c>
      <c r="S709" s="223" t="s">
        <v>16</v>
      </c>
      <c r="T709" s="223" t="s">
        <v>328</v>
      </c>
      <c r="U709" s="223" t="s">
        <v>248</v>
      </c>
      <c r="V709" s="223" t="s">
        <v>281</v>
      </c>
      <c r="W709" s="224" t="s">
        <v>281</v>
      </c>
      <c r="X709" s="224" t="s">
        <v>281</v>
      </c>
      <c r="Y709" s="225" t="s">
        <v>281</v>
      </c>
    </row>
    <row r="710" spans="1:25">
      <c r="A710" s="219">
        <v>13</v>
      </c>
      <c r="B710" s="220" t="str">
        <f>VLOOKUP(Tabel10[[#This Row],[Code]],Ruimtegroepen[[Code]:[Ruimte omschrijving]],2,FALSE)</f>
        <v>Personeelskamer</v>
      </c>
      <c r="C710" s="221" t="s">
        <v>871</v>
      </c>
      <c r="D710" s="220" t="s">
        <v>0</v>
      </c>
      <c r="E710" s="221" t="s">
        <v>99</v>
      </c>
      <c r="F710" s="221" t="s">
        <v>873</v>
      </c>
      <c r="G710" s="226" t="s">
        <v>281</v>
      </c>
      <c r="H710" s="222" t="s">
        <v>16</v>
      </c>
      <c r="I710" s="222" t="s">
        <v>281</v>
      </c>
      <c r="J710" s="222" t="s">
        <v>281</v>
      </c>
      <c r="K710" s="222" t="s">
        <v>281</v>
      </c>
      <c r="L710" s="222" t="s">
        <v>281</v>
      </c>
      <c r="M710" s="222" t="s">
        <v>281</v>
      </c>
      <c r="N710" s="222" t="s">
        <v>281</v>
      </c>
      <c r="O710" s="223" t="s">
        <v>16</v>
      </c>
      <c r="P710" s="223" t="s">
        <v>16</v>
      </c>
      <c r="Q710" s="223" t="s">
        <v>16</v>
      </c>
      <c r="R710" s="223" t="s">
        <v>16</v>
      </c>
      <c r="S710" s="223" t="s">
        <v>16</v>
      </c>
      <c r="T710" s="223" t="s">
        <v>328</v>
      </c>
      <c r="U710" s="223" t="s">
        <v>248</v>
      </c>
      <c r="V710" s="223" t="s">
        <v>281</v>
      </c>
      <c r="W710" s="224" t="s">
        <v>281</v>
      </c>
      <c r="X710" s="224" t="s">
        <v>281</v>
      </c>
      <c r="Y710" s="225" t="s">
        <v>281</v>
      </c>
    </row>
    <row r="711" spans="1:25">
      <c r="A711" s="219">
        <v>13</v>
      </c>
      <c r="B711" s="220" t="str">
        <f>VLOOKUP(Tabel10[[#This Row],[Code]],Ruimtegroepen[[Code]:[Ruimte omschrijving]],2,FALSE)</f>
        <v>Personeelskamer</v>
      </c>
      <c r="C711" s="221" t="s">
        <v>871</v>
      </c>
      <c r="D711" s="220" t="s">
        <v>0</v>
      </c>
      <c r="E711" s="221" t="s">
        <v>1309</v>
      </c>
      <c r="F711" s="221" t="s">
        <v>1353</v>
      </c>
      <c r="G711" s="226" t="s">
        <v>281</v>
      </c>
      <c r="H711" s="222" t="s">
        <v>281</v>
      </c>
      <c r="I711" s="222" t="s">
        <v>16</v>
      </c>
      <c r="J711" s="222" t="s">
        <v>281</v>
      </c>
      <c r="K711" s="222" t="s">
        <v>248</v>
      </c>
      <c r="L711" s="222" t="s">
        <v>281</v>
      </c>
      <c r="M711" s="222" t="s">
        <v>281</v>
      </c>
      <c r="N711" s="222" t="s">
        <v>281</v>
      </c>
      <c r="O711" s="223" t="s">
        <v>16</v>
      </c>
      <c r="P711" s="223" t="s">
        <v>16</v>
      </c>
      <c r="Q711" s="223" t="s">
        <v>16</v>
      </c>
      <c r="R711" s="223" t="s">
        <v>16</v>
      </c>
      <c r="S711" s="223" t="s">
        <v>16</v>
      </c>
      <c r="T711" s="223" t="s">
        <v>328</v>
      </c>
      <c r="U711" s="223" t="s">
        <v>248</v>
      </c>
      <c r="V711" s="223" t="s">
        <v>281</v>
      </c>
      <c r="W711" s="224" t="s">
        <v>281</v>
      </c>
      <c r="X711" s="224" t="s">
        <v>281</v>
      </c>
      <c r="Y711" s="225" t="s">
        <v>281</v>
      </c>
    </row>
    <row r="712" spans="1:25">
      <c r="A712" s="219">
        <v>13</v>
      </c>
      <c r="B712" s="220" t="str">
        <f>VLOOKUP(Tabel10[[#This Row],[Code]],Ruimtegroepen[[Code]:[Ruimte omschrijving]],2,FALSE)</f>
        <v>Personeelskamer</v>
      </c>
      <c r="C712" s="221" t="s">
        <v>876</v>
      </c>
      <c r="D712" s="220" t="s">
        <v>27</v>
      </c>
      <c r="E712" s="221" t="s">
        <v>100</v>
      </c>
      <c r="F712" s="221" t="s">
        <v>877</v>
      </c>
      <c r="G712" s="226" t="s">
        <v>281</v>
      </c>
      <c r="H712" s="222" t="s">
        <v>281</v>
      </c>
      <c r="I712" s="222" t="s">
        <v>15</v>
      </c>
      <c r="J712" s="222" t="s">
        <v>281</v>
      </c>
      <c r="K712" s="222" t="s">
        <v>281</v>
      </c>
      <c r="L712" s="222" t="s">
        <v>281</v>
      </c>
      <c r="M712" s="222" t="s">
        <v>281</v>
      </c>
      <c r="N712" s="222" t="s">
        <v>281</v>
      </c>
      <c r="O712" s="223" t="s">
        <v>15</v>
      </c>
      <c r="P712" s="223" t="s">
        <v>15</v>
      </c>
      <c r="Q712" s="223" t="s">
        <v>15</v>
      </c>
      <c r="R712" s="223" t="s">
        <v>281</v>
      </c>
      <c r="S712" s="223" t="s">
        <v>281</v>
      </c>
      <c r="T712" s="223" t="s">
        <v>281</v>
      </c>
      <c r="U712" s="223" t="s">
        <v>281</v>
      </c>
      <c r="V712" s="223" t="s">
        <v>281</v>
      </c>
      <c r="W712" s="224" t="s">
        <v>281</v>
      </c>
      <c r="X712" s="224" t="s">
        <v>281</v>
      </c>
      <c r="Y712" s="225" t="s">
        <v>281</v>
      </c>
    </row>
    <row r="713" spans="1:25">
      <c r="A713" s="219">
        <v>13</v>
      </c>
      <c r="B713" s="220" t="str">
        <f>VLOOKUP(Tabel10[[#This Row],[Code]],Ruimtegroepen[[Code]:[Ruimte omschrijving]],2,FALSE)</f>
        <v>Personeelskamer</v>
      </c>
      <c r="C713" s="221" t="s">
        <v>876</v>
      </c>
      <c r="D713" s="220" t="s">
        <v>27</v>
      </c>
      <c r="E713" s="221" t="s">
        <v>99</v>
      </c>
      <c r="F713" s="221" t="s">
        <v>878</v>
      </c>
      <c r="G713" s="226" t="s">
        <v>281</v>
      </c>
      <c r="H713" s="222" t="s">
        <v>15</v>
      </c>
      <c r="I713" s="222" t="s">
        <v>281</v>
      </c>
      <c r="J713" s="222" t="s">
        <v>281</v>
      </c>
      <c r="K713" s="222" t="s">
        <v>281</v>
      </c>
      <c r="L713" s="222" t="s">
        <v>281</v>
      </c>
      <c r="M713" s="222" t="s">
        <v>281</v>
      </c>
      <c r="N713" s="222" t="s">
        <v>281</v>
      </c>
      <c r="O713" s="223" t="s">
        <v>15</v>
      </c>
      <c r="P713" s="223" t="s">
        <v>15</v>
      </c>
      <c r="Q713" s="223" t="s">
        <v>15</v>
      </c>
      <c r="R713" s="223" t="s">
        <v>281</v>
      </c>
      <c r="S713" s="223" t="s">
        <v>281</v>
      </c>
      <c r="T713" s="223" t="s">
        <v>281</v>
      </c>
      <c r="U713" s="223" t="s">
        <v>281</v>
      </c>
      <c r="V713" s="223" t="s">
        <v>281</v>
      </c>
      <c r="W713" s="224" t="s">
        <v>281</v>
      </c>
      <c r="X713" s="224" t="s">
        <v>281</v>
      </c>
      <c r="Y713" s="225" t="s">
        <v>281</v>
      </c>
    </row>
    <row r="714" spans="1:25">
      <c r="A714" s="219">
        <v>13</v>
      </c>
      <c r="B714" s="220" t="str">
        <f>VLOOKUP(Tabel10[[#This Row],[Code]],Ruimtegroepen[[Code]:[Ruimte omschrijving]],2,FALSE)</f>
        <v>Personeelskamer</v>
      </c>
      <c r="C714" s="221" t="s">
        <v>876</v>
      </c>
      <c r="D714" s="220" t="s">
        <v>27</v>
      </c>
      <c r="E714" s="221" t="s">
        <v>101</v>
      </c>
      <c r="F714" s="221" t="s">
        <v>879</v>
      </c>
      <c r="G714" s="226" t="s">
        <v>281</v>
      </c>
      <c r="H714" s="222" t="s">
        <v>281</v>
      </c>
      <c r="I714" s="222" t="s">
        <v>15</v>
      </c>
      <c r="J714" s="222" t="s">
        <v>281</v>
      </c>
      <c r="K714" s="222" t="s">
        <v>281</v>
      </c>
      <c r="L714" s="222" t="s">
        <v>281</v>
      </c>
      <c r="M714" s="222" t="s">
        <v>281</v>
      </c>
      <c r="N714" s="222" t="s">
        <v>281</v>
      </c>
      <c r="O714" s="223" t="s">
        <v>15</v>
      </c>
      <c r="P714" s="223" t="s">
        <v>15</v>
      </c>
      <c r="Q714" s="223" t="s">
        <v>15</v>
      </c>
      <c r="R714" s="223" t="s">
        <v>281</v>
      </c>
      <c r="S714" s="223" t="s">
        <v>281</v>
      </c>
      <c r="T714" s="223" t="s">
        <v>281</v>
      </c>
      <c r="U714" s="223" t="s">
        <v>281</v>
      </c>
      <c r="V714" s="223" t="s">
        <v>281</v>
      </c>
      <c r="W714" s="224" t="s">
        <v>281</v>
      </c>
      <c r="X714" s="224" t="s">
        <v>281</v>
      </c>
      <c r="Y714" s="225" t="s">
        <v>281</v>
      </c>
    </row>
    <row r="715" spans="1:25">
      <c r="A715" s="219">
        <v>13</v>
      </c>
      <c r="B715" s="220" t="str">
        <f>VLOOKUP(Tabel10[[#This Row],[Code]],Ruimtegroepen[[Code]:[Ruimte omschrijving]],2,FALSE)</f>
        <v>Personeelskamer</v>
      </c>
      <c r="C715" s="221" t="s">
        <v>876</v>
      </c>
      <c r="D715" s="220" t="s">
        <v>27</v>
      </c>
      <c r="E715" s="221" t="s">
        <v>102</v>
      </c>
      <c r="F715" s="221" t="s">
        <v>880</v>
      </c>
      <c r="G715" s="226" t="s">
        <v>281</v>
      </c>
      <c r="H715" s="222" t="s">
        <v>281</v>
      </c>
      <c r="I715" s="222" t="s">
        <v>15</v>
      </c>
      <c r="J715" s="222" t="s">
        <v>281</v>
      </c>
      <c r="K715" s="222" t="s">
        <v>281</v>
      </c>
      <c r="L715" s="222" t="s">
        <v>281</v>
      </c>
      <c r="M715" s="222" t="s">
        <v>281</v>
      </c>
      <c r="N715" s="222" t="s">
        <v>281</v>
      </c>
      <c r="O715" s="223" t="s">
        <v>15</v>
      </c>
      <c r="P715" s="223" t="s">
        <v>15</v>
      </c>
      <c r="Q715" s="223" t="s">
        <v>15</v>
      </c>
      <c r="R715" s="223" t="s">
        <v>281</v>
      </c>
      <c r="S715" s="223" t="s">
        <v>281</v>
      </c>
      <c r="T715" s="223" t="s">
        <v>281</v>
      </c>
      <c r="U715" s="223" t="s">
        <v>281</v>
      </c>
      <c r="V715" s="223" t="s">
        <v>281</v>
      </c>
      <c r="W715" s="224" t="s">
        <v>281</v>
      </c>
      <c r="X715" s="224" t="s">
        <v>281</v>
      </c>
      <c r="Y715" s="225" t="s">
        <v>281</v>
      </c>
    </row>
    <row r="716" spans="1:25">
      <c r="A716" s="219">
        <v>13</v>
      </c>
      <c r="B716" s="220" t="str">
        <f>VLOOKUP(Tabel10[[#This Row],[Code]],Ruimtegroepen[[Code]:[Ruimte omschrijving]],2,FALSE)</f>
        <v>Personeelskamer</v>
      </c>
      <c r="C716" s="221" t="s">
        <v>876</v>
      </c>
      <c r="D716" s="220" t="s">
        <v>27</v>
      </c>
      <c r="E716" s="221" t="s">
        <v>99</v>
      </c>
      <c r="F716" s="221" t="s">
        <v>878</v>
      </c>
      <c r="G716" s="226" t="s">
        <v>281</v>
      </c>
      <c r="H716" s="222" t="s">
        <v>15</v>
      </c>
      <c r="I716" s="222" t="s">
        <v>281</v>
      </c>
      <c r="J716" s="222" t="s">
        <v>281</v>
      </c>
      <c r="K716" s="222" t="s">
        <v>281</v>
      </c>
      <c r="L716" s="222" t="s">
        <v>281</v>
      </c>
      <c r="M716" s="222" t="s">
        <v>281</v>
      </c>
      <c r="N716" s="222" t="s">
        <v>281</v>
      </c>
      <c r="O716" s="223" t="s">
        <v>15</v>
      </c>
      <c r="P716" s="223" t="s">
        <v>15</v>
      </c>
      <c r="Q716" s="223" t="s">
        <v>15</v>
      </c>
      <c r="R716" s="223" t="s">
        <v>281</v>
      </c>
      <c r="S716" s="223" t="s">
        <v>281</v>
      </c>
      <c r="T716" s="223" t="s">
        <v>281</v>
      </c>
      <c r="U716" s="223" t="s">
        <v>281</v>
      </c>
      <c r="V716" s="223" t="s">
        <v>281</v>
      </c>
      <c r="W716" s="224" t="s">
        <v>281</v>
      </c>
      <c r="X716" s="224" t="s">
        <v>281</v>
      </c>
      <c r="Y716" s="225" t="s">
        <v>281</v>
      </c>
    </row>
    <row r="717" spans="1:25">
      <c r="A717" s="219">
        <v>13</v>
      </c>
      <c r="B717" s="220" t="str">
        <f>VLOOKUP(Tabel10[[#This Row],[Code]],Ruimtegroepen[[Code]:[Ruimte omschrijving]],2,FALSE)</f>
        <v>Personeelskamer</v>
      </c>
      <c r="C717" s="221" t="s">
        <v>876</v>
      </c>
      <c r="D717" s="220" t="s">
        <v>27</v>
      </c>
      <c r="E717" s="221" t="s">
        <v>1309</v>
      </c>
      <c r="F717" s="221" t="s">
        <v>1386</v>
      </c>
      <c r="G717" s="226" t="s">
        <v>281</v>
      </c>
      <c r="H717" s="222" t="s">
        <v>281</v>
      </c>
      <c r="I717" s="222" t="s">
        <v>15</v>
      </c>
      <c r="J717" s="222" t="s">
        <v>281</v>
      </c>
      <c r="K717" s="222" t="s">
        <v>281</v>
      </c>
      <c r="L717" s="222" t="s">
        <v>281</v>
      </c>
      <c r="M717" s="222" t="s">
        <v>281</v>
      </c>
      <c r="N717" s="222" t="s">
        <v>281</v>
      </c>
      <c r="O717" s="223" t="s">
        <v>15</v>
      </c>
      <c r="P717" s="223" t="s">
        <v>15</v>
      </c>
      <c r="Q717" s="223" t="s">
        <v>15</v>
      </c>
      <c r="R717" s="223" t="s">
        <v>281</v>
      </c>
      <c r="S717" s="223" t="s">
        <v>281</v>
      </c>
      <c r="T717" s="223" t="s">
        <v>281</v>
      </c>
      <c r="U717" s="223" t="s">
        <v>281</v>
      </c>
      <c r="V717" s="223" t="s">
        <v>281</v>
      </c>
      <c r="W717" s="224" t="s">
        <v>281</v>
      </c>
      <c r="X717" s="224" t="s">
        <v>281</v>
      </c>
      <c r="Y717" s="225" t="s">
        <v>281</v>
      </c>
    </row>
    <row r="718" spans="1:25">
      <c r="A718" s="219">
        <v>13</v>
      </c>
      <c r="B718" s="220" t="str">
        <f>VLOOKUP(Tabel10[[#This Row],[Code]],Ruimtegroepen[[Code]:[Ruimte omschrijving]],2,FALSE)</f>
        <v>Personeelskamer</v>
      </c>
      <c r="C718" s="221" t="s">
        <v>881</v>
      </c>
      <c r="D718" s="220" t="s">
        <v>28</v>
      </c>
      <c r="E718" s="221" t="s">
        <v>100</v>
      </c>
      <c r="F718" s="221" t="s">
        <v>882</v>
      </c>
      <c r="G718" s="226" t="s">
        <v>281</v>
      </c>
      <c r="H718" s="222" t="s">
        <v>281</v>
      </c>
      <c r="I718" s="222" t="s">
        <v>17</v>
      </c>
      <c r="J718" s="222" t="s">
        <v>281</v>
      </c>
      <c r="K718" s="222" t="s">
        <v>281</v>
      </c>
      <c r="L718" s="222" t="s">
        <v>281</v>
      </c>
      <c r="M718" s="222" t="s">
        <v>281</v>
      </c>
      <c r="N718" s="222" t="s">
        <v>281</v>
      </c>
      <c r="O718" s="223" t="s">
        <v>17</v>
      </c>
      <c r="P718" s="223" t="s">
        <v>17</v>
      </c>
      <c r="Q718" s="223" t="s">
        <v>15</v>
      </c>
      <c r="R718" s="223" t="s">
        <v>281</v>
      </c>
      <c r="S718" s="223" t="s">
        <v>281</v>
      </c>
      <c r="T718" s="223" t="s">
        <v>281</v>
      </c>
      <c r="U718" s="223" t="s">
        <v>281</v>
      </c>
      <c r="V718" s="223" t="s">
        <v>281</v>
      </c>
      <c r="W718" s="224" t="s">
        <v>281</v>
      </c>
      <c r="X718" s="224" t="s">
        <v>281</v>
      </c>
      <c r="Y718" s="225" t="s">
        <v>281</v>
      </c>
    </row>
    <row r="719" spans="1:25">
      <c r="A719" s="219">
        <v>13</v>
      </c>
      <c r="B719" s="220" t="str">
        <f>VLOOKUP(Tabel10[[#This Row],[Code]],Ruimtegroepen[[Code]:[Ruimte omschrijving]],2,FALSE)</f>
        <v>Personeelskamer</v>
      </c>
      <c r="C719" s="221" t="s">
        <v>881</v>
      </c>
      <c r="D719" s="220" t="s">
        <v>28</v>
      </c>
      <c r="E719" s="221" t="s">
        <v>99</v>
      </c>
      <c r="F719" s="221" t="s">
        <v>883</v>
      </c>
      <c r="G719" s="226" t="s">
        <v>281</v>
      </c>
      <c r="H719" s="222" t="s">
        <v>17</v>
      </c>
      <c r="I719" s="222" t="s">
        <v>281</v>
      </c>
      <c r="J719" s="222" t="s">
        <v>281</v>
      </c>
      <c r="K719" s="222" t="s">
        <v>281</v>
      </c>
      <c r="L719" s="222" t="s">
        <v>281</v>
      </c>
      <c r="M719" s="222" t="s">
        <v>281</v>
      </c>
      <c r="N719" s="222" t="s">
        <v>281</v>
      </c>
      <c r="O719" s="223" t="s">
        <v>17</v>
      </c>
      <c r="P719" s="223" t="s">
        <v>17</v>
      </c>
      <c r="Q719" s="223" t="s">
        <v>15</v>
      </c>
      <c r="R719" s="223" t="s">
        <v>281</v>
      </c>
      <c r="S719" s="223" t="s">
        <v>281</v>
      </c>
      <c r="T719" s="223" t="s">
        <v>281</v>
      </c>
      <c r="U719" s="223" t="s">
        <v>281</v>
      </c>
      <c r="V719" s="223" t="s">
        <v>281</v>
      </c>
      <c r="W719" s="224" t="s">
        <v>281</v>
      </c>
      <c r="X719" s="224" t="s">
        <v>281</v>
      </c>
      <c r="Y719" s="225" t="s">
        <v>281</v>
      </c>
    </row>
    <row r="720" spans="1:25">
      <c r="A720" s="219">
        <v>13</v>
      </c>
      <c r="B720" s="220" t="str">
        <f>VLOOKUP(Tabel10[[#This Row],[Code]],Ruimtegroepen[[Code]:[Ruimte omschrijving]],2,FALSE)</f>
        <v>Personeelskamer</v>
      </c>
      <c r="C720" s="221" t="s">
        <v>881</v>
      </c>
      <c r="D720" s="220" t="s">
        <v>28</v>
      </c>
      <c r="E720" s="221" t="s">
        <v>101</v>
      </c>
      <c r="F720" s="221" t="s">
        <v>884</v>
      </c>
      <c r="G720" s="226" t="s">
        <v>281</v>
      </c>
      <c r="H720" s="222" t="s">
        <v>281</v>
      </c>
      <c r="I720" s="222" t="s">
        <v>17</v>
      </c>
      <c r="J720" s="222" t="s">
        <v>281</v>
      </c>
      <c r="K720" s="222" t="s">
        <v>281</v>
      </c>
      <c r="L720" s="222" t="s">
        <v>281</v>
      </c>
      <c r="M720" s="222" t="s">
        <v>281</v>
      </c>
      <c r="N720" s="222" t="s">
        <v>281</v>
      </c>
      <c r="O720" s="223" t="s">
        <v>17</v>
      </c>
      <c r="P720" s="223" t="s">
        <v>17</v>
      </c>
      <c r="Q720" s="223" t="s">
        <v>15</v>
      </c>
      <c r="R720" s="223" t="s">
        <v>281</v>
      </c>
      <c r="S720" s="223" t="s">
        <v>281</v>
      </c>
      <c r="T720" s="223" t="s">
        <v>281</v>
      </c>
      <c r="U720" s="223" t="s">
        <v>281</v>
      </c>
      <c r="V720" s="223" t="s">
        <v>281</v>
      </c>
      <c r="W720" s="224" t="s">
        <v>281</v>
      </c>
      <c r="X720" s="224" t="s">
        <v>281</v>
      </c>
      <c r="Y720" s="225" t="s">
        <v>281</v>
      </c>
    </row>
    <row r="721" spans="1:25">
      <c r="A721" s="219">
        <v>13</v>
      </c>
      <c r="B721" s="220" t="str">
        <f>VLOOKUP(Tabel10[[#This Row],[Code]],Ruimtegroepen[[Code]:[Ruimte omschrijving]],2,FALSE)</f>
        <v>Personeelskamer</v>
      </c>
      <c r="C721" s="221" t="s">
        <v>881</v>
      </c>
      <c r="D721" s="220" t="s">
        <v>28</v>
      </c>
      <c r="E721" s="221" t="s">
        <v>102</v>
      </c>
      <c r="F721" s="221" t="s">
        <v>885</v>
      </c>
      <c r="G721" s="226" t="s">
        <v>281</v>
      </c>
      <c r="H721" s="222" t="s">
        <v>281</v>
      </c>
      <c r="I721" s="222" t="s">
        <v>17</v>
      </c>
      <c r="J721" s="222" t="s">
        <v>281</v>
      </c>
      <c r="K721" s="222" t="s">
        <v>281</v>
      </c>
      <c r="L721" s="222" t="s">
        <v>281</v>
      </c>
      <c r="M721" s="222" t="s">
        <v>281</v>
      </c>
      <c r="N721" s="222" t="s">
        <v>281</v>
      </c>
      <c r="O721" s="223" t="s">
        <v>17</v>
      </c>
      <c r="P721" s="223" t="s">
        <v>17</v>
      </c>
      <c r="Q721" s="223" t="s">
        <v>15</v>
      </c>
      <c r="R721" s="223" t="s">
        <v>281</v>
      </c>
      <c r="S721" s="223" t="s">
        <v>281</v>
      </c>
      <c r="T721" s="223" t="s">
        <v>281</v>
      </c>
      <c r="U721" s="223" t="s">
        <v>281</v>
      </c>
      <c r="V721" s="223" t="s">
        <v>281</v>
      </c>
      <c r="W721" s="224" t="s">
        <v>281</v>
      </c>
      <c r="X721" s="224" t="s">
        <v>281</v>
      </c>
      <c r="Y721" s="225" t="s">
        <v>281</v>
      </c>
    </row>
    <row r="722" spans="1:25">
      <c r="A722" s="219">
        <v>13</v>
      </c>
      <c r="B722" s="220" t="str">
        <f>VLOOKUP(Tabel10[[#This Row],[Code]],Ruimtegroepen[[Code]:[Ruimte omschrijving]],2,FALSE)</f>
        <v>Personeelskamer</v>
      </c>
      <c r="C722" s="221" t="s">
        <v>881</v>
      </c>
      <c r="D722" s="220" t="s">
        <v>28</v>
      </c>
      <c r="E722" s="221" t="s">
        <v>99</v>
      </c>
      <c r="F722" s="221" t="s">
        <v>883</v>
      </c>
      <c r="G722" s="226" t="s">
        <v>281</v>
      </c>
      <c r="H722" s="222" t="s">
        <v>17</v>
      </c>
      <c r="I722" s="222" t="s">
        <v>281</v>
      </c>
      <c r="J722" s="222" t="s">
        <v>281</v>
      </c>
      <c r="K722" s="222" t="s">
        <v>281</v>
      </c>
      <c r="L722" s="222" t="s">
        <v>281</v>
      </c>
      <c r="M722" s="222" t="s">
        <v>281</v>
      </c>
      <c r="N722" s="222" t="s">
        <v>281</v>
      </c>
      <c r="O722" s="223" t="s">
        <v>17</v>
      </c>
      <c r="P722" s="223" t="s">
        <v>17</v>
      </c>
      <c r="Q722" s="223" t="s">
        <v>15</v>
      </c>
      <c r="R722" s="223" t="s">
        <v>281</v>
      </c>
      <c r="S722" s="223" t="s">
        <v>281</v>
      </c>
      <c r="T722" s="223" t="s">
        <v>281</v>
      </c>
      <c r="U722" s="223" t="s">
        <v>281</v>
      </c>
      <c r="V722" s="223" t="s">
        <v>281</v>
      </c>
      <c r="W722" s="224" t="s">
        <v>281</v>
      </c>
      <c r="X722" s="224" t="s">
        <v>281</v>
      </c>
      <c r="Y722" s="225" t="s">
        <v>281</v>
      </c>
    </row>
    <row r="723" spans="1:25">
      <c r="A723" s="219">
        <v>13</v>
      </c>
      <c r="B723" s="220" t="str">
        <f>VLOOKUP(Tabel10[[#This Row],[Code]],Ruimtegroepen[[Code]:[Ruimte omschrijving]],2,FALSE)</f>
        <v>Personeelskamer</v>
      </c>
      <c r="C723" s="221" t="s">
        <v>881</v>
      </c>
      <c r="D723" s="220" t="s">
        <v>28</v>
      </c>
      <c r="E723" s="221" t="s">
        <v>1309</v>
      </c>
      <c r="F723" s="221" t="s">
        <v>1419</v>
      </c>
      <c r="G723" s="226" t="s">
        <v>281</v>
      </c>
      <c r="H723" s="222" t="s">
        <v>281</v>
      </c>
      <c r="I723" s="222" t="s">
        <v>17</v>
      </c>
      <c r="J723" s="222" t="s">
        <v>281</v>
      </c>
      <c r="K723" s="222" t="s">
        <v>281</v>
      </c>
      <c r="L723" s="222" t="s">
        <v>281</v>
      </c>
      <c r="M723" s="222" t="s">
        <v>281</v>
      </c>
      <c r="N723" s="222" t="s">
        <v>281</v>
      </c>
      <c r="O723" s="223" t="s">
        <v>17</v>
      </c>
      <c r="P723" s="223" t="s">
        <v>17</v>
      </c>
      <c r="Q723" s="223" t="s">
        <v>15</v>
      </c>
      <c r="R723" s="223" t="s">
        <v>281</v>
      </c>
      <c r="S723" s="223" t="s">
        <v>281</v>
      </c>
      <c r="T723" s="223" t="s">
        <v>281</v>
      </c>
      <c r="U723" s="223" t="s">
        <v>281</v>
      </c>
      <c r="V723" s="223" t="s">
        <v>281</v>
      </c>
      <c r="W723" s="224" t="s">
        <v>281</v>
      </c>
      <c r="X723" s="224" t="s">
        <v>281</v>
      </c>
      <c r="Y723" s="225" t="s">
        <v>281</v>
      </c>
    </row>
    <row r="724" spans="1:25">
      <c r="A724" s="219">
        <v>14</v>
      </c>
      <c r="B724" s="220" t="str">
        <f>VLOOKUP(Tabel10[[#This Row],[Code]],Ruimtegroepen[[Code]:[Ruimte omschrijving]],2,FALSE)</f>
        <v>Praktijklokalen</v>
      </c>
      <c r="C724" s="221" t="s">
        <v>886</v>
      </c>
      <c r="D724" s="220" t="s">
        <v>29</v>
      </c>
      <c r="E724" s="221" t="s">
        <v>100</v>
      </c>
      <c r="F724" s="221" t="s">
        <v>887</v>
      </c>
      <c r="G724" s="226" t="s">
        <v>281</v>
      </c>
      <c r="H724" s="222" t="s">
        <v>281</v>
      </c>
      <c r="I724" s="222" t="s">
        <v>20</v>
      </c>
      <c r="J724" s="222" t="s">
        <v>15</v>
      </c>
      <c r="K724" s="222" t="s">
        <v>281</v>
      </c>
      <c r="L724" s="222" t="s">
        <v>281</v>
      </c>
      <c r="M724" s="222" t="s">
        <v>281</v>
      </c>
      <c r="N724" s="222" t="s">
        <v>2</v>
      </c>
      <c r="O724" s="223" t="s">
        <v>2</v>
      </c>
      <c r="P724" s="223" t="s">
        <v>2</v>
      </c>
      <c r="Q724" s="223" t="s">
        <v>15</v>
      </c>
      <c r="R724" s="223" t="s">
        <v>15</v>
      </c>
      <c r="S724" s="223" t="s">
        <v>16</v>
      </c>
      <c r="T724" s="223" t="s">
        <v>328</v>
      </c>
      <c r="U724" s="223" t="s">
        <v>248</v>
      </c>
      <c r="V724" s="223" t="s">
        <v>2</v>
      </c>
      <c r="W724" s="224" t="s">
        <v>281</v>
      </c>
      <c r="X724" s="224" t="s">
        <v>281</v>
      </c>
      <c r="Y724" s="225" t="s">
        <v>281</v>
      </c>
    </row>
    <row r="725" spans="1:25">
      <c r="A725" s="219">
        <v>14</v>
      </c>
      <c r="B725" s="220" t="str">
        <f>VLOOKUP(Tabel10[[#This Row],[Code]],Ruimtegroepen[[Code]:[Ruimte omschrijving]],2,FALSE)</f>
        <v>Praktijklokalen</v>
      </c>
      <c r="C725" s="221" t="s">
        <v>886</v>
      </c>
      <c r="D725" s="220" t="s">
        <v>29</v>
      </c>
      <c r="E725" s="221" t="s">
        <v>99</v>
      </c>
      <c r="F725" s="221" t="s">
        <v>888</v>
      </c>
      <c r="G725" s="222" t="s">
        <v>18</v>
      </c>
      <c r="H725" s="222" t="s">
        <v>17</v>
      </c>
      <c r="I725" s="222" t="s">
        <v>281</v>
      </c>
      <c r="J725" s="222" t="s">
        <v>281</v>
      </c>
      <c r="K725" s="222" t="s">
        <v>281</v>
      </c>
      <c r="L725" s="222" t="s">
        <v>281</v>
      </c>
      <c r="M725" s="222" t="s">
        <v>281</v>
      </c>
      <c r="N725" s="222" t="s">
        <v>2</v>
      </c>
      <c r="O725" s="223" t="s">
        <v>2</v>
      </c>
      <c r="P725" s="223" t="s">
        <v>2</v>
      </c>
      <c r="Q725" s="223" t="s">
        <v>15</v>
      </c>
      <c r="R725" s="223" t="s">
        <v>15</v>
      </c>
      <c r="S725" s="223" t="s">
        <v>16</v>
      </c>
      <c r="T725" s="223" t="s">
        <v>328</v>
      </c>
      <c r="U725" s="223" t="s">
        <v>248</v>
      </c>
      <c r="V725" s="223" t="s">
        <v>2</v>
      </c>
      <c r="W725" s="224" t="s">
        <v>281</v>
      </c>
      <c r="X725" s="224" t="s">
        <v>281</v>
      </c>
      <c r="Y725" s="225" t="s">
        <v>281</v>
      </c>
    </row>
    <row r="726" spans="1:25">
      <c r="A726" s="219">
        <v>14</v>
      </c>
      <c r="B726" s="220" t="str">
        <f>VLOOKUP(Tabel10[[#This Row],[Code]],Ruimtegroepen[[Code]:[Ruimte omschrijving]],2,FALSE)</f>
        <v>Praktijklokalen</v>
      </c>
      <c r="C726" s="221" t="s">
        <v>886</v>
      </c>
      <c r="D726" s="220" t="s">
        <v>29</v>
      </c>
      <c r="E726" s="221" t="s">
        <v>101</v>
      </c>
      <c r="F726" s="221" t="s">
        <v>889</v>
      </c>
      <c r="G726" s="226" t="s">
        <v>281</v>
      </c>
      <c r="H726" s="222" t="s">
        <v>281</v>
      </c>
      <c r="I726" s="222" t="s">
        <v>20</v>
      </c>
      <c r="J726" s="222" t="s">
        <v>15</v>
      </c>
      <c r="K726" s="222" t="s">
        <v>16</v>
      </c>
      <c r="L726" s="222" t="s">
        <v>281</v>
      </c>
      <c r="M726" s="222" t="s">
        <v>281</v>
      </c>
      <c r="N726" s="222" t="s">
        <v>2</v>
      </c>
      <c r="O726" s="223" t="s">
        <v>2</v>
      </c>
      <c r="P726" s="223" t="s">
        <v>2</v>
      </c>
      <c r="Q726" s="223" t="s">
        <v>15</v>
      </c>
      <c r="R726" s="223" t="s">
        <v>15</v>
      </c>
      <c r="S726" s="223" t="s">
        <v>16</v>
      </c>
      <c r="T726" s="223" t="s">
        <v>328</v>
      </c>
      <c r="U726" s="223" t="s">
        <v>248</v>
      </c>
      <c r="V726" s="223" t="s">
        <v>2</v>
      </c>
      <c r="W726" s="224" t="s">
        <v>281</v>
      </c>
      <c r="X726" s="224" t="s">
        <v>281</v>
      </c>
      <c r="Y726" s="225" t="s">
        <v>281</v>
      </c>
    </row>
    <row r="727" spans="1:25">
      <c r="A727" s="219">
        <v>14</v>
      </c>
      <c r="B727" s="220" t="str">
        <f>VLOOKUP(Tabel10[[#This Row],[Code]],Ruimtegroepen[[Code]:[Ruimte omschrijving]],2,FALSE)</f>
        <v>Praktijklokalen</v>
      </c>
      <c r="C727" s="221" t="s">
        <v>886</v>
      </c>
      <c r="D727" s="220" t="s">
        <v>29</v>
      </c>
      <c r="E727" s="221" t="s">
        <v>102</v>
      </c>
      <c r="F727" s="221" t="s">
        <v>890</v>
      </c>
      <c r="G727" s="226" t="s">
        <v>281</v>
      </c>
      <c r="H727" s="222" t="s">
        <v>281</v>
      </c>
      <c r="I727" s="222" t="s">
        <v>20</v>
      </c>
      <c r="J727" s="222" t="s">
        <v>15</v>
      </c>
      <c r="K727" s="222" t="s">
        <v>16</v>
      </c>
      <c r="L727" s="222" t="s">
        <v>281</v>
      </c>
      <c r="M727" s="222" t="s">
        <v>281</v>
      </c>
      <c r="N727" s="222" t="s">
        <v>2</v>
      </c>
      <c r="O727" s="223" t="s">
        <v>2</v>
      </c>
      <c r="P727" s="223" t="s">
        <v>2</v>
      </c>
      <c r="Q727" s="223" t="s">
        <v>15</v>
      </c>
      <c r="R727" s="223" t="s">
        <v>15</v>
      </c>
      <c r="S727" s="223" t="s">
        <v>16</v>
      </c>
      <c r="T727" s="223" t="s">
        <v>328</v>
      </c>
      <c r="U727" s="223" t="s">
        <v>248</v>
      </c>
      <c r="V727" s="223" t="s">
        <v>2</v>
      </c>
      <c r="W727" s="224" t="s">
        <v>281</v>
      </c>
      <c r="X727" s="224" t="s">
        <v>281</v>
      </c>
      <c r="Y727" s="225" t="s">
        <v>281</v>
      </c>
    </row>
    <row r="728" spans="1:25">
      <c r="A728" s="219">
        <v>14</v>
      </c>
      <c r="B728" s="220" t="str">
        <f>VLOOKUP(Tabel10[[#This Row],[Code]],Ruimtegroepen[[Code]:[Ruimte omschrijving]],2,FALSE)</f>
        <v>Praktijklokalen</v>
      </c>
      <c r="C728" s="221" t="s">
        <v>886</v>
      </c>
      <c r="D728" s="220" t="s">
        <v>29</v>
      </c>
      <c r="E728" s="221" t="s">
        <v>99</v>
      </c>
      <c r="F728" s="221" t="s">
        <v>888</v>
      </c>
      <c r="G728" s="222" t="s">
        <v>18</v>
      </c>
      <c r="H728" s="222" t="s">
        <v>17</v>
      </c>
      <c r="I728" s="222" t="s">
        <v>281</v>
      </c>
      <c r="J728" s="222" t="s">
        <v>281</v>
      </c>
      <c r="K728" s="222" t="s">
        <v>281</v>
      </c>
      <c r="L728" s="222" t="s">
        <v>281</v>
      </c>
      <c r="M728" s="222" t="s">
        <v>281</v>
      </c>
      <c r="N728" s="222" t="s">
        <v>281</v>
      </c>
      <c r="O728" s="223" t="s">
        <v>281</v>
      </c>
      <c r="P728" s="223" t="s">
        <v>281</v>
      </c>
      <c r="Q728" s="223" t="s">
        <v>281</v>
      </c>
      <c r="R728" s="223" t="s">
        <v>281</v>
      </c>
      <c r="S728" s="223" t="s">
        <v>281</v>
      </c>
      <c r="T728" s="223" t="s">
        <v>281</v>
      </c>
      <c r="U728" s="223" t="s">
        <v>281</v>
      </c>
      <c r="V728" s="223" t="s">
        <v>281</v>
      </c>
      <c r="W728" s="224" t="s">
        <v>281</v>
      </c>
      <c r="X728" s="224" t="s">
        <v>281</v>
      </c>
      <c r="Y728" s="225" t="s">
        <v>281</v>
      </c>
    </row>
    <row r="729" spans="1:25">
      <c r="A729" s="219">
        <v>14</v>
      </c>
      <c r="B729" s="220" t="str">
        <f>VLOOKUP(Tabel10[[#This Row],[Code]],Ruimtegroepen[[Code]:[Ruimte omschrijving]],2,FALSE)</f>
        <v>Praktijklokalen</v>
      </c>
      <c r="C729" s="221" t="s">
        <v>886</v>
      </c>
      <c r="D729" s="220" t="s">
        <v>29</v>
      </c>
      <c r="E729" s="221" t="s">
        <v>1309</v>
      </c>
      <c r="F729" s="221" t="s">
        <v>1487</v>
      </c>
      <c r="G729" s="226" t="s">
        <v>281</v>
      </c>
      <c r="H729" s="222" t="s">
        <v>281</v>
      </c>
      <c r="I729" s="222" t="s">
        <v>20</v>
      </c>
      <c r="J729" s="222" t="s">
        <v>15</v>
      </c>
      <c r="K729" s="222" t="s">
        <v>16</v>
      </c>
      <c r="L729" s="222" t="s">
        <v>281</v>
      </c>
      <c r="M729" s="222" t="s">
        <v>281</v>
      </c>
      <c r="N729" s="222" t="s">
        <v>2</v>
      </c>
      <c r="O729" s="223" t="s">
        <v>2</v>
      </c>
      <c r="P729" s="223" t="s">
        <v>2</v>
      </c>
      <c r="Q729" s="223" t="s">
        <v>15</v>
      </c>
      <c r="R729" s="223" t="s">
        <v>15</v>
      </c>
      <c r="S729" s="223" t="s">
        <v>16</v>
      </c>
      <c r="T729" s="223" t="s">
        <v>328</v>
      </c>
      <c r="U729" s="223" t="s">
        <v>248</v>
      </c>
      <c r="V729" s="223" t="s">
        <v>2</v>
      </c>
      <c r="W729" s="224" t="s">
        <v>281</v>
      </c>
      <c r="X729" s="224" t="s">
        <v>281</v>
      </c>
      <c r="Y729" s="225" t="s">
        <v>281</v>
      </c>
    </row>
    <row r="730" spans="1:25">
      <c r="A730" s="219">
        <v>14</v>
      </c>
      <c r="B730" s="220" t="str">
        <f>VLOOKUP(Tabel10[[#This Row],[Code]],Ruimtegroepen[[Code]:[Ruimte omschrijving]],2,FALSE)</f>
        <v>Praktijklokalen</v>
      </c>
      <c r="C730" s="221" t="s">
        <v>891</v>
      </c>
      <c r="D730" s="220" t="s">
        <v>1</v>
      </c>
      <c r="E730" s="221" t="s">
        <v>100</v>
      </c>
      <c r="F730" s="221" t="s">
        <v>892</v>
      </c>
      <c r="G730" s="226" t="s">
        <v>281</v>
      </c>
      <c r="H730" s="222" t="s">
        <v>281</v>
      </c>
      <c r="I730" s="222" t="s">
        <v>20</v>
      </c>
      <c r="J730" s="222" t="s">
        <v>15</v>
      </c>
      <c r="K730" s="222" t="s">
        <v>281</v>
      </c>
      <c r="L730" s="222" t="s">
        <v>281</v>
      </c>
      <c r="M730" s="222" t="s">
        <v>281</v>
      </c>
      <c r="N730" s="222" t="s">
        <v>281</v>
      </c>
      <c r="O730" s="223" t="s">
        <v>2</v>
      </c>
      <c r="P730" s="223" t="s">
        <v>2</v>
      </c>
      <c r="Q730" s="223" t="s">
        <v>15</v>
      </c>
      <c r="R730" s="223" t="s">
        <v>15</v>
      </c>
      <c r="S730" s="223" t="s">
        <v>16</v>
      </c>
      <c r="T730" s="223" t="s">
        <v>328</v>
      </c>
      <c r="U730" s="223" t="s">
        <v>248</v>
      </c>
      <c r="V730" s="223" t="s">
        <v>281</v>
      </c>
      <c r="W730" s="224" t="s">
        <v>281</v>
      </c>
      <c r="X730" s="224" t="s">
        <v>281</v>
      </c>
      <c r="Y730" s="225" t="s">
        <v>281</v>
      </c>
    </row>
    <row r="731" spans="1:25">
      <c r="A731" s="219">
        <v>14</v>
      </c>
      <c r="B731" s="220" t="str">
        <f>VLOOKUP(Tabel10[[#This Row],[Code]],Ruimtegroepen[[Code]:[Ruimte omschrijving]],2,FALSE)</f>
        <v>Praktijklokalen</v>
      </c>
      <c r="C731" s="221" t="s">
        <v>891</v>
      </c>
      <c r="D731" s="220" t="s">
        <v>1</v>
      </c>
      <c r="E731" s="221" t="s">
        <v>99</v>
      </c>
      <c r="F731" s="221" t="s">
        <v>893</v>
      </c>
      <c r="G731" s="222" t="s">
        <v>18</v>
      </c>
      <c r="H731" s="222" t="s">
        <v>17</v>
      </c>
      <c r="I731" s="222" t="s">
        <v>281</v>
      </c>
      <c r="J731" s="222" t="s">
        <v>281</v>
      </c>
      <c r="K731" s="222" t="s">
        <v>281</v>
      </c>
      <c r="L731" s="222" t="s">
        <v>281</v>
      </c>
      <c r="M731" s="222" t="s">
        <v>281</v>
      </c>
      <c r="N731" s="222" t="s">
        <v>281</v>
      </c>
      <c r="O731" s="223" t="s">
        <v>2</v>
      </c>
      <c r="P731" s="223" t="s">
        <v>2</v>
      </c>
      <c r="Q731" s="223" t="s">
        <v>15</v>
      </c>
      <c r="R731" s="223" t="s">
        <v>15</v>
      </c>
      <c r="S731" s="223" t="s">
        <v>16</v>
      </c>
      <c r="T731" s="223" t="s">
        <v>328</v>
      </c>
      <c r="U731" s="223" t="s">
        <v>248</v>
      </c>
      <c r="V731" s="223" t="s">
        <v>281</v>
      </c>
      <c r="W731" s="224" t="s">
        <v>281</v>
      </c>
      <c r="X731" s="224" t="s">
        <v>281</v>
      </c>
      <c r="Y731" s="225" t="s">
        <v>281</v>
      </c>
    </row>
    <row r="732" spans="1:25">
      <c r="A732" s="219">
        <v>14</v>
      </c>
      <c r="B732" s="220" t="str">
        <f>VLOOKUP(Tabel10[[#This Row],[Code]],Ruimtegroepen[[Code]:[Ruimte omschrijving]],2,FALSE)</f>
        <v>Praktijklokalen</v>
      </c>
      <c r="C732" s="221" t="s">
        <v>891</v>
      </c>
      <c r="D732" s="220" t="s">
        <v>1</v>
      </c>
      <c r="E732" s="221" t="s">
        <v>101</v>
      </c>
      <c r="F732" s="221" t="s">
        <v>894</v>
      </c>
      <c r="G732" s="226" t="s">
        <v>281</v>
      </c>
      <c r="H732" s="222" t="s">
        <v>281</v>
      </c>
      <c r="I732" s="222" t="s">
        <v>20</v>
      </c>
      <c r="J732" s="222" t="s">
        <v>15</v>
      </c>
      <c r="K732" s="222" t="s">
        <v>16</v>
      </c>
      <c r="L732" s="222" t="s">
        <v>281</v>
      </c>
      <c r="M732" s="222" t="s">
        <v>281</v>
      </c>
      <c r="N732" s="222" t="s">
        <v>281</v>
      </c>
      <c r="O732" s="223" t="s">
        <v>2</v>
      </c>
      <c r="P732" s="223" t="s">
        <v>2</v>
      </c>
      <c r="Q732" s="223" t="s">
        <v>15</v>
      </c>
      <c r="R732" s="223" t="s">
        <v>15</v>
      </c>
      <c r="S732" s="223" t="s">
        <v>16</v>
      </c>
      <c r="T732" s="223" t="s">
        <v>328</v>
      </c>
      <c r="U732" s="223" t="s">
        <v>248</v>
      </c>
      <c r="V732" s="223" t="s">
        <v>281</v>
      </c>
      <c r="W732" s="224" t="s">
        <v>281</v>
      </c>
      <c r="X732" s="224" t="s">
        <v>281</v>
      </c>
      <c r="Y732" s="225" t="s">
        <v>281</v>
      </c>
    </row>
    <row r="733" spans="1:25">
      <c r="A733" s="219">
        <v>14</v>
      </c>
      <c r="B733" s="220" t="str">
        <f>VLOOKUP(Tabel10[[#This Row],[Code]],Ruimtegroepen[[Code]:[Ruimte omschrijving]],2,FALSE)</f>
        <v>Praktijklokalen</v>
      </c>
      <c r="C733" s="221" t="s">
        <v>891</v>
      </c>
      <c r="D733" s="220" t="s">
        <v>1</v>
      </c>
      <c r="E733" s="221" t="s">
        <v>102</v>
      </c>
      <c r="F733" s="221" t="s">
        <v>895</v>
      </c>
      <c r="G733" s="226" t="s">
        <v>281</v>
      </c>
      <c r="H733" s="222" t="s">
        <v>281</v>
      </c>
      <c r="I733" s="222" t="s">
        <v>20</v>
      </c>
      <c r="J733" s="222" t="s">
        <v>15</v>
      </c>
      <c r="K733" s="222" t="s">
        <v>16</v>
      </c>
      <c r="L733" s="222" t="s">
        <v>281</v>
      </c>
      <c r="M733" s="222" t="s">
        <v>281</v>
      </c>
      <c r="N733" s="222" t="s">
        <v>281</v>
      </c>
      <c r="O733" s="223" t="s">
        <v>2</v>
      </c>
      <c r="P733" s="223" t="s">
        <v>2</v>
      </c>
      <c r="Q733" s="223" t="s">
        <v>15</v>
      </c>
      <c r="R733" s="223" t="s">
        <v>15</v>
      </c>
      <c r="S733" s="223" t="s">
        <v>16</v>
      </c>
      <c r="T733" s="223" t="s">
        <v>328</v>
      </c>
      <c r="U733" s="223" t="s">
        <v>248</v>
      </c>
      <c r="V733" s="223" t="s">
        <v>281</v>
      </c>
      <c r="W733" s="224" t="s">
        <v>281</v>
      </c>
      <c r="X733" s="224" t="s">
        <v>281</v>
      </c>
      <c r="Y733" s="225" t="s">
        <v>281</v>
      </c>
    </row>
    <row r="734" spans="1:25">
      <c r="A734" s="219">
        <v>14</v>
      </c>
      <c r="B734" s="220" t="str">
        <f>VLOOKUP(Tabel10[[#This Row],[Code]],Ruimtegroepen[[Code]:[Ruimte omschrijving]],2,FALSE)</f>
        <v>Praktijklokalen</v>
      </c>
      <c r="C734" s="221" t="s">
        <v>891</v>
      </c>
      <c r="D734" s="220" t="s">
        <v>1</v>
      </c>
      <c r="E734" s="221" t="s">
        <v>99</v>
      </c>
      <c r="F734" s="221" t="s">
        <v>893</v>
      </c>
      <c r="G734" s="222" t="s">
        <v>18</v>
      </c>
      <c r="H734" s="222" t="s">
        <v>17</v>
      </c>
      <c r="I734" s="222" t="s">
        <v>281</v>
      </c>
      <c r="J734" s="222" t="s">
        <v>281</v>
      </c>
      <c r="K734" s="222" t="s">
        <v>281</v>
      </c>
      <c r="L734" s="222" t="s">
        <v>281</v>
      </c>
      <c r="M734" s="222" t="s">
        <v>281</v>
      </c>
      <c r="N734" s="222" t="s">
        <v>281</v>
      </c>
      <c r="O734" s="223" t="s">
        <v>2</v>
      </c>
      <c r="P734" s="223" t="s">
        <v>2</v>
      </c>
      <c r="Q734" s="223" t="s">
        <v>15</v>
      </c>
      <c r="R734" s="223" t="s">
        <v>15</v>
      </c>
      <c r="S734" s="223" t="s">
        <v>16</v>
      </c>
      <c r="T734" s="223" t="s">
        <v>328</v>
      </c>
      <c r="U734" s="223" t="s">
        <v>248</v>
      </c>
      <c r="V734" s="223" t="s">
        <v>281</v>
      </c>
      <c r="W734" s="224" t="s">
        <v>281</v>
      </c>
      <c r="X734" s="224" t="s">
        <v>281</v>
      </c>
      <c r="Y734" s="225" t="s">
        <v>281</v>
      </c>
    </row>
    <row r="735" spans="1:25">
      <c r="A735" s="219">
        <v>14</v>
      </c>
      <c r="B735" s="220" t="str">
        <f>VLOOKUP(Tabel10[[#This Row],[Code]],Ruimtegroepen[[Code]:[Ruimte omschrijving]],2,FALSE)</f>
        <v>Praktijklokalen</v>
      </c>
      <c r="C735" s="221" t="s">
        <v>891</v>
      </c>
      <c r="D735" s="220" t="s">
        <v>1</v>
      </c>
      <c r="E735" s="221" t="s">
        <v>1309</v>
      </c>
      <c r="F735" s="221" t="s">
        <v>1471</v>
      </c>
      <c r="G735" s="226" t="s">
        <v>281</v>
      </c>
      <c r="H735" s="222" t="s">
        <v>281</v>
      </c>
      <c r="I735" s="222" t="s">
        <v>20</v>
      </c>
      <c r="J735" s="222" t="s">
        <v>15</v>
      </c>
      <c r="K735" s="222" t="s">
        <v>16</v>
      </c>
      <c r="L735" s="222" t="s">
        <v>281</v>
      </c>
      <c r="M735" s="222" t="s">
        <v>281</v>
      </c>
      <c r="N735" s="222" t="s">
        <v>281</v>
      </c>
      <c r="O735" s="223" t="s">
        <v>2</v>
      </c>
      <c r="P735" s="223" t="s">
        <v>2</v>
      </c>
      <c r="Q735" s="223" t="s">
        <v>15</v>
      </c>
      <c r="R735" s="223" t="s">
        <v>15</v>
      </c>
      <c r="S735" s="223" t="s">
        <v>16</v>
      </c>
      <c r="T735" s="223" t="s">
        <v>328</v>
      </c>
      <c r="U735" s="223" t="s">
        <v>248</v>
      </c>
      <c r="V735" s="223" t="s">
        <v>281</v>
      </c>
      <c r="W735" s="224" t="s">
        <v>281</v>
      </c>
      <c r="X735" s="224" t="s">
        <v>281</v>
      </c>
      <c r="Y735" s="225" t="s">
        <v>281</v>
      </c>
    </row>
    <row r="736" spans="1:25">
      <c r="A736" s="219">
        <v>14</v>
      </c>
      <c r="B736" s="220" t="str">
        <f>VLOOKUP(Tabel10[[#This Row],[Code]],Ruimtegroepen[[Code]:[Ruimte omschrijving]],2,FALSE)</f>
        <v>Praktijklokalen</v>
      </c>
      <c r="C736" s="221" t="s">
        <v>896</v>
      </c>
      <c r="D736" s="220" t="s">
        <v>21</v>
      </c>
      <c r="E736" s="221" t="s">
        <v>100</v>
      </c>
      <c r="F736" s="221" t="s">
        <v>897</v>
      </c>
      <c r="G736" s="226" t="s">
        <v>281</v>
      </c>
      <c r="H736" s="222" t="s">
        <v>281</v>
      </c>
      <c r="I736" s="222" t="s">
        <v>18</v>
      </c>
      <c r="J736" s="222" t="s">
        <v>15</v>
      </c>
      <c r="K736" s="222" t="s">
        <v>281</v>
      </c>
      <c r="L736" s="222" t="s">
        <v>281</v>
      </c>
      <c r="M736" s="222" t="s">
        <v>281</v>
      </c>
      <c r="N736" s="222" t="s">
        <v>281</v>
      </c>
      <c r="O736" s="223" t="s">
        <v>20</v>
      </c>
      <c r="P736" s="223" t="s">
        <v>20</v>
      </c>
      <c r="Q736" s="223" t="s">
        <v>15</v>
      </c>
      <c r="R736" s="223" t="s">
        <v>15</v>
      </c>
      <c r="S736" s="223" t="s">
        <v>16</v>
      </c>
      <c r="T736" s="223" t="s">
        <v>328</v>
      </c>
      <c r="U736" s="223" t="s">
        <v>248</v>
      </c>
      <c r="V736" s="223" t="s">
        <v>281</v>
      </c>
      <c r="W736" s="224" t="s">
        <v>281</v>
      </c>
      <c r="X736" s="224" t="s">
        <v>281</v>
      </c>
      <c r="Y736" s="225" t="s">
        <v>281</v>
      </c>
    </row>
    <row r="737" spans="1:25">
      <c r="A737" s="219">
        <v>14</v>
      </c>
      <c r="B737" s="220" t="str">
        <f>VLOOKUP(Tabel10[[#This Row],[Code]],Ruimtegroepen[[Code]:[Ruimte omschrijving]],2,FALSE)</f>
        <v>Praktijklokalen</v>
      </c>
      <c r="C737" s="221" t="s">
        <v>896</v>
      </c>
      <c r="D737" s="220" t="s">
        <v>21</v>
      </c>
      <c r="E737" s="221" t="s">
        <v>99</v>
      </c>
      <c r="F737" s="221" t="s">
        <v>898</v>
      </c>
      <c r="G737" s="222" t="s">
        <v>17</v>
      </c>
      <c r="H737" s="222" t="s">
        <v>17</v>
      </c>
      <c r="I737" s="222" t="s">
        <v>281</v>
      </c>
      <c r="J737" s="222" t="s">
        <v>281</v>
      </c>
      <c r="K737" s="222" t="s">
        <v>281</v>
      </c>
      <c r="L737" s="222" t="s">
        <v>281</v>
      </c>
      <c r="M737" s="222" t="s">
        <v>281</v>
      </c>
      <c r="N737" s="222" t="s">
        <v>281</v>
      </c>
      <c r="O737" s="223" t="s">
        <v>20</v>
      </c>
      <c r="P737" s="223" t="s">
        <v>20</v>
      </c>
      <c r="Q737" s="223" t="s">
        <v>15</v>
      </c>
      <c r="R737" s="223" t="s">
        <v>15</v>
      </c>
      <c r="S737" s="223" t="s">
        <v>16</v>
      </c>
      <c r="T737" s="223" t="s">
        <v>328</v>
      </c>
      <c r="U737" s="223" t="s">
        <v>248</v>
      </c>
      <c r="V737" s="223" t="s">
        <v>281</v>
      </c>
      <c r="W737" s="224" t="s">
        <v>281</v>
      </c>
      <c r="X737" s="224" t="s">
        <v>281</v>
      </c>
      <c r="Y737" s="225" t="s">
        <v>281</v>
      </c>
    </row>
    <row r="738" spans="1:25">
      <c r="A738" s="219">
        <v>14</v>
      </c>
      <c r="B738" s="220" t="str">
        <f>VLOOKUP(Tabel10[[#This Row],[Code]],Ruimtegroepen[[Code]:[Ruimte omschrijving]],2,FALSE)</f>
        <v>Praktijklokalen</v>
      </c>
      <c r="C738" s="221" t="s">
        <v>896</v>
      </c>
      <c r="D738" s="220" t="s">
        <v>21</v>
      </c>
      <c r="E738" s="221" t="s">
        <v>101</v>
      </c>
      <c r="F738" s="221" t="s">
        <v>899</v>
      </c>
      <c r="G738" s="226" t="s">
        <v>281</v>
      </c>
      <c r="H738" s="222" t="s">
        <v>281</v>
      </c>
      <c r="I738" s="222" t="s">
        <v>18</v>
      </c>
      <c r="J738" s="222" t="s">
        <v>15</v>
      </c>
      <c r="K738" s="222" t="s">
        <v>16</v>
      </c>
      <c r="L738" s="222" t="s">
        <v>281</v>
      </c>
      <c r="M738" s="222" t="s">
        <v>281</v>
      </c>
      <c r="N738" s="222" t="s">
        <v>281</v>
      </c>
      <c r="O738" s="223" t="s">
        <v>20</v>
      </c>
      <c r="P738" s="223" t="s">
        <v>20</v>
      </c>
      <c r="Q738" s="223" t="s">
        <v>15</v>
      </c>
      <c r="R738" s="223" t="s">
        <v>15</v>
      </c>
      <c r="S738" s="223" t="s">
        <v>16</v>
      </c>
      <c r="T738" s="223" t="s">
        <v>328</v>
      </c>
      <c r="U738" s="223" t="s">
        <v>248</v>
      </c>
      <c r="V738" s="223" t="s">
        <v>281</v>
      </c>
      <c r="W738" s="224" t="s">
        <v>281</v>
      </c>
      <c r="X738" s="224" t="s">
        <v>281</v>
      </c>
      <c r="Y738" s="225" t="s">
        <v>281</v>
      </c>
    </row>
    <row r="739" spans="1:25">
      <c r="A739" s="219">
        <v>14</v>
      </c>
      <c r="B739" s="220" t="str">
        <f>VLOOKUP(Tabel10[[#This Row],[Code]],Ruimtegroepen[[Code]:[Ruimte omschrijving]],2,FALSE)</f>
        <v>Praktijklokalen</v>
      </c>
      <c r="C739" s="221" t="s">
        <v>896</v>
      </c>
      <c r="D739" s="220" t="s">
        <v>21</v>
      </c>
      <c r="E739" s="221" t="s">
        <v>102</v>
      </c>
      <c r="F739" s="221" t="s">
        <v>900</v>
      </c>
      <c r="G739" s="226" t="s">
        <v>281</v>
      </c>
      <c r="H739" s="222" t="s">
        <v>281</v>
      </c>
      <c r="I739" s="222" t="s">
        <v>18</v>
      </c>
      <c r="J739" s="222" t="s">
        <v>15</v>
      </c>
      <c r="K739" s="222" t="s">
        <v>16</v>
      </c>
      <c r="L739" s="222" t="s">
        <v>281</v>
      </c>
      <c r="M739" s="222" t="s">
        <v>281</v>
      </c>
      <c r="N739" s="222" t="s">
        <v>281</v>
      </c>
      <c r="O739" s="223" t="s">
        <v>20</v>
      </c>
      <c r="P739" s="223" t="s">
        <v>20</v>
      </c>
      <c r="Q739" s="223" t="s">
        <v>15</v>
      </c>
      <c r="R739" s="223" t="s">
        <v>15</v>
      </c>
      <c r="S739" s="223" t="s">
        <v>16</v>
      </c>
      <c r="T739" s="223" t="s">
        <v>328</v>
      </c>
      <c r="U739" s="223" t="s">
        <v>248</v>
      </c>
      <c r="V739" s="223" t="s">
        <v>281</v>
      </c>
      <c r="W739" s="224" t="s">
        <v>281</v>
      </c>
      <c r="X739" s="224" t="s">
        <v>281</v>
      </c>
      <c r="Y739" s="225" t="s">
        <v>281</v>
      </c>
    </row>
    <row r="740" spans="1:25">
      <c r="A740" s="219">
        <v>14</v>
      </c>
      <c r="B740" s="220" t="str">
        <f>VLOOKUP(Tabel10[[#This Row],[Code]],Ruimtegroepen[[Code]:[Ruimte omschrijving]],2,FALSE)</f>
        <v>Praktijklokalen</v>
      </c>
      <c r="C740" s="221" t="s">
        <v>896</v>
      </c>
      <c r="D740" s="220" t="s">
        <v>21</v>
      </c>
      <c r="E740" s="221" t="s">
        <v>99</v>
      </c>
      <c r="F740" s="221" t="s">
        <v>898</v>
      </c>
      <c r="G740" s="222" t="s">
        <v>17</v>
      </c>
      <c r="H740" s="222" t="s">
        <v>17</v>
      </c>
      <c r="I740" s="222" t="s">
        <v>281</v>
      </c>
      <c r="J740" s="222" t="s">
        <v>281</v>
      </c>
      <c r="K740" s="222" t="s">
        <v>281</v>
      </c>
      <c r="L740" s="222" t="s">
        <v>281</v>
      </c>
      <c r="M740" s="222" t="s">
        <v>281</v>
      </c>
      <c r="N740" s="222" t="s">
        <v>281</v>
      </c>
      <c r="O740" s="223" t="s">
        <v>281</v>
      </c>
      <c r="P740" s="223" t="s">
        <v>281</v>
      </c>
      <c r="Q740" s="223" t="s">
        <v>281</v>
      </c>
      <c r="R740" s="223" t="s">
        <v>281</v>
      </c>
      <c r="S740" s="223" t="s">
        <v>281</v>
      </c>
      <c r="T740" s="223" t="s">
        <v>281</v>
      </c>
      <c r="U740" s="223" t="s">
        <v>281</v>
      </c>
      <c r="V740" s="223" t="s">
        <v>281</v>
      </c>
      <c r="W740" s="224" t="s">
        <v>281</v>
      </c>
      <c r="X740" s="224" t="s">
        <v>281</v>
      </c>
      <c r="Y740" s="225" t="s">
        <v>281</v>
      </c>
    </row>
    <row r="741" spans="1:25">
      <c r="A741" s="219">
        <v>14</v>
      </c>
      <c r="B741" s="220" t="str">
        <f>VLOOKUP(Tabel10[[#This Row],[Code]],Ruimtegroepen[[Code]:[Ruimte omschrijving]],2,FALSE)</f>
        <v>Praktijklokalen</v>
      </c>
      <c r="C741" s="221" t="s">
        <v>896</v>
      </c>
      <c r="D741" s="220" t="s">
        <v>21</v>
      </c>
      <c r="E741" s="221" t="s">
        <v>1309</v>
      </c>
      <c r="F741" s="221" t="s">
        <v>1454</v>
      </c>
      <c r="G741" s="226" t="s">
        <v>281</v>
      </c>
      <c r="H741" s="222" t="s">
        <v>281</v>
      </c>
      <c r="I741" s="222" t="s">
        <v>18</v>
      </c>
      <c r="J741" s="222" t="s">
        <v>15</v>
      </c>
      <c r="K741" s="222" t="s">
        <v>16</v>
      </c>
      <c r="L741" s="222" t="s">
        <v>281</v>
      </c>
      <c r="M741" s="222" t="s">
        <v>281</v>
      </c>
      <c r="N741" s="222" t="s">
        <v>281</v>
      </c>
      <c r="O741" s="223" t="s">
        <v>20</v>
      </c>
      <c r="P741" s="223" t="s">
        <v>20</v>
      </c>
      <c r="Q741" s="223" t="s">
        <v>15</v>
      </c>
      <c r="R741" s="223" t="s">
        <v>15</v>
      </c>
      <c r="S741" s="223" t="s">
        <v>16</v>
      </c>
      <c r="T741" s="223" t="s">
        <v>328</v>
      </c>
      <c r="U741" s="223" t="s">
        <v>248</v>
      </c>
      <c r="V741" s="223" t="s">
        <v>281</v>
      </c>
      <c r="W741" s="224" t="s">
        <v>281</v>
      </c>
      <c r="X741" s="224" t="s">
        <v>281</v>
      </c>
      <c r="Y741" s="225" t="s">
        <v>281</v>
      </c>
    </row>
    <row r="742" spans="1:25">
      <c r="A742" s="219">
        <v>14</v>
      </c>
      <c r="B742" s="220" t="str">
        <f>VLOOKUP(Tabel10[[#This Row],[Code]],Ruimtegroepen[[Code]:[Ruimte omschrijving]],2,FALSE)</f>
        <v>Praktijklokalen</v>
      </c>
      <c r="C742" s="221" t="s">
        <v>901</v>
      </c>
      <c r="D742" s="220" t="s">
        <v>12</v>
      </c>
      <c r="E742" s="221" t="s">
        <v>100</v>
      </c>
      <c r="F742" s="221" t="s">
        <v>902</v>
      </c>
      <c r="G742" s="226" t="s">
        <v>281</v>
      </c>
      <c r="H742" s="222" t="s">
        <v>281</v>
      </c>
      <c r="I742" s="222" t="s">
        <v>17</v>
      </c>
      <c r="J742" s="222" t="s">
        <v>15</v>
      </c>
      <c r="K742" s="222" t="s">
        <v>281</v>
      </c>
      <c r="L742" s="222" t="s">
        <v>281</v>
      </c>
      <c r="M742" s="222" t="s">
        <v>281</v>
      </c>
      <c r="N742" s="222" t="s">
        <v>281</v>
      </c>
      <c r="O742" s="223" t="s">
        <v>18</v>
      </c>
      <c r="P742" s="223" t="s">
        <v>18</v>
      </c>
      <c r="Q742" s="223" t="s">
        <v>15</v>
      </c>
      <c r="R742" s="223" t="s">
        <v>15</v>
      </c>
      <c r="S742" s="223" t="s">
        <v>16</v>
      </c>
      <c r="T742" s="223" t="s">
        <v>328</v>
      </c>
      <c r="U742" s="223" t="s">
        <v>248</v>
      </c>
      <c r="V742" s="223" t="s">
        <v>281</v>
      </c>
      <c r="W742" s="224" t="s">
        <v>281</v>
      </c>
      <c r="X742" s="224" t="s">
        <v>281</v>
      </c>
      <c r="Y742" s="225" t="s">
        <v>281</v>
      </c>
    </row>
    <row r="743" spans="1:25">
      <c r="A743" s="219">
        <v>14</v>
      </c>
      <c r="B743" s="220" t="str">
        <f>VLOOKUP(Tabel10[[#This Row],[Code]],Ruimtegroepen[[Code]:[Ruimte omschrijving]],2,FALSE)</f>
        <v>Praktijklokalen</v>
      </c>
      <c r="C743" s="221" t="s">
        <v>901</v>
      </c>
      <c r="D743" s="220" t="s">
        <v>12</v>
      </c>
      <c r="E743" s="221" t="s">
        <v>99</v>
      </c>
      <c r="F743" s="221" t="s">
        <v>903</v>
      </c>
      <c r="G743" s="222" t="s">
        <v>17</v>
      </c>
      <c r="H743" s="222" t="s">
        <v>15</v>
      </c>
      <c r="I743" s="222" t="s">
        <v>281</v>
      </c>
      <c r="J743" s="222" t="s">
        <v>281</v>
      </c>
      <c r="K743" s="222" t="s">
        <v>281</v>
      </c>
      <c r="L743" s="222" t="s">
        <v>281</v>
      </c>
      <c r="M743" s="222" t="s">
        <v>281</v>
      </c>
      <c r="N743" s="222" t="s">
        <v>281</v>
      </c>
      <c r="O743" s="223" t="s">
        <v>18</v>
      </c>
      <c r="P743" s="223" t="s">
        <v>18</v>
      </c>
      <c r="Q743" s="223" t="s">
        <v>15</v>
      </c>
      <c r="R743" s="223" t="s">
        <v>15</v>
      </c>
      <c r="S743" s="223" t="s">
        <v>16</v>
      </c>
      <c r="T743" s="223" t="s">
        <v>328</v>
      </c>
      <c r="U743" s="223" t="s">
        <v>248</v>
      </c>
      <c r="V743" s="223" t="s">
        <v>281</v>
      </c>
      <c r="W743" s="224" t="s">
        <v>281</v>
      </c>
      <c r="X743" s="224" t="s">
        <v>281</v>
      </c>
      <c r="Y743" s="225" t="s">
        <v>281</v>
      </c>
    </row>
    <row r="744" spans="1:25">
      <c r="A744" s="219">
        <v>14</v>
      </c>
      <c r="B744" s="220" t="str">
        <f>VLOOKUP(Tabel10[[#This Row],[Code]],Ruimtegroepen[[Code]:[Ruimte omschrijving]],2,FALSE)</f>
        <v>Praktijklokalen</v>
      </c>
      <c r="C744" s="221" t="s">
        <v>901</v>
      </c>
      <c r="D744" s="220" t="s">
        <v>12</v>
      </c>
      <c r="E744" s="221" t="s">
        <v>101</v>
      </c>
      <c r="F744" s="221" t="s">
        <v>904</v>
      </c>
      <c r="G744" s="226" t="s">
        <v>281</v>
      </c>
      <c r="H744" s="222" t="s">
        <v>281</v>
      </c>
      <c r="I744" s="222" t="s">
        <v>17</v>
      </c>
      <c r="J744" s="222" t="s">
        <v>15</v>
      </c>
      <c r="K744" s="222" t="s">
        <v>16</v>
      </c>
      <c r="L744" s="222" t="s">
        <v>281</v>
      </c>
      <c r="M744" s="222" t="s">
        <v>281</v>
      </c>
      <c r="N744" s="222" t="s">
        <v>281</v>
      </c>
      <c r="O744" s="223" t="s">
        <v>18</v>
      </c>
      <c r="P744" s="223" t="s">
        <v>18</v>
      </c>
      <c r="Q744" s="223" t="s">
        <v>15</v>
      </c>
      <c r="R744" s="223" t="s">
        <v>15</v>
      </c>
      <c r="S744" s="223" t="s">
        <v>16</v>
      </c>
      <c r="T744" s="223" t="s">
        <v>328</v>
      </c>
      <c r="U744" s="223" t="s">
        <v>248</v>
      </c>
      <c r="V744" s="223" t="s">
        <v>281</v>
      </c>
      <c r="W744" s="224" t="s">
        <v>281</v>
      </c>
      <c r="X744" s="224" t="s">
        <v>281</v>
      </c>
      <c r="Y744" s="225" t="s">
        <v>281</v>
      </c>
    </row>
    <row r="745" spans="1:25">
      <c r="A745" s="219">
        <v>14</v>
      </c>
      <c r="B745" s="220" t="str">
        <f>VLOOKUP(Tabel10[[#This Row],[Code]],Ruimtegroepen[[Code]:[Ruimte omschrijving]],2,FALSE)</f>
        <v>Praktijklokalen</v>
      </c>
      <c r="C745" s="221" t="s">
        <v>901</v>
      </c>
      <c r="D745" s="220" t="s">
        <v>12</v>
      </c>
      <c r="E745" s="221" t="s">
        <v>102</v>
      </c>
      <c r="F745" s="221" t="s">
        <v>905</v>
      </c>
      <c r="G745" s="226" t="s">
        <v>281</v>
      </c>
      <c r="H745" s="222" t="s">
        <v>281</v>
      </c>
      <c r="I745" s="222" t="s">
        <v>17</v>
      </c>
      <c r="J745" s="222" t="s">
        <v>15</v>
      </c>
      <c r="K745" s="222" t="s">
        <v>16</v>
      </c>
      <c r="L745" s="222" t="s">
        <v>281</v>
      </c>
      <c r="M745" s="222" t="s">
        <v>281</v>
      </c>
      <c r="N745" s="222" t="s">
        <v>281</v>
      </c>
      <c r="O745" s="223" t="s">
        <v>18</v>
      </c>
      <c r="P745" s="223" t="s">
        <v>18</v>
      </c>
      <c r="Q745" s="223" t="s">
        <v>15</v>
      </c>
      <c r="R745" s="223" t="s">
        <v>15</v>
      </c>
      <c r="S745" s="223" t="s">
        <v>16</v>
      </c>
      <c r="T745" s="223" t="s">
        <v>328</v>
      </c>
      <c r="U745" s="223" t="s">
        <v>248</v>
      </c>
      <c r="V745" s="223" t="s">
        <v>281</v>
      </c>
      <c r="W745" s="224" t="s">
        <v>281</v>
      </c>
      <c r="X745" s="224" t="s">
        <v>281</v>
      </c>
      <c r="Y745" s="225" t="s">
        <v>281</v>
      </c>
    </row>
    <row r="746" spans="1:25">
      <c r="A746" s="219">
        <v>14</v>
      </c>
      <c r="B746" s="220" t="str">
        <f>VLOOKUP(Tabel10[[#This Row],[Code]],Ruimtegroepen[[Code]:[Ruimte omschrijving]],2,FALSE)</f>
        <v>Praktijklokalen</v>
      </c>
      <c r="C746" s="221" t="s">
        <v>901</v>
      </c>
      <c r="D746" s="220" t="s">
        <v>12</v>
      </c>
      <c r="E746" s="221" t="s">
        <v>99</v>
      </c>
      <c r="F746" s="221" t="s">
        <v>903</v>
      </c>
      <c r="G746" s="222" t="s">
        <v>17</v>
      </c>
      <c r="H746" s="222" t="s">
        <v>15</v>
      </c>
      <c r="I746" s="222" t="s">
        <v>281</v>
      </c>
      <c r="J746" s="222" t="s">
        <v>281</v>
      </c>
      <c r="K746" s="222" t="s">
        <v>281</v>
      </c>
      <c r="L746" s="222" t="s">
        <v>281</v>
      </c>
      <c r="M746" s="222" t="s">
        <v>281</v>
      </c>
      <c r="N746" s="222" t="s">
        <v>281</v>
      </c>
      <c r="O746" s="223" t="s">
        <v>281</v>
      </c>
      <c r="P746" s="223" t="s">
        <v>281</v>
      </c>
      <c r="Q746" s="223" t="s">
        <v>281</v>
      </c>
      <c r="R746" s="223" t="s">
        <v>281</v>
      </c>
      <c r="S746" s="223" t="s">
        <v>281</v>
      </c>
      <c r="T746" s="223" t="s">
        <v>281</v>
      </c>
      <c r="U746" s="223" t="s">
        <v>281</v>
      </c>
      <c r="V746" s="223" t="s">
        <v>281</v>
      </c>
      <c r="W746" s="224" t="s">
        <v>281</v>
      </c>
      <c r="X746" s="224" t="s">
        <v>281</v>
      </c>
      <c r="Y746" s="225" t="s">
        <v>281</v>
      </c>
    </row>
    <row r="747" spans="1:25">
      <c r="A747" s="219">
        <v>14</v>
      </c>
      <c r="B747" s="220" t="str">
        <f>VLOOKUP(Tabel10[[#This Row],[Code]],Ruimtegroepen[[Code]:[Ruimte omschrijving]],2,FALSE)</f>
        <v>Praktijklokalen</v>
      </c>
      <c r="C747" s="221" t="s">
        <v>901</v>
      </c>
      <c r="D747" s="220" t="s">
        <v>12</v>
      </c>
      <c r="E747" s="221" t="s">
        <v>1309</v>
      </c>
      <c r="F747" s="221" t="s">
        <v>1436</v>
      </c>
      <c r="G747" s="226" t="s">
        <v>281</v>
      </c>
      <c r="H747" s="222" t="s">
        <v>281</v>
      </c>
      <c r="I747" s="222" t="s">
        <v>17</v>
      </c>
      <c r="J747" s="222" t="s">
        <v>15</v>
      </c>
      <c r="K747" s="222" t="s">
        <v>16</v>
      </c>
      <c r="L747" s="222" t="s">
        <v>281</v>
      </c>
      <c r="M747" s="222" t="s">
        <v>281</v>
      </c>
      <c r="N747" s="222" t="s">
        <v>281</v>
      </c>
      <c r="O747" s="223" t="s">
        <v>18</v>
      </c>
      <c r="P747" s="223" t="s">
        <v>18</v>
      </c>
      <c r="Q747" s="223" t="s">
        <v>15</v>
      </c>
      <c r="R747" s="223" t="s">
        <v>15</v>
      </c>
      <c r="S747" s="223" t="s">
        <v>16</v>
      </c>
      <c r="T747" s="223" t="s">
        <v>328</v>
      </c>
      <c r="U747" s="223" t="s">
        <v>248</v>
      </c>
      <c r="V747" s="223" t="s">
        <v>281</v>
      </c>
      <c r="W747" s="224" t="s">
        <v>281</v>
      </c>
      <c r="X747" s="224" t="s">
        <v>281</v>
      </c>
      <c r="Y747" s="225" t="s">
        <v>281</v>
      </c>
    </row>
    <row r="748" spans="1:25">
      <c r="A748" s="219">
        <v>14</v>
      </c>
      <c r="B748" s="220" t="str">
        <f>VLOOKUP(Tabel10[[#This Row],[Code]],Ruimtegroepen[[Code]:[Ruimte omschrijving]],2,FALSE)</f>
        <v>Praktijklokalen</v>
      </c>
      <c r="C748" s="221" t="s">
        <v>906</v>
      </c>
      <c r="D748" s="220" t="s">
        <v>14</v>
      </c>
      <c r="E748" s="221" t="s">
        <v>100</v>
      </c>
      <c r="F748" s="221" t="s">
        <v>907</v>
      </c>
      <c r="G748" s="226" t="s">
        <v>281</v>
      </c>
      <c r="H748" s="222" t="s">
        <v>281</v>
      </c>
      <c r="I748" s="222" t="s">
        <v>281</v>
      </c>
      <c r="J748" s="222" t="s">
        <v>17</v>
      </c>
      <c r="K748" s="222" t="s">
        <v>281</v>
      </c>
      <c r="L748" s="222" t="s">
        <v>281</v>
      </c>
      <c r="M748" s="222" t="s">
        <v>281</v>
      </c>
      <c r="N748" s="222" t="s">
        <v>281</v>
      </c>
      <c r="O748" s="223" t="s">
        <v>17</v>
      </c>
      <c r="P748" s="223" t="s">
        <v>17</v>
      </c>
      <c r="Q748" s="223" t="s">
        <v>15</v>
      </c>
      <c r="R748" s="223" t="s">
        <v>15</v>
      </c>
      <c r="S748" s="223" t="s">
        <v>16</v>
      </c>
      <c r="T748" s="223" t="s">
        <v>328</v>
      </c>
      <c r="U748" s="223" t="s">
        <v>248</v>
      </c>
      <c r="V748" s="223" t="s">
        <v>281</v>
      </c>
      <c r="W748" s="224" t="s">
        <v>281</v>
      </c>
      <c r="X748" s="224" t="s">
        <v>281</v>
      </c>
      <c r="Y748" s="225" t="s">
        <v>281</v>
      </c>
    </row>
    <row r="749" spans="1:25">
      <c r="A749" s="219">
        <v>14</v>
      </c>
      <c r="B749" s="220" t="str">
        <f>VLOOKUP(Tabel10[[#This Row],[Code]],Ruimtegroepen[[Code]:[Ruimte omschrijving]],2,FALSE)</f>
        <v>Praktijklokalen</v>
      </c>
      <c r="C749" s="221" t="s">
        <v>906</v>
      </c>
      <c r="D749" s="220" t="s">
        <v>14</v>
      </c>
      <c r="E749" s="221" t="s">
        <v>99</v>
      </c>
      <c r="F749" s="221" t="s">
        <v>908</v>
      </c>
      <c r="G749" s="222" t="s">
        <v>15</v>
      </c>
      <c r="H749" s="222" t="s">
        <v>15</v>
      </c>
      <c r="I749" s="222" t="s">
        <v>281</v>
      </c>
      <c r="J749" s="222" t="s">
        <v>281</v>
      </c>
      <c r="K749" s="222" t="s">
        <v>281</v>
      </c>
      <c r="L749" s="222" t="s">
        <v>281</v>
      </c>
      <c r="M749" s="222" t="s">
        <v>281</v>
      </c>
      <c r="N749" s="222" t="s">
        <v>281</v>
      </c>
      <c r="O749" s="223" t="s">
        <v>17</v>
      </c>
      <c r="P749" s="223" t="s">
        <v>17</v>
      </c>
      <c r="Q749" s="223" t="s">
        <v>15</v>
      </c>
      <c r="R749" s="223" t="s">
        <v>15</v>
      </c>
      <c r="S749" s="223" t="s">
        <v>16</v>
      </c>
      <c r="T749" s="223" t="s">
        <v>328</v>
      </c>
      <c r="U749" s="223" t="s">
        <v>248</v>
      </c>
      <c r="V749" s="223" t="s">
        <v>281</v>
      </c>
      <c r="W749" s="224" t="s">
        <v>281</v>
      </c>
      <c r="X749" s="224" t="s">
        <v>281</v>
      </c>
      <c r="Y749" s="225" t="s">
        <v>281</v>
      </c>
    </row>
    <row r="750" spans="1:25">
      <c r="A750" s="219">
        <v>14</v>
      </c>
      <c r="B750" s="220" t="str">
        <f>VLOOKUP(Tabel10[[#This Row],[Code]],Ruimtegroepen[[Code]:[Ruimte omschrijving]],2,FALSE)</f>
        <v>Praktijklokalen</v>
      </c>
      <c r="C750" s="221" t="s">
        <v>906</v>
      </c>
      <c r="D750" s="220" t="s">
        <v>14</v>
      </c>
      <c r="E750" s="221" t="s">
        <v>101</v>
      </c>
      <c r="F750" s="221" t="s">
        <v>909</v>
      </c>
      <c r="G750" s="226" t="s">
        <v>281</v>
      </c>
      <c r="H750" s="222" t="s">
        <v>281</v>
      </c>
      <c r="I750" s="222" t="s">
        <v>281</v>
      </c>
      <c r="J750" s="222" t="s">
        <v>17</v>
      </c>
      <c r="K750" s="222" t="s">
        <v>16</v>
      </c>
      <c r="L750" s="222" t="s">
        <v>281</v>
      </c>
      <c r="M750" s="222" t="s">
        <v>281</v>
      </c>
      <c r="N750" s="222" t="s">
        <v>281</v>
      </c>
      <c r="O750" s="223" t="s">
        <v>17</v>
      </c>
      <c r="P750" s="223" t="s">
        <v>17</v>
      </c>
      <c r="Q750" s="223" t="s">
        <v>15</v>
      </c>
      <c r="R750" s="223" t="s">
        <v>15</v>
      </c>
      <c r="S750" s="223" t="s">
        <v>16</v>
      </c>
      <c r="T750" s="223" t="s">
        <v>328</v>
      </c>
      <c r="U750" s="223" t="s">
        <v>248</v>
      </c>
      <c r="V750" s="223" t="s">
        <v>281</v>
      </c>
      <c r="W750" s="224" t="s">
        <v>281</v>
      </c>
      <c r="X750" s="224" t="s">
        <v>281</v>
      </c>
      <c r="Y750" s="225" t="s">
        <v>281</v>
      </c>
    </row>
    <row r="751" spans="1:25">
      <c r="A751" s="219">
        <v>14</v>
      </c>
      <c r="B751" s="220" t="str">
        <f>VLOOKUP(Tabel10[[#This Row],[Code]],Ruimtegroepen[[Code]:[Ruimte omschrijving]],2,FALSE)</f>
        <v>Praktijklokalen</v>
      </c>
      <c r="C751" s="221" t="s">
        <v>906</v>
      </c>
      <c r="D751" s="220" t="s">
        <v>14</v>
      </c>
      <c r="E751" s="221" t="s">
        <v>102</v>
      </c>
      <c r="F751" s="221" t="s">
        <v>910</v>
      </c>
      <c r="G751" s="226" t="s">
        <v>281</v>
      </c>
      <c r="H751" s="222" t="s">
        <v>281</v>
      </c>
      <c r="I751" s="222" t="s">
        <v>281</v>
      </c>
      <c r="J751" s="222" t="s">
        <v>17</v>
      </c>
      <c r="K751" s="222" t="s">
        <v>16</v>
      </c>
      <c r="L751" s="222" t="s">
        <v>281</v>
      </c>
      <c r="M751" s="222" t="s">
        <v>281</v>
      </c>
      <c r="N751" s="222" t="s">
        <v>281</v>
      </c>
      <c r="O751" s="223" t="s">
        <v>17</v>
      </c>
      <c r="P751" s="223" t="s">
        <v>17</v>
      </c>
      <c r="Q751" s="223" t="s">
        <v>15</v>
      </c>
      <c r="R751" s="223" t="s">
        <v>15</v>
      </c>
      <c r="S751" s="223" t="s">
        <v>16</v>
      </c>
      <c r="T751" s="223" t="s">
        <v>328</v>
      </c>
      <c r="U751" s="223" t="s">
        <v>248</v>
      </c>
      <c r="V751" s="223" t="s">
        <v>281</v>
      </c>
      <c r="W751" s="224" t="s">
        <v>281</v>
      </c>
      <c r="X751" s="224" t="s">
        <v>281</v>
      </c>
      <c r="Y751" s="225" t="s">
        <v>281</v>
      </c>
    </row>
    <row r="752" spans="1:25">
      <c r="A752" s="219">
        <v>14</v>
      </c>
      <c r="B752" s="220" t="str">
        <f>VLOOKUP(Tabel10[[#This Row],[Code]],Ruimtegroepen[[Code]:[Ruimte omschrijving]],2,FALSE)</f>
        <v>Praktijklokalen</v>
      </c>
      <c r="C752" s="221" t="s">
        <v>906</v>
      </c>
      <c r="D752" s="220" t="s">
        <v>14</v>
      </c>
      <c r="E752" s="221" t="s">
        <v>99</v>
      </c>
      <c r="F752" s="221" t="s">
        <v>908</v>
      </c>
      <c r="G752" s="222" t="s">
        <v>15</v>
      </c>
      <c r="H752" s="222" t="s">
        <v>15</v>
      </c>
      <c r="I752" s="222" t="s">
        <v>281</v>
      </c>
      <c r="J752" s="222" t="s">
        <v>281</v>
      </c>
      <c r="K752" s="222" t="s">
        <v>281</v>
      </c>
      <c r="L752" s="222" t="s">
        <v>281</v>
      </c>
      <c r="M752" s="222" t="s">
        <v>281</v>
      </c>
      <c r="N752" s="222" t="s">
        <v>281</v>
      </c>
      <c r="O752" s="223" t="s">
        <v>281</v>
      </c>
      <c r="P752" s="223" t="s">
        <v>281</v>
      </c>
      <c r="Q752" s="223" t="s">
        <v>281</v>
      </c>
      <c r="R752" s="223" t="s">
        <v>281</v>
      </c>
      <c r="S752" s="223" t="s">
        <v>281</v>
      </c>
      <c r="T752" s="223" t="s">
        <v>281</v>
      </c>
      <c r="U752" s="223" t="s">
        <v>281</v>
      </c>
      <c r="V752" s="223" t="s">
        <v>281</v>
      </c>
      <c r="W752" s="224" t="s">
        <v>281</v>
      </c>
      <c r="X752" s="224" t="s">
        <v>281</v>
      </c>
      <c r="Y752" s="225" t="s">
        <v>281</v>
      </c>
    </row>
    <row r="753" spans="1:25">
      <c r="A753" s="219">
        <v>14</v>
      </c>
      <c r="B753" s="220" t="str">
        <f>VLOOKUP(Tabel10[[#This Row],[Code]],Ruimtegroepen[[Code]:[Ruimte omschrijving]],2,FALSE)</f>
        <v>Praktijklokalen</v>
      </c>
      <c r="C753" s="221" t="s">
        <v>906</v>
      </c>
      <c r="D753" s="220" t="s">
        <v>14</v>
      </c>
      <c r="E753" s="221" t="s">
        <v>1309</v>
      </c>
      <c r="F753" s="221" t="s">
        <v>1403</v>
      </c>
      <c r="G753" s="226" t="s">
        <v>281</v>
      </c>
      <c r="H753" s="222" t="s">
        <v>281</v>
      </c>
      <c r="I753" s="222" t="s">
        <v>281</v>
      </c>
      <c r="J753" s="222" t="s">
        <v>17</v>
      </c>
      <c r="K753" s="222" t="s">
        <v>16</v>
      </c>
      <c r="L753" s="222" t="s">
        <v>281</v>
      </c>
      <c r="M753" s="222" t="s">
        <v>281</v>
      </c>
      <c r="N753" s="222" t="s">
        <v>281</v>
      </c>
      <c r="O753" s="223" t="s">
        <v>17</v>
      </c>
      <c r="P753" s="223" t="s">
        <v>17</v>
      </c>
      <c r="Q753" s="223" t="s">
        <v>15</v>
      </c>
      <c r="R753" s="223" t="s">
        <v>15</v>
      </c>
      <c r="S753" s="223" t="s">
        <v>16</v>
      </c>
      <c r="T753" s="223" t="s">
        <v>328</v>
      </c>
      <c r="U753" s="223" t="s">
        <v>248</v>
      </c>
      <c r="V753" s="223" t="s">
        <v>281</v>
      </c>
      <c r="W753" s="224" t="s">
        <v>281</v>
      </c>
      <c r="X753" s="224" t="s">
        <v>281</v>
      </c>
      <c r="Y753" s="225" t="s">
        <v>281</v>
      </c>
    </row>
    <row r="754" spans="1:25">
      <c r="A754" s="219">
        <v>14</v>
      </c>
      <c r="B754" s="220" t="str">
        <f>VLOOKUP(Tabel10[[#This Row],[Code]],Ruimtegroepen[[Code]:[Ruimte omschrijving]],2,FALSE)</f>
        <v>Praktijklokalen</v>
      </c>
      <c r="C754" s="221" t="s">
        <v>911</v>
      </c>
      <c r="D754" s="220" t="s">
        <v>13</v>
      </c>
      <c r="E754" s="221" t="s">
        <v>100</v>
      </c>
      <c r="F754" s="221" t="s">
        <v>912</v>
      </c>
      <c r="G754" s="226" t="s">
        <v>281</v>
      </c>
      <c r="H754" s="222" t="s">
        <v>281</v>
      </c>
      <c r="I754" s="222" t="s">
        <v>281</v>
      </c>
      <c r="J754" s="222" t="s">
        <v>15</v>
      </c>
      <c r="K754" s="222" t="s">
        <v>281</v>
      </c>
      <c r="L754" s="222" t="s">
        <v>281</v>
      </c>
      <c r="M754" s="222" t="s">
        <v>281</v>
      </c>
      <c r="N754" s="222" t="s">
        <v>281</v>
      </c>
      <c r="O754" s="223" t="s">
        <v>15</v>
      </c>
      <c r="P754" s="223" t="s">
        <v>15</v>
      </c>
      <c r="Q754" s="223" t="s">
        <v>15</v>
      </c>
      <c r="R754" s="223" t="s">
        <v>15</v>
      </c>
      <c r="S754" s="223" t="s">
        <v>16</v>
      </c>
      <c r="T754" s="223" t="s">
        <v>328</v>
      </c>
      <c r="U754" s="223" t="s">
        <v>248</v>
      </c>
      <c r="V754" s="223" t="s">
        <v>281</v>
      </c>
      <c r="W754" s="224" t="s">
        <v>281</v>
      </c>
      <c r="X754" s="224" t="s">
        <v>281</v>
      </c>
      <c r="Y754" s="225" t="s">
        <v>281</v>
      </c>
    </row>
    <row r="755" spans="1:25">
      <c r="A755" s="219">
        <v>14</v>
      </c>
      <c r="B755" s="220" t="str">
        <f>VLOOKUP(Tabel10[[#This Row],[Code]],Ruimtegroepen[[Code]:[Ruimte omschrijving]],2,FALSE)</f>
        <v>Praktijklokalen</v>
      </c>
      <c r="C755" s="221" t="s">
        <v>911</v>
      </c>
      <c r="D755" s="220" t="s">
        <v>13</v>
      </c>
      <c r="E755" s="221" t="s">
        <v>99</v>
      </c>
      <c r="F755" s="221" t="s">
        <v>913</v>
      </c>
      <c r="G755" s="226" t="s">
        <v>281</v>
      </c>
      <c r="H755" s="222" t="s">
        <v>15</v>
      </c>
      <c r="I755" s="222" t="s">
        <v>281</v>
      </c>
      <c r="J755" s="222" t="s">
        <v>281</v>
      </c>
      <c r="K755" s="222" t="s">
        <v>281</v>
      </c>
      <c r="L755" s="222" t="s">
        <v>281</v>
      </c>
      <c r="M755" s="222" t="s">
        <v>281</v>
      </c>
      <c r="N755" s="222" t="s">
        <v>281</v>
      </c>
      <c r="O755" s="223" t="s">
        <v>15</v>
      </c>
      <c r="P755" s="223" t="s">
        <v>15</v>
      </c>
      <c r="Q755" s="223" t="s">
        <v>15</v>
      </c>
      <c r="R755" s="223" t="s">
        <v>15</v>
      </c>
      <c r="S755" s="223" t="s">
        <v>16</v>
      </c>
      <c r="T755" s="223" t="s">
        <v>328</v>
      </c>
      <c r="U755" s="223" t="s">
        <v>248</v>
      </c>
      <c r="V755" s="223" t="s">
        <v>281</v>
      </c>
      <c r="W755" s="224" t="s">
        <v>281</v>
      </c>
      <c r="X755" s="224" t="s">
        <v>281</v>
      </c>
      <c r="Y755" s="225" t="s">
        <v>281</v>
      </c>
    </row>
    <row r="756" spans="1:25">
      <c r="A756" s="219">
        <v>14</v>
      </c>
      <c r="B756" s="220" t="str">
        <f>VLOOKUP(Tabel10[[#This Row],[Code]],Ruimtegroepen[[Code]:[Ruimte omschrijving]],2,FALSE)</f>
        <v>Praktijklokalen</v>
      </c>
      <c r="C756" s="221" t="s">
        <v>911</v>
      </c>
      <c r="D756" s="220" t="s">
        <v>13</v>
      </c>
      <c r="E756" s="221" t="s">
        <v>101</v>
      </c>
      <c r="F756" s="221" t="s">
        <v>914</v>
      </c>
      <c r="G756" s="226" t="s">
        <v>281</v>
      </c>
      <c r="H756" s="222" t="s">
        <v>281</v>
      </c>
      <c r="I756" s="222" t="s">
        <v>281</v>
      </c>
      <c r="J756" s="222" t="s">
        <v>15</v>
      </c>
      <c r="K756" s="222" t="s">
        <v>16</v>
      </c>
      <c r="L756" s="222" t="s">
        <v>281</v>
      </c>
      <c r="M756" s="222" t="s">
        <v>281</v>
      </c>
      <c r="N756" s="222" t="s">
        <v>281</v>
      </c>
      <c r="O756" s="223" t="s">
        <v>15</v>
      </c>
      <c r="P756" s="223" t="s">
        <v>15</v>
      </c>
      <c r="Q756" s="223" t="s">
        <v>15</v>
      </c>
      <c r="R756" s="223" t="s">
        <v>15</v>
      </c>
      <c r="S756" s="223" t="s">
        <v>16</v>
      </c>
      <c r="T756" s="223" t="s">
        <v>328</v>
      </c>
      <c r="U756" s="223" t="s">
        <v>248</v>
      </c>
      <c r="V756" s="223" t="s">
        <v>281</v>
      </c>
      <c r="W756" s="224" t="s">
        <v>281</v>
      </c>
      <c r="X756" s="224" t="s">
        <v>281</v>
      </c>
      <c r="Y756" s="225" t="s">
        <v>281</v>
      </c>
    </row>
    <row r="757" spans="1:25">
      <c r="A757" s="219">
        <v>14</v>
      </c>
      <c r="B757" s="220" t="str">
        <f>VLOOKUP(Tabel10[[#This Row],[Code]],Ruimtegroepen[[Code]:[Ruimte omschrijving]],2,FALSE)</f>
        <v>Praktijklokalen</v>
      </c>
      <c r="C757" s="221" t="s">
        <v>911</v>
      </c>
      <c r="D757" s="220" t="s">
        <v>13</v>
      </c>
      <c r="E757" s="221" t="s">
        <v>102</v>
      </c>
      <c r="F757" s="221" t="s">
        <v>915</v>
      </c>
      <c r="G757" s="226" t="s">
        <v>281</v>
      </c>
      <c r="H757" s="222" t="s">
        <v>281</v>
      </c>
      <c r="I757" s="222" t="s">
        <v>281</v>
      </c>
      <c r="J757" s="222" t="s">
        <v>15</v>
      </c>
      <c r="K757" s="222" t="s">
        <v>16</v>
      </c>
      <c r="L757" s="222" t="s">
        <v>281</v>
      </c>
      <c r="M757" s="222" t="s">
        <v>281</v>
      </c>
      <c r="N757" s="222" t="s">
        <v>281</v>
      </c>
      <c r="O757" s="223" t="s">
        <v>15</v>
      </c>
      <c r="P757" s="223" t="s">
        <v>15</v>
      </c>
      <c r="Q757" s="223" t="s">
        <v>15</v>
      </c>
      <c r="R757" s="223" t="s">
        <v>15</v>
      </c>
      <c r="S757" s="223" t="s">
        <v>16</v>
      </c>
      <c r="T757" s="223" t="s">
        <v>328</v>
      </c>
      <c r="U757" s="223" t="s">
        <v>248</v>
      </c>
      <c r="V757" s="223" t="s">
        <v>281</v>
      </c>
      <c r="W757" s="224" t="s">
        <v>281</v>
      </c>
      <c r="X757" s="224" t="s">
        <v>281</v>
      </c>
      <c r="Y757" s="225" t="s">
        <v>281</v>
      </c>
    </row>
    <row r="758" spans="1:25">
      <c r="A758" s="219">
        <v>14</v>
      </c>
      <c r="B758" s="220" t="str">
        <f>VLOOKUP(Tabel10[[#This Row],[Code]],Ruimtegroepen[[Code]:[Ruimte omschrijving]],2,FALSE)</f>
        <v>Praktijklokalen</v>
      </c>
      <c r="C758" s="221" t="s">
        <v>911</v>
      </c>
      <c r="D758" s="220" t="s">
        <v>13</v>
      </c>
      <c r="E758" s="221" t="s">
        <v>99</v>
      </c>
      <c r="F758" s="221" t="s">
        <v>913</v>
      </c>
      <c r="G758" s="226" t="s">
        <v>281</v>
      </c>
      <c r="H758" s="222" t="s">
        <v>15</v>
      </c>
      <c r="I758" s="222" t="s">
        <v>281</v>
      </c>
      <c r="J758" s="222" t="s">
        <v>281</v>
      </c>
      <c r="K758" s="222" t="s">
        <v>281</v>
      </c>
      <c r="L758" s="222" t="s">
        <v>281</v>
      </c>
      <c r="M758" s="222" t="s">
        <v>281</v>
      </c>
      <c r="N758" s="222" t="s">
        <v>281</v>
      </c>
      <c r="O758" s="223" t="s">
        <v>281</v>
      </c>
      <c r="P758" s="223" t="s">
        <v>281</v>
      </c>
      <c r="Q758" s="223" t="s">
        <v>281</v>
      </c>
      <c r="R758" s="223" t="s">
        <v>281</v>
      </c>
      <c r="S758" s="223" t="s">
        <v>281</v>
      </c>
      <c r="T758" s="223" t="s">
        <v>281</v>
      </c>
      <c r="U758" s="223" t="s">
        <v>281</v>
      </c>
      <c r="V758" s="223" t="s">
        <v>281</v>
      </c>
      <c r="W758" s="224" t="s">
        <v>281</v>
      </c>
      <c r="X758" s="224" t="s">
        <v>281</v>
      </c>
      <c r="Y758" s="225" t="s">
        <v>281</v>
      </c>
    </row>
    <row r="759" spans="1:25">
      <c r="A759" s="219">
        <v>14</v>
      </c>
      <c r="B759" s="220" t="str">
        <f>VLOOKUP(Tabel10[[#This Row],[Code]],Ruimtegroepen[[Code]:[Ruimte omschrijving]],2,FALSE)</f>
        <v>Praktijklokalen</v>
      </c>
      <c r="C759" s="221" t="s">
        <v>911</v>
      </c>
      <c r="D759" s="220" t="s">
        <v>13</v>
      </c>
      <c r="E759" s="221" t="s">
        <v>1309</v>
      </c>
      <c r="F759" s="221" t="s">
        <v>1370</v>
      </c>
      <c r="G759" s="226" t="s">
        <v>281</v>
      </c>
      <c r="H759" s="222" t="s">
        <v>281</v>
      </c>
      <c r="I759" s="222" t="s">
        <v>281</v>
      </c>
      <c r="J759" s="222" t="s">
        <v>15</v>
      </c>
      <c r="K759" s="222" t="s">
        <v>16</v>
      </c>
      <c r="L759" s="222" t="s">
        <v>281</v>
      </c>
      <c r="M759" s="222" t="s">
        <v>281</v>
      </c>
      <c r="N759" s="222" t="s">
        <v>281</v>
      </c>
      <c r="O759" s="223" t="s">
        <v>15</v>
      </c>
      <c r="P759" s="223" t="s">
        <v>15</v>
      </c>
      <c r="Q759" s="223" t="s">
        <v>15</v>
      </c>
      <c r="R759" s="223" t="s">
        <v>15</v>
      </c>
      <c r="S759" s="223" t="s">
        <v>16</v>
      </c>
      <c r="T759" s="223" t="s">
        <v>328</v>
      </c>
      <c r="U759" s="223" t="s">
        <v>248</v>
      </c>
      <c r="V759" s="223" t="s">
        <v>281</v>
      </c>
      <c r="W759" s="224" t="s">
        <v>281</v>
      </c>
      <c r="X759" s="224" t="s">
        <v>281</v>
      </c>
      <c r="Y759" s="225" t="s">
        <v>281</v>
      </c>
    </row>
    <row r="760" spans="1:25">
      <c r="A760" s="219">
        <v>14</v>
      </c>
      <c r="B760" s="220" t="str">
        <f>VLOOKUP(Tabel10[[#This Row],[Code]],Ruimtegroepen[[Code]:[Ruimte omschrijving]],2,FALSE)</f>
        <v>Praktijklokalen</v>
      </c>
      <c r="C760" s="221" t="s">
        <v>916</v>
      </c>
      <c r="D760" s="220" t="s">
        <v>0</v>
      </c>
      <c r="E760" s="221" t="s">
        <v>100</v>
      </c>
      <c r="F760" s="221" t="s">
        <v>917</v>
      </c>
      <c r="G760" s="226" t="s">
        <v>281</v>
      </c>
      <c r="H760" s="222" t="s">
        <v>281</v>
      </c>
      <c r="I760" s="222" t="s">
        <v>16</v>
      </c>
      <c r="J760" s="222" t="s">
        <v>281</v>
      </c>
      <c r="K760" s="222" t="s">
        <v>281</v>
      </c>
      <c r="L760" s="222" t="s">
        <v>281</v>
      </c>
      <c r="M760" s="222" t="s">
        <v>281</v>
      </c>
      <c r="N760" s="222" t="s">
        <v>281</v>
      </c>
      <c r="O760" s="223" t="s">
        <v>16</v>
      </c>
      <c r="P760" s="223" t="s">
        <v>16</v>
      </c>
      <c r="Q760" s="223" t="s">
        <v>16</v>
      </c>
      <c r="R760" s="223" t="s">
        <v>16</v>
      </c>
      <c r="S760" s="223" t="s">
        <v>16</v>
      </c>
      <c r="T760" s="223" t="s">
        <v>328</v>
      </c>
      <c r="U760" s="223" t="s">
        <v>248</v>
      </c>
      <c r="V760" s="223" t="s">
        <v>281</v>
      </c>
      <c r="W760" s="224" t="s">
        <v>281</v>
      </c>
      <c r="X760" s="224" t="s">
        <v>281</v>
      </c>
      <c r="Y760" s="225" t="s">
        <v>281</v>
      </c>
    </row>
    <row r="761" spans="1:25">
      <c r="A761" s="219">
        <v>14</v>
      </c>
      <c r="B761" s="220" t="str">
        <f>VLOOKUP(Tabel10[[#This Row],[Code]],Ruimtegroepen[[Code]:[Ruimte omschrijving]],2,FALSE)</f>
        <v>Praktijklokalen</v>
      </c>
      <c r="C761" s="221" t="s">
        <v>916</v>
      </c>
      <c r="D761" s="220" t="s">
        <v>0</v>
      </c>
      <c r="E761" s="221" t="s">
        <v>99</v>
      </c>
      <c r="F761" s="221" t="s">
        <v>918</v>
      </c>
      <c r="G761" s="226" t="s">
        <v>281</v>
      </c>
      <c r="H761" s="222" t="s">
        <v>16</v>
      </c>
      <c r="I761" s="222" t="s">
        <v>281</v>
      </c>
      <c r="J761" s="222" t="s">
        <v>281</v>
      </c>
      <c r="K761" s="222" t="s">
        <v>281</v>
      </c>
      <c r="L761" s="222" t="s">
        <v>281</v>
      </c>
      <c r="M761" s="222" t="s">
        <v>281</v>
      </c>
      <c r="N761" s="222" t="s">
        <v>281</v>
      </c>
      <c r="O761" s="223" t="s">
        <v>16</v>
      </c>
      <c r="P761" s="223" t="s">
        <v>16</v>
      </c>
      <c r="Q761" s="223" t="s">
        <v>16</v>
      </c>
      <c r="R761" s="223" t="s">
        <v>16</v>
      </c>
      <c r="S761" s="223" t="s">
        <v>16</v>
      </c>
      <c r="T761" s="223" t="s">
        <v>328</v>
      </c>
      <c r="U761" s="223" t="s">
        <v>248</v>
      </c>
      <c r="V761" s="223" t="s">
        <v>281</v>
      </c>
      <c r="W761" s="224" t="s">
        <v>281</v>
      </c>
      <c r="X761" s="224" t="s">
        <v>281</v>
      </c>
      <c r="Y761" s="225" t="s">
        <v>281</v>
      </c>
    </row>
    <row r="762" spans="1:25">
      <c r="A762" s="219">
        <v>14</v>
      </c>
      <c r="B762" s="220" t="str">
        <f>VLOOKUP(Tabel10[[#This Row],[Code]],Ruimtegroepen[[Code]:[Ruimte omschrijving]],2,FALSE)</f>
        <v>Praktijklokalen</v>
      </c>
      <c r="C762" s="221" t="s">
        <v>916</v>
      </c>
      <c r="D762" s="220" t="s">
        <v>0</v>
      </c>
      <c r="E762" s="221" t="s">
        <v>101</v>
      </c>
      <c r="F762" s="221" t="s">
        <v>919</v>
      </c>
      <c r="G762" s="226" t="s">
        <v>281</v>
      </c>
      <c r="H762" s="222" t="s">
        <v>281</v>
      </c>
      <c r="I762" s="222" t="s">
        <v>281</v>
      </c>
      <c r="J762" s="222" t="s">
        <v>360</v>
      </c>
      <c r="K762" s="222" t="s">
        <v>16</v>
      </c>
      <c r="L762" s="222" t="s">
        <v>281</v>
      </c>
      <c r="M762" s="222" t="s">
        <v>281</v>
      </c>
      <c r="N762" s="222" t="s">
        <v>281</v>
      </c>
      <c r="O762" s="223" t="s">
        <v>16</v>
      </c>
      <c r="P762" s="223" t="s">
        <v>16</v>
      </c>
      <c r="Q762" s="223" t="s">
        <v>16</v>
      </c>
      <c r="R762" s="223" t="s">
        <v>16</v>
      </c>
      <c r="S762" s="223" t="s">
        <v>16</v>
      </c>
      <c r="T762" s="223" t="s">
        <v>328</v>
      </c>
      <c r="U762" s="223" t="s">
        <v>248</v>
      </c>
      <c r="V762" s="223" t="s">
        <v>281</v>
      </c>
      <c r="W762" s="224" t="s">
        <v>281</v>
      </c>
      <c r="X762" s="224" t="s">
        <v>281</v>
      </c>
      <c r="Y762" s="225" t="s">
        <v>281</v>
      </c>
    </row>
    <row r="763" spans="1:25">
      <c r="A763" s="219">
        <v>14</v>
      </c>
      <c r="B763" s="220" t="str">
        <f>VLOOKUP(Tabel10[[#This Row],[Code]],Ruimtegroepen[[Code]:[Ruimte omschrijving]],2,FALSE)</f>
        <v>Praktijklokalen</v>
      </c>
      <c r="C763" s="221" t="s">
        <v>916</v>
      </c>
      <c r="D763" s="220" t="s">
        <v>0</v>
      </c>
      <c r="E763" s="221" t="s">
        <v>102</v>
      </c>
      <c r="F763" s="221" t="s">
        <v>920</v>
      </c>
      <c r="G763" s="226" t="s">
        <v>281</v>
      </c>
      <c r="H763" s="222" t="s">
        <v>281</v>
      </c>
      <c r="I763" s="222" t="s">
        <v>16</v>
      </c>
      <c r="J763" s="222" t="s">
        <v>281</v>
      </c>
      <c r="K763" s="222" t="s">
        <v>16</v>
      </c>
      <c r="L763" s="222" t="s">
        <v>281</v>
      </c>
      <c r="M763" s="222" t="s">
        <v>281</v>
      </c>
      <c r="N763" s="222" t="s">
        <v>281</v>
      </c>
      <c r="O763" s="223" t="s">
        <v>16</v>
      </c>
      <c r="P763" s="223" t="s">
        <v>16</v>
      </c>
      <c r="Q763" s="223" t="s">
        <v>16</v>
      </c>
      <c r="R763" s="223" t="s">
        <v>16</v>
      </c>
      <c r="S763" s="223" t="s">
        <v>16</v>
      </c>
      <c r="T763" s="223" t="s">
        <v>328</v>
      </c>
      <c r="U763" s="223" t="s">
        <v>248</v>
      </c>
      <c r="V763" s="223" t="s">
        <v>281</v>
      </c>
      <c r="W763" s="224" t="s">
        <v>281</v>
      </c>
      <c r="X763" s="224" t="s">
        <v>281</v>
      </c>
      <c r="Y763" s="225" t="s">
        <v>281</v>
      </c>
    </row>
    <row r="764" spans="1:25">
      <c r="A764" s="219">
        <v>14</v>
      </c>
      <c r="B764" s="220" t="str">
        <f>VLOOKUP(Tabel10[[#This Row],[Code]],Ruimtegroepen[[Code]:[Ruimte omschrijving]],2,FALSE)</f>
        <v>Praktijklokalen</v>
      </c>
      <c r="C764" s="221" t="s">
        <v>916</v>
      </c>
      <c r="D764" s="220" t="s">
        <v>0</v>
      </c>
      <c r="E764" s="221" t="s">
        <v>99</v>
      </c>
      <c r="F764" s="221" t="s">
        <v>918</v>
      </c>
      <c r="G764" s="226" t="s">
        <v>281</v>
      </c>
      <c r="H764" s="222" t="s">
        <v>16</v>
      </c>
      <c r="I764" s="222" t="s">
        <v>281</v>
      </c>
      <c r="J764" s="222" t="s">
        <v>281</v>
      </c>
      <c r="K764" s="222" t="s">
        <v>281</v>
      </c>
      <c r="L764" s="222" t="s">
        <v>281</v>
      </c>
      <c r="M764" s="222" t="s">
        <v>281</v>
      </c>
      <c r="N764" s="222" t="s">
        <v>281</v>
      </c>
      <c r="O764" s="223" t="s">
        <v>281</v>
      </c>
      <c r="P764" s="223" t="s">
        <v>281</v>
      </c>
      <c r="Q764" s="223" t="s">
        <v>281</v>
      </c>
      <c r="R764" s="223" t="s">
        <v>281</v>
      </c>
      <c r="S764" s="223" t="s">
        <v>281</v>
      </c>
      <c r="T764" s="223" t="s">
        <v>281</v>
      </c>
      <c r="U764" s="223" t="s">
        <v>281</v>
      </c>
      <c r="V764" s="223" t="s">
        <v>281</v>
      </c>
      <c r="W764" s="224" t="s">
        <v>281</v>
      </c>
      <c r="X764" s="224" t="s">
        <v>281</v>
      </c>
      <c r="Y764" s="225" t="s">
        <v>281</v>
      </c>
    </row>
    <row r="765" spans="1:25">
      <c r="A765" s="219">
        <v>14</v>
      </c>
      <c r="B765" s="220" t="str">
        <f>VLOOKUP(Tabel10[[#This Row],[Code]],Ruimtegroepen[[Code]:[Ruimte omschrijving]],2,FALSE)</f>
        <v>Praktijklokalen</v>
      </c>
      <c r="C765" s="221" t="s">
        <v>916</v>
      </c>
      <c r="D765" s="220" t="s">
        <v>0</v>
      </c>
      <c r="E765" s="221" t="s">
        <v>1309</v>
      </c>
      <c r="F765" s="221" t="s">
        <v>1354</v>
      </c>
      <c r="G765" s="226" t="s">
        <v>281</v>
      </c>
      <c r="H765" s="222" t="s">
        <v>281</v>
      </c>
      <c r="I765" s="222" t="s">
        <v>16</v>
      </c>
      <c r="J765" s="222" t="s">
        <v>281</v>
      </c>
      <c r="K765" s="222" t="s">
        <v>16</v>
      </c>
      <c r="L765" s="222" t="s">
        <v>281</v>
      </c>
      <c r="M765" s="222" t="s">
        <v>281</v>
      </c>
      <c r="N765" s="222" t="s">
        <v>281</v>
      </c>
      <c r="O765" s="223" t="s">
        <v>16</v>
      </c>
      <c r="P765" s="223" t="s">
        <v>16</v>
      </c>
      <c r="Q765" s="223" t="s">
        <v>16</v>
      </c>
      <c r="R765" s="223" t="s">
        <v>16</v>
      </c>
      <c r="S765" s="223" t="s">
        <v>16</v>
      </c>
      <c r="T765" s="223" t="s">
        <v>328</v>
      </c>
      <c r="U765" s="223" t="s">
        <v>248</v>
      </c>
      <c r="V765" s="223" t="s">
        <v>281</v>
      </c>
      <c r="W765" s="224" t="s">
        <v>281</v>
      </c>
      <c r="X765" s="224" t="s">
        <v>281</v>
      </c>
      <c r="Y765" s="225" t="s">
        <v>281</v>
      </c>
    </row>
    <row r="766" spans="1:25">
      <c r="A766" s="219">
        <v>14</v>
      </c>
      <c r="B766" s="220" t="str">
        <f>VLOOKUP(Tabel10[[#This Row],[Code]],Ruimtegroepen[[Code]:[Ruimte omschrijving]],2,FALSE)</f>
        <v>Praktijklokalen</v>
      </c>
      <c r="C766" s="221" t="s">
        <v>921</v>
      </c>
      <c r="D766" s="220" t="s">
        <v>27</v>
      </c>
      <c r="E766" s="221" t="s">
        <v>100</v>
      </c>
      <c r="F766" s="221" t="s">
        <v>922</v>
      </c>
      <c r="G766" s="226" t="s">
        <v>281</v>
      </c>
      <c r="H766" s="222" t="s">
        <v>281</v>
      </c>
      <c r="I766" s="222" t="s">
        <v>15</v>
      </c>
      <c r="J766" s="222" t="s">
        <v>281</v>
      </c>
      <c r="K766" s="222" t="s">
        <v>281</v>
      </c>
      <c r="L766" s="222" t="s">
        <v>281</v>
      </c>
      <c r="M766" s="222" t="s">
        <v>281</v>
      </c>
      <c r="N766" s="222" t="s">
        <v>281</v>
      </c>
      <c r="O766" s="223" t="s">
        <v>15</v>
      </c>
      <c r="P766" s="223" t="s">
        <v>15</v>
      </c>
      <c r="Q766" s="223" t="s">
        <v>15</v>
      </c>
      <c r="R766" s="223" t="s">
        <v>281</v>
      </c>
      <c r="S766" s="223" t="s">
        <v>281</v>
      </c>
      <c r="T766" s="223" t="s">
        <v>281</v>
      </c>
      <c r="U766" s="223" t="s">
        <v>281</v>
      </c>
      <c r="V766" s="223" t="s">
        <v>281</v>
      </c>
      <c r="W766" s="224" t="s">
        <v>281</v>
      </c>
      <c r="X766" s="224" t="s">
        <v>281</v>
      </c>
      <c r="Y766" s="225" t="s">
        <v>281</v>
      </c>
    </row>
    <row r="767" spans="1:25">
      <c r="A767" s="219">
        <v>14</v>
      </c>
      <c r="B767" s="220" t="str">
        <f>VLOOKUP(Tabel10[[#This Row],[Code]],Ruimtegroepen[[Code]:[Ruimte omschrijving]],2,FALSE)</f>
        <v>Praktijklokalen</v>
      </c>
      <c r="C767" s="221" t="s">
        <v>921</v>
      </c>
      <c r="D767" s="220" t="s">
        <v>27</v>
      </c>
      <c r="E767" s="221" t="s">
        <v>99</v>
      </c>
      <c r="F767" s="221" t="s">
        <v>923</v>
      </c>
      <c r="G767" s="226" t="s">
        <v>281</v>
      </c>
      <c r="H767" s="222" t="s">
        <v>15</v>
      </c>
      <c r="I767" s="222" t="s">
        <v>281</v>
      </c>
      <c r="J767" s="222" t="s">
        <v>281</v>
      </c>
      <c r="K767" s="222" t="s">
        <v>281</v>
      </c>
      <c r="L767" s="222" t="s">
        <v>281</v>
      </c>
      <c r="M767" s="222" t="s">
        <v>281</v>
      </c>
      <c r="N767" s="222" t="s">
        <v>281</v>
      </c>
      <c r="O767" s="223" t="s">
        <v>15</v>
      </c>
      <c r="P767" s="223" t="s">
        <v>15</v>
      </c>
      <c r="Q767" s="223" t="s">
        <v>15</v>
      </c>
      <c r="R767" s="223" t="s">
        <v>281</v>
      </c>
      <c r="S767" s="223" t="s">
        <v>281</v>
      </c>
      <c r="T767" s="223" t="s">
        <v>281</v>
      </c>
      <c r="U767" s="223" t="s">
        <v>281</v>
      </c>
      <c r="V767" s="223" t="s">
        <v>281</v>
      </c>
      <c r="W767" s="224" t="s">
        <v>281</v>
      </c>
      <c r="X767" s="224" t="s">
        <v>281</v>
      </c>
      <c r="Y767" s="225" t="s">
        <v>281</v>
      </c>
    </row>
    <row r="768" spans="1:25">
      <c r="A768" s="219">
        <v>14</v>
      </c>
      <c r="B768" s="220" t="str">
        <f>VLOOKUP(Tabel10[[#This Row],[Code]],Ruimtegroepen[[Code]:[Ruimte omschrijving]],2,FALSE)</f>
        <v>Praktijklokalen</v>
      </c>
      <c r="C768" s="221" t="s">
        <v>921</v>
      </c>
      <c r="D768" s="220" t="s">
        <v>27</v>
      </c>
      <c r="E768" s="221" t="s">
        <v>101</v>
      </c>
      <c r="F768" s="221" t="s">
        <v>924</v>
      </c>
      <c r="G768" s="226" t="s">
        <v>281</v>
      </c>
      <c r="H768" s="222" t="s">
        <v>281</v>
      </c>
      <c r="I768" s="222" t="s">
        <v>15</v>
      </c>
      <c r="J768" s="222" t="s">
        <v>281</v>
      </c>
      <c r="K768" s="222" t="s">
        <v>281</v>
      </c>
      <c r="L768" s="222" t="s">
        <v>281</v>
      </c>
      <c r="M768" s="222" t="s">
        <v>281</v>
      </c>
      <c r="N768" s="222" t="s">
        <v>281</v>
      </c>
      <c r="O768" s="223" t="s">
        <v>15</v>
      </c>
      <c r="P768" s="223" t="s">
        <v>15</v>
      </c>
      <c r="Q768" s="223" t="s">
        <v>15</v>
      </c>
      <c r="R768" s="223" t="s">
        <v>281</v>
      </c>
      <c r="S768" s="223" t="s">
        <v>281</v>
      </c>
      <c r="T768" s="223" t="s">
        <v>281</v>
      </c>
      <c r="U768" s="223" t="s">
        <v>281</v>
      </c>
      <c r="V768" s="223" t="s">
        <v>281</v>
      </c>
      <c r="W768" s="224" t="s">
        <v>281</v>
      </c>
      <c r="X768" s="224" t="s">
        <v>281</v>
      </c>
      <c r="Y768" s="225" t="s">
        <v>281</v>
      </c>
    </row>
    <row r="769" spans="1:25">
      <c r="A769" s="219">
        <v>14</v>
      </c>
      <c r="B769" s="220" t="str">
        <f>VLOOKUP(Tabel10[[#This Row],[Code]],Ruimtegroepen[[Code]:[Ruimte omschrijving]],2,FALSE)</f>
        <v>Praktijklokalen</v>
      </c>
      <c r="C769" s="221" t="s">
        <v>921</v>
      </c>
      <c r="D769" s="220" t="s">
        <v>27</v>
      </c>
      <c r="E769" s="221" t="s">
        <v>102</v>
      </c>
      <c r="F769" s="221" t="s">
        <v>925</v>
      </c>
      <c r="G769" s="226" t="s">
        <v>281</v>
      </c>
      <c r="H769" s="222" t="s">
        <v>281</v>
      </c>
      <c r="I769" s="222" t="s">
        <v>15</v>
      </c>
      <c r="J769" s="222" t="s">
        <v>281</v>
      </c>
      <c r="K769" s="222" t="s">
        <v>281</v>
      </c>
      <c r="L769" s="222" t="s">
        <v>281</v>
      </c>
      <c r="M769" s="222" t="s">
        <v>281</v>
      </c>
      <c r="N769" s="222" t="s">
        <v>281</v>
      </c>
      <c r="O769" s="223" t="s">
        <v>15</v>
      </c>
      <c r="P769" s="223" t="s">
        <v>15</v>
      </c>
      <c r="Q769" s="223" t="s">
        <v>15</v>
      </c>
      <c r="R769" s="223" t="s">
        <v>281</v>
      </c>
      <c r="S769" s="223" t="s">
        <v>281</v>
      </c>
      <c r="T769" s="223" t="s">
        <v>281</v>
      </c>
      <c r="U769" s="223" t="s">
        <v>281</v>
      </c>
      <c r="V769" s="223" t="s">
        <v>281</v>
      </c>
      <c r="W769" s="224" t="s">
        <v>281</v>
      </c>
      <c r="X769" s="224" t="s">
        <v>281</v>
      </c>
      <c r="Y769" s="225" t="s">
        <v>281</v>
      </c>
    </row>
    <row r="770" spans="1:25">
      <c r="A770" s="219">
        <v>14</v>
      </c>
      <c r="B770" s="220" t="str">
        <f>VLOOKUP(Tabel10[[#This Row],[Code]],Ruimtegroepen[[Code]:[Ruimte omschrijving]],2,FALSE)</f>
        <v>Praktijklokalen</v>
      </c>
      <c r="C770" s="221" t="s">
        <v>921</v>
      </c>
      <c r="D770" s="220" t="s">
        <v>27</v>
      </c>
      <c r="E770" s="221" t="s">
        <v>99</v>
      </c>
      <c r="F770" s="221" t="s">
        <v>923</v>
      </c>
      <c r="G770" s="226" t="s">
        <v>281</v>
      </c>
      <c r="H770" s="222" t="s">
        <v>15</v>
      </c>
      <c r="I770" s="222" t="s">
        <v>281</v>
      </c>
      <c r="J770" s="222" t="s">
        <v>281</v>
      </c>
      <c r="K770" s="222" t="s">
        <v>281</v>
      </c>
      <c r="L770" s="222" t="s">
        <v>281</v>
      </c>
      <c r="M770" s="222" t="s">
        <v>281</v>
      </c>
      <c r="N770" s="222" t="s">
        <v>281</v>
      </c>
      <c r="O770" s="223" t="s">
        <v>15</v>
      </c>
      <c r="P770" s="223" t="s">
        <v>15</v>
      </c>
      <c r="Q770" s="223" t="s">
        <v>15</v>
      </c>
      <c r="R770" s="223" t="s">
        <v>281</v>
      </c>
      <c r="S770" s="223" t="s">
        <v>281</v>
      </c>
      <c r="T770" s="223" t="s">
        <v>281</v>
      </c>
      <c r="U770" s="223" t="s">
        <v>281</v>
      </c>
      <c r="V770" s="223" t="s">
        <v>281</v>
      </c>
      <c r="W770" s="224" t="s">
        <v>281</v>
      </c>
      <c r="X770" s="224" t="s">
        <v>281</v>
      </c>
      <c r="Y770" s="225" t="s">
        <v>281</v>
      </c>
    </row>
    <row r="771" spans="1:25">
      <c r="A771" s="219">
        <v>14</v>
      </c>
      <c r="B771" s="220" t="str">
        <f>VLOOKUP(Tabel10[[#This Row],[Code]],Ruimtegroepen[[Code]:[Ruimte omschrijving]],2,FALSE)</f>
        <v>Praktijklokalen</v>
      </c>
      <c r="C771" s="221" t="s">
        <v>921</v>
      </c>
      <c r="D771" s="220" t="s">
        <v>27</v>
      </c>
      <c r="E771" s="221" t="s">
        <v>1309</v>
      </c>
      <c r="F771" s="221" t="s">
        <v>1387</v>
      </c>
      <c r="G771" s="226" t="s">
        <v>281</v>
      </c>
      <c r="H771" s="222" t="s">
        <v>281</v>
      </c>
      <c r="I771" s="222" t="s">
        <v>15</v>
      </c>
      <c r="J771" s="222" t="s">
        <v>281</v>
      </c>
      <c r="K771" s="222" t="s">
        <v>281</v>
      </c>
      <c r="L771" s="222" t="s">
        <v>281</v>
      </c>
      <c r="M771" s="222" t="s">
        <v>281</v>
      </c>
      <c r="N771" s="222" t="s">
        <v>281</v>
      </c>
      <c r="O771" s="223" t="s">
        <v>15</v>
      </c>
      <c r="P771" s="223" t="s">
        <v>15</v>
      </c>
      <c r="Q771" s="223" t="s">
        <v>15</v>
      </c>
      <c r="R771" s="223" t="s">
        <v>281</v>
      </c>
      <c r="S771" s="223" t="s">
        <v>281</v>
      </c>
      <c r="T771" s="223" t="s">
        <v>281</v>
      </c>
      <c r="U771" s="223" t="s">
        <v>281</v>
      </c>
      <c r="V771" s="223" t="s">
        <v>281</v>
      </c>
      <c r="W771" s="224" t="s">
        <v>281</v>
      </c>
      <c r="X771" s="224" t="s">
        <v>281</v>
      </c>
      <c r="Y771" s="225" t="s">
        <v>281</v>
      </c>
    </row>
    <row r="772" spans="1:25">
      <c r="A772" s="219">
        <v>14</v>
      </c>
      <c r="B772" s="220" t="str">
        <f>VLOOKUP(Tabel10[[#This Row],[Code]],Ruimtegroepen[[Code]:[Ruimte omschrijving]],2,FALSE)</f>
        <v>Praktijklokalen</v>
      </c>
      <c r="C772" s="221" t="s">
        <v>926</v>
      </c>
      <c r="D772" s="220" t="s">
        <v>28</v>
      </c>
      <c r="E772" s="221" t="s">
        <v>100</v>
      </c>
      <c r="F772" s="221" t="s">
        <v>927</v>
      </c>
      <c r="G772" s="226" t="s">
        <v>281</v>
      </c>
      <c r="H772" s="222" t="s">
        <v>281</v>
      </c>
      <c r="I772" s="222" t="s">
        <v>17</v>
      </c>
      <c r="J772" s="222" t="s">
        <v>281</v>
      </c>
      <c r="K772" s="222" t="s">
        <v>281</v>
      </c>
      <c r="L772" s="222" t="s">
        <v>281</v>
      </c>
      <c r="M772" s="222" t="s">
        <v>281</v>
      </c>
      <c r="N772" s="222" t="s">
        <v>281</v>
      </c>
      <c r="O772" s="223" t="s">
        <v>17</v>
      </c>
      <c r="P772" s="223" t="s">
        <v>17</v>
      </c>
      <c r="Q772" s="223" t="s">
        <v>15</v>
      </c>
      <c r="R772" s="223" t="s">
        <v>281</v>
      </c>
      <c r="S772" s="223" t="s">
        <v>281</v>
      </c>
      <c r="T772" s="223" t="s">
        <v>281</v>
      </c>
      <c r="U772" s="223" t="s">
        <v>281</v>
      </c>
      <c r="V772" s="223" t="s">
        <v>281</v>
      </c>
      <c r="W772" s="224" t="s">
        <v>281</v>
      </c>
      <c r="X772" s="224" t="s">
        <v>281</v>
      </c>
      <c r="Y772" s="225" t="s">
        <v>281</v>
      </c>
    </row>
    <row r="773" spans="1:25">
      <c r="A773" s="219">
        <v>14</v>
      </c>
      <c r="B773" s="220" t="str">
        <f>VLOOKUP(Tabel10[[#This Row],[Code]],Ruimtegroepen[[Code]:[Ruimte omschrijving]],2,FALSE)</f>
        <v>Praktijklokalen</v>
      </c>
      <c r="C773" s="221" t="s">
        <v>926</v>
      </c>
      <c r="D773" s="220" t="s">
        <v>28</v>
      </c>
      <c r="E773" s="221" t="s">
        <v>99</v>
      </c>
      <c r="F773" s="221" t="s">
        <v>928</v>
      </c>
      <c r="G773" s="226" t="s">
        <v>281</v>
      </c>
      <c r="H773" s="222" t="s">
        <v>17</v>
      </c>
      <c r="I773" s="222" t="s">
        <v>281</v>
      </c>
      <c r="J773" s="222" t="s">
        <v>281</v>
      </c>
      <c r="K773" s="222" t="s">
        <v>281</v>
      </c>
      <c r="L773" s="222" t="s">
        <v>281</v>
      </c>
      <c r="M773" s="222" t="s">
        <v>281</v>
      </c>
      <c r="N773" s="222" t="s">
        <v>281</v>
      </c>
      <c r="O773" s="223" t="s">
        <v>17</v>
      </c>
      <c r="P773" s="223" t="s">
        <v>17</v>
      </c>
      <c r="Q773" s="223" t="s">
        <v>15</v>
      </c>
      <c r="R773" s="223" t="s">
        <v>281</v>
      </c>
      <c r="S773" s="223" t="s">
        <v>281</v>
      </c>
      <c r="T773" s="223" t="s">
        <v>281</v>
      </c>
      <c r="U773" s="223" t="s">
        <v>281</v>
      </c>
      <c r="V773" s="223" t="s">
        <v>281</v>
      </c>
      <c r="W773" s="224" t="s">
        <v>281</v>
      </c>
      <c r="X773" s="224" t="s">
        <v>281</v>
      </c>
      <c r="Y773" s="225" t="s">
        <v>281</v>
      </c>
    </row>
    <row r="774" spans="1:25">
      <c r="A774" s="219">
        <v>14</v>
      </c>
      <c r="B774" s="220" t="str">
        <f>VLOOKUP(Tabel10[[#This Row],[Code]],Ruimtegroepen[[Code]:[Ruimte omschrijving]],2,FALSE)</f>
        <v>Praktijklokalen</v>
      </c>
      <c r="C774" s="221" t="s">
        <v>926</v>
      </c>
      <c r="D774" s="220" t="s">
        <v>28</v>
      </c>
      <c r="E774" s="221" t="s">
        <v>101</v>
      </c>
      <c r="F774" s="221" t="s">
        <v>929</v>
      </c>
      <c r="G774" s="226" t="s">
        <v>281</v>
      </c>
      <c r="H774" s="222" t="s">
        <v>281</v>
      </c>
      <c r="I774" s="222" t="s">
        <v>17</v>
      </c>
      <c r="J774" s="222" t="s">
        <v>281</v>
      </c>
      <c r="K774" s="222" t="s">
        <v>281</v>
      </c>
      <c r="L774" s="222" t="s">
        <v>281</v>
      </c>
      <c r="M774" s="222" t="s">
        <v>281</v>
      </c>
      <c r="N774" s="222" t="s">
        <v>281</v>
      </c>
      <c r="O774" s="223" t="s">
        <v>17</v>
      </c>
      <c r="P774" s="223" t="s">
        <v>17</v>
      </c>
      <c r="Q774" s="223" t="s">
        <v>15</v>
      </c>
      <c r="R774" s="223" t="s">
        <v>281</v>
      </c>
      <c r="S774" s="223" t="s">
        <v>281</v>
      </c>
      <c r="T774" s="223" t="s">
        <v>281</v>
      </c>
      <c r="U774" s="223" t="s">
        <v>281</v>
      </c>
      <c r="V774" s="223" t="s">
        <v>281</v>
      </c>
      <c r="W774" s="224" t="s">
        <v>281</v>
      </c>
      <c r="X774" s="224" t="s">
        <v>281</v>
      </c>
      <c r="Y774" s="225" t="s">
        <v>281</v>
      </c>
    </row>
    <row r="775" spans="1:25">
      <c r="A775" s="219">
        <v>14</v>
      </c>
      <c r="B775" s="220" t="str">
        <f>VLOOKUP(Tabel10[[#This Row],[Code]],Ruimtegroepen[[Code]:[Ruimte omschrijving]],2,FALSE)</f>
        <v>Praktijklokalen</v>
      </c>
      <c r="C775" s="221" t="s">
        <v>926</v>
      </c>
      <c r="D775" s="220" t="s">
        <v>28</v>
      </c>
      <c r="E775" s="221" t="s">
        <v>102</v>
      </c>
      <c r="F775" s="221" t="s">
        <v>930</v>
      </c>
      <c r="G775" s="226" t="s">
        <v>281</v>
      </c>
      <c r="H775" s="222" t="s">
        <v>281</v>
      </c>
      <c r="I775" s="222" t="s">
        <v>17</v>
      </c>
      <c r="J775" s="222" t="s">
        <v>281</v>
      </c>
      <c r="K775" s="222" t="s">
        <v>281</v>
      </c>
      <c r="L775" s="222" t="s">
        <v>281</v>
      </c>
      <c r="M775" s="222" t="s">
        <v>281</v>
      </c>
      <c r="N775" s="222" t="s">
        <v>281</v>
      </c>
      <c r="O775" s="223" t="s">
        <v>17</v>
      </c>
      <c r="P775" s="223" t="s">
        <v>17</v>
      </c>
      <c r="Q775" s="223" t="s">
        <v>15</v>
      </c>
      <c r="R775" s="223" t="s">
        <v>281</v>
      </c>
      <c r="S775" s="223" t="s">
        <v>281</v>
      </c>
      <c r="T775" s="223" t="s">
        <v>281</v>
      </c>
      <c r="U775" s="223" t="s">
        <v>281</v>
      </c>
      <c r="V775" s="223" t="s">
        <v>281</v>
      </c>
      <c r="W775" s="224" t="s">
        <v>281</v>
      </c>
      <c r="X775" s="224" t="s">
        <v>281</v>
      </c>
      <c r="Y775" s="225" t="s">
        <v>281</v>
      </c>
    </row>
    <row r="776" spans="1:25">
      <c r="A776" s="219">
        <v>14</v>
      </c>
      <c r="B776" s="220" t="str">
        <f>VLOOKUP(Tabel10[[#This Row],[Code]],Ruimtegroepen[[Code]:[Ruimte omschrijving]],2,FALSE)</f>
        <v>Praktijklokalen</v>
      </c>
      <c r="C776" s="221" t="s">
        <v>926</v>
      </c>
      <c r="D776" s="220" t="s">
        <v>28</v>
      </c>
      <c r="E776" s="221" t="s">
        <v>99</v>
      </c>
      <c r="F776" s="221" t="s">
        <v>928</v>
      </c>
      <c r="G776" s="226" t="s">
        <v>281</v>
      </c>
      <c r="H776" s="222" t="s">
        <v>17</v>
      </c>
      <c r="I776" s="222" t="s">
        <v>281</v>
      </c>
      <c r="J776" s="222" t="s">
        <v>281</v>
      </c>
      <c r="K776" s="222" t="s">
        <v>281</v>
      </c>
      <c r="L776" s="222" t="s">
        <v>281</v>
      </c>
      <c r="M776" s="222" t="s">
        <v>281</v>
      </c>
      <c r="N776" s="222" t="s">
        <v>281</v>
      </c>
      <c r="O776" s="223" t="s">
        <v>17</v>
      </c>
      <c r="P776" s="223" t="s">
        <v>17</v>
      </c>
      <c r="Q776" s="223" t="s">
        <v>15</v>
      </c>
      <c r="R776" s="223" t="s">
        <v>281</v>
      </c>
      <c r="S776" s="223" t="s">
        <v>281</v>
      </c>
      <c r="T776" s="223" t="s">
        <v>281</v>
      </c>
      <c r="U776" s="223" t="s">
        <v>281</v>
      </c>
      <c r="V776" s="223" t="s">
        <v>281</v>
      </c>
      <c r="W776" s="224" t="s">
        <v>281</v>
      </c>
      <c r="X776" s="224" t="s">
        <v>281</v>
      </c>
      <c r="Y776" s="225" t="s">
        <v>281</v>
      </c>
    </row>
    <row r="777" spans="1:25">
      <c r="A777" s="219">
        <v>14</v>
      </c>
      <c r="B777" s="220" t="str">
        <f>VLOOKUP(Tabel10[[#This Row],[Code]],Ruimtegroepen[[Code]:[Ruimte omschrijving]],2,FALSE)</f>
        <v>Praktijklokalen</v>
      </c>
      <c r="C777" s="221" t="s">
        <v>926</v>
      </c>
      <c r="D777" s="220" t="s">
        <v>28</v>
      </c>
      <c r="E777" s="221" t="s">
        <v>1309</v>
      </c>
      <c r="F777" s="221" t="s">
        <v>1420</v>
      </c>
      <c r="G777" s="226" t="s">
        <v>281</v>
      </c>
      <c r="H777" s="222" t="s">
        <v>281</v>
      </c>
      <c r="I777" s="222" t="s">
        <v>17</v>
      </c>
      <c r="J777" s="222" t="s">
        <v>281</v>
      </c>
      <c r="K777" s="222" t="s">
        <v>281</v>
      </c>
      <c r="L777" s="222" t="s">
        <v>281</v>
      </c>
      <c r="M777" s="222" t="s">
        <v>281</v>
      </c>
      <c r="N777" s="222" t="s">
        <v>281</v>
      </c>
      <c r="O777" s="223" t="s">
        <v>17</v>
      </c>
      <c r="P777" s="223" t="s">
        <v>17</v>
      </c>
      <c r="Q777" s="223" t="s">
        <v>15</v>
      </c>
      <c r="R777" s="223" t="s">
        <v>281</v>
      </c>
      <c r="S777" s="223" t="s">
        <v>281</v>
      </c>
      <c r="T777" s="223" t="s">
        <v>281</v>
      </c>
      <c r="U777" s="223" t="s">
        <v>281</v>
      </c>
      <c r="V777" s="223" t="s">
        <v>281</v>
      </c>
      <c r="W777" s="224" t="s">
        <v>281</v>
      </c>
      <c r="X777" s="224" t="s">
        <v>281</v>
      </c>
      <c r="Y777" s="225" t="s">
        <v>281</v>
      </c>
    </row>
    <row r="778" spans="1:25">
      <c r="A778" s="219">
        <v>15</v>
      </c>
      <c r="B778" s="220" t="str">
        <f>VLOOKUP(Tabel10[[#This Row],[Code]],Ruimtegroepen[[Code]:[Ruimte omschrijving]],2,FALSE)</f>
        <v>Keuken/pantry</v>
      </c>
      <c r="C778" s="221" t="s">
        <v>931</v>
      </c>
      <c r="D778" s="220" t="s">
        <v>29</v>
      </c>
      <c r="E778" s="221" t="s">
        <v>100</v>
      </c>
      <c r="F778" s="221" t="s">
        <v>932</v>
      </c>
      <c r="G778" s="226" t="s">
        <v>281</v>
      </c>
      <c r="H778" s="222" t="s">
        <v>281</v>
      </c>
      <c r="I778" s="222" t="s">
        <v>281</v>
      </c>
      <c r="J778" s="222" t="s">
        <v>2</v>
      </c>
      <c r="K778" s="222" t="s">
        <v>281</v>
      </c>
      <c r="L778" s="222" t="s">
        <v>281</v>
      </c>
      <c r="M778" s="222" t="s">
        <v>281</v>
      </c>
      <c r="N778" s="222" t="s">
        <v>2</v>
      </c>
      <c r="O778" s="223" t="s">
        <v>2</v>
      </c>
      <c r="P778" s="223" t="s">
        <v>2</v>
      </c>
      <c r="Q778" s="223" t="s">
        <v>15</v>
      </c>
      <c r="R778" s="223" t="s">
        <v>15</v>
      </c>
      <c r="S778" s="223" t="s">
        <v>16</v>
      </c>
      <c r="T778" s="223" t="s">
        <v>328</v>
      </c>
      <c r="U778" s="223" t="s">
        <v>248</v>
      </c>
      <c r="V778" s="223" t="s">
        <v>2</v>
      </c>
      <c r="W778" s="224" t="s">
        <v>281</v>
      </c>
      <c r="X778" s="224" t="s">
        <v>281</v>
      </c>
      <c r="Y778" s="225" t="s">
        <v>281</v>
      </c>
    </row>
    <row r="779" spans="1:25">
      <c r="A779" s="219">
        <v>15</v>
      </c>
      <c r="B779" s="220" t="str">
        <f>VLOOKUP(Tabel10[[#This Row],[Code]],Ruimtegroepen[[Code]:[Ruimte omschrijving]],2,FALSE)</f>
        <v>Keuken/pantry</v>
      </c>
      <c r="C779" s="221" t="s">
        <v>931</v>
      </c>
      <c r="D779" s="220" t="s">
        <v>29</v>
      </c>
      <c r="E779" s="221" t="s">
        <v>99</v>
      </c>
      <c r="F779" s="221" t="s">
        <v>933</v>
      </c>
      <c r="G779" s="226" t="s">
        <v>281</v>
      </c>
      <c r="H779" s="222" t="s">
        <v>2</v>
      </c>
      <c r="I779" s="222" t="s">
        <v>281</v>
      </c>
      <c r="J779" s="222" t="s">
        <v>281</v>
      </c>
      <c r="K779" s="222" t="s">
        <v>281</v>
      </c>
      <c r="L779" s="222" t="s">
        <v>281</v>
      </c>
      <c r="M779" s="222" t="s">
        <v>281</v>
      </c>
      <c r="N779" s="222" t="s">
        <v>2</v>
      </c>
      <c r="O779" s="223" t="s">
        <v>2</v>
      </c>
      <c r="P779" s="223" t="s">
        <v>2</v>
      </c>
      <c r="Q779" s="223" t="s">
        <v>15</v>
      </c>
      <c r="R779" s="223" t="s">
        <v>15</v>
      </c>
      <c r="S779" s="223" t="s">
        <v>16</v>
      </c>
      <c r="T779" s="223" t="s">
        <v>328</v>
      </c>
      <c r="U779" s="223" t="s">
        <v>248</v>
      </c>
      <c r="V779" s="223" t="s">
        <v>2</v>
      </c>
      <c r="W779" s="224" t="s">
        <v>281</v>
      </c>
      <c r="X779" s="224" t="s">
        <v>281</v>
      </c>
      <c r="Y779" s="225" t="s">
        <v>281</v>
      </c>
    </row>
    <row r="780" spans="1:25">
      <c r="A780" s="219">
        <v>15</v>
      </c>
      <c r="B780" s="220" t="str">
        <f>VLOOKUP(Tabel10[[#This Row],[Code]],Ruimtegroepen[[Code]:[Ruimte omschrijving]],2,FALSE)</f>
        <v>Keuken/pantry</v>
      </c>
      <c r="C780" s="221" t="s">
        <v>931</v>
      </c>
      <c r="D780" s="220" t="s">
        <v>29</v>
      </c>
      <c r="E780" s="221" t="s">
        <v>101</v>
      </c>
      <c r="F780" s="221" t="s">
        <v>934</v>
      </c>
      <c r="G780" s="226" t="s">
        <v>281</v>
      </c>
      <c r="H780" s="222" t="s">
        <v>281</v>
      </c>
      <c r="I780" s="222" t="s">
        <v>2</v>
      </c>
      <c r="J780" s="222" t="s">
        <v>281</v>
      </c>
      <c r="K780" s="222" t="s">
        <v>2</v>
      </c>
      <c r="L780" s="222" t="s">
        <v>281</v>
      </c>
      <c r="M780" s="222" t="s">
        <v>281</v>
      </c>
      <c r="N780" s="222" t="s">
        <v>2</v>
      </c>
      <c r="O780" s="223" t="s">
        <v>2</v>
      </c>
      <c r="P780" s="223" t="s">
        <v>2</v>
      </c>
      <c r="Q780" s="223" t="s">
        <v>15</v>
      </c>
      <c r="R780" s="223" t="s">
        <v>15</v>
      </c>
      <c r="S780" s="223" t="s">
        <v>16</v>
      </c>
      <c r="T780" s="223" t="s">
        <v>328</v>
      </c>
      <c r="U780" s="223" t="s">
        <v>248</v>
      </c>
      <c r="V780" s="223" t="s">
        <v>2</v>
      </c>
      <c r="W780" s="224" t="s">
        <v>281</v>
      </c>
      <c r="X780" s="224" t="s">
        <v>281</v>
      </c>
      <c r="Y780" s="225" t="s">
        <v>281</v>
      </c>
    </row>
    <row r="781" spans="1:25">
      <c r="A781" s="219">
        <v>15</v>
      </c>
      <c r="B781" s="220" t="str">
        <f>VLOOKUP(Tabel10[[#This Row],[Code]],Ruimtegroepen[[Code]:[Ruimte omschrijving]],2,FALSE)</f>
        <v>Keuken/pantry</v>
      </c>
      <c r="C781" s="221" t="s">
        <v>931</v>
      </c>
      <c r="D781" s="220" t="s">
        <v>29</v>
      </c>
      <c r="E781" s="221" t="s">
        <v>102</v>
      </c>
      <c r="F781" s="221" t="s">
        <v>935</v>
      </c>
      <c r="G781" s="226" t="s">
        <v>281</v>
      </c>
      <c r="H781" s="222" t="s">
        <v>281</v>
      </c>
      <c r="I781" s="222" t="s">
        <v>2</v>
      </c>
      <c r="J781" s="222" t="s">
        <v>281</v>
      </c>
      <c r="K781" s="222" t="s">
        <v>2</v>
      </c>
      <c r="L781" s="222" t="s">
        <v>281</v>
      </c>
      <c r="M781" s="222" t="s">
        <v>281</v>
      </c>
      <c r="N781" s="222" t="s">
        <v>2</v>
      </c>
      <c r="O781" s="223" t="s">
        <v>2</v>
      </c>
      <c r="P781" s="223" t="s">
        <v>2</v>
      </c>
      <c r="Q781" s="223" t="s">
        <v>15</v>
      </c>
      <c r="R781" s="223" t="s">
        <v>15</v>
      </c>
      <c r="S781" s="223" t="s">
        <v>16</v>
      </c>
      <c r="T781" s="223" t="s">
        <v>328</v>
      </c>
      <c r="U781" s="223" t="s">
        <v>248</v>
      </c>
      <c r="V781" s="223" t="s">
        <v>2</v>
      </c>
      <c r="W781" s="224" t="s">
        <v>281</v>
      </c>
      <c r="X781" s="224" t="s">
        <v>281</v>
      </c>
      <c r="Y781" s="225" t="s">
        <v>281</v>
      </c>
    </row>
    <row r="782" spans="1:25">
      <c r="A782" s="219">
        <v>15</v>
      </c>
      <c r="B782" s="220" t="str">
        <f>VLOOKUP(Tabel10[[#This Row],[Code]],Ruimtegroepen[[Code]:[Ruimte omschrijving]],2,FALSE)</f>
        <v>Keuken/pantry</v>
      </c>
      <c r="C782" s="221" t="s">
        <v>931</v>
      </c>
      <c r="D782" s="220" t="s">
        <v>29</v>
      </c>
      <c r="E782" s="221" t="s">
        <v>99</v>
      </c>
      <c r="F782" s="221" t="s">
        <v>933</v>
      </c>
      <c r="G782" s="226" t="s">
        <v>281</v>
      </c>
      <c r="H782" s="222" t="s">
        <v>2</v>
      </c>
      <c r="I782" s="222" t="s">
        <v>281</v>
      </c>
      <c r="J782" s="222" t="s">
        <v>281</v>
      </c>
      <c r="K782" s="222" t="s">
        <v>281</v>
      </c>
      <c r="L782" s="222" t="s">
        <v>281</v>
      </c>
      <c r="M782" s="222" t="s">
        <v>281</v>
      </c>
      <c r="N782" s="222" t="s">
        <v>2</v>
      </c>
      <c r="O782" s="223" t="s">
        <v>2</v>
      </c>
      <c r="P782" s="223" t="s">
        <v>2</v>
      </c>
      <c r="Q782" s="223" t="s">
        <v>15</v>
      </c>
      <c r="R782" s="223" t="s">
        <v>15</v>
      </c>
      <c r="S782" s="223" t="s">
        <v>16</v>
      </c>
      <c r="T782" s="223" t="s">
        <v>328</v>
      </c>
      <c r="U782" s="223" t="s">
        <v>248</v>
      </c>
      <c r="V782" s="223" t="s">
        <v>2</v>
      </c>
      <c r="W782" s="224" t="s">
        <v>281</v>
      </c>
      <c r="X782" s="224" t="s">
        <v>281</v>
      </c>
      <c r="Y782" s="225" t="s">
        <v>281</v>
      </c>
    </row>
    <row r="783" spans="1:25">
      <c r="A783" s="219">
        <v>15</v>
      </c>
      <c r="B783" s="220" t="str">
        <f>VLOOKUP(Tabel10[[#This Row],[Code]],Ruimtegroepen[[Code]:[Ruimte omschrijving]],2,FALSE)</f>
        <v>Keuken/pantry</v>
      </c>
      <c r="C783" s="221" t="s">
        <v>931</v>
      </c>
      <c r="D783" s="220" t="s">
        <v>29</v>
      </c>
      <c r="E783" s="221" t="s">
        <v>1309</v>
      </c>
      <c r="F783" s="221" t="s">
        <v>1488</v>
      </c>
      <c r="G783" s="226" t="s">
        <v>281</v>
      </c>
      <c r="H783" s="222" t="s">
        <v>281</v>
      </c>
      <c r="I783" s="222" t="s">
        <v>2</v>
      </c>
      <c r="J783" s="222" t="s">
        <v>281</v>
      </c>
      <c r="K783" s="222" t="s">
        <v>2</v>
      </c>
      <c r="L783" s="222" t="s">
        <v>281</v>
      </c>
      <c r="M783" s="222" t="s">
        <v>281</v>
      </c>
      <c r="N783" s="222" t="s">
        <v>2</v>
      </c>
      <c r="O783" s="223" t="s">
        <v>2</v>
      </c>
      <c r="P783" s="223" t="s">
        <v>2</v>
      </c>
      <c r="Q783" s="223" t="s">
        <v>15</v>
      </c>
      <c r="R783" s="223" t="s">
        <v>15</v>
      </c>
      <c r="S783" s="223" t="s">
        <v>16</v>
      </c>
      <c r="T783" s="223" t="s">
        <v>328</v>
      </c>
      <c r="U783" s="223" t="s">
        <v>248</v>
      </c>
      <c r="V783" s="223" t="s">
        <v>2</v>
      </c>
      <c r="W783" s="224" t="s">
        <v>281</v>
      </c>
      <c r="X783" s="224" t="s">
        <v>281</v>
      </c>
      <c r="Y783" s="225" t="s">
        <v>281</v>
      </c>
    </row>
    <row r="784" spans="1:25">
      <c r="A784" s="219">
        <v>15</v>
      </c>
      <c r="B784" s="220" t="str">
        <f>VLOOKUP(Tabel10[[#This Row],[Code]],Ruimtegroepen[[Code]:[Ruimte omschrijving]],2,FALSE)</f>
        <v>Keuken/pantry</v>
      </c>
      <c r="C784" s="221" t="s">
        <v>936</v>
      </c>
      <c r="D784" s="220" t="s">
        <v>1</v>
      </c>
      <c r="E784" s="221" t="s">
        <v>100</v>
      </c>
      <c r="F784" s="221" t="s">
        <v>937</v>
      </c>
      <c r="G784" s="226" t="s">
        <v>281</v>
      </c>
      <c r="H784" s="222" t="s">
        <v>281</v>
      </c>
      <c r="I784" s="222" t="s">
        <v>281</v>
      </c>
      <c r="J784" s="222" t="s">
        <v>2</v>
      </c>
      <c r="K784" s="222" t="s">
        <v>281</v>
      </c>
      <c r="L784" s="222" t="s">
        <v>281</v>
      </c>
      <c r="M784" s="222" t="s">
        <v>281</v>
      </c>
      <c r="N784" s="222" t="s">
        <v>281</v>
      </c>
      <c r="O784" s="223" t="s">
        <v>2</v>
      </c>
      <c r="P784" s="223" t="s">
        <v>2</v>
      </c>
      <c r="Q784" s="223" t="s">
        <v>15</v>
      </c>
      <c r="R784" s="223" t="s">
        <v>15</v>
      </c>
      <c r="S784" s="223" t="s">
        <v>16</v>
      </c>
      <c r="T784" s="223" t="s">
        <v>328</v>
      </c>
      <c r="U784" s="223" t="s">
        <v>248</v>
      </c>
      <c r="V784" s="223" t="s">
        <v>281</v>
      </c>
      <c r="W784" s="224" t="s">
        <v>281</v>
      </c>
      <c r="X784" s="224" t="s">
        <v>281</v>
      </c>
      <c r="Y784" s="225" t="s">
        <v>281</v>
      </c>
    </row>
    <row r="785" spans="1:25">
      <c r="A785" s="219">
        <v>15</v>
      </c>
      <c r="B785" s="220" t="str">
        <f>VLOOKUP(Tabel10[[#This Row],[Code]],Ruimtegroepen[[Code]:[Ruimte omschrijving]],2,FALSE)</f>
        <v>Keuken/pantry</v>
      </c>
      <c r="C785" s="221" t="s">
        <v>936</v>
      </c>
      <c r="D785" s="220" t="s">
        <v>1</v>
      </c>
      <c r="E785" s="221" t="s">
        <v>99</v>
      </c>
      <c r="F785" s="221" t="s">
        <v>938</v>
      </c>
      <c r="G785" s="226" t="s">
        <v>281</v>
      </c>
      <c r="H785" s="222" t="s">
        <v>2</v>
      </c>
      <c r="I785" s="222" t="s">
        <v>281</v>
      </c>
      <c r="J785" s="222" t="s">
        <v>281</v>
      </c>
      <c r="K785" s="222" t="s">
        <v>281</v>
      </c>
      <c r="L785" s="222" t="s">
        <v>281</v>
      </c>
      <c r="M785" s="222" t="s">
        <v>281</v>
      </c>
      <c r="N785" s="222" t="s">
        <v>281</v>
      </c>
      <c r="O785" s="223" t="s">
        <v>2</v>
      </c>
      <c r="P785" s="223" t="s">
        <v>2</v>
      </c>
      <c r="Q785" s="223" t="s">
        <v>15</v>
      </c>
      <c r="R785" s="223" t="s">
        <v>15</v>
      </c>
      <c r="S785" s="223" t="s">
        <v>16</v>
      </c>
      <c r="T785" s="223" t="s">
        <v>328</v>
      </c>
      <c r="U785" s="223" t="s">
        <v>248</v>
      </c>
      <c r="V785" s="223" t="s">
        <v>281</v>
      </c>
      <c r="W785" s="224" t="s">
        <v>281</v>
      </c>
      <c r="X785" s="224" t="s">
        <v>281</v>
      </c>
      <c r="Y785" s="225" t="s">
        <v>281</v>
      </c>
    </row>
    <row r="786" spans="1:25">
      <c r="A786" s="219">
        <v>15</v>
      </c>
      <c r="B786" s="220" t="str">
        <f>VLOOKUP(Tabel10[[#This Row],[Code]],Ruimtegroepen[[Code]:[Ruimte omschrijving]],2,FALSE)</f>
        <v>Keuken/pantry</v>
      </c>
      <c r="C786" s="221" t="s">
        <v>936</v>
      </c>
      <c r="D786" s="220" t="s">
        <v>1</v>
      </c>
      <c r="E786" s="221" t="s">
        <v>101</v>
      </c>
      <c r="F786" s="221" t="s">
        <v>939</v>
      </c>
      <c r="G786" s="226" t="s">
        <v>281</v>
      </c>
      <c r="H786" s="222" t="s">
        <v>281</v>
      </c>
      <c r="I786" s="222" t="s">
        <v>2</v>
      </c>
      <c r="J786" s="222" t="s">
        <v>281</v>
      </c>
      <c r="K786" s="222" t="s">
        <v>2</v>
      </c>
      <c r="L786" s="222" t="s">
        <v>281</v>
      </c>
      <c r="M786" s="222" t="s">
        <v>281</v>
      </c>
      <c r="N786" s="222" t="s">
        <v>281</v>
      </c>
      <c r="O786" s="223" t="s">
        <v>2</v>
      </c>
      <c r="P786" s="223" t="s">
        <v>2</v>
      </c>
      <c r="Q786" s="223" t="s">
        <v>15</v>
      </c>
      <c r="R786" s="223" t="s">
        <v>15</v>
      </c>
      <c r="S786" s="223" t="s">
        <v>16</v>
      </c>
      <c r="T786" s="223" t="s">
        <v>328</v>
      </c>
      <c r="U786" s="223" t="s">
        <v>248</v>
      </c>
      <c r="V786" s="223" t="s">
        <v>281</v>
      </c>
      <c r="W786" s="224" t="s">
        <v>281</v>
      </c>
      <c r="X786" s="224" t="s">
        <v>281</v>
      </c>
      <c r="Y786" s="225" t="s">
        <v>281</v>
      </c>
    </row>
    <row r="787" spans="1:25">
      <c r="A787" s="219">
        <v>15</v>
      </c>
      <c r="B787" s="220" t="str">
        <f>VLOOKUP(Tabel10[[#This Row],[Code]],Ruimtegroepen[[Code]:[Ruimte omschrijving]],2,FALSE)</f>
        <v>Keuken/pantry</v>
      </c>
      <c r="C787" s="221" t="s">
        <v>936</v>
      </c>
      <c r="D787" s="220" t="s">
        <v>1</v>
      </c>
      <c r="E787" s="221" t="s">
        <v>102</v>
      </c>
      <c r="F787" s="221" t="s">
        <v>940</v>
      </c>
      <c r="G787" s="226" t="s">
        <v>281</v>
      </c>
      <c r="H787" s="222" t="s">
        <v>281</v>
      </c>
      <c r="I787" s="222" t="s">
        <v>2</v>
      </c>
      <c r="J787" s="222" t="s">
        <v>281</v>
      </c>
      <c r="K787" s="222" t="s">
        <v>2</v>
      </c>
      <c r="L787" s="222" t="s">
        <v>281</v>
      </c>
      <c r="M787" s="222" t="s">
        <v>281</v>
      </c>
      <c r="N787" s="222" t="s">
        <v>281</v>
      </c>
      <c r="O787" s="223" t="s">
        <v>2</v>
      </c>
      <c r="P787" s="223" t="s">
        <v>2</v>
      </c>
      <c r="Q787" s="223" t="s">
        <v>15</v>
      </c>
      <c r="R787" s="223" t="s">
        <v>15</v>
      </c>
      <c r="S787" s="223" t="s">
        <v>16</v>
      </c>
      <c r="T787" s="223" t="s">
        <v>328</v>
      </c>
      <c r="U787" s="223" t="s">
        <v>248</v>
      </c>
      <c r="V787" s="223" t="s">
        <v>281</v>
      </c>
      <c r="W787" s="224" t="s">
        <v>281</v>
      </c>
      <c r="X787" s="224" t="s">
        <v>281</v>
      </c>
      <c r="Y787" s="225" t="s">
        <v>281</v>
      </c>
    </row>
    <row r="788" spans="1:25">
      <c r="A788" s="219">
        <v>15</v>
      </c>
      <c r="B788" s="220" t="str">
        <f>VLOOKUP(Tabel10[[#This Row],[Code]],Ruimtegroepen[[Code]:[Ruimte omschrijving]],2,FALSE)</f>
        <v>Keuken/pantry</v>
      </c>
      <c r="C788" s="221" t="s">
        <v>936</v>
      </c>
      <c r="D788" s="220" t="s">
        <v>1</v>
      </c>
      <c r="E788" s="221" t="s">
        <v>99</v>
      </c>
      <c r="F788" s="221" t="s">
        <v>938</v>
      </c>
      <c r="G788" s="226" t="s">
        <v>281</v>
      </c>
      <c r="H788" s="222" t="s">
        <v>2</v>
      </c>
      <c r="I788" s="222" t="s">
        <v>281</v>
      </c>
      <c r="J788" s="222" t="s">
        <v>281</v>
      </c>
      <c r="K788" s="222" t="s">
        <v>281</v>
      </c>
      <c r="L788" s="222" t="s">
        <v>281</v>
      </c>
      <c r="M788" s="222" t="s">
        <v>281</v>
      </c>
      <c r="N788" s="222" t="s">
        <v>281</v>
      </c>
      <c r="O788" s="223" t="s">
        <v>2</v>
      </c>
      <c r="P788" s="223" t="s">
        <v>2</v>
      </c>
      <c r="Q788" s="223" t="s">
        <v>15</v>
      </c>
      <c r="R788" s="223" t="s">
        <v>15</v>
      </c>
      <c r="S788" s="223" t="s">
        <v>16</v>
      </c>
      <c r="T788" s="223" t="s">
        <v>328</v>
      </c>
      <c r="U788" s="223" t="s">
        <v>248</v>
      </c>
      <c r="V788" s="223" t="s">
        <v>281</v>
      </c>
      <c r="W788" s="224" t="s">
        <v>281</v>
      </c>
      <c r="X788" s="224" t="s">
        <v>281</v>
      </c>
      <c r="Y788" s="225" t="s">
        <v>281</v>
      </c>
    </row>
    <row r="789" spans="1:25">
      <c r="A789" s="219">
        <v>15</v>
      </c>
      <c r="B789" s="220" t="str">
        <f>VLOOKUP(Tabel10[[#This Row],[Code]],Ruimtegroepen[[Code]:[Ruimte omschrijving]],2,FALSE)</f>
        <v>Keuken/pantry</v>
      </c>
      <c r="C789" s="221" t="s">
        <v>936</v>
      </c>
      <c r="D789" s="220" t="s">
        <v>1</v>
      </c>
      <c r="E789" s="221" t="s">
        <v>1309</v>
      </c>
      <c r="F789" s="221" t="s">
        <v>1472</v>
      </c>
      <c r="G789" s="226" t="s">
        <v>281</v>
      </c>
      <c r="H789" s="222" t="s">
        <v>281</v>
      </c>
      <c r="I789" s="222" t="s">
        <v>2</v>
      </c>
      <c r="J789" s="222" t="s">
        <v>281</v>
      </c>
      <c r="K789" s="222" t="s">
        <v>2</v>
      </c>
      <c r="L789" s="222" t="s">
        <v>281</v>
      </c>
      <c r="M789" s="222" t="s">
        <v>281</v>
      </c>
      <c r="N789" s="222" t="s">
        <v>281</v>
      </c>
      <c r="O789" s="223" t="s">
        <v>2</v>
      </c>
      <c r="P789" s="223" t="s">
        <v>2</v>
      </c>
      <c r="Q789" s="223" t="s">
        <v>15</v>
      </c>
      <c r="R789" s="223" t="s">
        <v>15</v>
      </c>
      <c r="S789" s="223" t="s">
        <v>16</v>
      </c>
      <c r="T789" s="223" t="s">
        <v>328</v>
      </c>
      <c r="U789" s="223" t="s">
        <v>248</v>
      </c>
      <c r="V789" s="223" t="s">
        <v>281</v>
      </c>
      <c r="W789" s="224" t="s">
        <v>281</v>
      </c>
      <c r="X789" s="224" t="s">
        <v>281</v>
      </c>
      <c r="Y789" s="225" t="s">
        <v>281</v>
      </c>
    </row>
    <row r="790" spans="1:25">
      <c r="A790" s="219">
        <v>15</v>
      </c>
      <c r="B790" s="220" t="str">
        <f>VLOOKUP(Tabel10[[#This Row],[Code]],Ruimtegroepen[[Code]:[Ruimte omschrijving]],2,FALSE)</f>
        <v>Keuken/pantry</v>
      </c>
      <c r="C790" s="221" t="s">
        <v>941</v>
      </c>
      <c r="D790" s="220" t="s">
        <v>21</v>
      </c>
      <c r="E790" s="221" t="s">
        <v>100</v>
      </c>
      <c r="F790" s="221" t="s">
        <v>942</v>
      </c>
      <c r="G790" s="226" t="s">
        <v>281</v>
      </c>
      <c r="H790" s="222" t="s">
        <v>281</v>
      </c>
      <c r="I790" s="222" t="s">
        <v>281</v>
      </c>
      <c r="J790" s="222" t="s">
        <v>20</v>
      </c>
      <c r="K790" s="222" t="s">
        <v>281</v>
      </c>
      <c r="L790" s="222" t="s">
        <v>281</v>
      </c>
      <c r="M790" s="222" t="s">
        <v>281</v>
      </c>
      <c r="N790" s="222" t="s">
        <v>281</v>
      </c>
      <c r="O790" s="223" t="s">
        <v>20</v>
      </c>
      <c r="P790" s="223" t="s">
        <v>20</v>
      </c>
      <c r="Q790" s="223" t="s">
        <v>15</v>
      </c>
      <c r="R790" s="223" t="s">
        <v>15</v>
      </c>
      <c r="S790" s="223" t="s">
        <v>16</v>
      </c>
      <c r="T790" s="223" t="s">
        <v>328</v>
      </c>
      <c r="U790" s="223" t="s">
        <v>248</v>
      </c>
      <c r="V790" s="223" t="s">
        <v>281</v>
      </c>
      <c r="W790" s="224" t="s">
        <v>281</v>
      </c>
      <c r="X790" s="224" t="s">
        <v>281</v>
      </c>
      <c r="Y790" s="225" t="s">
        <v>281</v>
      </c>
    </row>
    <row r="791" spans="1:25">
      <c r="A791" s="219">
        <v>15</v>
      </c>
      <c r="B791" s="220" t="str">
        <f>VLOOKUP(Tabel10[[#This Row],[Code]],Ruimtegroepen[[Code]:[Ruimte omschrijving]],2,FALSE)</f>
        <v>Keuken/pantry</v>
      </c>
      <c r="C791" s="221" t="s">
        <v>941</v>
      </c>
      <c r="D791" s="220" t="s">
        <v>21</v>
      </c>
      <c r="E791" s="221" t="s">
        <v>99</v>
      </c>
      <c r="F791" s="221" t="s">
        <v>943</v>
      </c>
      <c r="G791" s="226" t="s">
        <v>281</v>
      </c>
      <c r="H791" s="222" t="s">
        <v>20</v>
      </c>
      <c r="I791" s="222" t="s">
        <v>281</v>
      </c>
      <c r="J791" s="222" t="s">
        <v>281</v>
      </c>
      <c r="K791" s="222" t="s">
        <v>281</v>
      </c>
      <c r="L791" s="222" t="s">
        <v>281</v>
      </c>
      <c r="M791" s="222" t="s">
        <v>281</v>
      </c>
      <c r="N791" s="222" t="s">
        <v>281</v>
      </c>
      <c r="O791" s="223" t="s">
        <v>20</v>
      </c>
      <c r="P791" s="223" t="s">
        <v>20</v>
      </c>
      <c r="Q791" s="223" t="s">
        <v>15</v>
      </c>
      <c r="R791" s="223" t="s">
        <v>15</v>
      </c>
      <c r="S791" s="223" t="s">
        <v>16</v>
      </c>
      <c r="T791" s="223" t="s">
        <v>328</v>
      </c>
      <c r="U791" s="223" t="s">
        <v>248</v>
      </c>
      <c r="V791" s="223" t="s">
        <v>281</v>
      </c>
      <c r="W791" s="224" t="s">
        <v>281</v>
      </c>
      <c r="X791" s="224" t="s">
        <v>281</v>
      </c>
      <c r="Y791" s="225" t="s">
        <v>281</v>
      </c>
    </row>
    <row r="792" spans="1:25">
      <c r="A792" s="219">
        <v>15</v>
      </c>
      <c r="B792" s="220" t="str">
        <f>VLOOKUP(Tabel10[[#This Row],[Code]],Ruimtegroepen[[Code]:[Ruimte omschrijving]],2,FALSE)</f>
        <v>Keuken/pantry</v>
      </c>
      <c r="C792" s="221" t="s">
        <v>941</v>
      </c>
      <c r="D792" s="220" t="s">
        <v>21</v>
      </c>
      <c r="E792" s="221" t="s">
        <v>101</v>
      </c>
      <c r="F792" s="221" t="s">
        <v>944</v>
      </c>
      <c r="G792" s="226" t="s">
        <v>281</v>
      </c>
      <c r="H792" s="222" t="s">
        <v>281</v>
      </c>
      <c r="I792" s="222" t="s">
        <v>20</v>
      </c>
      <c r="J792" s="222" t="s">
        <v>281</v>
      </c>
      <c r="K792" s="222" t="s">
        <v>20</v>
      </c>
      <c r="L792" s="222" t="s">
        <v>281</v>
      </c>
      <c r="M792" s="222" t="s">
        <v>281</v>
      </c>
      <c r="N792" s="222" t="s">
        <v>281</v>
      </c>
      <c r="O792" s="223" t="s">
        <v>20</v>
      </c>
      <c r="P792" s="223" t="s">
        <v>20</v>
      </c>
      <c r="Q792" s="223" t="s">
        <v>15</v>
      </c>
      <c r="R792" s="223" t="s">
        <v>15</v>
      </c>
      <c r="S792" s="223" t="s">
        <v>16</v>
      </c>
      <c r="T792" s="223" t="s">
        <v>328</v>
      </c>
      <c r="U792" s="223" t="s">
        <v>248</v>
      </c>
      <c r="V792" s="223" t="s">
        <v>281</v>
      </c>
      <c r="W792" s="224" t="s">
        <v>281</v>
      </c>
      <c r="X792" s="224" t="s">
        <v>281</v>
      </c>
      <c r="Y792" s="225" t="s">
        <v>281</v>
      </c>
    </row>
    <row r="793" spans="1:25">
      <c r="A793" s="219">
        <v>15</v>
      </c>
      <c r="B793" s="220" t="str">
        <f>VLOOKUP(Tabel10[[#This Row],[Code]],Ruimtegroepen[[Code]:[Ruimte omschrijving]],2,FALSE)</f>
        <v>Keuken/pantry</v>
      </c>
      <c r="C793" s="221" t="s">
        <v>941</v>
      </c>
      <c r="D793" s="220" t="s">
        <v>21</v>
      </c>
      <c r="E793" s="221" t="s">
        <v>102</v>
      </c>
      <c r="F793" s="221" t="s">
        <v>945</v>
      </c>
      <c r="G793" s="226" t="s">
        <v>281</v>
      </c>
      <c r="H793" s="222" t="s">
        <v>281</v>
      </c>
      <c r="I793" s="222" t="s">
        <v>20</v>
      </c>
      <c r="J793" s="222" t="s">
        <v>281</v>
      </c>
      <c r="K793" s="222" t="s">
        <v>20</v>
      </c>
      <c r="L793" s="222" t="s">
        <v>281</v>
      </c>
      <c r="M793" s="222" t="s">
        <v>281</v>
      </c>
      <c r="N793" s="222" t="s">
        <v>281</v>
      </c>
      <c r="O793" s="223" t="s">
        <v>20</v>
      </c>
      <c r="P793" s="223" t="s">
        <v>20</v>
      </c>
      <c r="Q793" s="223" t="s">
        <v>15</v>
      </c>
      <c r="R793" s="223" t="s">
        <v>15</v>
      </c>
      <c r="S793" s="223" t="s">
        <v>16</v>
      </c>
      <c r="T793" s="223" t="s">
        <v>328</v>
      </c>
      <c r="U793" s="223" t="s">
        <v>248</v>
      </c>
      <c r="V793" s="223" t="s">
        <v>281</v>
      </c>
      <c r="W793" s="224" t="s">
        <v>281</v>
      </c>
      <c r="X793" s="224" t="s">
        <v>281</v>
      </c>
      <c r="Y793" s="225" t="s">
        <v>281</v>
      </c>
    </row>
    <row r="794" spans="1:25">
      <c r="A794" s="219">
        <v>15</v>
      </c>
      <c r="B794" s="220" t="str">
        <f>VLOOKUP(Tabel10[[#This Row],[Code]],Ruimtegroepen[[Code]:[Ruimte omschrijving]],2,FALSE)</f>
        <v>Keuken/pantry</v>
      </c>
      <c r="C794" s="221" t="s">
        <v>941</v>
      </c>
      <c r="D794" s="220" t="s">
        <v>21</v>
      </c>
      <c r="E794" s="221" t="s">
        <v>99</v>
      </c>
      <c r="F794" s="221" t="s">
        <v>943</v>
      </c>
      <c r="G794" s="226" t="s">
        <v>281</v>
      </c>
      <c r="H794" s="222" t="s">
        <v>20</v>
      </c>
      <c r="I794" s="222" t="s">
        <v>281</v>
      </c>
      <c r="J794" s="222" t="s">
        <v>281</v>
      </c>
      <c r="K794" s="222" t="s">
        <v>281</v>
      </c>
      <c r="L794" s="222" t="s">
        <v>281</v>
      </c>
      <c r="M794" s="222" t="s">
        <v>281</v>
      </c>
      <c r="N794" s="222" t="s">
        <v>281</v>
      </c>
      <c r="O794" s="223" t="s">
        <v>20</v>
      </c>
      <c r="P794" s="223" t="s">
        <v>20</v>
      </c>
      <c r="Q794" s="223" t="s">
        <v>15</v>
      </c>
      <c r="R794" s="223" t="s">
        <v>15</v>
      </c>
      <c r="S794" s="223" t="s">
        <v>16</v>
      </c>
      <c r="T794" s="223" t="s">
        <v>328</v>
      </c>
      <c r="U794" s="223" t="s">
        <v>248</v>
      </c>
      <c r="V794" s="223" t="s">
        <v>281</v>
      </c>
      <c r="W794" s="224" t="s">
        <v>281</v>
      </c>
      <c r="X794" s="224" t="s">
        <v>281</v>
      </c>
      <c r="Y794" s="225" t="s">
        <v>281</v>
      </c>
    </row>
    <row r="795" spans="1:25">
      <c r="A795" s="219">
        <v>15</v>
      </c>
      <c r="B795" s="220" t="str">
        <f>VLOOKUP(Tabel10[[#This Row],[Code]],Ruimtegroepen[[Code]:[Ruimte omschrijving]],2,FALSE)</f>
        <v>Keuken/pantry</v>
      </c>
      <c r="C795" s="221" t="s">
        <v>941</v>
      </c>
      <c r="D795" s="220" t="s">
        <v>21</v>
      </c>
      <c r="E795" s="221" t="s">
        <v>1309</v>
      </c>
      <c r="F795" s="221" t="s">
        <v>1455</v>
      </c>
      <c r="G795" s="226" t="s">
        <v>281</v>
      </c>
      <c r="H795" s="222" t="s">
        <v>281</v>
      </c>
      <c r="I795" s="222" t="s">
        <v>20</v>
      </c>
      <c r="J795" s="222" t="s">
        <v>281</v>
      </c>
      <c r="K795" s="222" t="s">
        <v>20</v>
      </c>
      <c r="L795" s="222" t="s">
        <v>281</v>
      </c>
      <c r="M795" s="222" t="s">
        <v>281</v>
      </c>
      <c r="N795" s="222" t="s">
        <v>281</v>
      </c>
      <c r="O795" s="223" t="s">
        <v>20</v>
      </c>
      <c r="P795" s="223" t="s">
        <v>20</v>
      </c>
      <c r="Q795" s="223" t="s">
        <v>15</v>
      </c>
      <c r="R795" s="223" t="s">
        <v>15</v>
      </c>
      <c r="S795" s="223" t="s">
        <v>16</v>
      </c>
      <c r="T795" s="223" t="s">
        <v>328</v>
      </c>
      <c r="U795" s="223" t="s">
        <v>248</v>
      </c>
      <c r="V795" s="223" t="s">
        <v>281</v>
      </c>
      <c r="W795" s="224" t="s">
        <v>281</v>
      </c>
      <c r="X795" s="224" t="s">
        <v>281</v>
      </c>
      <c r="Y795" s="225" t="s">
        <v>281</v>
      </c>
    </row>
    <row r="796" spans="1:25">
      <c r="A796" s="219">
        <v>15</v>
      </c>
      <c r="B796" s="220" t="str">
        <f>VLOOKUP(Tabel10[[#This Row],[Code]],Ruimtegroepen[[Code]:[Ruimte omschrijving]],2,FALSE)</f>
        <v>Keuken/pantry</v>
      </c>
      <c r="C796" s="221" t="s">
        <v>946</v>
      </c>
      <c r="D796" s="220" t="s">
        <v>12</v>
      </c>
      <c r="E796" s="221" t="s">
        <v>100</v>
      </c>
      <c r="F796" s="221" t="s">
        <v>947</v>
      </c>
      <c r="G796" s="226" t="s">
        <v>281</v>
      </c>
      <c r="H796" s="222" t="s">
        <v>281</v>
      </c>
      <c r="I796" s="222" t="s">
        <v>281</v>
      </c>
      <c r="J796" s="222" t="s">
        <v>18</v>
      </c>
      <c r="K796" s="222" t="s">
        <v>281</v>
      </c>
      <c r="L796" s="222" t="s">
        <v>281</v>
      </c>
      <c r="M796" s="222" t="s">
        <v>281</v>
      </c>
      <c r="N796" s="222" t="s">
        <v>281</v>
      </c>
      <c r="O796" s="223" t="s">
        <v>18</v>
      </c>
      <c r="P796" s="223" t="s">
        <v>18</v>
      </c>
      <c r="Q796" s="223" t="s">
        <v>15</v>
      </c>
      <c r="R796" s="223" t="s">
        <v>15</v>
      </c>
      <c r="S796" s="223" t="s">
        <v>16</v>
      </c>
      <c r="T796" s="223" t="s">
        <v>328</v>
      </c>
      <c r="U796" s="223" t="s">
        <v>248</v>
      </c>
      <c r="V796" s="223" t="s">
        <v>281</v>
      </c>
      <c r="W796" s="224" t="s">
        <v>281</v>
      </c>
      <c r="X796" s="224" t="s">
        <v>281</v>
      </c>
      <c r="Y796" s="225" t="s">
        <v>281</v>
      </c>
    </row>
    <row r="797" spans="1:25">
      <c r="A797" s="219">
        <v>15</v>
      </c>
      <c r="B797" s="220" t="str">
        <f>VLOOKUP(Tabel10[[#This Row],[Code]],Ruimtegroepen[[Code]:[Ruimte omschrijving]],2,FALSE)</f>
        <v>Keuken/pantry</v>
      </c>
      <c r="C797" s="221" t="s">
        <v>946</v>
      </c>
      <c r="D797" s="220" t="s">
        <v>12</v>
      </c>
      <c r="E797" s="221" t="s">
        <v>99</v>
      </c>
      <c r="F797" s="221" t="s">
        <v>948</v>
      </c>
      <c r="G797" s="226" t="s">
        <v>281</v>
      </c>
      <c r="H797" s="222" t="s">
        <v>18</v>
      </c>
      <c r="I797" s="222" t="s">
        <v>281</v>
      </c>
      <c r="J797" s="222" t="s">
        <v>281</v>
      </c>
      <c r="K797" s="222" t="s">
        <v>281</v>
      </c>
      <c r="L797" s="222" t="s">
        <v>281</v>
      </c>
      <c r="M797" s="222" t="s">
        <v>281</v>
      </c>
      <c r="N797" s="222" t="s">
        <v>281</v>
      </c>
      <c r="O797" s="223" t="s">
        <v>18</v>
      </c>
      <c r="P797" s="223" t="s">
        <v>18</v>
      </c>
      <c r="Q797" s="223" t="s">
        <v>15</v>
      </c>
      <c r="R797" s="223" t="s">
        <v>15</v>
      </c>
      <c r="S797" s="223" t="s">
        <v>16</v>
      </c>
      <c r="T797" s="223" t="s">
        <v>328</v>
      </c>
      <c r="U797" s="223" t="s">
        <v>248</v>
      </c>
      <c r="V797" s="223" t="s">
        <v>281</v>
      </c>
      <c r="W797" s="224" t="s">
        <v>281</v>
      </c>
      <c r="X797" s="224" t="s">
        <v>281</v>
      </c>
      <c r="Y797" s="225" t="s">
        <v>281</v>
      </c>
    </row>
    <row r="798" spans="1:25">
      <c r="A798" s="219">
        <v>15</v>
      </c>
      <c r="B798" s="220" t="str">
        <f>VLOOKUP(Tabel10[[#This Row],[Code]],Ruimtegroepen[[Code]:[Ruimte omschrijving]],2,FALSE)</f>
        <v>Keuken/pantry</v>
      </c>
      <c r="C798" s="221" t="s">
        <v>946</v>
      </c>
      <c r="D798" s="220" t="s">
        <v>12</v>
      </c>
      <c r="E798" s="221" t="s">
        <v>101</v>
      </c>
      <c r="F798" s="221" t="s">
        <v>949</v>
      </c>
      <c r="G798" s="226" t="s">
        <v>281</v>
      </c>
      <c r="H798" s="222" t="s">
        <v>281</v>
      </c>
      <c r="I798" s="222" t="s">
        <v>18</v>
      </c>
      <c r="J798" s="222" t="s">
        <v>281</v>
      </c>
      <c r="K798" s="222" t="s">
        <v>18</v>
      </c>
      <c r="L798" s="222" t="s">
        <v>281</v>
      </c>
      <c r="M798" s="222" t="s">
        <v>281</v>
      </c>
      <c r="N798" s="222" t="s">
        <v>281</v>
      </c>
      <c r="O798" s="223" t="s">
        <v>18</v>
      </c>
      <c r="P798" s="223" t="s">
        <v>18</v>
      </c>
      <c r="Q798" s="223" t="s">
        <v>15</v>
      </c>
      <c r="R798" s="223" t="s">
        <v>15</v>
      </c>
      <c r="S798" s="223" t="s">
        <v>16</v>
      </c>
      <c r="T798" s="223" t="s">
        <v>328</v>
      </c>
      <c r="U798" s="223" t="s">
        <v>248</v>
      </c>
      <c r="V798" s="223" t="s">
        <v>281</v>
      </c>
      <c r="W798" s="224" t="s">
        <v>281</v>
      </c>
      <c r="X798" s="224" t="s">
        <v>281</v>
      </c>
      <c r="Y798" s="225" t="s">
        <v>281</v>
      </c>
    </row>
    <row r="799" spans="1:25">
      <c r="A799" s="219">
        <v>15</v>
      </c>
      <c r="B799" s="220" t="str">
        <f>VLOOKUP(Tabel10[[#This Row],[Code]],Ruimtegroepen[[Code]:[Ruimte omschrijving]],2,FALSE)</f>
        <v>Keuken/pantry</v>
      </c>
      <c r="C799" s="221" t="s">
        <v>946</v>
      </c>
      <c r="D799" s="220" t="s">
        <v>12</v>
      </c>
      <c r="E799" s="221" t="s">
        <v>102</v>
      </c>
      <c r="F799" s="221" t="s">
        <v>950</v>
      </c>
      <c r="G799" s="226" t="s">
        <v>281</v>
      </c>
      <c r="H799" s="222" t="s">
        <v>281</v>
      </c>
      <c r="I799" s="222" t="s">
        <v>18</v>
      </c>
      <c r="J799" s="222" t="s">
        <v>281</v>
      </c>
      <c r="K799" s="222" t="s">
        <v>18</v>
      </c>
      <c r="L799" s="222" t="s">
        <v>281</v>
      </c>
      <c r="M799" s="222" t="s">
        <v>281</v>
      </c>
      <c r="N799" s="222" t="s">
        <v>281</v>
      </c>
      <c r="O799" s="223" t="s">
        <v>18</v>
      </c>
      <c r="P799" s="223" t="s">
        <v>18</v>
      </c>
      <c r="Q799" s="223" t="s">
        <v>15</v>
      </c>
      <c r="R799" s="223" t="s">
        <v>15</v>
      </c>
      <c r="S799" s="223" t="s">
        <v>16</v>
      </c>
      <c r="T799" s="223" t="s">
        <v>328</v>
      </c>
      <c r="U799" s="223" t="s">
        <v>248</v>
      </c>
      <c r="V799" s="223" t="s">
        <v>281</v>
      </c>
      <c r="W799" s="224" t="s">
        <v>281</v>
      </c>
      <c r="X799" s="224" t="s">
        <v>281</v>
      </c>
      <c r="Y799" s="225" t="s">
        <v>281</v>
      </c>
    </row>
    <row r="800" spans="1:25">
      <c r="A800" s="219">
        <v>15</v>
      </c>
      <c r="B800" s="220" t="str">
        <f>VLOOKUP(Tabel10[[#This Row],[Code]],Ruimtegroepen[[Code]:[Ruimte omschrijving]],2,FALSE)</f>
        <v>Keuken/pantry</v>
      </c>
      <c r="C800" s="221" t="s">
        <v>946</v>
      </c>
      <c r="D800" s="220" t="s">
        <v>12</v>
      </c>
      <c r="E800" s="221" t="s">
        <v>99</v>
      </c>
      <c r="F800" s="221" t="s">
        <v>948</v>
      </c>
      <c r="G800" s="226" t="s">
        <v>281</v>
      </c>
      <c r="H800" s="222" t="s">
        <v>18</v>
      </c>
      <c r="I800" s="222" t="s">
        <v>281</v>
      </c>
      <c r="J800" s="222" t="s">
        <v>281</v>
      </c>
      <c r="K800" s="222" t="s">
        <v>281</v>
      </c>
      <c r="L800" s="222" t="s">
        <v>281</v>
      </c>
      <c r="M800" s="222" t="s">
        <v>281</v>
      </c>
      <c r="N800" s="222" t="s">
        <v>281</v>
      </c>
      <c r="O800" s="223" t="s">
        <v>18</v>
      </c>
      <c r="P800" s="223" t="s">
        <v>18</v>
      </c>
      <c r="Q800" s="223" t="s">
        <v>15</v>
      </c>
      <c r="R800" s="223" t="s">
        <v>15</v>
      </c>
      <c r="S800" s="223" t="s">
        <v>16</v>
      </c>
      <c r="T800" s="223" t="s">
        <v>328</v>
      </c>
      <c r="U800" s="223" t="s">
        <v>248</v>
      </c>
      <c r="V800" s="223" t="s">
        <v>281</v>
      </c>
      <c r="W800" s="224" t="s">
        <v>281</v>
      </c>
      <c r="X800" s="224" t="s">
        <v>281</v>
      </c>
      <c r="Y800" s="225" t="s">
        <v>281</v>
      </c>
    </row>
    <row r="801" spans="1:25">
      <c r="A801" s="219">
        <v>15</v>
      </c>
      <c r="B801" s="220" t="str">
        <f>VLOOKUP(Tabel10[[#This Row],[Code]],Ruimtegroepen[[Code]:[Ruimte omschrijving]],2,FALSE)</f>
        <v>Keuken/pantry</v>
      </c>
      <c r="C801" s="221" t="s">
        <v>946</v>
      </c>
      <c r="D801" s="220" t="s">
        <v>12</v>
      </c>
      <c r="E801" s="221" t="s">
        <v>1309</v>
      </c>
      <c r="F801" s="221" t="s">
        <v>1437</v>
      </c>
      <c r="G801" s="226" t="s">
        <v>281</v>
      </c>
      <c r="H801" s="222" t="s">
        <v>281</v>
      </c>
      <c r="I801" s="222" t="s">
        <v>18</v>
      </c>
      <c r="J801" s="222" t="s">
        <v>281</v>
      </c>
      <c r="K801" s="222" t="s">
        <v>18</v>
      </c>
      <c r="L801" s="222" t="s">
        <v>281</v>
      </c>
      <c r="M801" s="222" t="s">
        <v>281</v>
      </c>
      <c r="N801" s="222" t="s">
        <v>281</v>
      </c>
      <c r="O801" s="223" t="s">
        <v>18</v>
      </c>
      <c r="P801" s="223" t="s">
        <v>18</v>
      </c>
      <c r="Q801" s="223" t="s">
        <v>15</v>
      </c>
      <c r="R801" s="223" t="s">
        <v>15</v>
      </c>
      <c r="S801" s="223" t="s">
        <v>16</v>
      </c>
      <c r="T801" s="223" t="s">
        <v>328</v>
      </c>
      <c r="U801" s="223" t="s">
        <v>248</v>
      </c>
      <c r="V801" s="223" t="s">
        <v>281</v>
      </c>
      <c r="W801" s="224" t="s">
        <v>281</v>
      </c>
      <c r="X801" s="224" t="s">
        <v>281</v>
      </c>
      <c r="Y801" s="225" t="s">
        <v>281</v>
      </c>
    </row>
    <row r="802" spans="1:25">
      <c r="A802" s="219">
        <v>15</v>
      </c>
      <c r="B802" s="220" t="str">
        <f>VLOOKUP(Tabel10[[#This Row],[Code]],Ruimtegroepen[[Code]:[Ruimte omschrijving]],2,FALSE)</f>
        <v>Keuken/pantry</v>
      </c>
      <c r="C802" s="221" t="s">
        <v>951</v>
      </c>
      <c r="D802" s="220" t="s">
        <v>14</v>
      </c>
      <c r="E802" s="221" t="s">
        <v>100</v>
      </c>
      <c r="F802" s="221" t="s">
        <v>952</v>
      </c>
      <c r="G802" s="226" t="s">
        <v>281</v>
      </c>
      <c r="H802" s="222" t="s">
        <v>281</v>
      </c>
      <c r="I802" s="222" t="s">
        <v>281</v>
      </c>
      <c r="J802" s="222" t="s">
        <v>17</v>
      </c>
      <c r="K802" s="222" t="s">
        <v>281</v>
      </c>
      <c r="L802" s="222" t="s">
        <v>281</v>
      </c>
      <c r="M802" s="222" t="s">
        <v>281</v>
      </c>
      <c r="N802" s="222" t="s">
        <v>281</v>
      </c>
      <c r="O802" s="223" t="s">
        <v>17</v>
      </c>
      <c r="P802" s="223" t="s">
        <v>17</v>
      </c>
      <c r="Q802" s="223" t="s">
        <v>15</v>
      </c>
      <c r="R802" s="223" t="s">
        <v>15</v>
      </c>
      <c r="S802" s="223" t="s">
        <v>16</v>
      </c>
      <c r="T802" s="223" t="s">
        <v>328</v>
      </c>
      <c r="U802" s="223" t="s">
        <v>248</v>
      </c>
      <c r="V802" s="223" t="s">
        <v>281</v>
      </c>
      <c r="W802" s="224" t="s">
        <v>281</v>
      </c>
      <c r="X802" s="224" t="s">
        <v>281</v>
      </c>
      <c r="Y802" s="225" t="s">
        <v>281</v>
      </c>
    </row>
    <row r="803" spans="1:25">
      <c r="A803" s="219">
        <v>15</v>
      </c>
      <c r="B803" s="220" t="str">
        <f>VLOOKUP(Tabel10[[#This Row],[Code]],Ruimtegroepen[[Code]:[Ruimte omschrijving]],2,FALSE)</f>
        <v>Keuken/pantry</v>
      </c>
      <c r="C803" s="221" t="s">
        <v>951</v>
      </c>
      <c r="D803" s="220" t="s">
        <v>14</v>
      </c>
      <c r="E803" s="221" t="s">
        <v>99</v>
      </c>
      <c r="F803" s="221" t="s">
        <v>953</v>
      </c>
      <c r="G803" s="226" t="s">
        <v>281</v>
      </c>
      <c r="H803" s="222" t="s">
        <v>17</v>
      </c>
      <c r="I803" s="222" t="s">
        <v>281</v>
      </c>
      <c r="J803" s="222" t="s">
        <v>281</v>
      </c>
      <c r="K803" s="222" t="s">
        <v>281</v>
      </c>
      <c r="L803" s="222" t="s">
        <v>281</v>
      </c>
      <c r="M803" s="222" t="s">
        <v>281</v>
      </c>
      <c r="N803" s="222" t="s">
        <v>281</v>
      </c>
      <c r="O803" s="223" t="s">
        <v>17</v>
      </c>
      <c r="P803" s="223" t="s">
        <v>17</v>
      </c>
      <c r="Q803" s="223" t="s">
        <v>15</v>
      </c>
      <c r="R803" s="223" t="s">
        <v>15</v>
      </c>
      <c r="S803" s="223" t="s">
        <v>16</v>
      </c>
      <c r="T803" s="223" t="s">
        <v>328</v>
      </c>
      <c r="U803" s="223" t="s">
        <v>248</v>
      </c>
      <c r="V803" s="223" t="s">
        <v>281</v>
      </c>
      <c r="W803" s="224" t="s">
        <v>281</v>
      </c>
      <c r="X803" s="224" t="s">
        <v>281</v>
      </c>
      <c r="Y803" s="225" t="s">
        <v>281</v>
      </c>
    </row>
    <row r="804" spans="1:25">
      <c r="A804" s="219">
        <v>15</v>
      </c>
      <c r="B804" s="220" t="str">
        <f>VLOOKUP(Tabel10[[#This Row],[Code]],Ruimtegroepen[[Code]:[Ruimte omschrijving]],2,FALSE)</f>
        <v>Keuken/pantry</v>
      </c>
      <c r="C804" s="221" t="s">
        <v>951</v>
      </c>
      <c r="D804" s="220" t="s">
        <v>14</v>
      </c>
      <c r="E804" s="221" t="s">
        <v>101</v>
      </c>
      <c r="F804" s="221" t="s">
        <v>954</v>
      </c>
      <c r="G804" s="226" t="s">
        <v>281</v>
      </c>
      <c r="H804" s="222" t="s">
        <v>281</v>
      </c>
      <c r="I804" s="222" t="s">
        <v>17</v>
      </c>
      <c r="J804" s="222" t="s">
        <v>281</v>
      </c>
      <c r="K804" s="222" t="s">
        <v>17</v>
      </c>
      <c r="L804" s="222" t="s">
        <v>281</v>
      </c>
      <c r="M804" s="222" t="s">
        <v>281</v>
      </c>
      <c r="N804" s="222" t="s">
        <v>281</v>
      </c>
      <c r="O804" s="223" t="s">
        <v>17</v>
      </c>
      <c r="P804" s="223" t="s">
        <v>17</v>
      </c>
      <c r="Q804" s="223" t="s">
        <v>15</v>
      </c>
      <c r="R804" s="223" t="s">
        <v>15</v>
      </c>
      <c r="S804" s="223" t="s">
        <v>16</v>
      </c>
      <c r="T804" s="223" t="s">
        <v>328</v>
      </c>
      <c r="U804" s="223" t="s">
        <v>248</v>
      </c>
      <c r="V804" s="223" t="s">
        <v>281</v>
      </c>
      <c r="W804" s="224" t="s">
        <v>281</v>
      </c>
      <c r="X804" s="224" t="s">
        <v>281</v>
      </c>
      <c r="Y804" s="225" t="s">
        <v>281</v>
      </c>
    </row>
    <row r="805" spans="1:25">
      <c r="A805" s="219">
        <v>15</v>
      </c>
      <c r="B805" s="220" t="str">
        <f>VLOOKUP(Tabel10[[#This Row],[Code]],Ruimtegroepen[[Code]:[Ruimte omschrijving]],2,FALSE)</f>
        <v>Keuken/pantry</v>
      </c>
      <c r="C805" s="221" t="s">
        <v>951</v>
      </c>
      <c r="D805" s="220" t="s">
        <v>14</v>
      </c>
      <c r="E805" s="221" t="s">
        <v>102</v>
      </c>
      <c r="F805" s="221" t="s">
        <v>955</v>
      </c>
      <c r="G805" s="226" t="s">
        <v>281</v>
      </c>
      <c r="H805" s="222" t="s">
        <v>281</v>
      </c>
      <c r="I805" s="222" t="s">
        <v>17</v>
      </c>
      <c r="J805" s="222" t="s">
        <v>281</v>
      </c>
      <c r="K805" s="222" t="s">
        <v>17</v>
      </c>
      <c r="L805" s="222" t="s">
        <v>281</v>
      </c>
      <c r="M805" s="222" t="s">
        <v>281</v>
      </c>
      <c r="N805" s="222" t="s">
        <v>281</v>
      </c>
      <c r="O805" s="223" t="s">
        <v>17</v>
      </c>
      <c r="P805" s="223" t="s">
        <v>17</v>
      </c>
      <c r="Q805" s="223" t="s">
        <v>15</v>
      </c>
      <c r="R805" s="223" t="s">
        <v>15</v>
      </c>
      <c r="S805" s="223" t="s">
        <v>16</v>
      </c>
      <c r="T805" s="223" t="s">
        <v>328</v>
      </c>
      <c r="U805" s="223" t="s">
        <v>248</v>
      </c>
      <c r="V805" s="223" t="s">
        <v>281</v>
      </c>
      <c r="W805" s="224" t="s">
        <v>281</v>
      </c>
      <c r="X805" s="224" t="s">
        <v>281</v>
      </c>
      <c r="Y805" s="225" t="s">
        <v>281</v>
      </c>
    </row>
    <row r="806" spans="1:25">
      <c r="A806" s="219">
        <v>15</v>
      </c>
      <c r="B806" s="220" t="str">
        <f>VLOOKUP(Tabel10[[#This Row],[Code]],Ruimtegroepen[[Code]:[Ruimte omschrijving]],2,FALSE)</f>
        <v>Keuken/pantry</v>
      </c>
      <c r="C806" s="221" t="s">
        <v>951</v>
      </c>
      <c r="D806" s="220" t="s">
        <v>14</v>
      </c>
      <c r="E806" s="221" t="s">
        <v>99</v>
      </c>
      <c r="F806" s="221" t="s">
        <v>953</v>
      </c>
      <c r="G806" s="226" t="s">
        <v>281</v>
      </c>
      <c r="H806" s="222" t="s">
        <v>17</v>
      </c>
      <c r="I806" s="222" t="s">
        <v>281</v>
      </c>
      <c r="J806" s="222" t="s">
        <v>281</v>
      </c>
      <c r="K806" s="222" t="s">
        <v>281</v>
      </c>
      <c r="L806" s="222" t="s">
        <v>281</v>
      </c>
      <c r="M806" s="222" t="s">
        <v>281</v>
      </c>
      <c r="N806" s="222" t="s">
        <v>281</v>
      </c>
      <c r="O806" s="223" t="s">
        <v>17</v>
      </c>
      <c r="P806" s="223" t="s">
        <v>17</v>
      </c>
      <c r="Q806" s="223" t="s">
        <v>15</v>
      </c>
      <c r="R806" s="223" t="s">
        <v>15</v>
      </c>
      <c r="S806" s="223" t="s">
        <v>16</v>
      </c>
      <c r="T806" s="223" t="s">
        <v>328</v>
      </c>
      <c r="U806" s="223" t="s">
        <v>248</v>
      </c>
      <c r="V806" s="223" t="s">
        <v>281</v>
      </c>
      <c r="W806" s="224" t="s">
        <v>281</v>
      </c>
      <c r="X806" s="224" t="s">
        <v>281</v>
      </c>
      <c r="Y806" s="225" t="s">
        <v>281</v>
      </c>
    </row>
    <row r="807" spans="1:25">
      <c r="A807" s="219">
        <v>15</v>
      </c>
      <c r="B807" s="220" t="str">
        <f>VLOOKUP(Tabel10[[#This Row],[Code]],Ruimtegroepen[[Code]:[Ruimte omschrijving]],2,FALSE)</f>
        <v>Keuken/pantry</v>
      </c>
      <c r="C807" s="221" t="s">
        <v>951</v>
      </c>
      <c r="D807" s="220" t="s">
        <v>14</v>
      </c>
      <c r="E807" s="221" t="s">
        <v>1309</v>
      </c>
      <c r="F807" s="221" t="s">
        <v>1404</v>
      </c>
      <c r="G807" s="226" t="s">
        <v>281</v>
      </c>
      <c r="H807" s="222" t="s">
        <v>281</v>
      </c>
      <c r="I807" s="222" t="s">
        <v>17</v>
      </c>
      <c r="J807" s="222" t="s">
        <v>281</v>
      </c>
      <c r="K807" s="222" t="s">
        <v>17</v>
      </c>
      <c r="L807" s="222" t="s">
        <v>281</v>
      </c>
      <c r="M807" s="222" t="s">
        <v>281</v>
      </c>
      <c r="N807" s="222" t="s">
        <v>281</v>
      </c>
      <c r="O807" s="223" t="s">
        <v>17</v>
      </c>
      <c r="P807" s="223" t="s">
        <v>17</v>
      </c>
      <c r="Q807" s="223" t="s">
        <v>15</v>
      </c>
      <c r="R807" s="223" t="s">
        <v>15</v>
      </c>
      <c r="S807" s="223" t="s">
        <v>16</v>
      </c>
      <c r="T807" s="223" t="s">
        <v>328</v>
      </c>
      <c r="U807" s="223" t="s">
        <v>248</v>
      </c>
      <c r="V807" s="223" t="s">
        <v>281</v>
      </c>
      <c r="W807" s="224" t="s">
        <v>281</v>
      </c>
      <c r="X807" s="224" t="s">
        <v>281</v>
      </c>
      <c r="Y807" s="225" t="s">
        <v>281</v>
      </c>
    </row>
    <row r="808" spans="1:25">
      <c r="A808" s="219">
        <v>15</v>
      </c>
      <c r="B808" s="220" t="str">
        <f>VLOOKUP(Tabel10[[#This Row],[Code]],Ruimtegroepen[[Code]:[Ruimte omschrijving]],2,FALSE)</f>
        <v>Keuken/pantry</v>
      </c>
      <c r="C808" s="221" t="s">
        <v>956</v>
      </c>
      <c r="D808" s="220" t="s">
        <v>13</v>
      </c>
      <c r="E808" s="221" t="s">
        <v>100</v>
      </c>
      <c r="F808" s="221" t="s">
        <v>957</v>
      </c>
      <c r="G808" s="226" t="s">
        <v>281</v>
      </c>
      <c r="H808" s="222" t="s">
        <v>281</v>
      </c>
      <c r="I808" s="222" t="s">
        <v>281</v>
      </c>
      <c r="J808" s="222" t="s">
        <v>15</v>
      </c>
      <c r="K808" s="222" t="s">
        <v>281</v>
      </c>
      <c r="L808" s="222" t="s">
        <v>281</v>
      </c>
      <c r="M808" s="222" t="s">
        <v>281</v>
      </c>
      <c r="N808" s="222" t="s">
        <v>281</v>
      </c>
      <c r="O808" s="223" t="s">
        <v>15</v>
      </c>
      <c r="P808" s="223" t="s">
        <v>15</v>
      </c>
      <c r="Q808" s="223" t="s">
        <v>15</v>
      </c>
      <c r="R808" s="223" t="s">
        <v>15</v>
      </c>
      <c r="S808" s="223" t="s">
        <v>16</v>
      </c>
      <c r="T808" s="223" t="s">
        <v>328</v>
      </c>
      <c r="U808" s="223" t="s">
        <v>248</v>
      </c>
      <c r="V808" s="223" t="s">
        <v>281</v>
      </c>
      <c r="W808" s="224" t="s">
        <v>281</v>
      </c>
      <c r="X808" s="224" t="s">
        <v>281</v>
      </c>
      <c r="Y808" s="225" t="s">
        <v>281</v>
      </c>
    </row>
    <row r="809" spans="1:25">
      <c r="A809" s="219">
        <v>15</v>
      </c>
      <c r="B809" s="220" t="str">
        <f>VLOOKUP(Tabel10[[#This Row],[Code]],Ruimtegroepen[[Code]:[Ruimte omschrijving]],2,FALSE)</f>
        <v>Keuken/pantry</v>
      </c>
      <c r="C809" s="221" t="s">
        <v>956</v>
      </c>
      <c r="D809" s="220" t="s">
        <v>13</v>
      </c>
      <c r="E809" s="221" t="s">
        <v>99</v>
      </c>
      <c r="F809" s="221" t="s">
        <v>958</v>
      </c>
      <c r="G809" s="226" t="s">
        <v>281</v>
      </c>
      <c r="H809" s="222" t="s">
        <v>15</v>
      </c>
      <c r="I809" s="222" t="s">
        <v>281</v>
      </c>
      <c r="J809" s="222" t="s">
        <v>281</v>
      </c>
      <c r="K809" s="222" t="s">
        <v>281</v>
      </c>
      <c r="L809" s="222" t="s">
        <v>281</v>
      </c>
      <c r="M809" s="222" t="s">
        <v>281</v>
      </c>
      <c r="N809" s="222" t="s">
        <v>281</v>
      </c>
      <c r="O809" s="223" t="s">
        <v>15</v>
      </c>
      <c r="P809" s="223" t="s">
        <v>15</v>
      </c>
      <c r="Q809" s="223" t="s">
        <v>15</v>
      </c>
      <c r="R809" s="223" t="s">
        <v>15</v>
      </c>
      <c r="S809" s="223" t="s">
        <v>16</v>
      </c>
      <c r="T809" s="223" t="s">
        <v>328</v>
      </c>
      <c r="U809" s="223" t="s">
        <v>248</v>
      </c>
      <c r="V809" s="223" t="s">
        <v>281</v>
      </c>
      <c r="W809" s="224" t="s">
        <v>281</v>
      </c>
      <c r="X809" s="224" t="s">
        <v>281</v>
      </c>
      <c r="Y809" s="225" t="s">
        <v>281</v>
      </c>
    </row>
    <row r="810" spans="1:25">
      <c r="A810" s="219">
        <v>15</v>
      </c>
      <c r="B810" s="220" t="str">
        <f>VLOOKUP(Tabel10[[#This Row],[Code]],Ruimtegroepen[[Code]:[Ruimte omschrijving]],2,FALSE)</f>
        <v>Keuken/pantry</v>
      </c>
      <c r="C810" s="221" t="s">
        <v>956</v>
      </c>
      <c r="D810" s="220" t="s">
        <v>13</v>
      </c>
      <c r="E810" s="221" t="s">
        <v>101</v>
      </c>
      <c r="F810" s="221" t="s">
        <v>959</v>
      </c>
      <c r="G810" s="226" t="s">
        <v>281</v>
      </c>
      <c r="H810" s="222" t="s">
        <v>281</v>
      </c>
      <c r="I810" s="222" t="s">
        <v>15</v>
      </c>
      <c r="J810" s="222" t="s">
        <v>281</v>
      </c>
      <c r="K810" s="222" t="s">
        <v>15</v>
      </c>
      <c r="L810" s="222" t="s">
        <v>281</v>
      </c>
      <c r="M810" s="222" t="s">
        <v>281</v>
      </c>
      <c r="N810" s="222" t="s">
        <v>281</v>
      </c>
      <c r="O810" s="223" t="s">
        <v>15</v>
      </c>
      <c r="P810" s="223" t="s">
        <v>15</v>
      </c>
      <c r="Q810" s="223" t="s">
        <v>15</v>
      </c>
      <c r="R810" s="223" t="s">
        <v>15</v>
      </c>
      <c r="S810" s="223" t="s">
        <v>16</v>
      </c>
      <c r="T810" s="223" t="s">
        <v>328</v>
      </c>
      <c r="U810" s="223" t="s">
        <v>248</v>
      </c>
      <c r="V810" s="223" t="s">
        <v>281</v>
      </c>
      <c r="W810" s="224" t="s">
        <v>281</v>
      </c>
      <c r="X810" s="224" t="s">
        <v>281</v>
      </c>
      <c r="Y810" s="225" t="s">
        <v>281</v>
      </c>
    </row>
    <row r="811" spans="1:25">
      <c r="A811" s="219">
        <v>15</v>
      </c>
      <c r="B811" s="220" t="str">
        <f>VLOOKUP(Tabel10[[#This Row],[Code]],Ruimtegroepen[[Code]:[Ruimte omschrijving]],2,FALSE)</f>
        <v>Keuken/pantry</v>
      </c>
      <c r="C811" s="221" t="s">
        <v>956</v>
      </c>
      <c r="D811" s="220" t="s">
        <v>13</v>
      </c>
      <c r="E811" s="221" t="s">
        <v>102</v>
      </c>
      <c r="F811" s="221" t="s">
        <v>960</v>
      </c>
      <c r="G811" s="226" t="s">
        <v>281</v>
      </c>
      <c r="H811" s="222" t="s">
        <v>281</v>
      </c>
      <c r="I811" s="222" t="s">
        <v>15</v>
      </c>
      <c r="J811" s="222" t="s">
        <v>281</v>
      </c>
      <c r="K811" s="222" t="s">
        <v>15</v>
      </c>
      <c r="L811" s="222" t="s">
        <v>281</v>
      </c>
      <c r="M811" s="222" t="s">
        <v>281</v>
      </c>
      <c r="N811" s="222" t="s">
        <v>281</v>
      </c>
      <c r="O811" s="223" t="s">
        <v>15</v>
      </c>
      <c r="P811" s="223" t="s">
        <v>15</v>
      </c>
      <c r="Q811" s="223" t="s">
        <v>15</v>
      </c>
      <c r="R811" s="223" t="s">
        <v>15</v>
      </c>
      <c r="S811" s="223" t="s">
        <v>16</v>
      </c>
      <c r="T811" s="223" t="s">
        <v>328</v>
      </c>
      <c r="U811" s="223" t="s">
        <v>248</v>
      </c>
      <c r="V811" s="223" t="s">
        <v>281</v>
      </c>
      <c r="W811" s="224" t="s">
        <v>281</v>
      </c>
      <c r="X811" s="224" t="s">
        <v>281</v>
      </c>
      <c r="Y811" s="225" t="s">
        <v>281</v>
      </c>
    </row>
    <row r="812" spans="1:25">
      <c r="A812" s="219">
        <v>15</v>
      </c>
      <c r="B812" s="220" t="str">
        <f>VLOOKUP(Tabel10[[#This Row],[Code]],Ruimtegroepen[[Code]:[Ruimte omschrijving]],2,FALSE)</f>
        <v>Keuken/pantry</v>
      </c>
      <c r="C812" s="221" t="s">
        <v>956</v>
      </c>
      <c r="D812" s="220" t="s">
        <v>13</v>
      </c>
      <c r="E812" s="221" t="s">
        <v>99</v>
      </c>
      <c r="F812" s="221" t="s">
        <v>958</v>
      </c>
      <c r="G812" s="226" t="s">
        <v>281</v>
      </c>
      <c r="H812" s="222" t="s">
        <v>15</v>
      </c>
      <c r="I812" s="222" t="s">
        <v>281</v>
      </c>
      <c r="J812" s="222" t="s">
        <v>281</v>
      </c>
      <c r="K812" s="222" t="s">
        <v>281</v>
      </c>
      <c r="L812" s="222" t="s">
        <v>281</v>
      </c>
      <c r="M812" s="222" t="s">
        <v>281</v>
      </c>
      <c r="N812" s="222" t="s">
        <v>281</v>
      </c>
      <c r="O812" s="223" t="s">
        <v>15</v>
      </c>
      <c r="P812" s="223" t="s">
        <v>15</v>
      </c>
      <c r="Q812" s="223" t="s">
        <v>15</v>
      </c>
      <c r="R812" s="223" t="s">
        <v>15</v>
      </c>
      <c r="S812" s="223" t="s">
        <v>16</v>
      </c>
      <c r="T812" s="223" t="s">
        <v>328</v>
      </c>
      <c r="U812" s="223" t="s">
        <v>248</v>
      </c>
      <c r="V812" s="223" t="s">
        <v>281</v>
      </c>
      <c r="W812" s="224" t="s">
        <v>281</v>
      </c>
      <c r="X812" s="224" t="s">
        <v>281</v>
      </c>
      <c r="Y812" s="225" t="s">
        <v>281</v>
      </c>
    </row>
    <row r="813" spans="1:25">
      <c r="A813" s="219">
        <v>15</v>
      </c>
      <c r="B813" s="220" t="str">
        <f>VLOOKUP(Tabel10[[#This Row],[Code]],Ruimtegroepen[[Code]:[Ruimte omschrijving]],2,FALSE)</f>
        <v>Keuken/pantry</v>
      </c>
      <c r="C813" s="221" t="s">
        <v>956</v>
      </c>
      <c r="D813" s="220" t="s">
        <v>13</v>
      </c>
      <c r="E813" s="221" t="s">
        <v>1309</v>
      </c>
      <c r="F813" s="221" t="s">
        <v>1371</v>
      </c>
      <c r="G813" s="226" t="s">
        <v>281</v>
      </c>
      <c r="H813" s="222" t="s">
        <v>281</v>
      </c>
      <c r="I813" s="222" t="s">
        <v>15</v>
      </c>
      <c r="J813" s="222" t="s">
        <v>281</v>
      </c>
      <c r="K813" s="222" t="s">
        <v>15</v>
      </c>
      <c r="L813" s="222" t="s">
        <v>281</v>
      </c>
      <c r="M813" s="222" t="s">
        <v>281</v>
      </c>
      <c r="N813" s="222" t="s">
        <v>281</v>
      </c>
      <c r="O813" s="223" t="s">
        <v>15</v>
      </c>
      <c r="P813" s="223" t="s">
        <v>15</v>
      </c>
      <c r="Q813" s="223" t="s">
        <v>15</v>
      </c>
      <c r="R813" s="223" t="s">
        <v>15</v>
      </c>
      <c r="S813" s="223" t="s">
        <v>16</v>
      </c>
      <c r="T813" s="223" t="s">
        <v>328</v>
      </c>
      <c r="U813" s="223" t="s">
        <v>248</v>
      </c>
      <c r="V813" s="223" t="s">
        <v>281</v>
      </c>
      <c r="W813" s="224" t="s">
        <v>281</v>
      </c>
      <c r="X813" s="224" t="s">
        <v>281</v>
      </c>
      <c r="Y813" s="225" t="s">
        <v>281</v>
      </c>
    </row>
    <row r="814" spans="1:25">
      <c r="A814" s="219">
        <v>15</v>
      </c>
      <c r="B814" s="220" t="str">
        <f>VLOOKUP(Tabel10[[#This Row],[Code]],Ruimtegroepen[[Code]:[Ruimte omschrijving]],2,FALSE)</f>
        <v>Keuken/pantry</v>
      </c>
      <c r="C814" s="221" t="s">
        <v>961</v>
      </c>
      <c r="D814" s="220" t="s">
        <v>0</v>
      </c>
      <c r="E814" s="221" t="s">
        <v>100</v>
      </c>
      <c r="F814" s="221" t="s">
        <v>962</v>
      </c>
      <c r="G814" s="226" t="s">
        <v>281</v>
      </c>
      <c r="H814" s="222" t="s">
        <v>281</v>
      </c>
      <c r="I814" s="222" t="s">
        <v>281</v>
      </c>
      <c r="J814" s="222" t="s">
        <v>16</v>
      </c>
      <c r="K814" s="222" t="s">
        <v>281</v>
      </c>
      <c r="L814" s="222" t="s">
        <v>281</v>
      </c>
      <c r="M814" s="222" t="s">
        <v>281</v>
      </c>
      <c r="N814" s="222" t="s">
        <v>281</v>
      </c>
      <c r="O814" s="223" t="s">
        <v>16</v>
      </c>
      <c r="P814" s="223" t="s">
        <v>16</v>
      </c>
      <c r="Q814" s="223" t="s">
        <v>16</v>
      </c>
      <c r="R814" s="223" t="s">
        <v>16</v>
      </c>
      <c r="S814" s="223" t="s">
        <v>16</v>
      </c>
      <c r="T814" s="223" t="s">
        <v>328</v>
      </c>
      <c r="U814" s="223" t="s">
        <v>248</v>
      </c>
      <c r="V814" s="223" t="s">
        <v>281</v>
      </c>
      <c r="W814" s="224" t="s">
        <v>281</v>
      </c>
      <c r="X814" s="224" t="s">
        <v>281</v>
      </c>
      <c r="Y814" s="225" t="s">
        <v>281</v>
      </c>
    </row>
    <row r="815" spans="1:25">
      <c r="A815" s="219">
        <v>15</v>
      </c>
      <c r="B815" s="220" t="str">
        <f>VLOOKUP(Tabel10[[#This Row],[Code]],Ruimtegroepen[[Code]:[Ruimte omschrijving]],2,FALSE)</f>
        <v>Keuken/pantry</v>
      </c>
      <c r="C815" s="221" t="s">
        <v>961</v>
      </c>
      <c r="D815" s="220" t="s">
        <v>0</v>
      </c>
      <c r="E815" s="221" t="s">
        <v>99</v>
      </c>
      <c r="F815" s="221" t="s">
        <v>963</v>
      </c>
      <c r="G815" s="226" t="s">
        <v>281</v>
      </c>
      <c r="H815" s="222" t="s">
        <v>16</v>
      </c>
      <c r="I815" s="222" t="s">
        <v>281</v>
      </c>
      <c r="J815" s="222" t="s">
        <v>281</v>
      </c>
      <c r="K815" s="222" t="s">
        <v>281</v>
      </c>
      <c r="L815" s="222" t="s">
        <v>281</v>
      </c>
      <c r="M815" s="222" t="s">
        <v>281</v>
      </c>
      <c r="N815" s="222" t="s">
        <v>281</v>
      </c>
      <c r="O815" s="223" t="s">
        <v>16</v>
      </c>
      <c r="P815" s="223" t="s">
        <v>16</v>
      </c>
      <c r="Q815" s="223" t="s">
        <v>16</v>
      </c>
      <c r="R815" s="223" t="s">
        <v>16</v>
      </c>
      <c r="S815" s="223" t="s">
        <v>16</v>
      </c>
      <c r="T815" s="223" t="s">
        <v>328</v>
      </c>
      <c r="U815" s="223" t="s">
        <v>248</v>
      </c>
      <c r="V815" s="223" t="s">
        <v>281</v>
      </c>
      <c r="W815" s="224" t="s">
        <v>281</v>
      </c>
      <c r="X815" s="224" t="s">
        <v>281</v>
      </c>
      <c r="Y815" s="225" t="s">
        <v>281</v>
      </c>
    </row>
    <row r="816" spans="1:25">
      <c r="A816" s="219">
        <v>15</v>
      </c>
      <c r="B816" s="220" t="str">
        <f>VLOOKUP(Tabel10[[#This Row],[Code]],Ruimtegroepen[[Code]:[Ruimte omschrijving]],2,FALSE)</f>
        <v>Keuken/pantry</v>
      </c>
      <c r="C816" s="221" t="s">
        <v>961</v>
      </c>
      <c r="D816" s="220" t="s">
        <v>0</v>
      </c>
      <c r="E816" s="221" t="s">
        <v>101</v>
      </c>
      <c r="F816" s="221" t="s">
        <v>964</v>
      </c>
      <c r="G816" s="226" t="s">
        <v>281</v>
      </c>
      <c r="H816" s="222" t="s">
        <v>281</v>
      </c>
      <c r="I816" s="222" t="s">
        <v>16</v>
      </c>
      <c r="J816" s="222" t="s">
        <v>360</v>
      </c>
      <c r="K816" s="222" t="s">
        <v>16</v>
      </c>
      <c r="L816" s="222" t="s">
        <v>281</v>
      </c>
      <c r="M816" s="222" t="s">
        <v>281</v>
      </c>
      <c r="N816" s="222" t="s">
        <v>281</v>
      </c>
      <c r="O816" s="223" t="s">
        <v>16</v>
      </c>
      <c r="P816" s="223" t="s">
        <v>16</v>
      </c>
      <c r="Q816" s="223" t="s">
        <v>16</v>
      </c>
      <c r="R816" s="223" t="s">
        <v>16</v>
      </c>
      <c r="S816" s="223" t="s">
        <v>16</v>
      </c>
      <c r="T816" s="223" t="s">
        <v>328</v>
      </c>
      <c r="U816" s="223" t="s">
        <v>248</v>
      </c>
      <c r="V816" s="223" t="s">
        <v>281</v>
      </c>
      <c r="W816" s="224" t="s">
        <v>281</v>
      </c>
      <c r="X816" s="224" t="s">
        <v>281</v>
      </c>
      <c r="Y816" s="225" t="s">
        <v>281</v>
      </c>
    </row>
    <row r="817" spans="1:25">
      <c r="A817" s="219">
        <v>15</v>
      </c>
      <c r="B817" s="220" t="str">
        <f>VLOOKUP(Tabel10[[#This Row],[Code]],Ruimtegroepen[[Code]:[Ruimte omschrijving]],2,FALSE)</f>
        <v>Keuken/pantry</v>
      </c>
      <c r="C817" s="221" t="s">
        <v>961</v>
      </c>
      <c r="D817" s="220" t="s">
        <v>0</v>
      </c>
      <c r="E817" s="221" t="s">
        <v>102</v>
      </c>
      <c r="F817" s="221" t="s">
        <v>965</v>
      </c>
      <c r="G817" s="226" t="s">
        <v>281</v>
      </c>
      <c r="H817" s="222" t="s">
        <v>281</v>
      </c>
      <c r="I817" s="222" t="s">
        <v>16</v>
      </c>
      <c r="J817" s="222" t="s">
        <v>281</v>
      </c>
      <c r="K817" s="222" t="s">
        <v>16</v>
      </c>
      <c r="L817" s="222" t="s">
        <v>281</v>
      </c>
      <c r="M817" s="222" t="s">
        <v>281</v>
      </c>
      <c r="N817" s="222" t="s">
        <v>281</v>
      </c>
      <c r="O817" s="223" t="s">
        <v>16</v>
      </c>
      <c r="P817" s="223" t="s">
        <v>16</v>
      </c>
      <c r="Q817" s="223" t="s">
        <v>16</v>
      </c>
      <c r="R817" s="223" t="s">
        <v>16</v>
      </c>
      <c r="S817" s="223" t="s">
        <v>16</v>
      </c>
      <c r="T817" s="223" t="s">
        <v>328</v>
      </c>
      <c r="U817" s="223" t="s">
        <v>248</v>
      </c>
      <c r="V817" s="223" t="s">
        <v>281</v>
      </c>
      <c r="W817" s="224" t="s">
        <v>281</v>
      </c>
      <c r="X817" s="224" t="s">
        <v>281</v>
      </c>
      <c r="Y817" s="225" t="s">
        <v>281</v>
      </c>
    </row>
    <row r="818" spans="1:25">
      <c r="A818" s="219">
        <v>15</v>
      </c>
      <c r="B818" s="220" t="str">
        <f>VLOOKUP(Tabel10[[#This Row],[Code]],Ruimtegroepen[[Code]:[Ruimte omschrijving]],2,FALSE)</f>
        <v>Keuken/pantry</v>
      </c>
      <c r="C818" s="221" t="s">
        <v>961</v>
      </c>
      <c r="D818" s="220" t="s">
        <v>0</v>
      </c>
      <c r="E818" s="221" t="s">
        <v>99</v>
      </c>
      <c r="F818" s="221" t="s">
        <v>963</v>
      </c>
      <c r="G818" s="226" t="s">
        <v>281</v>
      </c>
      <c r="H818" s="222" t="s">
        <v>16</v>
      </c>
      <c r="I818" s="222" t="s">
        <v>281</v>
      </c>
      <c r="J818" s="222" t="s">
        <v>281</v>
      </c>
      <c r="K818" s="222" t="s">
        <v>281</v>
      </c>
      <c r="L818" s="222" t="s">
        <v>281</v>
      </c>
      <c r="M818" s="222" t="s">
        <v>281</v>
      </c>
      <c r="N818" s="222" t="s">
        <v>281</v>
      </c>
      <c r="O818" s="223" t="s">
        <v>16</v>
      </c>
      <c r="P818" s="223" t="s">
        <v>16</v>
      </c>
      <c r="Q818" s="223" t="s">
        <v>16</v>
      </c>
      <c r="R818" s="223" t="s">
        <v>16</v>
      </c>
      <c r="S818" s="223" t="s">
        <v>16</v>
      </c>
      <c r="T818" s="223" t="s">
        <v>328</v>
      </c>
      <c r="U818" s="223" t="s">
        <v>248</v>
      </c>
      <c r="V818" s="223" t="s">
        <v>281</v>
      </c>
      <c r="W818" s="224" t="s">
        <v>281</v>
      </c>
      <c r="X818" s="224" t="s">
        <v>281</v>
      </c>
      <c r="Y818" s="225" t="s">
        <v>281</v>
      </c>
    </row>
    <row r="819" spans="1:25">
      <c r="A819" s="219">
        <v>15</v>
      </c>
      <c r="B819" s="220" t="str">
        <f>VLOOKUP(Tabel10[[#This Row],[Code]],Ruimtegroepen[[Code]:[Ruimte omschrijving]],2,FALSE)</f>
        <v>Keuken/pantry</v>
      </c>
      <c r="C819" s="221" t="s">
        <v>961</v>
      </c>
      <c r="D819" s="220" t="s">
        <v>0</v>
      </c>
      <c r="E819" s="221" t="s">
        <v>1309</v>
      </c>
      <c r="F819" s="221" t="s">
        <v>1355</v>
      </c>
      <c r="G819" s="226" t="s">
        <v>281</v>
      </c>
      <c r="H819" s="222" t="s">
        <v>281</v>
      </c>
      <c r="I819" s="222" t="s">
        <v>16</v>
      </c>
      <c r="J819" s="222" t="s">
        <v>281</v>
      </c>
      <c r="K819" s="222" t="s">
        <v>16</v>
      </c>
      <c r="L819" s="222" t="s">
        <v>281</v>
      </c>
      <c r="M819" s="222" t="s">
        <v>281</v>
      </c>
      <c r="N819" s="222" t="s">
        <v>281</v>
      </c>
      <c r="O819" s="223" t="s">
        <v>16</v>
      </c>
      <c r="P819" s="223" t="s">
        <v>16</v>
      </c>
      <c r="Q819" s="223" t="s">
        <v>16</v>
      </c>
      <c r="R819" s="223" t="s">
        <v>16</v>
      </c>
      <c r="S819" s="223" t="s">
        <v>16</v>
      </c>
      <c r="T819" s="223" t="s">
        <v>328</v>
      </c>
      <c r="U819" s="223" t="s">
        <v>248</v>
      </c>
      <c r="V819" s="223" t="s">
        <v>281</v>
      </c>
      <c r="W819" s="224" t="s">
        <v>281</v>
      </c>
      <c r="X819" s="224" t="s">
        <v>281</v>
      </c>
      <c r="Y819" s="225" t="s">
        <v>281</v>
      </c>
    </row>
    <row r="820" spans="1:25">
      <c r="A820" s="219">
        <v>15</v>
      </c>
      <c r="B820" s="220" t="str">
        <f>VLOOKUP(Tabel10[[#This Row],[Code]],Ruimtegroepen[[Code]:[Ruimte omschrijving]],2,FALSE)</f>
        <v>Keuken/pantry</v>
      </c>
      <c r="C820" s="221" t="s">
        <v>966</v>
      </c>
      <c r="D820" s="220" t="s">
        <v>27</v>
      </c>
      <c r="E820" s="221" t="s">
        <v>100</v>
      </c>
      <c r="F820" s="221" t="s">
        <v>967</v>
      </c>
      <c r="G820" s="226" t="s">
        <v>281</v>
      </c>
      <c r="H820" s="222" t="s">
        <v>281</v>
      </c>
      <c r="I820" s="222" t="s">
        <v>15</v>
      </c>
      <c r="J820" s="222" t="s">
        <v>281</v>
      </c>
      <c r="K820" s="222" t="s">
        <v>281</v>
      </c>
      <c r="L820" s="222" t="s">
        <v>281</v>
      </c>
      <c r="M820" s="222" t="s">
        <v>281</v>
      </c>
      <c r="N820" s="222" t="s">
        <v>281</v>
      </c>
      <c r="O820" s="223" t="s">
        <v>15</v>
      </c>
      <c r="P820" s="223" t="s">
        <v>15</v>
      </c>
      <c r="Q820" s="223" t="s">
        <v>15</v>
      </c>
      <c r="R820" s="223" t="s">
        <v>281</v>
      </c>
      <c r="S820" s="223" t="s">
        <v>281</v>
      </c>
      <c r="T820" s="223" t="s">
        <v>281</v>
      </c>
      <c r="U820" s="223" t="s">
        <v>281</v>
      </c>
      <c r="V820" s="223" t="s">
        <v>281</v>
      </c>
      <c r="W820" s="224" t="s">
        <v>281</v>
      </c>
      <c r="X820" s="224" t="s">
        <v>281</v>
      </c>
      <c r="Y820" s="225" t="s">
        <v>281</v>
      </c>
    </row>
    <row r="821" spans="1:25">
      <c r="A821" s="219">
        <v>15</v>
      </c>
      <c r="B821" s="220" t="str">
        <f>VLOOKUP(Tabel10[[#This Row],[Code]],Ruimtegroepen[[Code]:[Ruimte omschrijving]],2,FALSE)</f>
        <v>Keuken/pantry</v>
      </c>
      <c r="C821" s="221" t="s">
        <v>966</v>
      </c>
      <c r="D821" s="220" t="s">
        <v>27</v>
      </c>
      <c r="E821" s="221" t="s">
        <v>99</v>
      </c>
      <c r="F821" s="221" t="s">
        <v>968</v>
      </c>
      <c r="G821" s="226" t="s">
        <v>281</v>
      </c>
      <c r="H821" s="222" t="s">
        <v>15</v>
      </c>
      <c r="I821" s="222" t="s">
        <v>281</v>
      </c>
      <c r="J821" s="222" t="s">
        <v>281</v>
      </c>
      <c r="K821" s="222" t="s">
        <v>281</v>
      </c>
      <c r="L821" s="222" t="s">
        <v>281</v>
      </c>
      <c r="M821" s="222" t="s">
        <v>281</v>
      </c>
      <c r="N821" s="222" t="s">
        <v>281</v>
      </c>
      <c r="O821" s="223" t="s">
        <v>15</v>
      </c>
      <c r="P821" s="223" t="s">
        <v>15</v>
      </c>
      <c r="Q821" s="223" t="s">
        <v>15</v>
      </c>
      <c r="R821" s="223" t="s">
        <v>281</v>
      </c>
      <c r="S821" s="223" t="s">
        <v>281</v>
      </c>
      <c r="T821" s="223" t="s">
        <v>281</v>
      </c>
      <c r="U821" s="223" t="s">
        <v>281</v>
      </c>
      <c r="V821" s="223" t="s">
        <v>281</v>
      </c>
      <c r="W821" s="224" t="s">
        <v>281</v>
      </c>
      <c r="X821" s="224" t="s">
        <v>281</v>
      </c>
      <c r="Y821" s="225" t="s">
        <v>281</v>
      </c>
    </row>
    <row r="822" spans="1:25">
      <c r="A822" s="219">
        <v>15</v>
      </c>
      <c r="B822" s="220" t="str">
        <f>VLOOKUP(Tabel10[[#This Row],[Code]],Ruimtegroepen[[Code]:[Ruimte omschrijving]],2,FALSE)</f>
        <v>Keuken/pantry</v>
      </c>
      <c r="C822" s="221" t="s">
        <v>966</v>
      </c>
      <c r="D822" s="220" t="s">
        <v>27</v>
      </c>
      <c r="E822" s="221" t="s">
        <v>101</v>
      </c>
      <c r="F822" s="221" t="s">
        <v>969</v>
      </c>
      <c r="G822" s="226" t="s">
        <v>281</v>
      </c>
      <c r="H822" s="222" t="s">
        <v>281</v>
      </c>
      <c r="I822" s="222" t="s">
        <v>15</v>
      </c>
      <c r="J822" s="222" t="s">
        <v>281</v>
      </c>
      <c r="K822" s="222" t="s">
        <v>281</v>
      </c>
      <c r="L822" s="222" t="s">
        <v>281</v>
      </c>
      <c r="M822" s="222" t="s">
        <v>281</v>
      </c>
      <c r="N822" s="222" t="s">
        <v>281</v>
      </c>
      <c r="O822" s="223" t="s">
        <v>15</v>
      </c>
      <c r="P822" s="223" t="s">
        <v>15</v>
      </c>
      <c r="Q822" s="223" t="s">
        <v>15</v>
      </c>
      <c r="R822" s="223" t="s">
        <v>281</v>
      </c>
      <c r="S822" s="223" t="s">
        <v>281</v>
      </c>
      <c r="T822" s="223" t="s">
        <v>281</v>
      </c>
      <c r="U822" s="223" t="s">
        <v>281</v>
      </c>
      <c r="V822" s="223" t="s">
        <v>281</v>
      </c>
      <c r="W822" s="224" t="s">
        <v>281</v>
      </c>
      <c r="X822" s="224" t="s">
        <v>281</v>
      </c>
      <c r="Y822" s="225" t="s">
        <v>281</v>
      </c>
    </row>
    <row r="823" spans="1:25">
      <c r="A823" s="219">
        <v>15</v>
      </c>
      <c r="B823" s="220" t="str">
        <f>VLOOKUP(Tabel10[[#This Row],[Code]],Ruimtegroepen[[Code]:[Ruimte omschrijving]],2,FALSE)</f>
        <v>Keuken/pantry</v>
      </c>
      <c r="C823" s="221" t="s">
        <v>966</v>
      </c>
      <c r="D823" s="220" t="s">
        <v>27</v>
      </c>
      <c r="E823" s="221" t="s">
        <v>102</v>
      </c>
      <c r="F823" s="221" t="s">
        <v>970</v>
      </c>
      <c r="G823" s="226" t="s">
        <v>281</v>
      </c>
      <c r="H823" s="222" t="s">
        <v>281</v>
      </c>
      <c r="I823" s="222" t="s">
        <v>15</v>
      </c>
      <c r="J823" s="222" t="s">
        <v>281</v>
      </c>
      <c r="K823" s="222" t="s">
        <v>281</v>
      </c>
      <c r="L823" s="222" t="s">
        <v>281</v>
      </c>
      <c r="M823" s="222" t="s">
        <v>281</v>
      </c>
      <c r="N823" s="222" t="s">
        <v>281</v>
      </c>
      <c r="O823" s="223" t="s">
        <v>15</v>
      </c>
      <c r="P823" s="223" t="s">
        <v>15</v>
      </c>
      <c r="Q823" s="223" t="s">
        <v>15</v>
      </c>
      <c r="R823" s="223" t="s">
        <v>281</v>
      </c>
      <c r="S823" s="223" t="s">
        <v>281</v>
      </c>
      <c r="T823" s="223" t="s">
        <v>281</v>
      </c>
      <c r="U823" s="223" t="s">
        <v>281</v>
      </c>
      <c r="V823" s="223" t="s">
        <v>281</v>
      </c>
      <c r="W823" s="224" t="s">
        <v>281</v>
      </c>
      <c r="X823" s="224" t="s">
        <v>281</v>
      </c>
      <c r="Y823" s="225" t="s">
        <v>281</v>
      </c>
    </row>
    <row r="824" spans="1:25">
      <c r="A824" s="219">
        <v>15</v>
      </c>
      <c r="B824" s="220" t="str">
        <f>VLOOKUP(Tabel10[[#This Row],[Code]],Ruimtegroepen[[Code]:[Ruimte omschrijving]],2,FALSE)</f>
        <v>Keuken/pantry</v>
      </c>
      <c r="C824" s="221" t="s">
        <v>966</v>
      </c>
      <c r="D824" s="220" t="s">
        <v>27</v>
      </c>
      <c r="E824" s="221" t="s">
        <v>99</v>
      </c>
      <c r="F824" s="221" t="s">
        <v>968</v>
      </c>
      <c r="G824" s="226" t="s">
        <v>281</v>
      </c>
      <c r="H824" s="222" t="s">
        <v>15</v>
      </c>
      <c r="I824" s="222" t="s">
        <v>281</v>
      </c>
      <c r="J824" s="222" t="s">
        <v>281</v>
      </c>
      <c r="K824" s="222" t="s">
        <v>281</v>
      </c>
      <c r="L824" s="222" t="s">
        <v>281</v>
      </c>
      <c r="M824" s="222" t="s">
        <v>281</v>
      </c>
      <c r="N824" s="222" t="s">
        <v>281</v>
      </c>
      <c r="O824" s="223" t="s">
        <v>15</v>
      </c>
      <c r="P824" s="223" t="s">
        <v>15</v>
      </c>
      <c r="Q824" s="223" t="s">
        <v>15</v>
      </c>
      <c r="R824" s="223" t="s">
        <v>281</v>
      </c>
      <c r="S824" s="223" t="s">
        <v>281</v>
      </c>
      <c r="T824" s="223" t="s">
        <v>281</v>
      </c>
      <c r="U824" s="223" t="s">
        <v>281</v>
      </c>
      <c r="V824" s="223" t="s">
        <v>281</v>
      </c>
      <c r="W824" s="224" t="s">
        <v>281</v>
      </c>
      <c r="X824" s="224" t="s">
        <v>281</v>
      </c>
      <c r="Y824" s="225" t="s">
        <v>281</v>
      </c>
    </row>
    <row r="825" spans="1:25">
      <c r="A825" s="219">
        <v>15</v>
      </c>
      <c r="B825" s="220" t="str">
        <f>VLOOKUP(Tabel10[[#This Row],[Code]],Ruimtegroepen[[Code]:[Ruimte omschrijving]],2,FALSE)</f>
        <v>Keuken/pantry</v>
      </c>
      <c r="C825" s="221" t="s">
        <v>966</v>
      </c>
      <c r="D825" s="220" t="s">
        <v>27</v>
      </c>
      <c r="E825" s="221" t="s">
        <v>1309</v>
      </c>
      <c r="F825" s="221" t="s">
        <v>1388</v>
      </c>
      <c r="G825" s="226" t="s">
        <v>281</v>
      </c>
      <c r="H825" s="222" t="s">
        <v>281</v>
      </c>
      <c r="I825" s="222" t="s">
        <v>15</v>
      </c>
      <c r="J825" s="222" t="s">
        <v>281</v>
      </c>
      <c r="K825" s="222" t="s">
        <v>281</v>
      </c>
      <c r="L825" s="222" t="s">
        <v>281</v>
      </c>
      <c r="M825" s="222" t="s">
        <v>281</v>
      </c>
      <c r="N825" s="222" t="s">
        <v>281</v>
      </c>
      <c r="O825" s="223" t="s">
        <v>15</v>
      </c>
      <c r="P825" s="223" t="s">
        <v>15</v>
      </c>
      <c r="Q825" s="223" t="s">
        <v>15</v>
      </c>
      <c r="R825" s="223" t="s">
        <v>281</v>
      </c>
      <c r="S825" s="223" t="s">
        <v>281</v>
      </c>
      <c r="T825" s="223" t="s">
        <v>281</v>
      </c>
      <c r="U825" s="223" t="s">
        <v>281</v>
      </c>
      <c r="V825" s="223" t="s">
        <v>281</v>
      </c>
      <c r="W825" s="224" t="s">
        <v>281</v>
      </c>
      <c r="X825" s="224" t="s">
        <v>281</v>
      </c>
      <c r="Y825" s="225" t="s">
        <v>281</v>
      </c>
    </row>
    <row r="826" spans="1:25">
      <c r="A826" s="219">
        <v>15</v>
      </c>
      <c r="B826" s="220" t="str">
        <f>VLOOKUP(Tabel10[[#This Row],[Code]],Ruimtegroepen[[Code]:[Ruimte omschrijving]],2,FALSE)</f>
        <v>Keuken/pantry</v>
      </c>
      <c r="C826" s="221" t="s">
        <v>971</v>
      </c>
      <c r="D826" s="220" t="s">
        <v>28</v>
      </c>
      <c r="E826" s="221" t="s">
        <v>100</v>
      </c>
      <c r="F826" s="221" t="s">
        <v>972</v>
      </c>
      <c r="G826" s="226" t="s">
        <v>281</v>
      </c>
      <c r="H826" s="222" t="s">
        <v>281</v>
      </c>
      <c r="I826" s="222" t="s">
        <v>17</v>
      </c>
      <c r="J826" s="222" t="s">
        <v>281</v>
      </c>
      <c r="K826" s="222" t="s">
        <v>281</v>
      </c>
      <c r="L826" s="222" t="s">
        <v>281</v>
      </c>
      <c r="M826" s="222" t="s">
        <v>281</v>
      </c>
      <c r="N826" s="222" t="s">
        <v>281</v>
      </c>
      <c r="O826" s="223" t="s">
        <v>17</v>
      </c>
      <c r="P826" s="223" t="s">
        <v>17</v>
      </c>
      <c r="Q826" s="223" t="s">
        <v>15</v>
      </c>
      <c r="R826" s="223" t="s">
        <v>281</v>
      </c>
      <c r="S826" s="223" t="s">
        <v>281</v>
      </c>
      <c r="T826" s="223" t="s">
        <v>281</v>
      </c>
      <c r="U826" s="223" t="s">
        <v>281</v>
      </c>
      <c r="V826" s="223" t="s">
        <v>281</v>
      </c>
      <c r="W826" s="224" t="s">
        <v>281</v>
      </c>
      <c r="X826" s="224" t="s">
        <v>281</v>
      </c>
      <c r="Y826" s="225" t="s">
        <v>281</v>
      </c>
    </row>
    <row r="827" spans="1:25">
      <c r="A827" s="219">
        <v>15</v>
      </c>
      <c r="B827" s="220" t="str">
        <f>VLOOKUP(Tabel10[[#This Row],[Code]],Ruimtegroepen[[Code]:[Ruimte omschrijving]],2,FALSE)</f>
        <v>Keuken/pantry</v>
      </c>
      <c r="C827" s="221" t="s">
        <v>971</v>
      </c>
      <c r="D827" s="220" t="s">
        <v>28</v>
      </c>
      <c r="E827" s="221" t="s">
        <v>99</v>
      </c>
      <c r="F827" s="221" t="s">
        <v>973</v>
      </c>
      <c r="G827" s="226" t="s">
        <v>281</v>
      </c>
      <c r="H827" s="222" t="s">
        <v>17</v>
      </c>
      <c r="I827" s="222" t="s">
        <v>281</v>
      </c>
      <c r="J827" s="222" t="s">
        <v>281</v>
      </c>
      <c r="K827" s="222" t="s">
        <v>281</v>
      </c>
      <c r="L827" s="222" t="s">
        <v>281</v>
      </c>
      <c r="M827" s="222" t="s">
        <v>281</v>
      </c>
      <c r="N827" s="222" t="s">
        <v>281</v>
      </c>
      <c r="O827" s="223" t="s">
        <v>17</v>
      </c>
      <c r="P827" s="223" t="s">
        <v>17</v>
      </c>
      <c r="Q827" s="223" t="s">
        <v>15</v>
      </c>
      <c r="R827" s="223" t="s">
        <v>281</v>
      </c>
      <c r="S827" s="223" t="s">
        <v>281</v>
      </c>
      <c r="T827" s="223" t="s">
        <v>281</v>
      </c>
      <c r="U827" s="223" t="s">
        <v>281</v>
      </c>
      <c r="V827" s="223" t="s">
        <v>281</v>
      </c>
      <c r="W827" s="224" t="s">
        <v>281</v>
      </c>
      <c r="X827" s="224" t="s">
        <v>281</v>
      </c>
      <c r="Y827" s="225" t="s">
        <v>281</v>
      </c>
    </row>
    <row r="828" spans="1:25">
      <c r="A828" s="219">
        <v>15</v>
      </c>
      <c r="B828" s="220" t="str">
        <f>VLOOKUP(Tabel10[[#This Row],[Code]],Ruimtegroepen[[Code]:[Ruimte omschrijving]],2,FALSE)</f>
        <v>Keuken/pantry</v>
      </c>
      <c r="C828" s="221" t="s">
        <v>971</v>
      </c>
      <c r="D828" s="220" t="s">
        <v>28</v>
      </c>
      <c r="E828" s="221" t="s">
        <v>101</v>
      </c>
      <c r="F828" s="221" t="s">
        <v>974</v>
      </c>
      <c r="G828" s="226" t="s">
        <v>281</v>
      </c>
      <c r="H828" s="222" t="s">
        <v>281</v>
      </c>
      <c r="I828" s="222" t="s">
        <v>17</v>
      </c>
      <c r="J828" s="222" t="s">
        <v>281</v>
      </c>
      <c r="K828" s="222" t="s">
        <v>281</v>
      </c>
      <c r="L828" s="222" t="s">
        <v>281</v>
      </c>
      <c r="M828" s="222" t="s">
        <v>281</v>
      </c>
      <c r="N828" s="222" t="s">
        <v>281</v>
      </c>
      <c r="O828" s="223" t="s">
        <v>17</v>
      </c>
      <c r="P828" s="223" t="s">
        <v>17</v>
      </c>
      <c r="Q828" s="223" t="s">
        <v>15</v>
      </c>
      <c r="R828" s="223" t="s">
        <v>281</v>
      </c>
      <c r="S828" s="223" t="s">
        <v>281</v>
      </c>
      <c r="T828" s="223" t="s">
        <v>281</v>
      </c>
      <c r="U828" s="223" t="s">
        <v>281</v>
      </c>
      <c r="V828" s="223" t="s">
        <v>281</v>
      </c>
      <c r="W828" s="224" t="s">
        <v>281</v>
      </c>
      <c r="X828" s="224" t="s">
        <v>281</v>
      </c>
      <c r="Y828" s="225" t="s">
        <v>281</v>
      </c>
    </row>
    <row r="829" spans="1:25">
      <c r="A829" s="219">
        <v>15</v>
      </c>
      <c r="B829" s="220" t="str">
        <f>VLOOKUP(Tabel10[[#This Row],[Code]],Ruimtegroepen[[Code]:[Ruimte omschrijving]],2,FALSE)</f>
        <v>Keuken/pantry</v>
      </c>
      <c r="C829" s="221" t="s">
        <v>971</v>
      </c>
      <c r="D829" s="220" t="s">
        <v>28</v>
      </c>
      <c r="E829" s="221" t="s">
        <v>102</v>
      </c>
      <c r="F829" s="221" t="s">
        <v>975</v>
      </c>
      <c r="G829" s="226" t="s">
        <v>281</v>
      </c>
      <c r="H829" s="222" t="s">
        <v>281</v>
      </c>
      <c r="I829" s="222" t="s">
        <v>17</v>
      </c>
      <c r="J829" s="222" t="s">
        <v>281</v>
      </c>
      <c r="K829" s="222" t="s">
        <v>281</v>
      </c>
      <c r="L829" s="222" t="s">
        <v>281</v>
      </c>
      <c r="M829" s="222" t="s">
        <v>281</v>
      </c>
      <c r="N829" s="222" t="s">
        <v>281</v>
      </c>
      <c r="O829" s="223" t="s">
        <v>17</v>
      </c>
      <c r="P829" s="223" t="s">
        <v>17</v>
      </c>
      <c r="Q829" s="223" t="s">
        <v>15</v>
      </c>
      <c r="R829" s="223" t="s">
        <v>281</v>
      </c>
      <c r="S829" s="223" t="s">
        <v>281</v>
      </c>
      <c r="T829" s="223" t="s">
        <v>281</v>
      </c>
      <c r="U829" s="223" t="s">
        <v>281</v>
      </c>
      <c r="V829" s="223" t="s">
        <v>281</v>
      </c>
      <c r="W829" s="224" t="s">
        <v>281</v>
      </c>
      <c r="X829" s="224" t="s">
        <v>281</v>
      </c>
      <c r="Y829" s="225" t="s">
        <v>281</v>
      </c>
    </row>
    <row r="830" spans="1:25">
      <c r="A830" s="219">
        <v>15</v>
      </c>
      <c r="B830" s="220" t="str">
        <f>VLOOKUP(Tabel10[[#This Row],[Code]],Ruimtegroepen[[Code]:[Ruimte omschrijving]],2,FALSE)</f>
        <v>Keuken/pantry</v>
      </c>
      <c r="C830" s="221" t="s">
        <v>971</v>
      </c>
      <c r="D830" s="220" t="s">
        <v>28</v>
      </c>
      <c r="E830" s="221" t="s">
        <v>99</v>
      </c>
      <c r="F830" s="221" t="s">
        <v>973</v>
      </c>
      <c r="G830" s="226" t="s">
        <v>281</v>
      </c>
      <c r="H830" s="222" t="s">
        <v>17</v>
      </c>
      <c r="I830" s="222" t="s">
        <v>281</v>
      </c>
      <c r="J830" s="222" t="s">
        <v>281</v>
      </c>
      <c r="K830" s="222" t="s">
        <v>281</v>
      </c>
      <c r="L830" s="222" t="s">
        <v>281</v>
      </c>
      <c r="M830" s="222" t="s">
        <v>281</v>
      </c>
      <c r="N830" s="222" t="s">
        <v>281</v>
      </c>
      <c r="O830" s="223" t="s">
        <v>17</v>
      </c>
      <c r="P830" s="223" t="s">
        <v>17</v>
      </c>
      <c r="Q830" s="223" t="s">
        <v>15</v>
      </c>
      <c r="R830" s="223" t="s">
        <v>281</v>
      </c>
      <c r="S830" s="223" t="s">
        <v>281</v>
      </c>
      <c r="T830" s="223" t="s">
        <v>281</v>
      </c>
      <c r="U830" s="223" t="s">
        <v>281</v>
      </c>
      <c r="V830" s="223" t="s">
        <v>281</v>
      </c>
      <c r="W830" s="224" t="s">
        <v>281</v>
      </c>
      <c r="X830" s="224" t="s">
        <v>281</v>
      </c>
      <c r="Y830" s="225" t="s">
        <v>281</v>
      </c>
    </row>
    <row r="831" spans="1:25">
      <c r="A831" s="219">
        <v>15</v>
      </c>
      <c r="B831" s="220" t="str">
        <f>VLOOKUP(Tabel10[[#This Row],[Code]],Ruimtegroepen[[Code]:[Ruimte omschrijving]],2,FALSE)</f>
        <v>Keuken/pantry</v>
      </c>
      <c r="C831" s="221" t="s">
        <v>971</v>
      </c>
      <c r="D831" s="220" t="s">
        <v>28</v>
      </c>
      <c r="E831" s="221" t="s">
        <v>1309</v>
      </c>
      <c r="F831" s="221" t="s">
        <v>1421</v>
      </c>
      <c r="G831" s="226" t="s">
        <v>281</v>
      </c>
      <c r="H831" s="222" t="s">
        <v>281</v>
      </c>
      <c r="I831" s="222" t="s">
        <v>17</v>
      </c>
      <c r="J831" s="222" t="s">
        <v>281</v>
      </c>
      <c r="K831" s="222" t="s">
        <v>281</v>
      </c>
      <c r="L831" s="222" t="s">
        <v>281</v>
      </c>
      <c r="M831" s="222" t="s">
        <v>281</v>
      </c>
      <c r="N831" s="222" t="s">
        <v>281</v>
      </c>
      <c r="O831" s="223" t="s">
        <v>17</v>
      </c>
      <c r="P831" s="223" t="s">
        <v>17</v>
      </c>
      <c r="Q831" s="223" t="s">
        <v>15</v>
      </c>
      <c r="R831" s="223" t="s">
        <v>281</v>
      </c>
      <c r="S831" s="223" t="s">
        <v>281</v>
      </c>
      <c r="T831" s="223" t="s">
        <v>281</v>
      </c>
      <c r="U831" s="223" t="s">
        <v>281</v>
      </c>
      <c r="V831" s="223" t="s">
        <v>281</v>
      </c>
      <c r="W831" s="224" t="s">
        <v>281</v>
      </c>
      <c r="X831" s="224" t="s">
        <v>281</v>
      </c>
      <c r="Y831" s="225" t="s">
        <v>281</v>
      </c>
    </row>
    <row r="832" spans="1:25">
      <c r="A832" s="219">
        <v>16</v>
      </c>
      <c r="B832" s="220" t="str">
        <f>VLOOKUP(Tabel10[[#This Row],[Code]],Ruimtegroepen[[Code]:[Ruimte omschrijving]],2,FALSE)</f>
        <v>Leslokalen</v>
      </c>
      <c r="C832" s="221" t="s">
        <v>976</v>
      </c>
      <c r="D832" s="220" t="s">
        <v>29</v>
      </c>
      <c r="E832" s="221" t="s">
        <v>100</v>
      </c>
      <c r="F832" s="221" t="s">
        <v>977</v>
      </c>
      <c r="G832" s="226" t="s">
        <v>281</v>
      </c>
      <c r="H832" s="222" t="s">
        <v>281</v>
      </c>
      <c r="I832" s="222" t="s">
        <v>20</v>
      </c>
      <c r="J832" s="222" t="s">
        <v>15</v>
      </c>
      <c r="K832" s="222" t="s">
        <v>281</v>
      </c>
      <c r="L832" s="222" t="s">
        <v>281</v>
      </c>
      <c r="M832" s="222" t="s">
        <v>281</v>
      </c>
      <c r="N832" s="222" t="s">
        <v>2</v>
      </c>
      <c r="O832" s="223" t="s">
        <v>2</v>
      </c>
      <c r="P832" s="223" t="s">
        <v>2</v>
      </c>
      <c r="Q832" s="223" t="s">
        <v>15</v>
      </c>
      <c r="R832" s="223" t="s">
        <v>15</v>
      </c>
      <c r="S832" s="223" t="s">
        <v>16</v>
      </c>
      <c r="T832" s="223" t="s">
        <v>328</v>
      </c>
      <c r="U832" s="223" t="s">
        <v>248</v>
      </c>
      <c r="V832" s="223" t="s">
        <v>2</v>
      </c>
      <c r="W832" s="224" t="s">
        <v>281</v>
      </c>
      <c r="X832" s="224" t="s">
        <v>281</v>
      </c>
      <c r="Y832" s="225" t="s">
        <v>281</v>
      </c>
    </row>
    <row r="833" spans="1:25">
      <c r="A833" s="219">
        <v>16</v>
      </c>
      <c r="B833" s="220" t="str">
        <f>VLOOKUP(Tabel10[[#This Row],[Code]],Ruimtegroepen[[Code]:[Ruimte omschrijving]],2,FALSE)</f>
        <v>Leslokalen</v>
      </c>
      <c r="C833" s="221" t="s">
        <v>976</v>
      </c>
      <c r="D833" s="220" t="s">
        <v>29</v>
      </c>
      <c r="E833" s="221" t="s">
        <v>99</v>
      </c>
      <c r="F833" s="221" t="s">
        <v>978</v>
      </c>
      <c r="G833" s="222" t="s">
        <v>18</v>
      </c>
      <c r="H833" s="222" t="s">
        <v>17</v>
      </c>
      <c r="I833" s="222" t="s">
        <v>281</v>
      </c>
      <c r="J833" s="222" t="s">
        <v>281</v>
      </c>
      <c r="K833" s="222" t="s">
        <v>281</v>
      </c>
      <c r="L833" s="222" t="s">
        <v>281</v>
      </c>
      <c r="M833" s="222" t="s">
        <v>281</v>
      </c>
      <c r="N833" s="222" t="s">
        <v>2</v>
      </c>
      <c r="O833" s="223" t="s">
        <v>2</v>
      </c>
      <c r="P833" s="223" t="s">
        <v>2</v>
      </c>
      <c r="Q833" s="223" t="s">
        <v>15</v>
      </c>
      <c r="R833" s="223" t="s">
        <v>15</v>
      </c>
      <c r="S833" s="223" t="s">
        <v>16</v>
      </c>
      <c r="T833" s="223" t="s">
        <v>328</v>
      </c>
      <c r="U833" s="223" t="s">
        <v>248</v>
      </c>
      <c r="V833" s="223" t="s">
        <v>2</v>
      </c>
      <c r="W833" s="224" t="s">
        <v>281</v>
      </c>
      <c r="X833" s="224" t="s">
        <v>281</v>
      </c>
      <c r="Y833" s="225" t="s">
        <v>281</v>
      </c>
    </row>
    <row r="834" spans="1:25">
      <c r="A834" s="219">
        <v>16</v>
      </c>
      <c r="B834" s="220" t="str">
        <f>VLOOKUP(Tabel10[[#This Row],[Code]],Ruimtegroepen[[Code]:[Ruimte omschrijving]],2,FALSE)</f>
        <v>Leslokalen</v>
      </c>
      <c r="C834" s="221" t="s">
        <v>976</v>
      </c>
      <c r="D834" s="220" t="s">
        <v>29</v>
      </c>
      <c r="E834" s="221" t="s">
        <v>101</v>
      </c>
      <c r="F834" s="221" t="s">
        <v>979</v>
      </c>
      <c r="G834" s="226" t="s">
        <v>281</v>
      </c>
      <c r="H834" s="222" t="s">
        <v>281</v>
      </c>
      <c r="I834" s="222" t="s">
        <v>20</v>
      </c>
      <c r="J834" s="222" t="s">
        <v>15</v>
      </c>
      <c r="K834" s="222" t="s">
        <v>16</v>
      </c>
      <c r="L834" s="222" t="s">
        <v>281</v>
      </c>
      <c r="M834" s="222" t="s">
        <v>281</v>
      </c>
      <c r="N834" s="222" t="s">
        <v>2</v>
      </c>
      <c r="O834" s="223" t="s">
        <v>2</v>
      </c>
      <c r="P834" s="223" t="s">
        <v>2</v>
      </c>
      <c r="Q834" s="223" t="s">
        <v>15</v>
      </c>
      <c r="R834" s="223" t="s">
        <v>15</v>
      </c>
      <c r="S834" s="223" t="s">
        <v>16</v>
      </c>
      <c r="T834" s="223" t="s">
        <v>328</v>
      </c>
      <c r="U834" s="223" t="s">
        <v>248</v>
      </c>
      <c r="V834" s="223" t="s">
        <v>2</v>
      </c>
      <c r="W834" s="224" t="s">
        <v>281</v>
      </c>
      <c r="X834" s="224" t="s">
        <v>281</v>
      </c>
      <c r="Y834" s="225" t="s">
        <v>281</v>
      </c>
    </row>
    <row r="835" spans="1:25">
      <c r="A835" s="219">
        <v>16</v>
      </c>
      <c r="B835" s="220" t="str">
        <f>VLOOKUP(Tabel10[[#This Row],[Code]],Ruimtegroepen[[Code]:[Ruimte omschrijving]],2,FALSE)</f>
        <v>Leslokalen</v>
      </c>
      <c r="C835" s="221" t="s">
        <v>976</v>
      </c>
      <c r="D835" s="220" t="s">
        <v>29</v>
      </c>
      <c r="E835" s="221" t="s">
        <v>102</v>
      </c>
      <c r="F835" s="221" t="s">
        <v>980</v>
      </c>
      <c r="G835" s="226" t="s">
        <v>281</v>
      </c>
      <c r="H835" s="222" t="s">
        <v>281</v>
      </c>
      <c r="I835" s="222" t="s">
        <v>20</v>
      </c>
      <c r="J835" s="222" t="s">
        <v>15</v>
      </c>
      <c r="K835" s="222" t="s">
        <v>16</v>
      </c>
      <c r="L835" s="222" t="s">
        <v>281</v>
      </c>
      <c r="M835" s="222" t="s">
        <v>281</v>
      </c>
      <c r="N835" s="222" t="s">
        <v>2</v>
      </c>
      <c r="O835" s="223" t="s">
        <v>2</v>
      </c>
      <c r="P835" s="223" t="s">
        <v>2</v>
      </c>
      <c r="Q835" s="223" t="s">
        <v>15</v>
      </c>
      <c r="R835" s="223" t="s">
        <v>15</v>
      </c>
      <c r="S835" s="223" t="s">
        <v>16</v>
      </c>
      <c r="T835" s="223" t="s">
        <v>328</v>
      </c>
      <c r="U835" s="223" t="s">
        <v>248</v>
      </c>
      <c r="V835" s="223" t="s">
        <v>2</v>
      </c>
      <c r="W835" s="224" t="s">
        <v>281</v>
      </c>
      <c r="X835" s="224" t="s">
        <v>281</v>
      </c>
      <c r="Y835" s="225" t="s">
        <v>281</v>
      </c>
    </row>
    <row r="836" spans="1:25">
      <c r="A836" s="219">
        <v>16</v>
      </c>
      <c r="B836" s="220" t="str">
        <f>VLOOKUP(Tabel10[[#This Row],[Code]],Ruimtegroepen[[Code]:[Ruimte omschrijving]],2,FALSE)</f>
        <v>Leslokalen</v>
      </c>
      <c r="C836" s="221" t="s">
        <v>976</v>
      </c>
      <c r="D836" s="220" t="s">
        <v>29</v>
      </c>
      <c r="E836" s="221" t="s">
        <v>99</v>
      </c>
      <c r="F836" s="221" t="s">
        <v>978</v>
      </c>
      <c r="G836" s="222" t="s">
        <v>18</v>
      </c>
      <c r="H836" s="222" t="s">
        <v>17</v>
      </c>
      <c r="I836" s="222" t="s">
        <v>281</v>
      </c>
      <c r="J836" s="222" t="s">
        <v>281</v>
      </c>
      <c r="K836" s="222" t="s">
        <v>281</v>
      </c>
      <c r="L836" s="222" t="s">
        <v>281</v>
      </c>
      <c r="M836" s="222" t="s">
        <v>281</v>
      </c>
      <c r="N836" s="222" t="s">
        <v>281</v>
      </c>
      <c r="O836" s="223" t="s">
        <v>281</v>
      </c>
      <c r="P836" s="223" t="s">
        <v>281</v>
      </c>
      <c r="Q836" s="223" t="s">
        <v>281</v>
      </c>
      <c r="R836" s="223" t="s">
        <v>281</v>
      </c>
      <c r="S836" s="223" t="s">
        <v>281</v>
      </c>
      <c r="T836" s="223" t="s">
        <v>281</v>
      </c>
      <c r="U836" s="223" t="s">
        <v>281</v>
      </c>
      <c r="V836" s="223" t="s">
        <v>281</v>
      </c>
      <c r="W836" s="224" t="s">
        <v>281</v>
      </c>
      <c r="X836" s="224" t="s">
        <v>281</v>
      </c>
      <c r="Y836" s="225" t="s">
        <v>281</v>
      </c>
    </row>
    <row r="837" spans="1:25">
      <c r="A837" s="219">
        <v>16</v>
      </c>
      <c r="B837" s="220" t="str">
        <f>VLOOKUP(Tabel10[[#This Row],[Code]],Ruimtegroepen[[Code]:[Ruimte omschrijving]],2,FALSE)</f>
        <v>Leslokalen</v>
      </c>
      <c r="C837" s="221" t="s">
        <v>976</v>
      </c>
      <c r="D837" s="220" t="s">
        <v>29</v>
      </c>
      <c r="E837" s="221" t="s">
        <v>1309</v>
      </c>
      <c r="F837" s="221" t="s">
        <v>1489</v>
      </c>
      <c r="G837" s="226" t="s">
        <v>281</v>
      </c>
      <c r="H837" s="222" t="s">
        <v>281</v>
      </c>
      <c r="I837" s="222" t="s">
        <v>20</v>
      </c>
      <c r="J837" s="222" t="s">
        <v>15</v>
      </c>
      <c r="K837" s="222" t="s">
        <v>16</v>
      </c>
      <c r="L837" s="222" t="s">
        <v>281</v>
      </c>
      <c r="M837" s="222" t="s">
        <v>281</v>
      </c>
      <c r="N837" s="222" t="s">
        <v>2</v>
      </c>
      <c r="O837" s="223" t="s">
        <v>2</v>
      </c>
      <c r="P837" s="223" t="s">
        <v>2</v>
      </c>
      <c r="Q837" s="223" t="s">
        <v>15</v>
      </c>
      <c r="R837" s="223" t="s">
        <v>15</v>
      </c>
      <c r="S837" s="223" t="s">
        <v>16</v>
      </c>
      <c r="T837" s="223" t="s">
        <v>328</v>
      </c>
      <c r="U837" s="223" t="s">
        <v>248</v>
      </c>
      <c r="V837" s="223" t="s">
        <v>2</v>
      </c>
      <c r="W837" s="224" t="s">
        <v>281</v>
      </c>
      <c r="X837" s="224" t="s">
        <v>281</v>
      </c>
      <c r="Y837" s="225" t="s">
        <v>281</v>
      </c>
    </row>
    <row r="838" spans="1:25">
      <c r="A838" s="219">
        <v>16</v>
      </c>
      <c r="B838" s="220" t="str">
        <f>VLOOKUP(Tabel10[[#This Row],[Code]],Ruimtegroepen[[Code]:[Ruimte omschrijving]],2,FALSE)</f>
        <v>Leslokalen</v>
      </c>
      <c r="C838" s="221" t="s">
        <v>981</v>
      </c>
      <c r="D838" s="220" t="s">
        <v>1</v>
      </c>
      <c r="E838" s="221" t="s">
        <v>100</v>
      </c>
      <c r="F838" s="221" t="s">
        <v>982</v>
      </c>
      <c r="G838" s="226" t="s">
        <v>281</v>
      </c>
      <c r="H838" s="222" t="s">
        <v>281</v>
      </c>
      <c r="I838" s="222" t="s">
        <v>20</v>
      </c>
      <c r="J838" s="222" t="s">
        <v>15</v>
      </c>
      <c r="K838" s="222" t="s">
        <v>281</v>
      </c>
      <c r="L838" s="222" t="s">
        <v>281</v>
      </c>
      <c r="M838" s="222" t="s">
        <v>281</v>
      </c>
      <c r="N838" s="222" t="s">
        <v>281</v>
      </c>
      <c r="O838" s="223" t="s">
        <v>2</v>
      </c>
      <c r="P838" s="223" t="s">
        <v>2</v>
      </c>
      <c r="Q838" s="223" t="s">
        <v>15</v>
      </c>
      <c r="R838" s="223" t="s">
        <v>15</v>
      </c>
      <c r="S838" s="223" t="s">
        <v>16</v>
      </c>
      <c r="T838" s="223" t="s">
        <v>328</v>
      </c>
      <c r="U838" s="223" t="s">
        <v>248</v>
      </c>
      <c r="V838" s="223" t="s">
        <v>281</v>
      </c>
      <c r="W838" s="224" t="s">
        <v>281</v>
      </c>
      <c r="X838" s="224" t="s">
        <v>281</v>
      </c>
      <c r="Y838" s="225" t="s">
        <v>281</v>
      </c>
    </row>
    <row r="839" spans="1:25">
      <c r="A839" s="219">
        <v>16</v>
      </c>
      <c r="B839" s="220" t="str">
        <f>VLOOKUP(Tabel10[[#This Row],[Code]],Ruimtegroepen[[Code]:[Ruimte omschrijving]],2,FALSE)</f>
        <v>Leslokalen</v>
      </c>
      <c r="C839" s="221" t="s">
        <v>981</v>
      </c>
      <c r="D839" s="220" t="s">
        <v>1</v>
      </c>
      <c r="E839" s="221" t="s">
        <v>99</v>
      </c>
      <c r="F839" s="221" t="s">
        <v>983</v>
      </c>
      <c r="G839" s="222" t="s">
        <v>18</v>
      </c>
      <c r="H839" s="222" t="s">
        <v>17</v>
      </c>
      <c r="I839" s="222" t="s">
        <v>281</v>
      </c>
      <c r="J839" s="222" t="s">
        <v>281</v>
      </c>
      <c r="K839" s="222" t="s">
        <v>281</v>
      </c>
      <c r="L839" s="222" t="s">
        <v>281</v>
      </c>
      <c r="M839" s="222" t="s">
        <v>281</v>
      </c>
      <c r="N839" s="222" t="s">
        <v>281</v>
      </c>
      <c r="O839" s="223" t="s">
        <v>2</v>
      </c>
      <c r="P839" s="223" t="s">
        <v>2</v>
      </c>
      <c r="Q839" s="223" t="s">
        <v>15</v>
      </c>
      <c r="R839" s="223" t="s">
        <v>15</v>
      </c>
      <c r="S839" s="223" t="s">
        <v>16</v>
      </c>
      <c r="T839" s="223" t="s">
        <v>328</v>
      </c>
      <c r="U839" s="223" t="s">
        <v>248</v>
      </c>
      <c r="V839" s="223" t="s">
        <v>281</v>
      </c>
      <c r="W839" s="224" t="s">
        <v>281</v>
      </c>
      <c r="X839" s="224" t="s">
        <v>281</v>
      </c>
      <c r="Y839" s="225" t="s">
        <v>281</v>
      </c>
    </row>
    <row r="840" spans="1:25">
      <c r="A840" s="219">
        <v>16</v>
      </c>
      <c r="B840" s="220" t="str">
        <f>VLOOKUP(Tabel10[[#This Row],[Code]],Ruimtegroepen[[Code]:[Ruimte omschrijving]],2,FALSE)</f>
        <v>Leslokalen</v>
      </c>
      <c r="C840" s="221" t="s">
        <v>981</v>
      </c>
      <c r="D840" s="220" t="s">
        <v>1</v>
      </c>
      <c r="E840" s="221" t="s">
        <v>101</v>
      </c>
      <c r="F840" s="221" t="s">
        <v>984</v>
      </c>
      <c r="G840" s="226" t="s">
        <v>281</v>
      </c>
      <c r="H840" s="222" t="s">
        <v>281</v>
      </c>
      <c r="I840" s="222" t="s">
        <v>20</v>
      </c>
      <c r="J840" s="222" t="s">
        <v>15</v>
      </c>
      <c r="K840" s="222" t="s">
        <v>16</v>
      </c>
      <c r="L840" s="222" t="s">
        <v>281</v>
      </c>
      <c r="M840" s="222" t="s">
        <v>281</v>
      </c>
      <c r="N840" s="222" t="s">
        <v>281</v>
      </c>
      <c r="O840" s="223" t="s">
        <v>2</v>
      </c>
      <c r="P840" s="223" t="s">
        <v>2</v>
      </c>
      <c r="Q840" s="223" t="s">
        <v>15</v>
      </c>
      <c r="R840" s="223" t="s">
        <v>15</v>
      </c>
      <c r="S840" s="223" t="s">
        <v>16</v>
      </c>
      <c r="T840" s="223" t="s">
        <v>328</v>
      </c>
      <c r="U840" s="223" t="s">
        <v>248</v>
      </c>
      <c r="V840" s="223" t="s">
        <v>281</v>
      </c>
      <c r="W840" s="224" t="s">
        <v>281</v>
      </c>
      <c r="X840" s="224" t="s">
        <v>281</v>
      </c>
      <c r="Y840" s="225" t="s">
        <v>281</v>
      </c>
    </row>
    <row r="841" spans="1:25">
      <c r="A841" s="219">
        <v>16</v>
      </c>
      <c r="B841" s="220" t="str">
        <f>VLOOKUP(Tabel10[[#This Row],[Code]],Ruimtegroepen[[Code]:[Ruimte omschrijving]],2,FALSE)</f>
        <v>Leslokalen</v>
      </c>
      <c r="C841" s="221" t="s">
        <v>981</v>
      </c>
      <c r="D841" s="220" t="s">
        <v>1</v>
      </c>
      <c r="E841" s="221" t="s">
        <v>102</v>
      </c>
      <c r="F841" s="221" t="s">
        <v>985</v>
      </c>
      <c r="G841" s="226" t="s">
        <v>281</v>
      </c>
      <c r="H841" s="222" t="s">
        <v>281</v>
      </c>
      <c r="I841" s="222" t="s">
        <v>20</v>
      </c>
      <c r="J841" s="222" t="s">
        <v>15</v>
      </c>
      <c r="K841" s="222" t="s">
        <v>16</v>
      </c>
      <c r="L841" s="222" t="s">
        <v>281</v>
      </c>
      <c r="M841" s="222" t="s">
        <v>281</v>
      </c>
      <c r="N841" s="222" t="s">
        <v>281</v>
      </c>
      <c r="O841" s="223" t="s">
        <v>2</v>
      </c>
      <c r="P841" s="223" t="s">
        <v>2</v>
      </c>
      <c r="Q841" s="223" t="s">
        <v>15</v>
      </c>
      <c r="R841" s="223" t="s">
        <v>15</v>
      </c>
      <c r="S841" s="223" t="s">
        <v>16</v>
      </c>
      <c r="T841" s="223" t="s">
        <v>328</v>
      </c>
      <c r="U841" s="223" t="s">
        <v>248</v>
      </c>
      <c r="V841" s="223" t="s">
        <v>281</v>
      </c>
      <c r="W841" s="224" t="s">
        <v>281</v>
      </c>
      <c r="X841" s="224" t="s">
        <v>281</v>
      </c>
      <c r="Y841" s="225" t="s">
        <v>281</v>
      </c>
    </row>
    <row r="842" spans="1:25">
      <c r="A842" s="219">
        <v>16</v>
      </c>
      <c r="B842" s="220" t="str">
        <f>VLOOKUP(Tabel10[[#This Row],[Code]],Ruimtegroepen[[Code]:[Ruimte omschrijving]],2,FALSE)</f>
        <v>Leslokalen</v>
      </c>
      <c r="C842" s="221" t="s">
        <v>981</v>
      </c>
      <c r="D842" s="220" t="s">
        <v>1</v>
      </c>
      <c r="E842" s="221" t="s">
        <v>99</v>
      </c>
      <c r="F842" s="221" t="s">
        <v>983</v>
      </c>
      <c r="G842" s="222" t="s">
        <v>18</v>
      </c>
      <c r="H842" s="222" t="s">
        <v>17</v>
      </c>
      <c r="I842" s="222" t="s">
        <v>281</v>
      </c>
      <c r="J842" s="222" t="s">
        <v>281</v>
      </c>
      <c r="K842" s="222" t="s">
        <v>281</v>
      </c>
      <c r="L842" s="222" t="s">
        <v>281</v>
      </c>
      <c r="M842" s="222" t="s">
        <v>281</v>
      </c>
      <c r="N842" s="222" t="s">
        <v>281</v>
      </c>
      <c r="O842" s="223" t="s">
        <v>2</v>
      </c>
      <c r="P842" s="223" t="s">
        <v>2</v>
      </c>
      <c r="Q842" s="223" t="s">
        <v>15</v>
      </c>
      <c r="R842" s="223" t="s">
        <v>15</v>
      </c>
      <c r="S842" s="223" t="s">
        <v>16</v>
      </c>
      <c r="T842" s="223" t="s">
        <v>328</v>
      </c>
      <c r="U842" s="223" t="s">
        <v>248</v>
      </c>
      <c r="V842" s="223" t="s">
        <v>281</v>
      </c>
      <c r="W842" s="224" t="s">
        <v>281</v>
      </c>
      <c r="X842" s="224" t="s">
        <v>281</v>
      </c>
      <c r="Y842" s="225" t="s">
        <v>281</v>
      </c>
    </row>
    <row r="843" spans="1:25">
      <c r="A843" s="219">
        <v>16</v>
      </c>
      <c r="B843" s="220" t="str">
        <f>VLOOKUP(Tabel10[[#This Row],[Code]],Ruimtegroepen[[Code]:[Ruimte omschrijving]],2,FALSE)</f>
        <v>Leslokalen</v>
      </c>
      <c r="C843" s="221" t="s">
        <v>981</v>
      </c>
      <c r="D843" s="220" t="s">
        <v>1</v>
      </c>
      <c r="E843" s="221" t="s">
        <v>1309</v>
      </c>
      <c r="F843" s="221" t="s">
        <v>1473</v>
      </c>
      <c r="G843" s="226" t="s">
        <v>281</v>
      </c>
      <c r="H843" s="222" t="s">
        <v>281</v>
      </c>
      <c r="I843" s="222" t="s">
        <v>20</v>
      </c>
      <c r="J843" s="222" t="s">
        <v>15</v>
      </c>
      <c r="K843" s="222" t="s">
        <v>16</v>
      </c>
      <c r="L843" s="222" t="s">
        <v>281</v>
      </c>
      <c r="M843" s="222" t="s">
        <v>281</v>
      </c>
      <c r="N843" s="222" t="s">
        <v>281</v>
      </c>
      <c r="O843" s="223" t="s">
        <v>2</v>
      </c>
      <c r="P843" s="223" t="s">
        <v>2</v>
      </c>
      <c r="Q843" s="223" t="s">
        <v>15</v>
      </c>
      <c r="R843" s="223" t="s">
        <v>15</v>
      </c>
      <c r="S843" s="223" t="s">
        <v>16</v>
      </c>
      <c r="T843" s="223" t="s">
        <v>328</v>
      </c>
      <c r="U843" s="223" t="s">
        <v>248</v>
      </c>
      <c r="V843" s="223" t="s">
        <v>281</v>
      </c>
      <c r="W843" s="224" t="s">
        <v>281</v>
      </c>
      <c r="X843" s="224" t="s">
        <v>281</v>
      </c>
      <c r="Y843" s="225" t="s">
        <v>281</v>
      </c>
    </row>
    <row r="844" spans="1:25">
      <c r="A844" s="219">
        <v>16</v>
      </c>
      <c r="B844" s="220" t="str">
        <f>VLOOKUP(Tabel10[[#This Row],[Code]],Ruimtegroepen[[Code]:[Ruimte omschrijving]],2,FALSE)</f>
        <v>Leslokalen</v>
      </c>
      <c r="C844" s="221" t="s">
        <v>986</v>
      </c>
      <c r="D844" s="220" t="s">
        <v>21</v>
      </c>
      <c r="E844" s="221" t="s">
        <v>100</v>
      </c>
      <c r="F844" s="221" t="s">
        <v>987</v>
      </c>
      <c r="G844" s="226" t="s">
        <v>281</v>
      </c>
      <c r="H844" s="222" t="s">
        <v>281</v>
      </c>
      <c r="I844" s="222" t="s">
        <v>18</v>
      </c>
      <c r="J844" s="222" t="s">
        <v>15</v>
      </c>
      <c r="K844" s="222" t="s">
        <v>281</v>
      </c>
      <c r="L844" s="222" t="s">
        <v>281</v>
      </c>
      <c r="M844" s="222" t="s">
        <v>281</v>
      </c>
      <c r="N844" s="222" t="s">
        <v>281</v>
      </c>
      <c r="O844" s="223" t="s">
        <v>20</v>
      </c>
      <c r="P844" s="223" t="s">
        <v>20</v>
      </c>
      <c r="Q844" s="223" t="s">
        <v>15</v>
      </c>
      <c r="R844" s="223" t="s">
        <v>15</v>
      </c>
      <c r="S844" s="223" t="s">
        <v>16</v>
      </c>
      <c r="T844" s="223" t="s">
        <v>328</v>
      </c>
      <c r="U844" s="223" t="s">
        <v>248</v>
      </c>
      <c r="V844" s="223" t="s">
        <v>281</v>
      </c>
      <c r="W844" s="224" t="s">
        <v>281</v>
      </c>
      <c r="X844" s="224" t="s">
        <v>281</v>
      </c>
      <c r="Y844" s="225" t="s">
        <v>281</v>
      </c>
    </row>
    <row r="845" spans="1:25">
      <c r="A845" s="219">
        <v>16</v>
      </c>
      <c r="B845" s="220" t="str">
        <f>VLOOKUP(Tabel10[[#This Row],[Code]],Ruimtegroepen[[Code]:[Ruimte omschrijving]],2,FALSE)</f>
        <v>Leslokalen</v>
      </c>
      <c r="C845" s="221" t="s">
        <v>986</v>
      </c>
      <c r="D845" s="220" t="s">
        <v>21</v>
      </c>
      <c r="E845" s="221" t="s">
        <v>99</v>
      </c>
      <c r="F845" s="221" t="s">
        <v>988</v>
      </c>
      <c r="G845" s="222" t="s">
        <v>17</v>
      </c>
      <c r="H845" s="222" t="s">
        <v>17</v>
      </c>
      <c r="I845" s="222" t="s">
        <v>281</v>
      </c>
      <c r="J845" s="222" t="s">
        <v>281</v>
      </c>
      <c r="K845" s="222" t="s">
        <v>281</v>
      </c>
      <c r="L845" s="222" t="s">
        <v>281</v>
      </c>
      <c r="M845" s="222" t="s">
        <v>281</v>
      </c>
      <c r="N845" s="222" t="s">
        <v>281</v>
      </c>
      <c r="O845" s="223" t="s">
        <v>20</v>
      </c>
      <c r="P845" s="223" t="s">
        <v>20</v>
      </c>
      <c r="Q845" s="223" t="s">
        <v>15</v>
      </c>
      <c r="R845" s="223" t="s">
        <v>15</v>
      </c>
      <c r="S845" s="223" t="s">
        <v>16</v>
      </c>
      <c r="T845" s="223" t="s">
        <v>328</v>
      </c>
      <c r="U845" s="223" t="s">
        <v>248</v>
      </c>
      <c r="V845" s="223" t="s">
        <v>281</v>
      </c>
      <c r="W845" s="224" t="s">
        <v>281</v>
      </c>
      <c r="X845" s="224" t="s">
        <v>281</v>
      </c>
      <c r="Y845" s="225" t="s">
        <v>281</v>
      </c>
    </row>
    <row r="846" spans="1:25">
      <c r="A846" s="219">
        <v>16</v>
      </c>
      <c r="B846" s="220" t="str">
        <f>VLOOKUP(Tabel10[[#This Row],[Code]],Ruimtegroepen[[Code]:[Ruimte omschrijving]],2,FALSE)</f>
        <v>Leslokalen</v>
      </c>
      <c r="C846" s="221" t="s">
        <v>986</v>
      </c>
      <c r="D846" s="220" t="s">
        <v>21</v>
      </c>
      <c r="E846" s="221" t="s">
        <v>101</v>
      </c>
      <c r="F846" s="221" t="s">
        <v>989</v>
      </c>
      <c r="G846" s="226" t="s">
        <v>281</v>
      </c>
      <c r="H846" s="222" t="s">
        <v>281</v>
      </c>
      <c r="I846" s="222" t="s">
        <v>18</v>
      </c>
      <c r="J846" s="222" t="s">
        <v>15</v>
      </c>
      <c r="K846" s="222" t="s">
        <v>16</v>
      </c>
      <c r="L846" s="222" t="s">
        <v>281</v>
      </c>
      <c r="M846" s="222" t="s">
        <v>281</v>
      </c>
      <c r="N846" s="222" t="s">
        <v>281</v>
      </c>
      <c r="O846" s="223" t="s">
        <v>20</v>
      </c>
      <c r="P846" s="223" t="s">
        <v>20</v>
      </c>
      <c r="Q846" s="223" t="s">
        <v>15</v>
      </c>
      <c r="R846" s="223" t="s">
        <v>15</v>
      </c>
      <c r="S846" s="223" t="s">
        <v>16</v>
      </c>
      <c r="T846" s="223" t="s">
        <v>328</v>
      </c>
      <c r="U846" s="223" t="s">
        <v>248</v>
      </c>
      <c r="V846" s="223" t="s">
        <v>281</v>
      </c>
      <c r="W846" s="224" t="s">
        <v>281</v>
      </c>
      <c r="X846" s="224" t="s">
        <v>281</v>
      </c>
      <c r="Y846" s="225" t="s">
        <v>281</v>
      </c>
    </row>
    <row r="847" spans="1:25">
      <c r="A847" s="219">
        <v>16</v>
      </c>
      <c r="B847" s="220" t="str">
        <f>VLOOKUP(Tabel10[[#This Row],[Code]],Ruimtegroepen[[Code]:[Ruimte omschrijving]],2,FALSE)</f>
        <v>Leslokalen</v>
      </c>
      <c r="C847" s="221" t="s">
        <v>986</v>
      </c>
      <c r="D847" s="220" t="s">
        <v>21</v>
      </c>
      <c r="E847" s="221" t="s">
        <v>102</v>
      </c>
      <c r="F847" s="221" t="s">
        <v>990</v>
      </c>
      <c r="G847" s="226" t="s">
        <v>281</v>
      </c>
      <c r="H847" s="222" t="s">
        <v>281</v>
      </c>
      <c r="I847" s="222" t="s">
        <v>18</v>
      </c>
      <c r="J847" s="222" t="s">
        <v>15</v>
      </c>
      <c r="K847" s="222" t="s">
        <v>16</v>
      </c>
      <c r="L847" s="222" t="s">
        <v>281</v>
      </c>
      <c r="M847" s="222" t="s">
        <v>281</v>
      </c>
      <c r="N847" s="222" t="s">
        <v>281</v>
      </c>
      <c r="O847" s="223" t="s">
        <v>20</v>
      </c>
      <c r="P847" s="223" t="s">
        <v>20</v>
      </c>
      <c r="Q847" s="223" t="s">
        <v>15</v>
      </c>
      <c r="R847" s="223" t="s">
        <v>15</v>
      </c>
      <c r="S847" s="223" t="s">
        <v>16</v>
      </c>
      <c r="T847" s="223" t="s">
        <v>328</v>
      </c>
      <c r="U847" s="223" t="s">
        <v>248</v>
      </c>
      <c r="V847" s="223" t="s">
        <v>281</v>
      </c>
      <c r="W847" s="224" t="s">
        <v>281</v>
      </c>
      <c r="X847" s="224" t="s">
        <v>281</v>
      </c>
      <c r="Y847" s="225" t="s">
        <v>281</v>
      </c>
    </row>
    <row r="848" spans="1:25">
      <c r="A848" s="219">
        <v>16</v>
      </c>
      <c r="B848" s="220" t="str">
        <f>VLOOKUP(Tabel10[[#This Row],[Code]],Ruimtegroepen[[Code]:[Ruimte omschrijving]],2,FALSE)</f>
        <v>Leslokalen</v>
      </c>
      <c r="C848" s="221" t="s">
        <v>986</v>
      </c>
      <c r="D848" s="220" t="s">
        <v>21</v>
      </c>
      <c r="E848" s="221" t="s">
        <v>99</v>
      </c>
      <c r="F848" s="221" t="s">
        <v>988</v>
      </c>
      <c r="G848" s="222" t="s">
        <v>17</v>
      </c>
      <c r="H848" s="222" t="s">
        <v>17</v>
      </c>
      <c r="I848" s="222" t="s">
        <v>281</v>
      </c>
      <c r="J848" s="222" t="s">
        <v>281</v>
      </c>
      <c r="K848" s="222" t="s">
        <v>281</v>
      </c>
      <c r="L848" s="222" t="s">
        <v>281</v>
      </c>
      <c r="M848" s="222" t="s">
        <v>281</v>
      </c>
      <c r="N848" s="222" t="s">
        <v>281</v>
      </c>
      <c r="O848" s="223" t="s">
        <v>281</v>
      </c>
      <c r="P848" s="223" t="s">
        <v>281</v>
      </c>
      <c r="Q848" s="223" t="s">
        <v>281</v>
      </c>
      <c r="R848" s="223" t="s">
        <v>281</v>
      </c>
      <c r="S848" s="223" t="s">
        <v>281</v>
      </c>
      <c r="T848" s="223" t="s">
        <v>281</v>
      </c>
      <c r="U848" s="223" t="s">
        <v>281</v>
      </c>
      <c r="V848" s="223" t="s">
        <v>281</v>
      </c>
      <c r="W848" s="224" t="s">
        <v>281</v>
      </c>
      <c r="X848" s="224" t="s">
        <v>281</v>
      </c>
      <c r="Y848" s="225" t="s">
        <v>281</v>
      </c>
    </row>
    <row r="849" spans="1:25">
      <c r="A849" s="219">
        <v>16</v>
      </c>
      <c r="B849" s="220" t="str">
        <f>VLOOKUP(Tabel10[[#This Row],[Code]],Ruimtegroepen[[Code]:[Ruimte omschrijving]],2,FALSE)</f>
        <v>Leslokalen</v>
      </c>
      <c r="C849" s="221" t="s">
        <v>986</v>
      </c>
      <c r="D849" s="220" t="s">
        <v>21</v>
      </c>
      <c r="E849" s="221" t="s">
        <v>1309</v>
      </c>
      <c r="F849" s="221" t="s">
        <v>1456</v>
      </c>
      <c r="G849" s="226" t="s">
        <v>281</v>
      </c>
      <c r="H849" s="222" t="s">
        <v>281</v>
      </c>
      <c r="I849" s="222" t="s">
        <v>18</v>
      </c>
      <c r="J849" s="222" t="s">
        <v>15</v>
      </c>
      <c r="K849" s="222" t="s">
        <v>16</v>
      </c>
      <c r="L849" s="222" t="s">
        <v>281</v>
      </c>
      <c r="M849" s="222" t="s">
        <v>281</v>
      </c>
      <c r="N849" s="222" t="s">
        <v>281</v>
      </c>
      <c r="O849" s="223" t="s">
        <v>20</v>
      </c>
      <c r="P849" s="223" t="s">
        <v>20</v>
      </c>
      <c r="Q849" s="223" t="s">
        <v>15</v>
      </c>
      <c r="R849" s="223" t="s">
        <v>15</v>
      </c>
      <c r="S849" s="223" t="s">
        <v>16</v>
      </c>
      <c r="T849" s="223" t="s">
        <v>328</v>
      </c>
      <c r="U849" s="223" t="s">
        <v>248</v>
      </c>
      <c r="V849" s="223" t="s">
        <v>281</v>
      </c>
      <c r="W849" s="224" t="s">
        <v>281</v>
      </c>
      <c r="X849" s="224" t="s">
        <v>281</v>
      </c>
      <c r="Y849" s="225" t="s">
        <v>281</v>
      </c>
    </row>
    <row r="850" spans="1:25">
      <c r="A850" s="219">
        <v>16</v>
      </c>
      <c r="B850" s="220" t="str">
        <f>VLOOKUP(Tabel10[[#This Row],[Code]],Ruimtegroepen[[Code]:[Ruimte omschrijving]],2,FALSE)</f>
        <v>Leslokalen</v>
      </c>
      <c r="C850" s="221" t="s">
        <v>991</v>
      </c>
      <c r="D850" s="220" t="s">
        <v>12</v>
      </c>
      <c r="E850" s="221" t="s">
        <v>100</v>
      </c>
      <c r="F850" s="221" t="s">
        <v>992</v>
      </c>
      <c r="G850" s="226" t="s">
        <v>281</v>
      </c>
      <c r="H850" s="222" t="s">
        <v>281</v>
      </c>
      <c r="I850" s="222" t="s">
        <v>17</v>
      </c>
      <c r="J850" s="222" t="s">
        <v>15</v>
      </c>
      <c r="K850" s="222" t="s">
        <v>281</v>
      </c>
      <c r="L850" s="222" t="s">
        <v>281</v>
      </c>
      <c r="M850" s="222" t="s">
        <v>281</v>
      </c>
      <c r="N850" s="222" t="s">
        <v>281</v>
      </c>
      <c r="O850" s="223" t="s">
        <v>18</v>
      </c>
      <c r="P850" s="223" t="s">
        <v>18</v>
      </c>
      <c r="Q850" s="223" t="s">
        <v>15</v>
      </c>
      <c r="R850" s="223" t="s">
        <v>15</v>
      </c>
      <c r="S850" s="223" t="s">
        <v>16</v>
      </c>
      <c r="T850" s="223" t="s">
        <v>328</v>
      </c>
      <c r="U850" s="223" t="s">
        <v>248</v>
      </c>
      <c r="V850" s="223" t="s">
        <v>281</v>
      </c>
      <c r="W850" s="224" t="s">
        <v>281</v>
      </c>
      <c r="X850" s="224" t="s">
        <v>281</v>
      </c>
      <c r="Y850" s="225" t="s">
        <v>281</v>
      </c>
    </row>
    <row r="851" spans="1:25">
      <c r="A851" s="219">
        <v>16</v>
      </c>
      <c r="B851" s="220" t="str">
        <f>VLOOKUP(Tabel10[[#This Row],[Code]],Ruimtegroepen[[Code]:[Ruimte omschrijving]],2,FALSE)</f>
        <v>Leslokalen</v>
      </c>
      <c r="C851" s="221" t="s">
        <v>991</v>
      </c>
      <c r="D851" s="220" t="s">
        <v>12</v>
      </c>
      <c r="E851" s="221" t="s">
        <v>99</v>
      </c>
      <c r="F851" s="221" t="s">
        <v>993</v>
      </c>
      <c r="G851" s="222" t="s">
        <v>17</v>
      </c>
      <c r="H851" s="222" t="s">
        <v>15</v>
      </c>
      <c r="I851" s="222" t="s">
        <v>281</v>
      </c>
      <c r="J851" s="222" t="s">
        <v>281</v>
      </c>
      <c r="K851" s="222" t="s">
        <v>281</v>
      </c>
      <c r="L851" s="222" t="s">
        <v>281</v>
      </c>
      <c r="M851" s="222" t="s">
        <v>281</v>
      </c>
      <c r="N851" s="222" t="s">
        <v>281</v>
      </c>
      <c r="O851" s="223" t="s">
        <v>18</v>
      </c>
      <c r="P851" s="223" t="s">
        <v>18</v>
      </c>
      <c r="Q851" s="223" t="s">
        <v>15</v>
      </c>
      <c r="R851" s="223" t="s">
        <v>15</v>
      </c>
      <c r="S851" s="223" t="s">
        <v>16</v>
      </c>
      <c r="T851" s="223" t="s">
        <v>328</v>
      </c>
      <c r="U851" s="223" t="s">
        <v>248</v>
      </c>
      <c r="V851" s="223" t="s">
        <v>281</v>
      </c>
      <c r="W851" s="224" t="s">
        <v>281</v>
      </c>
      <c r="X851" s="224" t="s">
        <v>281</v>
      </c>
      <c r="Y851" s="225" t="s">
        <v>281</v>
      </c>
    </row>
    <row r="852" spans="1:25">
      <c r="A852" s="219">
        <v>16</v>
      </c>
      <c r="B852" s="220" t="str">
        <f>VLOOKUP(Tabel10[[#This Row],[Code]],Ruimtegroepen[[Code]:[Ruimte omschrijving]],2,FALSE)</f>
        <v>Leslokalen</v>
      </c>
      <c r="C852" s="221" t="s">
        <v>991</v>
      </c>
      <c r="D852" s="220" t="s">
        <v>12</v>
      </c>
      <c r="E852" s="221" t="s">
        <v>101</v>
      </c>
      <c r="F852" s="221" t="s">
        <v>994</v>
      </c>
      <c r="G852" s="226" t="s">
        <v>281</v>
      </c>
      <c r="H852" s="222" t="s">
        <v>281</v>
      </c>
      <c r="I852" s="222" t="s">
        <v>17</v>
      </c>
      <c r="J852" s="222" t="s">
        <v>15</v>
      </c>
      <c r="K852" s="222" t="s">
        <v>16</v>
      </c>
      <c r="L852" s="222" t="s">
        <v>281</v>
      </c>
      <c r="M852" s="222" t="s">
        <v>281</v>
      </c>
      <c r="N852" s="222" t="s">
        <v>281</v>
      </c>
      <c r="O852" s="223" t="s">
        <v>18</v>
      </c>
      <c r="P852" s="223" t="s">
        <v>18</v>
      </c>
      <c r="Q852" s="223" t="s">
        <v>15</v>
      </c>
      <c r="R852" s="223" t="s">
        <v>15</v>
      </c>
      <c r="S852" s="223" t="s">
        <v>16</v>
      </c>
      <c r="T852" s="223" t="s">
        <v>328</v>
      </c>
      <c r="U852" s="223" t="s">
        <v>248</v>
      </c>
      <c r="V852" s="223" t="s">
        <v>281</v>
      </c>
      <c r="W852" s="224" t="s">
        <v>281</v>
      </c>
      <c r="X852" s="224" t="s">
        <v>281</v>
      </c>
      <c r="Y852" s="225" t="s">
        <v>281</v>
      </c>
    </row>
    <row r="853" spans="1:25">
      <c r="A853" s="219">
        <v>16</v>
      </c>
      <c r="B853" s="220" t="str">
        <f>VLOOKUP(Tabel10[[#This Row],[Code]],Ruimtegroepen[[Code]:[Ruimte omschrijving]],2,FALSE)</f>
        <v>Leslokalen</v>
      </c>
      <c r="C853" s="221" t="s">
        <v>991</v>
      </c>
      <c r="D853" s="220" t="s">
        <v>12</v>
      </c>
      <c r="E853" s="221" t="s">
        <v>102</v>
      </c>
      <c r="F853" s="221" t="s">
        <v>995</v>
      </c>
      <c r="G853" s="226" t="s">
        <v>281</v>
      </c>
      <c r="H853" s="222" t="s">
        <v>281</v>
      </c>
      <c r="I853" s="222" t="s">
        <v>17</v>
      </c>
      <c r="J853" s="222" t="s">
        <v>15</v>
      </c>
      <c r="K853" s="222" t="s">
        <v>16</v>
      </c>
      <c r="L853" s="222" t="s">
        <v>281</v>
      </c>
      <c r="M853" s="222" t="s">
        <v>281</v>
      </c>
      <c r="N853" s="222" t="s">
        <v>281</v>
      </c>
      <c r="O853" s="223" t="s">
        <v>18</v>
      </c>
      <c r="P853" s="223" t="s">
        <v>18</v>
      </c>
      <c r="Q853" s="223" t="s">
        <v>15</v>
      </c>
      <c r="R853" s="223" t="s">
        <v>15</v>
      </c>
      <c r="S853" s="223" t="s">
        <v>16</v>
      </c>
      <c r="T853" s="223" t="s">
        <v>328</v>
      </c>
      <c r="U853" s="223" t="s">
        <v>248</v>
      </c>
      <c r="V853" s="223" t="s">
        <v>281</v>
      </c>
      <c r="W853" s="224" t="s">
        <v>281</v>
      </c>
      <c r="X853" s="224" t="s">
        <v>281</v>
      </c>
      <c r="Y853" s="225" t="s">
        <v>281</v>
      </c>
    </row>
    <row r="854" spans="1:25">
      <c r="A854" s="219">
        <v>16</v>
      </c>
      <c r="B854" s="220" t="str">
        <f>VLOOKUP(Tabel10[[#This Row],[Code]],Ruimtegroepen[[Code]:[Ruimte omschrijving]],2,FALSE)</f>
        <v>Leslokalen</v>
      </c>
      <c r="C854" s="221" t="s">
        <v>991</v>
      </c>
      <c r="D854" s="220" t="s">
        <v>12</v>
      </c>
      <c r="E854" s="221" t="s">
        <v>99</v>
      </c>
      <c r="F854" s="221" t="s">
        <v>993</v>
      </c>
      <c r="G854" s="222" t="s">
        <v>17</v>
      </c>
      <c r="H854" s="222" t="s">
        <v>15</v>
      </c>
      <c r="I854" s="222" t="s">
        <v>281</v>
      </c>
      <c r="J854" s="222" t="s">
        <v>281</v>
      </c>
      <c r="K854" s="222" t="s">
        <v>281</v>
      </c>
      <c r="L854" s="222" t="s">
        <v>281</v>
      </c>
      <c r="M854" s="222" t="s">
        <v>281</v>
      </c>
      <c r="N854" s="222" t="s">
        <v>281</v>
      </c>
      <c r="O854" s="223" t="s">
        <v>281</v>
      </c>
      <c r="P854" s="223" t="s">
        <v>281</v>
      </c>
      <c r="Q854" s="223" t="s">
        <v>281</v>
      </c>
      <c r="R854" s="223" t="s">
        <v>281</v>
      </c>
      <c r="S854" s="223" t="s">
        <v>281</v>
      </c>
      <c r="T854" s="223" t="s">
        <v>281</v>
      </c>
      <c r="U854" s="223" t="s">
        <v>281</v>
      </c>
      <c r="V854" s="223" t="s">
        <v>281</v>
      </c>
      <c r="W854" s="224" t="s">
        <v>281</v>
      </c>
      <c r="X854" s="224" t="s">
        <v>281</v>
      </c>
      <c r="Y854" s="225" t="s">
        <v>281</v>
      </c>
    </row>
    <row r="855" spans="1:25">
      <c r="A855" s="219">
        <v>16</v>
      </c>
      <c r="B855" s="220" t="str">
        <f>VLOOKUP(Tabel10[[#This Row],[Code]],Ruimtegroepen[[Code]:[Ruimte omschrijving]],2,FALSE)</f>
        <v>Leslokalen</v>
      </c>
      <c r="C855" s="221" t="s">
        <v>991</v>
      </c>
      <c r="D855" s="220" t="s">
        <v>12</v>
      </c>
      <c r="E855" s="221" t="s">
        <v>1309</v>
      </c>
      <c r="F855" s="221" t="s">
        <v>1438</v>
      </c>
      <c r="G855" s="226" t="s">
        <v>281</v>
      </c>
      <c r="H855" s="222" t="s">
        <v>281</v>
      </c>
      <c r="I855" s="222" t="s">
        <v>17</v>
      </c>
      <c r="J855" s="222" t="s">
        <v>15</v>
      </c>
      <c r="K855" s="222" t="s">
        <v>16</v>
      </c>
      <c r="L855" s="222" t="s">
        <v>281</v>
      </c>
      <c r="M855" s="222" t="s">
        <v>281</v>
      </c>
      <c r="N855" s="222" t="s">
        <v>281</v>
      </c>
      <c r="O855" s="223" t="s">
        <v>18</v>
      </c>
      <c r="P855" s="223" t="s">
        <v>18</v>
      </c>
      <c r="Q855" s="223" t="s">
        <v>15</v>
      </c>
      <c r="R855" s="223" t="s">
        <v>15</v>
      </c>
      <c r="S855" s="223" t="s">
        <v>16</v>
      </c>
      <c r="T855" s="223" t="s">
        <v>328</v>
      </c>
      <c r="U855" s="223" t="s">
        <v>248</v>
      </c>
      <c r="V855" s="223" t="s">
        <v>281</v>
      </c>
      <c r="W855" s="224" t="s">
        <v>281</v>
      </c>
      <c r="X855" s="224" t="s">
        <v>281</v>
      </c>
      <c r="Y855" s="225" t="s">
        <v>281</v>
      </c>
    </row>
    <row r="856" spans="1:25">
      <c r="A856" s="219">
        <v>16</v>
      </c>
      <c r="B856" s="220" t="str">
        <f>VLOOKUP(Tabel10[[#This Row],[Code]],Ruimtegroepen[[Code]:[Ruimte omschrijving]],2,FALSE)</f>
        <v>Leslokalen</v>
      </c>
      <c r="C856" s="221" t="s">
        <v>996</v>
      </c>
      <c r="D856" s="220" t="s">
        <v>14</v>
      </c>
      <c r="E856" s="221" t="s">
        <v>100</v>
      </c>
      <c r="F856" s="221" t="s">
        <v>997</v>
      </c>
      <c r="G856" s="226" t="s">
        <v>281</v>
      </c>
      <c r="H856" s="222" t="s">
        <v>281</v>
      </c>
      <c r="I856" s="222" t="s">
        <v>281</v>
      </c>
      <c r="J856" s="222" t="s">
        <v>17</v>
      </c>
      <c r="K856" s="222" t="s">
        <v>281</v>
      </c>
      <c r="L856" s="222" t="s">
        <v>281</v>
      </c>
      <c r="M856" s="222" t="s">
        <v>281</v>
      </c>
      <c r="N856" s="222" t="s">
        <v>281</v>
      </c>
      <c r="O856" s="223" t="s">
        <v>17</v>
      </c>
      <c r="P856" s="223" t="s">
        <v>17</v>
      </c>
      <c r="Q856" s="223" t="s">
        <v>15</v>
      </c>
      <c r="R856" s="223" t="s">
        <v>15</v>
      </c>
      <c r="S856" s="223" t="s">
        <v>16</v>
      </c>
      <c r="T856" s="223" t="s">
        <v>328</v>
      </c>
      <c r="U856" s="223" t="s">
        <v>248</v>
      </c>
      <c r="V856" s="223" t="s">
        <v>281</v>
      </c>
      <c r="W856" s="224" t="s">
        <v>281</v>
      </c>
      <c r="X856" s="224" t="s">
        <v>281</v>
      </c>
      <c r="Y856" s="225" t="s">
        <v>281</v>
      </c>
    </row>
    <row r="857" spans="1:25">
      <c r="A857" s="219">
        <v>16</v>
      </c>
      <c r="B857" s="220" t="str">
        <f>VLOOKUP(Tabel10[[#This Row],[Code]],Ruimtegroepen[[Code]:[Ruimte omschrijving]],2,FALSE)</f>
        <v>Leslokalen</v>
      </c>
      <c r="C857" s="221" t="s">
        <v>996</v>
      </c>
      <c r="D857" s="220" t="s">
        <v>14</v>
      </c>
      <c r="E857" s="221" t="s">
        <v>99</v>
      </c>
      <c r="F857" s="221" t="s">
        <v>998</v>
      </c>
      <c r="G857" s="222" t="s">
        <v>15</v>
      </c>
      <c r="H857" s="222" t="s">
        <v>15</v>
      </c>
      <c r="I857" s="222" t="s">
        <v>281</v>
      </c>
      <c r="J857" s="222" t="s">
        <v>281</v>
      </c>
      <c r="K857" s="222" t="s">
        <v>281</v>
      </c>
      <c r="L857" s="222" t="s">
        <v>281</v>
      </c>
      <c r="M857" s="222" t="s">
        <v>281</v>
      </c>
      <c r="N857" s="222" t="s">
        <v>281</v>
      </c>
      <c r="O857" s="223" t="s">
        <v>17</v>
      </c>
      <c r="P857" s="223" t="s">
        <v>17</v>
      </c>
      <c r="Q857" s="223" t="s">
        <v>15</v>
      </c>
      <c r="R857" s="223" t="s">
        <v>15</v>
      </c>
      <c r="S857" s="223" t="s">
        <v>16</v>
      </c>
      <c r="T857" s="223" t="s">
        <v>328</v>
      </c>
      <c r="U857" s="223" t="s">
        <v>248</v>
      </c>
      <c r="V857" s="223" t="s">
        <v>281</v>
      </c>
      <c r="W857" s="224" t="s">
        <v>281</v>
      </c>
      <c r="X857" s="224" t="s">
        <v>281</v>
      </c>
      <c r="Y857" s="225" t="s">
        <v>281</v>
      </c>
    </row>
    <row r="858" spans="1:25">
      <c r="A858" s="219">
        <v>16</v>
      </c>
      <c r="B858" s="220" t="str">
        <f>VLOOKUP(Tabel10[[#This Row],[Code]],Ruimtegroepen[[Code]:[Ruimte omschrijving]],2,FALSE)</f>
        <v>Leslokalen</v>
      </c>
      <c r="C858" s="221" t="s">
        <v>996</v>
      </c>
      <c r="D858" s="220" t="s">
        <v>14</v>
      </c>
      <c r="E858" s="221" t="s">
        <v>101</v>
      </c>
      <c r="F858" s="221" t="s">
        <v>999</v>
      </c>
      <c r="G858" s="226" t="s">
        <v>281</v>
      </c>
      <c r="H858" s="222" t="s">
        <v>281</v>
      </c>
      <c r="I858" s="222" t="s">
        <v>281</v>
      </c>
      <c r="J858" s="222" t="s">
        <v>17</v>
      </c>
      <c r="K858" s="222" t="s">
        <v>16</v>
      </c>
      <c r="L858" s="222" t="s">
        <v>281</v>
      </c>
      <c r="M858" s="222" t="s">
        <v>281</v>
      </c>
      <c r="N858" s="222" t="s">
        <v>281</v>
      </c>
      <c r="O858" s="223" t="s">
        <v>17</v>
      </c>
      <c r="P858" s="223" t="s">
        <v>17</v>
      </c>
      <c r="Q858" s="223" t="s">
        <v>15</v>
      </c>
      <c r="R858" s="223" t="s">
        <v>15</v>
      </c>
      <c r="S858" s="223" t="s">
        <v>16</v>
      </c>
      <c r="T858" s="223" t="s">
        <v>328</v>
      </c>
      <c r="U858" s="223" t="s">
        <v>248</v>
      </c>
      <c r="V858" s="223" t="s">
        <v>281</v>
      </c>
      <c r="W858" s="224" t="s">
        <v>281</v>
      </c>
      <c r="X858" s="224" t="s">
        <v>281</v>
      </c>
      <c r="Y858" s="225" t="s">
        <v>281</v>
      </c>
    </row>
    <row r="859" spans="1:25">
      <c r="A859" s="219">
        <v>16</v>
      </c>
      <c r="B859" s="220" t="str">
        <f>VLOOKUP(Tabel10[[#This Row],[Code]],Ruimtegroepen[[Code]:[Ruimte omschrijving]],2,FALSE)</f>
        <v>Leslokalen</v>
      </c>
      <c r="C859" s="221" t="s">
        <v>996</v>
      </c>
      <c r="D859" s="220" t="s">
        <v>14</v>
      </c>
      <c r="E859" s="221" t="s">
        <v>102</v>
      </c>
      <c r="F859" s="221" t="s">
        <v>1000</v>
      </c>
      <c r="G859" s="226" t="s">
        <v>281</v>
      </c>
      <c r="H859" s="222" t="s">
        <v>281</v>
      </c>
      <c r="I859" s="222" t="s">
        <v>281</v>
      </c>
      <c r="J859" s="222" t="s">
        <v>17</v>
      </c>
      <c r="K859" s="222" t="s">
        <v>16</v>
      </c>
      <c r="L859" s="222" t="s">
        <v>281</v>
      </c>
      <c r="M859" s="222" t="s">
        <v>281</v>
      </c>
      <c r="N859" s="222" t="s">
        <v>281</v>
      </c>
      <c r="O859" s="223" t="s">
        <v>17</v>
      </c>
      <c r="P859" s="223" t="s">
        <v>17</v>
      </c>
      <c r="Q859" s="223" t="s">
        <v>15</v>
      </c>
      <c r="R859" s="223" t="s">
        <v>15</v>
      </c>
      <c r="S859" s="223" t="s">
        <v>16</v>
      </c>
      <c r="T859" s="223" t="s">
        <v>328</v>
      </c>
      <c r="U859" s="223" t="s">
        <v>248</v>
      </c>
      <c r="V859" s="223" t="s">
        <v>281</v>
      </c>
      <c r="W859" s="224" t="s">
        <v>281</v>
      </c>
      <c r="X859" s="224" t="s">
        <v>281</v>
      </c>
      <c r="Y859" s="225" t="s">
        <v>281</v>
      </c>
    </row>
    <row r="860" spans="1:25">
      <c r="A860" s="219">
        <v>16</v>
      </c>
      <c r="B860" s="220" t="str">
        <f>VLOOKUP(Tabel10[[#This Row],[Code]],Ruimtegroepen[[Code]:[Ruimte omschrijving]],2,FALSE)</f>
        <v>Leslokalen</v>
      </c>
      <c r="C860" s="221" t="s">
        <v>996</v>
      </c>
      <c r="D860" s="220" t="s">
        <v>14</v>
      </c>
      <c r="E860" s="221" t="s">
        <v>99</v>
      </c>
      <c r="F860" s="221" t="s">
        <v>998</v>
      </c>
      <c r="G860" s="222" t="s">
        <v>15</v>
      </c>
      <c r="H860" s="222" t="s">
        <v>15</v>
      </c>
      <c r="I860" s="222" t="s">
        <v>281</v>
      </c>
      <c r="J860" s="222" t="s">
        <v>281</v>
      </c>
      <c r="K860" s="222" t="s">
        <v>281</v>
      </c>
      <c r="L860" s="222" t="s">
        <v>281</v>
      </c>
      <c r="M860" s="222" t="s">
        <v>281</v>
      </c>
      <c r="N860" s="222" t="s">
        <v>281</v>
      </c>
      <c r="O860" s="223" t="s">
        <v>281</v>
      </c>
      <c r="P860" s="223" t="s">
        <v>281</v>
      </c>
      <c r="Q860" s="223" t="s">
        <v>281</v>
      </c>
      <c r="R860" s="223" t="s">
        <v>281</v>
      </c>
      <c r="S860" s="223" t="s">
        <v>281</v>
      </c>
      <c r="T860" s="223" t="s">
        <v>281</v>
      </c>
      <c r="U860" s="223" t="s">
        <v>281</v>
      </c>
      <c r="V860" s="223" t="s">
        <v>281</v>
      </c>
      <c r="W860" s="224" t="s">
        <v>281</v>
      </c>
      <c r="X860" s="224" t="s">
        <v>281</v>
      </c>
      <c r="Y860" s="225" t="s">
        <v>281</v>
      </c>
    </row>
    <row r="861" spans="1:25">
      <c r="A861" s="219">
        <v>16</v>
      </c>
      <c r="B861" s="220" t="str">
        <f>VLOOKUP(Tabel10[[#This Row],[Code]],Ruimtegroepen[[Code]:[Ruimte omschrijving]],2,FALSE)</f>
        <v>Leslokalen</v>
      </c>
      <c r="C861" s="221" t="s">
        <v>996</v>
      </c>
      <c r="D861" s="220" t="s">
        <v>14</v>
      </c>
      <c r="E861" s="221" t="s">
        <v>1309</v>
      </c>
      <c r="F861" s="221" t="s">
        <v>1405</v>
      </c>
      <c r="G861" s="226" t="s">
        <v>281</v>
      </c>
      <c r="H861" s="222" t="s">
        <v>281</v>
      </c>
      <c r="I861" s="222" t="s">
        <v>281</v>
      </c>
      <c r="J861" s="222" t="s">
        <v>17</v>
      </c>
      <c r="K861" s="222" t="s">
        <v>16</v>
      </c>
      <c r="L861" s="222" t="s">
        <v>281</v>
      </c>
      <c r="M861" s="222" t="s">
        <v>281</v>
      </c>
      <c r="N861" s="222" t="s">
        <v>281</v>
      </c>
      <c r="O861" s="223" t="s">
        <v>17</v>
      </c>
      <c r="P861" s="223" t="s">
        <v>17</v>
      </c>
      <c r="Q861" s="223" t="s">
        <v>15</v>
      </c>
      <c r="R861" s="223" t="s">
        <v>15</v>
      </c>
      <c r="S861" s="223" t="s">
        <v>16</v>
      </c>
      <c r="T861" s="223" t="s">
        <v>328</v>
      </c>
      <c r="U861" s="223" t="s">
        <v>248</v>
      </c>
      <c r="V861" s="223" t="s">
        <v>281</v>
      </c>
      <c r="W861" s="224" t="s">
        <v>281</v>
      </c>
      <c r="X861" s="224" t="s">
        <v>281</v>
      </c>
      <c r="Y861" s="225" t="s">
        <v>281</v>
      </c>
    </row>
    <row r="862" spans="1:25">
      <c r="A862" s="219">
        <v>16</v>
      </c>
      <c r="B862" s="220" t="str">
        <f>VLOOKUP(Tabel10[[#This Row],[Code]],Ruimtegroepen[[Code]:[Ruimte omschrijving]],2,FALSE)</f>
        <v>Leslokalen</v>
      </c>
      <c r="C862" s="221" t="s">
        <v>1001</v>
      </c>
      <c r="D862" s="220" t="s">
        <v>13</v>
      </c>
      <c r="E862" s="221" t="s">
        <v>100</v>
      </c>
      <c r="F862" s="221" t="s">
        <v>1002</v>
      </c>
      <c r="G862" s="226" t="s">
        <v>281</v>
      </c>
      <c r="H862" s="222" t="s">
        <v>281</v>
      </c>
      <c r="I862" s="222" t="s">
        <v>281</v>
      </c>
      <c r="J862" s="222" t="s">
        <v>15</v>
      </c>
      <c r="K862" s="222" t="s">
        <v>281</v>
      </c>
      <c r="L862" s="222" t="s">
        <v>281</v>
      </c>
      <c r="M862" s="222" t="s">
        <v>281</v>
      </c>
      <c r="N862" s="222" t="s">
        <v>281</v>
      </c>
      <c r="O862" s="223" t="s">
        <v>15</v>
      </c>
      <c r="P862" s="223" t="s">
        <v>15</v>
      </c>
      <c r="Q862" s="223" t="s">
        <v>15</v>
      </c>
      <c r="R862" s="223" t="s">
        <v>15</v>
      </c>
      <c r="S862" s="223" t="s">
        <v>16</v>
      </c>
      <c r="T862" s="223" t="s">
        <v>328</v>
      </c>
      <c r="U862" s="223" t="s">
        <v>248</v>
      </c>
      <c r="V862" s="223" t="s">
        <v>281</v>
      </c>
      <c r="W862" s="224" t="s">
        <v>281</v>
      </c>
      <c r="X862" s="224" t="s">
        <v>281</v>
      </c>
      <c r="Y862" s="225" t="s">
        <v>281</v>
      </c>
    </row>
    <row r="863" spans="1:25">
      <c r="A863" s="219">
        <v>16</v>
      </c>
      <c r="B863" s="220" t="str">
        <f>VLOOKUP(Tabel10[[#This Row],[Code]],Ruimtegroepen[[Code]:[Ruimte omschrijving]],2,FALSE)</f>
        <v>Leslokalen</v>
      </c>
      <c r="C863" s="221" t="s">
        <v>1001</v>
      </c>
      <c r="D863" s="220" t="s">
        <v>13</v>
      </c>
      <c r="E863" s="221" t="s">
        <v>99</v>
      </c>
      <c r="F863" s="221" t="s">
        <v>1003</v>
      </c>
      <c r="G863" s="226" t="s">
        <v>281</v>
      </c>
      <c r="H863" s="222" t="s">
        <v>15</v>
      </c>
      <c r="I863" s="222" t="s">
        <v>281</v>
      </c>
      <c r="J863" s="222" t="s">
        <v>281</v>
      </c>
      <c r="K863" s="222" t="s">
        <v>281</v>
      </c>
      <c r="L863" s="222" t="s">
        <v>281</v>
      </c>
      <c r="M863" s="222" t="s">
        <v>281</v>
      </c>
      <c r="N863" s="222" t="s">
        <v>281</v>
      </c>
      <c r="O863" s="223" t="s">
        <v>15</v>
      </c>
      <c r="P863" s="223" t="s">
        <v>15</v>
      </c>
      <c r="Q863" s="223" t="s">
        <v>15</v>
      </c>
      <c r="R863" s="223" t="s">
        <v>15</v>
      </c>
      <c r="S863" s="223" t="s">
        <v>16</v>
      </c>
      <c r="T863" s="223" t="s">
        <v>328</v>
      </c>
      <c r="U863" s="223" t="s">
        <v>248</v>
      </c>
      <c r="V863" s="223" t="s">
        <v>281</v>
      </c>
      <c r="W863" s="224" t="s">
        <v>281</v>
      </c>
      <c r="X863" s="224" t="s">
        <v>281</v>
      </c>
      <c r="Y863" s="225" t="s">
        <v>281</v>
      </c>
    </row>
    <row r="864" spans="1:25">
      <c r="A864" s="219">
        <v>16</v>
      </c>
      <c r="B864" s="220" t="str">
        <f>VLOOKUP(Tabel10[[#This Row],[Code]],Ruimtegroepen[[Code]:[Ruimte omschrijving]],2,FALSE)</f>
        <v>Leslokalen</v>
      </c>
      <c r="C864" s="221" t="s">
        <v>1001</v>
      </c>
      <c r="D864" s="220" t="s">
        <v>13</v>
      </c>
      <c r="E864" s="221" t="s">
        <v>101</v>
      </c>
      <c r="F864" s="221" t="s">
        <v>1004</v>
      </c>
      <c r="G864" s="226" t="s">
        <v>281</v>
      </c>
      <c r="H864" s="222" t="s">
        <v>281</v>
      </c>
      <c r="I864" s="222" t="s">
        <v>281</v>
      </c>
      <c r="J864" s="222" t="s">
        <v>15</v>
      </c>
      <c r="K864" s="222" t="s">
        <v>16</v>
      </c>
      <c r="L864" s="222" t="s">
        <v>281</v>
      </c>
      <c r="M864" s="222" t="s">
        <v>281</v>
      </c>
      <c r="N864" s="222" t="s">
        <v>281</v>
      </c>
      <c r="O864" s="223" t="s">
        <v>15</v>
      </c>
      <c r="P864" s="223" t="s">
        <v>15</v>
      </c>
      <c r="Q864" s="223" t="s">
        <v>15</v>
      </c>
      <c r="R864" s="223" t="s">
        <v>15</v>
      </c>
      <c r="S864" s="223" t="s">
        <v>16</v>
      </c>
      <c r="T864" s="223" t="s">
        <v>328</v>
      </c>
      <c r="U864" s="223" t="s">
        <v>248</v>
      </c>
      <c r="V864" s="223" t="s">
        <v>281</v>
      </c>
      <c r="W864" s="224" t="s">
        <v>281</v>
      </c>
      <c r="X864" s="224" t="s">
        <v>281</v>
      </c>
      <c r="Y864" s="225" t="s">
        <v>281</v>
      </c>
    </row>
    <row r="865" spans="1:25">
      <c r="A865" s="219">
        <v>16</v>
      </c>
      <c r="B865" s="220" t="str">
        <f>VLOOKUP(Tabel10[[#This Row],[Code]],Ruimtegroepen[[Code]:[Ruimte omschrijving]],2,FALSE)</f>
        <v>Leslokalen</v>
      </c>
      <c r="C865" s="221" t="s">
        <v>1001</v>
      </c>
      <c r="D865" s="220" t="s">
        <v>13</v>
      </c>
      <c r="E865" s="221" t="s">
        <v>102</v>
      </c>
      <c r="F865" s="221" t="s">
        <v>1005</v>
      </c>
      <c r="G865" s="226" t="s">
        <v>281</v>
      </c>
      <c r="H865" s="222" t="s">
        <v>281</v>
      </c>
      <c r="I865" s="222" t="s">
        <v>281</v>
      </c>
      <c r="J865" s="222" t="s">
        <v>15</v>
      </c>
      <c r="K865" s="222" t="s">
        <v>16</v>
      </c>
      <c r="L865" s="222" t="s">
        <v>281</v>
      </c>
      <c r="M865" s="222" t="s">
        <v>281</v>
      </c>
      <c r="N865" s="222" t="s">
        <v>281</v>
      </c>
      <c r="O865" s="223" t="s">
        <v>15</v>
      </c>
      <c r="P865" s="223" t="s">
        <v>15</v>
      </c>
      <c r="Q865" s="223" t="s">
        <v>15</v>
      </c>
      <c r="R865" s="223" t="s">
        <v>15</v>
      </c>
      <c r="S865" s="223" t="s">
        <v>16</v>
      </c>
      <c r="T865" s="223" t="s">
        <v>328</v>
      </c>
      <c r="U865" s="223" t="s">
        <v>248</v>
      </c>
      <c r="V865" s="223" t="s">
        <v>281</v>
      </c>
      <c r="W865" s="224" t="s">
        <v>281</v>
      </c>
      <c r="X865" s="224" t="s">
        <v>281</v>
      </c>
      <c r="Y865" s="225" t="s">
        <v>281</v>
      </c>
    </row>
    <row r="866" spans="1:25">
      <c r="A866" s="219">
        <v>16</v>
      </c>
      <c r="B866" s="220" t="str">
        <f>VLOOKUP(Tabel10[[#This Row],[Code]],Ruimtegroepen[[Code]:[Ruimte omschrijving]],2,FALSE)</f>
        <v>Leslokalen</v>
      </c>
      <c r="C866" s="221" t="s">
        <v>1001</v>
      </c>
      <c r="D866" s="220" t="s">
        <v>13</v>
      </c>
      <c r="E866" s="221" t="s">
        <v>99</v>
      </c>
      <c r="F866" s="221" t="s">
        <v>1003</v>
      </c>
      <c r="G866" s="226" t="s">
        <v>281</v>
      </c>
      <c r="H866" s="222" t="s">
        <v>15</v>
      </c>
      <c r="I866" s="222" t="s">
        <v>281</v>
      </c>
      <c r="J866" s="222" t="s">
        <v>281</v>
      </c>
      <c r="K866" s="222" t="s">
        <v>281</v>
      </c>
      <c r="L866" s="222" t="s">
        <v>281</v>
      </c>
      <c r="M866" s="222" t="s">
        <v>281</v>
      </c>
      <c r="N866" s="222" t="s">
        <v>281</v>
      </c>
      <c r="O866" s="223" t="s">
        <v>281</v>
      </c>
      <c r="P866" s="223" t="s">
        <v>281</v>
      </c>
      <c r="Q866" s="223" t="s">
        <v>281</v>
      </c>
      <c r="R866" s="223" t="s">
        <v>281</v>
      </c>
      <c r="S866" s="223" t="s">
        <v>281</v>
      </c>
      <c r="T866" s="223" t="s">
        <v>281</v>
      </c>
      <c r="U866" s="223" t="s">
        <v>281</v>
      </c>
      <c r="V866" s="223" t="s">
        <v>281</v>
      </c>
      <c r="W866" s="224" t="s">
        <v>281</v>
      </c>
      <c r="X866" s="224" t="s">
        <v>281</v>
      </c>
      <c r="Y866" s="225" t="s">
        <v>281</v>
      </c>
    </row>
    <row r="867" spans="1:25">
      <c r="A867" s="219">
        <v>16</v>
      </c>
      <c r="B867" s="220" t="str">
        <f>VLOOKUP(Tabel10[[#This Row],[Code]],Ruimtegroepen[[Code]:[Ruimte omschrijving]],2,FALSE)</f>
        <v>Leslokalen</v>
      </c>
      <c r="C867" s="221" t="s">
        <v>1001</v>
      </c>
      <c r="D867" s="220" t="s">
        <v>13</v>
      </c>
      <c r="E867" s="221" t="s">
        <v>1309</v>
      </c>
      <c r="F867" s="221" t="s">
        <v>1372</v>
      </c>
      <c r="G867" s="226" t="s">
        <v>281</v>
      </c>
      <c r="H867" s="222" t="s">
        <v>281</v>
      </c>
      <c r="I867" s="222" t="s">
        <v>281</v>
      </c>
      <c r="J867" s="222" t="s">
        <v>15</v>
      </c>
      <c r="K867" s="222" t="s">
        <v>16</v>
      </c>
      <c r="L867" s="222" t="s">
        <v>281</v>
      </c>
      <c r="M867" s="222" t="s">
        <v>281</v>
      </c>
      <c r="N867" s="222" t="s">
        <v>281</v>
      </c>
      <c r="O867" s="223" t="s">
        <v>15</v>
      </c>
      <c r="P867" s="223" t="s">
        <v>15</v>
      </c>
      <c r="Q867" s="223" t="s">
        <v>15</v>
      </c>
      <c r="R867" s="223" t="s">
        <v>15</v>
      </c>
      <c r="S867" s="223" t="s">
        <v>16</v>
      </c>
      <c r="T867" s="223" t="s">
        <v>328</v>
      </c>
      <c r="U867" s="223" t="s">
        <v>248</v>
      </c>
      <c r="V867" s="223" t="s">
        <v>281</v>
      </c>
      <c r="W867" s="224" t="s">
        <v>281</v>
      </c>
      <c r="X867" s="224" t="s">
        <v>281</v>
      </c>
      <c r="Y867" s="225" t="s">
        <v>281</v>
      </c>
    </row>
    <row r="868" spans="1:25">
      <c r="A868" s="219">
        <v>16</v>
      </c>
      <c r="B868" s="220" t="str">
        <f>VLOOKUP(Tabel10[[#This Row],[Code]],Ruimtegroepen[[Code]:[Ruimte omschrijving]],2,FALSE)</f>
        <v>Leslokalen</v>
      </c>
      <c r="C868" s="221" t="s">
        <v>1006</v>
      </c>
      <c r="D868" s="220" t="s">
        <v>0</v>
      </c>
      <c r="E868" s="221" t="s">
        <v>100</v>
      </c>
      <c r="F868" s="221" t="s">
        <v>1007</v>
      </c>
      <c r="G868" s="226" t="s">
        <v>281</v>
      </c>
      <c r="H868" s="222" t="s">
        <v>281</v>
      </c>
      <c r="I868" s="222" t="s">
        <v>16</v>
      </c>
      <c r="J868" s="222" t="s">
        <v>281</v>
      </c>
      <c r="K868" s="222" t="s">
        <v>281</v>
      </c>
      <c r="L868" s="222" t="s">
        <v>281</v>
      </c>
      <c r="M868" s="222" t="s">
        <v>281</v>
      </c>
      <c r="N868" s="222" t="s">
        <v>281</v>
      </c>
      <c r="O868" s="223" t="s">
        <v>16</v>
      </c>
      <c r="P868" s="223" t="s">
        <v>16</v>
      </c>
      <c r="Q868" s="223" t="s">
        <v>16</v>
      </c>
      <c r="R868" s="223" t="s">
        <v>16</v>
      </c>
      <c r="S868" s="223" t="s">
        <v>16</v>
      </c>
      <c r="T868" s="223" t="s">
        <v>328</v>
      </c>
      <c r="U868" s="223" t="s">
        <v>248</v>
      </c>
      <c r="V868" s="223" t="s">
        <v>281</v>
      </c>
      <c r="W868" s="224" t="s">
        <v>281</v>
      </c>
      <c r="X868" s="224" t="s">
        <v>281</v>
      </c>
      <c r="Y868" s="225" t="s">
        <v>281</v>
      </c>
    </row>
    <row r="869" spans="1:25">
      <c r="A869" s="219">
        <v>16</v>
      </c>
      <c r="B869" s="220" t="str">
        <f>VLOOKUP(Tabel10[[#This Row],[Code]],Ruimtegroepen[[Code]:[Ruimte omschrijving]],2,FALSE)</f>
        <v>Leslokalen</v>
      </c>
      <c r="C869" s="221" t="s">
        <v>1006</v>
      </c>
      <c r="D869" s="220" t="s">
        <v>0</v>
      </c>
      <c r="E869" s="221" t="s">
        <v>99</v>
      </c>
      <c r="F869" s="221" t="s">
        <v>1008</v>
      </c>
      <c r="G869" s="226" t="s">
        <v>281</v>
      </c>
      <c r="H869" s="222" t="s">
        <v>16</v>
      </c>
      <c r="I869" s="222" t="s">
        <v>281</v>
      </c>
      <c r="J869" s="222" t="s">
        <v>281</v>
      </c>
      <c r="K869" s="222" t="s">
        <v>281</v>
      </c>
      <c r="L869" s="222" t="s">
        <v>281</v>
      </c>
      <c r="M869" s="222" t="s">
        <v>281</v>
      </c>
      <c r="N869" s="222" t="s">
        <v>281</v>
      </c>
      <c r="O869" s="223" t="s">
        <v>16</v>
      </c>
      <c r="P869" s="223" t="s">
        <v>16</v>
      </c>
      <c r="Q869" s="223" t="s">
        <v>16</v>
      </c>
      <c r="R869" s="223" t="s">
        <v>16</v>
      </c>
      <c r="S869" s="223" t="s">
        <v>16</v>
      </c>
      <c r="T869" s="223" t="s">
        <v>328</v>
      </c>
      <c r="U869" s="223" t="s">
        <v>248</v>
      </c>
      <c r="V869" s="223" t="s">
        <v>281</v>
      </c>
      <c r="W869" s="224" t="s">
        <v>281</v>
      </c>
      <c r="X869" s="224" t="s">
        <v>281</v>
      </c>
      <c r="Y869" s="225" t="s">
        <v>281</v>
      </c>
    </row>
    <row r="870" spans="1:25">
      <c r="A870" s="219">
        <v>16</v>
      </c>
      <c r="B870" s="220" t="str">
        <f>VLOOKUP(Tabel10[[#This Row],[Code]],Ruimtegroepen[[Code]:[Ruimte omschrijving]],2,FALSE)</f>
        <v>Leslokalen</v>
      </c>
      <c r="C870" s="221" t="s">
        <v>1006</v>
      </c>
      <c r="D870" s="220" t="s">
        <v>0</v>
      </c>
      <c r="E870" s="221" t="s">
        <v>101</v>
      </c>
      <c r="F870" s="221" t="s">
        <v>1009</v>
      </c>
      <c r="G870" s="226" t="s">
        <v>281</v>
      </c>
      <c r="H870" s="222" t="s">
        <v>281</v>
      </c>
      <c r="I870" s="222" t="s">
        <v>281</v>
      </c>
      <c r="J870" s="222" t="s">
        <v>360</v>
      </c>
      <c r="K870" s="222" t="s">
        <v>16</v>
      </c>
      <c r="L870" s="222" t="s">
        <v>281</v>
      </c>
      <c r="M870" s="222" t="s">
        <v>281</v>
      </c>
      <c r="N870" s="222" t="s">
        <v>281</v>
      </c>
      <c r="O870" s="223" t="s">
        <v>16</v>
      </c>
      <c r="P870" s="223" t="s">
        <v>16</v>
      </c>
      <c r="Q870" s="223" t="s">
        <v>16</v>
      </c>
      <c r="R870" s="223" t="s">
        <v>16</v>
      </c>
      <c r="S870" s="223" t="s">
        <v>16</v>
      </c>
      <c r="T870" s="223" t="s">
        <v>328</v>
      </c>
      <c r="U870" s="223" t="s">
        <v>248</v>
      </c>
      <c r="V870" s="223" t="s">
        <v>281</v>
      </c>
      <c r="W870" s="224" t="s">
        <v>281</v>
      </c>
      <c r="X870" s="224" t="s">
        <v>281</v>
      </c>
      <c r="Y870" s="225" t="s">
        <v>281</v>
      </c>
    </row>
    <row r="871" spans="1:25">
      <c r="A871" s="219">
        <v>16</v>
      </c>
      <c r="B871" s="220" t="str">
        <f>VLOOKUP(Tabel10[[#This Row],[Code]],Ruimtegroepen[[Code]:[Ruimte omschrijving]],2,FALSE)</f>
        <v>Leslokalen</v>
      </c>
      <c r="C871" s="221" t="s">
        <v>1006</v>
      </c>
      <c r="D871" s="220" t="s">
        <v>0</v>
      </c>
      <c r="E871" s="221" t="s">
        <v>102</v>
      </c>
      <c r="F871" s="221" t="s">
        <v>1010</v>
      </c>
      <c r="G871" s="226" t="s">
        <v>281</v>
      </c>
      <c r="H871" s="222" t="s">
        <v>281</v>
      </c>
      <c r="I871" s="222" t="s">
        <v>16</v>
      </c>
      <c r="J871" s="222" t="s">
        <v>281</v>
      </c>
      <c r="K871" s="222" t="s">
        <v>16</v>
      </c>
      <c r="L871" s="222" t="s">
        <v>281</v>
      </c>
      <c r="M871" s="222" t="s">
        <v>281</v>
      </c>
      <c r="N871" s="222" t="s">
        <v>281</v>
      </c>
      <c r="O871" s="223" t="s">
        <v>16</v>
      </c>
      <c r="P871" s="223" t="s">
        <v>16</v>
      </c>
      <c r="Q871" s="223" t="s">
        <v>16</v>
      </c>
      <c r="R871" s="223" t="s">
        <v>16</v>
      </c>
      <c r="S871" s="223" t="s">
        <v>16</v>
      </c>
      <c r="T871" s="223" t="s">
        <v>328</v>
      </c>
      <c r="U871" s="223" t="s">
        <v>248</v>
      </c>
      <c r="V871" s="223" t="s">
        <v>281</v>
      </c>
      <c r="W871" s="224" t="s">
        <v>281</v>
      </c>
      <c r="X871" s="224" t="s">
        <v>281</v>
      </c>
      <c r="Y871" s="225" t="s">
        <v>281</v>
      </c>
    </row>
    <row r="872" spans="1:25">
      <c r="A872" s="219">
        <v>16</v>
      </c>
      <c r="B872" s="220" t="str">
        <f>VLOOKUP(Tabel10[[#This Row],[Code]],Ruimtegroepen[[Code]:[Ruimte omschrijving]],2,FALSE)</f>
        <v>Leslokalen</v>
      </c>
      <c r="C872" s="221" t="s">
        <v>1006</v>
      </c>
      <c r="D872" s="220" t="s">
        <v>0</v>
      </c>
      <c r="E872" s="221" t="s">
        <v>99</v>
      </c>
      <c r="F872" s="221" t="s">
        <v>1008</v>
      </c>
      <c r="G872" s="226" t="s">
        <v>281</v>
      </c>
      <c r="H872" s="222" t="s">
        <v>16</v>
      </c>
      <c r="I872" s="222" t="s">
        <v>281</v>
      </c>
      <c r="J872" s="222" t="s">
        <v>281</v>
      </c>
      <c r="K872" s="222" t="s">
        <v>281</v>
      </c>
      <c r="L872" s="222" t="s">
        <v>281</v>
      </c>
      <c r="M872" s="222" t="s">
        <v>281</v>
      </c>
      <c r="N872" s="222" t="s">
        <v>281</v>
      </c>
      <c r="O872" s="223" t="s">
        <v>281</v>
      </c>
      <c r="P872" s="223" t="s">
        <v>281</v>
      </c>
      <c r="Q872" s="223" t="s">
        <v>281</v>
      </c>
      <c r="R872" s="223" t="s">
        <v>281</v>
      </c>
      <c r="S872" s="223" t="s">
        <v>281</v>
      </c>
      <c r="T872" s="223" t="s">
        <v>281</v>
      </c>
      <c r="U872" s="223" t="s">
        <v>281</v>
      </c>
      <c r="V872" s="223" t="s">
        <v>281</v>
      </c>
      <c r="W872" s="224" t="s">
        <v>281</v>
      </c>
      <c r="X872" s="224" t="s">
        <v>281</v>
      </c>
      <c r="Y872" s="225" t="s">
        <v>281</v>
      </c>
    </row>
    <row r="873" spans="1:25">
      <c r="A873" s="219">
        <v>16</v>
      </c>
      <c r="B873" s="220" t="str">
        <f>VLOOKUP(Tabel10[[#This Row],[Code]],Ruimtegroepen[[Code]:[Ruimte omschrijving]],2,FALSE)</f>
        <v>Leslokalen</v>
      </c>
      <c r="C873" s="221" t="s">
        <v>1006</v>
      </c>
      <c r="D873" s="220" t="s">
        <v>0</v>
      </c>
      <c r="E873" s="221" t="s">
        <v>1309</v>
      </c>
      <c r="F873" s="221" t="s">
        <v>1356</v>
      </c>
      <c r="G873" s="226" t="s">
        <v>281</v>
      </c>
      <c r="H873" s="222" t="s">
        <v>281</v>
      </c>
      <c r="I873" s="222" t="s">
        <v>16</v>
      </c>
      <c r="J873" s="222" t="s">
        <v>281</v>
      </c>
      <c r="K873" s="222" t="s">
        <v>16</v>
      </c>
      <c r="L873" s="222" t="s">
        <v>281</v>
      </c>
      <c r="M873" s="222" t="s">
        <v>281</v>
      </c>
      <c r="N873" s="222" t="s">
        <v>281</v>
      </c>
      <c r="O873" s="223" t="s">
        <v>16</v>
      </c>
      <c r="P873" s="223" t="s">
        <v>16</v>
      </c>
      <c r="Q873" s="223" t="s">
        <v>16</v>
      </c>
      <c r="R873" s="223" t="s">
        <v>16</v>
      </c>
      <c r="S873" s="223" t="s">
        <v>16</v>
      </c>
      <c r="T873" s="223" t="s">
        <v>328</v>
      </c>
      <c r="U873" s="223" t="s">
        <v>248</v>
      </c>
      <c r="V873" s="223" t="s">
        <v>281</v>
      </c>
      <c r="W873" s="224" t="s">
        <v>281</v>
      </c>
      <c r="X873" s="224" t="s">
        <v>281</v>
      </c>
      <c r="Y873" s="225" t="s">
        <v>281</v>
      </c>
    </row>
    <row r="874" spans="1:25">
      <c r="A874" s="219">
        <v>16</v>
      </c>
      <c r="B874" s="220" t="str">
        <f>VLOOKUP(Tabel10[[#This Row],[Code]],Ruimtegroepen[[Code]:[Ruimte omschrijving]],2,FALSE)</f>
        <v>Leslokalen</v>
      </c>
      <c r="C874" s="221" t="s">
        <v>1011</v>
      </c>
      <c r="D874" s="220" t="s">
        <v>27</v>
      </c>
      <c r="E874" s="221" t="s">
        <v>100</v>
      </c>
      <c r="F874" s="221" t="s">
        <v>1012</v>
      </c>
      <c r="G874" s="226" t="s">
        <v>281</v>
      </c>
      <c r="H874" s="222" t="s">
        <v>281</v>
      </c>
      <c r="I874" s="222" t="s">
        <v>15</v>
      </c>
      <c r="J874" s="222" t="s">
        <v>281</v>
      </c>
      <c r="K874" s="222" t="s">
        <v>281</v>
      </c>
      <c r="L874" s="222" t="s">
        <v>281</v>
      </c>
      <c r="M874" s="222" t="s">
        <v>281</v>
      </c>
      <c r="N874" s="222" t="s">
        <v>281</v>
      </c>
      <c r="O874" s="223" t="s">
        <v>15</v>
      </c>
      <c r="P874" s="223" t="s">
        <v>15</v>
      </c>
      <c r="Q874" s="223" t="s">
        <v>15</v>
      </c>
      <c r="R874" s="223" t="s">
        <v>281</v>
      </c>
      <c r="S874" s="223" t="s">
        <v>281</v>
      </c>
      <c r="T874" s="223" t="s">
        <v>281</v>
      </c>
      <c r="U874" s="223" t="s">
        <v>281</v>
      </c>
      <c r="V874" s="223" t="s">
        <v>281</v>
      </c>
      <c r="W874" s="224" t="s">
        <v>281</v>
      </c>
      <c r="X874" s="224" t="s">
        <v>281</v>
      </c>
      <c r="Y874" s="225" t="s">
        <v>281</v>
      </c>
    </row>
    <row r="875" spans="1:25">
      <c r="A875" s="219">
        <v>16</v>
      </c>
      <c r="B875" s="220" t="str">
        <f>VLOOKUP(Tabel10[[#This Row],[Code]],Ruimtegroepen[[Code]:[Ruimte omschrijving]],2,FALSE)</f>
        <v>Leslokalen</v>
      </c>
      <c r="C875" s="221" t="s">
        <v>1011</v>
      </c>
      <c r="D875" s="220" t="s">
        <v>27</v>
      </c>
      <c r="E875" s="221" t="s">
        <v>99</v>
      </c>
      <c r="F875" s="221" t="s">
        <v>1013</v>
      </c>
      <c r="G875" s="226" t="s">
        <v>281</v>
      </c>
      <c r="H875" s="222" t="s">
        <v>15</v>
      </c>
      <c r="I875" s="222" t="s">
        <v>281</v>
      </c>
      <c r="J875" s="222" t="s">
        <v>281</v>
      </c>
      <c r="K875" s="222" t="s">
        <v>281</v>
      </c>
      <c r="L875" s="222" t="s">
        <v>281</v>
      </c>
      <c r="M875" s="222" t="s">
        <v>281</v>
      </c>
      <c r="N875" s="222" t="s">
        <v>281</v>
      </c>
      <c r="O875" s="223" t="s">
        <v>15</v>
      </c>
      <c r="P875" s="223" t="s">
        <v>15</v>
      </c>
      <c r="Q875" s="223" t="s">
        <v>15</v>
      </c>
      <c r="R875" s="223" t="s">
        <v>281</v>
      </c>
      <c r="S875" s="223" t="s">
        <v>281</v>
      </c>
      <c r="T875" s="223" t="s">
        <v>281</v>
      </c>
      <c r="U875" s="223" t="s">
        <v>281</v>
      </c>
      <c r="V875" s="223" t="s">
        <v>281</v>
      </c>
      <c r="W875" s="224" t="s">
        <v>281</v>
      </c>
      <c r="X875" s="224" t="s">
        <v>281</v>
      </c>
      <c r="Y875" s="225" t="s">
        <v>281</v>
      </c>
    </row>
    <row r="876" spans="1:25">
      <c r="A876" s="219">
        <v>16</v>
      </c>
      <c r="B876" s="220" t="str">
        <f>VLOOKUP(Tabel10[[#This Row],[Code]],Ruimtegroepen[[Code]:[Ruimte omschrijving]],2,FALSE)</f>
        <v>Leslokalen</v>
      </c>
      <c r="C876" s="221" t="s">
        <v>1011</v>
      </c>
      <c r="D876" s="220" t="s">
        <v>27</v>
      </c>
      <c r="E876" s="221" t="s">
        <v>101</v>
      </c>
      <c r="F876" s="221" t="s">
        <v>1014</v>
      </c>
      <c r="G876" s="226" t="s">
        <v>281</v>
      </c>
      <c r="H876" s="222" t="s">
        <v>281</v>
      </c>
      <c r="I876" s="222" t="s">
        <v>15</v>
      </c>
      <c r="J876" s="222" t="s">
        <v>281</v>
      </c>
      <c r="K876" s="222" t="s">
        <v>281</v>
      </c>
      <c r="L876" s="222" t="s">
        <v>281</v>
      </c>
      <c r="M876" s="222" t="s">
        <v>281</v>
      </c>
      <c r="N876" s="222" t="s">
        <v>281</v>
      </c>
      <c r="O876" s="223" t="s">
        <v>15</v>
      </c>
      <c r="P876" s="223" t="s">
        <v>15</v>
      </c>
      <c r="Q876" s="223" t="s">
        <v>15</v>
      </c>
      <c r="R876" s="223" t="s">
        <v>281</v>
      </c>
      <c r="S876" s="223" t="s">
        <v>281</v>
      </c>
      <c r="T876" s="223" t="s">
        <v>281</v>
      </c>
      <c r="U876" s="223" t="s">
        <v>281</v>
      </c>
      <c r="V876" s="223" t="s">
        <v>281</v>
      </c>
      <c r="W876" s="224" t="s">
        <v>281</v>
      </c>
      <c r="X876" s="224" t="s">
        <v>281</v>
      </c>
      <c r="Y876" s="225" t="s">
        <v>281</v>
      </c>
    </row>
    <row r="877" spans="1:25">
      <c r="A877" s="219">
        <v>16</v>
      </c>
      <c r="B877" s="220" t="str">
        <f>VLOOKUP(Tabel10[[#This Row],[Code]],Ruimtegroepen[[Code]:[Ruimte omschrijving]],2,FALSE)</f>
        <v>Leslokalen</v>
      </c>
      <c r="C877" s="221" t="s">
        <v>1011</v>
      </c>
      <c r="D877" s="220" t="s">
        <v>27</v>
      </c>
      <c r="E877" s="221" t="s">
        <v>102</v>
      </c>
      <c r="F877" s="221" t="s">
        <v>1015</v>
      </c>
      <c r="G877" s="226" t="s">
        <v>281</v>
      </c>
      <c r="H877" s="222" t="s">
        <v>281</v>
      </c>
      <c r="I877" s="222" t="s">
        <v>15</v>
      </c>
      <c r="J877" s="222" t="s">
        <v>281</v>
      </c>
      <c r="K877" s="222" t="s">
        <v>281</v>
      </c>
      <c r="L877" s="222" t="s">
        <v>281</v>
      </c>
      <c r="M877" s="222" t="s">
        <v>281</v>
      </c>
      <c r="N877" s="222" t="s">
        <v>281</v>
      </c>
      <c r="O877" s="223" t="s">
        <v>15</v>
      </c>
      <c r="P877" s="223" t="s">
        <v>15</v>
      </c>
      <c r="Q877" s="223" t="s">
        <v>15</v>
      </c>
      <c r="R877" s="223" t="s">
        <v>281</v>
      </c>
      <c r="S877" s="223" t="s">
        <v>281</v>
      </c>
      <c r="T877" s="223" t="s">
        <v>281</v>
      </c>
      <c r="U877" s="223" t="s">
        <v>281</v>
      </c>
      <c r="V877" s="223" t="s">
        <v>281</v>
      </c>
      <c r="W877" s="224" t="s">
        <v>281</v>
      </c>
      <c r="X877" s="224" t="s">
        <v>281</v>
      </c>
      <c r="Y877" s="225" t="s">
        <v>281</v>
      </c>
    </row>
    <row r="878" spans="1:25">
      <c r="A878" s="219">
        <v>16</v>
      </c>
      <c r="B878" s="220" t="str">
        <f>VLOOKUP(Tabel10[[#This Row],[Code]],Ruimtegroepen[[Code]:[Ruimte omschrijving]],2,FALSE)</f>
        <v>Leslokalen</v>
      </c>
      <c r="C878" s="221" t="s">
        <v>1011</v>
      </c>
      <c r="D878" s="220" t="s">
        <v>27</v>
      </c>
      <c r="E878" s="221" t="s">
        <v>99</v>
      </c>
      <c r="F878" s="221" t="s">
        <v>1013</v>
      </c>
      <c r="G878" s="226" t="s">
        <v>281</v>
      </c>
      <c r="H878" s="222" t="s">
        <v>15</v>
      </c>
      <c r="I878" s="222" t="s">
        <v>281</v>
      </c>
      <c r="J878" s="222" t="s">
        <v>281</v>
      </c>
      <c r="K878" s="222" t="s">
        <v>281</v>
      </c>
      <c r="L878" s="222" t="s">
        <v>281</v>
      </c>
      <c r="M878" s="222" t="s">
        <v>281</v>
      </c>
      <c r="N878" s="222" t="s">
        <v>281</v>
      </c>
      <c r="O878" s="223" t="s">
        <v>15</v>
      </c>
      <c r="P878" s="223" t="s">
        <v>15</v>
      </c>
      <c r="Q878" s="223" t="s">
        <v>15</v>
      </c>
      <c r="R878" s="223" t="s">
        <v>281</v>
      </c>
      <c r="S878" s="223" t="s">
        <v>281</v>
      </c>
      <c r="T878" s="223" t="s">
        <v>281</v>
      </c>
      <c r="U878" s="223" t="s">
        <v>281</v>
      </c>
      <c r="V878" s="223" t="s">
        <v>281</v>
      </c>
      <c r="W878" s="224" t="s">
        <v>281</v>
      </c>
      <c r="X878" s="224" t="s">
        <v>281</v>
      </c>
      <c r="Y878" s="225" t="s">
        <v>281</v>
      </c>
    </row>
    <row r="879" spans="1:25">
      <c r="A879" s="219">
        <v>16</v>
      </c>
      <c r="B879" s="220" t="str">
        <f>VLOOKUP(Tabel10[[#This Row],[Code]],Ruimtegroepen[[Code]:[Ruimte omschrijving]],2,FALSE)</f>
        <v>Leslokalen</v>
      </c>
      <c r="C879" s="221" t="s">
        <v>1011</v>
      </c>
      <c r="D879" s="220" t="s">
        <v>27</v>
      </c>
      <c r="E879" s="221" t="s">
        <v>1309</v>
      </c>
      <c r="F879" s="221" t="s">
        <v>1389</v>
      </c>
      <c r="G879" s="226" t="s">
        <v>281</v>
      </c>
      <c r="H879" s="222" t="s">
        <v>281</v>
      </c>
      <c r="I879" s="222" t="s">
        <v>15</v>
      </c>
      <c r="J879" s="222" t="s">
        <v>281</v>
      </c>
      <c r="K879" s="222" t="s">
        <v>281</v>
      </c>
      <c r="L879" s="222" t="s">
        <v>281</v>
      </c>
      <c r="M879" s="222" t="s">
        <v>281</v>
      </c>
      <c r="N879" s="222" t="s">
        <v>281</v>
      </c>
      <c r="O879" s="223" t="s">
        <v>15</v>
      </c>
      <c r="P879" s="223" t="s">
        <v>15</v>
      </c>
      <c r="Q879" s="223" t="s">
        <v>15</v>
      </c>
      <c r="R879" s="223" t="s">
        <v>281</v>
      </c>
      <c r="S879" s="223" t="s">
        <v>281</v>
      </c>
      <c r="T879" s="223" t="s">
        <v>281</v>
      </c>
      <c r="U879" s="223" t="s">
        <v>281</v>
      </c>
      <c r="V879" s="223" t="s">
        <v>281</v>
      </c>
      <c r="W879" s="224" t="s">
        <v>281</v>
      </c>
      <c r="X879" s="224" t="s">
        <v>281</v>
      </c>
      <c r="Y879" s="225" t="s">
        <v>281</v>
      </c>
    </row>
    <row r="880" spans="1:25">
      <c r="A880" s="219">
        <v>16</v>
      </c>
      <c r="B880" s="220" t="str">
        <f>VLOOKUP(Tabel10[[#This Row],[Code]],Ruimtegroepen[[Code]:[Ruimte omschrijving]],2,FALSE)</f>
        <v>Leslokalen</v>
      </c>
      <c r="C880" s="221" t="s">
        <v>1016</v>
      </c>
      <c r="D880" s="220" t="s">
        <v>28</v>
      </c>
      <c r="E880" s="221" t="s">
        <v>100</v>
      </c>
      <c r="F880" s="221" t="s">
        <v>1017</v>
      </c>
      <c r="G880" s="226" t="s">
        <v>281</v>
      </c>
      <c r="H880" s="222" t="s">
        <v>281</v>
      </c>
      <c r="I880" s="222" t="s">
        <v>17</v>
      </c>
      <c r="J880" s="222" t="s">
        <v>281</v>
      </c>
      <c r="K880" s="222" t="s">
        <v>281</v>
      </c>
      <c r="L880" s="222" t="s">
        <v>281</v>
      </c>
      <c r="M880" s="222" t="s">
        <v>281</v>
      </c>
      <c r="N880" s="222" t="s">
        <v>281</v>
      </c>
      <c r="O880" s="223" t="s">
        <v>17</v>
      </c>
      <c r="P880" s="223" t="s">
        <v>17</v>
      </c>
      <c r="Q880" s="223" t="s">
        <v>15</v>
      </c>
      <c r="R880" s="223" t="s">
        <v>281</v>
      </c>
      <c r="S880" s="223" t="s">
        <v>281</v>
      </c>
      <c r="T880" s="223" t="s">
        <v>281</v>
      </c>
      <c r="U880" s="223" t="s">
        <v>281</v>
      </c>
      <c r="V880" s="223" t="s">
        <v>281</v>
      </c>
      <c r="W880" s="224" t="s">
        <v>281</v>
      </c>
      <c r="X880" s="224" t="s">
        <v>281</v>
      </c>
      <c r="Y880" s="225" t="s">
        <v>281</v>
      </c>
    </row>
    <row r="881" spans="1:25">
      <c r="A881" s="219">
        <v>16</v>
      </c>
      <c r="B881" s="220" t="str">
        <f>VLOOKUP(Tabel10[[#This Row],[Code]],Ruimtegroepen[[Code]:[Ruimte omschrijving]],2,FALSE)</f>
        <v>Leslokalen</v>
      </c>
      <c r="C881" s="221" t="s">
        <v>1016</v>
      </c>
      <c r="D881" s="220" t="s">
        <v>28</v>
      </c>
      <c r="E881" s="221" t="s">
        <v>99</v>
      </c>
      <c r="F881" s="221" t="s">
        <v>1018</v>
      </c>
      <c r="G881" s="226" t="s">
        <v>281</v>
      </c>
      <c r="H881" s="222" t="s">
        <v>17</v>
      </c>
      <c r="I881" s="222" t="s">
        <v>281</v>
      </c>
      <c r="J881" s="222" t="s">
        <v>281</v>
      </c>
      <c r="K881" s="222" t="s">
        <v>281</v>
      </c>
      <c r="L881" s="222" t="s">
        <v>281</v>
      </c>
      <c r="M881" s="222" t="s">
        <v>281</v>
      </c>
      <c r="N881" s="222" t="s">
        <v>281</v>
      </c>
      <c r="O881" s="223" t="s">
        <v>17</v>
      </c>
      <c r="P881" s="223" t="s">
        <v>17</v>
      </c>
      <c r="Q881" s="223" t="s">
        <v>15</v>
      </c>
      <c r="R881" s="223" t="s">
        <v>281</v>
      </c>
      <c r="S881" s="223" t="s">
        <v>281</v>
      </c>
      <c r="T881" s="223" t="s">
        <v>281</v>
      </c>
      <c r="U881" s="223" t="s">
        <v>281</v>
      </c>
      <c r="V881" s="223" t="s">
        <v>281</v>
      </c>
      <c r="W881" s="224" t="s">
        <v>281</v>
      </c>
      <c r="X881" s="224" t="s">
        <v>281</v>
      </c>
      <c r="Y881" s="225" t="s">
        <v>281</v>
      </c>
    </row>
    <row r="882" spans="1:25">
      <c r="A882" s="219">
        <v>16</v>
      </c>
      <c r="B882" s="220" t="str">
        <f>VLOOKUP(Tabel10[[#This Row],[Code]],Ruimtegroepen[[Code]:[Ruimte omschrijving]],2,FALSE)</f>
        <v>Leslokalen</v>
      </c>
      <c r="C882" s="221" t="s">
        <v>1016</v>
      </c>
      <c r="D882" s="220" t="s">
        <v>28</v>
      </c>
      <c r="E882" s="221" t="s">
        <v>101</v>
      </c>
      <c r="F882" s="221" t="s">
        <v>1019</v>
      </c>
      <c r="G882" s="226" t="s">
        <v>281</v>
      </c>
      <c r="H882" s="222" t="s">
        <v>281</v>
      </c>
      <c r="I882" s="222" t="s">
        <v>17</v>
      </c>
      <c r="J882" s="222" t="s">
        <v>281</v>
      </c>
      <c r="K882" s="222" t="s">
        <v>281</v>
      </c>
      <c r="L882" s="222" t="s">
        <v>281</v>
      </c>
      <c r="M882" s="222" t="s">
        <v>281</v>
      </c>
      <c r="N882" s="222" t="s">
        <v>281</v>
      </c>
      <c r="O882" s="223" t="s">
        <v>17</v>
      </c>
      <c r="P882" s="223" t="s">
        <v>17</v>
      </c>
      <c r="Q882" s="223" t="s">
        <v>15</v>
      </c>
      <c r="R882" s="223" t="s">
        <v>281</v>
      </c>
      <c r="S882" s="223" t="s">
        <v>281</v>
      </c>
      <c r="T882" s="223" t="s">
        <v>281</v>
      </c>
      <c r="U882" s="223" t="s">
        <v>281</v>
      </c>
      <c r="V882" s="223" t="s">
        <v>281</v>
      </c>
      <c r="W882" s="224" t="s">
        <v>281</v>
      </c>
      <c r="X882" s="224" t="s">
        <v>281</v>
      </c>
      <c r="Y882" s="225" t="s">
        <v>281</v>
      </c>
    </row>
    <row r="883" spans="1:25">
      <c r="A883" s="219">
        <v>16</v>
      </c>
      <c r="B883" s="220" t="str">
        <f>VLOOKUP(Tabel10[[#This Row],[Code]],Ruimtegroepen[[Code]:[Ruimte omschrijving]],2,FALSE)</f>
        <v>Leslokalen</v>
      </c>
      <c r="C883" s="221" t="s">
        <v>1016</v>
      </c>
      <c r="D883" s="220" t="s">
        <v>28</v>
      </c>
      <c r="E883" s="221" t="s">
        <v>102</v>
      </c>
      <c r="F883" s="221" t="s">
        <v>1020</v>
      </c>
      <c r="G883" s="226" t="s">
        <v>281</v>
      </c>
      <c r="H883" s="222" t="s">
        <v>281</v>
      </c>
      <c r="I883" s="222" t="s">
        <v>17</v>
      </c>
      <c r="J883" s="222" t="s">
        <v>281</v>
      </c>
      <c r="K883" s="222" t="s">
        <v>281</v>
      </c>
      <c r="L883" s="222" t="s">
        <v>281</v>
      </c>
      <c r="M883" s="222" t="s">
        <v>281</v>
      </c>
      <c r="N883" s="222" t="s">
        <v>281</v>
      </c>
      <c r="O883" s="223" t="s">
        <v>17</v>
      </c>
      <c r="P883" s="223" t="s">
        <v>17</v>
      </c>
      <c r="Q883" s="223" t="s">
        <v>15</v>
      </c>
      <c r="R883" s="223" t="s">
        <v>281</v>
      </c>
      <c r="S883" s="223" t="s">
        <v>281</v>
      </c>
      <c r="T883" s="223" t="s">
        <v>281</v>
      </c>
      <c r="U883" s="223" t="s">
        <v>281</v>
      </c>
      <c r="V883" s="223" t="s">
        <v>281</v>
      </c>
      <c r="W883" s="224" t="s">
        <v>281</v>
      </c>
      <c r="X883" s="224" t="s">
        <v>281</v>
      </c>
      <c r="Y883" s="225" t="s">
        <v>281</v>
      </c>
    </row>
    <row r="884" spans="1:25">
      <c r="A884" s="219">
        <v>16</v>
      </c>
      <c r="B884" s="220" t="str">
        <f>VLOOKUP(Tabel10[[#This Row],[Code]],Ruimtegroepen[[Code]:[Ruimte omschrijving]],2,FALSE)</f>
        <v>Leslokalen</v>
      </c>
      <c r="C884" s="221" t="s">
        <v>1016</v>
      </c>
      <c r="D884" s="220" t="s">
        <v>28</v>
      </c>
      <c r="E884" s="221" t="s">
        <v>99</v>
      </c>
      <c r="F884" s="221" t="s">
        <v>1018</v>
      </c>
      <c r="G884" s="226" t="s">
        <v>281</v>
      </c>
      <c r="H884" s="222" t="s">
        <v>17</v>
      </c>
      <c r="I884" s="222" t="s">
        <v>281</v>
      </c>
      <c r="J884" s="222" t="s">
        <v>281</v>
      </c>
      <c r="K884" s="222" t="s">
        <v>281</v>
      </c>
      <c r="L884" s="222" t="s">
        <v>281</v>
      </c>
      <c r="M884" s="222" t="s">
        <v>281</v>
      </c>
      <c r="N884" s="222" t="s">
        <v>281</v>
      </c>
      <c r="O884" s="223" t="s">
        <v>17</v>
      </c>
      <c r="P884" s="223" t="s">
        <v>17</v>
      </c>
      <c r="Q884" s="223" t="s">
        <v>15</v>
      </c>
      <c r="R884" s="223" t="s">
        <v>281</v>
      </c>
      <c r="S884" s="223" t="s">
        <v>281</v>
      </c>
      <c r="T884" s="223" t="s">
        <v>281</v>
      </c>
      <c r="U884" s="223" t="s">
        <v>281</v>
      </c>
      <c r="V884" s="223" t="s">
        <v>281</v>
      </c>
      <c r="W884" s="224" t="s">
        <v>281</v>
      </c>
      <c r="X884" s="224" t="s">
        <v>281</v>
      </c>
      <c r="Y884" s="225" t="s">
        <v>281</v>
      </c>
    </row>
    <row r="885" spans="1:25">
      <c r="A885" s="219">
        <v>16</v>
      </c>
      <c r="B885" s="220" t="str">
        <f>VLOOKUP(Tabel10[[#This Row],[Code]],Ruimtegroepen[[Code]:[Ruimte omschrijving]],2,FALSE)</f>
        <v>Leslokalen</v>
      </c>
      <c r="C885" s="221" t="s">
        <v>1016</v>
      </c>
      <c r="D885" s="220" t="s">
        <v>28</v>
      </c>
      <c r="E885" s="221" t="s">
        <v>1309</v>
      </c>
      <c r="F885" s="221" t="s">
        <v>1422</v>
      </c>
      <c r="G885" s="226" t="s">
        <v>281</v>
      </c>
      <c r="H885" s="222" t="s">
        <v>281</v>
      </c>
      <c r="I885" s="222" t="s">
        <v>17</v>
      </c>
      <c r="J885" s="222" t="s">
        <v>281</v>
      </c>
      <c r="K885" s="222" t="s">
        <v>281</v>
      </c>
      <c r="L885" s="222" t="s">
        <v>281</v>
      </c>
      <c r="M885" s="222" t="s">
        <v>281</v>
      </c>
      <c r="N885" s="222" t="s">
        <v>281</v>
      </c>
      <c r="O885" s="223" t="s">
        <v>17</v>
      </c>
      <c r="P885" s="223" t="s">
        <v>17</v>
      </c>
      <c r="Q885" s="223" t="s">
        <v>15</v>
      </c>
      <c r="R885" s="223" t="s">
        <v>281</v>
      </c>
      <c r="S885" s="223" t="s">
        <v>281</v>
      </c>
      <c r="T885" s="223" t="s">
        <v>281</v>
      </c>
      <c r="U885" s="223" t="s">
        <v>281</v>
      </c>
      <c r="V885" s="223" t="s">
        <v>281</v>
      </c>
      <c r="W885" s="224" t="s">
        <v>281</v>
      </c>
      <c r="X885" s="224" t="s">
        <v>281</v>
      </c>
      <c r="Y885" s="225" t="s">
        <v>281</v>
      </c>
    </row>
    <row r="886" spans="1:25">
      <c r="A886" s="219">
        <v>17</v>
      </c>
      <c r="B886" s="220" t="str">
        <f>VLOOKUP(Tabel10[[#This Row],[Code]],Ruimtegroepen[[Code]:[Ruimte omschrijving]],2,FALSE)</f>
        <v>Toestelberging</v>
      </c>
      <c r="C886" s="221" t="s">
        <v>1021</v>
      </c>
      <c r="D886" s="220" t="s">
        <v>29</v>
      </c>
      <c r="E886" s="221" t="s">
        <v>100</v>
      </c>
      <c r="F886" s="221" t="s">
        <v>1022</v>
      </c>
      <c r="G886" s="226" t="s">
        <v>281</v>
      </c>
      <c r="H886" s="222" t="s">
        <v>281</v>
      </c>
      <c r="I886" s="222" t="s">
        <v>20</v>
      </c>
      <c r="J886" s="222" t="s">
        <v>15</v>
      </c>
      <c r="K886" s="222" t="s">
        <v>281</v>
      </c>
      <c r="L886" s="222" t="s">
        <v>281</v>
      </c>
      <c r="M886" s="222" t="s">
        <v>281</v>
      </c>
      <c r="N886" s="222" t="s">
        <v>2</v>
      </c>
      <c r="O886" s="223" t="s">
        <v>2</v>
      </c>
      <c r="P886" s="223" t="s">
        <v>2</v>
      </c>
      <c r="Q886" s="223" t="s">
        <v>15</v>
      </c>
      <c r="R886" s="223" t="s">
        <v>15</v>
      </c>
      <c r="S886" s="223" t="s">
        <v>16</v>
      </c>
      <c r="T886" s="223" t="s">
        <v>328</v>
      </c>
      <c r="U886" s="223" t="s">
        <v>248</v>
      </c>
      <c r="V886" s="223" t="s">
        <v>2</v>
      </c>
      <c r="W886" s="224" t="s">
        <v>281</v>
      </c>
      <c r="X886" s="224" t="s">
        <v>281</v>
      </c>
      <c r="Y886" s="225" t="s">
        <v>281</v>
      </c>
    </row>
    <row r="887" spans="1:25">
      <c r="A887" s="219">
        <v>17</v>
      </c>
      <c r="B887" s="220" t="str">
        <f>VLOOKUP(Tabel10[[#This Row],[Code]],Ruimtegroepen[[Code]:[Ruimte omschrijving]],2,FALSE)</f>
        <v>Toestelberging</v>
      </c>
      <c r="C887" s="221" t="s">
        <v>1021</v>
      </c>
      <c r="D887" s="220" t="s">
        <v>29</v>
      </c>
      <c r="E887" s="221" t="s">
        <v>99</v>
      </c>
      <c r="F887" s="221" t="s">
        <v>1023</v>
      </c>
      <c r="G887" s="222" t="s">
        <v>20</v>
      </c>
      <c r="H887" s="222" t="s">
        <v>15</v>
      </c>
      <c r="I887" s="222" t="s">
        <v>281</v>
      </c>
      <c r="J887" s="222" t="s">
        <v>281</v>
      </c>
      <c r="K887" s="222" t="s">
        <v>281</v>
      </c>
      <c r="L887" s="222" t="s">
        <v>281</v>
      </c>
      <c r="M887" s="222" t="s">
        <v>281</v>
      </c>
      <c r="N887" s="222" t="s">
        <v>2</v>
      </c>
      <c r="O887" s="223" t="s">
        <v>2</v>
      </c>
      <c r="P887" s="223" t="s">
        <v>2</v>
      </c>
      <c r="Q887" s="223" t="s">
        <v>15</v>
      </c>
      <c r="R887" s="223" t="s">
        <v>15</v>
      </c>
      <c r="S887" s="223" t="s">
        <v>16</v>
      </c>
      <c r="T887" s="223" t="s">
        <v>328</v>
      </c>
      <c r="U887" s="223" t="s">
        <v>248</v>
      </c>
      <c r="V887" s="223" t="s">
        <v>2</v>
      </c>
      <c r="W887" s="224" t="s">
        <v>281</v>
      </c>
      <c r="X887" s="224" t="s">
        <v>281</v>
      </c>
      <c r="Y887" s="225" t="s">
        <v>281</v>
      </c>
    </row>
    <row r="888" spans="1:25">
      <c r="A888" s="219">
        <v>17</v>
      </c>
      <c r="B888" s="220" t="str">
        <f>VLOOKUP(Tabel10[[#This Row],[Code]],Ruimtegroepen[[Code]:[Ruimte omschrijving]],2,FALSE)</f>
        <v>Toestelberging</v>
      </c>
      <c r="C888" s="221" t="s">
        <v>1021</v>
      </c>
      <c r="D888" s="220" t="s">
        <v>29</v>
      </c>
      <c r="E888" s="221" t="s">
        <v>101</v>
      </c>
      <c r="F888" s="221" t="s">
        <v>1024</v>
      </c>
      <c r="G888" s="226" t="s">
        <v>281</v>
      </c>
      <c r="H888" s="222" t="s">
        <v>281</v>
      </c>
      <c r="I888" s="222" t="s">
        <v>20</v>
      </c>
      <c r="J888" s="222" t="s">
        <v>15</v>
      </c>
      <c r="K888" s="222" t="s">
        <v>282</v>
      </c>
      <c r="L888" s="222" t="s">
        <v>281</v>
      </c>
      <c r="M888" s="222" t="s">
        <v>281</v>
      </c>
      <c r="N888" s="222" t="s">
        <v>2</v>
      </c>
      <c r="O888" s="223" t="s">
        <v>2</v>
      </c>
      <c r="P888" s="223" t="s">
        <v>2</v>
      </c>
      <c r="Q888" s="223" t="s">
        <v>15</v>
      </c>
      <c r="R888" s="223" t="s">
        <v>15</v>
      </c>
      <c r="S888" s="223" t="s">
        <v>16</v>
      </c>
      <c r="T888" s="223" t="s">
        <v>328</v>
      </c>
      <c r="U888" s="223" t="s">
        <v>248</v>
      </c>
      <c r="V888" s="223" t="s">
        <v>2</v>
      </c>
      <c r="W888" s="224" t="s">
        <v>281</v>
      </c>
      <c r="X888" s="224" t="s">
        <v>281</v>
      </c>
      <c r="Y888" s="225" t="s">
        <v>281</v>
      </c>
    </row>
    <row r="889" spans="1:25">
      <c r="A889" s="219">
        <v>17</v>
      </c>
      <c r="B889" s="220" t="str">
        <f>VLOOKUP(Tabel10[[#This Row],[Code]],Ruimtegroepen[[Code]:[Ruimte omschrijving]],2,FALSE)</f>
        <v>Toestelberging</v>
      </c>
      <c r="C889" s="221" t="s">
        <v>1021</v>
      </c>
      <c r="D889" s="220" t="s">
        <v>29</v>
      </c>
      <c r="E889" s="221" t="s">
        <v>102</v>
      </c>
      <c r="F889" s="221" t="s">
        <v>1025</v>
      </c>
      <c r="G889" s="226" t="s">
        <v>281</v>
      </c>
      <c r="H889" s="222" t="s">
        <v>281</v>
      </c>
      <c r="I889" s="222" t="s">
        <v>20</v>
      </c>
      <c r="J889" s="222" t="s">
        <v>15</v>
      </c>
      <c r="K889" s="222" t="s">
        <v>282</v>
      </c>
      <c r="L889" s="222" t="s">
        <v>281</v>
      </c>
      <c r="M889" s="222" t="s">
        <v>281</v>
      </c>
      <c r="N889" s="222" t="s">
        <v>2</v>
      </c>
      <c r="O889" s="223" t="s">
        <v>2</v>
      </c>
      <c r="P889" s="223" t="s">
        <v>2</v>
      </c>
      <c r="Q889" s="223" t="s">
        <v>15</v>
      </c>
      <c r="R889" s="223" t="s">
        <v>15</v>
      </c>
      <c r="S889" s="223" t="s">
        <v>16</v>
      </c>
      <c r="T889" s="223" t="s">
        <v>328</v>
      </c>
      <c r="U889" s="223" t="s">
        <v>248</v>
      </c>
      <c r="V889" s="223" t="s">
        <v>2</v>
      </c>
      <c r="W889" s="224" t="s">
        <v>281</v>
      </c>
      <c r="X889" s="224" t="s">
        <v>281</v>
      </c>
      <c r="Y889" s="225" t="s">
        <v>281</v>
      </c>
    </row>
    <row r="890" spans="1:25">
      <c r="A890" s="219">
        <v>17</v>
      </c>
      <c r="B890" s="220" t="str">
        <f>VLOOKUP(Tabel10[[#This Row],[Code]],Ruimtegroepen[[Code]:[Ruimte omschrijving]],2,FALSE)</f>
        <v>Toestelberging</v>
      </c>
      <c r="C890" s="221" t="s">
        <v>1021</v>
      </c>
      <c r="D890" s="220" t="s">
        <v>29</v>
      </c>
      <c r="E890" s="221" t="s">
        <v>99</v>
      </c>
      <c r="F890" s="221" t="s">
        <v>1023</v>
      </c>
      <c r="G890" s="226" t="s">
        <v>281</v>
      </c>
      <c r="H890" s="222" t="s">
        <v>2</v>
      </c>
      <c r="I890" s="222" t="s">
        <v>281</v>
      </c>
      <c r="J890" s="222" t="s">
        <v>281</v>
      </c>
      <c r="K890" s="222" t="s">
        <v>281</v>
      </c>
      <c r="L890" s="222" t="s">
        <v>281</v>
      </c>
      <c r="M890" s="222" t="s">
        <v>281</v>
      </c>
      <c r="N890" s="222" t="s">
        <v>2</v>
      </c>
      <c r="O890" s="223" t="s">
        <v>2</v>
      </c>
      <c r="P890" s="223" t="s">
        <v>2</v>
      </c>
      <c r="Q890" s="223" t="s">
        <v>15</v>
      </c>
      <c r="R890" s="223" t="s">
        <v>15</v>
      </c>
      <c r="S890" s="223" t="s">
        <v>16</v>
      </c>
      <c r="T890" s="223" t="s">
        <v>328</v>
      </c>
      <c r="U890" s="223" t="s">
        <v>248</v>
      </c>
      <c r="V890" s="223" t="s">
        <v>2</v>
      </c>
      <c r="W890" s="224" t="s">
        <v>281</v>
      </c>
      <c r="X890" s="224" t="s">
        <v>281</v>
      </c>
      <c r="Y890" s="225" t="s">
        <v>281</v>
      </c>
    </row>
    <row r="891" spans="1:25">
      <c r="A891" s="219">
        <v>17</v>
      </c>
      <c r="B891" s="220" t="str">
        <f>VLOOKUP(Tabel10[[#This Row],[Code]],Ruimtegroepen[[Code]:[Ruimte omschrijving]],2,FALSE)</f>
        <v>Toestelberging</v>
      </c>
      <c r="C891" s="221" t="s">
        <v>1021</v>
      </c>
      <c r="D891" s="220" t="s">
        <v>29</v>
      </c>
      <c r="E891" s="221" t="s">
        <v>1309</v>
      </c>
      <c r="F891" s="221" t="s">
        <v>1490</v>
      </c>
      <c r="G891" s="226" t="s">
        <v>281</v>
      </c>
      <c r="H891" s="222" t="s">
        <v>281</v>
      </c>
      <c r="I891" s="222" t="s">
        <v>20</v>
      </c>
      <c r="J891" s="222" t="s">
        <v>15</v>
      </c>
      <c r="K891" s="222" t="s">
        <v>282</v>
      </c>
      <c r="L891" s="222" t="s">
        <v>281</v>
      </c>
      <c r="M891" s="222" t="s">
        <v>281</v>
      </c>
      <c r="N891" s="222" t="s">
        <v>2</v>
      </c>
      <c r="O891" s="223" t="s">
        <v>2</v>
      </c>
      <c r="P891" s="223" t="s">
        <v>2</v>
      </c>
      <c r="Q891" s="223" t="s">
        <v>15</v>
      </c>
      <c r="R891" s="223" t="s">
        <v>15</v>
      </c>
      <c r="S891" s="223" t="s">
        <v>16</v>
      </c>
      <c r="T891" s="223" t="s">
        <v>328</v>
      </c>
      <c r="U891" s="223" t="s">
        <v>248</v>
      </c>
      <c r="V891" s="223" t="s">
        <v>2</v>
      </c>
      <c r="W891" s="224" t="s">
        <v>281</v>
      </c>
      <c r="X891" s="224" t="s">
        <v>281</v>
      </c>
      <c r="Y891" s="225" t="s">
        <v>281</v>
      </c>
    </row>
    <row r="892" spans="1:25">
      <c r="A892" s="219">
        <v>17</v>
      </c>
      <c r="B892" s="220" t="str">
        <f>VLOOKUP(Tabel10[[#This Row],[Code]],Ruimtegroepen[[Code]:[Ruimte omschrijving]],2,FALSE)</f>
        <v>Toestelberging</v>
      </c>
      <c r="C892" s="221" t="s">
        <v>1026</v>
      </c>
      <c r="D892" s="220" t="s">
        <v>1</v>
      </c>
      <c r="E892" s="221" t="s">
        <v>100</v>
      </c>
      <c r="F892" s="221" t="s">
        <v>1027</v>
      </c>
      <c r="G892" s="226" t="s">
        <v>281</v>
      </c>
      <c r="H892" s="222" t="s">
        <v>281</v>
      </c>
      <c r="I892" s="222" t="s">
        <v>20</v>
      </c>
      <c r="J892" s="222" t="s">
        <v>15</v>
      </c>
      <c r="K892" s="222" t="s">
        <v>281</v>
      </c>
      <c r="L892" s="222" t="s">
        <v>281</v>
      </c>
      <c r="M892" s="222" t="s">
        <v>281</v>
      </c>
      <c r="N892" s="222" t="s">
        <v>281</v>
      </c>
      <c r="O892" s="223" t="s">
        <v>2</v>
      </c>
      <c r="P892" s="223" t="s">
        <v>2</v>
      </c>
      <c r="Q892" s="223" t="s">
        <v>15</v>
      </c>
      <c r="R892" s="223" t="s">
        <v>15</v>
      </c>
      <c r="S892" s="223" t="s">
        <v>16</v>
      </c>
      <c r="T892" s="223" t="s">
        <v>328</v>
      </c>
      <c r="U892" s="223" t="s">
        <v>248</v>
      </c>
      <c r="V892" s="223" t="s">
        <v>281</v>
      </c>
      <c r="W892" s="224" t="s">
        <v>281</v>
      </c>
      <c r="X892" s="224" t="s">
        <v>281</v>
      </c>
      <c r="Y892" s="225" t="s">
        <v>281</v>
      </c>
    </row>
    <row r="893" spans="1:25">
      <c r="A893" s="219">
        <v>17</v>
      </c>
      <c r="B893" s="220" t="str">
        <f>VLOOKUP(Tabel10[[#This Row],[Code]],Ruimtegroepen[[Code]:[Ruimte omschrijving]],2,FALSE)</f>
        <v>Toestelberging</v>
      </c>
      <c r="C893" s="221" t="s">
        <v>1026</v>
      </c>
      <c r="D893" s="220" t="s">
        <v>1</v>
      </c>
      <c r="E893" s="221" t="s">
        <v>99</v>
      </c>
      <c r="F893" s="221" t="s">
        <v>1028</v>
      </c>
      <c r="G893" s="222" t="s">
        <v>20</v>
      </c>
      <c r="H893" s="222" t="s">
        <v>15</v>
      </c>
      <c r="I893" s="222" t="s">
        <v>281</v>
      </c>
      <c r="J893" s="222" t="s">
        <v>281</v>
      </c>
      <c r="K893" s="222" t="s">
        <v>281</v>
      </c>
      <c r="L893" s="222" t="s">
        <v>281</v>
      </c>
      <c r="M893" s="222" t="s">
        <v>281</v>
      </c>
      <c r="N893" s="222" t="s">
        <v>281</v>
      </c>
      <c r="O893" s="223" t="s">
        <v>2</v>
      </c>
      <c r="P893" s="223" t="s">
        <v>2</v>
      </c>
      <c r="Q893" s="223" t="s">
        <v>15</v>
      </c>
      <c r="R893" s="223" t="s">
        <v>15</v>
      </c>
      <c r="S893" s="223" t="s">
        <v>16</v>
      </c>
      <c r="T893" s="223" t="s">
        <v>328</v>
      </c>
      <c r="U893" s="223" t="s">
        <v>248</v>
      </c>
      <c r="V893" s="223" t="s">
        <v>281</v>
      </c>
      <c r="W893" s="224" t="s">
        <v>281</v>
      </c>
      <c r="X893" s="224" t="s">
        <v>281</v>
      </c>
      <c r="Y893" s="225" t="s">
        <v>281</v>
      </c>
    </row>
    <row r="894" spans="1:25">
      <c r="A894" s="219">
        <v>17</v>
      </c>
      <c r="B894" s="220" t="str">
        <f>VLOOKUP(Tabel10[[#This Row],[Code]],Ruimtegroepen[[Code]:[Ruimte omschrijving]],2,FALSE)</f>
        <v>Toestelberging</v>
      </c>
      <c r="C894" s="221" t="s">
        <v>1026</v>
      </c>
      <c r="D894" s="220" t="s">
        <v>1</v>
      </c>
      <c r="E894" s="221" t="s">
        <v>101</v>
      </c>
      <c r="F894" s="221" t="s">
        <v>1029</v>
      </c>
      <c r="G894" s="226" t="s">
        <v>281</v>
      </c>
      <c r="H894" s="222" t="s">
        <v>281</v>
      </c>
      <c r="I894" s="222" t="s">
        <v>20</v>
      </c>
      <c r="J894" s="222" t="s">
        <v>15</v>
      </c>
      <c r="K894" s="222" t="s">
        <v>282</v>
      </c>
      <c r="L894" s="222" t="s">
        <v>281</v>
      </c>
      <c r="M894" s="222" t="s">
        <v>281</v>
      </c>
      <c r="N894" s="222" t="s">
        <v>281</v>
      </c>
      <c r="O894" s="223" t="s">
        <v>2</v>
      </c>
      <c r="P894" s="223" t="s">
        <v>2</v>
      </c>
      <c r="Q894" s="223" t="s">
        <v>15</v>
      </c>
      <c r="R894" s="223" t="s">
        <v>15</v>
      </c>
      <c r="S894" s="223" t="s">
        <v>16</v>
      </c>
      <c r="T894" s="223" t="s">
        <v>328</v>
      </c>
      <c r="U894" s="223" t="s">
        <v>248</v>
      </c>
      <c r="V894" s="223" t="s">
        <v>281</v>
      </c>
      <c r="W894" s="224" t="s">
        <v>281</v>
      </c>
      <c r="X894" s="224" t="s">
        <v>281</v>
      </c>
      <c r="Y894" s="225" t="s">
        <v>281</v>
      </c>
    </row>
    <row r="895" spans="1:25">
      <c r="A895" s="219">
        <v>17</v>
      </c>
      <c r="B895" s="220" t="str">
        <f>VLOOKUP(Tabel10[[#This Row],[Code]],Ruimtegroepen[[Code]:[Ruimte omschrijving]],2,FALSE)</f>
        <v>Toestelberging</v>
      </c>
      <c r="C895" s="221" t="s">
        <v>1026</v>
      </c>
      <c r="D895" s="220" t="s">
        <v>1</v>
      </c>
      <c r="E895" s="221" t="s">
        <v>102</v>
      </c>
      <c r="F895" s="221" t="s">
        <v>1030</v>
      </c>
      <c r="G895" s="226" t="s">
        <v>281</v>
      </c>
      <c r="H895" s="222" t="s">
        <v>281</v>
      </c>
      <c r="I895" s="222" t="s">
        <v>20</v>
      </c>
      <c r="J895" s="222" t="s">
        <v>15</v>
      </c>
      <c r="K895" s="222" t="s">
        <v>282</v>
      </c>
      <c r="L895" s="222" t="s">
        <v>281</v>
      </c>
      <c r="M895" s="222" t="s">
        <v>281</v>
      </c>
      <c r="N895" s="222" t="s">
        <v>281</v>
      </c>
      <c r="O895" s="223" t="s">
        <v>2</v>
      </c>
      <c r="P895" s="223" t="s">
        <v>2</v>
      </c>
      <c r="Q895" s="223" t="s">
        <v>15</v>
      </c>
      <c r="R895" s="223" t="s">
        <v>15</v>
      </c>
      <c r="S895" s="223" t="s">
        <v>16</v>
      </c>
      <c r="T895" s="223" t="s">
        <v>328</v>
      </c>
      <c r="U895" s="223" t="s">
        <v>248</v>
      </c>
      <c r="V895" s="223" t="s">
        <v>281</v>
      </c>
      <c r="W895" s="224" t="s">
        <v>281</v>
      </c>
      <c r="X895" s="224" t="s">
        <v>281</v>
      </c>
      <c r="Y895" s="225" t="s">
        <v>281</v>
      </c>
    </row>
    <row r="896" spans="1:25">
      <c r="A896" s="219">
        <v>17</v>
      </c>
      <c r="B896" s="220" t="str">
        <f>VLOOKUP(Tabel10[[#This Row],[Code]],Ruimtegroepen[[Code]:[Ruimte omschrijving]],2,FALSE)</f>
        <v>Toestelberging</v>
      </c>
      <c r="C896" s="221" t="s">
        <v>1026</v>
      </c>
      <c r="D896" s="220" t="s">
        <v>1</v>
      </c>
      <c r="E896" s="221" t="s">
        <v>99</v>
      </c>
      <c r="F896" s="221" t="s">
        <v>1028</v>
      </c>
      <c r="G896" s="226" t="s">
        <v>281</v>
      </c>
      <c r="H896" s="222" t="s">
        <v>2</v>
      </c>
      <c r="I896" s="222" t="s">
        <v>281</v>
      </c>
      <c r="J896" s="222" t="s">
        <v>281</v>
      </c>
      <c r="K896" s="222" t="s">
        <v>281</v>
      </c>
      <c r="L896" s="222" t="s">
        <v>281</v>
      </c>
      <c r="M896" s="222" t="s">
        <v>281</v>
      </c>
      <c r="N896" s="222" t="s">
        <v>281</v>
      </c>
      <c r="O896" s="223" t="s">
        <v>2</v>
      </c>
      <c r="P896" s="223" t="s">
        <v>2</v>
      </c>
      <c r="Q896" s="223" t="s">
        <v>15</v>
      </c>
      <c r="R896" s="223" t="s">
        <v>15</v>
      </c>
      <c r="S896" s="223" t="s">
        <v>16</v>
      </c>
      <c r="T896" s="223" t="s">
        <v>328</v>
      </c>
      <c r="U896" s="223" t="s">
        <v>248</v>
      </c>
      <c r="V896" s="223" t="s">
        <v>281</v>
      </c>
      <c r="W896" s="224" t="s">
        <v>281</v>
      </c>
      <c r="X896" s="224" t="s">
        <v>281</v>
      </c>
      <c r="Y896" s="225" t="s">
        <v>281</v>
      </c>
    </row>
    <row r="897" spans="1:25">
      <c r="A897" s="219">
        <v>17</v>
      </c>
      <c r="B897" s="220" t="str">
        <f>VLOOKUP(Tabel10[[#This Row],[Code]],Ruimtegroepen[[Code]:[Ruimte omschrijving]],2,FALSE)</f>
        <v>Toestelberging</v>
      </c>
      <c r="C897" s="221" t="s">
        <v>1026</v>
      </c>
      <c r="D897" s="220" t="s">
        <v>1</v>
      </c>
      <c r="E897" s="221" t="s">
        <v>1309</v>
      </c>
      <c r="F897" s="221" t="s">
        <v>1474</v>
      </c>
      <c r="G897" s="226" t="s">
        <v>281</v>
      </c>
      <c r="H897" s="222" t="s">
        <v>281</v>
      </c>
      <c r="I897" s="222" t="s">
        <v>20</v>
      </c>
      <c r="J897" s="222" t="s">
        <v>15</v>
      </c>
      <c r="K897" s="222" t="s">
        <v>282</v>
      </c>
      <c r="L897" s="222" t="s">
        <v>281</v>
      </c>
      <c r="M897" s="222" t="s">
        <v>281</v>
      </c>
      <c r="N897" s="222" t="s">
        <v>281</v>
      </c>
      <c r="O897" s="223" t="s">
        <v>2</v>
      </c>
      <c r="P897" s="223" t="s">
        <v>2</v>
      </c>
      <c r="Q897" s="223" t="s">
        <v>15</v>
      </c>
      <c r="R897" s="223" t="s">
        <v>15</v>
      </c>
      <c r="S897" s="223" t="s">
        <v>16</v>
      </c>
      <c r="T897" s="223" t="s">
        <v>328</v>
      </c>
      <c r="U897" s="223" t="s">
        <v>248</v>
      </c>
      <c r="V897" s="223" t="s">
        <v>281</v>
      </c>
      <c r="W897" s="224" t="s">
        <v>281</v>
      </c>
      <c r="X897" s="224" t="s">
        <v>281</v>
      </c>
      <c r="Y897" s="225" t="s">
        <v>281</v>
      </c>
    </row>
    <row r="898" spans="1:25">
      <c r="A898" s="219">
        <v>17</v>
      </c>
      <c r="B898" s="220" t="str">
        <f>VLOOKUP(Tabel10[[#This Row],[Code]],Ruimtegroepen[[Code]:[Ruimte omschrijving]],2,FALSE)</f>
        <v>Toestelberging</v>
      </c>
      <c r="C898" s="221" t="s">
        <v>1031</v>
      </c>
      <c r="D898" s="220" t="s">
        <v>21</v>
      </c>
      <c r="E898" s="221" t="s">
        <v>100</v>
      </c>
      <c r="F898" s="221" t="s">
        <v>1032</v>
      </c>
      <c r="G898" s="226" t="s">
        <v>281</v>
      </c>
      <c r="H898" s="222" t="s">
        <v>281</v>
      </c>
      <c r="I898" s="222" t="s">
        <v>18</v>
      </c>
      <c r="J898" s="222" t="s">
        <v>15</v>
      </c>
      <c r="K898" s="222" t="s">
        <v>281</v>
      </c>
      <c r="L898" s="222" t="s">
        <v>281</v>
      </c>
      <c r="M898" s="222" t="s">
        <v>281</v>
      </c>
      <c r="N898" s="222" t="s">
        <v>281</v>
      </c>
      <c r="O898" s="223" t="s">
        <v>20</v>
      </c>
      <c r="P898" s="223" t="s">
        <v>20</v>
      </c>
      <c r="Q898" s="223" t="s">
        <v>15</v>
      </c>
      <c r="R898" s="223" t="s">
        <v>15</v>
      </c>
      <c r="S898" s="223" t="s">
        <v>16</v>
      </c>
      <c r="T898" s="223" t="s">
        <v>328</v>
      </c>
      <c r="U898" s="223" t="s">
        <v>248</v>
      </c>
      <c r="V898" s="223" t="s">
        <v>281</v>
      </c>
      <c r="W898" s="224" t="s">
        <v>281</v>
      </c>
      <c r="X898" s="224" t="s">
        <v>281</v>
      </c>
      <c r="Y898" s="225" t="s">
        <v>281</v>
      </c>
    </row>
    <row r="899" spans="1:25">
      <c r="A899" s="219">
        <v>17</v>
      </c>
      <c r="B899" s="220" t="str">
        <f>VLOOKUP(Tabel10[[#This Row],[Code]],Ruimtegroepen[[Code]:[Ruimte omschrijving]],2,FALSE)</f>
        <v>Toestelberging</v>
      </c>
      <c r="C899" s="221" t="s">
        <v>1031</v>
      </c>
      <c r="D899" s="220" t="s">
        <v>21</v>
      </c>
      <c r="E899" s="221" t="s">
        <v>99</v>
      </c>
      <c r="F899" s="221" t="s">
        <v>1033</v>
      </c>
      <c r="G899" s="222" t="s">
        <v>18</v>
      </c>
      <c r="H899" s="222" t="s">
        <v>15</v>
      </c>
      <c r="I899" s="222" t="s">
        <v>281</v>
      </c>
      <c r="J899" s="222" t="s">
        <v>281</v>
      </c>
      <c r="K899" s="222" t="s">
        <v>281</v>
      </c>
      <c r="L899" s="222" t="s">
        <v>281</v>
      </c>
      <c r="M899" s="222" t="s">
        <v>281</v>
      </c>
      <c r="N899" s="222" t="s">
        <v>281</v>
      </c>
      <c r="O899" s="223" t="s">
        <v>20</v>
      </c>
      <c r="P899" s="223" t="s">
        <v>20</v>
      </c>
      <c r="Q899" s="223" t="s">
        <v>15</v>
      </c>
      <c r="R899" s="223" t="s">
        <v>15</v>
      </c>
      <c r="S899" s="223" t="s">
        <v>16</v>
      </c>
      <c r="T899" s="223" t="s">
        <v>328</v>
      </c>
      <c r="U899" s="223" t="s">
        <v>248</v>
      </c>
      <c r="V899" s="223" t="s">
        <v>281</v>
      </c>
      <c r="W899" s="224" t="s">
        <v>281</v>
      </c>
      <c r="X899" s="224" t="s">
        <v>281</v>
      </c>
      <c r="Y899" s="225" t="s">
        <v>281</v>
      </c>
    </row>
    <row r="900" spans="1:25">
      <c r="A900" s="219">
        <v>17</v>
      </c>
      <c r="B900" s="220" t="str">
        <f>VLOOKUP(Tabel10[[#This Row],[Code]],Ruimtegroepen[[Code]:[Ruimte omschrijving]],2,FALSE)</f>
        <v>Toestelberging</v>
      </c>
      <c r="C900" s="221" t="s">
        <v>1031</v>
      </c>
      <c r="D900" s="220" t="s">
        <v>21</v>
      </c>
      <c r="E900" s="221" t="s">
        <v>101</v>
      </c>
      <c r="F900" s="221" t="s">
        <v>1034</v>
      </c>
      <c r="G900" s="226" t="s">
        <v>281</v>
      </c>
      <c r="H900" s="222" t="s">
        <v>281</v>
      </c>
      <c r="I900" s="222" t="s">
        <v>18</v>
      </c>
      <c r="J900" s="222" t="s">
        <v>15</v>
      </c>
      <c r="K900" s="222" t="s">
        <v>282</v>
      </c>
      <c r="L900" s="222" t="s">
        <v>281</v>
      </c>
      <c r="M900" s="222" t="s">
        <v>281</v>
      </c>
      <c r="N900" s="222" t="s">
        <v>281</v>
      </c>
      <c r="O900" s="223" t="s">
        <v>20</v>
      </c>
      <c r="P900" s="223" t="s">
        <v>20</v>
      </c>
      <c r="Q900" s="223" t="s">
        <v>15</v>
      </c>
      <c r="R900" s="223" t="s">
        <v>15</v>
      </c>
      <c r="S900" s="223" t="s">
        <v>16</v>
      </c>
      <c r="T900" s="223" t="s">
        <v>328</v>
      </c>
      <c r="U900" s="223" t="s">
        <v>248</v>
      </c>
      <c r="V900" s="223" t="s">
        <v>281</v>
      </c>
      <c r="W900" s="224" t="s">
        <v>281</v>
      </c>
      <c r="X900" s="224" t="s">
        <v>281</v>
      </c>
      <c r="Y900" s="225" t="s">
        <v>281</v>
      </c>
    </row>
    <row r="901" spans="1:25">
      <c r="A901" s="219">
        <v>17</v>
      </c>
      <c r="B901" s="220" t="str">
        <f>VLOOKUP(Tabel10[[#This Row],[Code]],Ruimtegroepen[[Code]:[Ruimte omschrijving]],2,FALSE)</f>
        <v>Toestelberging</v>
      </c>
      <c r="C901" s="221" t="s">
        <v>1031</v>
      </c>
      <c r="D901" s="220" t="s">
        <v>21</v>
      </c>
      <c r="E901" s="221" t="s">
        <v>102</v>
      </c>
      <c r="F901" s="221" t="s">
        <v>1035</v>
      </c>
      <c r="G901" s="226" t="s">
        <v>281</v>
      </c>
      <c r="H901" s="222" t="s">
        <v>281</v>
      </c>
      <c r="I901" s="222" t="s">
        <v>18</v>
      </c>
      <c r="J901" s="222" t="s">
        <v>15</v>
      </c>
      <c r="K901" s="222" t="s">
        <v>282</v>
      </c>
      <c r="L901" s="222" t="s">
        <v>281</v>
      </c>
      <c r="M901" s="222" t="s">
        <v>281</v>
      </c>
      <c r="N901" s="222" t="s">
        <v>281</v>
      </c>
      <c r="O901" s="223" t="s">
        <v>20</v>
      </c>
      <c r="P901" s="223" t="s">
        <v>20</v>
      </c>
      <c r="Q901" s="223" t="s">
        <v>15</v>
      </c>
      <c r="R901" s="223" t="s">
        <v>15</v>
      </c>
      <c r="S901" s="223" t="s">
        <v>16</v>
      </c>
      <c r="T901" s="223" t="s">
        <v>328</v>
      </c>
      <c r="U901" s="223" t="s">
        <v>248</v>
      </c>
      <c r="V901" s="223" t="s">
        <v>281</v>
      </c>
      <c r="W901" s="224" t="s">
        <v>281</v>
      </c>
      <c r="X901" s="224" t="s">
        <v>281</v>
      </c>
      <c r="Y901" s="225" t="s">
        <v>281</v>
      </c>
    </row>
    <row r="902" spans="1:25">
      <c r="A902" s="219">
        <v>17</v>
      </c>
      <c r="B902" s="220" t="str">
        <f>VLOOKUP(Tabel10[[#This Row],[Code]],Ruimtegroepen[[Code]:[Ruimte omschrijving]],2,FALSE)</f>
        <v>Toestelberging</v>
      </c>
      <c r="C902" s="221" t="s">
        <v>1031</v>
      </c>
      <c r="D902" s="220" t="s">
        <v>21</v>
      </c>
      <c r="E902" s="221" t="s">
        <v>99</v>
      </c>
      <c r="F902" s="221" t="s">
        <v>1033</v>
      </c>
      <c r="G902" s="226" t="s">
        <v>281</v>
      </c>
      <c r="H902" s="222" t="s">
        <v>20</v>
      </c>
      <c r="I902" s="222" t="s">
        <v>281</v>
      </c>
      <c r="J902" s="222" t="s">
        <v>281</v>
      </c>
      <c r="K902" s="222" t="s">
        <v>281</v>
      </c>
      <c r="L902" s="222" t="s">
        <v>281</v>
      </c>
      <c r="M902" s="222" t="s">
        <v>281</v>
      </c>
      <c r="N902" s="222" t="s">
        <v>281</v>
      </c>
      <c r="O902" s="223" t="s">
        <v>20</v>
      </c>
      <c r="P902" s="223" t="s">
        <v>20</v>
      </c>
      <c r="Q902" s="223" t="s">
        <v>15</v>
      </c>
      <c r="R902" s="223" t="s">
        <v>15</v>
      </c>
      <c r="S902" s="223" t="s">
        <v>16</v>
      </c>
      <c r="T902" s="223" t="s">
        <v>328</v>
      </c>
      <c r="U902" s="223" t="s">
        <v>248</v>
      </c>
      <c r="V902" s="223" t="s">
        <v>281</v>
      </c>
      <c r="W902" s="224" t="s">
        <v>281</v>
      </c>
      <c r="X902" s="224" t="s">
        <v>281</v>
      </c>
      <c r="Y902" s="225" t="s">
        <v>281</v>
      </c>
    </row>
    <row r="903" spans="1:25">
      <c r="A903" s="219">
        <v>17</v>
      </c>
      <c r="B903" s="220" t="str">
        <f>VLOOKUP(Tabel10[[#This Row],[Code]],Ruimtegroepen[[Code]:[Ruimte omschrijving]],2,FALSE)</f>
        <v>Toestelberging</v>
      </c>
      <c r="C903" s="221" t="s">
        <v>1031</v>
      </c>
      <c r="D903" s="220" t="s">
        <v>21</v>
      </c>
      <c r="E903" s="221" t="s">
        <v>1309</v>
      </c>
      <c r="F903" s="221" t="s">
        <v>1457</v>
      </c>
      <c r="G903" s="226" t="s">
        <v>281</v>
      </c>
      <c r="H903" s="222" t="s">
        <v>281</v>
      </c>
      <c r="I903" s="222" t="s">
        <v>18</v>
      </c>
      <c r="J903" s="222" t="s">
        <v>15</v>
      </c>
      <c r="K903" s="222" t="s">
        <v>282</v>
      </c>
      <c r="L903" s="222" t="s">
        <v>281</v>
      </c>
      <c r="M903" s="222" t="s">
        <v>281</v>
      </c>
      <c r="N903" s="222" t="s">
        <v>281</v>
      </c>
      <c r="O903" s="223" t="s">
        <v>20</v>
      </c>
      <c r="P903" s="223" t="s">
        <v>20</v>
      </c>
      <c r="Q903" s="223" t="s">
        <v>15</v>
      </c>
      <c r="R903" s="223" t="s">
        <v>15</v>
      </c>
      <c r="S903" s="223" t="s">
        <v>16</v>
      </c>
      <c r="T903" s="223" t="s">
        <v>328</v>
      </c>
      <c r="U903" s="223" t="s">
        <v>248</v>
      </c>
      <c r="V903" s="223" t="s">
        <v>281</v>
      </c>
      <c r="W903" s="224" t="s">
        <v>281</v>
      </c>
      <c r="X903" s="224" t="s">
        <v>281</v>
      </c>
      <c r="Y903" s="225" t="s">
        <v>281</v>
      </c>
    </row>
    <row r="904" spans="1:25">
      <c r="A904" s="219">
        <v>17</v>
      </c>
      <c r="B904" s="220" t="str">
        <f>VLOOKUP(Tabel10[[#This Row],[Code]],Ruimtegroepen[[Code]:[Ruimte omschrijving]],2,FALSE)</f>
        <v>Toestelberging</v>
      </c>
      <c r="C904" s="221" t="s">
        <v>1036</v>
      </c>
      <c r="D904" s="220" t="s">
        <v>12</v>
      </c>
      <c r="E904" s="221" t="s">
        <v>100</v>
      </c>
      <c r="F904" s="221" t="s">
        <v>1037</v>
      </c>
      <c r="G904" s="226" t="s">
        <v>281</v>
      </c>
      <c r="H904" s="222" t="s">
        <v>281</v>
      </c>
      <c r="I904" s="222" t="s">
        <v>17</v>
      </c>
      <c r="J904" s="222" t="s">
        <v>15</v>
      </c>
      <c r="K904" s="222" t="s">
        <v>281</v>
      </c>
      <c r="L904" s="222" t="s">
        <v>281</v>
      </c>
      <c r="M904" s="222" t="s">
        <v>281</v>
      </c>
      <c r="N904" s="222" t="s">
        <v>281</v>
      </c>
      <c r="O904" s="223" t="s">
        <v>18</v>
      </c>
      <c r="P904" s="223" t="s">
        <v>18</v>
      </c>
      <c r="Q904" s="223" t="s">
        <v>15</v>
      </c>
      <c r="R904" s="223" t="s">
        <v>15</v>
      </c>
      <c r="S904" s="223" t="s">
        <v>16</v>
      </c>
      <c r="T904" s="223" t="s">
        <v>328</v>
      </c>
      <c r="U904" s="223" t="s">
        <v>248</v>
      </c>
      <c r="V904" s="223" t="s">
        <v>281</v>
      </c>
      <c r="W904" s="224" t="s">
        <v>281</v>
      </c>
      <c r="X904" s="224" t="s">
        <v>281</v>
      </c>
      <c r="Y904" s="225" t="s">
        <v>281</v>
      </c>
    </row>
    <row r="905" spans="1:25">
      <c r="A905" s="219">
        <v>17</v>
      </c>
      <c r="B905" s="220" t="str">
        <f>VLOOKUP(Tabel10[[#This Row],[Code]],Ruimtegroepen[[Code]:[Ruimte omschrijving]],2,FALSE)</f>
        <v>Toestelberging</v>
      </c>
      <c r="C905" s="221" t="s">
        <v>1036</v>
      </c>
      <c r="D905" s="220" t="s">
        <v>12</v>
      </c>
      <c r="E905" s="221" t="s">
        <v>99</v>
      </c>
      <c r="F905" s="221" t="s">
        <v>1038</v>
      </c>
      <c r="G905" s="222" t="s">
        <v>17</v>
      </c>
      <c r="H905" s="222" t="s">
        <v>15</v>
      </c>
      <c r="I905" s="222" t="s">
        <v>281</v>
      </c>
      <c r="J905" s="222" t="s">
        <v>281</v>
      </c>
      <c r="K905" s="222" t="s">
        <v>281</v>
      </c>
      <c r="L905" s="222" t="s">
        <v>281</v>
      </c>
      <c r="M905" s="222" t="s">
        <v>281</v>
      </c>
      <c r="N905" s="222" t="s">
        <v>281</v>
      </c>
      <c r="O905" s="223" t="s">
        <v>18</v>
      </c>
      <c r="P905" s="223" t="s">
        <v>18</v>
      </c>
      <c r="Q905" s="223" t="s">
        <v>15</v>
      </c>
      <c r="R905" s="223" t="s">
        <v>15</v>
      </c>
      <c r="S905" s="223" t="s">
        <v>16</v>
      </c>
      <c r="T905" s="223" t="s">
        <v>328</v>
      </c>
      <c r="U905" s="223" t="s">
        <v>248</v>
      </c>
      <c r="V905" s="223" t="s">
        <v>281</v>
      </c>
      <c r="W905" s="224" t="s">
        <v>281</v>
      </c>
      <c r="X905" s="224" t="s">
        <v>281</v>
      </c>
      <c r="Y905" s="225" t="s">
        <v>281</v>
      </c>
    </row>
    <row r="906" spans="1:25">
      <c r="A906" s="219">
        <v>17</v>
      </c>
      <c r="B906" s="220" t="str">
        <f>VLOOKUP(Tabel10[[#This Row],[Code]],Ruimtegroepen[[Code]:[Ruimte omschrijving]],2,FALSE)</f>
        <v>Toestelberging</v>
      </c>
      <c r="C906" s="221" t="s">
        <v>1036</v>
      </c>
      <c r="D906" s="220" t="s">
        <v>12</v>
      </c>
      <c r="E906" s="221" t="s">
        <v>101</v>
      </c>
      <c r="F906" s="221" t="s">
        <v>1039</v>
      </c>
      <c r="G906" s="226" t="s">
        <v>281</v>
      </c>
      <c r="H906" s="222" t="s">
        <v>281</v>
      </c>
      <c r="I906" s="222" t="s">
        <v>17</v>
      </c>
      <c r="J906" s="222" t="s">
        <v>15</v>
      </c>
      <c r="K906" s="222" t="s">
        <v>282</v>
      </c>
      <c r="L906" s="222" t="s">
        <v>281</v>
      </c>
      <c r="M906" s="222" t="s">
        <v>281</v>
      </c>
      <c r="N906" s="222" t="s">
        <v>281</v>
      </c>
      <c r="O906" s="223" t="s">
        <v>18</v>
      </c>
      <c r="P906" s="223" t="s">
        <v>18</v>
      </c>
      <c r="Q906" s="223" t="s">
        <v>15</v>
      </c>
      <c r="R906" s="223" t="s">
        <v>15</v>
      </c>
      <c r="S906" s="223" t="s">
        <v>16</v>
      </c>
      <c r="T906" s="223" t="s">
        <v>328</v>
      </c>
      <c r="U906" s="223" t="s">
        <v>248</v>
      </c>
      <c r="V906" s="223" t="s">
        <v>281</v>
      </c>
      <c r="W906" s="224" t="s">
        <v>281</v>
      </c>
      <c r="X906" s="224" t="s">
        <v>281</v>
      </c>
      <c r="Y906" s="225" t="s">
        <v>281</v>
      </c>
    </row>
    <row r="907" spans="1:25">
      <c r="A907" s="219">
        <v>17</v>
      </c>
      <c r="B907" s="220" t="str">
        <f>VLOOKUP(Tabel10[[#This Row],[Code]],Ruimtegroepen[[Code]:[Ruimte omschrijving]],2,FALSE)</f>
        <v>Toestelberging</v>
      </c>
      <c r="C907" s="221" t="s">
        <v>1036</v>
      </c>
      <c r="D907" s="220" t="s">
        <v>12</v>
      </c>
      <c r="E907" s="221" t="s">
        <v>102</v>
      </c>
      <c r="F907" s="221" t="s">
        <v>1040</v>
      </c>
      <c r="G907" s="226" t="s">
        <v>281</v>
      </c>
      <c r="H907" s="222" t="s">
        <v>281</v>
      </c>
      <c r="I907" s="222" t="s">
        <v>17</v>
      </c>
      <c r="J907" s="222" t="s">
        <v>15</v>
      </c>
      <c r="K907" s="222" t="s">
        <v>282</v>
      </c>
      <c r="L907" s="222" t="s">
        <v>281</v>
      </c>
      <c r="M907" s="222" t="s">
        <v>281</v>
      </c>
      <c r="N907" s="222" t="s">
        <v>281</v>
      </c>
      <c r="O907" s="223" t="s">
        <v>18</v>
      </c>
      <c r="P907" s="223" t="s">
        <v>18</v>
      </c>
      <c r="Q907" s="223" t="s">
        <v>15</v>
      </c>
      <c r="R907" s="223" t="s">
        <v>15</v>
      </c>
      <c r="S907" s="223" t="s">
        <v>16</v>
      </c>
      <c r="T907" s="223" t="s">
        <v>328</v>
      </c>
      <c r="U907" s="223" t="s">
        <v>248</v>
      </c>
      <c r="V907" s="223" t="s">
        <v>281</v>
      </c>
      <c r="W907" s="224" t="s">
        <v>281</v>
      </c>
      <c r="X907" s="224" t="s">
        <v>281</v>
      </c>
      <c r="Y907" s="225" t="s">
        <v>281</v>
      </c>
    </row>
    <row r="908" spans="1:25">
      <c r="A908" s="219">
        <v>17</v>
      </c>
      <c r="B908" s="220" t="str">
        <f>VLOOKUP(Tabel10[[#This Row],[Code]],Ruimtegroepen[[Code]:[Ruimte omschrijving]],2,FALSE)</f>
        <v>Toestelberging</v>
      </c>
      <c r="C908" s="221" t="s">
        <v>1036</v>
      </c>
      <c r="D908" s="220" t="s">
        <v>12</v>
      </c>
      <c r="E908" s="221" t="s">
        <v>99</v>
      </c>
      <c r="F908" s="221" t="s">
        <v>1038</v>
      </c>
      <c r="G908" s="226" t="s">
        <v>281</v>
      </c>
      <c r="H908" s="222" t="s">
        <v>18</v>
      </c>
      <c r="I908" s="222" t="s">
        <v>281</v>
      </c>
      <c r="J908" s="222" t="s">
        <v>281</v>
      </c>
      <c r="K908" s="222" t="s">
        <v>281</v>
      </c>
      <c r="L908" s="222" t="s">
        <v>281</v>
      </c>
      <c r="M908" s="222" t="s">
        <v>281</v>
      </c>
      <c r="N908" s="222" t="s">
        <v>281</v>
      </c>
      <c r="O908" s="223" t="s">
        <v>18</v>
      </c>
      <c r="P908" s="223" t="s">
        <v>18</v>
      </c>
      <c r="Q908" s="223" t="s">
        <v>15</v>
      </c>
      <c r="R908" s="223" t="s">
        <v>15</v>
      </c>
      <c r="S908" s="223" t="s">
        <v>16</v>
      </c>
      <c r="T908" s="223" t="s">
        <v>328</v>
      </c>
      <c r="U908" s="223" t="s">
        <v>248</v>
      </c>
      <c r="V908" s="223" t="s">
        <v>281</v>
      </c>
      <c r="W908" s="224" t="s">
        <v>281</v>
      </c>
      <c r="X908" s="224" t="s">
        <v>281</v>
      </c>
      <c r="Y908" s="225" t="s">
        <v>281</v>
      </c>
    </row>
    <row r="909" spans="1:25">
      <c r="A909" s="219">
        <v>17</v>
      </c>
      <c r="B909" s="220" t="str">
        <f>VLOOKUP(Tabel10[[#This Row],[Code]],Ruimtegroepen[[Code]:[Ruimte omschrijving]],2,FALSE)</f>
        <v>Toestelberging</v>
      </c>
      <c r="C909" s="221" t="s">
        <v>1036</v>
      </c>
      <c r="D909" s="220" t="s">
        <v>12</v>
      </c>
      <c r="E909" s="221" t="s">
        <v>1309</v>
      </c>
      <c r="F909" s="221" t="s">
        <v>1439</v>
      </c>
      <c r="G909" s="226" t="s">
        <v>281</v>
      </c>
      <c r="H909" s="222" t="s">
        <v>281</v>
      </c>
      <c r="I909" s="222" t="s">
        <v>17</v>
      </c>
      <c r="J909" s="222" t="s">
        <v>15</v>
      </c>
      <c r="K909" s="222" t="s">
        <v>282</v>
      </c>
      <c r="L909" s="222" t="s">
        <v>281</v>
      </c>
      <c r="M909" s="222" t="s">
        <v>281</v>
      </c>
      <c r="N909" s="222" t="s">
        <v>281</v>
      </c>
      <c r="O909" s="223" t="s">
        <v>18</v>
      </c>
      <c r="P909" s="223" t="s">
        <v>18</v>
      </c>
      <c r="Q909" s="223" t="s">
        <v>15</v>
      </c>
      <c r="R909" s="223" t="s">
        <v>15</v>
      </c>
      <c r="S909" s="223" t="s">
        <v>16</v>
      </c>
      <c r="T909" s="223" t="s">
        <v>328</v>
      </c>
      <c r="U909" s="223" t="s">
        <v>248</v>
      </c>
      <c r="V909" s="223" t="s">
        <v>281</v>
      </c>
      <c r="W909" s="224" t="s">
        <v>281</v>
      </c>
      <c r="X909" s="224" t="s">
        <v>281</v>
      </c>
      <c r="Y909" s="225" t="s">
        <v>281</v>
      </c>
    </row>
    <row r="910" spans="1:25">
      <c r="A910" s="219">
        <v>17</v>
      </c>
      <c r="B910" s="220" t="str">
        <f>VLOOKUP(Tabel10[[#This Row],[Code]],Ruimtegroepen[[Code]:[Ruimte omschrijving]],2,FALSE)</f>
        <v>Toestelberging</v>
      </c>
      <c r="C910" s="221" t="s">
        <v>1041</v>
      </c>
      <c r="D910" s="220" t="s">
        <v>14</v>
      </c>
      <c r="E910" s="221" t="s">
        <v>100</v>
      </c>
      <c r="F910" s="221" t="s">
        <v>1042</v>
      </c>
      <c r="G910" s="226" t="s">
        <v>281</v>
      </c>
      <c r="H910" s="222" t="s">
        <v>281</v>
      </c>
      <c r="I910" s="222" t="s">
        <v>15</v>
      </c>
      <c r="J910" s="222" t="s">
        <v>15</v>
      </c>
      <c r="K910" s="222" t="s">
        <v>281</v>
      </c>
      <c r="L910" s="222" t="s">
        <v>281</v>
      </c>
      <c r="M910" s="222" t="s">
        <v>281</v>
      </c>
      <c r="N910" s="222" t="s">
        <v>281</v>
      </c>
      <c r="O910" s="223" t="s">
        <v>17</v>
      </c>
      <c r="P910" s="223" t="s">
        <v>17</v>
      </c>
      <c r="Q910" s="223" t="s">
        <v>15</v>
      </c>
      <c r="R910" s="223" t="s">
        <v>15</v>
      </c>
      <c r="S910" s="223" t="s">
        <v>16</v>
      </c>
      <c r="T910" s="223" t="s">
        <v>328</v>
      </c>
      <c r="U910" s="223" t="s">
        <v>248</v>
      </c>
      <c r="V910" s="223" t="s">
        <v>281</v>
      </c>
      <c r="W910" s="224" t="s">
        <v>281</v>
      </c>
      <c r="X910" s="224" t="s">
        <v>281</v>
      </c>
      <c r="Y910" s="225" t="s">
        <v>281</v>
      </c>
    </row>
    <row r="911" spans="1:25">
      <c r="A911" s="219">
        <v>17</v>
      </c>
      <c r="B911" s="220" t="str">
        <f>VLOOKUP(Tabel10[[#This Row],[Code]],Ruimtegroepen[[Code]:[Ruimte omschrijving]],2,FALSE)</f>
        <v>Toestelberging</v>
      </c>
      <c r="C911" s="221" t="s">
        <v>1041</v>
      </c>
      <c r="D911" s="220" t="s">
        <v>14</v>
      </c>
      <c r="E911" s="221" t="s">
        <v>99</v>
      </c>
      <c r="F911" s="221" t="s">
        <v>1043</v>
      </c>
      <c r="G911" s="222" t="s">
        <v>15</v>
      </c>
      <c r="H911" s="222" t="s">
        <v>15</v>
      </c>
      <c r="I911" s="222" t="s">
        <v>281</v>
      </c>
      <c r="J911" s="222" t="s">
        <v>281</v>
      </c>
      <c r="K911" s="222" t="s">
        <v>281</v>
      </c>
      <c r="L911" s="222" t="s">
        <v>281</v>
      </c>
      <c r="M911" s="222" t="s">
        <v>281</v>
      </c>
      <c r="N911" s="222" t="s">
        <v>281</v>
      </c>
      <c r="O911" s="223" t="s">
        <v>17</v>
      </c>
      <c r="P911" s="223" t="s">
        <v>17</v>
      </c>
      <c r="Q911" s="223" t="s">
        <v>15</v>
      </c>
      <c r="R911" s="223" t="s">
        <v>15</v>
      </c>
      <c r="S911" s="223" t="s">
        <v>16</v>
      </c>
      <c r="T911" s="223" t="s">
        <v>328</v>
      </c>
      <c r="U911" s="223" t="s">
        <v>248</v>
      </c>
      <c r="V911" s="223" t="s">
        <v>281</v>
      </c>
      <c r="W911" s="224" t="s">
        <v>281</v>
      </c>
      <c r="X911" s="224" t="s">
        <v>281</v>
      </c>
      <c r="Y911" s="225" t="s">
        <v>281</v>
      </c>
    </row>
    <row r="912" spans="1:25">
      <c r="A912" s="219">
        <v>17</v>
      </c>
      <c r="B912" s="220" t="str">
        <f>VLOOKUP(Tabel10[[#This Row],[Code]],Ruimtegroepen[[Code]:[Ruimte omschrijving]],2,FALSE)</f>
        <v>Toestelberging</v>
      </c>
      <c r="C912" s="221" t="s">
        <v>1041</v>
      </c>
      <c r="D912" s="220" t="s">
        <v>14</v>
      </c>
      <c r="E912" s="221" t="s">
        <v>101</v>
      </c>
      <c r="F912" s="221" t="s">
        <v>1044</v>
      </c>
      <c r="G912" s="226" t="s">
        <v>281</v>
      </c>
      <c r="H912" s="222" t="s">
        <v>281</v>
      </c>
      <c r="I912" s="222" t="s">
        <v>15</v>
      </c>
      <c r="J912" s="222" t="s">
        <v>15</v>
      </c>
      <c r="K912" s="222" t="s">
        <v>282</v>
      </c>
      <c r="L912" s="222" t="s">
        <v>281</v>
      </c>
      <c r="M912" s="222" t="s">
        <v>281</v>
      </c>
      <c r="N912" s="222" t="s">
        <v>281</v>
      </c>
      <c r="O912" s="223" t="s">
        <v>17</v>
      </c>
      <c r="P912" s="223" t="s">
        <v>17</v>
      </c>
      <c r="Q912" s="223" t="s">
        <v>15</v>
      </c>
      <c r="R912" s="223" t="s">
        <v>15</v>
      </c>
      <c r="S912" s="223" t="s">
        <v>16</v>
      </c>
      <c r="T912" s="223" t="s">
        <v>328</v>
      </c>
      <c r="U912" s="223" t="s">
        <v>248</v>
      </c>
      <c r="V912" s="223" t="s">
        <v>281</v>
      </c>
      <c r="W912" s="224" t="s">
        <v>281</v>
      </c>
      <c r="X912" s="224" t="s">
        <v>281</v>
      </c>
      <c r="Y912" s="225" t="s">
        <v>281</v>
      </c>
    </row>
    <row r="913" spans="1:25">
      <c r="A913" s="219">
        <v>17</v>
      </c>
      <c r="B913" s="220" t="str">
        <f>VLOOKUP(Tabel10[[#This Row],[Code]],Ruimtegroepen[[Code]:[Ruimte omschrijving]],2,FALSE)</f>
        <v>Toestelberging</v>
      </c>
      <c r="C913" s="221" t="s">
        <v>1041</v>
      </c>
      <c r="D913" s="220" t="s">
        <v>14</v>
      </c>
      <c r="E913" s="221" t="s">
        <v>102</v>
      </c>
      <c r="F913" s="221" t="s">
        <v>1045</v>
      </c>
      <c r="G913" s="226" t="s">
        <v>281</v>
      </c>
      <c r="H913" s="222" t="s">
        <v>281</v>
      </c>
      <c r="I913" s="222" t="s">
        <v>15</v>
      </c>
      <c r="J913" s="222" t="s">
        <v>15</v>
      </c>
      <c r="K913" s="222" t="s">
        <v>282</v>
      </c>
      <c r="L913" s="222" t="s">
        <v>281</v>
      </c>
      <c r="M913" s="222" t="s">
        <v>281</v>
      </c>
      <c r="N913" s="222" t="s">
        <v>281</v>
      </c>
      <c r="O913" s="223" t="s">
        <v>17</v>
      </c>
      <c r="P913" s="223" t="s">
        <v>17</v>
      </c>
      <c r="Q913" s="223" t="s">
        <v>15</v>
      </c>
      <c r="R913" s="223" t="s">
        <v>15</v>
      </c>
      <c r="S913" s="223" t="s">
        <v>16</v>
      </c>
      <c r="T913" s="223" t="s">
        <v>328</v>
      </c>
      <c r="U913" s="223" t="s">
        <v>248</v>
      </c>
      <c r="V913" s="223" t="s">
        <v>281</v>
      </c>
      <c r="W913" s="224" t="s">
        <v>281</v>
      </c>
      <c r="X913" s="224" t="s">
        <v>281</v>
      </c>
      <c r="Y913" s="225" t="s">
        <v>281</v>
      </c>
    </row>
    <row r="914" spans="1:25">
      <c r="A914" s="219">
        <v>17</v>
      </c>
      <c r="B914" s="220" t="str">
        <f>VLOOKUP(Tabel10[[#This Row],[Code]],Ruimtegroepen[[Code]:[Ruimte omschrijving]],2,FALSE)</f>
        <v>Toestelberging</v>
      </c>
      <c r="C914" s="221" t="s">
        <v>1041</v>
      </c>
      <c r="D914" s="220" t="s">
        <v>14</v>
      </c>
      <c r="E914" s="221" t="s">
        <v>99</v>
      </c>
      <c r="F914" s="221" t="s">
        <v>1043</v>
      </c>
      <c r="G914" s="226" t="s">
        <v>281</v>
      </c>
      <c r="H914" s="222" t="s">
        <v>17</v>
      </c>
      <c r="I914" s="222" t="s">
        <v>281</v>
      </c>
      <c r="J914" s="222" t="s">
        <v>281</v>
      </c>
      <c r="K914" s="222" t="s">
        <v>281</v>
      </c>
      <c r="L914" s="222" t="s">
        <v>281</v>
      </c>
      <c r="M914" s="222" t="s">
        <v>281</v>
      </c>
      <c r="N914" s="222" t="s">
        <v>281</v>
      </c>
      <c r="O914" s="223" t="s">
        <v>17</v>
      </c>
      <c r="P914" s="223" t="s">
        <v>17</v>
      </c>
      <c r="Q914" s="223" t="s">
        <v>15</v>
      </c>
      <c r="R914" s="223" t="s">
        <v>15</v>
      </c>
      <c r="S914" s="223" t="s">
        <v>16</v>
      </c>
      <c r="T914" s="223" t="s">
        <v>328</v>
      </c>
      <c r="U914" s="223" t="s">
        <v>248</v>
      </c>
      <c r="V914" s="223" t="s">
        <v>281</v>
      </c>
      <c r="W914" s="224" t="s">
        <v>281</v>
      </c>
      <c r="X914" s="224" t="s">
        <v>281</v>
      </c>
      <c r="Y914" s="225" t="s">
        <v>281</v>
      </c>
    </row>
    <row r="915" spans="1:25">
      <c r="A915" s="219">
        <v>17</v>
      </c>
      <c r="B915" s="220" t="str">
        <f>VLOOKUP(Tabel10[[#This Row],[Code]],Ruimtegroepen[[Code]:[Ruimte omschrijving]],2,FALSE)</f>
        <v>Toestelberging</v>
      </c>
      <c r="C915" s="221" t="s">
        <v>1041</v>
      </c>
      <c r="D915" s="220" t="s">
        <v>14</v>
      </c>
      <c r="E915" s="221" t="s">
        <v>1309</v>
      </c>
      <c r="F915" s="221" t="s">
        <v>1406</v>
      </c>
      <c r="G915" s="226" t="s">
        <v>281</v>
      </c>
      <c r="H915" s="222" t="s">
        <v>281</v>
      </c>
      <c r="I915" s="222" t="s">
        <v>15</v>
      </c>
      <c r="J915" s="222" t="s">
        <v>15</v>
      </c>
      <c r="K915" s="222" t="s">
        <v>282</v>
      </c>
      <c r="L915" s="222" t="s">
        <v>281</v>
      </c>
      <c r="M915" s="222" t="s">
        <v>281</v>
      </c>
      <c r="N915" s="222" t="s">
        <v>281</v>
      </c>
      <c r="O915" s="223" t="s">
        <v>17</v>
      </c>
      <c r="P915" s="223" t="s">
        <v>17</v>
      </c>
      <c r="Q915" s="223" t="s">
        <v>15</v>
      </c>
      <c r="R915" s="223" t="s">
        <v>15</v>
      </c>
      <c r="S915" s="223" t="s">
        <v>16</v>
      </c>
      <c r="T915" s="223" t="s">
        <v>328</v>
      </c>
      <c r="U915" s="223" t="s">
        <v>248</v>
      </c>
      <c r="V915" s="223" t="s">
        <v>281</v>
      </c>
      <c r="W915" s="224" t="s">
        <v>281</v>
      </c>
      <c r="X915" s="224" t="s">
        <v>281</v>
      </c>
      <c r="Y915" s="225" t="s">
        <v>281</v>
      </c>
    </row>
    <row r="916" spans="1:25">
      <c r="A916" s="219">
        <v>17</v>
      </c>
      <c r="B916" s="220" t="str">
        <f>VLOOKUP(Tabel10[[#This Row],[Code]],Ruimtegroepen[[Code]:[Ruimte omschrijving]],2,FALSE)</f>
        <v>Toestelberging</v>
      </c>
      <c r="C916" s="221" t="s">
        <v>1046</v>
      </c>
      <c r="D916" s="220" t="s">
        <v>13</v>
      </c>
      <c r="E916" s="221" t="s">
        <v>100</v>
      </c>
      <c r="F916" s="221" t="s">
        <v>1047</v>
      </c>
      <c r="G916" s="226" t="s">
        <v>281</v>
      </c>
      <c r="H916" s="222" t="s">
        <v>281</v>
      </c>
      <c r="I916" s="222" t="s">
        <v>281</v>
      </c>
      <c r="J916" s="222" t="s">
        <v>15</v>
      </c>
      <c r="K916" s="222" t="s">
        <v>281</v>
      </c>
      <c r="L916" s="222" t="s">
        <v>281</v>
      </c>
      <c r="M916" s="222" t="s">
        <v>281</v>
      </c>
      <c r="N916" s="222" t="s">
        <v>281</v>
      </c>
      <c r="O916" s="223" t="s">
        <v>15</v>
      </c>
      <c r="P916" s="223" t="s">
        <v>15</v>
      </c>
      <c r="Q916" s="223" t="s">
        <v>15</v>
      </c>
      <c r="R916" s="223" t="s">
        <v>15</v>
      </c>
      <c r="S916" s="223" t="s">
        <v>16</v>
      </c>
      <c r="T916" s="223" t="s">
        <v>328</v>
      </c>
      <c r="U916" s="223" t="s">
        <v>248</v>
      </c>
      <c r="V916" s="223" t="s">
        <v>281</v>
      </c>
      <c r="W916" s="224" t="s">
        <v>281</v>
      </c>
      <c r="X916" s="224" t="s">
        <v>281</v>
      </c>
      <c r="Y916" s="225" t="s">
        <v>281</v>
      </c>
    </row>
    <row r="917" spans="1:25">
      <c r="A917" s="219">
        <v>17</v>
      </c>
      <c r="B917" s="220" t="str">
        <f>VLOOKUP(Tabel10[[#This Row],[Code]],Ruimtegroepen[[Code]:[Ruimte omschrijving]],2,FALSE)</f>
        <v>Toestelberging</v>
      </c>
      <c r="C917" s="221" t="s">
        <v>1046</v>
      </c>
      <c r="D917" s="220" t="s">
        <v>13</v>
      </c>
      <c r="E917" s="221" t="s">
        <v>99</v>
      </c>
      <c r="F917" s="221" t="s">
        <v>1048</v>
      </c>
      <c r="G917" s="226" t="s">
        <v>281</v>
      </c>
      <c r="H917" s="222" t="s">
        <v>15</v>
      </c>
      <c r="I917" s="222" t="s">
        <v>281</v>
      </c>
      <c r="J917" s="222" t="s">
        <v>281</v>
      </c>
      <c r="K917" s="222" t="s">
        <v>281</v>
      </c>
      <c r="L917" s="222" t="s">
        <v>281</v>
      </c>
      <c r="M917" s="222" t="s">
        <v>281</v>
      </c>
      <c r="N917" s="222" t="s">
        <v>281</v>
      </c>
      <c r="O917" s="223" t="s">
        <v>15</v>
      </c>
      <c r="P917" s="223" t="s">
        <v>15</v>
      </c>
      <c r="Q917" s="223" t="s">
        <v>15</v>
      </c>
      <c r="R917" s="223" t="s">
        <v>15</v>
      </c>
      <c r="S917" s="223" t="s">
        <v>16</v>
      </c>
      <c r="T917" s="223" t="s">
        <v>328</v>
      </c>
      <c r="U917" s="223" t="s">
        <v>248</v>
      </c>
      <c r="V917" s="223" t="s">
        <v>281</v>
      </c>
      <c r="W917" s="224" t="s">
        <v>281</v>
      </c>
      <c r="X917" s="224" t="s">
        <v>281</v>
      </c>
      <c r="Y917" s="225" t="s">
        <v>281</v>
      </c>
    </row>
    <row r="918" spans="1:25">
      <c r="A918" s="219">
        <v>17</v>
      </c>
      <c r="B918" s="220" t="str">
        <f>VLOOKUP(Tabel10[[#This Row],[Code]],Ruimtegroepen[[Code]:[Ruimte omschrijving]],2,FALSE)</f>
        <v>Toestelberging</v>
      </c>
      <c r="C918" s="221" t="s">
        <v>1046</v>
      </c>
      <c r="D918" s="220" t="s">
        <v>13</v>
      </c>
      <c r="E918" s="221" t="s">
        <v>101</v>
      </c>
      <c r="F918" s="221" t="s">
        <v>1049</v>
      </c>
      <c r="G918" s="226" t="s">
        <v>281</v>
      </c>
      <c r="H918" s="222" t="s">
        <v>281</v>
      </c>
      <c r="I918" s="222" t="s">
        <v>281</v>
      </c>
      <c r="J918" s="222" t="s">
        <v>15</v>
      </c>
      <c r="K918" s="222" t="s">
        <v>282</v>
      </c>
      <c r="L918" s="222" t="s">
        <v>281</v>
      </c>
      <c r="M918" s="222" t="s">
        <v>281</v>
      </c>
      <c r="N918" s="222" t="s">
        <v>281</v>
      </c>
      <c r="O918" s="223" t="s">
        <v>15</v>
      </c>
      <c r="P918" s="223" t="s">
        <v>15</v>
      </c>
      <c r="Q918" s="223" t="s">
        <v>15</v>
      </c>
      <c r="R918" s="223" t="s">
        <v>15</v>
      </c>
      <c r="S918" s="223" t="s">
        <v>16</v>
      </c>
      <c r="T918" s="223" t="s">
        <v>328</v>
      </c>
      <c r="U918" s="223" t="s">
        <v>248</v>
      </c>
      <c r="V918" s="223" t="s">
        <v>281</v>
      </c>
      <c r="W918" s="224" t="s">
        <v>281</v>
      </c>
      <c r="X918" s="224" t="s">
        <v>281</v>
      </c>
      <c r="Y918" s="225" t="s">
        <v>281</v>
      </c>
    </row>
    <row r="919" spans="1:25">
      <c r="A919" s="219">
        <v>17</v>
      </c>
      <c r="B919" s="220" t="str">
        <f>VLOOKUP(Tabel10[[#This Row],[Code]],Ruimtegroepen[[Code]:[Ruimte omschrijving]],2,FALSE)</f>
        <v>Toestelberging</v>
      </c>
      <c r="C919" s="221" t="s">
        <v>1046</v>
      </c>
      <c r="D919" s="220" t="s">
        <v>13</v>
      </c>
      <c r="E919" s="221" t="s">
        <v>102</v>
      </c>
      <c r="F919" s="221" t="s">
        <v>1050</v>
      </c>
      <c r="G919" s="226" t="s">
        <v>281</v>
      </c>
      <c r="H919" s="222" t="s">
        <v>281</v>
      </c>
      <c r="I919" s="222" t="s">
        <v>281</v>
      </c>
      <c r="J919" s="222" t="s">
        <v>15</v>
      </c>
      <c r="K919" s="222" t="s">
        <v>282</v>
      </c>
      <c r="L919" s="222" t="s">
        <v>281</v>
      </c>
      <c r="M919" s="222" t="s">
        <v>281</v>
      </c>
      <c r="N919" s="222" t="s">
        <v>281</v>
      </c>
      <c r="O919" s="223" t="s">
        <v>15</v>
      </c>
      <c r="P919" s="223" t="s">
        <v>15</v>
      </c>
      <c r="Q919" s="223" t="s">
        <v>15</v>
      </c>
      <c r="R919" s="223" t="s">
        <v>15</v>
      </c>
      <c r="S919" s="223" t="s">
        <v>16</v>
      </c>
      <c r="T919" s="223" t="s">
        <v>328</v>
      </c>
      <c r="U919" s="223" t="s">
        <v>248</v>
      </c>
      <c r="V919" s="223" t="s">
        <v>281</v>
      </c>
      <c r="W919" s="224" t="s">
        <v>281</v>
      </c>
      <c r="X919" s="224" t="s">
        <v>281</v>
      </c>
      <c r="Y919" s="225" t="s">
        <v>281</v>
      </c>
    </row>
    <row r="920" spans="1:25">
      <c r="A920" s="219">
        <v>17</v>
      </c>
      <c r="B920" s="220" t="str">
        <f>VLOOKUP(Tabel10[[#This Row],[Code]],Ruimtegroepen[[Code]:[Ruimte omschrijving]],2,FALSE)</f>
        <v>Toestelberging</v>
      </c>
      <c r="C920" s="221" t="s">
        <v>1046</v>
      </c>
      <c r="D920" s="220" t="s">
        <v>13</v>
      </c>
      <c r="E920" s="221" t="s">
        <v>99</v>
      </c>
      <c r="F920" s="221" t="s">
        <v>1048</v>
      </c>
      <c r="G920" s="226" t="s">
        <v>281</v>
      </c>
      <c r="H920" s="222" t="s">
        <v>15</v>
      </c>
      <c r="I920" s="222" t="s">
        <v>281</v>
      </c>
      <c r="J920" s="222" t="s">
        <v>281</v>
      </c>
      <c r="K920" s="222" t="s">
        <v>281</v>
      </c>
      <c r="L920" s="222" t="s">
        <v>281</v>
      </c>
      <c r="M920" s="222" t="s">
        <v>281</v>
      </c>
      <c r="N920" s="222" t="s">
        <v>281</v>
      </c>
      <c r="O920" s="223" t="s">
        <v>15</v>
      </c>
      <c r="P920" s="223" t="s">
        <v>15</v>
      </c>
      <c r="Q920" s="223" t="s">
        <v>15</v>
      </c>
      <c r="R920" s="223" t="s">
        <v>15</v>
      </c>
      <c r="S920" s="223" t="s">
        <v>16</v>
      </c>
      <c r="T920" s="223" t="s">
        <v>328</v>
      </c>
      <c r="U920" s="223" t="s">
        <v>248</v>
      </c>
      <c r="V920" s="223" t="s">
        <v>281</v>
      </c>
      <c r="W920" s="224" t="s">
        <v>281</v>
      </c>
      <c r="X920" s="224" t="s">
        <v>281</v>
      </c>
      <c r="Y920" s="225" t="s">
        <v>281</v>
      </c>
    </row>
    <row r="921" spans="1:25">
      <c r="A921" s="219">
        <v>17</v>
      </c>
      <c r="B921" s="220" t="str">
        <f>VLOOKUP(Tabel10[[#This Row],[Code]],Ruimtegroepen[[Code]:[Ruimte omschrijving]],2,FALSE)</f>
        <v>Toestelberging</v>
      </c>
      <c r="C921" s="221" t="s">
        <v>1046</v>
      </c>
      <c r="D921" s="220" t="s">
        <v>13</v>
      </c>
      <c r="E921" s="221" t="s">
        <v>1309</v>
      </c>
      <c r="F921" s="221" t="s">
        <v>1373</v>
      </c>
      <c r="G921" s="226" t="s">
        <v>281</v>
      </c>
      <c r="H921" s="222" t="s">
        <v>281</v>
      </c>
      <c r="I921" s="222" t="s">
        <v>281</v>
      </c>
      <c r="J921" s="222" t="s">
        <v>15</v>
      </c>
      <c r="K921" s="222" t="s">
        <v>282</v>
      </c>
      <c r="L921" s="222" t="s">
        <v>281</v>
      </c>
      <c r="M921" s="222" t="s">
        <v>281</v>
      </c>
      <c r="N921" s="222" t="s">
        <v>281</v>
      </c>
      <c r="O921" s="223" t="s">
        <v>15</v>
      </c>
      <c r="P921" s="223" t="s">
        <v>15</v>
      </c>
      <c r="Q921" s="223" t="s">
        <v>15</v>
      </c>
      <c r="R921" s="223" t="s">
        <v>15</v>
      </c>
      <c r="S921" s="223" t="s">
        <v>16</v>
      </c>
      <c r="T921" s="223" t="s">
        <v>328</v>
      </c>
      <c r="U921" s="223" t="s">
        <v>248</v>
      </c>
      <c r="V921" s="223" t="s">
        <v>281</v>
      </c>
      <c r="W921" s="224" t="s">
        <v>281</v>
      </c>
      <c r="X921" s="224" t="s">
        <v>281</v>
      </c>
      <c r="Y921" s="225" t="s">
        <v>281</v>
      </c>
    </row>
    <row r="922" spans="1:25">
      <c r="A922" s="219">
        <v>17</v>
      </c>
      <c r="B922" s="220" t="str">
        <f>VLOOKUP(Tabel10[[#This Row],[Code]],Ruimtegroepen[[Code]:[Ruimte omschrijving]],2,FALSE)</f>
        <v>Toestelberging</v>
      </c>
      <c r="C922" s="221" t="s">
        <v>1051</v>
      </c>
      <c r="D922" s="220" t="s">
        <v>0</v>
      </c>
      <c r="E922" s="221" t="s">
        <v>100</v>
      </c>
      <c r="F922" s="221" t="s">
        <v>1052</v>
      </c>
      <c r="G922" s="226" t="s">
        <v>281</v>
      </c>
      <c r="H922" s="222" t="s">
        <v>281</v>
      </c>
      <c r="I922" s="222" t="s">
        <v>16</v>
      </c>
      <c r="J922" s="222" t="s">
        <v>281</v>
      </c>
      <c r="K922" s="222" t="s">
        <v>281</v>
      </c>
      <c r="L922" s="222" t="s">
        <v>281</v>
      </c>
      <c r="M922" s="222" t="s">
        <v>281</v>
      </c>
      <c r="N922" s="222" t="s">
        <v>281</v>
      </c>
      <c r="O922" s="223" t="s">
        <v>16</v>
      </c>
      <c r="P922" s="223" t="s">
        <v>16</v>
      </c>
      <c r="Q922" s="223" t="s">
        <v>16</v>
      </c>
      <c r="R922" s="223" t="s">
        <v>16</v>
      </c>
      <c r="S922" s="223" t="s">
        <v>16</v>
      </c>
      <c r="T922" s="223" t="s">
        <v>328</v>
      </c>
      <c r="U922" s="223" t="s">
        <v>248</v>
      </c>
      <c r="V922" s="223" t="s">
        <v>281</v>
      </c>
      <c r="W922" s="224" t="s">
        <v>281</v>
      </c>
      <c r="X922" s="224" t="s">
        <v>281</v>
      </c>
      <c r="Y922" s="225" t="s">
        <v>281</v>
      </c>
    </row>
    <row r="923" spans="1:25">
      <c r="A923" s="219">
        <v>17</v>
      </c>
      <c r="B923" s="220" t="str">
        <f>VLOOKUP(Tabel10[[#This Row],[Code]],Ruimtegroepen[[Code]:[Ruimte omschrijving]],2,FALSE)</f>
        <v>Toestelberging</v>
      </c>
      <c r="C923" s="221" t="s">
        <v>1051</v>
      </c>
      <c r="D923" s="220" t="s">
        <v>0</v>
      </c>
      <c r="E923" s="221" t="s">
        <v>99</v>
      </c>
      <c r="F923" s="221" t="s">
        <v>1053</v>
      </c>
      <c r="G923" s="226" t="s">
        <v>281</v>
      </c>
      <c r="H923" s="222" t="s">
        <v>16</v>
      </c>
      <c r="I923" s="222" t="s">
        <v>281</v>
      </c>
      <c r="J923" s="222" t="s">
        <v>281</v>
      </c>
      <c r="K923" s="222" t="s">
        <v>281</v>
      </c>
      <c r="L923" s="222" t="s">
        <v>281</v>
      </c>
      <c r="M923" s="222" t="s">
        <v>281</v>
      </c>
      <c r="N923" s="222" t="s">
        <v>281</v>
      </c>
      <c r="O923" s="223" t="s">
        <v>16</v>
      </c>
      <c r="P923" s="223" t="s">
        <v>16</v>
      </c>
      <c r="Q923" s="223" t="s">
        <v>16</v>
      </c>
      <c r="R923" s="223" t="s">
        <v>16</v>
      </c>
      <c r="S923" s="223" t="s">
        <v>16</v>
      </c>
      <c r="T923" s="223" t="s">
        <v>328</v>
      </c>
      <c r="U923" s="223" t="s">
        <v>248</v>
      </c>
      <c r="V923" s="223" t="s">
        <v>281</v>
      </c>
      <c r="W923" s="224" t="s">
        <v>281</v>
      </c>
      <c r="X923" s="224" t="s">
        <v>281</v>
      </c>
      <c r="Y923" s="225" t="s">
        <v>281</v>
      </c>
    </row>
    <row r="924" spans="1:25">
      <c r="A924" s="219">
        <v>17</v>
      </c>
      <c r="B924" s="220" t="str">
        <f>VLOOKUP(Tabel10[[#This Row],[Code]],Ruimtegroepen[[Code]:[Ruimte omschrijving]],2,FALSE)</f>
        <v>Toestelberging</v>
      </c>
      <c r="C924" s="221" t="s">
        <v>1051</v>
      </c>
      <c r="D924" s="220" t="s">
        <v>0</v>
      </c>
      <c r="E924" s="221" t="s">
        <v>101</v>
      </c>
      <c r="F924" s="221" t="s">
        <v>1054</v>
      </c>
      <c r="G924" s="226" t="s">
        <v>281</v>
      </c>
      <c r="H924" s="222" t="s">
        <v>281</v>
      </c>
      <c r="I924" s="222" t="s">
        <v>16</v>
      </c>
      <c r="J924" s="222" t="s">
        <v>281</v>
      </c>
      <c r="K924" s="222" t="s">
        <v>282</v>
      </c>
      <c r="L924" s="222" t="s">
        <v>281</v>
      </c>
      <c r="M924" s="222" t="s">
        <v>281</v>
      </c>
      <c r="N924" s="222" t="s">
        <v>281</v>
      </c>
      <c r="O924" s="223" t="s">
        <v>16</v>
      </c>
      <c r="P924" s="223" t="s">
        <v>16</v>
      </c>
      <c r="Q924" s="223" t="s">
        <v>16</v>
      </c>
      <c r="R924" s="223" t="s">
        <v>16</v>
      </c>
      <c r="S924" s="223" t="s">
        <v>16</v>
      </c>
      <c r="T924" s="223" t="s">
        <v>328</v>
      </c>
      <c r="U924" s="223" t="s">
        <v>248</v>
      </c>
      <c r="V924" s="223" t="s">
        <v>281</v>
      </c>
      <c r="W924" s="224" t="s">
        <v>281</v>
      </c>
      <c r="X924" s="224" t="s">
        <v>281</v>
      </c>
      <c r="Y924" s="225" t="s">
        <v>281</v>
      </c>
    </row>
    <row r="925" spans="1:25">
      <c r="A925" s="219">
        <v>17</v>
      </c>
      <c r="B925" s="220" t="str">
        <f>VLOOKUP(Tabel10[[#This Row],[Code]],Ruimtegroepen[[Code]:[Ruimte omschrijving]],2,FALSE)</f>
        <v>Toestelberging</v>
      </c>
      <c r="C925" s="221" t="s">
        <v>1051</v>
      </c>
      <c r="D925" s="220" t="s">
        <v>0</v>
      </c>
      <c r="E925" s="221" t="s">
        <v>102</v>
      </c>
      <c r="F925" s="221" t="s">
        <v>1055</v>
      </c>
      <c r="G925" s="226" t="s">
        <v>281</v>
      </c>
      <c r="H925" s="222" t="s">
        <v>281</v>
      </c>
      <c r="I925" s="222" t="s">
        <v>16</v>
      </c>
      <c r="J925" s="222" t="s">
        <v>281</v>
      </c>
      <c r="K925" s="222" t="s">
        <v>282</v>
      </c>
      <c r="L925" s="222" t="s">
        <v>281</v>
      </c>
      <c r="M925" s="222" t="s">
        <v>281</v>
      </c>
      <c r="N925" s="222" t="s">
        <v>281</v>
      </c>
      <c r="O925" s="223" t="s">
        <v>16</v>
      </c>
      <c r="P925" s="223" t="s">
        <v>16</v>
      </c>
      <c r="Q925" s="223" t="s">
        <v>16</v>
      </c>
      <c r="R925" s="223" t="s">
        <v>16</v>
      </c>
      <c r="S925" s="223" t="s">
        <v>16</v>
      </c>
      <c r="T925" s="223" t="s">
        <v>328</v>
      </c>
      <c r="U925" s="223" t="s">
        <v>248</v>
      </c>
      <c r="V925" s="223" t="s">
        <v>281</v>
      </c>
      <c r="W925" s="224" t="s">
        <v>281</v>
      </c>
      <c r="X925" s="224" t="s">
        <v>281</v>
      </c>
      <c r="Y925" s="225" t="s">
        <v>281</v>
      </c>
    </row>
    <row r="926" spans="1:25">
      <c r="A926" s="219">
        <v>17</v>
      </c>
      <c r="B926" s="220" t="str">
        <f>VLOOKUP(Tabel10[[#This Row],[Code]],Ruimtegroepen[[Code]:[Ruimte omschrijving]],2,FALSE)</f>
        <v>Toestelberging</v>
      </c>
      <c r="C926" s="221" t="s">
        <v>1051</v>
      </c>
      <c r="D926" s="220" t="s">
        <v>0</v>
      </c>
      <c r="E926" s="221" t="s">
        <v>99</v>
      </c>
      <c r="F926" s="221" t="s">
        <v>1053</v>
      </c>
      <c r="G926" s="226" t="s">
        <v>281</v>
      </c>
      <c r="H926" s="222" t="s">
        <v>16</v>
      </c>
      <c r="I926" s="222" t="s">
        <v>281</v>
      </c>
      <c r="J926" s="222" t="s">
        <v>281</v>
      </c>
      <c r="K926" s="222" t="s">
        <v>281</v>
      </c>
      <c r="L926" s="222" t="s">
        <v>281</v>
      </c>
      <c r="M926" s="222" t="s">
        <v>281</v>
      </c>
      <c r="N926" s="222" t="s">
        <v>281</v>
      </c>
      <c r="O926" s="223" t="s">
        <v>16</v>
      </c>
      <c r="P926" s="223" t="s">
        <v>16</v>
      </c>
      <c r="Q926" s="223" t="s">
        <v>16</v>
      </c>
      <c r="R926" s="223" t="s">
        <v>16</v>
      </c>
      <c r="S926" s="223" t="s">
        <v>16</v>
      </c>
      <c r="T926" s="223" t="s">
        <v>328</v>
      </c>
      <c r="U926" s="223" t="s">
        <v>248</v>
      </c>
      <c r="V926" s="223" t="s">
        <v>281</v>
      </c>
      <c r="W926" s="224" t="s">
        <v>281</v>
      </c>
      <c r="X926" s="224" t="s">
        <v>281</v>
      </c>
      <c r="Y926" s="225" t="s">
        <v>281</v>
      </c>
    </row>
    <row r="927" spans="1:25">
      <c r="A927" s="219">
        <v>17</v>
      </c>
      <c r="B927" s="220" t="str">
        <f>VLOOKUP(Tabel10[[#This Row],[Code]],Ruimtegroepen[[Code]:[Ruimte omschrijving]],2,FALSE)</f>
        <v>Toestelberging</v>
      </c>
      <c r="C927" s="221" t="s">
        <v>1051</v>
      </c>
      <c r="D927" s="220" t="s">
        <v>0</v>
      </c>
      <c r="E927" s="221" t="s">
        <v>1309</v>
      </c>
      <c r="F927" s="221" t="s">
        <v>1357</v>
      </c>
      <c r="G927" s="226" t="s">
        <v>281</v>
      </c>
      <c r="H927" s="222" t="s">
        <v>281</v>
      </c>
      <c r="I927" s="222" t="s">
        <v>16</v>
      </c>
      <c r="J927" s="222" t="s">
        <v>281</v>
      </c>
      <c r="K927" s="222" t="s">
        <v>282</v>
      </c>
      <c r="L927" s="222" t="s">
        <v>281</v>
      </c>
      <c r="M927" s="222" t="s">
        <v>281</v>
      </c>
      <c r="N927" s="222" t="s">
        <v>281</v>
      </c>
      <c r="O927" s="223" t="s">
        <v>16</v>
      </c>
      <c r="P927" s="223" t="s">
        <v>16</v>
      </c>
      <c r="Q927" s="223" t="s">
        <v>16</v>
      </c>
      <c r="R927" s="223" t="s">
        <v>16</v>
      </c>
      <c r="S927" s="223" t="s">
        <v>16</v>
      </c>
      <c r="T927" s="223" t="s">
        <v>328</v>
      </c>
      <c r="U927" s="223" t="s">
        <v>248</v>
      </c>
      <c r="V927" s="223" t="s">
        <v>281</v>
      </c>
      <c r="W927" s="224" t="s">
        <v>281</v>
      </c>
      <c r="X927" s="224" t="s">
        <v>281</v>
      </c>
      <c r="Y927" s="225" t="s">
        <v>281</v>
      </c>
    </row>
    <row r="928" spans="1:25">
      <c r="A928" s="219">
        <v>17</v>
      </c>
      <c r="B928" s="220" t="str">
        <f>VLOOKUP(Tabel10[[#This Row],[Code]],Ruimtegroepen[[Code]:[Ruimte omschrijving]],2,FALSE)</f>
        <v>Toestelberging</v>
      </c>
      <c r="C928" s="221" t="s">
        <v>1056</v>
      </c>
      <c r="D928" s="220" t="s">
        <v>27</v>
      </c>
      <c r="E928" s="221" t="s">
        <v>100</v>
      </c>
      <c r="F928" s="221" t="s">
        <v>1057</v>
      </c>
      <c r="G928" s="226" t="s">
        <v>281</v>
      </c>
      <c r="H928" s="222" t="s">
        <v>281</v>
      </c>
      <c r="I928" s="222" t="s">
        <v>15</v>
      </c>
      <c r="J928" s="222" t="s">
        <v>281</v>
      </c>
      <c r="K928" s="222" t="s">
        <v>281</v>
      </c>
      <c r="L928" s="222" t="s">
        <v>281</v>
      </c>
      <c r="M928" s="222" t="s">
        <v>281</v>
      </c>
      <c r="N928" s="222" t="s">
        <v>281</v>
      </c>
      <c r="O928" s="223" t="s">
        <v>15</v>
      </c>
      <c r="P928" s="223" t="s">
        <v>15</v>
      </c>
      <c r="Q928" s="223" t="s">
        <v>15</v>
      </c>
      <c r="R928" s="223" t="s">
        <v>281</v>
      </c>
      <c r="S928" s="223" t="s">
        <v>281</v>
      </c>
      <c r="T928" s="223" t="s">
        <v>281</v>
      </c>
      <c r="U928" s="223" t="s">
        <v>281</v>
      </c>
      <c r="V928" s="223" t="s">
        <v>281</v>
      </c>
      <c r="W928" s="224" t="s">
        <v>281</v>
      </c>
      <c r="X928" s="224" t="s">
        <v>281</v>
      </c>
      <c r="Y928" s="225" t="s">
        <v>281</v>
      </c>
    </row>
    <row r="929" spans="1:25">
      <c r="A929" s="219">
        <v>17</v>
      </c>
      <c r="B929" s="220" t="str">
        <f>VLOOKUP(Tabel10[[#This Row],[Code]],Ruimtegroepen[[Code]:[Ruimte omschrijving]],2,FALSE)</f>
        <v>Toestelberging</v>
      </c>
      <c r="C929" s="221" t="s">
        <v>1056</v>
      </c>
      <c r="D929" s="220" t="s">
        <v>27</v>
      </c>
      <c r="E929" s="221" t="s">
        <v>99</v>
      </c>
      <c r="F929" s="221" t="s">
        <v>1058</v>
      </c>
      <c r="G929" s="226" t="s">
        <v>281</v>
      </c>
      <c r="H929" s="222" t="s">
        <v>15</v>
      </c>
      <c r="I929" s="222" t="s">
        <v>281</v>
      </c>
      <c r="J929" s="222" t="s">
        <v>281</v>
      </c>
      <c r="K929" s="222" t="s">
        <v>281</v>
      </c>
      <c r="L929" s="222" t="s">
        <v>281</v>
      </c>
      <c r="M929" s="222" t="s">
        <v>281</v>
      </c>
      <c r="N929" s="222" t="s">
        <v>281</v>
      </c>
      <c r="O929" s="223" t="s">
        <v>15</v>
      </c>
      <c r="P929" s="223" t="s">
        <v>15</v>
      </c>
      <c r="Q929" s="223" t="s">
        <v>15</v>
      </c>
      <c r="R929" s="223" t="s">
        <v>281</v>
      </c>
      <c r="S929" s="223" t="s">
        <v>281</v>
      </c>
      <c r="T929" s="223" t="s">
        <v>281</v>
      </c>
      <c r="U929" s="223" t="s">
        <v>281</v>
      </c>
      <c r="V929" s="223" t="s">
        <v>281</v>
      </c>
      <c r="W929" s="224" t="s">
        <v>281</v>
      </c>
      <c r="X929" s="224" t="s">
        <v>281</v>
      </c>
      <c r="Y929" s="225" t="s">
        <v>281</v>
      </c>
    </row>
    <row r="930" spans="1:25">
      <c r="A930" s="219">
        <v>17</v>
      </c>
      <c r="B930" s="220" t="str">
        <f>VLOOKUP(Tabel10[[#This Row],[Code]],Ruimtegroepen[[Code]:[Ruimte omschrijving]],2,FALSE)</f>
        <v>Toestelberging</v>
      </c>
      <c r="C930" s="221" t="s">
        <v>1056</v>
      </c>
      <c r="D930" s="220" t="s">
        <v>27</v>
      </c>
      <c r="E930" s="221" t="s">
        <v>101</v>
      </c>
      <c r="F930" s="221" t="s">
        <v>1059</v>
      </c>
      <c r="G930" s="226" t="s">
        <v>281</v>
      </c>
      <c r="H930" s="222" t="s">
        <v>281</v>
      </c>
      <c r="I930" s="222" t="s">
        <v>15</v>
      </c>
      <c r="J930" s="222" t="s">
        <v>281</v>
      </c>
      <c r="K930" s="222" t="s">
        <v>281</v>
      </c>
      <c r="L930" s="222" t="s">
        <v>281</v>
      </c>
      <c r="M930" s="222" t="s">
        <v>281</v>
      </c>
      <c r="N930" s="222" t="s">
        <v>281</v>
      </c>
      <c r="O930" s="223" t="s">
        <v>15</v>
      </c>
      <c r="P930" s="223" t="s">
        <v>15</v>
      </c>
      <c r="Q930" s="223" t="s">
        <v>15</v>
      </c>
      <c r="R930" s="223" t="s">
        <v>281</v>
      </c>
      <c r="S930" s="223" t="s">
        <v>281</v>
      </c>
      <c r="T930" s="223" t="s">
        <v>281</v>
      </c>
      <c r="U930" s="223" t="s">
        <v>281</v>
      </c>
      <c r="V930" s="223" t="s">
        <v>281</v>
      </c>
      <c r="W930" s="224" t="s">
        <v>281</v>
      </c>
      <c r="X930" s="224" t="s">
        <v>281</v>
      </c>
      <c r="Y930" s="225" t="s">
        <v>281</v>
      </c>
    </row>
    <row r="931" spans="1:25">
      <c r="A931" s="219">
        <v>17</v>
      </c>
      <c r="B931" s="220" t="str">
        <f>VLOOKUP(Tabel10[[#This Row],[Code]],Ruimtegroepen[[Code]:[Ruimte omschrijving]],2,FALSE)</f>
        <v>Toestelberging</v>
      </c>
      <c r="C931" s="221" t="s">
        <v>1056</v>
      </c>
      <c r="D931" s="220" t="s">
        <v>27</v>
      </c>
      <c r="E931" s="221" t="s">
        <v>102</v>
      </c>
      <c r="F931" s="221" t="s">
        <v>1060</v>
      </c>
      <c r="G931" s="226" t="s">
        <v>281</v>
      </c>
      <c r="H931" s="222" t="s">
        <v>281</v>
      </c>
      <c r="I931" s="222" t="s">
        <v>15</v>
      </c>
      <c r="J931" s="222" t="s">
        <v>281</v>
      </c>
      <c r="K931" s="222" t="s">
        <v>281</v>
      </c>
      <c r="L931" s="222" t="s">
        <v>281</v>
      </c>
      <c r="M931" s="222" t="s">
        <v>281</v>
      </c>
      <c r="N931" s="222" t="s">
        <v>281</v>
      </c>
      <c r="O931" s="223" t="s">
        <v>15</v>
      </c>
      <c r="P931" s="223" t="s">
        <v>15</v>
      </c>
      <c r="Q931" s="223" t="s">
        <v>15</v>
      </c>
      <c r="R931" s="223" t="s">
        <v>281</v>
      </c>
      <c r="S931" s="223" t="s">
        <v>281</v>
      </c>
      <c r="T931" s="223" t="s">
        <v>281</v>
      </c>
      <c r="U931" s="223" t="s">
        <v>281</v>
      </c>
      <c r="V931" s="223" t="s">
        <v>281</v>
      </c>
      <c r="W931" s="224" t="s">
        <v>281</v>
      </c>
      <c r="X931" s="224" t="s">
        <v>281</v>
      </c>
      <c r="Y931" s="225" t="s">
        <v>281</v>
      </c>
    </row>
    <row r="932" spans="1:25">
      <c r="A932" s="219">
        <v>17</v>
      </c>
      <c r="B932" s="220" t="str">
        <f>VLOOKUP(Tabel10[[#This Row],[Code]],Ruimtegroepen[[Code]:[Ruimte omschrijving]],2,FALSE)</f>
        <v>Toestelberging</v>
      </c>
      <c r="C932" s="221" t="s">
        <v>1056</v>
      </c>
      <c r="D932" s="220" t="s">
        <v>27</v>
      </c>
      <c r="E932" s="221" t="s">
        <v>99</v>
      </c>
      <c r="F932" s="221" t="s">
        <v>1058</v>
      </c>
      <c r="G932" s="226" t="s">
        <v>281</v>
      </c>
      <c r="H932" s="222" t="s">
        <v>15</v>
      </c>
      <c r="I932" s="222" t="s">
        <v>281</v>
      </c>
      <c r="J932" s="222" t="s">
        <v>281</v>
      </c>
      <c r="K932" s="222" t="s">
        <v>281</v>
      </c>
      <c r="L932" s="222" t="s">
        <v>281</v>
      </c>
      <c r="M932" s="222" t="s">
        <v>281</v>
      </c>
      <c r="N932" s="222" t="s">
        <v>281</v>
      </c>
      <c r="O932" s="223" t="s">
        <v>15</v>
      </c>
      <c r="P932" s="223" t="s">
        <v>15</v>
      </c>
      <c r="Q932" s="223" t="s">
        <v>15</v>
      </c>
      <c r="R932" s="223" t="s">
        <v>281</v>
      </c>
      <c r="S932" s="223" t="s">
        <v>281</v>
      </c>
      <c r="T932" s="223" t="s">
        <v>281</v>
      </c>
      <c r="U932" s="223" t="s">
        <v>281</v>
      </c>
      <c r="V932" s="223" t="s">
        <v>281</v>
      </c>
      <c r="W932" s="224" t="s">
        <v>281</v>
      </c>
      <c r="X932" s="224" t="s">
        <v>281</v>
      </c>
      <c r="Y932" s="225" t="s">
        <v>281</v>
      </c>
    </row>
    <row r="933" spans="1:25">
      <c r="A933" s="219">
        <v>17</v>
      </c>
      <c r="B933" s="220" t="str">
        <f>VLOOKUP(Tabel10[[#This Row],[Code]],Ruimtegroepen[[Code]:[Ruimte omschrijving]],2,FALSE)</f>
        <v>Toestelberging</v>
      </c>
      <c r="C933" s="221" t="s">
        <v>1056</v>
      </c>
      <c r="D933" s="220" t="s">
        <v>27</v>
      </c>
      <c r="E933" s="221" t="s">
        <v>1309</v>
      </c>
      <c r="F933" s="221" t="s">
        <v>1390</v>
      </c>
      <c r="G933" s="226" t="s">
        <v>281</v>
      </c>
      <c r="H933" s="222" t="s">
        <v>281</v>
      </c>
      <c r="I933" s="222" t="s">
        <v>15</v>
      </c>
      <c r="J933" s="222" t="s">
        <v>281</v>
      </c>
      <c r="K933" s="222" t="s">
        <v>281</v>
      </c>
      <c r="L933" s="222" t="s">
        <v>281</v>
      </c>
      <c r="M933" s="222" t="s">
        <v>281</v>
      </c>
      <c r="N933" s="222" t="s">
        <v>281</v>
      </c>
      <c r="O933" s="223" t="s">
        <v>15</v>
      </c>
      <c r="P933" s="223" t="s">
        <v>15</v>
      </c>
      <c r="Q933" s="223" t="s">
        <v>15</v>
      </c>
      <c r="R933" s="223" t="s">
        <v>281</v>
      </c>
      <c r="S933" s="223" t="s">
        <v>281</v>
      </c>
      <c r="T933" s="223" t="s">
        <v>281</v>
      </c>
      <c r="U933" s="223" t="s">
        <v>281</v>
      </c>
      <c r="V933" s="223" t="s">
        <v>281</v>
      </c>
      <c r="W933" s="224" t="s">
        <v>281</v>
      </c>
      <c r="X933" s="224" t="s">
        <v>281</v>
      </c>
      <c r="Y933" s="225" t="s">
        <v>281</v>
      </c>
    </row>
    <row r="934" spans="1:25">
      <c r="A934" s="219">
        <v>17</v>
      </c>
      <c r="B934" s="220" t="str">
        <f>VLOOKUP(Tabel10[[#This Row],[Code]],Ruimtegroepen[[Code]:[Ruimte omschrijving]],2,FALSE)</f>
        <v>Toestelberging</v>
      </c>
      <c r="C934" s="221" t="s">
        <v>1061</v>
      </c>
      <c r="D934" s="220" t="s">
        <v>28</v>
      </c>
      <c r="E934" s="221" t="s">
        <v>100</v>
      </c>
      <c r="F934" s="221" t="s">
        <v>1062</v>
      </c>
      <c r="G934" s="226" t="s">
        <v>281</v>
      </c>
      <c r="H934" s="222" t="s">
        <v>281</v>
      </c>
      <c r="I934" s="222" t="s">
        <v>17</v>
      </c>
      <c r="J934" s="222" t="s">
        <v>281</v>
      </c>
      <c r="K934" s="222" t="s">
        <v>281</v>
      </c>
      <c r="L934" s="222" t="s">
        <v>281</v>
      </c>
      <c r="M934" s="222" t="s">
        <v>281</v>
      </c>
      <c r="N934" s="222" t="s">
        <v>281</v>
      </c>
      <c r="O934" s="223" t="s">
        <v>17</v>
      </c>
      <c r="P934" s="223" t="s">
        <v>17</v>
      </c>
      <c r="Q934" s="223" t="s">
        <v>15</v>
      </c>
      <c r="R934" s="223" t="s">
        <v>281</v>
      </c>
      <c r="S934" s="223" t="s">
        <v>281</v>
      </c>
      <c r="T934" s="223" t="s">
        <v>281</v>
      </c>
      <c r="U934" s="223" t="s">
        <v>281</v>
      </c>
      <c r="V934" s="223" t="s">
        <v>281</v>
      </c>
      <c r="W934" s="224" t="s">
        <v>281</v>
      </c>
      <c r="X934" s="224" t="s">
        <v>281</v>
      </c>
      <c r="Y934" s="225" t="s">
        <v>281</v>
      </c>
    </row>
    <row r="935" spans="1:25">
      <c r="A935" s="219">
        <v>17</v>
      </c>
      <c r="B935" s="220" t="str">
        <f>VLOOKUP(Tabel10[[#This Row],[Code]],Ruimtegroepen[[Code]:[Ruimte omschrijving]],2,FALSE)</f>
        <v>Toestelberging</v>
      </c>
      <c r="C935" s="221" t="s">
        <v>1061</v>
      </c>
      <c r="D935" s="220" t="s">
        <v>28</v>
      </c>
      <c r="E935" s="221" t="s">
        <v>99</v>
      </c>
      <c r="F935" s="221" t="s">
        <v>1063</v>
      </c>
      <c r="G935" s="226" t="s">
        <v>281</v>
      </c>
      <c r="H935" s="222" t="s">
        <v>17</v>
      </c>
      <c r="I935" s="222" t="s">
        <v>281</v>
      </c>
      <c r="J935" s="222" t="s">
        <v>281</v>
      </c>
      <c r="K935" s="222" t="s">
        <v>281</v>
      </c>
      <c r="L935" s="222" t="s">
        <v>281</v>
      </c>
      <c r="M935" s="222" t="s">
        <v>281</v>
      </c>
      <c r="N935" s="222" t="s">
        <v>281</v>
      </c>
      <c r="O935" s="223" t="s">
        <v>17</v>
      </c>
      <c r="P935" s="223" t="s">
        <v>17</v>
      </c>
      <c r="Q935" s="223" t="s">
        <v>15</v>
      </c>
      <c r="R935" s="223" t="s">
        <v>281</v>
      </c>
      <c r="S935" s="223" t="s">
        <v>281</v>
      </c>
      <c r="T935" s="223" t="s">
        <v>281</v>
      </c>
      <c r="U935" s="223" t="s">
        <v>281</v>
      </c>
      <c r="V935" s="223" t="s">
        <v>281</v>
      </c>
      <c r="W935" s="224" t="s">
        <v>281</v>
      </c>
      <c r="X935" s="224" t="s">
        <v>281</v>
      </c>
      <c r="Y935" s="225" t="s">
        <v>281</v>
      </c>
    </row>
    <row r="936" spans="1:25">
      <c r="A936" s="219">
        <v>17</v>
      </c>
      <c r="B936" s="220" t="str">
        <f>VLOOKUP(Tabel10[[#This Row],[Code]],Ruimtegroepen[[Code]:[Ruimte omschrijving]],2,FALSE)</f>
        <v>Toestelberging</v>
      </c>
      <c r="C936" s="221" t="s">
        <v>1061</v>
      </c>
      <c r="D936" s="220" t="s">
        <v>28</v>
      </c>
      <c r="E936" s="221" t="s">
        <v>101</v>
      </c>
      <c r="F936" s="221" t="s">
        <v>1064</v>
      </c>
      <c r="G936" s="226" t="s">
        <v>281</v>
      </c>
      <c r="H936" s="222" t="s">
        <v>281</v>
      </c>
      <c r="I936" s="222" t="s">
        <v>17</v>
      </c>
      <c r="J936" s="222" t="s">
        <v>281</v>
      </c>
      <c r="K936" s="222" t="s">
        <v>281</v>
      </c>
      <c r="L936" s="222" t="s">
        <v>281</v>
      </c>
      <c r="M936" s="222" t="s">
        <v>281</v>
      </c>
      <c r="N936" s="222" t="s">
        <v>281</v>
      </c>
      <c r="O936" s="223" t="s">
        <v>17</v>
      </c>
      <c r="P936" s="223" t="s">
        <v>17</v>
      </c>
      <c r="Q936" s="223" t="s">
        <v>15</v>
      </c>
      <c r="R936" s="223" t="s">
        <v>281</v>
      </c>
      <c r="S936" s="223" t="s">
        <v>281</v>
      </c>
      <c r="T936" s="223" t="s">
        <v>281</v>
      </c>
      <c r="U936" s="223" t="s">
        <v>281</v>
      </c>
      <c r="V936" s="223" t="s">
        <v>281</v>
      </c>
      <c r="W936" s="224" t="s">
        <v>281</v>
      </c>
      <c r="X936" s="224" t="s">
        <v>281</v>
      </c>
      <c r="Y936" s="225" t="s">
        <v>281</v>
      </c>
    </row>
    <row r="937" spans="1:25">
      <c r="A937" s="219">
        <v>17</v>
      </c>
      <c r="B937" s="220" t="str">
        <f>VLOOKUP(Tabel10[[#This Row],[Code]],Ruimtegroepen[[Code]:[Ruimte omschrijving]],2,FALSE)</f>
        <v>Toestelberging</v>
      </c>
      <c r="C937" s="221" t="s">
        <v>1061</v>
      </c>
      <c r="D937" s="220" t="s">
        <v>28</v>
      </c>
      <c r="E937" s="221" t="s">
        <v>102</v>
      </c>
      <c r="F937" s="221" t="s">
        <v>1065</v>
      </c>
      <c r="G937" s="226" t="s">
        <v>281</v>
      </c>
      <c r="H937" s="222" t="s">
        <v>281</v>
      </c>
      <c r="I937" s="222" t="s">
        <v>17</v>
      </c>
      <c r="J937" s="222" t="s">
        <v>281</v>
      </c>
      <c r="K937" s="222" t="s">
        <v>281</v>
      </c>
      <c r="L937" s="222" t="s">
        <v>281</v>
      </c>
      <c r="M937" s="222" t="s">
        <v>281</v>
      </c>
      <c r="N937" s="222" t="s">
        <v>281</v>
      </c>
      <c r="O937" s="223" t="s">
        <v>17</v>
      </c>
      <c r="P937" s="223" t="s">
        <v>17</v>
      </c>
      <c r="Q937" s="223" t="s">
        <v>15</v>
      </c>
      <c r="R937" s="223" t="s">
        <v>281</v>
      </c>
      <c r="S937" s="223" t="s">
        <v>281</v>
      </c>
      <c r="T937" s="223" t="s">
        <v>281</v>
      </c>
      <c r="U937" s="223" t="s">
        <v>281</v>
      </c>
      <c r="V937" s="223" t="s">
        <v>281</v>
      </c>
      <c r="W937" s="224" t="s">
        <v>281</v>
      </c>
      <c r="X937" s="224" t="s">
        <v>281</v>
      </c>
      <c r="Y937" s="225" t="s">
        <v>281</v>
      </c>
    </row>
    <row r="938" spans="1:25">
      <c r="A938" s="219">
        <v>17</v>
      </c>
      <c r="B938" s="220" t="str">
        <f>VLOOKUP(Tabel10[[#This Row],[Code]],Ruimtegroepen[[Code]:[Ruimte omschrijving]],2,FALSE)</f>
        <v>Toestelberging</v>
      </c>
      <c r="C938" s="221" t="s">
        <v>1061</v>
      </c>
      <c r="D938" s="220" t="s">
        <v>28</v>
      </c>
      <c r="E938" s="221" t="s">
        <v>99</v>
      </c>
      <c r="F938" s="221" t="s">
        <v>1063</v>
      </c>
      <c r="G938" s="226" t="s">
        <v>281</v>
      </c>
      <c r="H938" s="222" t="s">
        <v>17</v>
      </c>
      <c r="I938" s="222" t="s">
        <v>281</v>
      </c>
      <c r="J938" s="222" t="s">
        <v>281</v>
      </c>
      <c r="K938" s="222" t="s">
        <v>281</v>
      </c>
      <c r="L938" s="222" t="s">
        <v>281</v>
      </c>
      <c r="M938" s="222" t="s">
        <v>281</v>
      </c>
      <c r="N938" s="222" t="s">
        <v>281</v>
      </c>
      <c r="O938" s="223" t="s">
        <v>17</v>
      </c>
      <c r="P938" s="223" t="s">
        <v>17</v>
      </c>
      <c r="Q938" s="223" t="s">
        <v>15</v>
      </c>
      <c r="R938" s="223" t="s">
        <v>281</v>
      </c>
      <c r="S938" s="223" t="s">
        <v>281</v>
      </c>
      <c r="T938" s="223" t="s">
        <v>281</v>
      </c>
      <c r="U938" s="223" t="s">
        <v>281</v>
      </c>
      <c r="V938" s="223" t="s">
        <v>281</v>
      </c>
      <c r="W938" s="224" t="s">
        <v>281</v>
      </c>
      <c r="X938" s="224" t="s">
        <v>281</v>
      </c>
      <c r="Y938" s="225" t="s">
        <v>281</v>
      </c>
    </row>
    <row r="939" spans="1:25">
      <c r="A939" s="219">
        <v>17</v>
      </c>
      <c r="B939" s="220" t="str">
        <f>VLOOKUP(Tabel10[[#This Row],[Code]],Ruimtegroepen[[Code]:[Ruimte omschrijving]],2,FALSE)</f>
        <v>Toestelberging</v>
      </c>
      <c r="C939" s="221" t="s">
        <v>1061</v>
      </c>
      <c r="D939" s="220" t="s">
        <v>28</v>
      </c>
      <c r="E939" s="221" t="s">
        <v>1309</v>
      </c>
      <c r="F939" s="221" t="s">
        <v>1423</v>
      </c>
      <c r="G939" s="226" t="s">
        <v>281</v>
      </c>
      <c r="H939" s="222" t="s">
        <v>281</v>
      </c>
      <c r="I939" s="222" t="s">
        <v>17</v>
      </c>
      <c r="J939" s="222" t="s">
        <v>281</v>
      </c>
      <c r="K939" s="222" t="s">
        <v>281</v>
      </c>
      <c r="L939" s="222" t="s">
        <v>281</v>
      </c>
      <c r="M939" s="222" t="s">
        <v>281</v>
      </c>
      <c r="N939" s="222" t="s">
        <v>281</v>
      </c>
      <c r="O939" s="223" t="s">
        <v>17</v>
      </c>
      <c r="P939" s="223" t="s">
        <v>17</v>
      </c>
      <c r="Q939" s="223" t="s">
        <v>15</v>
      </c>
      <c r="R939" s="223" t="s">
        <v>281</v>
      </c>
      <c r="S939" s="223" t="s">
        <v>281</v>
      </c>
      <c r="T939" s="223" t="s">
        <v>281</v>
      </c>
      <c r="U939" s="223" t="s">
        <v>281</v>
      </c>
      <c r="V939" s="223" t="s">
        <v>281</v>
      </c>
      <c r="W939" s="224" t="s">
        <v>281</v>
      </c>
      <c r="X939" s="224" t="s">
        <v>281</v>
      </c>
      <c r="Y939" s="225" t="s">
        <v>281</v>
      </c>
    </row>
    <row r="940" spans="1:25">
      <c r="A940" s="219">
        <v>18</v>
      </c>
      <c r="B940" s="220" t="str">
        <f>VLOOKUP(Tabel10[[#This Row],[Code]],Ruimtegroepen[[Code]:[Ruimte omschrijving]],2,FALSE)</f>
        <v>Gymzaal</v>
      </c>
      <c r="C940" s="221" t="s">
        <v>1066</v>
      </c>
      <c r="D940" s="220" t="s">
        <v>29</v>
      </c>
      <c r="E940" s="221" t="s">
        <v>100</v>
      </c>
      <c r="F940" s="221" t="s">
        <v>1067</v>
      </c>
      <c r="G940" s="226" t="s">
        <v>281</v>
      </c>
      <c r="H940" s="222" t="s">
        <v>281</v>
      </c>
      <c r="I940" s="222" t="s">
        <v>20</v>
      </c>
      <c r="J940" s="222" t="s">
        <v>15</v>
      </c>
      <c r="K940" s="222" t="s">
        <v>281</v>
      </c>
      <c r="L940" s="222" t="s">
        <v>281</v>
      </c>
      <c r="M940" s="222" t="s">
        <v>281</v>
      </c>
      <c r="N940" s="222" t="s">
        <v>2</v>
      </c>
      <c r="O940" s="223" t="s">
        <v>2</v>
      </c>
      <c r="P940" s="223" t="s">
        <v>2</v>
      </c>
      <c r="Q940" s="223" t="s">
        <v>2</v>
      </c>
      <c r="R940" s="223" t="s">
        <v>2</v>
      </c>
      <c r="S940" s="223" t="s">
        <v>16</v>
      </c>
      <c r="T940" s="223" t="s">
        <v>328</v>
      </c>
      <c r="U940" s="223" t="s">
        <v>248</v>
      </c>
      <c r="V940" s="223" t="s">
        <v>2</v>
      </c>
      <c r="W940" s="224" t="s">
        <v>281</v>
      </c>
      <c r="X940" s="224" t="s">
        <v>281</v>
      </c>
      <c r="Y940" s="225" t="s">
        <v>281</v>
      </c>
    </row>
    <row r="941" spans="1:25">
      <c r="A941" s="219">
        <v>18</v>
      </c>
      <c r="B941" s="220" t="str">
        <f>VLOOKUP(Tabel10[[#This Row],[Code]],Ruimtegroepen[[Code]:[Ruimte omschrijving]],2,FALSE)</f>
        <v>Gymzaal</v>
      </c>
      <c r="C941" s="221" t="s">
        <v>1066</v>
      </c>
      <c r="D941" s="220" t="s">
        <v>29</v>
      </c>
      <c r="E941" s="221" t="s">
        <v>99</v>
      </c>
      <c r="F941" s="221" t="s">
        <v>1068</v>
      </c>
      <c r="G941" s="222" t="s">
        <v>20</v>
      </c>
      <c r="H941" s="222" t="s">
        <v>15</v>
      </c>
      <c r="I941" s="222" t="s">
        <v>281</v>
      </c>
      <c r="J941" s="222" t="s">
        <v>281</v>
      </c>
      <c r="K941" s="222" t="s">
        <v>281</v>
      </c>
      <c r="L941" s="222" t="s">
        <v>281</v>
      </c>
      <c r="M941" s="222" t="s">
        <v>281</v>
      </c>
      <c r="N941" s="222" t="s">
        <v>2</v>
      </c>
      <c r="O941" s="223" t="s">
        <v>2</v>
      </c>
      <c r="P941" s="223" t="s">
        <v>2</v>
      </c>
      <c r="Q941" s="223" t="s">
        <v>2</v>
      </c>
      <c r="R941" s="223" t="s">
        <v>2</v>
      </c>
      <c r="S941" s="223" t="s">
        <v>16</v>
      </c>
      <c r="T941" s="223" t="s">
        <v>328</v>
      </c>
      <c r="U941" s="223" t="s">
        <v>248</v>
      </c>
      <c r="V941" s="223" t="s">
        <v>2</v>
      </c>
      <c r="W941" s="224" t="s">
        <v>281</v>
      </c>
      <c r="X941" s="224" t="s">
        <v>281</v>
      </c>
      <c r="Y941" s="225" t="s">
        <v>281</v>
      </c>
    </row>
    <row r="942" spans="1:25">
      <c r="A942" s="219">
        <v>18</v>
      </c>
      <c r="B942" s="220" t="str">
        <f>VLOOKUP(Tabel10[[#This Row],[Code]],Ruimtegroepen[[Code]:[Ruimte omschrijving]],2,FALSE)</f>
        <v>Gymzaal</v>
      </c>
      <c r="C942" s="221" t="s">
        <v>1066</v>
      </c>
      <c r="D942" s="220" t="s">
        <v>29</v>
      </c>
      <c r="E942" s="221" t="s">
        <v>101</v>
      </c>
      <c r="F942" s="221" t="s">
        <v>1069</v>
      </c>
      <c r="G942" s="226" t="s">
        <v>281</v>
      </c>
      <c r="H942" s="222" t="s">
        <v>281</v>
      </c>
      <c r="I942" s="222" t="s">
        <v>20</v>
      </c>
      <c r="J942" s="222" t="s">
        <v>15</v>
      </c>
      <c r="K942" s="222" t="s">
        <v>282</v>
      </c>
      <c r="L942" s="222" t="s">
        <v>281</v>
      </c>
      <c r="M942" s="222" t="s">
        <v>281</v>
      </c>
      <c r="N942" s="222" t="s">
        <v>2</v>
      </c>
      <c r="O942" s="223" t="s">
        <v>2</v>
      </c>
      <c r="P942" s="223" t="s">
        <v>2</v>
      </c>
      <c r="Q942" s="223" t="s">
        <v>2</v>
      </c>
      <c r="R942" s="223" t="s">
        <v>2</v>
      </c>
      <c r="S942" s="223" t="s">
        <v>16</v>
      </c>
      <c r="T942" s="223" t="s">
        <v>328</v>
      </c>
      <c r="U942" s="223" t="s">
        <v>248</v>
      </c>
      <c r="V942" s="223" t="s">
        <v>2</v>
      </c>
      <c r="W942" s="224" t="s">
        <v>281</v>
      </c>
      <c r="X942" s="224" t="s">
        <v>281</v>
      </c>
      <c r="Y942" s="225" t="s">
        <v>281</v>
      </c>
    </row>
    <row r="943" spans="1:25">
      <c r="A943" s="219">
        <v>18</v>
      </c>
      <c r="B943" s="220" t="str">
        <f>VLOOKUP(Tabel10[[#This Row],[Code]],Ruimtegroepen[[Code]:[Ruimte omschrijving]],2,FALSE)</f>
        <v>Gymzaal</v>
      </c>
      <c r="C943" s="221" t="s">
        <v>1066</v>
      </c>
      <c r="D943" s="220" t="s">
        <v>29</v>
      </c>
      <c r="E943" s="221" t="s">
        <v>102</v>
      </c>
      <c r="F943" s="221" t="s">
        <v>1070</v>
      </c>
      <c r="G943" s="226" t="s">
        <v>281</v>
      </c>
      <c r="H943" s="222" t="s">
        <v>281</v>
      </c>
      <c r="I943" s="222" t="s">
        <v>20</v>
      </c>
      <c r="J943" s="222" t="s">
        <v>15</v>
      </c>
      <c r="K943" s="222" t="s">
        <v>282</v>
      </c>
      <c r="L943" s="222" t="s">
        <v>281</v>
      </c>
      <c r="M943" s="222" t="s">
        <v>281</v>
      </c>
      <c r="N943" s="222" t="s">
        <v>2</v>
      </c>
      <c r="O943" s="223" t="s">
        <v>2</v>
      </c>
      <c r="P943" s="223" t="s">
        <v>2</v>
      </c>
      <c r="Q943" s="223" t="s">
        <v>2</v>
      </c>
      <c r="R943" s="223" t="s">
        <v>2</v>
      </c>
      <c r="S943" s="223" t="s">
        <v>16</v>
      </c>
      <c r="T943" s="223" t="s">
        <v>328</v>
      </c>
      <c r="U943" s="223" t="s">
        <v>248</v>
      </c>
      <c r="V943" s="223" t="s">
        <v>2</v>
      </c>
      <c r="W943" s="224" t="s">
        <v>281</v>
      </c>
      <c r="X943" s="224" t="s">
        <v>281</v>
      </c>
      <c r="Y943" s="225" t="s">
        <v>281</v>
      </c>
    </row>
    <row r="944" spans="1:25">
      <c r="A944" s="219">
        <v>18</v>
      </c>
      <c r="B944" s="220" t="str">
        <f>VLOOKUP(Tabel10[[#This Row],[Code]],Ruimtegroepen[[Code]:[Ruimte omschrijving]],2,FALSE)</f>
        <v>Gymzaal</v>
      </c>
      <c r="C944" s="221" t="s">
        <v>1066</v>
      </c>
      <c r="D944" s="220" t="s">
        <v>29</v>
      </c>
      <c r="E944" s="221" t="s">
        <v>99</v>
      </c>
      <c r="F944" s="221" t="s">
        <v>1068</v>
      </c>
      <c r="G944" s="226" t="s">
        <v>281</v>
      </c>
      <c r="H944" s="222" t="s">
        <v>2</v>
      </c>
      <c r="I944" s="222" t="s">
        <v>281</v>
      </c>
      <c r="J944" s="222" t="s">
        <v>281</v>
      </c>
      <c r="K944" s="222" t="s">
        <v>281</v>
      </c>
      <c r="L944" s="222" t="s">
        <v>281</v>
      </c>
      <c r="M944" s="222" t="s">
        <v>281</v>
      </c>
      <c r="N944" s="222" t="s">
        <v>2</v>
      </c>
      <c r="O944" s="223" t="s">
        <v>2</v>
      </c>
      <c r="P944" s="223" t="s">
        <v>2</v>
      </c>
      <c r="Q944" s="223" t="s">
        <v>2</v>
      </c>
      <c r="R944" s="223" t="s">
        <v>2</v>
      </c>
      <c r="S944" s="223" t="s">
        <v>16</v>
      </c>
      <c r="T944" s="223" t="s">
        <v>328</v>
      </c>
      <c r="U944" s="223" t="s">
        <v>248</v>
      </c>
      <c r="V944" s="223" t="s">
        <v>2</v>
      </c>
      <c r="W944" s="224" t="s">
        <v>281</v>
      </c>
      <c r="X944" s="224" t="s">
        <v>281</v>
      </c>
      <c r="Y944" s="225" t="s">
        <v>281</v>
      </c>
    </row>
    <row r="945" spans="1:25">
      <c r="A945" s="219">
        <v>18</v>
      </c>
      <c r="B945" s="220" t="str">
        <f>VLOOKUP(Tabel10[[#This Row],[Code]],Ruimtegroepen[[Code]:[Ruimte omschrijving]],2,FALSE)</f>
        <v>Gymzaal</v>
      </c>
      <c r="C945" s="221" t="s">
        <v>1066</v>
      </c>
      <c r="D945" s="220" t="s">
        <v>29</v>
      </c>
      <c r="E945" s="221" t="s">
        <v>1309</v>
      </c>
      <c r="F945" s="221" t="s">
        <v>1491</v>
      </c>
      <c r="G945" s="226" t="s">
        <v>281</v>
      </c>
      <c r="H945" s="222" t="s">
        <v>281</v>
      </c>
      <c r="I945" s="222" t="s">
        <v>20</v>
      </c>
      <c r="J945" s="222" t="s">
        <v>15</v>
      </c>
      <c r="K945" s="222" t="s">
        <v>282</v>
      </c>
      <c r="L945" s="222" t="s">
        <v>281</v>
      </c>
      <c r="M945" s="222" t="s">
        <v>281</v>
      </c>
      <c r="N945" s="222" t="s">
        <v>2</v>
      </c>
      <c r="O945" s="223" t="s">
        <v>2</v>
      </c>
      <c r="P945" s="223" t="s">
        <v>2</v>
      </c>
      <c r="Q945" s="223" t="s">
        <v>2</v>
      </c>
      <c r="R945" s="223" t="s">
        <v>2</v>
      </c>
      <c r="S945" s="223" t="s">
        <v>16</v>
      </c>
      <c r="T945" s="223" t="s">
        <v>328</v>
      </c>
      <c r="U945" s="223" t="s">
        <v>248</v>
      </c>
      <c r="V945" s="223" t="s">
        <v>2</v>
      </c>
      <c r="W945" s="224" t="s">
        <v>281</v>
      </c>
      <c r="X945" s="224" t="s">
        <v>281</v>
      </c>
      <c r="Y945" s="225" t="s">
        <v>281</v>
      </c>
    </row>
    <row r="946" spans="1:25">
      <c r="A946" s="219">
        <v>18</v>
      </c>
      <c r="B946" s="220" t="str">
        <f>VLOOKUP(Tabel10[[#This Row],[Code]],Ruimtegroepen[[Code]:[Ruimte omschrijving]],2,FALSE)</f>
        <v>Gymzaal</v>
      </c>
      <c r="C946" s="221" t="s">
        <v>1071</v>
      </c>
      <c r="D946" s="220" t="s">
        <v>1</v>
      </c>
      <c r="E946" s="221" t="s">
        <v>100</v>
      </c>
      <c r="F946" s="221" t="s">
        <v>1072</v>
      </c>
      <c r="G946" s="226" t="s">
        <v>281</v>
      </c>
      <c r="H946" s="222" t="s">
        <v>281</v>
      </c>
      <c r="I946" s="222" t="s">
        <v>20</v>
      </c>
      <c r="J946" s="222" t="s">
        <v>15</v>
      </c>
      <c r="K946" s="222" t="s">
        <v>281</v>
      </c>
      <c r="L946" s="222" t="s">
        <v>281</v>
      </c>
      <c r="M946" s="222" t="s">
        <v>281</v>
      </c>
      <c r="N946" s="222" t="s">
        <v>281</v>
      </c>
      <c r="O946" s="223" t="s">
        <v>2</v>
      </c>
      <c r="P946" s="223" t="s">
        <v>2</v>
      </c>
      <c r="Q946" s="223" t="s">
        <v>2</v>
      </c>
      <c r="R946" s="223" t="s">
        <v>2</v>
      </c>
      <c r="S946" s="223" t="s">
        <v>16</v>
      </c>
      <c r="T946" s="223" t="s">
        <v>328</v>
      </c>
      <c r="U946" s="223" t="s">
        <v>248</v>
      </c>
      <c r="V946" s="223" t="s">
        <v>281</v>
      </c>
      <c r="W946" s="224" t="s">
        <v>281</v>
      </c>
      <c r="X946" s="224" t="s">
        <v>281</v>
      </c>
      <c r="Y946" s="225" t="s">
        <v>281</v>
      </c>
    </row>
    <row r="947" spans="1:25">
      <c r="A947" s="219">
        <v>18</v>
      </c>
      <c r="B947" s="220" t="str">
        <f>VLOOKUP(Tabel10[[#This Row],[Code]],Ruimtegroepen[[Code]:[Ruimte omschrijving]],2,FALSE)</f>
        <v>Gymzaal</v>
      </c>
      <c r="C947" s="221" t="s">
        <v>1071</v>
      </c>
      <c r="D947" s="220" t="s">
        <v>1</v>
      </c>
      <c r="E947" s="221" t="s">
        <v>99</v>
      </c>
      <c r="F947" s="221" t="s">
        <v>1073</v>
      </c>
      <c r="G947" s="222" t="s">
        <v>20</v>
      </c>
      <c r="H947" s="222" t="s">
        <v>15</v>
      </c>
      <c r="I947" s="222" t="s">
        <v>281</v>
      </c>
      <c r="J947" s="222" t="s">
        <v>281</v>
      </c>
      <c r="K947" s="222" t="s">
        <v>281</v>
      </c>
      <c r="L947" s="222" t="s">
        <v>281</v>
      </c>
      <c r="M947" s="222" t="s">
        <v>281</v>
      </c>
      <c r="N947" s="222" t="s">
        <v>281</v>
      </c>
      <c r="O947" s="223" t="s">
        <v>2</v>
      </c>
      <c r="P947" s="223" t="s">
        <v>2</v>
      </c>
      <c r="Q947" s="223" t="s">
        <v>2</v>
      </c>
      <c r="R947" s="223" t="s">
        <v>2</v>
      </c>
      <c r="S947" s="223" t="s">
        <v>16</v>
      </c>
      <c r="T947" s="223" t="s">
        <v>328</v>
      </c>
      <c r="U947" s="223" t="s">
        <v>248</v>
      </c>
      <c r="V947" s="223" t="s">
        <v>281</v>
      </c>
      <c r="W947" s="224" t="s">
        <v>281</v>
      </c>
      <c r="X947" s="224" t="s">
        <v>281</v>
      </c>
      <c r="Y947" s="225" t="s">
        <v>281</v>
      </c>
    </row>
    <row r="948" spans="1:25">
      <c r="A948" s="219">
        <v>18</v>
      </c>
      <c r="B948" s="220" t="str">
        <f>VLOOKUP(Tabel10[[#This Row],[Code]],Ruimtegroepen[[Code]:[Ruimte omschrijving]],2,FALSE)</f>
        <v>Gymzaal</v>
      </c>
      <c r="C948" s="221" t="s">
        <v>1071</v>
      </c>
      <c r="D948" s="220" t="s">
        <v>1</v>
      </c>
      <c r="E948" s="221" t="s">
        <v>101</v>
      </c>
      <c r="F948" s="221" t="s">
        <v>1074</v>
      </c>
      <c r="G948" s="226" t="s">
        <v>281</v>
      </c>
      <c r="H948" s="222" t="s">
        <v>281</v>
      </c>
      <c r="I948" s="222" t="s">
        <v>20</v>
      </c>
      <c r="J948" s="222" t="s">
        <v>15</v>
      </c>
      <c r="K948" s="222" t="s">
        <v>282</v>
      </c>
      <c r="L948" s="222" t="s">
        <v>281</v>
      </c>
      <c r="M948" s="222" t="s">
        <v>281</v>
      </c>
      <c r="N948" s="222" t="s">
        <v>281</v>
      </c>
      <c r="O948" s="223" t="s">
        <v>2</v>
      </c>
      <c r="P948" s="223" t="s">
        <v>2</v>
      </c>
      <c r="Q948" s="223" t="s">
        <v>2</v>
      </c>
      <c r="R948" s="223" t="s">
        <v>2</v>
      </c>
      <c r="S948" s="223" t="s">
        <v>16</v>
      </c>
      <c r="T948" s="223" t="s">
        <v>328</v>
      </c>
      <c r="U948" s="223" t="s">
        <v>248</v>
      </c>
      <c r="V948" s="223" t="s">
        <v>281</v>
      </c>
      <c r="W948" s="224" t="s">
        <v>281</v>
      </c>
      <c r="X948" s="224" t="s">
        <v>281</v>
      </c>
      <c r="Y948" s="225" t="s">
        <v>281</v>
      </c>
    </row>
    <row r="949" spans="1:25">
      <c r="A949" s="219">
        <v>18</v>
      </c>
      <c r="B949" s="220" t="str">
        <f>VLOOKUP(Tabel10[[#This Row],[Code]],Ruimtegroepen[[Code]:[Ruimte omschrijving]],2,FALSE)</f>
        <v>Gymzaal</v>
      </c>
      <c r="C949" s="221" t="s">
        <v>1071</v>
      </c>
      <c r="D949" s="220" t="s">
        <v>1</v>
      </c>
      <c r="E949" s="221" t="s">
        <v>102</v>
      </c>
      <c r="F949" s="221" t="s">
        <v>1075</v>
      </c>
      <c r="G949" s="226" t="s">
        <v>281</v>
      </c>
      <c r="H949" s="222" t="s">
        <v>281</v>
      </c>
      <c r="I949" s="222" t="s">
        <v>20</v>
      </c>
      <c r="J949" s="222" t="s">
        <v>15</v>
      </c>
      <c r="K949" s="222" t="s">
        <v>282</v>
      </c>
      <c r="L949" s="222" t="s">
        <v>281</v>
      </c>
      <c r="M949" s="222" t="s">
        <v>281</v>
      </c>
      <c r="N949" s="222" t="s">
        <v>281</v>
      </c>
      <c r="O949" s="223" t="s">
        <v>2</v>
      </c>
      <c r="P949" s="223" t="s">
        <v>2</v>
      </c>
      <c r="Q949" s="223" t="s">
        <v>2</v>
      </c>
      <c r="R949" s="223" t="s">
        <v>2</v>
      </c>
      <c r="S949" s="223" t="s">
        <v>16</v>
      </c>
      <c r="T949" s="223" t="s">
        <v>328</v>
      </c>
      <c r="U949" s="223" t="s">
        <v>248</v>
      </c>
      <c r="V949" s="223" t="s">
        <v>281</v>
      </c>
      <c r="W949" s="224" t="s">
        <v>281</v>
      </c>
      <c r="X949" s="224" t="s">
        <v>281</v>
      </c>
      <c r="Y949" s="225" t="s">
        <v>281</v>
      </c>
    </row>
    <row r="950" spans="1:25">
      <c r="A950" s="219">
        <v>18</v>
      </c>
      <c r="B950" s="220" t="str">
        <f>VLOOKUP(Tabel10[[#This Row],[Code]],Ruimtegroepen[[Code]:[Ruimte omschrijving]],2,FALSE)</f>
        <v>Gymzaal</v>
      </c>
      <c r="C950" s="221" t="s">
        <v>1071</v>
      </c>
      <c r="D950" s="220" t="s">
        <v>1</v>
      </c>
      <c r="E950" s="221" t="s">
        <v>99</v>
      </c>
      <c r="F950" s="221" t="s">
        <v>1073</v>
      </c>
      <c r="G950" s="226" t="s">
        <v>281</v>
      </c>
      <c r="H950" s="222" t="s">
        <v>2</v>
      </c>
      <c r="I950" s="222" t="s">
        <v>281</v>
      </c>
      <c r="J950" s="222" t="s">
        <v>281</v>
      </c>
      <c r="K950" s="222" t="s">
        <v>281</v>
      </c>
      <c r="L950" s="222" t="s">
        <v>281</v>
      </c>
      <c r="M950" s="222" t="s">
        <v>281</v>
      </c>
      <c r="N950" s="222" t="s">
        <v>281</v>
      </c>
      <c r="O950" s="223" t="s">
        <v>2</v>
      </c>
      <c r="P950" s="223" t="s">
        <v>2</v>
      </c>
      <c r="Q950" s="223" t="s">
        <v>2</v>
      </c>
      <c r="R950" s="223" t="s">
        <v>2</v>
      </c>
      <c r="S950" s="223" t="s">
        <v>16</v>
      </c>
      <c r="T950" s="223" t="s">
        <v>328</v>
      </c>
      <c r="U950" s="223" t="s">
        <v>248</v>
      </c>
      <c r="V950" s="223" t="s">
        <v>281</v>
      </c>
      <c r="W950" s="224" t="s">
        <v>281</v>
      </c>
      <c r="X950" s="224" t="s">
        <v>281</v>
      </c>
      <c r="Y950" s="225" t="s">
        <v>281</v>
      </c>
    </row>
    <row r="951" spans="1:25">
      <c r="A951" s="219">
        <v>18</v>
      </c>
      <c r="B951" s="220" t="str">
        <f>VLOOKUP(Tabel10[[#This Row],[Code]],Ruimtegroepen[[Code]:[Ruimte omschrijving]],2,FALSE)</f>
        <v>Gymzaal</v>
      </c>
      <c r="C951" s="221" t="s">
        <v>1071</v>
      </c>
      <c r="D951" s="220" t="s">
        <v>1</v>
      </c>
      <c r="E951" s="221" t="s">
        <v>1309</v>
      </c>
      <c r="F951" s="221" t="s">
        <v>1475</v>
      </c>
      <c r="G951" s="226" t="s">
        <v>281</v>
      </c>
      <c r="H951" s="222" t="s">
        <v>281</v>
      </c>
      <c r="I951" s="222" t="s">
        <v>20</v>
      </c>
      <c r="J951" s="222" t="s">
        <v>15</v>
      </c>
      <c r="K951" s="222" t="s">
        <v>282</v>
      </c>
      <c r="L951" s="222" t="s">
        <v>281</v>
      </c>
      <c r="M951" s="222" t="s">
        <v>281</v>
      </c>
      <c r="N951" s="222" t="s">
        <v>281</v>
      </c>
      <c r="O951" s="223" t="s">
        <v>2</v>
      </c>
      <c r="P951" s="223" t="s">
        <v>2</v>
      </c>
      <c r="Q951" s="223" t="s">
        <v>2</v>
      </c>
      <c r="R951" s="223" t="s">
        <v>2</v>
      </c>
      <c r="S951" s="223" t="s">
        <v>16</v>
      </c>
      <c r="T951" s="223" t="s">
        <v>328</v>
      </c>
      <c r="U951" s="223" t="s">
        <v>248</v>
      </c>
      <c r="V951" s="223" t="s">
        <v>281</v>
      </c>
      <c r="W951" s="224" t="s">
        <v>281</v>
      </c>
      <c r="X951" s="224" t="s">
        <v>281</v>
      </c>
      <c r="Y951" s="225" t="s">
        <v>281</v>
      </c>
    </row>
    <row r="952" spans="1:25">
      <c r="A952" s="219">
        <v>18</v>
      </c>
      <c r="B952" s="220" t="str">
        <f>VLOOKUP(Tabel10[[#This Row],[Code]],Ruimtegroepen[[Code]:[Ruimte omschrijving]],2,FALSE)</f>
        <v>Gymzaal</v>
      </c>
      <c r="C952" s="221" t="s">
        <v>1076</v>
      </c>
      <c r="D952" s="220" t="s">
        <v>21</v>
      </c>
      <c r="E952" s="221" t="s">
        <v>100</v>
      </c>
      <c r="F952" s="221" t="s">
        <v>1077</v>
      </c>
      <c r="G952" s="226" t="s">
        <v>281</v>
      </c>
      <c r="H952" s="222" t="s">
        <v>281</v>
      </c>
      <c r="I952" s="222" t="s">
        <v>18</v>
      </c>
      <c r="J952" s="222" t="s">
        <v>15</v>
      </c>
      <c r="K952" s="222" t="s">
        <v>281</v>
      </c>
      <c r="L952" s="222" t="s">
        <v>281</v>
      </c>
      <c r="M952" s="222" t="s">
        <v>281</v>
      </c>
      <c r="N952" s="222" t="s">
        <v>281</v>
      </c>
      <c r="O952" s="223" t="s">
        <v>20</v>
      </c>
      <c r="P952" s="223" t="s">
        <v>20</v>
      </c>
      <c r="Q952" s="223" t="s">
        <v>20</v>
      </c>
      <c r="R952" s="223" t="s">
        <v>15</v>
      </c>
      <c r="S952" s="223" t="s">
        <v>16</v>
      </c>
      <c r="T952" s="223" t="s">
        <v>328</v>
      </c>
      <c r="U952" s="223" t="s">
        <v>248</v>
      </c>
      <c r="V952" s="223" t="s">
        <v>281</v>
      </c>
      <c r="W952" s="224" t="s">
        <v>281</v>
      </c>
      <c r="X952" s="224" t="s">
        <v>281</v>
      </c>
      <c r="Y952" s="225" t="s">
        <v>281</v>
      </c>
    </row>
    <row r="953" spans="1:25">
      <c r="A953" s="219">
        <v>18</v>
      </c>
      <c r="B953" s="220" t="str">
        <f>VLOOKUP(Tabel10[[#This Row],[Code]],Ruimtegroepen[[Code]:[Ruimte omschrijving]],2,FALSE)</f>
        <v>Gymzaal</v>
      </c>
      <c r="C953" s="221" t="s">
        <v>1076</v>
      </c>
      <c r="D953" s="220" t="s">
        <v>21</v>
      </c>
      <c r="E953" s="221" t="s">
        <v>99</v>
      </c>
      <c r="F953" s="221" t="s">
        <v>1078</v>
      </c>
      <c r="G953" s="222" t="s">
        <v>18</v>
      </c>
      <c r="H953" s="222" t="s">
        <v>15</v>
      </c>
      <c r="I953" s="222" t="s">
        <v>281</v>
      </c>
      <c r="J953" s="222" t="s">
        <v>281</v>
      </c>
      <c r="K953" s="222" t="s">
        <v>281</v>
      </c>
      <c r="L953" s="222" t="s">
        <v>281</v>
      </c>
      <c r="M953" s="222" t="s">
        <v>281</v>
      </c>
      <c r="N953" s="222" t="s">
        <v>281</v>
      </c>
      <c r="O953" s="223" t="s">
        <v>20</v>
      </c>
      <c r="P953" s="223" t="s">
        <v>20</v>
      </c>
      <c r="Q953" s="223" t="s">
        <v>20</v>
      </c>
      <c r="R953" s="223" t="s">
        <v>15</v>
      </c>
      <c r="S953" s="223" t="s">
        <v>16</v>
      </c>
      <c r="T953" s="223" t="s">
        <v>328</v>
      </c>
      <c r="U953" s="223" t="s">
        <v>248</v>
      </c>
      <c r="V953" s="223" t="s">
        <v>281</v>
      </c>
      <c r="W953" s="224" t="s">
        <v>281</v>
      </c>
      <c r="X953" s="224" t="s">
        <v>281</v>
      </c>
      <c r="Y953" s="225" t="s">
        <v>281</v>
      </c>
    </row>
    <row r="954" spans="1:25">
      <c r="A954" s="219">
        <v>18</v>
      </c>
      <c r="B954" s="220" t="str">
        <f>VLOOKUP(Tabel10[[#This Row],[Code]],Ruimtegroepen[[Code]:[Ruimte omschrijving]],2,FALSE)</f>
        <v>Gymzaal</v>
      </c>
      <c r="C954" s="221" t="s">
        <v>1076</v>
      </c>
      <c r="D954" s="220" t="s">
        <v>21</v>
      </c>
      <c r="E954" s="221" t="s">
        <v>101</v>
      </c>
      <c r="F954" s="221" t="s">
        <v>1079</v>
      </c>
      <c r="G954" s="226" t="s">
        <v>281</v>
      </c>
      <c r="H954" s="222" t="s">
        <v>281</v>
      </c>
      <c r="I954" s="222" t="s">
        <v>18</v>
      </c>
      <c r="J954" s="222" t="s">
        <v>15</v>
      </c>
      <c r="K954" s="222" t="s">
        <v>282</v>
      </c>
      <c r="L954" s="222" t="s">
        <v>281</v>
      </c>
      <c r="M954" s="222" t="s">
        <v>281</v>
      </c>
      <c r="N954" s="222" t="s">
        <v>281</v>
      </c>
      <c r="O954" s="223" t="s">
        <v>20</v>
      </c>
      <c r="P954" s="223" t="s">
        <v>20</v>
      </c>
      <c r="Q954" s="223" t="s">
        <v>20</v>
      </c>
      <c r="R954" s="223" t="s">
        <v>15</v>
      </c>
      <c r="S954" s="223" t="s">
        <v>16</v>
      </c>
      <c r="T954" s="223" t="s">
        <v>328</v>
      </c>
      <c r="U954" s="223" t="s">
        <v>248</v>
      </c>
      <c r="V954" s="223" t="s">
        <v>281</v>
      </c>
      <c r="W954" s="224" t="s">
        <v>281</v>
      </c>
      <c r="X954" s="224" t="s">
        <v>281</v>
      </c>
      <c r="Y954" s="225" t="s">
        <v>281</v>
      </c>
    </row>
    <row r="955" spans="1:25">
      <c r="A955" s="219">
        <v>18</v>
      </c>
      <c r="B955" s="220" t="str">
        <f>VLOOKUP(Tabel10[[#This Row],[Code]],Ruimtegroepen[[Code]:[Ruimte omschrijving]],2,FALSE)</f>
        <v>Gymzaal</v>
      </c>
      <c r="C955" s="221" t="s">
        <v>1076</v>
      </c>
      <c r="D955" s="220" t="s">
        <v>21</v>
      </c>
      <c r="E955" s="221" t="s">
        <v>102</v>
      </c>
      <c r="F955" s="221" t="s">
        <v>1080</v>
      </c>
      <c r="G955" s="226" t="s">
        <v>281</v>
      </c>
      <c r="H955" s="222" t="s">
        <v>281</v>
      </c>
      <c r="I955" s="222" t="s">
        <v>18</v>
      </c>
      <c r="J955" s="222" t="s">
        <v>15</v>
      </c>
      <c r="K955" s="222" t="s">
        <v>282</v>
      </c>
      <c r="L955" s="222" t="s">
        <v>281</v>
      </c>
      <c r="M955" s="222" t="s">
        <v>281</v>
      </c>
      <c r="N955" s="222" t="s">
        <v>281</v>
      </c>
      <c r="O955" s="223" t="s">
        <v>20</v>
      </c>
      <c r="P955" s="223" t="s">
        <v>20</v>
      </c>
      <c r="Q955" s="223" t="s">
        <v>20</v>
      </c>
      <c r="R955" s="223" t="s">
        <v>15</v>
      </c>
      <c r="S955" s="223" t="s">
        <v>16</v>
      </c>
      <c r="T955" s="223" t="s">
        <v>328</v>
      </c>
      <c r="U955" s="223" t="s">
        <v>248</v>
      </c>
      <c r="V955" s="223" t="s">
        <v>281</v>
      </c>
      <c r="W955" s="224" t="s">
        <v>281</v>
      </c>
      <c r="X955" s="224" t="s">
        <v>281</v>
      </c>
      <c r="Y955" s="225" t="s">
        <v>281</v>
      </c>
    </row>
    <row r="956" spans="1:25">
      <c r="A956" s="219">
        <v>18</v>
      </c>
      <c r="B956" s="220" t="str">
        <f>VLOOKUP(Tabel10[[#This Row],[Code]],Ruimtegroepen[[Code]:[Ruimte omschrijving]],2,FALSE)</f>
        <v>Gymzaal</v>
      </c>
      <c r="C956" s="221" t="s">
        <v>1076</v>
      </c>
      <c r="D956" s="220" t="s">
        <v>21</v>
      </c>
      <c r="E956" s="221" t="s">
        <v>99</v>
      </c>
      <c r="F956" s="221" t="s">
        <v>1078</v>
      </c>
      <c r="G956" s="226" t="s">
        <v>281</v>
      </c>
      <c r="H956" s="222" t="s">
        <v>20</v>
      </c>
      <c r="I956" s="222" t="s">
        <v>281</v>
      </c>
      <c r="J956" s="222" t="s">
        <v>281</v>
      </c>
      <c r="K956" s="222" t="s">
        <v>281</v>
      </c>
      <c r="L956" s="222" t="s">
        <v>281</v>
      </c>
      <c r="M956" s="222" t="s">
        <v>281</v>
      </c>
      <c r="N956" s="222" t="s">
        <v>281</v>
      </c>
      <c r="O956" s="223" t="s">
        <v>20</v>
      </c>
      <c r="P956" s="223" t="s">
        <v>20</v>
      </c>
      <c r="Q956" s="223" t="s">
        <v>20</v>
      </c>
      <c r="R956" s="223" t="s">
        <v>15</v>
      </c>
      <c r="S956" s="223" t="s">
        <v>16</v>
      </c>
      <c r="T956" s="223" t="s">
        <v>328</v>
      </c>
      <c r="U956" s="223" t="s">
        <v>248</v>
      </c>
      <c r="V956" s="223" t="s">
        <v>281</v>
      </c>
      <c r="W956" s="224" t="s">
        <v>281</v>
      </c>
      <c r="X956" s="224" t="s">
        <v>281</v>
      </c>
      <c r="Y956" s="225" t="s">
        <v>281</v>
      </c>
    </row>
    <row r="957" spans="1:25">
      <c r="A957" s="219">
        <v>18</v>
      </c>
      <c r="B957" s="220" t="str">
        <f>VLOOKUP(Tabel10[[#This Row],[Code]],Ruimtegroepen[[Code]:[Ruimte omschrijving]],2,FALSE)</f>
        <v>Gymzaal</v>
      </c>
      <c r="C957" s="221" t="s">
        <v>1076</v>
      </c>
      <c r="D957" s="220" t="s">
        <v>21</v>
      </c>
      <c r="E957" s="221" t="s">
        <v>1309</v>
      </c>
      <c r="F957" s="221" t="s">
        <v>1458</v>
      </c>
      <c r="G957" s="226" t="s">
        <v>281</v>
      </c>
      <c r="H957" s="222" t="s">
        <v>281</v>
      </c>
      <c r="I957" s="222" t="s">
        <v>18</v>
      </c>
      <c r="J957" s="222" t="s">
        <v>15</v>
      </c>
      <c r="K957" s="222" t="s">
        <v>282</v>
      </c>
      <c r="L957" s="222" t="s">
        <v>281</v>
      </c>
      <c r="M957" s="222" t="s">
        <v>281</v>
      </c>
      <c r="N957" s="222" t="s">
        <v>281</v>
      </c>
      <c r="O957" s="223" t="s">
        <v>20</v>
      </c>
      <c r="P957" s="223" t="s">
        <v>20</v>
      </c>
      <c r="Q957" s="223" t="s">
        <v>20</v>
      </c>
      <c r="R957" s="223" t="s">
        <v>15</v>
      </c>
      <c r="S957" s="223" t="s">
        <v>16</v>
      </c>
      <c r="T957" s="223" t="s">
        <v>328</v>
      </c>
      <c r="U957" s="223" t="s">
        <v>248</v>
      </c>
      <c r="V957" s="223" t="s">
        <v>281</v>
      </c>
      <c r="W957" s="224" t="s">
        <v>281</v>
      </c>
      <c r="X957" s="224" t="s">
        <v>281</v>
      </c>
      <c r="Y957" s="225" t="s">
        <v>281</v>
      </c>
    </row>
    <row r="958" spans="1:25">
      <c r="A958" s="219">
        <v>18</v>
      </c>
      <c r="B958" s="220" t="str">
        <f>VLOOKUP(Tabel10[[#This Row],[Code]],Ruimtegroepen[[Code]:[Ruimte omschrijving]],2,FALSE)</f>
        <v>Gymzaal</v>
      </c>
      <c r="C958" s="221" t="s">
        <v>1081</v>
      </c>
      <c r="D958" s="220" t="s">
        <v>12</v>
      </c>
      <c r="E958" s="221" t="s">
        <v>100</v>
      </c>
      <c r="F958" s="221" t="s">
        <v>1082</v>
      </c>
      <c r="G958" s="226" t="s">
        <v>281</v>
      </c>
      <c r="H958" s="222" t="s">
        <v>281</v>
      </c>
      <c r="I958" s="222" t="s">
        <v>17</v>
      </c>
      <c r="J958" s="222" t="s">
        <v>15</v>
      </c>
      <c r="K958" s="222" t="s">
        <v>281</v>
      </c>
      <c r="L958" s="222" t="s">
        <v>281</v>
      </c>
      <c r="M958" s="222" t="s">
        <v>281</v>
      </c>
      <c r="N958" s="222" t="s">
        <v>281</v>
      </c>
      <c r="O958" s="223" t="s">
        <v>18</v>
      </c>
      <c r="P958" s="223" t="s">
        <v>18</v>
      </c>
      <c r="Q958" s="223" t="s">
        <v>18</v>
      </c>
      <c r="R958" s="223" t="s">
        <v>15</v>
      </c>
      <c r="S958" s="223" t="s">
        <v>16</v>
      </c>
      <c r="T958" s="223" t="s">
        <v>328</v>
      </c>
      <c r="U958" s="223" t="s">
        <v>248</v>
      </c>
      <c r="V958" s="223" t="s">
        <v>281</v>
      </c>
      <c r="W958" s="224" t="s">
        <v>281</v>
      </c>
      <c r="X958" s="224" t="s">
        <v>281</v>
      </c>
      <c r="Y958" s="225" t="s">
        <v>281</v>
      </c>
    </row>
    <row r="959" spans="1:25">
      <c r="A959" s="219">
        <v>18</v>
      </c>
      <c r="B959" s="220" t="str">
        <f>VLOOKUP(Tabel10[[#This Row],[Code]],Ruimtegroepen[[Code]:[Ruimte omschrijving]],2,FALSE)</f>
        <v>Gymzaal</v>
      </c>
      <c r="C959" s="232" t="s">
        <v>1081</v>
      </c>
      <c r="D959" s="220" t="s">
        <v>12</v>
      </c>
      <c r="E959" s="221" t="s">
        <v>99</v>
      </c>
      <c r="F959" s="221" t="s">
        <v>1083</v>
      </c>
      <c r="G959" s="228" t="s">
        <v>17</v>
      </c>
      <c r="H959" s="228" t="s">
        <v>15</v>
      </c>
      <c r="I959" s="222" t="s">
        <v>281</v>
      </c>
      <c r="J959" s="228" t="s">
        <v>281</v>
      </c>
      <c r="K959" s="228" t="s">
        <v>281</v>
      </c>
      <c r="L959" s="222" t="s">
        <v>281</v>
      </c>
      <c r="M959" s="222" t="s">
        <v>281</v>
      </c>
      <c r="N959" s="228" t="s">
        <v>281</v>
      </c>
      <c r="O959" s="229" t="s">
        <v>18</v>
      </c>
      <c r="P959" s="229" t="s">
        <v>18</v>
      </c>
      <c r="Q959" s="229" t="s">
        <v>18</v>
      </c>
      <c r="R959" s="229" t="s">
        <v>15</v>
      </c>
      <c r="S959" s="223" t="s">
        <v>16</v>
      </c>
      <c r="T959" s="223" t="s">
        <v>328</v>
      </c>
      <c r="U959" s="223" t="s">
        <v>248</v>
      </c>
      <c r="V959" s="229" t="s">
        <v>281</v>
      </c>
      <c r="W959" s="230" t="s">
        <v>281</v>
      </c>
      <c r="X959" s="230" t="s">
        <v>281</v>
      </c>
      <c r="Y959" s="231" t="s">
        <v>281</v>
      </c>
    </row>
    <row r="960" spans="1:25">
      <c r="A960" s="219">
        <v>18</v>
      </c>
      <c r="B960" s="220" t="str">
        <f>VLOOKUP(Tabel10[[#This Row],[Code]],Ruimtegroepen[[Code]:[Ruimte omschrijving]],2,FALSE)</f>
        <v>Gymzaal</v>
      </c>
      <c r="C960" s="221" t="s">
        <v>1081</v>
      </c>
      <c r="D960" s="220" t="s">
        <v>12</v>
      </c>
      <c r="E960" s="221" t="s">
        <v>101</v>
      </c>
      <c r="F960" s="221" t="s">
        <v>1084</v>
      </c>
      <c r="G960" s="226" t="s">
        <v>281</v>
      </c>
      <c r="H960" s="222" t="s">
        <v>281</v>
      </c>
      <c r="I960" s="222" t="s">
        <v>17</v>
      </c>
      <c r="J960" s="222" t="s">
        <v>15</v>
      </c>
      <c r="K960" s="222" t="s">
        <v>282</v>
      </c>
      <c r="L960" s="222" t="s">
        <v>281</v>
      </c>
      <c r="M960" s="222" t="s">
        <v>281</v>
      </c>
      <c r="N960" s="222" t="s">
        <v>281</v>
      </c>
      <c r="O960" s="223" t="s">
        <v>18</v>
      </c>
      <c r="P960" s="223" t="s">
        <v>18</v>
      </c>
      <c r="Q960" s="223" t="s">
        <v>18</v>
      </c>
      <c r="R960" s="223" t="s">
        <v>15</v>
      </c>
      <c r="S960" s="223" t="s">
        <v>16</v>
      </c>
      <c r="T960" s="223" t="s">
        <v>328</v>
      </c>
      <c r="U960" s="223" t="s">
        <v>248</v>
      </c>
      <c r="V960" s="223" t="s">
        <v>281</v>
      </c>
      <c r="W960" s="224" t="s">
        <v>281</v>
      </c>
      <c r="X960" s="224" t="s">
        <v>281</v>
      </c>
      <c r="Y960" s="225" t="s">
        <v>281</v>
      </c>
    </row>
    <row r="961" spans="1:25">
      <c r="A961" s="219">
        <v>18</v>
      </c>
      <c r="B961" s="220" t="str">
        <f>VLOOKUP(Tabel10[[#This Row],[Code]],Ruimtegroepen[[Code]:[Ruimte omschrijving]],2,FALSE)</f>
        <v>Gymzaal</v>
      </c>
      <c r="C961" s="221" t="s">
        <v>1081</v>
      </c>
      <c r="D961" s="220" t="s">
        <v>12</v>
      </c>
      <c r="E961" s="221" t="s">
        <v>102</v>
      </c>
      <c r="F961" s="221" t="s">
        <v>1085</v>
      </c>
      <c r="G961" s="226" t="s">
        <v>281</v>
      </c>
      <c r="H961" s="222" t="s">
        <v>281</v>
      </c>
      <c r="I961" s="222" t="s">
        <v>17</v>
      </c>
      <c r="J961" s="222" t="s">
        <v>15</v>
      </c>
      <c r="K961" s="222" t="s">
        <v>282</v>
      </c>
      <c r="L961" s="222" t="s">
        <v>281</v>
      </c>
      <c r="M961" s="222" t="s">
        <v>281</v>
      </c>
      <c r="N961" s="222" t="s">
        <v>281</v>
      </c>
      <c r="O961" s="223" t="s">
        <v>18</v>
      </c>
      <c r="P961" s="223" t="s">
        <v>18</v>
      </c>
      <c r="Q961" s="223" t="s">
        <v>18</v>
      </c>
      <c r="R961" s="223" t="s">
        <v>15</v>
      </c>
      <c r="S961" s="223" t="s">
        <v>16</v>
      </c>
      <c r="T961" s="223" t="s">
        <v>328</v>
      </c>
      <c r="U961" s="223" t="s">
        <v>248</v>
      </c>
      <c r="V961" s="223" t="s">
        <v>281</v>
      </c>
      <c r="W961" s="224" t="s">
        <v>281</v>
      </c>
      <c r="X961" s="224" t="s">
        <v>281</v>
      </c>
      <c r="Y961" s="225" t="s">
        <v>281</v>
      </c>
    </row>
    <row r="962" spans="1:25">
      <c r="A962" s="219">
        <v>18</v>
      </c>
      <c r="B962" s="220" t="str">
        <f>VLOOKUP(Tabel10[[#This Row],[Code]],Ruimtegroepen[[Code]:[Ruimte omschrijving]],2,FALSE)</f>
        <v>Gymzaal</v>
      </c>
      <c r="C962" s="221" t="s">
        <v>1081</v>
      </c>
      <c r="D962" s="220" t="s">
        <v>12</v>
      </c>
      <c r="E962" s="221" t="s">
        <v>99</v>
      </c>
      <c r="F962" s="221" t="s">
        <v>1083</v>
      </c>
      <c r="G962" s="226" t="s">
        <v>281</v>
      </c>
      <c r="H962" s="222" t="s">
        <v>18</v>
      </c>
      <c r="I962" s="222" t="s">
        <v>281</v>
      </c>
      <c r="J962" s="222" t="s">
        <v>281</v>
      </c>
      <c r="K962" s="222" t="s">
        <v>281</v>
      </c>
      <c r="L962" s="222" t="s">
        <v>281</v>
      </c>
      <c r="M962" s="222" t="s">
        <v>281</v>
      </c>
      <c r="N962" s="222" t="s">
        <v>281</v>
      </c>
      <c r="O962" s="223" t="s">
        <v>18</v>
      </c>
      <c r="P962" s="223" t="s">
        <v>18</v>
      </c>
      <c r="Q962" s="223" t="s">
        <v>18</v>
      </c>
      <c r="R962" s="223" t="s">
        <v>15</v>
      </c>
      <c r="S962" s="223" t="s">
        <v>16</v>
      </c>
      <c r="T962" s="223" t="s">
        <v>328</v>
      </c>
      <c r="U962" s="223" t="s">
        <v>248</v>
      </c>
      <c r="V962" s="223" t="s">
        <v>281</v>
      </c>
      <c r="W962" s="224" t="s">
        <v>281</v>
      </c>
      <c r="X962" s="224" t="s">
        <v>281</v>
      </c>
      <c r="Y962" s="225" t="s">
        <v>281</v>
      </c>
    </row>
    <row r="963" spans="1:25">
      <c r="A963" s="219">
        <v>18</v>
      </c>
      <c r="B963" s="220" t="str">
        <f>VLOOKUP(Tabel10[[#This Row],[Code]],Ruimtegroepen[[Code]:[Ruimte omschrijving]],2,FALSE)</f>
        <v>Gymzaal</v>
      </c>
      <c r="C963" s="221" t="s">
        <v>1081</v>
      </c>
      <c r="D963" s="220" t="s">
        <v>12</v>
      </c>
      <c r="E963" s="221" t="s">
        <v>1309</v>
      </c>
      <c r="F963" s="221" t="s">
        <v>1440</v>
      </c>
      <c r="G963" s="226" t="s">
        <v>281</v>
      </c>
      <c r="H963" s="222" t="s">
        <v>281</v>
      </c>
      <c r="I963" s="222" t="s">
        <v>17</v>
      </c>
      <c r="J963" s="222" t="s">
        <v>15</v>
      </c>
      <c r="K963" s="222" t="s">
        <v>282</v>
      </c>
      <c r="L963" s="222" t="s">
        <v>281</v>
      </c>
      <c r="M963" s="222" t="s">
        <v>281</v>
      </c>
      <c r="N963" s="222" t="s">
        <v>281</v>
      </c>
      <c r="O963" s="223" t="s">
        <v>18</v>
      </c>
      <c r="P963" s="223" t="s">
        <v>18</v>
      </c>
      <c r="Q963" s="223" t="s">
        <v>18</v>
      </c>
      <c r="R963" s="223" t="s">
        <v>15</v>
      </c>
      <c r="S963" s="223" t="s">
        <v>16</v>
      </c>
      <c r="T963" s="223" t="s">
        <v>328</v>
      </c>
      <c r="U963" s="223" t="s">
        <v>248</v>
      </c>
      <c r="V963" s="223" t="s">
        <v>281</v>
      </c>
      <c r="W963" s="224" t="s">
        <v>281</v>
      </c>
      <c r="X963" s="224" t="s">
        <v>281</v>
      </c>
      <c r="Y963" s="225" t="s">
        <v>281</v>
      </c>
    </row>
    <row r="964" spans="1:25">
      <c r="A964" s="219">
        <v>18</v>
      </c>
      <c r="B964" s="220" t="str">
        <f>VLOOKUP(Tabel10[[#This Row],[Code]],Ruimtegroepen[[Code]:[Ruimte omschrijving]],2,FALSE)</f>
        <v>Gymzaal</v>
      </c>
      <c r="C964" s="221" t="s">
        <v>1086</v>
      </c>
      <c r="D964" s="220" t="s">
        <v>14</v>
      </c>
      <c r="E964" s="221" t="s">
        <v>100</v>
      </c>
      <c r="F964" s="221" t="s">
        <v>1087</v>
      </c>
      <c r="G964" s="226" t="s">
        <v>281</v>
      </c>
      <c r="H964" s="222" t="s">
        <v>281</v>
      </c>
      <c r="I964" s="222" t="s">
        <v>17</v>
      </c>
      <c r="J964" s="222" t="s">
        <v>15</v>
      </c>
      <c r="K964" s="222" t="s">
        <v>281</v>
      </c>
      <c r="L964" s="222" t="s">
        <v>281</v>
      </c>
      <c r="M964" s="222" t="s">
        <v>281</v>
      </c>
      <c r="N964" s="222" t="s">
        <v>281</v>
      </c>
      <c r="O964" s="223" t="s">
        <v>17</v>
      </c>
      <c r="P964" s="223" t="s">
        <v>17</v>
      </c>
      <c r="Q964" s="223" t="s">
        <v>17</v>
      </c>
      <c r="R964" s="223" t="s">
        <v>15</v>
      </c>
      <c r="S964" s="223" t="s">
        <v>16</v>
      </c>
      <c r="T964" s="223" t="s">
        <v>328</v>
      </c>
      <c r="U964" s="223" t="s">
        <v>248</v>
      </c>
      <c r="V964" s="223" t="s">
        <v>281</v>
      </c>
      <c r="W964" s="224" t="s">
        <v>281</v>
      </c>
      <c r="X964" s="224" t="s">
        <v>281</v>
      </c>
      <c r="Y964" s="225" t="s">
        <v>281</v>
      </c>
    </row>
    <row r="965" spans="1:25">
      <c r="A965" s="219">
        <v>18</v>
      </c>
      <c r="B965" s="220" t="str">
        <f>VLOOKUP(Tabel10[[#This Row],[Code]],Ruimtegroepen[[Code]:[Ruimte omschrijving]],2,FALSE)</f>
        <v>Gymzaal</v>
      </c>
      <c r="C965" s="221" t="s">
        <v>1086</v>
      </c>
      <c r="D965" s="220" t="s">
        <v>14</v>
      </c>
      <c r="E965" s="221" t="s">
        <v>99</v>
      </c>
      <c r="F965" s="221" t="s">
        <v>1088</v>
      </c>
      <c r="G965" s="222" t="s">
        <v>15</v>
      </c>
      <c r="H965" s="222" t="s">
        <v>15</v>
      </c>
      <c r="I965" s="222" t="s">
        <v>281</v>
      </c>
      <c r="J965" s="222" t="s">
        <v>281</v>
      </c>
      <c r="K965" s="222" t="s">
        <v>281</v>
      </c>
      <c r="L965" s="222" t="s">
        <v>281</v>
      </c>
      <c r="M965" s="222" t="s">
        <v>281</v>
      </c>
      <c r="N965" s="222" t="s">
        <v>281</v>
      </c>
      <c r="O965" s="223" t="s">
        <v>17</v>
      </c>
      <c r="P965" s="223" t="s">
        <v>17</v>
      </c>
      <c r="Q965" s="223" t="s">
        <v>17</v>
      </c>
      <c r="R965" s="223" t="s">
        <v>15</v>
      </c>
      <c r="S965" s="223" t="s">
        <v>16</v>
      </c>
      <c r="T965" s="223" t="s">
        <v>328</v>
      </c>
      <c r="U965" s="223" t="s">
        <v>248</v>
      </c>
      <c r="V965" s="223" t="s">
        <v>281</v>
      </c>
      <c r="W965" s="224" t="s">
        <v>281</v>
      </c>
      <c r="X965" s="224" t="s">
        <v>281</v>
      </c>
      <c r="Y965" s="225" t="s">
        <v>281</v>
      </c>
    </row>
    <row r="966" spans="1:25">
      <c r="A966" s="219">
        <v>18</v>
      </c>
      <c r="B966" s="220" t="str">
        <f>VLOOKUP(Tabel10[[#This Row],[Code]],Ruimtegroepen[[Code]:[Ruimte omschrijving]],2,FALSE)</f>
        <v>Gymzaal</v>
      </c>
      <c r="C966" s="221" t="s">
        <v>1086</v>
      </c>
      <c r="D966" s="220" t="s">
        <v>14</v>
      </c>
      <c r="E966" s="221" t="s">
        <v>101</v>
      </c>
      <c r="F966" s="221" t="s">
        <v>1089</v>
      </c>
      <c r="G966" s="226" t="s">
        <v>281</v>
      </c>
      <c r="H966" s="222" t="s">
        <v>281</v>
      </c>
      <c r="I966" s="222" t="s">
        <v>15</v>
      </c>
      <c r="J966" s="222" t="s">
        <v>15</v>
      </c>
      <c r="K966" s="222" t="s">
        <v>282</v>
      </c>
      <c r="L966" s="222" t="s">
        <v>281</v>
      </c>
      <c r="M966" s="222" t="s">
        <v>281</v>
      </c>
      <c r="N966" s="222" t="s">
        <v>281</v>
      </c>
      <c r="O966" s="223" t="s">
        <v>17</v>
      </c>
      <c r="P966" s="223" t="s">
        <v>17</v>
      </c>
      <c r="Q966" s="223" t="s">
        <v>17</v>
      </c>
      <c r="R966" s="223" t="s">
        <v>15</v>
      </c>
      <c r="S966" s="223" t="s">
        <v>16</v>
      </c>
      <c r="T966" s="223" t="s">
        <v>328</v>
      </c>
      <c r="U966" s="223" t="s">
        <v>248</v>
      </c>
      <c r="V966" s="223" t="s">
        <v>281</v>
      </c>
      <c r="W966" s="224" t="s">
        <v>281</v>
      </c>
      <c r="X966" s="224" t="s">
        <v>281</v>
      </c>
      <c r="Y966" s="225" t="s">
        <v>281</v>
      </c>
    </row>
    <row r="967" spans="1:25">
      <c r="A967" s="219">
        <v>18</v>
      </c>
      <c r="B967" s="220" t="str">
        <f>VLOOKUP(Tabel10[[#This Row],[Code]],Ruimtegroepen[[Code]:[Ruimte omschrijving]],2,FALSE)</f>
        <v>Gymzaal</v>
      </c>
      <c r="C967" s="221" t="s">
        <v>1086</v>
      </c>
      <c r="D967" s="220" t="s">
        <v>14</v>
      </c>
      <c r="E967" s="221" t="s">
        <v>102</v>
      </c>
      <c r="F967" s="221" t="s">
        <v>1090</v>
      </c>
      <c r="G967" s="226" t="s">
        <v>281</v>
      </c>
      <c r="H967" s="222" t="s">
        <v>281</v>
      </c>
      <c r="I967" s="222" t="s">
        <v>17</v>
      </c>
      <c r="J967" s="222" t="s">
        <v>15</v>
      </c>
      <c r="K967" s="222" t="s">
        <v>282</v>
      </c>
      <c r="L967" s="222" t="s">
        <v>281</v>
      </c>
      <c r="M967" s="222" t="s">
        <v>281</v>
      </c>
      <c r="N967" s="222" t="s">
        <v>281</v>
      </c>
      <c r="O967" s="223" t="s">
        <v>17</v>
      </c>
      <c r="P967" s="223" t="s">
        <v>17</v>
      </c>
      <c r="Q967" s="223" t="s">
        <v>17</v>
      </c>
      <c r="R967" s="223" t="s">
        <v>15</v>
      </c>
      <c r="S967" s="223" t="s">
        <v>16</v>
      </c>
      <c r="T967" s="223" t="s">
        <v>328</v>
      </c>
      <c r="U967" s="223" t="s">
        <v>248</v>
      </c>
      <c r="V967" s="223" t="s">
        <v>281</v>
      </c>
      <c r="W967" s="224" t="s">
        <v>281</v>
      </c>
      <c r="X967" s="224" t="s">
        <v>281</v>
      </c>
      <c r="Y967" s="225" t="s">
        <v>281</v>
      </c>
    </row>
    <row r="968" spans="1:25">
      <c r="A968" s="219">
        <v>18</v>
      </c>
      <c r="B968" s="220" t="str">
        <f>VLOOKUP(Tabel10[[#This Row],[Code]],Ruimtegroepen[[Code]:[Ruimte omschrijving]],2,FALSE)</f>
        <v>Gymzaal</v>
      </c>
      <c r="C968" s="221" t="s">
        <v>1086</v>
      </c>
      <c r="D968" s="220" t="s">
        <v>14</v>
      </c>
      <c r="E968" s="221" t="s">
        <v>99</v>
      </c>
      <c r="F968" s="221" t="s">
        <v>1088</v>
      </c>
      <c r="G968" s="226" t="s">
        <v>281</v>
      </c>
      <c r="H968" s="222" t="s">
        <v>17</v>
      </c>
      <c r="I968" s="222" t="s">
        <v>281</v>
      </c>
      <c r="J968" s="222" t="s">
        <v>281</v>
      </c>
      <c r="K968" s="222" t="s">
        <v>281</v>
      </c>
      <c r="L968" s="222" t="s">
        <v>281</v>
      </c>
      <c r="M968" s="222" t="s">
        <v>281</v>
      </c>
      <c r="N968" s="222" t="s">
        <v>281</v>
      </c>
      <c r="O968" s="223" t="s">
        <v>17</v>
      </c>
      <c r="P968" s="223" t="s">
        <v>17</v>
      </c>
      <c r="Q968" s="223" t="s">
        <v>17</v>
      </c>
      <c r="R968" s="223" t="s">
        <v>15</v>
      </c>
      <c r="S968" s="223" t="s">
        <v>16</v>
      </c>
      <c r="T968" s="223" t="s">
        <v>328</v>
      </c>
      <c r="U968" s="223" t="s">
        <v>248</v>
      </c>
      <c r="V968" s="223" t="s">
        <v>281</v>
      </c>
      <c r="W968" s="224" t="s">
        <v>281</v>
      </c>
      <c r="X968" s="224" t="s">
        <v>281</v>
      </c>
      <c r="Y968" s="225" t="s">
        <v>281</v>
      </c>
    </row>
    <row r="969" spans="1:25">
      <c r="A969" s="219">
        <v>18</v>
      </c>
      <c r="B969" s="220" t="str">
        <f>VLOOKUP(Tabel10[[#This Row],[Code]],Ruimtegroepen[[Code]:[Ruimte omschrijving]],2,FALSE)</f>
        <v>Gymzaal</v>
      </c>
      <c r="C969" s="221" t="s">
        <v>1086</v>
      </c>
      <c r="D969" s="220" t="s">
        <v>14</v>
      </c>
      <c r="E969" s="221" t="s">
        <v>1309</v>
      </c>
      <c r="F969" s="221" t="s">
        <v>1407</v>
      </c>
      <c r="G969" s="226" t="s">
        <v>281</v>
      </c>
      <c r="H969" s="222" t="s">
        <v>281</v>
      </c>
      <c r="I969" s="222" t="s">
        <v>17</v>
      </c>
      <c r="J969" s="222" t="s">
        <v>15</v>
      </c>
      <c r="K969" s="222" t="s">
        <v>282</v>
      </c>
      <c r="L969" s="222" t="s">
        <v>281</v>
      </c>
      <c r="M969" s="222" t="s">
        <v>281</v>
      </c>
      <c r="N969" s="222" t="s">
        <v>281</v>
      </c>
      <c r="O969" s="223" t="s">
        <v>17</v>
      </c>
      <c r="P969" s="223" t="s">
        <v>17</v>
      </c>
      <c r="Q969" s="223" t="s">
        <v>17</v>
      </c>
      <c r="R969" s="223" t="s">
        <v>15</v>
      </c>
      <c r="S969" s="223" t="s">
        <v>16</v>
      </c>
      <c r="T969" s="223" t="s">
        <v>328</v>
      </c>
      <c r="U969" s="223" t="s">
        <v>248</v>
      </c>
      <c r="V969" s="223" t="s">
        <v>281</v>
      </c>
      <c r="W969" s="224" t="s">
        <v>281</v>
      </c>
      <c r="X969" s="224" t="s">
        <v>281</v>
      </c>
      <c r="Y969" s="225" t="s">
        <v>281</v>
      </c>
    </row>
    <row r="970" spans="1:25">
      <c r="A970" s="219">
        <v>18</v>
      </c>
      <c r="B970" s="220" t="str">
        <f>VLOOKUP(Tabel10[[#This Row],[Code]],Ruimtegroepen[[Code]:[Ruimte omschrijving]],2,FALSE)</f>
        <v>Gymzaal</v>
      </c>
      <c r="C970" s="221" t="s">
        <v>1091</v>
      </c>
      <c r="D970" s="220" t="s">
        <v>13</v>
      </c>
      <c r="E970" s="221" t="s">
        <v>100</v>
      </c>
      <c r="F970" s="221" t="s">
        <v>1092</v>
      </c>
      <c r="G970" s="226" t="s">
        <v>281</v>
      </c>
      <c r="H970" s="222" t="s">
        <v>281</v>
      </c>
      <c r="I970" s="222" t="s">
        <v>15</v>
      </c>
      <c r="J970" s="222" t="s">
        <v>15</v>
      </c>
      <c r="K970" s="222" t="s">
        <v>281</v>
      </c>
      <c r="L970" s="222" t="s">
        <v>281</v>
      </c>
      <c r="M970" s="222" t="s">
        <v>281</v>
      </c>
      <c r="N970" s="222" t="s">
        <v>281</v>
      </c>
      <c r="O970" s="223" t="s">
        <v>15</v>
      </c>
      <c r="P970" s="223" t="s">
        <v>15</v>
      </c>
      <c r="Q970" s="223" t="s">
        <v>15</v>
      </c>
      <c r="R970" s="223" t="s">
        <v>15</v>
      </c>
      <c r="S970" s="223" t="s">
        <v>16</v>
      </c>
      <c r="T970" s="223" t="s">
        <v>328</v>
      </c>
      <c r="U970" s="223" t="s">
        <v>248</v>
      </c>
      <c r="V970" s="223" t="s">
        <v>281</v>
      </c>
      <c r="W970" s="224" t="s">
        <v>281</v>
      </c>
      <c r="X970" s="224" t="s">
        <v>281</v>
      </c>
      <c r="Y970" s="225" t="s">
        <v>281</v>
      </c>
    </row>
    <row r="971" spans="1:25">
      <c r="A971" s="219">
        <v>18</v>
      </c>
      <c r="B971" s="220" t="str">
        <f>VLOOKUP(Tabel10[[#This Row],[Code]],Ruimtegroepen[[Code]:[Ruimte omschrijving]],2,FALSE)</f>
        <v>Gymzaal</v>
      </c>
      <c r="C971" s="221" t="s">
        <v>1091</v>
      </c>
      <c r="D971" s="220" t="s">
        <v>13</v>
      </c>
      <c r="E971" s="221" t="s">
        <v>99</v>
      </c>
      <c r="F971" s="221" t="s">
        <v>1093</v>
      </c>
      <c r="G971" s="226" t="s">
        <v>281</v>
      </c>
      <c r="H971" s="222" t="s">
        <v>15</v>
      </c>
      <c r="I971" s="222" t="s">
        <v>281</v>
      </c>
      <c r="J971" s="222" t="s">
        <v>281</v>
      </c>
      <c r="K971" s="222" t="s">
        <v>281</v>
      </c>
      <c r="L971" s="222" t="s">
        <v>281</v>
      </c>
      <c r="M971" s="222" t="s">
        <v>281</v>
      </c>
      <c r="N971" s="222" t="s">
        <v>281</v>
      </c>
      <c r="O971" s="223" t="s">
        <v>15</v>
      </c>
      <c r="P971" s="223" t="s">
        <v>15</v>
      </c>
      <c r="Q971" s="223" t="s">
        <v>15</v>
      </c>
      <c r="R971" s="223" t="s">
        <v>15</v>
      </c>
      <c r="S971" s="223" t="s">
        <v>16</v>
      </c>
      <c r="T971" s="223" t="s">
        <v>328</v>
      </c>
      <c r="U971" s="223" t="s">
        <v>248</v>
      </c>
      <c r="V971" s="223" t="s">
        <v>281</v>
      </c>
      <c r="W971" s="224" t="s">
        <v>281</v>
      </c>
      <c r="X971" s="224" t="s">
        <v>281</v>
      </c>
      <c r="Y971" s="225" t="s">
        <v>281</v>
      </c>
    </row>
    <row r="972" spans="1:25">
      <c r="A972" s="219">
        <v>18</v>
      </c>
      <c r="B972" s="220" t="str">
        <f>VLOOKUP(Tabel10[[#This Row],[Code]],Ruimtegroepen[[Code]:[Ruimte omschrijving]],2,FALSE)</f>
        <v>Gymzaal</v>
      </c>
      <c r="C972" s="221" t="s">
        <v>1091</v>
      </c>
      <c r="D972" s="220" t="s">
        <v>13</v>
      </c>
      <c r="E972" s="221" t="s">
        <v>101</v>
      </c>
      <c r="F972" s="221" t="s">
        <v>1094</v>
      </c>
      <c r="G972" s="226" t="s">
        <v>281</v>
      </c>
      <c r="H972" s="222" t="s">
        <v>281</v>
      </c>
      <c r="I972" s="222" t="s">
        <v>281</v>
      </c>
      <c r="J972" s="222" t="s">
        <v>15</v>
      </c>
      <c r="K972" s="222" t="s">
        <v>282</v>
      </c>
      <c r="L972" s="222" t="s">
        <v>281</v>
      </c>
      <c r="M972" s="222" t="s">
        <v>281</v>
      </c>
      <c r="N972" s="222" t="s">
        <v>281</v>
      </c>
      <c r="O972" s="223" t="s">
        <v>15</v>
      </c>
      <c r="P972" s="223" t="s">
        <v>15</v>
      </c>
      <c r="Q972" s="223" t="s">
        <v>15</v>
      </c>
      <c r="R972" s="223" t="s">
        <v>15</v>
      </c>
      <c r="S972" s="223" t="s">
        <v>16</v>
      </c>
      <c r="T972" s="223" t="s">
        <v>328</v>
      </c>
      <c r="U972" s="223" t="s">
        <v>248</v>
      </c>
      <c r="V972" s="223" t="s">
        <v>281</v>
      </c>
      <c r="W972" s="224" t="s">
        <v>281</v>
      </c>
      <c r="X972" s="224" t="s">
        <v>281</v>
      </c>
      <c r="Y972" s="225" t="s">
        <v>281</v>
      </c>
    </row>
    <row r="973" spans="1:25">
      <c r="A973" s="219">
        <v>18</v>
      </c>
      <c r="B973" s="220" t="str">
        <f>VLOOKUP(Tabel10[[#This Row],[Code]],Ruimtegroepen[[Code]:[Ruimte omschrijving]],2,FALSE)</f>
        <v>Gymzaal</v>
      </c>
      <c r="C973" s="221" t="s">
        <v>1091</v>
      </c>
      <c r="D973" s="220" t="s">
        <v>13</v>
      </c>
      <c r="E973" s="221" t="s">
        <v>102</v>
      </c>
      <c r="F973" s="221" t="s">
        <v>1095</v>
      </c>
      <c r="G973" s="226" t="s">
        <v>281</v>
      </c>
      <c r="H973" s="222" t="s">
        <v>281</v>
      </c>
      <c r="I973" s="222" t="s">
        <v>15</v>
      </c>
      <c r="J973" s="222" t="s">
        <v>15</v>
      </c>
      <c r="K973" s="222" t="s">
        <v>282</v>
      </c>
      <c r="L973" s="222" t="s">
        <v>281</v>
      </c>
      <c r="M973" s="222" t="s">
        <v>281</v>
      </c>
      <c r="N973" s="222" t="s">
        <v>281</v>
      </c>
      <c r="O973" s="223" t="s">
        <v>15</v>
      </c>
      <c r="P973" s="223" t="s">
        <v>15</v>
      </c>
      <c r="Q973" s="223" t="s">
        <v>15</v>
      </c>
      <c r="R973" s="223" t="s">
        <v>15</v>
      </c>
      <c r="S973" s="223" t="s">
        <v>16</v>
      </c>
      <c r="T973" s="223" t="s">
        <v>328</v>
      </c>
      <c r="U973" s="223" t="s">
        <v>248</v>
      </c>
      <c r="V973" s="223" t="s">
        <v>281</v>
      </c>
      <c r="W973" s="224" t="s">
        <v>281</v>
      </c>
      <c r="X973" s="224" t="s">
        <v>281</v>
      </c>
      <c r="Y973" s="225" t="s">
        <v>281</v>
      </c>
    </row>
    <row r="974" spans="1:25">
      <c r="A974" s="219">
        <v>18</v>
      </c>
      <c r="B974" s="220" t="str">
        <f>VLOOKUP(Tabel10[[#This Row],[Code]],Ruimtegroepen[[Code]:[Ruimte omschrijving]],2,FALSE)</f>
        <v>Gymzaal</v>
      </c>
      <c r="C974" s="221" t="s">
        <v>1091</v>
      </c>
      <c r="D974" s="220" t="s">
        <v>13</v>
      </c>
      <c r="E974" s="221" t="s">
        <v>99</v>
      </c>
      <c r="F974" s="221" t="s">
        <v>1093</v>
      </c>
      <c r="G974" s="226" t="s">
        <v>281</v>
      </c>
      <c r="H974" s="222" t="s">
        <v>15</v>
      </c>
      <c r="I974" s="222" t="s">
        <v>281</v>
      </c>
      <c r="J974" s="222" t="s">
        <v>281</v>
      </c>
      <c r="K974" s="222" t="s">
        <v>281</v>
      </c>
      <c r="L974" s="222" t="s">
        <v>281</v>
      </c>
      <c r="M974" s="222" t="s">
        <v>281</v>
      </c>
      <c r="N974" s="222" t="s">
        <v>281</v>
      </c>
      <c r="O974" s="223" t="s">
        <v>15</v>
      </c>
      <c r="P974" s="223" t="s">
        <v>15</v>
      </c>
      <c r="Q974" s="223" t="s">
        <v>15</v>
      </c>
      <c r="R974" s="223" t="s">
        <v>15</v>
      </c>
      <c r="S974" s="223" t="s">
        <v>16</v>
      </c>
      <c r="T974" s="223" t="s">
        <v>328</v>
      </c>
      <c r="U974" s="223" t="s">
        <v>248</v>
      </c>
      <c r="V974" s="223" t="s">
        <v>281</v>
      </c>
      <c r="W974" s="224" t="s">
        <v>281</v>
      </c>
      <c r="X974" s="224" t="s">
        <v>281</v>
      </c>
      <c r="Y974" s="225" t="s">
        <v>281</v>
      </c>
    </row>
    <row r="975" spans="1:25">
      <c r="A975" s="219">
        <v>18</v>
      </c>
      <c r="B975" s="220" t="str">
        <f>VLOOKUP(Tabel10[[#This Row],[Code]],Ruimtegroepen[[Code]:[Ruimte omschrijving]],2,FALSE)</f>
        <v>Gymzaal</v>
      </c>
      <c r="C975" s="221" t="s">
        <v>1091</v>
      </c>
      <c r="D975" s="220" t="s">
        <v>13</v>
      </c>
      <c r="E975" s="221" t="s">
        <v>1309</v>
      </c>
      <c r="F975" s="221" t="s">
        <v>1374</v>
      </c>
      <c r="G975" s="226" t="s">
        <v>281</v>
      </c>
      <c r="H975" s="222" t="s">
        <v>281</v>
      </c>
      <c r="I975" s="222" t="s">
        <v>15</v>
      </c>
      <c r="J975" s="222" t="s">
        <v>15</v>
      </c>
      <c r="K975" s="222" t="s">
        <v>282</v>
      </c>
      <c r="L975" s="222" t="s">
        <v>281</v>
      </c>
      <c r="M975" s="222" t="s">
        <v>281</v>
      </c>
      <c r="N975" s="222" t="s">
        <v>281</v>
      </c>
      <c r="O975" s="223" t="s">
        <v>15</v>
      </c>
      <c r="P975" s="223" t="s">
        <v>15</v>
      </c>
      <c r="Q975" s="223" t="s">
        <v>15</v>
      </c>
      <c r="R975" s="223" t="s">
        <v>15</v>
      </c>
      <c r="S975" s="223" t="s">
        <v>16</v>
      </c>
      <c r="T975" s="223" t="s">
        <v>328</v>
      </c>
      <c r="U975" s="223" t="s">
        <v>248</v>
      </c>
      <c r="V975" s="223" t="s">
        <v>281</v>
      </c>
      <c r="W975" s="224" t="s">
        <v>281</v>
      </c>
      <c r="X975" s="224" t="s">
        <v>281</v>
      </c>
      <c r="Y975" s="225" t="s">
        <v>281</v>
      </c>
    </row>
    <row r="976" spans="1:25">
      <c r="A976" s="219">
        <v>18</v>
      </c>
      <c r="B976" s="220" t="str">
        <f>VLOOKUP(Tabel10[[#This Row],[Code]],Ruimtegroepen[[Code]:[Ruimte omschrijving]],2,FALSE)</f>
        <v>Gymzaal</v>
      </c>
      <c r="C976" s="221" t="s">
        <v>1096</v>
      </c>
      <c r="D976" s="220" t="s">
        <v>0</v>
      </c>
      <c r="E976" s="221" t="s">
        <v>100</v>
      </c>
      <c r="F976" s="221" t="s">
        <v>1097</v>
      </c>
      <c r="G976" s="226" t="s">
        <v>281</v>
      </c>
      <c r="H976" s="222" t="s">
        <v>281</v>
      </c>
      <c r="I976" s="222" t="s">
        <v>16</v>
      </c>
      <c r="J976" s="222" t="s">
        <v>281</v>
      </c>
      <c r="K976" s="222" t="s">
        <v>281</v>
      </c>
      <c r="L976" s="222" t="s">
        <v>281</v>
      </c>
      <c r="M976" s="222" t="s">
        <v>281</v>
      </c>
      <c r="N976" s="222" t="s">
        <v>281</v>
      </c>
      <c r="O976" s="223" t="s">
        <v>16</v>
      </c>
      <c r="P976" s="223" t="s">
        <v>16</v>
      </c>
      <c r="Q976" s="223" t="s">
        <v>16</v>
      </c>
      <c r="R976" s="223" t="s">
        <v>16</v>
      </c>
      <c r="S976" s="223" t="s">
        <v>16</v>
      </c>
      <c r="T976" s="223" t="s">
        <v>328</v>
      </c>
      <c r="U976" s="223" t="s">
        <v>248</v>
      </c>
      <c r="V976" s="223" t="s">
        <v>281</v>
      </c>
      <c r="W976" s="224" t="s">
        <v>281</v>
      </c>
      <c r="X976" s="224" t="s">
        <v>281</v>
      </c>
      <c r="Y976" s="225" t="s">
        <v>281</v>
      </c>
    </row>
    <row r="977" spans="1:25">
      <c r="A977" s="219">
        <v>18</v>
      </c>
      <c r="B977" s="220" t="str">
        <f>VLOOKUP(Tabel10[[#This Row],[Code]],Ruimtegroepen[[Code]:[Ruimte omschrijving]],2,FALSE)</f>
        <v>Gymzaal</v>
      </c>
      <c r="C977" s="221" t="s">
        <v>1096</v>
      </c>
      <c r="D977" s="220" t="s">
        <v>0</v>
      </c>
      <c r="E977" s="221" t="s">
        <v>99</v>
      </c>
      <c r="F977" s="221" t="s">
        <v>1098</v>
      </c>
      <c r="G977" s="226" t="s">
        <v>281</v>
      </c>
      <c r="H977" s="222" t="s">
        <v>16</v>
      </c>
      <c r="I977" s="222" t="s">
        <v>281</v>
      </c>
      <c r="J977" s="222" t="s">
        <v>281</v>
      </c>
      <c r="K977" s="222" t="s">
        <v>281</v>
      </c>
      <c r="L977" s="222" t="s">
        <v>281</v>
      </c>
      <c r="M977" s="222" t="s">
        <v>281</v>
      </c>
      <c r="N977" s="222" t="s">
        <v>281</v>
      </c>
      <c r="O977" s="223" t="s">
        <v>16</v>
      </c>
      <c r="P977" s="223" t="s">
        <v>16</v>
      </c>
      <c r="Q977" s="223" t="s">
        <v>16</v>
      </c>
      <c r="R977" s="223" t="s">
        <v>16</v>
      </c>
      <c r="S977" s="223" t="s">
        <v>16</v>
      </c>
      <c r="T977" s="223" t="s">
        <v>328</v>
      </c>
      <c r="U977" s="223" t="s">
        <v>248</v>
      </c>
      <c r="V977" s="223" t="s">
        <v>281</v>
      </c>
      <c r="W977" s="224" t="s">
        <v>281</v>
      </c>
      <c r="X977" s="224" t="s">
        <v>281</v>
      </c>
      <c r="Y977" s="225" t="s">
        <v>281</v>
      </c>
    </row>
    <row r="978" spans="1:25">
      <c r="A978" s="219">
        <v>18</v>
      </c>
      <c r="B978" s="220" t="str">
        <f>VLOOKUP(Tabel10[[#This Row],[Code]],Ruimtegroepen[[Code]:[Ruimte omschrijving]],2,FALSE)</f>
        <v>Gymzaal</v>
      </c>
      <c r="C978" s="221" t="s">
        <v>1096</v>
      </c>
      <c r="D978" s="220" t="s">
        <v>0</v>
      </c>
      <c r="E978" s="221" t="s">
        <v>101</v>
      </c>
      <c r="F978" s="221" t="s">
        <v>1099</v>
      </c>
      <c r="G978" s="226" t="s">
        <v>281</v>
      </c>
      <c r="H978" s="222" t="s">
        <v>281</v>
      </c>
      <c r="I978" s="222" t="s">
        <v>16</v>
      </c>
      <c r="J978" s="222" t="s">
        <v>281</v>
      </c>
      <c r="K978" s="222" t="s">
        <v>282</v>
      </c>
      <c r="L978" s="222" t="s">
        <v>281</v>
      </c>
      <c r="M978" s="222" t="s">
        <v>281</v>
      </c>
      <c r="N978" s="222" t="s">
        <v>281</v>
      </c>
      <c r="O978" s="223" t="s">
        <v>16</v>
      </c>
      <c r="P978" s="223" t="s">
        <v>16</v>
      </c>
      <c r="Q978" s="223" t="s">
        <v>16</v>
      </c>
      <c r="R978" s="223" t="s">
        <v>16</v>
      </c>
      <c r="S978" s="223" t="s">
        <v>16</v>
      </c>
      <c r="T978" s="223" t="s">
        <v>328</v>
      </c>
      <c r="U978" s="223" t="s">
        <v>248</v>
      </c>
      <c r="V978" s="223" t="s">
        <v>281</v>
      </c>
      <c r="W978" s="224" t="s">
        <v>281</v>
      </c>
      <c r="X978" s="224" t="s">
        <v>281</v>
      </c>
      <c r="Y978" s="225" t="s">
        <v>281</v>
      </c>
    </row>
    <row r="979" spans="1:25">
      <c r="A979" s="219">
        <v>18</v>
      </c>
      <c r="B979" s="220" t="str">
        <f>VLOOKUP(Tabel10[[#This Row],[Code]],Ruimtegroepen[[Code]:[Ruimte omschrijving]],2,FALSE)</f>
        <v>Gymzaal</v>
      </c>
      <c r="C979" s="221" t="s">
        <v>1096</v>
      </c>
      <c r="D979" s="220" t="s">
        <v>0</v>
      </c>
      <c r="E979" s="221" t="s">
        <v>102</v>
      </c>
      <c r="F979" s="221" t="s">
        <v>1100</v>
      </c>
      <c r="G979" s="226" t="s">
        <v>281</v>
      </c>
      <c r="H979" s="222" t="s">
        <v>281</v>
      </c>
      <c r="I979" s="222" t="s">
        <v>16</v>
      </c>
      <c r="J979" s="222" t="s">
        <v>281</v>
      </c>
      <c r="K979" s="222" t="s">
        <v>282</v>
      </c>
      <c r="L979" s="222" t="s">
        <v>281</v>
      </c>
      <c r="M979" s="222" t="s">
        <v>281</v>
      </c>
      <c r="N979" s="222" t="s">
        <v>281</v>
      </c>
      <c r="O979" s="223" t="s">
        <v>16</v>
      </c>
      <c r="P979" s="223" t="s">
        <v>16</v>
      </c>
      <c r="Q979" s="223" t="s">
        <v>16</v>
      </c>
      <c r="R979" s="223" t="s">
        <v>16</v>
      </c>
      <c r="S979" s="223" t="s">
        <v>16</v>
      </c>
      <c r="T979" s="223" t="s">
        <v>328</v>
      </c>
      <c r="U979" s="223" t="s">
        <v>248</v>
      </c>
      <c r="V979" s="223" t="s">
        <v>281</v>
      </c>
      <c r="W979" s="224" t="s">
        <v>281</v>
      </c>
      <c r="X979" s="224" t="s">
        <v>281</v>
      </c>
      <c r="Y979" s="225" t="s">
        <v>281</v>
      </c>
    </row>
    <row r="980" spans="1:25">
      <c r="A980" s="219">
        <v>18</v>
      </c>
      <c r="B980" s="220" t="str">
        <f>VLOOKUP(Tabel10[[#This Row],[Code]],Ruimtegroepen[[Code]:[Ruimte omschrijving]],2,FALSE)</f>
        <v>Gymzaal</v>
      </c>
      <c r="C980" s="221" t="s">
        <v>1096</v>
      </c>
      <c r="D980" s="220" t="s">
        <v>0</v>
      </c>
      <c r="E980" s="221" t="s">
        <v>99</v>
      </c>
      <c r="F980" s="221" t="s">
        <v>1098</v>
      </c>
      <c r="G980" s="226" t="s">
        <v>281</v>
      </c>
      <c r="H980" s="222" t="s">
        <v>16</v>
      </c>
      <c r="I980" s="222" t="s">
        <v>281</v>
      </c>
      <c r="J980" s="222" t="s">
        <v>281</v>
      </c>
      <c r="K980" s="222" t="s">
        <v>281</v>
      </c>
      <c r="L980" s="222" t="s">
        <v>281</v>
      </c>
      <c r="M980" s="222" t="s">
        <v>281</v>
      </c>
      <c r="N980" s="222" t="s">
        <v>281</v>
      </c>
      <c r="O980" s="223" t="s">
        <v>16</v>
      </c>
      <c r="P980" s="223" t="s">
        <v>16</v>
      </c>
      <c r="Q980" s="223" t="s">
        <v>16</v>
      </c>
      <c r="R980" s="223" t="s">
        <v>16</v>
      </c>
      <c r="S980" s="223" t="s">
        <v>16</v>
      </c>
      <c r="T980" s="223" t="s">
        <v>328</v>
      </c>
      <c r="U980" s="223" t="s">
        <v>248</v>
      </c>
      <c r="V980" s="223" t="s">
        <v>281</v>
      </c>
      <c r="W980" s="224" t="s">
        <v>281</v>
      </c>
      <c r="X980" s="224" t="s">
        <v>281</v>
      </c>
      <c r="Y980" s="225" t="s">
        <v>281</v>
      </c>
    </row>
    <row r="981" spans="1:25">
      <c r="A981" s="219">
        <v>18</v>
      </c>
      <c r="B981" s="220" t="str">
        <f>VLOOKUP(Tabel10[[#This Row],[Code]],Ruimtegroepen[[Code]:[Ruimte omschrijving]],2,FALSE)</f>
        <v>Gymzaal</v>
      </c>
      <c r="C981" s="221" t="s">
        <v>1096</v>
      </c>
      <c r="D981" s="220" t="s">
        <v>0</v>
      </c>
      <c r="E981" s="221" t="s">
        <v>1309</v>
      </c>
      <c r="F981" s="221" t="s">
        <v>1358</v>
      </c>
      <c r="G981" s="226" t="s">
        <v>281</v>
      </c>
      <c r="H981" s="222" t="s">
        <v>281</v>
      </c>
      <c r="I981" s="222" t="s">
        <v>16</v>
      </c>
      <c r="J981" s="222" t="s">
        <v>281</v>
      </c>
      <c r="K981" s="222" t="s">
        <v>282</v>
      </c>
      <c r="L981" s="222" t="s">
        <v>281</v>
      </c>
      <c r="M981" s="222" t="s">
        <v>281</v>
      </c>
      <c r="N981" s="222" t="s">
        <v>281</v>
      </c>
      <c r="O981" s="223" t="s">
        <v>16</v>
      </c>
      <c r="P981" s="223" t="s">
        <v>16</v>
      </c>
      <c r="Q981" s="223" t="s">
        <v>16</v>
      </c>
      <c r="R981" s="223" t="s">
        <v>16</v>
      </c>
      <c r="S981" s="223" t="s">
        <v>16</v>
      </c>
      <c r="T981" s="223" t="s">
        <v>328</v>
      </c>
      <c r="U981" s="223" t="s">
        <v>248</v>
      </c>
      <c r="V981" s="223" t="s">
        <v>281</v>
      </c>
      <c r="W981" s="224" t="s">
        <v>281</v>
      </c>
      <c r="X981" s="224" t="s">
        <v>281</v>
      </c>
      <c r="Y981" s="225" t="s">
        <v>281</v>
      </c>
    </row>
    <row r="982" spans="1:25">
      <c r="A982" s="219">
        <v>18</v>
      </c>
      <c r="B982" s="220" t="str">
        <f>VLOOKUP(Tabel10[[#This Row],[Code]],Ruimtegroepen[[Code]:[Ruimte omschrijving]],2,FALSE)</f>
        <v>Gymzaal</v>
      </c>
      <c r="C982" s="221" t="s">
        <v>1101</v>
      </c>
      <c r="D982" s="220" t="s">
        <v>27</v>
      </c>
      <c r="E982" s="221" t="s">
        <v>100</v>
      </c>
      <c r="F982" s="221" t="s">
        <v>1102</v>
      </c>
      <c r="G982" s="226" t="s">
        <v>281</v>
      </c>
      <c r="H982" s="222" t="s">
        <v>281</v>
      </c>
      <c r="I982" s="222" t="s">
        <v>15</v>
      </c>
      <c r="J982" s="222" t="s">
        <v>281</v>
      </c>
      <c r="K982" s="222" t="s">
        <v>281</v>
      </c>
      <c r="L982" s="222" t="s">
        <v>281</v>
      </c>
      <c r="M982" s="222" t="s">
        <v>281</v>
      </c>
      <c r="N982" s="222" t="s">
        <v>281</v>
      </c>
      <c r="O982" s="223" t="s">
        <v>15</v>
      </c>
      <c r="P982" s="223" t="s">
        <v>15</v>
      </c>
      <c r="Q982" s="223" t="s">
        <v>15</v>
      </c>
      <c r="R982" s="223" t="s">
        <v>15</v>
      </c>
      <c r="S982" s="223" t="s">
        <v>281</v>
      </c>
      <c r="T982" s="223" t="s">
        <v>281</v>
      </c>
      <c r="U982" s="223" t="s">
        <v>281</v>
      </c>
      <c r="V982" s="223" t="s">
        <v>281</v>
      </c>
      <c r="W982" s="224" t="s">
        <v>281</v>
      </c>
      <c r="X982" s="224" t="s">
        <v>281</v>
      </c>
      <c r="Y982" s="225" t="s">
        <v>281</v>
      </c>
    </row>
    <row r="983" spans="1:25">
      <c r="A983" s="219">
        <v>18</v>
      </c>
      <c r="B983" s="220" t="str">
        <f>VLOOKUP(Tabel10[[#This Row],[Code]],Ruimtegroepen[[Code]:[Ruimte omschrijving]],2,FALSE)</f>
        <v>Gymzaal</v>
      </c>
      <c r="C983" s="221" t="s">
        <v>1101</v>
      </c>
      <c r="D983" s="220" t="s">
        <v>27</v>
      </c>
      <c r="E983" s="221" t="s">
        <v>99</v>
      </c>
      <c r="F983" s="221" t="s">
        <v>1103</v>
      </c>
      <c r="G983" s="226" t="s">
        <v>281</v>
      </c>
      <c r="H983" s="222" t="s">
        <v>15</v>
      </c>
      <c r="I983" s="222" t="s">
        <v>281</v>
      </c>
      <c r="J983" s="222" t="s">
        <v>281</v>
      </c>
      <c r="K983" s="222" t="s">
        <v>281</v>
      </c>
      <c r="L983" s="222" t="s">
        <v>281</v>
      </c>
      <c r="M983" s="222" t="s">
        <v>281</v>
      </c>
      <c r="N983" s="222" t="s">
        <v>281</v>
      </c>
      <c r="O983" s="223" t="s">
        <v>15</v>
      </c>
      <c r="P983" s="223" t="s">
        <v>15</v>
      </c>
      <c r="Q983" s="223" t="s">
        <v>15</v>
      </c>
      <c r="R983" s="223" t="s">
        <v>15</v>
      </c>
      <c r="S983" s="223" t="s">
        <v>281</v>
      </c>
      <c r="T983" s="223" t="s">
        <v>281</v>
      </c>
      <c r="U983" s="223" t="s">
        <v>281</v>
      </c>
      <c r="V983" s="223" t="s">
        <v>281</v>
      </c>
      <c r="W983" s="224" t="s">
        <v>281</v>
      </c>
      <c r="X983" s="224" t="s">
        <v>281</v>
      </c>
      <c r="Y983" s="225" t="s">
        <v>281</v>
      </c>
    </row>
    <row r="984" spans="1:25">
      <c r="A984" s="219">
        <v>18</v>
      </c>
      <c r="B984" s="220" t="str">
        <f>VLOOKUP(Tabel10[[#This Row],[Code]],Ruimtegroepen[[Code]:[Ruimte omschrijving]],2,FALSE)</f>
        <v>Gymzaal</v>
      </c>
      <c r="C984" s="221" t="s">
        <v>1101</v>
      </c>
      <c r="D984" s="220" t="s">
        <v>27</v>
      </c>
      <c r="E984" s="221" t="s">
        <v>101</v>
      </c>
      <c r="F984" s="221" t="s">
        <v>1104</v>
      </c>
      <c r="G984" s="226" t="s">
        <v>281</v>
      </c>
      <c r="H984" s="222" t="s">
        <v>281</v>
      </c>
      <c r="I984" s="222" t="s">
        <v>15</v>
      </c>
      <c r="J984" s="222" t="s">
        <v>281</v>
      </c>
      <c r="K984" s="222" t="s">
        <v>281</v>
      </c>
      <c r="L984" s="222" t="s">
        <v>281</v>
      </c>
      <c r="M984" s="222" t="s">
        <v>281</v>
      </c>
      <c r="N984" s="222" t="s">
        <v>281</v>
      </c>
      <c r="O984" s="223" t="s">
        <v>15</v>
      </c>
      <c r="P984" s="223" t="s">
        <v>15</v>
      </c>
      <c r="Q984" s="223" t="s">
        <v>15</v>
      </c>
      <c r="R984" s="223" t="s">
        <v>15</v>
      </c>
      <c r="S984" s="223" t="s">
        <v>281</v>
      </c>
      <c r="T984" s="223" t="s">
        <v>281</v>
      </c>
      <c r="U984" s="223" t="s">
        <v>281</v>
      </c>
      <c r="V984" s="223" t="s">
        <v>281</v>
      </c>
      <c r="W984" s="224" t="s">
        <v>281</v>
      </c>
      <c r="X984" s="224" t="s">
        <v>281</v>
      </c>
      <c r="Y984" s="225" t="s">
        <v>281</v>
      </c>
    </row>
    <row r="985" spans="1:25">
      <c r="A985" s="219">
        <v>18</v>
      </c>
      <c r="B985" s="220" t="str">
        <f>VLOOKUP(Tabel10[[#This Row],[Code]],Ruimtegroepen[[Code]:[Ruimte omschrijving]],2,FALSE)</f>
        <v>Gymzaal</v>
      </c>
      <c r="C985" s="221" t="s">
        <v>1101</v>
      </c>
      <c r="D985" s="220" t="s">
        <v>27</v>
      </c>
      <c r="E985" s="221" t="s">
        <v>102</v>
      </c>
      <c r="F985" s="221" t="s">
        <v>1105</v>
      </c>
      <c r="G985" s="226" t="s">
        <v>281</v>
      </c>
      <c r="H985" s="222" t="s">
        <v>281</v>
      </c>
      <c r="I985" s="222" t="s">
        <v>15</v>
      </c>
      <c r="J985" s="222" t="s">
        <v>281</v>
      </c>
      <c r="K985" s="222" t="s">
        <v>281</v>
      </c>
      <c r="L985" s="222" t="s">
        <v>281</v>
      </c>
      <c r="M985" s="222" t="s">
        <v>281</v>
      </c>
      <c r="N985" s="222" t="s">
        <v>281</v>
      </c>
      <c r="O985" s="223" t="s">
        <v>15</v>
      </c>
      <c r="P985" s="223" t="s">
        <v>15</v>
      </c>
      <c r="Q985" s="223" t="s">
        <v>15</v>
      </c>
      <c r="R985" s="223" t="s">
        <v>15</v>
      </c>
      <c r="S985" s="223" t="s">
        <v>281</v>
      </c>
      <c r="T985" s="223" t="s">
        <v>281</v>
      </c>
      <c r="U985" s="223" t="s">
        <v>281</v>
      </c>
      <c r="V985" s="223" t="s">
        <v>281</v>
      </c>
      <c r="W985" s="224" t="s">
        <v>281</v>
      </c>
      <c r="X985" s="224" t="s">
        <v>281</v>
      </c>
      <c r="Y985" s="225" t="s">
        <v>281</v>
      </c>
    </row>
    <row r="986" spans="1:25">
      <c r="A986" s="219">
        <v>18</v>
      </c>
      <c r="B986" s="220" t="str">
        <f>VLOOKUP(Tabel10[[#This Row],[Code]],Ruimtegroepen[[Code]:[Ruimte omschrijving]],2,FALSE)</f>
        <v>Gymzaal</v>
      </c>
      <c r="C986" s="221" t="s">
        <v>1101</v>
      </c>
      <c r="D986" s="220" t="s">
        <v>27</v>
      </c>
      <c r="E986" s="221" t="s">
        <v>99</v>
      </c>
      <c r="F986" s="221" t="s">
        <v>1103</v>
      </c>
      <c r="G986" s="226" t="s">
        <v>281</v>
      </c>
      <c r="H986" s="222" t="s">
        <v>15</v>
      </c>
      <c r="I986" s="222" t="s">
        <v>281</v>
      </c>
      <c r="J986" s="222" t="s">
        <v>281</v>
      </c>
      <c r="K986" s="222" t="s">
        <v>281</v>
      </c>
      <c r="L986" s="222" t="s">
        <v>281</v>
      </c>
      <c r="M986" s="222" t="s">
        <v>281</v>
      </c>
      <c r="N986" s="222" t="s">
        <v>281</v>
      </c>
      <c r="O986" s="223" t="s">
        <v>15</v>
      </c>
      <c r="P986" s="223" t="s">
        <v>15</v>
      </c>
      <c r="Q986" s="223" t="s">
        <v>15</v>
      </c>
      <c r="R986" s="223" t="s">
        <v>15</v>
      </c>
      <c r="S986" s="223" t="s">
        <v>281</v>
      </c>
      <c r="T986" s="223" t="s">
        <v>281</v>
      </c>
      <c r="U986" s="223" t="s">
        <v>281</v>
      </c>
      <c r="V986" s="223" t="s">
        <v>281</v>
      </c>
      <c r="W986" s="224" t="s">
        <v>281</v>
      </c>
      <c r="X986" s="224" t="s">
        <v>281</v>
      </c>
      <c r="Y986" s="225" t="s">
        <v>281</v>
      </c>
    </row>
    <row r="987" spans="1:25">
      <c r="A987" s="219">
        <v>18</v>
      </c>
      <c r="B987" s="220" t="str">
        <f>VLOOKUP(Tabel10[[#This Row],[Code]],Ruimtegroepen[[Code]:[Ruimte omschrijving]],2,FALSE)</f>
        <v>Gymzaal</v>
      </c>
      <c r="C987" s="221" t="s">
        <v>1101</v>
      </c>
      <c r="D987" s="220" t="s">
        <v>27</v>
      </c>
      <c r="E987" s="221" t="s">
        <v>1309</v>
      </c>
      <c r="F987" s="221" t="s">
        <v>1391</v>
      </c>
      <c r="G987" s="226" t="s">
        <v>281</v>
      </c>
      <c r="H987" s="222" t="s">
        <v>281</v>
      </c>
      <c r="I987" s="222" t="s">
        <v>15</v>
      </c>
      <c r="J987" s="222" t="s">
        <v>281</v>
      </c>
      <c r="K987" s="222" t="s">
        <v>281</v>
      </c>
      <c r="L987" s="222" t="s">
        <v>281</v>
      </c>
      <c r="M987" s="222" t="s">
        <v>281</v>
      </c>
      <c r="N987" s="222" t="s">
        <v>281</v>
      </c>
      <c r="O987" s="223" t="s">
        <v>15</v>
      </c>
      <c r="P987" s="223" t="s">
        <v>15</v>
      </c>
      <c r="Q987" s="223" t="s">
        <v>15</v>
      </c>
      <c r="R987" s="223" t="s">
        <v>15</v>
      </c>
      <c r="S987" s="223" t="s">
        <v>281</v>
      </c>
      <c r="T987" s="223" t="s">
        <v>281</v>
      </c>
      <c r="U987" s="223" t="s">
        <v>281</v>
      </c>
      <c r="V987" s="223" t="s">
        <v>281</v>
      </c>
      <c r="W987" s="224" t="s">
        <v>281</v>
      </c>
      <c r="X987" s="224" t="s">
        <v>281</v>
      </c>
      <c r="Y987" s="225" t="s">
        <v>281</v>
      </c>
    </row>
    <row r="988" spans="1:25">
      <c r="A988" s="219">
        <v>18</v>
      </c>
      <c r="B988" s="220" t="str">
        <f>VLOOKUP(Tabel10[[#This Row],[Code]],Ruimtegroepen[[Code]:[Ruimte omschrijving]],2,FALSE)</f>
        <v>Gymzaal</v>
      </c>
      <c r="C988" s="221" t="s">
        <v>1106</v>
      </c>
      <c r="D988" s="220" t="s">
        <v>28</v>
      </c>
      <c r="E988" s="221" t="s">
        <v>100</v>
      </c>
      <c r="F988" s="221" t="s">
        <v>1107</v>
      </c>
      <c r="G988" s="226" t="s">
        <v>281</v>
      </c>
      <c r="H988" s="222" t="s">
        <v>281</v>
      </c>
      <c r="I988" s="222" t="s">
        <v>17</v>
      </c>
      <c r="J988" s="222" t="s">
        <v>281</v>
      </c>
      <c r="K988" s="222" t="s">
        <v>281</v>
      </c>
      <c r="L988" s="222" t="s">
        <v>281</v>
      </c>
      <c r="M988" s="222" t="s">
        <v>281</v>
      </c>
      <c r="N988" s="222" t="s">
        <v>281</v>
      </c>
      <c r="O988" s="223" t="s">
        <v>17</v>
      </c>
      <c r="P988" s="223" t="s">
        <v>17</v>
      </c>
      <c r="Q988" s="223" t="s">
        <v>17</v>
      </c>
      <c r="R988" s="223" t="s">
        <v>17</v>
      </c>
      <c r="S988" s="223" t="s">
        <v>281</v>
      </c>
      <c r="T988" s="223" t="s">
        <v>281</v>
      </c>
      <c r="U988" s="223" t="s">
        <v>281</v>
      </c>
      <c r="V988" s="223" t="s">
        <v>281</v>
      </c>
      <c r="W988" s="224" t="s">
        <v>281</v>
      </c>
      <c r="X988" s="224" t="s">
        <v>281</v>
      </c>
      <c r="Y988" s="225" t="s">
        <v>281</v>
      </c>
    </row>
    <row r="989" spans="1:25">
      <c r="A989" s="219">
        <v>18</v>
      </c>
      <c r="B989" s="220" t="str">
        <f>VLOOKUP(Tabel10[[#This Row],[Code]],Ruimtegroepen[[Code]:[Ruimte omschrijving]],2,FALSE)</f>
        <v>Gymzaal</v>
      </c>
      <c r="C989" s="221" t="s">
        <v>1106</v>
      </c>
      <c r="D989" s="220" t="s">
        <v>28</v>
      </c>
      <c r="E989" s="221" t="s">
        <v>99</v>
      </c>
      <c r="F989" s="221" t="s">
        <v>1108</v>
      </c>
      <c r="G989" s="226" t="s">
        <v>281</v>
      </c>
      <c r="H989" s="222" t="s">
        <v>17</v>
      </c>
      <c r="I989" s="222" t="s">
        <v>281</v>
      </c>
      <c r="J989" s="222" t="s">
        <v>281</v>
      </c>
      <c r="K989" s="222" t="s">
        <v>281</v>
      </c>
      <c r="L989" s="222" t="s">
        <v>281</v>
      </c>
      <c r="M989" s="222" t="s">
        <v>281</v>
      </c>
      <c r="N989" s="222" t="s">
        <v>281</v>
      </c>
      <c r="O989" s="223" t="s">
        <v>17</v>
      </c>
      <c r="P989" s="223" t="s">
        <v>17</v>
      </c>
      <c r="Q989" s="223" t="s">
        <v>17</v>
      </c>
      <c r="R989" s="223" t="s">
        <v>17</v>
      </c>
      <c r="S989" s="223" t="s">
        <v>281</v>
      </c>
      <c r="T989" s="223" t="s">
        <v>281</v>
      </c>
      <c r="U989" s="223" t="s">
        <v>281</v>
      </c>
      <c r="V989" s="223" t="s">
        <v>281</v>
      </c>
      <c r="W989" s="224" t="s">
        <v>281</v>
      </c>
      <c r="X989" s="224" t="s">
        <v>281</v>
      </c>
      <c r="Y989" s="225" t="s">
        <v>281</v>
      </c>
    </row>
    <row r="990" spans="1:25">
      <c r="A990" s="219">
        <v>18</v>
      </c>
      <c r="B990" s="220" t="str">
        <f>VLOOKUP(Tabel10[[#This Row],[Code]],Ruimtegroepen[[Code]:[Ruimte omschrijving]],2,FALSE)</f>
        <v>Gymzaal</v>
      </c>
      <c r="C990" s="221" t="s">
        <v>1106</v>
      </c>
      <c r="D990" s="220" t="s">
        <v>28</v>
      </c>
      <c r="E990" s="221" t="s">
        <v>101</v>
      </c>
      <c r="F990" s="221" t="s">
        <v>1109</v>
      </c>
      <c r="G990" s="226" t="s">
        <v>281</v>
      </c>
      <c r="H990" s="222" t="s">
        <v>281</v>
      </c>
      <c r="I990" s="222" t="s">
        <v>17</v>
      </c>
      <c r="J990" s="222" t="s">
        <v>281</v>
      </c>
      <c r="K990" s="222" t="s">
        <v>281</v>
      </c>
      <c r="L990" s="222" t="s">
        <v>281</v>
      </c>
      <c r="M990" s="222" t="s">
        <v>281</v>
      </c>
      <c r="N990" s="222" t="s">
        <v>281</v>
      </c>
      <c r="O990" s="223" t="s">
        <v>17</v>
      </c>
      <c r="P990" s="223" t="s">
        <v>17</v>
      </c>
      <c r="Q990" s="223" t="s">
        <v>17</v>
      </c>
      <c r="R990" s="223" t="s">
        <v>17</v>
      </c>
      <c r="S990" s="223" t="s">
        <v>281</v>
      </c>
      <c r="T990" s="223" t="s">
        <v>281</v>
      </c>
      <c r="U990" s="223" t="s">
        <v>281</v>
      </c>
      <c r="V990" s="223" t="s">
        <v>281</v>
      </c>
      <c r="W990" s="224" t="s">
        <v>281</v>
      </c>
      <c r="X990" s="224" t="s">
        <v>281</v>
      </c>
      <c r="Y990" s="225" t="s">
        <v>281</v>
      </c>
    </row>
    <row r="991" spans="1:25">
      <c r="A991" s="219">
        <v>18</v>
      </c>
      <c r="B991" s="220" t="str">
        <f>VLOOKUP(Tabel10[[#This Row],[Code]],Ruimtegroepen[[Code]:[Ruimte omschrijving]],2,FALSE)</f>
        <v>Gymzaal</v>
      </c>
      <c r="C991" s="221" t="s">
        <v>1106</v>
      </c>
      <c r="D991" s="220" t="s">
        <v>28</v>
      </c>
      <c r="E991" s="221" t="s">
        <v>102</v>
      </c>
      <c r="F991" s="221" t="s">
        <v>1110</v>
      </c>
      <c r="G991" s="226" t="s">
        <v>281</v>
      </c>
      <c r="H991" s="222" t="s">
        <v>281</v>
      </c>
      <c r="I991" s="222" t="s">
        <v>17</v>
      </c>
      <c r="J991" s="222" t="s">
        <v>281</v>
      </c>
      <c r="K991" s="222" t="s">
        <v>281</v>
      </c>
      <c r="L991" s="222" t="s">
        <v>281</v>
      </c>
      <c r="M991" s="222" t="s">
        <v>281</v>
      </c>
      <c r="N991" s="222" t="s">
        <v>281</v>
      </c>
      <c r="O991" s="223" t="s">
        <v>17</v>
      </c>
      <c r="P991" s="223" t="s">
        <v>17</v>
      </c>
      <c r="Q991" s="223" t="s">
        <v>17</v>
      </c>
      <c r="R991" s="223" t="s">
        <v>17</v>
      </c>
      <c r="S991" s="223" t="s">
        <v>281</v>
      </c>
      <c r="T991" s="223" t="s">
        <v>281</v>
      </c>
      <c r="U991" s="223" t="s">
        <v>281</v>
      </c>
      <c r="V991" s="223" t="s">
        <v>281</v>
      </c>
      <c r="W991" s="224" t="s">
        <v>281</v>
      </c>
      <c r="X991" s="224" t="s">
        <v>281</v>
      </c>
      <c r="Y991" s="225" t="s">
        <v>281</v>
      </c>
    </row>
    <row r="992" spans="1:25">
      <c r="A992" s="219">
        <v>18</v>
      </c>
      <c r="B992" s="220" t="str">
        <f>VLOOKUP(Tabel10[[#This Row],[Code]],Ruimtegroepen[[Code]:[Ruimte omschrijving]],2,FALSE)</f>
        <v>Gymzaal</v>
      </c>
      <c r="C992" s="221" t="s">
        <v>1106</v>
      </c>
      <c r="D992" s="220" t="s">
        <v>28</v>
      </c>
      <c r="E992" s="221" t="s">
        <v>99</v>
      </c>
      <c r="F992" s="221" t="s">
        <v>1108</v>
      </c>
      <c r="G992" s="226" t="s">
        <v>281</v>
      </c>
      <c r="H992" s="222" t="s">
        <v>17</v>
      </c>
      <c r="I992" s="222" t="s">
        <v>281</v>
      </c>
      <c r="J992" s="222" t="s">
        <v>281</v>
      </c>
      <c r="K992" s="222" t="s">
        <v>281</v>
      </c>
      <c r="L992" s="222" t="s">
        <v>281</v>
      </c>
      <c r="M992" s="222" t="s">
        <v>281</v>
      </c>
      <c r="N992" s="222" t="s">
        <v>281</v>
      </c>
      <c r="O992" s="223" t="s">
        <v>17</v>
      </c>
      <c r="P992" s="223" t="s">
        <v>17</v>
      </c>
      <c r="Q992" s="223" t="s">
        <v>17</v>
      </c>
      <c r="R992" s="223" t="s">
        <v>17</v>
      </c>
      <c r="S992" s="223" t="s">
        <v>281</v>
      </c>
      <c r="T992" s="223" t="s">
        <v>281</v>
      </c>
      <c r="U992" s="223" t="s">
        <v>281</v>
      </c>
      <c r="V992" s="223" t="s">
        <v>281</v>
      </c>
      <c r="W992" s="224" t="s">
        <v>281</v>
      </c>
      <c r="X992" s="224" t="s">
        <v>281</v>
      </c>
      <c r="Y992" s="225" t="s">
        <v>281</v>
      </c>
    </row>
    <row r="993" spans="1:25">
      <c r="A993" s="219">
        <v>18</v>
      </c>
      <c r="B993" s="220" t="str">
        <f>VLOOKUP(Tabel10[[#This Row],[Code]],Ruimtegroepen[[Code]:[Ruimte omschrijving]],2,FALSE)</f>
        <v>Gymzaal</v>
      </c>
      <c r="C993" s="221" t="s">
        <v>1106</v>
      </c>
      <c r="D993" s="220" t="s">
        <v>28</v>
      </c>
      <c r="E993" s="221" t="s">
        <v>1309</v>
      </c>
      <c r="F993" s="221" t="s">
        <v>1424</v>
      </c>
      <c r="G993" s="226" t="s">
        <v>281</v>
      </c>
      <c r="H993" s="222" t="s">
        <v>281</v>
      </c>
      <c r="I993" s="222" t="s">
        <v>17</v>
      </c>
      <c r="J993" s="222" t="s">
        <v>281</v>
      </c>
      <c r="K993" s="222" t="s">
        <v>281</v>
      </c>
      <c r="L993" s="222" t="s">
        <v>281</v>
      </c>
      <c r="M993" s="222" t="s">
        <v>281</v>
      </c>
      <c r="N993" s="222" t="s">
        <v>281</v>
      </c>
      <c r="O993" s="223" t="s">
        <v>17</v>
      </c>
      <c r="P993" s="223" t="s">
        <v>17</v>
      </c>
      <c r="Q993" s="223" t="s">
        <v>17</v>
      </c>
      <c r="R993" s="223" t="s">
        <v>17</v>
      </c>
      <c r="S993" s="223" t="s">
        <v>281</v>
      </c>
      <c r="T993" s="223" t="s">
        <v>281</v>
      </c>
      <c r="U993" s="223" t="s">
        <v>281</v>
      </c>
      <c r="V993" s="223" t="s">
        <v>281</v>
      </c>
      <c r="W993" s="224" t="s">
        <v>281</v>
      </c>
      <c r="X993" s="224" t="s">
        <v>281</v>
      </c>
      <c r="Y993" s="225" t="s">
        <v>281</v>
      </c>
    </row>
    <row r="994" spans="1:25">
      <c r="A994" s="219">
        <v>19</v>
      </c>
      <c r="B994" s="220" t="str">
        <f>VLOOKUP(Tabel10[[#This Row],[Code]],Ruimtegroepen[[Code]:[Ruimte omschrijving]],2,FALSE)</f>
        <v>Kleedruimten</v>
      </c>
      <c r="C994" s="221" t="s">
        <v>1111</v>
      </c>
      <c r="D994" s="220" t="s">
        <v>29</v>
      </c>
      <c r="E994" s="221" t="s">
        <v>100</v>
      </c>
      <c r="F994" s="221" t="s">
        <v>1112</v>
      </c>
      <c r="G994" s="226" t="s">
        <v>281</v>
      </c>
      <c r="H994" s="222" t="s">
        <v>281</v>
      </c>
      <c r="I994" s="222" t="s">
        <v>2</v>
      </c>
      <c r="J994" s="222" t="s">
        <v>281</v>
      </c>
      <c r="K994" s="222" t="s">
        <v>2</v>
      </c>
      <c r="L994" s="222" t="s">
        <v>281</v>
      </c>
      <c r="M994" s="222" t="s">
        <v>281</v>
      </c>
      <c r="N994" s="222" t="s">
        <v>2</v>
      </c>
      <c r="O994" s="223" t="s">
        <v>2</v>
      </c>
      <c r="P994" s="223" t="s">
        <v>2</v>
      </c>
      <c r="Q994" s="223" t="s">
        <v>15</v>
      </c>
      <c r="R994" s="223" t="s">
        <v>15</v>
      </c>
      <c r="S994" s="223" t="s">
        <v>16</v>
      </c>
      <c r="T994" s="223" t="s">
        <v>328</v>
      </c>
      <c r="U994" s="223" t="s">
        <v>248</v>
      </c>
      <c r="V994" s="223" t="s">
        <v>2</v>
      </c>
      <c r="W994" s="224" t="s">
        <v>281</v>
      </c>
      <c r="X994" s="224" t="s">
        <v>281</v>
      </c>
      <c r="Y994" s="225" t="s">
        <v>281</v>
      </c>
    </row>
    <row r="995" spans="1:25">
      <c r="A995" s="219">
        <v>19</v>
      </c>
      <c r="B995" s="220" t="str">
        <f>VLOOKUP(Tabel10[[#This Row],[Code]],Ruimtegroepen[[Code]:[Ruimte omschrijving]],2,FALSE)</f>
        <v>Kleedruimten</v>
      </c>
      <c r="C995" s="221" t="s">
        <v>1111</v>
      </c>
      <c r="D995" s="220" t="s">
        <v>29</v>
      </c>
      <c r="E995" s="221" t="s">
        <v>99</v>
      </c>
      <c r="F995" s="221" t="s">
        <v>1113</v>
      </c>
      <c r="G995" s="226" t="s">
        <v>281</v>
      </c>
      <c r="H995" s="222" t="s">
        <v>2</v>
      </c>
      <c r="I995" s="222" t="s">
        <v>281</v>
      </c>
      <c r="J995" s="222" t="s">
        <v>281</v>
      </c>
      <c r="K995" s="222" t="s">
        <v>281</v>
      </c>
      <c r="L995" s="222" t="s">
        <v>281</v>
      </c>
      <c r="M995" s="222" t="s">
        <v>281</v>
      </c>
      <c r="N995" s="222" t="s">
        <v>2</v>
      </c>
      <c r="O995" s="223" t="s">
        <v>2</v>
      </c>
      <c r="P995" s="223" t="s">
        <v>2</v>
      </c>
      <c r="Q995" s="223" t="s">
        <v>15</v>
      </c>
      <c r="R995" s="223" t="s">
        <v>15</v>
      </c>
      <c r="S995" s="223" t="s">
        <v>16</v>
      </c>
      <c r="T995" s="223" t="s">
        <v>328</v>
      </c>
      <c r="U995" s="223" t="s">
        <v>248</v>
      </c>
      <c r="V995" s="223" t="s">
        <v>2</v>
      </c>
      <c r="W995" s="224" t="s">
        <v>281</v>
      </c>
      <c r="X995" s="224" t="s">
        <v>281</v>
      </c>
      <c r="Y995" s="225" t="s">
        <v>281</v>
      </c>
    </row>
    <row r="996" spans="1:25">
      <c r="A996" s="219">
        <v>19</v>
      </c>
      <c r="B996" s="220" t="str">
        <f>VLOOKUP(Tabel10[[#This Row],[Code]],Ruimtegroepen[[Code]:[Ruimte omschrijving]],2,FALSE)</f>
        <v>Kleedruimten</v>
      </c>
      <c r="C996" s="221" t="s">
        <v>1111</v>
      </c>
      <c r="D996" s="220" t="s">
        <v>29</v>
      </c>
      <c r="E996" s="221" t="s">
        <v>101</v>
      </c>
      <c r="F996" s="221" t="s">
        <v>1114</v>
      </c>
      <c r="G996" s="226" t="s">
        <v>281</v>
      </c>
      <c r="H996" s="222" t="s">
        <v>281</v>
      </c>
      <c r="I996" s="222" t="s">
        <v>2</v>
      </c>
      <c r="J996" s="222" t="s">
        <v>281</v>
      </c>
      <c r="K996" s="222" t="s">
        <v>2</v>
      </c>
      <c r="L996" s="222" t="s">
        <v>281</v>
      </c>
      <c r="M996" s="222" t="s">
        <v>281</v>
      </c>
      <c r="N996" s="222" t="s">
        <v>2</v>
      </c>
      <c r="O996" s="223" t="s">
        <v>2</v>
      </c>
      <c r="P996" s="223" t="s">
        <v>2</v>
      </c>
      <c r="Q996" s="223" t="s">
        <v>15</v>
      </c>
      <c r="R996" s="223" t="s">
        <v>15</v>
      </c>
      <c r="S996" s="223" t="s">
        <v>16</v>
      </c>
      <c r="T996" s="223" t="s">
        <v>328</v>
      </c>
      <c r="U996" s="223" t="s">
        <v>248</v>
      </c>
      <c r="V996" s="223" t="s">
        <v>2</v>
      </c>
      <c r="W996" s="224" t="s">
        <v>281</v>
      </c>
      <c r="X996" s="224" t="s">
        <v>281</v>
      </c>
      <c r="Y996" s="225" t="s">
        <v>281</v>
      </c>
    </row>
    <row r="997" spans="1:25">
      <c r="A997" s="219">
        <v>19</v>
      </c>
      <c r="B997" s="220" t="str">
        <f>VLOOKUP(Tabel10[[#This Row],[Code]],Ruimtegroepen[[Code]:[Ruimte omschrijving]],2,FALSE)</f>
        <v>Kleedruimten</v>
      </c>
      <c r="C997" s="221" t="s">
        <v>1111</v>
      </c>
      <c r="D997" s="220" t="s">
        <v>29</v>
      </c>
      <c r="E997" s="221" t="s">
        <v>102</v>
      </c>
      <c r="F997" s="221" t="s">
        <v>1115</v>
      </c>
      <c r="G997" s="226" t="s">
        <v>281</v>
      </c>
      <c r="H997" s="222" t="s">
        <v>281</v>
      </c>
      <c r="I997" s="222" t="s">
        <v>2</v>
      </c>
      <c r="J997" s="222" t="s">
        <v>281</v>
      </c>
      <c r="K997" s="222" t="s">
        <v>2</v>
      </c>
      <c r="L997" s="222" t="s">
        <v>281</v>
      </c>
      <c r="M997" s="222" t="s">
        <v>281</v>
      </c>
      <c r="N997" s="222" t="s">
        <v>2</v>
      </c>
      <c r="O997" s="223" t="s">
        <v>2</v>
      </c>
      <c r="P997" s="223" t="s">
        <v>2</v>
      </c>
      <c r="Q997" s="223" t="s">
        <v>15</v>
      </c>
      <c r="R997" s="223" t="s">
        <v>15</v>
      </c>
      <c r="S997" s="223" t="s">
        <v>16</v>
      </c>
      <c r="T997" s="223" t="s">
        <v>328</v>
      </c>
      <c r="U997" s="223" t="s">
        <v>248</v>
      </c>
      <c r="V997" s="223" t="s">
        <v>2</v>
      </c>
      <c r="W997" s="224" t="s">
        <v>281</v>
      </c>
      <c r="X997" s="224" t="s">
        <v>281</v>
      </c>
      <c r="Y997" s="225" t="s">
        <v>281</v>
      </c>
    </row>
    <row r="998" spans="1:25">
      <c r="A998" s="219">
        <v>19</v>
      </c>
      <c r="B998" s="220" t="str">
        <f>VLOOKUP(Tabel10[[#This Row],[Code]],Ruimtegroepen[[Code]:[Ruimte omschrijving]],2,FALSE)</f>
        <v>Kleedruimten</v>
      </c>
      <c r="C998" s="221" t="s">
        <v>1111</v>
      </c>
      <c r="D998" s="220" t="s">
        <v>29</v>
      </c>
      <c r="E998" s="221" t="s">
        <v>99</v>
      </c>
      <c r="F998" s="221" t="s">
        <v>1113</v>
      </c>
      <c r="G998" s="226" t="s">
        <v>281</v>
      </c>
      <c r="H998" s="222" t="s">
        <v>2</v>
      </c>
      <c r="I998" s="222" t="s">
        <v>281</v>
      </c>
      <c r="J998" s="222" t="s">
        <v>281</v>
      </c>
      <c r="K998" s="222" t="s">
        <v>281</v>
      </c>
      <c r="L998" s="222" t="s">
        <v>281</v>
      </c>
      <c r="M998" s="222" t="s">
        <v>281</v>
      </c>
      <c r="N998" s="222" t="s">
        <v>2</v>
      </c>
      <c r="O998" s="223" t="s">
        <v>2</v>
      </c>
      <c r="P998" s="223" t="s">
        <v>2</v>
      </c>
      <c r="Q998" s="223" t="s">
        <v>15</v>
      </c>
      <c r="R998" s="223" t="s">
        <v>15</v>
      </c>
      <c r="S998" s="223" t="s">
        <v>16</v>
      </c>
      <c r="T998" s="223" t="s">
        <v>328</v>
      </c>
      <c r="U998" s="223" t="s">
        <v>248</v>
      </c>
      <c r="V998" s="223" t="s">
        <v>2</v>
      </c>
      <c r="W998" s="224" t="s">
        <v>281</v>
      </c>
      <c r="X998" s="224" t="s">
        <v>281</v>
      </c>
      <c r="Y998" s="225" t="s">
        <v>281</v>
      </c>
    </row>
    <row r="999" spans="1:25">
      <c r="A999" s="219">
        <v>19</v>
      </c>
      <c r="B999" s="220" t="str">
        <f>VLOOKUP(Tabel10[[#This Row],[Code]],Ruimtegroepen[[Code]:[Ruimte omschrijving]],2,FALSE)</f>
        <v>Kleedruimten</v>
      </c>
      <c r="C999" s="221" t="s">
        <v>1111</v>
      </c>
      <c r="D999" s="220" t="s">
        <v>29</v>
      </c>
      <c r="E999" s="221" t="s">
        <v>1309</v>
      </c>
      <c r="F999" s="221" t="s">
        <v>1492</v>
      </c>
      <c r="G999" s="226" t="s">
        <v>281</v>
      </c>
      <c r="H999" s="222" t="s">
        <v>281</v>
      </c>
      <c r="I999" s="222" t="s">
        <v>2</v>
      </c>
      <c r="J999" s="222" t="s">
        <v>281</v>
      </c>
      <c r="K999" s="222" t="s">
        <v>2</v>
      </c>
      <c r="L999" s="222" t="s">
        <v>281</v>
      </c>
      <c r="M999" s="222" t="s">
        <v>281</v>
      </c>
      <c r="N999" s="222" t="s">
        <v>2</v>
      </c>
      <c r="O999" s="223" t="s">
        <v>2</v>
      </c>
      <c r="P999" s="223" t="s">
        <v>2</v>
      </c>
      <c r="Q999" s="223" t="s">
        <v>15</v>
      </c>
      <c r="R999" s="223" t="s">
        <v>15</v>
      </c>
      <c r="S999" s="223" t="s">
        <v>16</v>
      </c>
      <c r="T999" s="223" t="s">
        <v>328</v>
      </c>
      <c r="U999" s="223" t="s">
        <v>248</v>
      </c>
      <c r="V999" s="223" t="s">
        <v>2</v>
      </c>
      <c r="W999" s="224" t="s">
        <v>281</v>
      </c>
      <c r="X999" s="224" t="s">
        <v>281</v>
      </c>
      <c r="Y999" s="225" t="s">
        <v>281</v>
      </c>
    </row>
    <row r="1000" spans="1:25">
      <c r="A1000" s="219">
        <v>19</v>
      </c>
      <c r="B1000" s="220" t="str">
        <f>VLOOKUP(Tabel10[[#This Row],[Code]],Ruimtegroepen[[Code]:[Ruimte omschrijving]],2,FALSE)</f>
        <v>Kleedruimten</v>
      </c>
      <c r="C1000" s="221" t="s">
        <v>1116</v>
      </c>
      <c r="D1000" s="220" t="s">
        <v>1</v>
      </c>
      <c r="E1000" s="221" t="s">
        <v>100</v>
      </c>
      <c r="F1000" s="221" t="s">
        <v>1117</v>
      </c>
      <c r="G1000" s="226" t="s">
        <v>281</v>
      </c>
      <c r="H1000" s="222" t="s">
        <v>281</v>
      </c>
      <c r="I1000" s="222" t="s">
        <v>2</v>
      </c>
      <c r="J1000" s="222" t="s">
        <v>281</v>
      </c>
      <c r="K1000" s="222" t="s">
        <v>2</v>
      </c>
      <c r="L1000" s="222" t="s">
        <v>281</v>
      </c>
      <c r="M1000" s="222" t="s">
        <v>281</v>
      </c>
      <c r="N1000" s="222" t="s">
        <v>281</v>
      </c>
      <c r="O1000" s="223" t="s">
        <v>2</v>
      </c>
      <c r="P1000" s="223" t="s">
        <v>2</v>
      </c>
      <c r="Q1000" s="223" t="s">
        <v>15</v>
      </c>
      <c r="R1000" s="223" t="s">
        <v>15</v>
      </c>
      <c r="S1000" s="223" t="s">
        <v>16</v>
      </c>
      <c r="T1000" s="223" t="s">
        <v>328</v>
      </c>
      <c r="U1000" s="223" t="s">
        <v>248</v>
      </c>
      <c r="V1000" s="223" t="s">
        <v>281</v>
      </c>
      <c r="W1000" s="224" t="s">
        <v>281</v>
      </c>
      <c r="X1000" s="224" t="s">
        <v>281</v>
      </c>
      <c r="Y1000" s="225" t="s">
        <v>281</v>
      </c>
    </row>
    <row r="1001" spans="1:25">
      <c r="A1001" s="219">
        <v>19</v>
      </c>
      <c r="B1001" s="220" t="str">
        <f>VLOOKUP(Tabel10[[#This Row],[Code]],Ruimtegroepen[[Code]:[Ruimte omschrijving]],2,FALSE)</f>
        <v>Kleedruimten</v>
      </c>
      <c r="C1001" s="221" t="s">
        <v>1116</v>
      </c>
      <c r="D1001" s="220" t="s">
        <v>1</v>
      </c>
      <c r="E1001" s="221" t="s">
        <v>99</v>
      </c>
      <c r="F1001" s="221" t="s">
        <v>1118</v>
      </c>
      <c r="G1001" s="226" t="s">
        <v>281</v>
      </c>
      <c r="H1001" s="222" t="s">
        <v>2</v>
      </c>
      <c r="I1001" s="222" t="s">
        <v>281</v>
      </c>
      <c r="J1001" s="222" t="s">
        <v>281</v>
      </c>
      <c r="K1001" s="222" t="s">
        <v>281</v>
      </c>
      <c r="L1001" s="222" t="s">
        <v>281</v>
      </c>
      <c r="M1001" s="222" t="s">
        <v>281</v>
      </c>
      <c r="N1001" s="222" t="s">
        <v>281</v>
      </c>
      <c r="O1001" s="223" t="s">
        <v>2</v>
      </c>
      <c r="P1001" s="223" t="s">
        <v>2</v>
      </c>
      <c r="Q1001" s="223" t="s">
        <v>15</v>
      </c>
      <c r="R1001" s="223" t="s">
        <v>15</v>
      </c>
      <c r="S1001" s="223" t="s">
        <v>16</v>
      </c>
      <c r="T1001" s="223" t="s">
        <v>328</v>
      </c>
      <c r="U1001" s="223" t="s">
        <v>248</v>
      </c>
      <c r="V1001" s="223" t="s">
        <v>281</v>
      </c>
      <c r="W1001" s="224" t="s">
        <v>281</v>
      </c>
      <c r="X1001" s="224" t="s">
        <v>281</v>
      </c>
      <c r="Y1001" s="225" t="s">
        <v>281</v>
      </c>
    </row>
    <row r="1002" spans="1:25">
      <c r="A1002" s="219">
        <v>19</v>
      </c>
      <c r="B1002" s="220" t="str">
        <f>VLOOKUP(Tabel10[[#This Row],[Code]],Ruimtegroepen[[Code]:[Ruimte omschrijving]],2,FALSE)</f>
        <v>Kleedruimten</v>
      </c>
      <c r="C1002" s="221" t="s">
        <v>1116</v>
      </c>
      <c r="D1002" s="220" t="s">
        <v>1</v>
      </c>
      <c r="E1002" s="221" t="s">
        <v>101</v>
      </c>
      <c r="F1002" s="221" t="s">
        <v>1119</v>
      </c>
      <c r="G1002" s="226" t="s">
        <v>281</v>
      </c>
      <c r="H1002" s="222" t="s">
        <v>281</v>
      </c>
      <c r="I1002" s="222" t="s">
        <v>2</v>
      </c>
      <c r="J1002" s="222" t="s">
        <v>281</v>
      </c>
      <c r="K1002" s="222" t="s">
        <v>2</v>
      </c>
      <c r="L1002" s="222" t="s">
        <v>281</v>
      </c>
      <c r="M1002" s="222" t="s">
        <v>281</v>
      </c>
      <c r="N1002" s="222" t="s">
        <v>281</v>
      </c>
      <c r="O1002" s="223" t="s">
        <v>2</v>
      </c>
      <c r="P1002" s="223" t="s">
        <v>2</v>
      </c>
      <c r="Q1002" s="223" t="s">
        <v>15</v>
      </c>
      <c r="R1002" s="223" t="s">
        <v>15</v>
      </c>
      <c r="S1002" s="223" t="s">
        <v>16</v>
      </c>
      <c r="T1002" s="223" t="s">
        <v>328</v>
      </c>
      <c r="U1002" s="223" t="s">
        <v>248</v>
      </c>
      <c r="V1002" s="223" t="s">
        <v>281</v>
      </c>
      <c r="W1002" s="224" t="s">
        <v>281</v>
      </c>
      <c r="X1002" s="224" t="s">
        <v>281</v>
      </c>
      <c r="Y1002" s="225" t="s">
        <v>281</v>
      </c>
    </row>
    <row r="1003" spans="1:25">
      <c r="A1003" s="219">
        <v>19</v>
      </c>
      <c r="B1003" s="220" t="str">
        <f>VLOOKUP(Tabel10[[#This Row],[Code]],Ruimtegroepen[[Code]:[Ruimte omschrijving]],2,FALSE)</f>
        <v>Kleedruimten</v>
      </c>
      <c r="C1003" s="221" t="s">
        <v>1116</v>
      </c>
      <c r="D1003" s="220" t="s">
        <v>1</v>
      </c>
      <c r="E1003" s="221" t="s">
        <v>102</v>
      </c>
      <c r="F1003" s="221" t="s">
        <v>1120</v>
      </c>
      <c r="G1003" s="226" t="s">
        <v>281</v>
      </c>
      <c r="H1003" s="222" t="s">
        <v>281</v>
      </c>
      <c r="I1003" s="222" t="s">
        <v>2</v>
      </c>
      <c r="J1003" s="222" t="s">
        <v>281</v>
      </c>
      <c r="K1003" s="222" t="s">
        <v>2</v>
      </c>
      <c r="L1003" s="222" t="s">
        <v>281</v>
      </c>
      <c r="M1003" s="222" t="s">
        <v>281</v>
      </c>
      <c r="N1003" s="222" t="s">
        <v>281</v>
      </c>
      <c r="O1003" s="223" t="s">
        <v>2</v>
      </c>
      <c r="P1003" s="223" t="s">
        <v>2</v>
      </c>
      <c r="Q1003" s="223" t="s">
        <v>15</v>
      </c>
      <c r="R1003" s="223" t="s">
        <v>15</v>
      </c>
      <c r="S1003" s="223" t="s">
        <v>16</v>
      </c>
      <c r="T1003" s="223" t="s">
        <v>328</v>
      </c>
      <c r="U1003" s="223" t="s">
        <v>248</v>
      </c>
      <c r="V1003" s="223" t="s">
        <v>281</v>
      </c>
      <c r="W1003" s="224" t="s">
        <v>281</v>
      </c>
      <c r="X1003" s="224" t="s">
        <v>281</v>
      </c>
      <c r="Y1003" s="225" t="s">
        <v>281</v>
      </c>
    </row>
    <row r="1004" spans="1:25">
      <c r="A1004" s="219">
        <v>19</v>
      </c>
      <c r="B1004" s="220" t="str">
        <f>VLOOKUP(Tabel10[[#This Row],[Code]],Ruimtegroepen[[Code]:[Ruimte omschrijving]],2,FALSE)</f>
        <v>Kleedruimten</v>
      </c>
      <c r="C1004" s="221" t="s">
        <v>1116</v>
      </c>
      <c r="D1004" s="220" t="s">
        <v>1</v>
      </c>
      <c r="E1004" s="221" t="s">
        <v>99</v>
      </c>
      <c r="F1004" s="221" t="s">
        <v>1118</v>
      </c>
      <c r="G1004" s="226" t="s">
        <v>281</v>
      </c>
      <c r="H1004" s="222" t="s">
        <v>2</v>
      </c>
      <c r="I1004" s="222" t="s">
        <v>281</v>
      </c>
      <c r="J1004" s="222" t="s">
        <v>281</v>
      </c>
      <c r="K1004" s="222" t="s">
        <v>281</v>
      </c>
      <c r="L1004" s="222" t="s">
        <v>281</v>
      </c>
      <c r="M1004" s="222" t="s">
        <v>281</v>
      </c>
      <c r="N1004" s="222" t="s">
        <v>281</v>
      </c>
      <c r="O1004" s="223" t="s">
        <v>2</v>
      </c>
      <c r="P1004" s="223" t="s">
        <v>2</v>
      </c>
      <c r="Q1004" s="223" t="s">
        <v>15</v>
      </c>
      <c r="R1004" s="223" t="s">
        <v>15</v>
      </c>
      <c r="S1004" s="223" t="s">
        <v>16</v>
      </c>
      <c r="T1004" s="223" t="s">
        <v>328</v>
      </c>
      <c r="U1004" s="223" t="s">
        <v>248</v>
      </c>
      <c r="V1004" s="223" t="s">
        <v>281</v>
      </c>
      <c r="W1004" s="224" t="s">
        <v>281</v>
      </c>
      <c r="X1004" s="224" t="s">
        <v>281</v>
      </c>
      <c r="Y1004" s="225" t="s">
        <v>281</v>
      </c>
    </row>
    <row r="1005" spans="1:25">
      <c r="A1005" s="219">
        <v>19</v>
      </c>
      <c r="B1005" s="220" t="str">
        <f>VLOOKUP(Tabel10[[#This Row],[Code]],Ruimtegroepen[[Code]:[Ruimte omschrijving]],2,FALSE)</f>
        <v>Kleedruimten</v>
      </c>
      <c r="C1005" s="221" t="s">
        <v>1116</v>
      </c>
      <c r="D1005" s="220" t="s">
        <v>1</v>
      </c>
      <c r="E1005" s="221" t="s">
        <v>1309</v>
      </c>
      <c r="F1005" s="221" t="s">
        <v>1476</v>
      </c>
      <c r="G1005" s="226" t="s">
        <v>281</v>
      </c>
      <c r="H1005" s="222" t="s">
        <v>281</v>
      </c>
      <c r="I1005" s="222" t="s">
        <v>2</v>
      </c>
      <c r="J1005" s="222" t="s">
        <v>281</v>
      </c>
      <c r="K1005" s="222" t="s">
        <v>2</v>
      </c>
      <c r="L1005" s="222" t="s">
        <v>281</v>
      </c>
      <c r="M1005" s="222" t="s">
        <v>281</v>
      </c>
      <c r="N1005" s="222" t="s">
        <v>281</v>
      </c>
      <c r="O1005" s="223" t="s">
        <v>2</v>
      </c>
      <c r="P1005" s="223" t="s">
        <v>2</v>
      </c>
      <c r="Q1005" s="223" t="s">
        <v>15</v>
      </c>
      <c r="R1005" s="223" t="s">
        <v>15</v>
      </c>
      <c r="S1005" s="223" t="s">
        <v>16</v>
      </c>
      <c r="T1005" s="223" t="s">
        <v>328</v>
      </c>
      <c r="U1005" s="223" t="s">
        <v>248</v>
      </c>
      <c r="V1005" s="223" t="s">
        <v>281</v>
      </c>
      <c r="W1005" s="224" t="s">
        <v>281</v>
      </c>
      <c r="X1005" s="224" t="s">
        <v>281</v>
      </c>
      <c r="Y1005" s="225" t="s">
        <v>281</v>
      </c>
    </row>
    <row r="1006" spans="1:25">
      <c r="A1006" s="219">
        <v>19</v>
      </c>
      <c r="B1006" s="220" t="str">
        <f>VLOOKUP(Tabel10[[#This Row],[Code]],Ruimtegroepen[[Code]:[Ruimte omschrijving]],2,FALSE)</f>
        <v>Kleedruimten</v>
      </c>
      <c r="C1006" s="221" t="s">
        <v>1121</v>
      </c>
      <c r="D1006" s="220" t="s">
        <v>21</v>
      </c>
      <c r="E1006" s="221" t="s">
        <v>100</v>
      </c>
      <c r="F1006" s="221" t="s">
        <v>1122</v>
      </c>
      <c r="G1006" s="226" t="s">
        <v>281</v>
      </c>
      <c r="H1006" s="222" t="s">
        <v>281</v>
      </c>
      <c r="I1006" s="222" t="s">
        <v>20</v>
      </c>
      <c r="J1006" s="222" t="s">
        <v>281</v>
      </c>
      <c r="K1006" s="222" t="s">
        <v>20</v>
      </c>
      <c r="L1006" s="222" t="s">
        <v>281</v>
      </c>
      <c r="M1006" s="222" t="s">
        <v>281</v>
      </c>
      <c r="N1006" s="222" t="s">
        <v>281</v>
      </c>
      <c r="O1006" s="223" t="s">
        <v>20</v>
      </c>
      <c r="P1006" s="223" t="s">
        <v>20</v>
      </c>
      <c r="Q1006" s="223" t="s">
        <v>15</v>
      </c>
      <c r="R1006" s="223" t="s">
        <v>15</v>
      </c>
      <c r="S1006" s="223" t="s">
        <v>16</v>
      </c>
      <c r="T1006" s="223" t="s">
        <v>328</v>
      </c>
      <c r="U1006" s="223" t="s">
        <v>248</v>
      </c>
      <c r="V1006" s="223" t="s">
        <v>281</v>
      </c>
      <c r="W1006" s="224" t="s">
        <v>281</v>
      </c>
      <c r="X1006" s="224" t="s">
        <v>281</v>
      </c>
      <c r="Y1006" s="225" t="s">
        <v>281</v>
      </c>
    </row>
    <row r="1007" spans="1:25">
      <c r="A1007" s="219">
        <v>19</v>
      </c>
      <c r="B1007" s="220" t="str">
        <f>VLOOKUP(Tabel10[[#This Row],[Code]],Ruimtegroepen[[Code]:[Ruimte omschrijving]],2,FALSE)</f>
        <v>Kleedruimten</v>
      </c>
      <c r="C1007" s="221" t="s">
        <v>1121</v>
      </c>
      <c r="D1007" s="220" t="s">
        <v>21</v>
      </c>
      <c r="E1007" s="221" t="s">
        <v>99</v>
      </c>
      <c r="F1007" s="221" t="s">
        <v>1123</v>
      </c>
      <c r="G1007" s="226" t="s">
        <v>281</v>
      </c>
      <c r="H1007" s="222" t="s">
        <v>20</v>
      </c>
      <c r="I1007" s="222" t="s">
        <v>281</v>
      </c>
      <c r="J1007" s="222" t="s">
        <v>281</v>
      </c>
      <c r="K1007" s="222" t="s">
        <v>281</v>
      </c>
      <c r="L1007" s="222" t="s">
        <v>281</v>
      </c>
      <c r="M1007" s="222" t="s">
        <v>281</v>
      </c>
      <c r="N1007" s="222" t="s">
        <v>281</v>
      </c>
      <c r="O1007" s="223" t="s">
        <v>20</v>
      </c>
      <c r="P1007" s="223" t="s">
        <v>20</v>
      </c>
      <c r="Q1007" s="223" t="s">
        <v>15</v>
      </c>
      <c r="R1007" s="223" t="s">
        <v>15</v>
      </c>
      <c r="S1007" s="223" t="s">
        <v>16</v>
      </c>
      <c r="T1007" s="223" t="s">
        <v>328</v>
      </c>
      <c r="U1007" s="223" t="s">
        <v>248</v>
      </c>
      <c r="V1007" s="223" t="s">
        <v>281</v>
      </c>
      <c r="W1007" s="224" t="s">
        <v>281</v>
      </c>
      <c r="X1007" s="224" t="s">
        <v>281</v>
      </c>
      <c r="Y1007" s="225" t="s">
        <v>281</v>
      </c>
    </row>
    <row r="1008" spans="1:25">
      <c r="A1008" s="219">
        <v>19</v>
      </c>
      <c r="B1008" s="220" t="str">
        <f>VLOOKUP(Tabel10[[#This Row],[Code]],Ruimtegroepen[[Code]:[Ruimte omschrijving]],2,FALSE)</f>
        <v>Kleedruimten</v>
      </c>
      <c r="C1008" s="221" t="s">
        <v>1121</v>
      </c>
      <c r="D1008" s="220" t="s">
        <v>21</v>
      </c>
      <c r="E1008" s="221" t="s">
        <v>101</v>
      </c>
      <c r="F1008" s="221" t="s">
        <v>1124</v>
      </c>
      <c r="G1008" s="226" t="s">
        <v>281</v>
      </c>
      <c r="H1008" s="222" t="s">
        <v>281</v>
      </c>
      <c r="I1008" s="222" t="s">
        <v>20</v>
      </c>
      <c r="J1008" s="222" t="s">
        <v>281</v>
      </c>
      <c r="K1008" s="222" t="s">
        <v>20</v>
      </c>
      <c r="L1008" s="222" t="s">
        <v>281</v>
      </c>
      <c r="M1008" s="222" t="s">
        <v>281</v>
      </c>
      <c r="N1008" s="222" t="s">
        <v>281</v>
      </c>
      <c r="O1008" s="223" t="s">
        <v>20</v>
      </c>
      <c r="P1008" s="223" t="s">
        <v>20</v>
      </c>
      <c r="Q1008" s="223" t="s">
        <v>15</v>
      </c>
      <c r="R1008" s="223" t="s">
        <v>15</v>
      </c>
      <c r="S1008" s="223" t="s">
        <v>16</v>
      </c>
      <c r="T1008" s="223" t="s">
        <v>328</v>
      </c>
      <c r="U1008" s="223" t="s">
        <v>248</v>
      </c>
      <c r="V1008" s="223" t="s">
        <v>281</v>
      </c>
      <c r="W1008" s="224" t="s">
        <v>281</v>
      </c>
      <c r="X1008" s="224" t="s">
        <v>281</v>
      </c>
      <c r="Y1008" s="225" t="s">
        <v>281</v>
      </c>
    </row>
    <row r="1009" spans="1:25">
      <c r="A1009" s="219">
        <v>19</v>
      </c>
      <c r="B1009" s="220" t="str">
        <f>VLOOKUP(Tabel10[[#This Row],[Code]],Ruimtegroepen[[Code]:[Ruimte omschrijving]],2,FALSE)</f>
        <v>Kleedruimten</v>
      </c>
      <c r="C1009" s="221" t="s">
        <v>1121</v>
      </c>
      <c r="D1009" s="220" t="s">
        <v>21</v>
      </c>
      <c r="E1009" s="221" t="s">
        <v>102</v>
      </c>
      <c r="F1009" s="221" t="s">
        <v>1125</v>
      </c>
      <c r="G1009" s="226" t="s">
        <v>281</v>
      </c>
      <c r="H1009" s="222" t="s">
        <v>281</v>
      </c>
      <c r="I1009" s="222" t="s">
        <v>20</v>
      </c>
      <c r="J1009" s="222" t="s">
        <v>281</v>
      </c>
      <c r="K1009" s="222" t="s">
        <v>20</v>
      </c>
      <c r="L1009" s="222" t="s">
        <v>281</v>
      </c>
      <c r="M1009" s="222" t="s">
        <v>281</v>
      </c>
      <c r="N1009" s="222" t="s">
        <v>281</v>
      </c>
      <c r="O1009" s="223" t="s">
        <v>20</v>
      </c>
      <c r="P1009" s="223" t="s">
        <v>20</v>
      </c>
      <c r="Q1009" s="223" t="s">
        <v>15</v>
      </c>
      <c r="R1009" s="223" t="s">
        <v>15</v>
      </c>
      <c r="S1009" s="223" t="s">
        <v>16</v>
      </c>
      <c r="T1009" s="223" t="s">
        <v>328</v>
      </c>
      <c r="U1009" s="223" t="s">
        <v>248</v>
      </c>
      <c r="V1009" s="223" t="s">
        <v>281</v>
      </c>
      <c r="W1009" s="224" t="s">
        <v>281</v>
      </c>
      <c r="X1009" s="224" t="s">
        <v>281</v>
      </c>
      <c r="Y1009" s="225" t="s">
        <v>281</v>
      </c>
    </row>
    <row r="1010" spans="1:25">
      <c r="A1010" s="219">
        <v>19</v>
      </c>
      <c r="B1010" s="220" t="str">
        <f>VLOOKUP(Tabel10[[#This Row],[Code]],Ruimtegroepen[[Code]:[Ruimte omschrijving]],2,FALSE)</f>
        <v>Kleedruimten</v>
      </c>
      <c r="C1010" s="221" t="s">
        <v>1121</v>
      </c>
      <c r="D1010" s="220" t="s">
        <v>21</v>
      </c>
      <c r="E1010" s="221" t="s">
        <v>99</v>
      </c>
      <c r="F1010" s="221" t="s">
        <v>1123</v>
      </c>
      <c r="G1010" s="226" t="s">
        <v>281</v>
      </c>
      <c r="H1010" s="222" t="s">
        <v>20</v>
      </c>
      <c r="I1010" s="222" t="s">
        <v>281</v>
      </c>
      <c r="J1010" s="222" t="s">
        <v>281</v>
      </c>
      <c r="K1010" s="222" t="s">
        <v>281</v>
      </c>
      <c r="L1010" s="222" t="s">
        <v>281</v>
      </c>
      <c r="M1010" s="222" t="s">
        <v>281</v>
      </c>
      <c r="N1010" s="222" t="s">
        <v>281</v>
      </c>
      <c r="O1010" s="223" t="s">
        <v>20</v>
      </c>
      <c r="P1010" s="223" t="s">
        <v>20</v>
      </c>
      <c r="Q1010" s="223" t="s">
        <v>15</v>
      </c>
      <c r="R1010" s="223" t="s">
        <v>15</v>
      </c>
      <c r="S1010" s="223" t="s">
        <v>16</v>
      </c>
      <c r="T1010" s="223" t="s">
        <v>328</v>
      </c>
      <c r="U1010" s="223" t="s">
        <v>248</v>
      </c>
      <c r="V1010" s="223" t="s">
        <v>281</v>
      </c>
      <c r="W1010" s="224" t="s">
        <v>281</v>
      </c>
      <c r="X1010" s="224" t="s">
        <v>281</v>
      </c>
      <c r="Y1010" s="225" t="s">
        <v>281</v>
      </c>
    </row>
    <row r="1011" spans="1:25">
      <c r="A1011" s="219">
        <v>19</v>
      </c>
      <c r="B1011" s="220" t="str">
        <f>VLOOKUP(Tabel10[[#This Row],[Code]],Ruimtegroepen[[Code]:[Ruimte omschrijving]],2,FALSE)</f>
        <v>Kleedruimten</v>
      </c>
      <c r="C1011" s="221" t="s">
        <v>1121</v>
      </c>
      <c r="D1011" s="220" t="s">
        <v>21</v>
      </c>
      <c r="E1011" s="221" t="s">
        <v>1309</v>
      </c>
      <c r="F1011" s="221" t="s">
        <v>1459</v>
      </c>
      <c r="G1011" s="226" t="s">
        <v>281</v>
      </c>
      <c r="H1011" s="222" t="s">
        <v>281</v>
      </c>
      <c r="I1011" s="222" t="s">
        <v>20</v>
      </c>
      <c r="J1011" s="222" t="s">
        <v>281</v>
      </c>
      <c r="K1011" s="222" t="s">
        <v>20</v>
      </c>
      <c r="L1011" s="222" t="s">
        <v>281</v>
      </c>
      <c r="M1011" s="222" t="s">
        <v>281</v>
      </c>
      <c r="N1011" s="222" t="s">
        <v>281</v>
      </c>
      <c r="O1011" s="223" t="s">
        <v>20</v>
      </c>
      <c r="P1011" s="223" t="s">
        <v>20</v>
      </c>
      <c r="Q1011" s="223" t="s">
        <v>15</v>
      </c>
      <c r="R1011" s="223" t="s">
        <v>15</v>
      </c>
      <c r="S1011" s="223" t="s">
        <v>16</v>
      </c>
      <c r="T1011" s="223" t="s">
        <v>328</v>
      </c>
      <c r="U1011" s="223" t="s">
        <v>248</v>
      </c>
      <c r="V1011" s="223" t="s">
        <v>281</v>
      </c>
      <c r="W1011" s="224" t="s">
        <v>281</v>
      </c>
      <c r="X1011" s="224" t="s">
        <v>281</v>
      </c>
      <c r="Y1011" s="225" t="s">
        <v>281</v>
      </c>
    </row>
    <row r="1012" spans="1:25">
      <c r="A1012" s="219">
        <v>19</v>
      </c>
      <c r="B1012" s="220" t="str">
        <f>VLOOKUP(Tabel10[[#This Row],[Code]],Ruimtegroepen[[Code]:[Ruimte omschrijving]],2,FALSE)</f>
        <v>Kleedruimten</v>
      </c>
      <c r="C1012" s="221" t="s">
        <v>1126</v>
      </c>
      <c r="D1012" s="220" t="s">
        <v>12</v>
      </c>
      <c r="E1012" s="221" t="s">
        <v>100</v>
      </c>
      <c r="F1012" s="221" t="s">
        <v>1127</v>
      </c>
      <c r="G1012" s="226" t="s">
        <v>281</v>
      </c>
      <c r="H1012" s="222" t="s">
        <v>281</v>
      </c>
      <c r="I1012" s="222" t="s">
        <v>18</v>
      </c>
      <c r="J1012" s="222" t="s">
        <v>281</v>
      </c>
      <c r="K1012" s="222" t="s">
        <v>18</v>
      </c>
      <c r="L1012" s="222" t="s">
        <v>281</v>
      </c>
      <c r="M1012" s="222" t="s">
        <v>281</v>
      </c>
      <c r="N1012" s="222" t="s">
        <v>281</v>
      </c>
      <c r="O1012" s="223" t="s">
        <v>18</v>
      </c>
      <c r="P1012" s="223" t="s">
        <v>18</v>
      </c>
      <c r="Q1012" s="223" t="s">
        <v>15</v>
      </c>
      <c r="R1012" s="223" t="s">
        <v>15</v>
      </c>
      <c r="S1012" s="223" t="s">
        <v>16</v>
      </c>
      <c r="T1012" s="223" t="s">
        <v>328</v>
      </c>
      <c r="U1012" s="223" t="s">
        <v>248</v>
      </c>
      <c r="V1012" s="223" t="s">
        <v>281</v>
      </c>
      <c r="W1012" s="224" t="s">
        <v>281</v>
      </c>
      <c r="X1012" s="224" t="s">
        <v>281</v>
      </c>
      <c r="Y1012" s="225" t="s">
        <v>281</v>
      </c>
    </row>
    <row r="1013" spans="1:25">
      <c r="A1013" s="219">
        <v>19</v>
      </c>
      <c r="B1013" s="220" t="str">
        <f>VLOOKUP(Tabel10[[#This Row],[Code]],Ruimtegroepen[[Code]:[Ruimte omschrijving]],2,FALSE)</f>
        <v>Kleedruimten</v>
      </c>
      <c r="C1013" s="221" t="s">
        <v>1126</v>
      </c>
      <c r="D1013" s="220" t="s">
        <v>12</v>
      </c>
      <c r="E1013" s="221" t="s">
        <v>99</v>
      </c>
      <c r="F1013" s="221" t="s">
        <v>1128</v>
      </c>
      <c r="G1013" s="226" t="s">
        <v>281</v>
      </c>
      <c r="H1013" s="222" t="s">
        <v>18</v>
      </c>
      <c r="I1013" s="222" t="s">
        <v>281</v>
      </c>
      <c r="J1013" s="222" t="s">
        <v>281</v>
      </c>
      <c r="K1013" s="222" t="s">
        <v>281</v>
      </c>
      <c r="L1013" s="222" t="s">
        <v>281</v>
      </c>
      <c r="M1013" s="222" t="s">
        <v>281</v>
      </c>
      <c r="N1013" s="222" t="s">
        <v>281</v>
      </c>
      <c r="O1013" s="223" t="s">
        <v>18</v>
      </c>
      <c r="P1013" s="223" t="s">
        <v>18</v>
      </c>
      <c r="Q1013" s="223" t="s">
        <v>15</v>
      </c>
      <c r="R1013" s="223" t="s">
        <v>15</v>
      </c>
      <c r="S1013" s="223" t="s">
        <v>16</v>
      </c>
      <c r="T1013" s="223" t="s">
        <v>328</v>
      </c>
      <c r="U1013" s="223" t="s">
        <v>248</v>
      </c>
      <c r="V1013" s="223" t="s">
        <v>281</v>
      </c>
      <c r="W1013" s="224" t="s">
        <v>281</v>
      </c>
      <c r="X1013" s="224" t="s">
        <v>281</v>
      </c>
      <c r="Y1013" s="225" t="s">
        <v>281</v>
      </c>
    </row>
    <row r="1014" spans="1:25">
      <c r="A1014" s="219">
        <v>19</v>
      </c>
      <c r="B1014" s="220" t="str">
        <f>VLOOKUP(Tabel10[[#This Row],[Code]],Ruimtegroepen[[Code]:[Ruimte omschrijving]],2,FALSE)</f>
        <v>Kleedruimten</v>
      </c>
      <c r="C1014" s="221" t="s">
        <v>1126</v>
      </c>
      <c r="D1014" s="220" t="s">
        <v>12</v>
      </c>
      <c r="E1014" s="221" t="s">
        <v>101</v>
      </c>
      <c r="F1014" s="221" t="s">
        <v>1129</v>
      </c>
      <c r="G1014" s="226" t="s">
        <v>281</v>
      </c>
      <c r="H1014" s="222" t="s">
        <v>281</v>
      </c>
      <c r="I1014" s="222" t="s">
        <v>18</v>
      </c>
      <c r="J1014" s="222" t="s">
        <v>281</v>
      </c>
      <c r="K1014" s="222" t="s">
        <v>18</v>
      </c>
      <c r="L1014" s="222" t="s">
        <v>281</v>
      </c>
      <c r="M1014" s="222" t="s">
        <v>281</v>
      </c>
      <c r="N1014" s="222" t="s">
        <v>281</v>
      </c>
      <c r="O1014" s="223" t="s">
        <v>18</v>
      </c>
      <c r="P1014" s="223" t="s">
        <v>18</v>
      </c>
      <c r="Q1014" s="223" t="s">
        <v>15</v>
      </c>
      <c r="R1014" s="223" t="s">
        <v>15</v>
      </c>
      <c r="S1014" s="223" t="s">
        <v>16</v>
      </c>
      <c r="T1014" s="223" t="s">
        <v>328</v>
      </c>
      <c r="U1014" s="223" t="s">
        <v>248</v>
      </c>
      <c r="V1014" s="223" t="s">
        <v>281</v>
      </c>
      <c r="W1014" s="224" t="s">
        <v>281</v>
      </c>
      <c r="X1014" s="224" t="s">
        <v>281</v>
      </c>
      <c r="Y1014" s="225" t="s">
        <v>281</v>
      </c>
    </row>
    <row r="1015" spans="1:25">
      <c r="A1015" s="219">
        <v>19</v>
      </c>
      <c r="B1015" s="220" t="str">
        <f>VLOOKUP(Tabel10[[#This Row],[Code]],Ruimtegroepen[[Code]:[Ruimte omschrijving]],2,FALSE)</f>
        <v>Kleedruimten</v>
      </c>
      <c r="C1015" s="221" t="s">
        <v>1126</v>
      </c>
      <c r="D1015" s="220" t="s">
        <v>12</v>
      </c>
      <c r="E1015" s="221" t="s">
        <v>102</v>
      </c>
      <c r="F1015" s="221" t="s">
        <v>1130</v>
      </c>
      <c r="G1015" s="226" t="s">
        <v>281</v>
      </c>
      <c r="H1015" s="222" t="s">
        <v>281</v>
      </c>
      <c r="I1015" s="222" t="s">
        <v>18</v>
      </c>
      <c r="J1015" s="222" t="s">
        <v>281</v>
      </c>
      <c r="K1015" s="222" t="s">
        <v>18</v>
      </c>
      <c r="L1015" s="222" t="s">
        <v>281</v>
      </c>
      <c r="M1015" s="222" t="s">
        <v>281</v>
      </c>
      <c r="N1015" s="222" t="s">
        <v>281</v>
      </c>
      <c r="O1015" s="223" t="s">
        <v>18</v>
      </c>
      <c r="P1015" s="223" t="s">
        <v>18</v>
      </c>
      <c r="Q1015" s="223" t="s">
        <v>15</v>
      </c>
      <c r="R1015" s="223" t="s">
        <v>15</v>
      </c>
      <c r="S1015" s="223" t="s">
        <v>16</v>
      </c>
      <c r="T1015" s="223" t="s">
        <v>328</v>
      </c>
      <c r="U1015" s="223" t="s">
        <v>248</v>
      </c>
      <c r="V1015" s="223" t="s">
        <v>281</v>
      </c>
      <c r="W1015" s="224" t="s">
        <v>281</v>
      </c>
      <c r="X1015" s="224" t="s">
        <v>281</v>
      </c>
      <c r="Y1015" s="225" t="s">
        <v>281</v>
      </c>
    </row>
    <row r="1016" spans="1:25">
      <c r="A1016" s="219">
        <v>19</v>
      </c>
      <c r="B1016" s="220" t="str">
        <f>VLOOKUP(Tabel10[[#This Row],[Code]],Ruimtegroepen[[Code]:[Ruimte omschrijving]],2,FALSE)</f>
        <v>Kleedruimten</v>
      </c>
      <c r="C1016" s="221" t="s">
        <v>1126</v>
      </c>
      <c r="D1016" s="220" t="s">
        <v>12</v>
      </c>
      <c r="E1016" s="221" t="s">
        <v>99</v>
      </c>
      <c r="F1016" s="221" t="s">
        <v>1128</v>
      </c>
      <c r="G1016" s="226" t="s">
        <v>281</v>
      </c>
      <c r="H1016" s="222" t="s">
        <v>18</v>
      </c>
      <c r="I1016" s="222" t="s">
        <v>281</v>
      </c>
      <c r="J1016" s="222" t="s">
        <v>281</v>
      </c>
      <c r="K1016" s="222" t="s">
        <v>281</v>
      </c>
      <c r="L1016" s="222" t="s">
        <v>281</v>
      </c>
      <c r="M1016" s="222" t="s">
        <v>281</v>
      </c>
      <c r="N1016" s="222" t="s">
        <v>281</v>
      </c>
      <c r="O1016" s="223" t="s">
        <v>18</v>
      </c>
      <c r="P1016" s="223" t="s">
        <v>18</v>
      </c>
      <c r="Q1016" s="223" t="s">
        <v>15</v>
      </c>
      <c r="R1016" s="223" t="s">
        <v>15</v>
      </c>
      <c r="S1016" s="223" t="s">
        <v>16</v>
      </c>
      <c r="T1016" s="223" t="s">
        <v>328</v>
      </c>
      <c r="U1016" s="223" t="s">
        <v>248</v>
      </c>
      <c r="V1016" s="223" t="s">
        <v>281</v>
      </c>
      <c r="W1016" s="224" t="s">
        <v>281</v>
      </c>
      <c r="X1016" s="224" t="s">
        <v>281</v>
      </c>
      <c r="Y1016" s="225" t="s">
        <v>281</v>
      </c>
    </row>
    <row r="1017" spans="1:25">
      <c r="A1017" s="219">
        <v>19</v>
      </c>
      <c r="B1017" s="220" t="str">
        <f>VLOOKUP(Tabel10[[#This Row],[Code]],Ruimtegroepen[[Code]:[Ruimte omschrijving]],2,FALSE)</f>
        <v>Kleedruimten</v>
      </c>
      <c r="C1017" s="221" t="s">
        <v>1126</v>
      </c>
      <c r="D1017" s="220" t="s">
        <v>12</v>
      </c>
      <c r="E1017" s="221" t="s">
        <v>1309</v>
      </c>
      <c r="F1017" s="221" t="s">
        <v>1441</v>
      </c>
      <c r="G1017" s="226" t="s">
        <v>281</v>
      </c>
      <c r="H1017" s="222" t="s">
        <v>281</v>
      </c>
      <c r="I1017" s="222" t="s">
        <v>18</v>
      </c>
      <c r="J1017" s="222" t="s">
        <v>281</v>
      </c>
      <c r="K1017" s="222" t="s">
        <v>18</v>
      </c>
      <c r="L1017" s="222" t="s">
        <v>281</v>
      </c>
      <c r="M1017" s="222" t="s">
        <v>281</v>
      </c>
      <c r="N1017" s="222" t="s">
        <v>281</v>
      </c>
      <c r="O1017" s="223" t="s">
        <v>18</v>
      </c>
      <c r="P1017" s="223" t="s">
        <v>18</v>
      </c>
      <c r="Q1017" s="223" t="s">
        <v>15</v>
      </c>
      <c r="R1017" s="223" t="s">
        <v>15</v>
      </c>
      <c r="S1017" s="223" t="s">
        <v>16</v>
      </c>
      <c r="T1017" s="223" t="s">
        <v>328</v>
      </c>
      <c r="U1017" s="223" t="s">
        <v>248</v>
      </c>
      <c r="V1017" s="223" t="s">
        <v>281</v>
      </c>
      <c r="W1017" s="224" t="s">
        <v>281</v>
      </c>
      <c r="X1017" s="224" t="s">
        <v>281</v>
      </c>
      <c r="Y1017" s="225" t="s">
        <v>281</v>
      </c>
    </row>
    <row r="1018" spans="1:25">
      <c r="A1018" s="219">
        <v>19</v>
      </c>
      <c r="B1018" s="220" t="str">
        <f>VLOOKUP(Tabel10[[#This Row],[Code]],Ruimtegroepen[[Code]:[Ruimte omschrijving]],2,FALSE)</f>
        <v>Kleedruimten</v>
      </c>
      <c r="C1018" s="221" t="s">
        <v>1131</v>
      </c>
      <c r="D1018" s="220" t="s">
        <v>14</v>
      </c>
      <c r="E1018" s="221" t="s">
        <v>100</v>
      </c>
      <c r="F1018" s="221" t="s">
        <v>1132</v>
      </c>
      <c r="G1018" s="226" t="s">
        <v>281</v>
      </c>
      <c r="H1018" s="222" t="s">
        <v>281</v>
      </c>
      <c r="I1018" s="222" t="s">
        <v>17</v>
      </c>
      <c r="J1018" s="222" t="s">
        <v>281</v>
      </c>
      <c r="K1018" s="222" t="s">
        <v>17</v>
      </c>
      <c r="L1018" s="222" t="s">
        <v>281</v>
      </c>
      <c r="M1018" s="222" t="s">
        <v>281</v>
      </c>
      <c r="N1018" s="222" t="s">
        <v>281</v>
      </c>
      <c r="O1018" s="223" t="s">
        <v>17</v>
      </c>
      <c r="P1018" s="223" t="s">
        <v>17</v>
      </c>
      <c r="Q1018" s="223" t="s">
        <v>15</v>
      </c>
      <c r="R1018" s="223" t="s">
        <v>15</v>
      </c>
      <c r="S1018" s="223" t="s">
        <v>16</v>
      </c>
      <c r="T1018" s="223" t="s">
        <v>328</v>
      </c>
      <c r="U1018" s="223" t="s">
        <v>248</v>
      </c>
      <c r="V1018" s="223" t="s">
        <v>281</v>
      </c>
      <c r="W1018" s="224" t="s">
        <v>281</v>
      </c>
      <c r="X1018" s="224" t="s">
        <v>281</v>
      </c>
      <c r="Y1018" s="225" t="s">
        <v>281</v>
      </c>
    </row>
    <row r="1019" spans="1:25">
      <c r="A1019" s="219">
        <v>19</v>
      </c>
      <c r="B1019" s="220" t="str">
        <f>VLOOKUP(Tabel10[[#This Row],[Code]],Ruimtegroepen[[Code]:[Ruimte omschrijving]],2,FALSE)</f>
        <v>Kleedruimten</v>
      </c>
      <c r="C1019" s="221" t="s">
        <v>1131</v>
      </c>
      <c r="D1019" s="220" t="s">
        <v>14</v>
      </c>
      <c r="E1019" s="221" t="s">
        <v>99</v>
      </c>
      <c r="F1019" s="221" t="s">
        <v>1133</v>
      </c>
      <c r="G1019" s="226" t="s">
        <v>281</v>
      </c>
      <c r="H1019" s="222" t="s">
        <v>17</v>
      </c>
      <c r="I1019" s="222" t="s">
        <v>281</v>
      </c>
      <c r="J1019" s="222" t="s">
        <v>281</v>
      </c>
      <c r="K1019" s="222" t="s">
        <v>281</v>
      </c>
      <c r="L1019" s="222" t="s">
        <v>281</v>
      </c>
      <c r="M1019" s="222" t="s">
        <v>281</v>
      </c>
      <c r="N1019" s="222" t="s">
        <v>281</v>
      </c>
      <c r="O1019" s="223" t="s">
        <v>17</v>
      </c>
      <c r="P1019" s="223" t="s">
        <v>17</v>
      </c>
      <c r="Q1019" s="223" t="s">
        <v>15</v>
      </c>
      <c r="R1019" s="223" t="s">
        <v>15</v>
      </c>
      <c r="S1019" s="223" t="s">
        <v>16</v>
      </c>
      <c r="T1019" s="223" t="s">
        <v>328</v>
      </c>
      <c r="U1019" s="223" t="s">
        <v>248</v>
      </c>
      <c r="V1019" s="223" t="s">
        <v>281</v>
      </c>
      <c r="W1019" s="224" t="s">
        <v>281</v>
      </c>
      <c r="X1019" s="224" t="s">
        <v>281</v>
      </c>
      <c r="Y1019" s="225" t="s">
        <v>281</v>
      </c>
    </row>
    <row r="1020" spans="1:25">
      <c r="A1020" s="219">
        <v>19</v>
      </c>
      <c r="B1020" s="220" t="str">
        <f>VLOOKUP(Tabel10[[#This Row],[Code]],Ruimtegroepen[[Code]:[Ruimte omschrijving]],2,FALSE)</f>
        <v>Kleedruimten</v>
      </c>
      <c r="C1020" s="221" t="s">
        <v>1131</v>
      </c>
      <c r="D1020" s="220" t="s">
        <v>14</v>
      </c>
      <c r="E1020" s="221" t="s">
        <v>101</v>
      </c>
      <c r="F1020" s="221" t="s">
        <v>1134</v>
      </c>
      <c r="G1020" s="226" t="s">
        <v>281</v>
      </c>
      <c r="H1020" s="222" t="s">
        <v>281</v>
      </c>
      <c r="I1020" s="222" t="s">
        <v>17</v>
      </c>
      <c r="J1020" s="222" t="s">
        <v>281</v>
      </c>
      <c r="K1020" s="222" t="s">
        <v>17</v>
      </c>
      <c r="L1020" s="222" t="s">
        <v>281</v>
      </c>
      <c r="M1020" s="222" t="s">
        <v>281</v>
      </c>
      <c r="N1020" s="222" t="s">
        <v>281</v>
      </c>
      <c r="O1020" s="223" t="s">
        <v>17</v>
      </c>
      <c r="P1020" s="223" t="s">
        <v>17</v>
      </c>
      <c r="Q1020" s="223" t="s">
        <v>15</v>
      </c>
      <c r="R1020" s="223" t="s">
        <v>15</v>
      </c>
      <c r="S1020" s="223" t="s">
        <v>16</v>
      </c>
      <c r="T1020" s="223" t="s">
        <v>328</v>
      </c>
      <c r="U1020" s="223" t="s">
        <v>248</v>
      </c>
      <c r="V1020" s="223" t="s">
        <v>281</v>
      </c>
      <c r="W1020" s="224" t="s">
        <v>281</v>
      </c>
      <c r="X1020" s="224" t="s">
        <v>281</v>
      </c>
      <c r="Y1020" s="225" t="s">
        <v>281</v>
      </c>
    </row>
    <row r="1021" spans="1:25">
      <c r="A1021" s="219">
        <v>19</v>
      </c>
      <c r="B1021" s="220" t="str">
        <f>VLOOKUP(Tabel10[[#This Row],[Code]],Ruimtegroepen[[Code]:[Ruimte omschrijving]],2,FALSE)</f>
        <v>Kleedruimten</v>
      </c>
      <c r="C1021" s="221" t="s">
        <v>1131</v>
      </c>
      <c r="D1021" s="220" t="s">
        <v>14</v>
      </c>
      <c r="E1021" s="221" t="s">
        <v>102</v>
      </c>
      <c r="F1021" s="221" t="s">
        <v>1135</v>
      </c>
      <c r="G1021" s="226" t="s">
        <v>281</v>
      </c>
      <c r="H1021" s="222" t="s">
        <v>281</v>
      </c>
      <c r="I1021" s="222" t="s">
        <v>17</v>
      </c>
      <c r="J1021" s="222" t="s">
        <v>281</v>
      </c>
      <c r="K1021" s="222" t="s">
        <v>17</v>
      </c>
      <c r="L1021" s="222" t="s">
        <v>281</v>
      </c>
      <c r="M1021" s="222" t="s">
        <v>281</v>
      </c>
      <c r="N1021" s="222" t="s">
        <v>281</v>
      </c>
      <c r="O1021" s="223" t="s">
        <v>17</v>
      </c>
      <c r="P1021" s="223" t="s">
        <v>17</v>
      </c>
      <c r="Q1021" s="223" t="s">
        <v>15</v>
      </c>
      <c r="R1021" s="223" t="s">
        <v>15</v>
      </c>
      <c r="S1021" s="223" t="s">
        <v>16</v>
      </c>
      <c r="T1021" s="223" t="s">
        <v>328</v>
      </c>
      <c r="U1021" s="223" t="s">
        <v>248</v>
      </c>
      <c r="V1021" s="223" t="s">
        <v>281</v>
      </c>
      <c r="W1021" s="224" t="s">
        <v>281</v>
      </c>
      <c r="X1021" s="224" t="s">
        <v>281</v>
      </c>
      <c r="Y1021" s="225" t="s">
        <v>281</v>
      </c>
    </row>
    <row r="1022" spans="1:25">
      <c r="A1022" s="219">
        <v>19</v>
      </c>
      <c r="B1022" s="220" t="str">
        <f>VLOOKUP(Tabel10[[#This Row],[Code]],Ruimtegroepen[[Code]:[Ruimte omschrijving]],2,FALSE)</f>
        <v>Kleedruimten</v>
      </c>
      <c r="C1022" s="221" t="s">
        <v>1131</v>
      </c>
      <c r="D1022" s="220" t="s">
        <v>14</v>
      </c>
      <c r="E1022" s="221" t="s">
        <v>99</v>
      </c>
      <c r="F1022" s="221" t="s">
        <v>1133</v>
      </c>
      <c r="G1022" s="226" t="s">
        <v>281</v>
      </c>
      <c r="H1022" s="222" t="s">
        <v>17</v>
      </c>
      <c r="I1022" s="222" t="s">
        <v>281</v>
      </c>
      <c r="J1022" s="222" t="s">
        <v>281</v>
      </c>
      <c r="K1022" s="222" t="s">
        <v>281</v>
      </c>
      <c r="L1022" s="222" t="s">
        <v>281</v>
      </c>
      <c r="M1022" s="222" t="s">
        <v>281</v>
      </c>
      <c r="N1022" s="222" t="s">
        <v>281</v>
      </c>
      <c r="O1022" s="223" t="s">
        <v>17</v>
      </c>
      <c r="P1022" s="223" t="s">
        <v>17</v>
      </c>
      <c r="Q1022" s="223" t="s">
        <v>15</v>
      </c>
      <c r="R1022" s="223" t="s">
        <v>15</v>
      </c>
      <c r="S1022" s="223" t="s">
        <v>16</v>
      </c>
      <c r="T1022" s="223" t="s">
        <v>328</v>
      </c>
      <c r="U1022" s="223" t="s">
        <v>248</v>
      </c>
      <c r="V1022" s="223" t="s">
        <v>281</v>
      </c>
      <c r="W1022" s="224" t="s">
        <v>281</v>
      </c>
      <c r="X1022" s="224" t="s">
        <v>281</v>
      </c>
      <c r="Y1022" s="225" t="s">
        <v>281</v>
      </c>
    </row>
    <row r="1023" spans="1:25">
      <c r="A1023" s="219">
        <v>19</v>
      </c>
      <c r="B1023" s="220" t="str">
        <f>VLOOKUP(Tabel10[[#This Row],[Code]],Ruimtegroepen[[Code]:[Ruimte omschrijving]],2,FALSE)</f>
        <v>Kleedruimten</v>
      </c>
      <c r="C1023" s="221" t="s">
        <v>1131</v>
      </c>
      <c r="D1023" s="220" t="s">
        <v>14</v>
      </c>
      <c r="E1023" s="221" t="s">
        <v>1309</v>
      </c>
      <c r="F1023" s="221" t="s">
        <v>1408</v>
      </c>
      <c r="G1023" s="226" t="s">
        <v>281</v>
      </c>
      <c r="H1023" s="222" t="s">
        <v>281</v>
      </c>
      <c r="I1023" s="222" t="s">
        <v>17</v>
      </c>
      <c r="J1023" s="222" t="s">
        <v>281</v>
      </c>
      <c r="K1023" s="222" t="s">
        <v>17</v>
      </c>
      <c r="L1023" s="222" t="s">
        <v>281</v>
      </c>
      <c r="M1023" s="222" t="s">
        <v>281</v>
      </c>
      <c r="N1023" s="222" t="s">
        <v>281</v>
      </c>
      <c r="O1023" s="223" t="s">
        <v>17</v>
      </c>
      <c r="P1023" s="223" t="s">
        <v>17</v>
      </c>
      <c r="Q1023" s="223" t="s">
        <v>15</v>
      </c>
      <c r="R1023" s="223" t="s">
        <v>15</v>
      </c>
      <c r="S1023" s="223" t="s">
        <v>16</v>
      </c>
      <c r="T1023" s="223" t="s">
        <v>328</v>
      </c>
      <c r="U1023" s="223" t="s">
        <v>248</v>
      </c>
      <c r="V1023" s="223" t="s">
        <v>281</v>
      </c>
      <c r="W1023" s="224" t="s">
        <v>281</v>
      </c>
      <c r="X1023" s="224" t="s">
        <v>281</v>
      </c>
      <c r="Y1023" s="225" t="s">
        <v>281</v>
      </c>
    </row>
    <row r="1024" spans="1:25">
      <c r="A1024" s="219">
        <v>19</v>
      </c>
      <c r="B1024" s="220" t="str">
        <f>VLOOKUP(Tabel10[[#This Row],[Code]],Ruimtegroepen[[Code]:[Ruimte omschrijving]],2,FALSE)</f>
        <v>Kleedruimten</v>
      </c>
      <c r="C1024" s="221" t="s">
        <v>1136</v>
      </c>
      <c r="D1024" s="220" t="s">
        <v>13</v>
      </c>
      <c r="E1024" s="221" t="s">
        <v>100</v>
      </c>
      <c r="F1024" s="221" t="s">
        <v>1137</v>
      </c>
      <c r="G1024" s="226" t="s">
        <v>281</v>
      </c>
      <c r="H1024" s="222" t="s">
        <v>281</v>
      </c>
      <c r="I1024" s="222" t="s">
        <v>15</v>
      </c>
      <c r="J1024" s="222" t="s">
        <v>281</v>
      </c>
      <c r="K1024" s="222" t="s">
        <v>15</v>
      </c>
      <c r="L1024" s="222" t="s">
        <v>281</v>
      </c>
      <c r="M1024" s="222" t="s">
        <v>281</v>
      </c>
      <c r="N1024" s="222" t="s">
        <v>281</v>
      </c>
      <c r="O1024" s="223" t="s">
        <v>15</v>
      </c>
      <c r="P1024" s="223" t="s">
        <v>15</v>
      </c>
      <c r="Q1024" s="223" t="s">
        <v>15</v>
      </c>
      <c r="R1024" s="223" t="s">
        <v>15</v>
      </c>
      <c r="S1024" s="223" t="s">
        <v>16</v>
      </c>
      <c r="T1024" s="223" t="s">
        <v>328</v>
      </c>
      <c r="U1024" s="223" t="s">
        <v>248</v>
      </c>
      <c r="V1024" s="223" t="s">
        <v>281</v>
      </c>
      <c r="W1024" s="224" t="s">
        <v>281</v>
      </c>
      <c r="X1024" s="224" t="s">
        <v>281</v>
      </c>
      <c r="Y1024" s="225" t="s">
        <v>281</v>
      </c>
    </row>
    <row r="1025" spans="1:25">
      <c r="A1025" s="219">
        <v>19</v>
      </c>
      <c r="B1025" s="220" t="str">
        <f>VLOOKUP(Tabel10[[#This Row],[Code]],Ruimtegroepen[[Code]:[Ruimte omschrijving]],2,FALSE)</f>
        <v>Kleedruimten</v>
      </c>
      <c r="C1025" s="221" t="s">
        <v>1136</v>
      </c>
      <c r="D1025" s="220" t="s">
        <v>13</v>
      </c>
      <c r="E1025" s="221" t="s">
        <v>99</v>
      </c>
      <c r="F1025" s="221" t="s">
        <v>1138</v>
      </c>
      <c r="G1025" s="226" t="s">
        <v>281</v>
      </c>
      <c r="H1025" s="222" t="s">
        <v>15</v>
      </c>
      <c r="I1025" s="222" t="s">
        <v>281</v>
      </c>
      <c r="J1025" s="222" t="s">
        <v>281</v>
      </c>
      <c r="K1025" s="222" t="s">
        <v>281</v>
      </c>
      <c r="L1025" s="222" t="s">
        <v>281</v>
      </c>
      <c r="M1025" s="222" t="s">
        <v>281</v>
      </c>
      <c r="N1025" s="222" t="s">
        <v>281</v>
      </c>
      <c r="O1025" s="223" t="s">
        <v>15</v>
      </c>
      <c r="P1025" s="223" t="s">
        <v>15</v>
      </c>
      <c r="Q1025" s="223" t="s">
        <v>15</v>
      </c>
      <c r="R1025" s="223" t="s">
        <v>15</v>
      </c>
      <c r="S1025" s="223" t="s">
        <v>16</v>
      </c>
      <c r="T1025" s="223" t="s">
        <v>328</v>
      </c>
      <c r="U1025" s="223" t="s">
        <v>248</v>
      </c>
      <c r="V1025" s="223" t="s">
        <v>281</v>
      </c>
      <c r="W1025" s="224" t="s">
        <v>281</v>
      </c>
      <c r="X1025" s="224" t="s">
        <v>281</v>
      </c>
      <c r="Y1025" s="225" t="s">
        <v>281</v>
      </c>
    </row>
    <row r="1026" spans="1:25">
      <c r="A1026" s="219">
        <v>19</v>
      </c>
      <c r="B1026" s="220" t="str">
        <f>VLOOKUP(Tabel10[[#This Row],[Code]],Ruimtegroepen[[Code]:[Ruimte omschrijving]],2,FALSE)</f>
        <v>Kleedruimten</v>
      </c>
      <c r="C1026" s="221" t="s">
        <v>1136</v>
      </c>
      <c r="D1026" s="220" t="s">
        <v>13</v>
      </c>
      <c r="E1026" s="221" t="s">
        <v>101</v>
      </c>
      <c r="F1026" s="221" t="s">
        <v>1139</v>
      </c>
      <c r="G1026" s="226" t="s">
        <v>281</v>
      </c>
      <c r="H1026" s="222" t="s">
        <v>281</v>
      </c>
      <c r="I1026" s="222" t="s">
        <v>15</v>
      </c>
      <c r="J1026" s="222" t="s">
        <v>281</v>
      </c>
      <c r="K1026" s="222" t="s">
        <v>15</v>
      </c>
      <c r="L1026" s="222" t="s">
        <v>281</v>
      </c>
      <c r="M1026" s="222" t="s">
        <v>281</v>
      </c>
      <c r="N1026" s="222" t="s">
        <v>281</v>
      </c>
      <c r="O1026" s="223" t="s">
        <v>15</v>
      </c>
      <c r="P1026" s="223" t="s">
        <v>15</v>
      </c>
      <c r="Q1026" s="223" t="s">
        <v>15</v>
      </c>
      <c r="R1026" s="223" t="s">
        <v>15</v>
      </c>
      <c r="S1026" s="223" t="s">
        <v>16</v>
      </c>
      <c r="T1026" s="223" t="s">
        <v>328</v>
      </c>
      <c r="U1026" s="223" t="s">
        <v>248</v>
      </c>
      <c r="V1026" s="223" t="s">
        <v>281</v>
      </c>
      <c r="W1026" s="224" t="s">
        <v>281</v>
      </c>
      <c r="X1026" s="224" t="s">
        <v>281</v>
      </c>
      <c r="Y1026" s="225" t="s">
        <v>281</v>
      </c>
    </row>
    <row r="1027" spans="1:25">
      <c r="A1027" s="219">
        <v>19</v>
      </c>
      <c r="B1027" s="220" t="str">
        <f>VLOOKUP(Tabel10[[#This Row],[Code]],Ruimtegroepen[[Code]:[Ruimte omschrijving]],2,FALSE)</f>
        <v>Kleedruimten</v>
      </c>
      <c r="C1027" s="221" t="s">
        <v>1136</v>
      </c>
      <c r="D1027" s="220" t="s">
        <v>13</v>
      </c>
      <c r="E1027" s="221" t="s">
        <v>102</v>
      </c>
      <c r="F1027" s="221" t="s">
        <v>1140</v>
      </c>
      <c r="G1027" s="226" t="s">
        <v>281</v>
      </c>
      <c r="H1027" s="222" t="s">
        <v>281</v>
      </c>
      <c r="I1027" s="222" t="s">
        <v>15</v>
      </c>
      <c r="J1027" s="222" t="s">
        <v>281</v>
      </c>
      <c r="K1027" s="222" t="s">
        <v>15</v>
      </c>
      <c r="L1027" s="222" t="s">
        <v>281</v>
      </c>
      <c r="M1027" s="222" t="s">
        <v>281</v>
      </c>
      <c r="N1027" s="222" t="s">
        <v>281</v>
      </c>
      <c r="O1027" s="223" t="s">
        <v>15</v>
      </c>
      <c r="P1027" s="223" t="s">
        <v>15</v>
      </c>
      <c r="Q1027" s="223" t="s">
        <v>15</v>
      </c>
      <c r="R1027" s="223" t="s">
        <v>15</v>
      </c>
      <c r="S1027" s="223" t="s">
        <v>16</v>
      </c>
      <c r="T1027" s="223" t="s">
        <v>328</v>
      </c>
      <c r="U1027" s="223" t="s">
        <v>248</v>
      </c>
      <c r="V1027" s="223" t="s">
        <v>281</v>
      </c>
      <c r="W1027" s="224" t="s">
        <v>281</v>
      </c>
      <c r="X1027" s="224" t="s">
        <v>281</v>
      </c>
      <c r="Y1027" s="225" t="s">
        <v>281</v>
      </c>
    </row>
    <row r="1028" spans="1:25">
      <c r="A1028" s="219">
        <v>19</v>
      </c>
      <c r="B1028" s="220" t="str">
        <f>VLOOKUP(Tabel10[[#This Row],[Code]],Ruimtegroepen[[Code]:[Ruimte omschrijving]],2,FALSE)</f>
        <v>Kleedruimten</v>
      </c>
      <c r="C1028" s="221" t="s">
        <v>1136</v>
      </c>
      <c r="D1028" s="220" t="s">
        <v>13</v>
      </c>
      <c r="E1028" s="221" t="s">
        <v>99</v>
      </c>
      <c r="F1028" s="221" t="s">
        <v>1138</v>
      </c>
      <c r="G1028" s="226" t="s">
        <v>281</v>
      </c>
      <c r="H1028" s="222" t="s">
        <v>15</v>
      </c>
      <c r="I1028" s="222" t="s">
        <v>281</v>
      </c>
      <c r="J1028" s="222" t="s">
        <v>281</v>
      </c>
      <c r="K1028" s="222" t="s">
        <v>281</v>
      </c>
      <c r="L1028" s="222" t="s">
        <v>281</v>
      </c>
      <c r="M1028" s="222" t="s">
        <v>281</v>
      </c>
      <c r="N1028" s="222" t="s">
        <v>281</v>
      </c>
      <c r="O1028" s="223" t="s">
        <v>15</v>
      </c>
      <c r="P1028" s="223" t="s">
        <v>15</v>
      </c>
      <c r="Q1028" s="223" t="s">
        <v>15</v>
      </c>
      <c r="R1028" s="223" t="s">
        <v>15</v>
      </c>
      <c r="S1028" s="223" t="s">
        <v>16</v>
      </c>
      <c r="T1028" s="223" t="s">
        <v>328</v>
      </c>
      <c r="U1028" s="223" t="s">
        <v>248</v>
      </c>
      <c r="V1028" s="223" t="s">
        <v>281</v>
      </c>
      <c r="W1028" s="224" t="s">
        <v>281</v>
      </c>
      <c r="X1028" s="224" t="s">
        <v>281</v>
      </c>
      <c r="Y1028" s="225" t="s">
        <v>281</v>
      </c>
    </row>
    <row r="1029" spans="1:25">
      <c r="A1029" s="219">
        <v>19</v>
      </c>
      <c r="B1029" s="220" t="str">
        <f>VLOOKUP(Tabel10[[#This Row],[Code]],Ruimtegroepen[[Code]:[Ruimte omschrijving]],2,FALSE)</f>
        <v>Kleedruimten</v>
      </c>
      <c r="C1029" s="221" t="s">
        <v>1136</v>
      </c>
      <c r="D1029" s="220" t="s">
        <v>13</v>
      </c>
      <c r="E1029" s="221" t="s">
        <v>1309</v>
      </c>
      <c r="F1029" s="221" t="s">
        <v>1375</v>
      </c>
      <c r="G1029" s="226" t="s">
        <v>281</v>
      </c>
      <c r="H1029" s="222" t="s">
        <v>281</v>
      </c>
      <c r="I1029" s="222" t="s">
        <v>15</v>
      </c>
      <c r="J1029" s="222" t="s">
        <v>281</v>
      </c>
      <c r="K1029" s="222" t="s">
        <v>15</v>
      </c>
      <c r="L1029" s="222" t="s">
        <v>281</v>
      </c>
      <c r="M1029" s="222" t="s">
        <v>281</v>
      </c>
      <c r="N1029" s="222" t="s">
        <v>281</v>
      </c>
      <c r="O1029" s="223" t="s">
        <v>15</v>
      </c>
      <c r="P1029" s="223" t="s">
        <v>15</v>
      </c>
      <c r="Q1029" s="223" t="s">
        <v>15</v>
      </c>
      <c r="R1029" s="223" t="s">
        <v>15</v>
      </c>
      <c r="S1029" s="223" t="s">
        <v>16</v>
      </c>
      <c r="T1029" s="223" t="s">
        <v>328</v>
      </c>
      <c r="U1029" s="223" t="s">
        <v>248</v>
      </c>
      <c r="V1029" s="223" t="s">
        <v>281</v>
      </c>
      <c r="W1029" s="224" t="s">
        <v>281</v>
      </c>
      <c r="X1029" s="224" t="s">
        <v>281</v>
      </c>
      <c r="Y1029" s="225" t="s">
        <v>281</v>
      </c>
    </row>
    <row r="1030" spans="1:25">
      <c r="A1030" s="219">
        <v>19</v>
      </c>
      <c r="B1030" s="220" t="str">
        <f>VLOOKUP(Tabel10[[#This Row],[Code]],Ruimtegroepen[[Code]:[Ruimte omschrijving]],2,FALSE)</f>
        <v>Kleedruimten</v>
      </c>
      <c r="C1030" s="221" t="s">
        <v>1141</v>
      </c>
      <c r="D1030" s="220" t="s">
        <v>0</v>
      </c>
      <c r="E1030" s="221" t="s">
        <v>100</v>
      </c>
      <c r="F1030" s="221" t="s">
        <v>1142</v>
      </c>
      <c r="G1030" s="226" t="s">
        <v>281</v>
      </c>
      <c r="H1030" s="222" t="s">
        <v>281</v>
      </c>
      <c r="I1030" s="222" t="s">
        <v>16</v>
      </c>
      <c r="J1030" s="222" t="s">
        <v>281</v>
      </c>
      <c r="K1030" s="222" t="s">
        <v>16</v>
      </c>
      <c r="L1030" s="222" t="s">
        <v>281</v>
      </c>
      <c r="M1030" s="222" t="s">
        <v>281</v>
      </c>
      <c r="N1030" s="222" t="s">
        <v>281</v>
      </c>
      <c r="O1030" s="223" t="s">
        <v>16</v>
      </c>
      <c r="P1030" s="223" t="s">
        <v>16</v>
      </c>
      <c r="Q1030" s="223" t="s">
        <v>16</v>
      </c>
      <c r="R1030" s="223" t="s">
        <v>16</v>
      </c>
      <c r="S1030" s="223" t="s">
        <v>16</v>
      </c>
      <c r="T1030" s="223" t="s">
        <v>328</v>
      </c>
      <c r="U1030" s="223" t="s">
        <v>248</v>
      </c>
      <c r="V1030" s="223" t="s">
        <v>281</v>
      </c>
      <c r="W1030" s="224" t="s">
        <v>281</v>
      </c>
      <c r="X1030" s="224" t="s">
        <v>281</v>
      </c>
      <c r="Y1030" s="225" t="s">
        <v>281</v>
      </c>
    </row>
    <row r="1031" spans="1:25">
      <c r="A1031" s="219">
        <v>19</v>
      </c>
      <c r="B1031" s="220" t="str">
        <f>VLOOKUP(Tabel10[[#This Row],[Code]],Ruimtegroepen[[Code]:[Ruimte omschrijving]],2,FALSE)</f>
        <v>Kleedruimten</v>
      </c>
      <c r="C1031" s="221" t="s">
        <v>1141</v>
      </c>
      <c r="D1031" s="220" t="s">
        <v>0</v>
      </c>
      <c r="E1031" s="221" t="s">
        <v>99</v>
      </c>
      <c r="F1031" s="221" t="s">
        <v>1143</v>
      </c>
      <c r="G1031" s="226" t="s">
        <v>281</v>
      </c>
      <c r="H1031" s="222" t="s">
        <v>16</v>
      </c>
      <c r="I1031" s="222" t="s">
        <v>281</v>
      </c>
      <c r="J1031" s="222" t="s">
        <v>281</v>
      </c>
      <c r="K1031" s="222" t="s">
        <v>281</v>
      </c>
      <c r="L1031" s="222" t="s">
        <v>281</v>
      </c>
      <c r="M1031" s="222" t="s">
        <v>281</v>
      </c>
      <c r="N1031" s="222" t="s">
        <v>281</v>
      </c>
      <c r="O1031" s="223" t="s">
        <v>16</v>
      </c>
      <c r="P1031" s="223" t="s">
        <v>16</v>
      </c>
      <c r="Q1031" s="223" t="s">
        <v>16</v>
      </c>
      <c r="R1031" s="223" t="s">
        <v>16</v>
      </c>
      <c r="S1031" s="223" t="s">
        <v>16</v>
      </c>
      <c r="T1031" s="223" t="s">
        <v>328</v>
      </c>
      <c r="U1031" s="223" t="s">
        <v>248</v>
      </c>
      <c r="V1031" s="223" t="s">
        <v>281</v>
      </c>
      <c r="W1031" s="224" t="s">
        <v>281</v>
      </c>
      <c r="X1031" s="224" t="s">
        <v>281</v>
      </c>
      <c r="Y1031" s="225" t="s">
        <v>281</v>
      </c>
    </row>
    <row r="1032" spans="1:25">
      <c r="A1032" s="219">
        <v>19</v>
      </c>
      <c r="B1032" s="220" t="str">
        <f>VLOOKUP(Tabel10[[#This Row],[Code]],Ruimtegroepen[[Code]:[Ruimte omschrijving]],2,FALSE)</f>
        <v>Kleedruimten</v>
      </c>
      <c r="C1032" s="221" t="s">
        <v>1141</v>
      </c>
      <c r="D1032" s="220" t="s">
        <v>0</v>
      </c>
      <c r="E1032" s="221" t="s">
        <v>101</v>
      </c>
      <c r="F1032" s="221" t="s">
        <v>1144</v>
      </c>
      <c r="G1032" s="226" t="s">
        <v>281</v>
      </c>
      <c r="H1032" s="222" t="s">
        <v>281</v>
      </c>
      <c r="I1032" s="222" t="s">
        <v>16</v>
      </c>
      <c r="J1032" s="222" t="s">
        <v>360</v>
      </c>
      <c r="K1032" s="222" t="s">
        <v>16</v>
      </c>
      <c r="L1032" s="222" t="s">
        <v>281</v>
      </c>
      <c r="M1032" s="222" t="s">
        <v>281</v>
      </c>
      <c r="N1032" s="222" t="s">
        <v>281</v>
      </c>
      <c r="O1032" s="223" t="s">
        <v>16</v>
      </c>
      <c r="P1032" s="223" t="s">
        <v>16</v>
      </c>
      <c r="Q1032" s="223" t="s">
        <v>16</v>
      </c>
      <c r="R1032" s="223" t="s">
        <v>16</v>
      </c>
      <c r="S1032" s="223" t="s">
        <v>16</v>
      </c>
      <c r="T1032" s="223" t="s">
        <v>328</v>
      </c>
      <c r="U1032" s="223" t="s">
        <v>248</v>
      </c>
      <c r="V1032" s="223" t="s">
        <v>281</v>
      </c>
      <c r="W1032" s="224" t="s">
        <v>281</v>
      </c>
      <c r="X1032" s="224" t="s">
        <v>281</v>
      </c>
      <c r="Y1032" s="225" t="s">
        <v>281</v>
      </c>
    </row>
    <row r="1033" spans="1:25">
      <c r="A1033" s="219">
        <v>19</v>
      </c>
      <c r="B1033" s="220" t="str">
        <f>VLOOKUP(Tabel10[[#This Row],[Code]],Ruimtegroepen[[Code]:[Ruimte omschrijving]],2,FALSE)</f>
        <v>Kleedruimten</v>
      </c>
      <c r="C1033" s="221" t="s">
        <v>1141</v>
      </c>
      <c r="D1033" s="220" t="s">
        <v>0</v>
      </c>
      <c r="E1033" s="221" t="s">
        <v>102</v>
      </c>
      <c r="F1033" s="221" t="s">
        <v>1145</v>
      </c>
      <c r="G1033" s="226" t="s">
        <v>281</v>
      </c>
      <c r="H1033" s="222" t="s">
        <v>281</v>
      </c>
      <c r="I1033" s="222" t="s">
        <v>16</v>
      </c>
      <c r="J1033" s="222" t="s">
        <v>281</v>
      </c>
      <c r="K1033" s="222" t="s">
        <v>16</v>
      </c>
      <c r="L1033" s="222" t="s">
        <v>281</v>
      </c>
      <c r="M1033" s="222" t="s">
        <v>281</v>
      </c>
      <c r="N1033" s="222" t="s">
        <v>281</v>
      </c>
      <c r="O1033" s="223" t="s">
        <v>16</v>
      </c>
      <c r="P1033" s="223" t="s">
        <v>16</v>
      </c>
      <c r="Q1033" s="223" t="s">
        <v>16</v>
      </c>
      <c r="R1033" s="223" t="s">
        <v>16</v>
      </c>
      <c r="S1033" s="223" t="s">
        <v>16</v>
      </c>
      <c r="T1033" s="223" t="s">
        <v>328</v>
      </c>
      <c r="U1033" s="223" t="s">
        <v>248</v>
      </c>
      <c r="V1033" s="223" t="s">
        <v>281</v>
      </c>
      <c r="W1033" s="224" t="s">
        <v>281</v>
      </c>
      <c r="X1033" s="224" t="s">
        <v>281</v>
      </c>
      <c r="Y1033" s="225" t="s">
        <v>281</v>
      </c>
    </row>
    <row r="1034" spans="1:25">
      <c r="A1034" s="219">
        <v>19</v>
      </c>
      <c r="B1034" s="220" t="str">
        <f>VLOOKUP(Tabel10[[#This Row],[Code]],Ruimtegroepen[[Code]:[Ruimte omschrijving]],2,FALSE)</f>
        <v>Kleedruimten</v>
      </c>
      <c r="C1034" s="221" t="s">
        <v>1141</v>
      </c>
      <c r="D1034" s="220" t="s">
        <v>0</v>
      </c>
      <c r="E1034" s="221" t="s">
        <v>99</v>
      </c>
      <c r="F1034" s="221" t="s">
        <v>1143</v>
      </c>
      <c r="G1034" s="226" t="s">
        <v>281</v>
      </c>
      <c r="H1034" s="222" t="s">
        <v>16</v>
      </c>
      <c r="I1034" s="222" t="s">
        <v>281</v>
      </c>
      <c r="J1034" s="222" t="s">
        <v>281</v>
      </c>
      <c r="K1034" s="222" t="s">
        <v>281</v>
      </c>
      <c r="L1034" s="222" t="s">
        <v>281</v>
      </c>
      <c r="M1034" s="222" t="s">
        <v>281</v>
      </c>
      <c r="N1034" s="222" t="s">
        <v>281</v>
      </c>
      <c r="O1034" s="223" t="s">
        <v>16</v>
      </c>
      <c r="P1034" s="223" t="s">
        <v>16</v>
      </c>
      <c r="Q1034" s="223" t="s">
        <v>16</v>
      </c>
      <c r="R1034" s="223" t="s">
        <v>16</v>
      </c>
      <c r="S1034" s="223" t="s">
        <v>16</v>
      </c>
      <c r="T1034" s="223" t="s">
        <v>328</v>
      </c>
      <c r="U1034" s="223" t="s">
        <v>248</v>
      </c>
      <c r="V1034" s="223" t="s">
        <v>281</v>
      </c>
      <c r="W1034" s="224" t="s">
        <v>281</v>
      </c>
      <c r="X1034" s="224" t="s">
        <v>281</v>
      </c>
      <c r="Y1034" s="225" t="s">
        <v>281</v>
      </c>
    </row>
    <row r="1035" spans="1:25">
      <c r="A1035" s="219">
        <v>19</v>
      </c>
      <c r="B1035" s="220" t="str">
        <f>VLOOKUP(Tabel10[[#This Row],[Code]],Ruimtegroepen[[Code]:[Ruimte omschrijving]],2,FALSE)</f>
        <v>Kleedruimten</v>
      </c>
      <c r="C1035" s="221" t="s">
        <v>1141</v>
      </c>
      <c r="D1035" s="220" t="s">
        <v>0</v>
      </c>
      <c r="E1035" s="221" t="s">
        <v>1309</v>
      </c>
      <c r="F1035" s="221" t="s">
        <v>1359</v>
      </c>
      <c r="G1035" s="226" t="s">
        <v>281</v>
      </c>
      <c r="H1035" s="222" t="s">
        <v>281</v>
      </c>
      <c r="I1035" s="222" t="s">
        <v>16</v>
      </c>
      <c r="J1035" s="222" t="s">
        <v>281</v>
      </c>
      <c r="K1035" s="222" t="s">
        <v>16</v>
      </c>
      <c r="L1035" s="222" t="s">
        <v>281</v>
      </c>
      <c r="M1035" s="222" t="s">
        <v>281</v>
      </c>
      <c r="N1035" s="222" t="s">
        <v>281</v>
      </c>
      <c r="O1035" s="223" t="s">
        <v>16</v>
      </c>
      <c r="P1035" s="223" t="s">
        <v>16</v>
      </c>
      <c r="Q1035" s="223" t="s">
        <v>16</v>
      </c>
      <c r="R1035" s="223" t="s">
        <v>16</v>
      </c>
      <c r="S1035" s="223" t="s">
        <v>16</v>
      </c>
      <c r="T1035" s="223" t="s">
        <v>328</v>
      </c>
      <c r="U1035" s="223" t="s">
        <v>248</v>
      </c>
      <c r="V1035" s="223" t="s">
        <v>281</v>
      </c>
      <c r="W1035" s="224" t="s">
        <v>281</v>
      </c>
      <c r="X1035" s="224" t="s">
        <v>281</v>
      </c>
      <c r="Y1035" s="225" t="s">
        <v>281</v>
      </c>
    </row>
    <row r="1036" spans="1:25">
      <c r="A1036" s="219">
        <v>19</v>
      </c>
      <c r="B1036" s="220" t="str">
        <f>VLOOKUP(Tabel10[[#This Row],[Code]],Ruimtegroepen[[Code]:[Ruimte omschrijving]],2,FALSE)</f>
        <v>Kleedruimten</v>
      </c>
      <c r="C1036" s="221" t="s">
        <v>1146</v>
      </c>
      <c r="D1036" s="220" t="s">
        <v>27</v>
      </c>
      <c r="E1036" s="221" t="s">
        <v>100</v>
      </c>
      <c r="F1036" s="221" t="s">
        <v>1147</v>
      </c>
      <c r="G1036" s="226" t="s">
        <v>281</v>
      </c>
      <c r="H1036" s="222" t="s">
        <v>281</v>
      </c>
      <c r="I1036" s="222" t="s">
        <v>15</v>
      </c>
      <c r="J1036" s="222" t="s">
        <v>281</v>
      </c>
      <c r="K1036" s="222" t="s">
        <v>281</v>
      </c>
      <c r="L1036" s="222" t="s">
        <v>281</v>
      </c>
      <c r="M1036" s="222" t="s">
        <v>281</v>
      </c>
      <c r="N1036" s="222" t="s">
        <v>281</v>
      </c>
      <c r="O1036" s="223" t="s">
        <v>15</v>
      </c>
      <c r="P1036" s="223" t="s">
        <v>15</v>
      </c>
      <c r="Q1036" s="223" t="s">
        <v>15</v>
      </c>
      <c r="R1036" s="223" t="s">
        <v>281</v>
      </c>
      <c r="S1036" s="223" t="s">
        <v>281</v>
      </c>
      <c r="T1036" s="223" t="s">
        <v>281</v>
      </c>
      <c r="U1036" s="223" t="s">
        <v>281</v>
      </c>
      <c r="V1036" s="223" t="s">
        <v>281</v>
      </c>
      <c r="W1036" s="224" t="s">
        <v>281</v>
      </c>
      <c r="X1036" s="224" t="s">
        <v>281</v>
      </c>
      <c r="Y1036" s="225" t="s">
        <v>281</v>
      </c>
    </row>
    <row r="1037" spans="1:25">
      <c r="A1037" s="219">
        <v>19</v>
      </c>
      <c r="B1037" s="220" t="str">
        <f>VLOOKUP(Tabel10[[#This Row],[Code]],Ruimtegroepen[[Code]:[Ruimte omschrijving]],2,FALSE)</f>
        <v>Kleedruimten</v>
      </c>
      <c r="C1037" s="221" t="s">
        <v>1146</v>
      </c>
      <c r="D1037" s="220" t="s">
        <v>27</v>
      </c>
      <c r="E1037" s="221" t="s">
        <v>99</v>
      </c>
      <c r="F1037" s="221" t="s">
        <v>1148</v>
      </c>
      <c r="G1037" s="226" t="s">
        <v>281</v>
      </c>
      <c r="H1037" s="222" t="s">
        <v>15</v>
      </c>
      <c r="I1037" s="222" t="s">
        <v>281</v>
      </c>
      <c r="J1037" s="222" t="s">
        <v>281</v>
      </c>
      <c r="K1037" s="222" t="s">
        <v>281</v>
      </c>
      <c r="L1037" s="222" t="s">
        <v>281</v>
      </c>
      <c r="M1037" s="222" t="s">
        <v>281</v>
      </c>
      <c r="N1037" s="222" t="s">
        <v>281</v>
      </c>
      <c r="O1037" s="223" t="s">
        <v>15</v>
      </c>
      <c r="P1037" s="223" t="s">
        <v>15</v>
      </c>
      <c r="Q1037" s="223" t="s">
        <v>15</v>
      </c>
      <c r="R1037" s="223" t="s">
        <v>281</v>
      </c>
      <c r="S1037" s="223" t="s">
        <v>281</v>
      </c>
      <c r="T1037" s="223" t="s">
        <v>281</v>
      </c>
      <c r="U1037" s="223" t="s">
        <v>281</v>
      </c>
      <c r="V1037" s="223" t="s">
        <v>281</v>
      </c>
      <c r="W1037" s="224" t="s">
        <v>281</v>
      </c>
      <c r="X1037" s="224" t="s">
        <v>281</v>
      </c>
      <c r="Y1037" s="225" t="s">
        <v>281</v>
      </c>
    </row>
    <row r="1038" spans="1:25">
      <c r="A1038" s="219">
        <v>19</v>
      </c>
      <c r="B1038" s="220" t="str">
        <f>VLOOKUP(Tabel10[[#This Row],[Code]],Ruimtegroepen[[Code]:[Ruimte omschrijving]],2,FALSE)</f>
        <v>Kleedruimten</v>
      </c>
      <c r="C1038" s="221" t="s">
        <v>1146</v>
      </c>
      <c r="D1038" s="220" t="s">
        <v>27</v>
      </c>
      <c r="E1038" s="221" t="s">
        <v>101</v>
      </c>
      <c r="F1038" s="221" t="s">
        <v>1149</v>
      </c>
      <c r="G1038" s="226" t="s">
        <v>281</v>
      </c>
      <c r="H1038" s="222" t="s">
        <v>281</v>
      </c>
      <c r="I1038" s="222" t="s">
        <v>15</v>
      </c>
      <c r="J1038" s="222" t="s">
        <v>281</v>
      </c>
      <c r="K1038" s="222" t="s">
        <v>281</v>
      </c>
      <c r="L1038" s="222" t="s">
        <v>281</v>
      </c>
      <c r="M1038" s="222" t="s">
        <v>281</v>
      </c>
      <c r="N1038" s="222" t="s">
        <v>281</v>
      </c>
      <c r="O1038" s="223" t="s">
        <v>15</v>
      </c>
      <c r="P1038" s="223" t="s">
        <v>15</v>
      </c>
      <c r="Q1038" s="223" t="s">
        <v>15</v>
      </c>
      <c r="R1038" s="223" t="s">
        <v>281</v>
      </c>
      <c r="S1038" s="223" t="s">
        <v>281</v>
      </c>
      <c r="T1038" s="223" t="s">
        <v>281</v>
      </c>
      <c r="U1038" s="223" t="s">
        <v>281</v>
      </c>
      <c r="V1038" s="223" t="s">
        <v>281</v>
      </c>
      <c r="W1038" s="224" t="s">
        <v>281</v>
      </c>
      <c r="X1038" s="224" t="s">
        <v>281</v>
      </c>
      <c r="Y1038" s="225" t="s">
        <v>281</v>
      </c>
    </row>
    <row r="1039" spans="1:25">
      <c r="A1039" s="219">
        <v>19</v>
      </c>
      <c r="B1039" s="220" t="str">
        <f>VLOOKUP(Tabel10[[#This Row],[Code]],Ruimtegroepen[[Code]:[Ruimte omschrijving]],2,FALSE)</f>
        <v>Kleedruimten</v>
      </c>
      <c r="C1039" s="221" t="s">
        <v>1146</v>
      </c>
      <c r="D1039" s="220" t="s">
        <v>27</v>
      </c>
      <c r="E1039" s="221" t="s">
        <v>102</v>
      </c>
      <c r="F1039" s="221" t="s">
        <v>1150</v>
      </c>
      <c r="G1039" s="226" t="s">
        <v>281</v>
      </c>
      <c r="H1039" s="222" t="s">
        <v>281</v>
      </c>
      <c r="I1039" s="222" t="s">
        <v>15</v>
      </c>
      <c r="J1039" s="222" t="s">
        <v>281</v>
      </c>
      <c r="K1039" s="222" t="s">
        <v>281</v>
      </c>
      <c r="L1039" s="222" t="s">
        <v>281</v>
      </c>
      <c r="M1039" s="222" t="s">
        <v>281</v>
      </c>
      <c r="N1039" s="222" t="s">
        <v>281</v>
      </c>
      <c r="O1039" s="223" t="s">
        <v>15</v>
      </c>
      <c r="P1039" s="223" t="s">
        <v>15</v>
      </c>
      <c r="Q1039" s="223" t="s">
        <v>15</v>
      </c>
      <c r="R1039" s="223" t="s">
        <v>281</v>
      </c>
      <c r="S1039" s="223" t="s">
        <v>281</v>
      </c>
      <c r="T1039" s="223" t="s">
        <v>281</v>
      </c>
      <c r="U1039" s="223" t="s">
        <v>281</v>
      </c>
      <c r="V1039" s="223" t="s">
        <v>281</v>
      </c>
      <c r="W1039" s="224" t="s">
        <v>281</v>
      </c>
      <c r="X1039" s="224" t="s">
        <v>281</v>
      </c>
      <c r="Y1039" s="225" t="s">
        <v>281</v>
      </c>
    </row>
    <row r="1040" spans="1:25">
      <c r="A1040" s="219">
        <v>19</v>
      </c>
      <c r="B1040" s="220" t="str">
        <f>VLOOKUP(Tabel10[[#This Row],[Code]],Ruimtegroepen[[Code]:[Ruimte omschrijving]],2,FALSE)</f>
        <v>Kleedruimten</v>
      </c>
      <c r="C1040" s="221" t="s">
        <v>1146</v>
      </c>
      <c r="D1040" s="220" t="s">
        <v>27</v>
      </c>
      <c r="E1040" s="221" t="s">
        <v>99</v>
      </c>
      <c r="F1040" s="221" t="s">
        <v>1148</v>
      </c>
      <c r="G1040" s="226" t="s">
        <v>281</v>
      </c>
      <c r="H1040" s="222" t="s">
        <v>15</v>
      </c>
      <c r="I1040" s="222" t="s">
        <v>281</v>
      </c>
      <c r="J1040" s="222" t="s">
        <v>281</v>
      </c>
      <c r="K1040" s="222" t="s">
        <v>281</v>
      </c>
      <c r="L1040" s="222" t="s">
        <v>281</v>
      </c>
      <c r="M1040" s="222" t="s">
        <v>281</v>
      </c>
      <c r="N1040" s="222" t="s">
        <v>281</v>
      </c>
      <c r="O1040" s="223" t="s">
        <v>15</v>
      </c>
      <c r="P1040" s="223" t="s">
        <v>15</v>
      </c>
      <c r="Q1040" s="223" t="s">
        <v>15</v>
      </c>
      <c r="R1040" s="223" t="s">
        <v>281</v>
      </c>
      <c r="S1040" s="223" t="s">
        <v>281</v>
      </c>
      <c r="T1040" s="223" t="s">
        <v>281</v>
      </c>
      <c r="U1040" s="223" t="s">
        <v>281</v>
      </c>
      <c r="V1040" s="223" t="s">
        <v>281</v>
      </c>
      <c r="W1040" s="224" t="s">
        <v>281</v>
      </c>
      <c r="X1040" s="224" t="s">
        <v>281</v>
      </c>
      <c r="Y1040" s="225" t="s">
        <v>281</v>
      </c>
    </row>
    <row r="1041" spans="1:25">
      <c r="A1041" s="219">
        <v>19</v>
      </c>
      <c r="B1041" s="220" t="str">
        <f>VLOOKUP(Tabel10[[#This Row],[Code]],Ruimtegroepen[[Code]:[Ruimte omschrijving]],2,FALSE)</f>
        <v>Kleedruimten</v>
      </c>
      <c r="C1041" s="221" t="s">
        <v>1146</v>
      </c>
      <c r="D1041" s="220" t="s">
        <v>27</v>
      </c>
      <c r="E1041" s="221" t="s">
        <v>1309</v>
      </c>
      <c r="F1041" s="221" t="s">
        <v>1392</v>
      </c>
      <c r="G1041" s="226" t="s">
        <v>281</v>
      </c>
      <c r="H1041" s="222" t="s">
        <v>281</v>
      </c>
      <c r="I1041" s="222" t="s">
        <v>15</v>
      </c>
      <c r="J1041" s="222" t="s">
        <v>281</v>
      </c>
      <c r="K1041" s="222" t="s">
        <v>281</v>
      </c>
      <c r="L1041" s="222" t="s">
        <v>281</v>
      </c>
      <c r="M1041" s="222" t="s">
        <v>281</v>
      </c>
      <c r="N1041" s="222" t="s">
        <v>281</v>
      </c>
      <c r="O1041" s="223" t="s">
        <v>15</v>
      </c>
      <c r="P1041" s="223" t="s">
        <v>15</v>
      </c>
      <c r="Q1041" s="223" t="s">
        <v>15</v>
      </c>
      <c r="R1041" s="223" t="s">
        <v>281</v>
      </c>
      <c r="S1041" s="223" t="s">
        <v>281</v>
      </c>
      <c r="T1041" s="223" t="s">
        <v>281</v>
      </c>
      <c r="U1041" s="223" t="s">
        <v>281</v>
      </c>
      <c r="V1041" s="223" t="s">
        <v>281</v>
      </c>
      <c r="W1041" s="224" t="s">
        <v>281</v>
      </c>
      <c r="X1041" s="224" t="s">
        <v>281</v>
      </c>
      <c r="Y1041" s="225" t="s">
        <v>281</v>
      </c>
    </row>
    <row r="1042" spans="1:25">
      <c r="A1042" s="219">
        <v>19</v>
      </c>
      <c r="B1042" s="220" t="str">
        <f>VLOOKUP(Tabel10[[#This Row],[Code]],Ruimtegroepen[[Code]:[Ruimte omschrijving]],2,FALSE)</f>
        <v>Kleedruimten</v>
      </c>
      <c r="C1042" s="221" t="s">
        <v>1151</v>
      </c>
      <c r="D1042" s="220" t="s">
        <v>28</v>
      </c>
      <c r="E1042" s="221" t="s">
        <v>100</v>
      </c>
      <c r="F1042" s="221" t="s">
        <v>1152</v>
      </c>
      <c r="G1042" s="226" t="s">
        <v>281</v>
      </c>
      <c r="H1042" s="222" t="s">
        <v>281</v>
      </c>
      <c r="I1042" s="222" t="s">
        <v>17</v>
      </c>
      <c r="J1042" s="222" t="s">
        <v>281</v>
      </c>
      <c r="K1042" s="222" t="s">
        <v>281</v>
      </c>
      <c r="L1042" s="222" t="s">
        <v>281</v>
      </c>
      <c r="M1042" s="222" t="s">
        <v>281</v>
      </c>
      <c r="N1042" s="222" t="s">
        <v>281</v>
      </c>
      <c r="O1042" s="223" t="s">
        <v>17</v>
      </c>
      <c r="P1042" s="223" t="s">
        <v>17</v>
      </c>
      <c r="Q1042" s="223" t="s">
        <v>15</v>
      </c>
      <c r="R1042" s="223" t="s">
        <v>281</v>
      </c>
      <c r="S1042" s="223" t="s">
        <v>281</v>
      </c>
      <c r="T1042" s="223" t="s">
        <v>281</v>
      </c>
      <c r="U1042" s="223" t="s">
        <v>281</v>
      </c>
      <c r="V1042" s="223" t="s">
        <v>281</v>
      </c>
      <c r="W1042" s="224" t="s">
        <v>281</v>
      </c>
      <c r="X1042" s="224" t="s">
        <v>281</v>
      </c>
      <c r="Y1042" s="225" t="s">
        <v>281</v>
      </c>
    </row>
    <row r="1043" spans="1:25">
      <c r="A1043" s="219">
        <v>19</v>
      </c>
      <c r="B1043" s="220" t="str">
        <f>VLOOKUP(Tabel10[[#This Row],[Code]],Ruimtegroepen[[Code]:[Ruimte omschrijving]],2,FALSE)</f>
        <v>Kleedruimten</v>
      </c>
      <c r="C1043" s="221" t="s">
        <v>1151</v>
      </c>
      <c r="D1043" s="220" t="s">
        <v>28</v>
      </c>
      <c r="E1043" s="221" t="s">
        <v>99</v>
      </c>
      <c r="F1043" s="221" t="s">
        <v>1153</v>
      </c>
      <c r="G1043" s="226" t="s">
        <v>281</v>
      </c>
      <c r="H1043" s="222" t="s">
        <v>17</v>
      </c>
      <c r="I1043" s="222" t="s">
        <v>281</v>
      </c>
      <c r="J1043" s="222" t="s">
        <v>281</v>
      </c>
      <c r="K1043" s="222" t="s">
        <v>281</v>
      </c>
      <c r="L1043" s="222" t="s">
        <v>281</v>
      </c>
      <c r="M1043" s="222" t="s">
        <v>281</v>
      </c>
      <c r="N1043" s="222" t="s">
        <v>281</v>
      </c>
      <c r="O1043" s="223" t="s">
        <v>17</v>
      </c>
      <c r="P1043" s="223" t="s">
        <v>17</v>
      </c>
      <c r="Q1043" s="223" t="s">
        <v>15</v>
      </c>
      <c r="R1043" s="223" t="s">
        <v>281</v>
      </c>
      <c r="S1043" s="223" t="s">
        <v>281</v>
      </c>
      <c r="T1043" s="223" t="s">
        <v>281</v>
      </c>
      <c r="U1043" s="223" t="s">
        <v>281</v>
      </c>
      <c r="V1043" s="223" t="s">
        <v>281</v>
      </c>
      <c r="W1043" s="224" t="s">
        <v>281</v>
      </c>
      <c r="X1043" s="224" t="s">
        <v>281</v>
      </c>
      <c r="Y1043" s="225" t="s">
        <v>281</v>
      </c>
    </row>
    <row r="1044" spans="1:25">
      <c r="A1044" s="219">
        <v>19</v>
      </c>
      <c r="B1044" s="220" t="str">
        <f>VLOOKUP(Tabel10[[#This Row],[Code]],Ruimtegroepen[[Code]:[Ruimte omschrijving]],2,FALSE)</f>
        <v>Kleedruimten</v>
      </c>
      <c r="C1044" s="221" t="s">
        <v>1151</v>
      </c>
      <c r="D1044" s="220" t="s">
        <v>28</v>
      </c>
      <c r="E1044" s="221" t="s">
        <v>101</v>
      </c>
      <c r="F1044" s="221" t="s">
        <v>1154</v>
      </c>
      <c r="G1044" s="226" t="s">
        <v>281</v>
      </c>
      <c r="H1044" s="222" t="s">
        <v>281</v>
      </c>
      <c r="I1044" s="222" t="s">
        <v>17</v>
      </c>
      <c r="J1044" s="222" t="s">
        <v>281</v>
      </c>
      <c r="K1044" s="222" t="s">
        <v>281</v>
      </c>
      <c r="L1044" s="222" t="s">
        <v>281</v>
      </c>
      <c r="M1044" s="222" t="s">
        <v>281</v>
      </c>
      <c r="N1044" s="222" t="s">
        <v>281</v>
      </c>
      <c r="O1044" s="223" t="s">
        <v>17</v>
      </c>
      <c r="P1044" s="223" t="s">
        <v>17</v>
      </c>
      <c r="Q1044" s="223" t="s">
        <v>15</v>
      </c>
      <c r="R1044" s="223" t="s">
        <v>281</v>
      </c>
      <c r="S1044" s="223" t="s">
        <v>281</v>
      </c>
      <c r="T1044" s="223" t="s">
        <v>281</v>
      </c>
      <c r="U1044" s="223" t="s">
        <v>281</v>
      </c>
      <c r="V1044" s="223" t="s">
        <v>281</v>
      </c>
      <c r="W1044" s="224" t="s">
        <v>281</v>
      </c>
      <c r="X1044" s="224" t="s">
        <v>281</v>
      </c>
      <c r="Y1044" s="225" t="s">
        <v>281</v>
      </c>
    </row>
    <row r="1045" spans="1:25">
      <c r="A1045" s="219">
        <v>19</v>
      </c>
      <c r="B1045" s="220" t="str">
        <f>VLOOKUP(Tabel10[[#This Row],[Code]],Ruimtegroepen[[Code]:[Ruimte omschrijving]],2,FALSE)</f>
        <v>Kleedruimten</v>
      </c>
      <c r="C1045" s="221" t="s">
        <v>1151</v>
      </c>
      <c r="D1045" s="220" t="s">
        <v>28</v>
      </c>
      <c r="E1045" s="221" t="s">
        <v>102</v>
      </c>
      <c r="F1045" s="221" t="s">
        <v>1155</v>
      </c>
      <c r="G1045" s="226" t="s">
        <v>281</v>
      </c>
      <c r="H1045" s="222" t="s">
        <v>281</v>
      </c>
      <c r="I1045" s="222" t="s">
        <v>17</v>
      </c>
      <c r="J1045" s="222" t="s">
        <v>281</v>
      </c>
      <c r="K1045" s="222" t="s">
        <v>281</v>
      </c>
      <c r="L1045" s="222" t="s">
        <v>281</v>
      </c>
      <c r="M1045" s="222" t="s">
        <v>281</v>
      </c>
      <c r="N1045" s="222" t="s">
        <v>281</v>
      </c>
      <c r="O1045" s="223" t="s">
        <v>17</v>
      </c>
      <c r="P1045" s="223" t="s">
        <v>17</v>
      </c>
      <c r="Q1045" s="223" t="s">
        <v>15</v>
      </c>
      <c r="R1045" s="223" t="s">
        <v>281</v>
      </c>
      <c r="S1045" s="223" t="s">
        <v>281</v>
      </c>
      <c r="T1045" s="223" t="s">
        <v>281</v>
      </c>
      <c r="U1045" s="223" t="s">
        <v>281</v>
      </c>
      <c r="V1045" s="223" t="s">
        <v>281</v>
      </c>
      <c r="W1045" s="224" t="s">
        <v>281</v>
      </c>
      <c r="X1045" s="224" t="s">
        <v>281</v>
      </c>
      <c r="Y1045" s="225" t="s">
        <v>281</v>
      </c>
    </row>
    <row r="1046" spans="1:25">
      <c r="A1046" s="219">
        <v>19</v>
      </c>
      <c r="B1046" s="220" t="str">
        <f>VLOOKUP(Tabel10[[#This Row],[Code]],Ruimtegroepen[[Code]:[Ruimte omschrijving]],2,FALSE)</f>
        <v>Kleedruimten</v>
      </c>
      <c r="C1046" s="221" t="s">
        <v>1151</v>
      </c>
      <c r="D1046" s="220" t="s">
        <v>28</v>
      </c>
      <c r="E1046" s="221" t="s">
        <v>99</v>
      </c>
      <c r="F1046" s="221" t="s">
        <v>1153</v>
      </c>
      <c r="G1046" s="226" t="s">
        <v>281</v>
      </c>
      <c r="H1046" s="222" t="s">
        <v>17</v>
      </c>
      <c r="I1046" s="222" t="s">
        <v>281</v>
      </c>
      <c r="J1046" s="222" t="s">
        <v>281</v>
      </c>
      <c r="K1046" s="222" t="s">
        <v>281</v>
      </c>
      <c r="L1046" s="222" t="s">
        <v>281</v>
      </c>
      <c r="M1046" s="222" t="s">
        <v>281</v>
      </c>
      <c r="N1046" s="222" t="s">
        <v>281</v>
      </c>
      <c r="O1046" s="223" t="s">
        <v>17</v>
      </c>
      <c r="P1046" s="223" t="s">
        <v>17</v>
      </c>
      <c r="Q1046" s="223" t="s">
        <v>15</v>
      </c>
      <c r="R1046" s="223" t="s">
        <v>281</v>
      </c>
      <c r="S1046" s="223" t="s">
        <v>281</v>
      </c>
      <c r="T1046" s="223" t="s">
        <v>281</v>
      </c>
      <c r="U1046" s="223" t="s">
        <v>281</v>
      </c>
      <c r="V1046" s="223" t="s">
        <v>281</v>
      </c>
      <c r="W1046" s="224" t="s">
        <v>281</v>
      </c>
      <c r="X1046" s="224" t="s">
        <v>281</v>
      </c>
      <c r="Y1046" s="225" t="s">
        <v>281</v>
      </c>
    </row>
    <row r="1047" spans="1:25">
      <c r="A1047" s="219">
        <v>19</v>
      </c>
      <c r="B1047" s="220" t="str">
        <f>VLOOKUP(Tabel10[[#This Row],[Code]],Ruimtegroepen[[Code]:[Ruimte omschrijving]],2,FALSE)</f>
        <v>Kleedruimten</v>
      </c>
      <c r="C1047" s="221" t="s">
        <v>1151</v>
      </c>
      <c r="D1047" s="220" t="s">
        <v>28</v>
      </c>
      <c r="E1047" s="221" t="s">
        <v>1309</v>
      </c>
      <c r="F1047" s="221" t="s">
        <v>1425</v>
      </c>
      <c r="G1047" s="226" t="s">
        <v>281</v>
      </c>
      <c r="H1047" s="222" t="s">
        <v>281</v>
      </c>
      <c r="I1047" s="222" t="s">
        <v>17</v>
      </c>
      <c r="J1047" s="222" t="s">
        <v>281</v>
      </c>
      <c r="K1047" s="222" t="s">
        <v>281</v>
      </c>
      <c r="L1047" s="222" t="s">
        <v>281</v>
      </c>
      <c r="M1047" s="222" t="s">
        <v>281</v>
      </c>
      <c r="N1047" s="222" t="s">
        <v>281</v>
      </c>
      <c r="O1047" s="223" t="s">
        <v>17</v>
      </c>
      <c r="P1047" s="223" t="s">
        <v>17</v>
      </c>
      <c r="Q1047" s="223" t="s">
        <v>15</v>
      </c>
      <c r="R1047" s="223" t="s">
        <v>281</v>
      </c>
      <c r="S1047" s="223" t="s">
        <v>281</v>
      </c>
      <c r="T1047" s="223" t="s">
        <v>281</v>
      </c>
      <c r="U1047" s="223" t="s">
        <v>281</v>
      </c>
      <c r="V1047" s="223" t="s">
        <v>281</v>
      </c>
      <c r="W1047" s="224" t="s">
        <v>281</v>
      </c>
      <c r="X1047" s="224" t="s">
        <v>281</v>
      </c>
      <c r="Y1047" s="225" t="s">
        <v>281</v>
      </c>
    </row>
    <row r="1048" spans="1:25">
      <c r="A1048" s="219">
        <v>20</v>
      </c>
      <c r="B1048" s="220" t="str">
        <f>VLOOKUP(Tabel10[[#This Row],[Code]],Ruimtegroepen[[Code]:[Ruimte omschrijving]],2,FALSE)</f>
        <v>Niet in Onderhoud</v>
      </c>
      <c r="C1048" s="221" t="s">
        <v>1156</v>
      </c>
      <c r="D1048" s="220" t="s">
        <v>29</v>
      </c>
      <c r="E1048" s="221" t="s">
        <v>100</v>
      </c>
      <c r="F1048" s="221" t="s">
        <v>1157</v>
      </c>
      <c r="G1048" s="226" t="s">
        <v>281</v>
      </c>
      <c r="H1048" s="222" t="s">
        <v>281</v>
      </c>
      <c r="I1048" s="222" t="s">
        <v>281</v>
      </c>
      <c r="J1048" s="222" t="s">
        <v>281</v>
      </c>
      <c r="K1048" s="222" t="s">
        <v>281</v>
      </c>
      <c r="L1048" s="222" t="s">
        <v>281</v>
      </c>
      <c r="M1048" s="222" t="s">
        <v>281</v>
      </c>
      <c r="N1048" s="222" t="s">
        <v>281</v>
      </c>
      <c r="O1048" s="223" t="s">
        <v>281</v>
      </c>
      <c r="P1048" s="223" t="s">
        <v>281</v>
      </c>
      <c r="Q1048" s="223" t="s">
        <v>281</v>
      </c>
      <c r="R1048" s="223" t="s">
        <v>281</v>
      </c>
      <c r="S1048" s="223" t="s">
        <v>281</v>
      </c>
      <c r="T1048" s="223" t="s">
        <v>281</v>
      </c>
      <c r="U1048" s="223" t="s">
        <v>281</v>
      </c>
      <c r="V1048" s="223" t="s">
        <v>281</v>
      </c>
      <c r="W1048" s="224" t="s">
        <v>281</v>
      </c>
      <c r="X1048" s="224" t="s">
        <v>281</v>
      </c>
      <c r="Y1048" s="225" t="s">
        <v>281</v>
      </c>
    </row>
    <row r="1049" spans="1:25">
      <c r="A1049" s="219">
        <v>20</v>
      </c>
      <c r="B1049" s="220" t="str">
        <f>VLOOKUP(Tabel10[[#This Row],[Code]],Ruimtegroepen[[Code]:[Ruimte omschrijving]],2,FALSE)</f>
        <v>Niet in Onderhoud</v>
      </c>
      <c r="C1049" s="221" t="s">
        <v>1156</v>
      </c>
      <c r="D1049" s="220" t="s">
        <v>29</v>
      </c>
      <c r="E1049" s="221" t="s">
        <v>99</v>
      </c>
      <c r="F1049" s="221" t="s">
        <v>1158</v>
      </c>
      <c r="G1049" s="226" t="s">
        <v>281</v>
      </c>
      <c r="H1049" s="222" t="s">
        <v>281</v>
      </c>
      <c r="I1049" s="222" t="s">
        <v>281</v>
      </c>
      <c r="J1049" s="222" t="s">
        <v>281</v>
      </c>
      <c r="K1049" s="222" t="s">
        <v>281</v>
      </c>
      <c r="L1049" s="222" t="s">
        <v>281</v>
      </c>
      <c r="M1049" s="222" t="s">
        <v>281</v>
      </c>
      <c r="N1049" s="222" t="s">
        <v>281</v>
      </c>
      <c r="O1049" s="223" t="s">
        <v>281</v>
      </c>
      <c r="P1049" s="223" t="s">
        <v>281</v>
      </c>
      <c r="Q1049" s="223" t="s">
        <v>281</v>
      </c>
      <c r="R1049" s="223" t="s">
        <v>281</v>
      </c>
      <c r="S1049" s="223" t="s">
        <v>281</v>
      </c>
      <c r="T1049" s="223" t="s">
        <v>281</v>
      </c>
      <c r="U1049" s="223" t="s">
        <v>281</v>
      </c>
      <c r="V1049" s="223" t="s">
        <v>281</v>
      </c>
      <c r="W1049" s="224" t="s">
        <v>281</v>
      </c>
      <c r="X1049" s="224" t="s">
        <v>281</v>
      </c>
      <c r="Y1049" s="225" t="s">
        <v>281</v>
      </c>
    </row>
    <row r="1050" spans="1:25">
      <c r="A1050" s="219">
        <v>20</v>
      </c>
      <c r="B1050" s="220" t="str">
        <f>VLOOKUP(Tabel10[[#This Row],[Code]],Ruimtegroepen[[Code]:[Ruimte omschrijving]],2,FALSE)</f>
        <v>Niet in Onderhoud</v>
      </c>
      <c r="C1050" s="221" t="s">
        <v>1156</v>
      </c>
      <c r="D1050" s="220" t="s">
        <v>29</v>
      </c>
      <c r="E1050" s="221" t="s">
        <v>101</v>
      </c>
      <c r="F1050" s="221" t="s">
        <v>1159</v>
      </c>
      <c r="G1050" s="226" t="s">
        <v>281</v>
      </c>
      <c r="H1050" s="222" t="s">
        <v>281</v>
      </c>
      <c r="I1050" s="222" t="s">
        <v>281</v>
      </c>
      <c r="J1050" s="222" t="s">
        <v>281</v>
      </c>
      <c r="K1050" s="222" t="s">
        <v>281</v>
      </c>
      <c r="L1050" s="222" t="s">
        <v>281</v>
      </c>
      <c r="M1050" s="222" t="s">
        <v>281</v>
      </c>
      <c r="N1050" s="222" t="s">
        <v>281</v>
      </c>
      <c r="O1050" s="223" t="s">
        <v>281</v>
      </c>
      <c r="P1050" s="223" t="s">
        <v>281</v>
      </c>
      <c r="Q1050" s="223" t="s">
        <v>281</v>
      </c>
      <c r="R1050" s="223" t="s">
        <v>281</v>
      </c>
      <c r="S1050" s="223" t="s">
        <v>281</v>
      </c>
      <c r="T1050" s="223" t="s">
        <v>281</v>
      </c>
      <c r="U1050" s="223" t="s">
        <v>281</v>
      </c>
      <c r="V1050" s="223" t="s">
        <v>281</v>
      </c>
      <c r="W1050" s="224" t="s">
        <v>281</v>
      </c>
      <c r="X1050" s="224" t="s">
        <v>281</v>
      </c>
      <c r="Y1050" s="225" t="s">
        <v>281</v>
      </c>
    </row>
    <row r="1051" spans="1:25">
      <c r="A1051" s="219">
        <v>20</v>
      </c>
      <c r="B1051" s="220" t="str">
        <f>VLOOKUP(Tabel10[[#This Row],[Code]],Ruimtegroepen[[Code]:[Ruimte omschrijving]],2,FALSE)</f>
        <v>Niet in Onderhoud</v>
      </c>
      <c r="C1051" s="221" t="s">
        <v>1156</v>
      </c>
      <c r="D1051" s="220" t="s">
        <v>29</v>
      </c>
      <c r="E1051" s="221" t="s">
        <v>102</v>
      </c>
      <c r="F1051" s="221" t="s">
        <v>1160</v>
      </c>
      <c r="G1051" s="226" t="s">
        <v>281</v>
      </c>
      <c r="H1051" s="222" t="s">
        <v>281</v>
      </c>
      <c r="I1051" s="222" t="s">
        <v>281</v>
      </c>
      <c r="J1051" s="222" t="s">
        <v>281</v>
      </c>
      <c r="K1051" s="222" t="s">
        <v>281</v>
      </c>
      <c r="L1051" s="222" t="s">
        <v>281</v>
      </c>
      <c r="M1051" s="222" t="s">
        <v>281</v>
      </c>
      <c r="N1051" s="222" t="s">
        <v>281</v>
      </c>
      <c r="O1051" s="223" t="s">
        <v>281</v>
      </c>
      <c r="P1051" s="223" t="s">
        <v>281</v>
      </c>
      <c r="Q1051" s="223" t="s">
        <v>281</v>
      </c>
      <c r="R1051" s="223" t="s">
        <v>281</v>
      </c>
      <c r="S1051" s="223" t="s">
        <v>281</v>
      </c>
      <c r="T1051" s="223" t="s">
        <v>281</v>
      </c>
      <c r="U1051" s="223" t="s">
        <v>281</v>
      </c>
      <c r="V1051" s="223" t="s">
        <v>281</v>
      </c>
      <c r="W1051" s="224" t="s">
        <v>281</v>
      </c>
      <c r="X1051" s="224" t="s">
        <v>281</v>
      </c>
      <c r="Y1051" s="225" t="s">
        <v>281</v>
      </c>
    </row>
    <row r="1052" spans="1:25">
      <c r="A1052" s="219">
        <v>20</v>
      </c>
      <c r="B1052" s="220" t="str">
        <f>VLOOKUP(Tabel10[[#This Row],[Code]],Ruimtegroepen[[Code]:[Ruimte omschrijving]],2,FALSE)</f>
        <v>Niet in Onderhoud</v>
      </c>
      <c r="C1052" s="221" t="s">
        <v>1156</v>
      </c>
      <c r="D1052" s="220" t="s">
        <v>29</v>
      </c>
      <c r="E1052" s="221" t="s">
        <v>99</v>
      </c>
      <c r="F1052" s="221" t="s">
        <v>1158</v>
      </c>
      <c r="G1052" s="226" t="s">
        <v>281</v>
      </c>
      <c r="H1052" s="222" t="s">
        <v>281</v>
      </c>
      <c r="I1052" s="222" t="s">
        <v>281</v>
      </c>
      <c r="J1052" s="222" t="s">
        <v>281</v>
      </c>
      <c r="K1052" s="222" t="s">
        <v>281</v>
      </c>
      <c r="L1052" s="222" t="s">
        <v>281</v>
      </c>
      <c r="M1052" s="222" t="s">
        <v>281</v>
      </c>
      <c r="N1052" s="222" t="s">
        <v>281</v>
      </c>
      <c r="O1052" s="223" t="s">
        <v>281</v>
      </c>
      <c r="P1052" s="223" t="s">
        <v>281</v>
      </c>
      <c r="Q1052" s="223" t="s">
        <v>281</v>
      </c>
      <c r="R1052" s="223" t="s">
        <v>281</v>
      </c>
      <c r="S1052" s="223" t="s">
        <v>281</v>
      </c>
      <c r="T1052" s="223" t="s">
        <v>281</v>
      </c>
      <c r="U1052" s="223" t="s">
        <v>281</v>
      </c>
      <c r="V1052" s="223" t="s">
        <v>281</v>
      </c>
      <c r="W1052" s="224" t="s">
        <v>281</v>
      </c>
      <c r="X1052" s="224" t="s">
        <v>281</v>
      </c>
      <c r="Y1052" s="225" t="s">
        <v>281</v>
      </c>
    </row>
    <row r="1053" spans="1:25">
      <c r="A1053" s="219">
        <v>20</v>
      </c>
      <c r="B1053" s="220" t="str">
        <f>VLOOKUP(Tabel10[[#This Row],[Code]],Ruimtegroepen[[Code]:[Ruimte omschrijving]],2,FALSE)</f>
        <v>Niet in Onderhoud</v>
      </c>
      <c r="C1053" s="221" t="s">
        <v>1156</v>
      </c>
      <c r="D1053" s="220" t="s">
        <v>29</v>
      </c>
      <c r="E1053" s="221" t="s">
        <v>1309</v>
      </c>
      <c r="F1053" s="221" t="s">
        <v>1327</v>
      </c>
      <c r="G1053" s="226" t="s">
        <v>281</v>
      </c>
      <c r="H1053" s="222" t="s">
        <v>281</v>
      </c>
      <c r="I1053" s="222" t="s">
        <v>281</v>
      </c>
      <c r="J1053" s="222" t="s">
        <v>281</v>
      </c>
      <c r="K1053" s="222" t="s">
        <v>281</v>
      </c>
      <c r="L1053" s="222" t="s">
        <v>281</v>
      </c>
      <c r="M1053" s="222" t="s">
        <v>281</v>
      </c>
      <c r="N1053" s="222" t="s">
        <v>281</v>
      </c>
      <c r="O1053" s="223" t="s">
        <v>281</v>
      </c>
      <c r="P1053" s="223" t="s">
        <v>281</v>
      </c>
      <c r="Q1053" s="223" t="s">
        <v>281</v>
      </c>
      <c r="R1053" s="223" t="s">
        <v>281</v>
      </c>
      <c r="S1053" s="223" t="s">
        <v>281</v>
      </c>
      <c r="T1053" s="223" t="s">
        <v>281</v>
      </c>
      <c r="U1053" s="223" t="s">
        <v>281</v>
      </c>
      <c r="V1053" s="223" t="s">
        <v>281</v>
      </c>
      <c r="W1053" s="224" t="s">
        <v>281</v>
      </c>
      <c r="X1053" s="224" t="s">
        <v>281</v>
      </c>
      <c r="Y1053" s="225" t="s">
        <v>281</v>
      </c>
    </row>
    <row r="1054" spans="1:25">
      <c r="A1054" s="219">
        <v>20</v>
      </c>
      <c r="B1054" s="220" t="str">
        <f>VLOOKUP(Tabel10[[#This Row],[Code]],Ruimtegroepen[[Code]:[Ruimte omschrijving]],2,FALSE)</f>
        <v>Niet in Onderhoud</v>
      </c>
      <c r="C1054" s="221" t="s">
        <v>1161</v>
      </c>
      <c r="D1054" s="220" t="s">
        <v>1</v>
      </c>
      <c r="E1054" s="221" t="s">
        <v>100</v>
      </c>
      <c r="F1054" s="221" t="s">
        <v>1162</v>
      </c>
      <c r="G1054" s="226" t="s">
        <v>281</v>
      </c>
      <c r="H1054" s="222" t="s">
        <v>281</v>
      </c>
      <c r="I1054" s="222" t="s">
        <v>281</v>
      </c>
      <c r="J1054" s="222" t="s">
        <v>281</v>
      </c>
      <c r="K1054" s="222" t="s">
        <v>281</v>
      </c>
      <c r="L1054" s="222" t="s">
        <v>281</v>
      </c>
      <c r="M1054" s="222" t="s">
        <v>281</v>
      </c>
      <c r="N1054" s="222" t="s">
        <v>281</v>
      </c>
      <c r="O1054" s="223" t="s">
        <v>281</v>
      </c>
      <c r="P1054" s="223" t="s">
        <v>281</v>
      </c>
      <c r="Q1054" s="223" t="s">
        <v>281</v>
      </c>
      <c r="R1054" s="223" t="s">
        <v>281</v>
      </c>
      <c r="S1054" s="223" t="s">
        <v>281</v>
      </c>
      <c r="T1054" s="223" t="s">
        <v>281</v>
      </c>
      <c r="U1054" s="223" t="s">
        <v>281</v>
      </c>
      <c r="V1054" s="223" t="s">
        <v>281</v>
      </c>
      <c r="W1054" s="224" t="s">
        <v>281</v>
      </c>
      <c r="X1054" s="224" t="s">
        <v>281</v>
      </c>
      <c r="Y1054" s="225" t="s">
        <v>281</v>
      </c>
    </row>
    <row r="1055" spans="1:25">
      <c r="A1055" s="219">
        <v>20</v>
      </c>
      <c r="B1055" s="220" t="str">
        <f>VLOOKUP(Tabel10[[#This Row],[Code]],Ruimtegroepen[[Code]:[Ruimte omschrijving]],2,FALSE)</f>
        <v>Niet in Onderhoud</v>
      </c>
      <c r="C1055" s="221" t="s">
        <v>1161</v>
      </c>
      <c r="D1055" s="220" t="s">
        <v>1</v>
      </c>
      <c r="E1055" s="221" t="s">
        <v>99</v>
      </c>
      <c r="F1055" s="221" t="s">
        <v>1163</v>
      </c>
      <c r="G1055" s="226" t="s">
        <v>281</v>
      </c>
      <c r="H1055" s="222" t="s">
        <v>281</v>
      </c>
      <c r="I1055" s="222" t="s">
        <v>281</v>
      </c>
      <c r="J1055" s="222" t="s">
        <v>281</v>
      </c>
      <c r="K1055" s="222" t="s">
        <v>281</v>
      </c>
      <c r="L1055" s="222" t="s">
        <v>281</v>
      </c>
      <c r="M1055" s="222" t="s">
        <v>281</v>
      </c>
      <c r="N1055" s="222" t="s">
        <v>281</v>
      </c>
      <c r="O1055" s="223" t="s">
        <v>281</v>
      </c>
      <c r="P1055" s="223" t="s">
        <v>281</v>
      </c>
      <c r="Q1055" s="223" t="s">
        <v>281</v>
      </c>
      <c r="R1055" s="223" t="s">
        <v>281</v>
      </c>
      <c r="S1055" s="223" t="s">
        <v>281</v>
      </c>
      <c r="T1055" s="223" t="s">
        <v>281</v>
      </c>
      <c r="U1055" s="223" t="s">
        <v>281</v>
      </c>
      <c r="V1055" s="223" t="s">
        <v>281</v>
      </c>
      <c r="W1055" s="224" t="s">
        <v>281</v>
      </c>
      <c r="X1055" s="224" t="s">
        <v>281</v>
      </c>
      <c r="Y1055" s="225" t="s">
        <v>281</v>
      </c>
    </row>
    <row r="1056" spans="1:25">
      <c r="A1056" s="219">
        <v>20</v>
      </c>
      <c r="B1056" s="220" t="str">
        <f>VLOOKUP(Tabel10[[#This Row],[Code]],Ruimtegroepen[[Code]:[Ruimte omschrijving]],2,FALSE)</f>
        <v>Niet in Onderhoud</v>
      </c>
      <c r="C1056" s="221" t="s">
        <v>1161</v>
      </c>
      <c r="D1056" s="220" t="s">
        <v>1</v>
      </c>
      <c r="E1056" s="221" t="s">
        <v>101</v>
      </c>
      <c r="F1056" s="221" t="s">
        <v>1164</v>
      </c>
      <c r="G1056" s="226" t="s">
        <v>281</v>
      </c>
      <c r="H1056" s="222" t="s">
        <v>281</v>
      </c>
      <c r="I1056" s="222" t="s">
        <v>281</v>
      </c>
      <c r="J1056" s="222" t="s">
        <v>281</v>
      </c>
      <c r="K1056" s="222" t="s">
        <v>281</v>
      </c>
      <c r="L1056" s="222" t="s">
        <v>281</v>
      </c>
      <c r="M1056" s="222" t="s">
        <v>281</v>
      </c>
      <c r="N1056" s="222" t="s">
        <v>281</v>
      </c>
      <c r="O1056" s="223" t="s">
        <v>281</v>
      </c>
      <c r="P1056" s="223" t="s">
        <v>281</v>
      </c>
      <c r="Q1056" s="223" t="s">
        <v>281</v>
      </c>
      <c r="R1056" s="223" t="s">
        <v>281</v>
      </c>
      <c r="S1056" s="223" t="s">
        <v>281</v>
      </c>
      <c r="T1056" s="223" t="s">
        <v>281</v>
      </c>
      <c r="U1056" s="223" t="s">
        <v>281</v>
      </c>
      <c r="V1056" s="223" t="s">
        <v>281</v>
      </c>
      <c r="W1056" s="224" t="s">
        <v>281</v>
      </c>
      <c r="X1056" s="224" t="s">
        <v>281</v>
      </c>
      <c r="Y1056" s="225" t="s">
        <v>281</v>
      </c>
    </row>
    <row r="1057" spans="1:25">
      <c r="A1057" s="219">
        <v>20</v>
      </c>
      <c r="B1057" s="220" t="str">
        <f>VLOOKUP(Tabel10[[#This Row],[Code]],Ruimtegroepen[[Code]:[Ruimte omschrijving]],2,FALSE)</f>
        <v>Niet in Onderhoud</v>
      </c>
      <c r="C1057" s="221" t="s">
        <v>1161</v>
      </c>
      <c r="D1057" s="220" t="s">
        <v>1</v>
      </c>
      <c r="E1057" s="221" t="s">
        <v>102</v>
      </c>
      <c r="F1057" s="221" t="s">
        <v>1165</v>
      </c>
      <c r="G1057" s="226" t="s">
        <v>281</v>
      </c>
      <c r="H1057" s="222" t="s">
        <v>281</v>
      </c>
      <c r="I1057" s="222" t="s">
        <v>281</v>
      </c>
      <c r="J1057" s="222" t="s">
        <v>281</v>
      </c>
      <c r="K1057" s="222" t="s">
        <v>281</v>
      </c>
      <c r="L1057" s="222" t="s">
        <v>281</v>
      </c>
      <c r="M1057" s="222" t="s">
        <v>281</v>
      </c>
      <c r="N1057" s="222" t="s">
        <v>281</v>
      </c>
      <c r="O1057" s="223" t="s">
        <v>281</v>
      </c>
      <c r="P1057" s="223" t="s">
        <v>281</v>
      </c>
      <c r="Q1057" s="223" t="s">
        <v>281</v>
      </c>
      <c r="R1057" s="223" t="s">
        <v>281</v>
      </c>
      <c r="S1057" s="223" t="s">
        <v>281</v>
      </c>
      <c r="T1057" s="223" t="s">
        <v>281</v>
      </c>
      <c r="U1057" s="223" t="s">
        <v>281</v>
      </c>
      <c r="V1057" s="223" t="s">
        <v>281</v>
      </c>
      <c r="W1057" s="224" t="s">
        <v>281</v>
      </c>
      <c r="X1057" s="224" t="s">
        <v>281</v>
      </c>
      <c r="Y1057" s="225" t="s">
        <v>281</v>
      </c>
    </row>
    <row r="1058" spans="1:25">
      <c r="A1058" s="219">
        <v>20</v>
      </c>
      <c r="B1058" s="220" t="str">
        <f>VLOOKUP(Tabel10[[#This Row],[Code]],Ruimtegroepen[[Code]:[Ruimte omschrijving]],2,FALSE)</f>
        <v>Niet in Onderhoud</v>
      </c>
      <c r="C1058" s="221" t="s">
        <v>1161</v>
      </c>
      <c r="D1058" s="220" t="s">
        <v>1</v>
      </c>
      <c r="E1058" s="221" t="s">
        <v>99</v>
      </c>
      <c r="F1058" s="221" t="s">
        <v>1163</v>
      </c>
      <c r="G1058" s="226" t="s">
        <v>281</v>
      </c>
      <c r="H1058" s="222" t="s">
        <v>281</v>
      </c>
      <c r="I1058" s="222" t="s">
        <v>281</v>
      </c>
      <c r="J1058" s="222" t="s">
        <v>281</v>
      </c>
      <c r="K1058" s="222" t="s">
        <v>281</v>
      </c>
      <c r="L1058" s="222" t="s">
        <v>281</v>
      </c>
      <c r="M1058" s="222" t="s">
        <v>281</v>
      </c>
      <c r="N1058" s="222" t="s">
        <v>281</v>
      </c>
      <c r="O1058" s="223" t="s">
        <v>281</v>
      </c>
      <c r="P1058" s="223" t="s">
        <v>281</v>
      </c>
      <c r="Q1058" s="223" t="s">
        <v>281</v>
      </c>
      <c r="R1058" s="223" t="s">
        <v>281</v>
      </c>
      <c r="S1058" s="223" t="s">
        <v>281</v>
      </c>
      <c r="T1058" s="223" t="s">
        <v>281</v>
      </c>
      <c r="U1058" s="223" t="s">
        <v>281</v>
      </c>
      <c r="V1058" s="223" t="s">
        <v>281</v>
      </c>
      <c r="W1058" s="224" t="s">
        <v>281</v>
      </c>
      <c r="X1058" s="224" t="s">
        <v>281</v>
      </c>
      <c r="Y1058" s="225" t="s">
        <v>281</v>
      </c>
    </row>
    <row r="1059" spans="1:25">
      <c r="A1059" s="219">
        <v>20</v>
      </c>
      <c r="B1059" s="220" t="str">
        <f>VLOOKUP(Tabel10[[#This Row],[Code]],Ruimtegroepen[[Code]:[Ruimte omschrijving]],2,FALSE)</f>
        <v>Niet in Onderhoud</v>
      </c>
      <c r="C1059" s="221" t="s">
        <v>1161</v>
      </c>
      <c r="D1059" s="220" t="s">
        <v>1</v>
      </c>
      <c r="E1059" s="221" t="s">
        <v>1309</v>
      </c>
      <c r="F1059" s="221" t="s">
        <v>1326</v>
      </c>
      <c r="G1059" s="226" t="s">
        <v>281</v>
      </c>
      <c r="H1059" s="222" t="s">
        <v>281</v>
      </c>
      <c r="I1059" s="222" t="s">
        <v>281</v>
      </c>
      <c r="J1059" s="222" t="s">
        <v>281</v>
      </c>
      <c r="K1059" s="222" t="s">
        <v>281</v>
      </c>
      <c r="L1059" s="222" t="s">
        <v>281</v>
      </c>
      <c r="M1059" s="222" t="s">
        <v>281</v>
      </c>
      <c r="N1059" s="222" t="s">
        <v>281</v>
      </c>
      <c r="O1059" s="223" t="s">
        <v>281</v>
      </c>
      <c r="P1059" s="223" t="s">
        <v>281</v>
      </c>
      <c r="Q1059" s="223" t="s">
        <v>281</v>
      </c>
      <c r="R1059" s="223" t="s">
        <v>281</v>
      </c>
      <c r="S1059" s="223" t="s">
        <v>281</v>
      </c>
      <c r="T1059" s="223" t="s">
        <v>281</v>
      </c>
      <c r="U1059" s="223" t="s">
        <v>281</v>
      </c>
      <c r="V1059" s="223" t="s">
        <v>281</v>
      </c>
      <c r="W1059" s="224" t="s">
        <v>281</v>
      </c>
      <c r="X1059" s="224" t="s">
        <v>281</v>
      </c>
      <c r="Y1059" s="225" t="s">
        <v>281</v>
      </c>
    </row>
    <row r="1060" spans="1:25">
      <c r="A1060" s="219">
        <v>20</v>
      </c>
      <c r="B1060" s="220" t="str">
        <f>VLOOKUP(Tabel10[[#This Row],[Code]],Ruimtegroepen[[Code]:[Ruimte omschrijving]],2,FALSE)</f>
        <v>Niet in Onderhoud</v>
      </c>
      <c r="C1060" s="221" t="s">
        <v>1166</v>
      </c>
      <c r="D1060" s="220" t="s">
        <v>21</v>
      </c>
      <c r="E1060" s="221" t="s">
        <v>100</v>
      </c>
      <c r="F1060" s="221" t="s">
        <v>1167</v>
      </c>
      <c r="G1060" s="226" t="s">
        <v>281</v>
      </c>
      <c r="H1060" s="222" t="s">
        <v>281</v>
      </c>
      <c r="I1060" s="222" t="s">
        <v>281</v>
      </c>
      <c r="J1060" s="222" t="s">
        <v>281</v>
      </c>
      <c r="K1060" s="222" t="s">
        <v>281</v>
      </c>
      <c r="L1060" s="222" t="s">
        <v>281</v>
      </c>
      <c r="M1060" s="222" t="s">
        <v>281</v>
      </c>
      <c r="N1060" s="222" t="s">
        <v>281</v>
      </c>
      <c r="O1060" s="223" t="s">
        <v>281</v>
      </c>
      <c r="P1060" s="223" t="s">
        <v>281</v>
      </c>
      <c r="Q1060" s="223" t="s">
        <v>281</v>
      </c>
      <c r="R1060" s="223" t="s">
        <v>281</v>
      </c>
      <c r="S1060" s="223" t="s">
        <v>281</v>
      </c>
      <c r="T1060" s="223" t="s">
        <v>281</v>
      </c>
      <c r="U1060" s="223" t="s">
        <v>281</v>
      </c>
      <c r="V1060" s="223" t="s">
        <v>281</v>
      </c>
      <c r="W1060" s="224" t="s">
        <v>281</v>
      </c>
      <c r="X1060" s="224" t="s">
        <v>281</v>
      </c>
      <c r="Y1060" s="225" t="s">
        <v>281</v>
      </c>
    </row>
    <row r="1061" spans="1:25">
      <c r="A1061" s="219">
        <v>20</v>
      </c>
      <c r="B1061" s="220" t="str">
        <f>VLOOKUP(Tabel10[[#This Row],[Code]],Ruimtegroepen[[Code]:[Ruimte omschrijving]],2,FALSE)</f>
        <v>Niet in Onderhoud</v>
      </c>
      <c r="C1061" s="221" t="s">
        <v>1166</v>
      </c>
      <c r="D1061" s="220" t="s">
        <v>21</v>
      </c>
      <c r="E1061" s="221" t="s">
        <v>99</v>
      </c>
      <c r="F1061" s="221" t="s">
        <v>1168</v>
      </c>
      <c r="G1061" s="226" t="s">
        <v>281</v>
      </c>
      <c r="H1061" s="222" t="s">
        <v>281</v>
      </c>
      <c r="I1061" s="222" t="s">
        <v>281</v>
      </c>
      <c r="J1061" s="222" t="s">
        <v>281</v>
      </c>
      <c r="K1061" s="222" t="s">
        <v>281</v>
      </c>
      <c r="L1061" s="222" t="s">
        <v>281</v>
      </c>
      <c r="M1061" s="222" t="s">
        <v>281</v>
      </c>
      <c r="N1061" s="222" t="s">
        <v>281</v>
      </c>
      <c r="O1061" s="223" t="s">
        <v>281</v>
      </c>
      <c r="P1061" s="223" t="s">
        <v>281</v>
      </c>
      <c r="Q1061" s="223" t="s">
        <v>281</v>
      </c>
      <c r="R1061" s="223" t="s">
        <v>281</v>
      </c>
      <c r="S1061" s="223" t="s">
        <v>281</v>
      </c>
      <c r="T1061" s="223" t="s">
        <v>281</v>
      </c>
      <c r="U1061" s="223" t="s">
        <v>281</v>
      </c>
      <c r="V1061" s="223" t="s">
        <v>281</v>
      </c>
      <c r="W1061" s="224" t="s">
        <v>281</v>
      </c>
      <c r="X1061" s="224" t="s">
        <v>281</v>
      </c>
      <c r="Y1061" s="225" t="s">
        <v>281</v>
      </c>
    </row>
    <row r="1062" spans="1:25">
      <c r="A1062" s="219">
        <v>20</v>
      </c>
      <c r="B1062" s="220" t="str">
        <f>VLOOKUP(Tabel10[[#This Row],[Code]],Ruimtegroepen[[Code]:[Ruimte omschrijving]],2,FALSE)</f>
        <v>Niet in Onderhoud</v>
      </c>
      <c r="C1062" s="221" t="s">
        <v>1166</v>
      </c>
      <c r="D1062" s="220" t="s">
        <v>21</v>
      </c>
      <c r="E1062" s="221" t="s">
        <v>101</v>
      </c>
      <c r="F1062" s="221" t="s">
        <v>1169</v>
      </c>
      <c r="G1062" s="226" t="s">
        <v>281</v>
      </c>
      <c r="H1062" s="222" t="s">
        <v>281</v>
      </c>
      <c r="I1062" s="222" t="s">
        <v>281</v>
      </c>
      <c r="J1062" s="222" t="s">
        <v>281</v>
      </c>
      <c r="K1062" s="222" t="s">
        <v>281</v>
      </c>
      <c r="L1062" s="222" t="s">
        <v>281</v>
      </c>
      <c r="M1062" s="222" t="s">
        <v>281</v>
      </c>
      <c r="N1062" s="222" t="s">
        <v>281</v>
      </c>
      <c r="O1062" s="223" t="s">
        <v>281</v>
      </c>
      <c r="P1062" s="223" t="s">
        <v>281</v>
      </c>
      <c r="Q1062" s="223" t="s">
        <v>281</v>
      </c>
      <c r="R1062" s="223" t="s">
        <v>281</v>
      </c>
      <c r="S1062" s="223" t="s">
        <v>281</v>
      </c>
      <c r="T1062" s="223" t="s">
        <v>281</v>
      </c>
      <c r="U1062" s="223" t="s">
        <v>281</v>
      </c>
      <c r="V1062" s="223" t="s">
        <v>281</v>
      </c>
      <c r="W1062" s="224" t="s">
        <v>281</v>
      </c>
      <c r="X1062" s="224" t="s">
        <v>281</v>
      </c>
      <c r="Y1062" s="225" t="s">
        <v>281</v>
      </c>
    </row>
    <row r="1063" spans="1:25">
      <c r="A1063" s="219">
        <v>20</v>
      </c>
      <c r="B1063" s="220" t="str">
        <f>VLOOKUP(Tabel10[[#This Row],[Code]],Ruimtegroepen[[Code]:[Ruimte omschrijving]],2,FALSE)</f>
        <v>Niet in Onderhoud</v>
      </c>
      <c r="C1063" s="221" t="s">
        <v>1166</v>
      </c>
      <c r="D1063" s="220" t="s">
        <v>21</v>
      </c>
      <c r="E1063" s="221" t="s">
        <v>102</v>
      </c>
      <c r="F1063" s="221" t="s">
        <v>1170</v>
      </c>
      <c r="G1063" s="226" t="s">
        <v>281</v>
      </c>
      <c r="H1063" s="222" t="s">
        <v>281</v>
      </c>
      <c r="I1063" s="222" t="s">
        <v>281</v>
      </c>
      <c r="J1063" s="222" t="s">
        <v>281</v>
      </c>
      <c r="K1063" s="222" t="s">
        <v>281</v>
      </c>
      <c r="L1063" s="222" t="s">
        <v>281</v>
      </c>
      <c r="M1063" s="222" t="s">
        <v>281</v>
      </c>
      <c r="N1063" s="222" t="s">
        <v>281</v>
      </c>
      <c r="O1063" s="223" t="s">
        <v>281</v>
      </c>
      <c r="P1063" s="223" t="s">
        <v>281</v>
      </c>
      <c r="Q1063" s="223" t="s">
        <v>281</v>
      </c>
      <c r="R1063" s="223" t="s">
        <v>281</v>
      </c>
      <c r="S1063" s="223" t="s">
        <v>281</v>
      </c>
      <c r="T1063" s="223" t="s">
        <v>281</v>
      </c>
      <c r="U1063" s="223" t="s">
        <v>281</v>
      </c>
      <c r="V1063" s="223" t="s">
        <v>281</v>
      </c>
      <c r="W1063" s="224" t="s">
        <v>281</v>
      </c>
      <c r="X1063" s="224" t="s">
        <v>281</v>
      </c>
      <c r="Y1063" s="225" t="s">
        <v>281</v>
      </c>
    </row>
    <row r="1064" spans="1:25">
      <c r="A1064" s="219">
        <v>20</v>
      </c>
      <c r="B1064" s="220" t="str">
        <f>VLOOKUP(Tabel10[[#This Row],[Code]],Ruimtegroepen[[Code]:[Ruimte omschrijving]],2,FALSE)</f>
        <v>Niet in Onderhoud</v>
      </c>
      <c r="C1064" s="221" t="s">
        <v>1166</v>
      </c>
      <c r="D1064" s="220" t="s">
        <v>21</v>
      </c>
      <c r="E1064" s="221" t="s">
        <v>99</v>
      </c>
      <c r="F1064" s="221" t="s">
        <v>1168</v>
      </c>
      <c r="G1064" s="226" t="s">
        <v>281</v>
      </c>
      <c r="H1064" s="222" t="s">
        <v>281</v>
      </c>
      <c r="I1064" s="222" t="s">
        <v>281</v>
      </c>
      <c r="J1064" s="222" t="s">
        <v>281</v>
      </c>
      <c r="K1064" s="222" t="s">
        <v>281</v>
      </c>
      <c r="L1064" s="222" t="s">
        <v>281</v>
      </c>
      <c r="M1064" s="222" t="s">
        <v>281</v>
      </c>
      <c r="N1064" s="222" t="s">
        <v>281</v>
      </c>
      <c r="O1064" s="223" t="s">
        <v>281</v>
      </c>
      <c r="P1064" s="223" t="s">
        <v>281</v>
      </c>
      <c r="Q1064" s="223" t="s">
        <v>281</v>
      </c>
      <c r="R1064" s="223" t="s">
        <v>281</v>
      </c>
      <c r="S1064" s="223" t="s">
        <v>281</v>
      </c>
      <c r="T1064" s="223" t="s">
        <v>281</v>
      </c>
      <c r="U1064" s="223" t="s">
        <v>281</v>
      </c>
      <c r="V1064" s="223" t="s">
        <v>281</v>
      </c>
      <c r="W1064" s="224" t="s">
        <v>281</v>
      </c>
      <c r="X1064" s="224" t="s">
        <v>281</v>
      </c>
      <c r="Y1064" s="225" t="s">
        <v>281</v>
      </c>
    </row>
    <row r="1065" spans="1:25">
      <c r="A1065" s="219">
        <v>20</v>
      </c>
      <c r="B1065" s="220" t="str">
        <f>VLOOKUP(Tabel10[[#This Row],[Code]],Ruimtegroepen[[Code]:[Ruimte omschrijving]],2,FALSE)</f>
        <v>Niet in Onderhoud</v>
      </c>
      <c r="C1065" s="221" t="s">
        <v>1166</v>
      </c>
      <c r="D1065" s="220" t="s">
        <v>21</v>
      </c>
      <c r="E1065" s="221" t="s">
        <v>1309</v>
      </c>
      <c r="F1065" s="221" t="s">
        <v>1325</v>
      </c>
      <c r="G1065" s="226" t="s">
        <v>281</v>
      </c>
      <c r="H1065" s="222" t="s">
        <v>281</v>
      </c>
      <c r="I1065" s="222" t="s">
        <v>281</v>
      </c>
      <c r="J1065" s="222" t="s">
        <v>281</v>
      </c>
      <c r="K1065" s="222" t="s">
        <v>281</v>
      </c>
      <c r="L1065" s="222" t="s">
        <v>281</v>
      </c>
      <c r="M1065" s="222" t="s">
        <v>281</v>
      </c>
      <c r="N1065" s="222" t="s">
        <v>281</v>
      </c>
      <c r="O1065" s="223" t="s">
        <v>281</v>
      </c>
      <c r="P1065" s="223" t="s">
        <v>281</v>
      </c>
      <c r="Q1065" s="223" t="s">
        <v>281</v>
      </c>
      <c r="R1065" s="223" t="s">
        <v>281</v>
      </c>
      <c r="S1065" s="223" t="s">
        <v>281</v>
      </c>
      <c r="T1065" s="223" t="s">
        <v>281</v>
      </c>
      <c r="U1065" s="223" t="s">
        <v>281</v>
      </c>
      <c r="V1065" s="223" t="s">
        <v>281</v>
      </c>
      <c r="W1065" s="224" t="s">
        <v>281</v>
      </c>
      <c r="X1065" s="224" t="s">
        <v>281</v>
      </c>
      <c r="Y1065" s="225" t="s">
        <v>281</v>
      </c>
    </row>
    <row r="1066" spans="1:25">
      <c r="A1066" s="219">
        <v>20</v>
      </c>
      <c r="B1066" s="220" t="str">
        <f>VLOOKUP(Tabel10[[#This Row],[Code]],Ruimtegroepen[[Code]:[Ruimte omschrijving]],2,FALSE)</f>
        <v>Niet in Onderhoud</v>
      </c>
      <c r="C1066" s="221" t="s">
        <v>1171</v>
      </c>
      <c r="D1066" s="220" t="s">
        <v>12</v>
      </c>
      <c r="E1066" s="221" t="s">
        <v>100</v>
      </c>
      <c r="F1066" s="221" t="s">
        <v>1172</v>
      </c>
      <c r="G1066" s="226" t="s">
        <v>281</v>
      </c>
      <c r="H1066" s="222" t="s">
        <v>281</v>
      </c>
      <c r="I1066" s="222" t="s">
        <v>281</v>
      </c>
      <c r="J1066" s="222" t="s">
        <v>281</v>
      </c>
      <c r="K1066" s="222" t="s">
        <v>281</v>
      </c>
      <c r="L1066" s="222" t="s">
        <v>281</v>
      </c>
      <c r="M1066" s="222" t="s">
        <v>281</v>
      </c>
      <c r="N1066" s="222" t="s">
        <v>281</v>
      </c>
      <c r="O1066" s="223" t="s">
        <v>281</v>
      </c>
      <c r="P1066" s="223" t="s">
        <v>281</v>
      </c>
      <c r="Q1066" s="223" t="s">
        <v>281</v>
      </c>
      <c r="R1066" s="223" t="s">
        <v>281</v>
      </c>
      <c r="S1066" s="223" t="s">
        <v>281</v>
      </c>
      <c r="T1066" s="223" t="s">
        <v>281</v>
      </c>
      <c r="U1066" s="223" t="s">
        <v>281</v>
      </c>
      <c r="V1066" s="223" t="s">
        <v>281</v>
      </c>
      <c r="W1066" s="224" t="s">
        <v>281</v>
      </c>
      <c r="X1066" s="224" t="s">
        <v>281</v>
      </c>
      <c r="Y1066" s="225" t="s">
        <v>281</v>
      </c>
    </row>
    <row r="1067" spans="1:25">
      <c r="A1067" s="219">
        <v>20</v>
      </c>
      <c r="B1067" s="220" t="str">
        <f>VLOOKUP(Tabel10[[#This Row],[Code]],Ruimtegroepen[[Code]:[Ruimte omschrijving]],2,FALSE)</f>
        <v>Niet in Onderhoud</v>
      </c>
      <c r="C1067" s="221" t="s">
        <v>1171</v>
      </c>
      <c r="D1067" s="220" t="s">
        <v>12</v>
      </c>
      <c r="E1067" s="221" t="s">
        <v>99</v>
      </c>
      <c r="F1067" s="221" t="s">
        <v>1173</v>
      </c>
      <c r="G1067" s="226" t="s">
        <v>281</v>
      </c>
      <c r="H1067" s="222" t="s">
        <v>281</v>
      </c>
      <c r="I1067" s="222" t="s">
        <v>281</v>
      </c>
      <c r="J1067" s="222" t="s">
        <v>281</v>
      </c>
      <c r="K1067" s="222" t="s">
        <v>281</v>
      </c>
      <c r="L1067" s="222" t="s">
        <v>281</v>
      </c>
      <c r="M1067" s="222" t="s">
        <v>281</v>
      </c>
      <c r="N1067" s="222" t="s">
        <v>281</v>
      </c>
      <c r="O1067" s="223" t="s">
        <v>281</v>
      </c>
      <c r="P1067" s="223" t="s">
        <v>281</v>
      </c>
      <c r="Q1067" s="223" t="s">
        <v>281</v>
      </c>
      <c r="R1067" s="223" t="s">
        <v>281</v>
      </c>
      <c r="S1067" s="223" t="s">
        <v>281</v>
      </c>
      <c r="T1067" s="223" t="s">
        <v>281</v>
      </c>
      <c r="U1067" s="223" t="s">
        <v>281</v>
      </c>
      <c r="V1067" s="223" t="s">
        <v>281</v>
      </c>
      <c r="W1067" s="224" t="s">
        <v>281</v>
      </c>
      <c r="X1067" s="224" t="s">
        <v>281</v>
      </c>
      <c r="Y1067" s="225" t="s">
        <v>281</v>
      </c>
    </row>
    <row r="1068" spans="1:25">
      <c r="A1068" s="219">
        <v>20</v>
      </c>
      <c r="B1068" s="220" t="str">
        <f>VLOOKUP(Tabel10[[#This Row],[Code]],Ruimtegroepen[[Code]:[Ruimte omschrijving]],2,FALSE)</f>
        <v>Niet in Onderhoud</v>
      </c>
      <c r="C1068" s="221" t="s">
        <v>1171</v>
      </c>
      <c r="D1068" s="220" t="s">
        <v>12</v>
      </c>
      <c r="E1068" s="221" t="s">
        <v>101</v>
      </c>
      <c r="F1068" s="221" t="s">
        <v>1174</v>
      </c>
      <c r="G1068" s="226" t="s">
        <v>281</v>
      </c>
      <c r="H1068" s="222" t="s">
        <v>281</v>
      </c>
      <c r="I1068" s="222" t="s">
        <v>281</v>
      </c>
      <c r="J1068" s="222" t="s">
        <v>281</v>
      </c>
      <c r="K1068" s="222" t="s">
        <v>281</v>
      </c>
      <c r="L1068" s="222" t="s">
        <v>281</v>
      </c>
      <c r="M1068" s="222" t="s">
        <v>281</v>
      </c>
      <c r="N1068" s="222" t="s">
        <v>281</v>
      </c>
      <c r="O1068" s="223" t="s">
        <v>281</v>
      </c>
      <c r="P1068" s="223" t="s">
        <v>281</v>
      </c>
      <c r="Q1068" s="223" t="s">
        <v>281</v>
      </c>
      <c r="R1068" s="223" t="s">
        <v>281</v>
      </c>
      <c r="S1068" s="223" t="s">
        <v>281</v>
      </c>
      <c r="T1068" s="223" t="s">
        <v>281</v>
      </c>
      <c r="U1068" s="223" t="s">
        <v>281</v>
      </c>
      <c r="V1068" s="223" t="s">
        <v>281</v>
      </c>
      <c r="W1068" s="224" t="s">
        <v>281</v>
      </c>
      <c r="X1068" s="224" t="s">
        <v>281</v>
      </c>
      <c r="Y1068" s="225" t="s">
        <v>281</v>
      </c>
    </row>
    <row r="1069" spans="1:25">
      <c r="A1069" s="219">
        <v>20</v>
      </c>
      <c r="B1069" s="220" t="str">
        <f>VLOOKUP(Tabel10[[#This Row],[Code]],Ruimtegroepen[[Code]:[Ruimte omschrijving]],2,FALSE)</f>
        <v>Niet in Onderhoud</v>
      </c>
      <c r="C1069" s="221" t="s">
        <v>1171</v>
      </c>
      <c r="D1069" s="220" t="s">
        <v>12</v>
      </c>
      <c r="E1069" s="221" t="s">
        <v>102</v>
      </c>
      <c r="F1069" s="221" t="s">
        <v>1175</v>
      </c>
      <c r="G1069" s="226" t="s">
        <v>281</v>
      </c>
      <c r="H1069" s="222" t="s">
        <v>281</v>
      </c>
      <c r="I1069" s="222" t="s">
        <v>281</v>
      </c>
      <c r="J1069" s="222" t="s">
        <v>281</v>
      </c>
      <c r="K1069" s="222" t="s">
        <v>281</v>
      </c>
      <c r="L1069" s="222" t="s">
        <v>281</v>
      </c>
      <c r="M1069" s="222" t="s">
        <v>281</v>
      </c>
      <c r="N1069" s="222" t="s">
        <v>281</v>
      </c>
      <c r="O1069" s="223" t="s">
        <v>281</v>
      </c>
      <c r="P1069" s="223" t="s">
        <v>281</v>
      </c>
      <c r="Q1069" s="223" t="s">
        <v>281</v>
      </c>
      <c r="R1069" s="223" t="s">
        <v>281</v>
      </c>
      <c r="S1069" s="223" t="s">
        <v>281</v>
      </c>
      <c r="T1069" s="223" t="s">
        <v>281</v>
      </c>
      <c r="U1069" s="223" t="s">
        <v>281</v>
      </c>
      <c r="V1069" s="223" t="s">
        <v>281</v>
      </c>
      <c r="W1069" s="224" t="s">
        <v>281</v>
      </c>
      <c r="X1069" s="224" t="s">
        <v>281</v>
      </c>
      <c r="Y1069" s="225" t="s">
        <v>281</v>
      </c>
    </row>
    <row r="1070" spans="1:25">
      <c r="A1070" s="219">
        <v>20</v>
      </c>
      <c r="B1070" s="220" t="str">
        <f>VLOOKUP(Tabel10[[#This Row],[Code]],Ruimtegroepen[[Code]:[Ruimte omschrijving]],2,FALSE)</f>
        <v>Niet in Onderhoud</v>
      </c>
      <c r="C1070" s="221" t="s">
        <v>1171</v>
      </c>
      <c r="D1070" s="220" t="s">
        <v>12</v>
      </c>
      <c r="E1070" s="221" t="s">
        <v>99</v>
      </c>
      <c r="F1070" s="221" t="s">
        <v>1173</v>
      </c>
      <c r="G1070" s="226" t="s">
        <v>281</v>
      </c>
      <c r="H1070" s="222" t="s">
        <v>281</v>
      </c>
      <c r="I1070" s="222" t="s">
        <v>281</v>
      </c>
      <c r="J1070" s="222" t="s">
        <v>281</v>
      </c>
      <c r="K1070" s="222" t="s">
        <v>281</v>
      </c>
      <c r="L1070" s="222" t="s">
        <v>281</v>
      </c>
      <c r="M1070" s="222" t="s">
        <v>281</v>
      </c>
      <c r="N1070" s="222" t="s">
        <v>281</v>
      </c>
      <c r="O1070" s="223" t="s">
        <v>281</v>
      </c>
      <c r="P1070" s="223" t="s">
        <v>281</v>
      </c>
      <c r="Q1070" s="223" t="s">
        <v>281</v>
      </c>
      <c r="R1070" s="223" t="s">
        <v>281</v>
      </c>
      <c r="S1070" s="223" t="s">
        <v>281</v>
      </c>
      <c r="T1070" s="223" t="s">
        <v>281</v>
      </c>
      <c r="U1070" s="223" t="s">
        <v>281</v>
      </c>
      <c r="V1070" s="223" t="s">
        <v>281</v>
      </c>
      <c r="W1070" s="224" t="s">
        <v>281</v>
      </c>
      <c r="X1070" s="224" t="s">
        <v>281</v>
      </c>
      <c r="Y1070" s="225" t="s">
        <v>281</v>
      </c>
    </row>
    <row r="1071" spans="1:25">
      <c r="A1071" s="219">
        <v>20</v>
      </c>
      <c r="B1071" s="220" t="str">
        <f>VLOOKUP(Tabel10[[#This Row],[Code]],Ruimtegroepen[[Code]:[Ruimte omschrijving]],2,FALSE)</f>
        <v>Niet in Onderhoud</v>
      </c>
      <c r="C1071" s="221" t="s">
        <v>1171</v>
      </c>
      <c r="D1071" s="220" t="s">
        <v>12</v>
      </c>
      <c r="E1071" s="221" t="s">
        <v>1309</v>
      </c>
      <c r="F1071" s="221" t="s">
        <v>1324</v>
      </c>
      <c r="G1071" s="226" t="s">
        <v>281</v>
      </c>
      <c r="H1071" s="222" t="s">
        <v>281</v>
      </c>
      <c r="I1071" s="222" t="s">
        <v>281</v>
      </c>
      <c r="J1071" s="222" t="s">
        <v>281</v>
      </c>
      <c r="K1071" s="222" t="s">
        <v>281</v>
      </c>
      <c r="L1071" s="222" t="s">
        <v>281</v>
      </c>
      <c r="M1071" s="222" t="s">
        <v>281</v>
      </c>
      <c r="N1071" s="222" t="s">
        <v>281</v>
      </c>
      <c r="O1071" s="223" t="s">
        <v>281</v>
      </c>
      <c r="P1071" s="223" t="s">
        <v>281</v>
      </c>
      <c r="Q1071" s="223" t="s">
        <v>281</v>
      </c>
      <c r="R1071" s="223" t="s">
        <v>281</v>
      </c>
      <c r="S1071" s="223" t="s">
        <v>281</v>
      </c>
      <c r="T1071" s="223" t="s">
        <v>281</v>
      </c>
      <c r="U1071" s="223" t="s">
        <v>281</v>
      </c>
      <c r="V1071" s="223" t="s">
        <v>281</v>
      </c>
      <c r="W1071" s="224" t="s">
        <v>281</v>
      </c>
      <c r="X1071" s="224" t="s">
        <v>281</v>
      </c>
      <c r="Y1071" s="225" t="s">
        <v>281</v>
      </c>
    </row>
    <row r="1072" spans="1:25">
      <c r="A1072" s="219">
        <v>20</v>
      </c>
      <c r="B1072" s="220" t="str">
        <f>VLOOKUP(Tabel10[[#This Row],[Code]],Ruimtegroepen[[Code]:[Ruimte omschrijving]],2,FALSE)</f>
        <v>Niet in Onderhoud</v>
      </c>
      <c r="C1072" s="221" t="s">
        <v>1176</v>
      </c>
      <c r="D1072" s="220" t="s">
        <v>14</v>
      </c>
      <c r="E1072" s="221" t="s">
        <v>100</v>
      </c>
      <c r="F1072" s="221" t="s">
        <v>1177</v>
      </c>
      <c r="G1072" s="226" t="s">
        <v>281</v>
      </c>
      <c r="H1072" s="222" t="s">
        <v>281</v>
      </c>
      <c r="I1072" s="222" t="s">
        <v>281</v>
      </c>
      <c r="J1072" s="222" t="s">
        <v>281</v>
      </c>
      <c r="K1072" s="222" t="s">
        <v>281</v>
      </c>
      <c r="L1072" s="222" t="s">
        <v>281</v>
      </c>
      <c r="M1072" s="222" t="s">
        <v>281</v>
      </c>
      <c r="N1072" s="222" t="s">
        <v>281</v>
      </c>
      <c r="O1072" s="223" t="s">
        <v>281</v>
      </c>
      <c r="P1072" s="223" t="s">
        <v>281</v>
      </c>
      <c r="Q1072" s="223" t="s">
        <v>281</v>
      </c>
      <c r="R1072" s="223" t="s">
        <v>281</v>
      </c>
      <c r="S1072" s="223" t="s">
        <v>281</v>
      </c>
      <c r="T1072" s="223" t="s">
        <v>281</v>
      </c>
      <c r="U1072" s="223" t="s">
        <v>281</v>
      </c>
      <c r="V1072" s="223" t="s">
        <v>281</v>
      </c>
      <c r="W1072" s="224" t="s">
        <v>281</v>
      </c>
      <c r="X1072" s="224" t="s">
        <v>281</v>
      </c>
      <c r="Y1072" s="225" t="s">
        <v>281</v>
      </c>
    </row>
    <row r="1073" spans="1:25">
      <c r="A1073" s="219">
        <v>20</v>
      </c>
      <c r="B1073" s="220" t="str">
        <f>VLOOKUP(Tabel10[[#This Row],[Code]],Ruimtegroepen[[Code]:[Ruimte omschrijving]],2,FALSE)</f>
        <v>Niet in Onderhoud</v>
      </c>
      <c r="C1073" s="221" t="s">
        <v>1176</v>
      </c>
      <c r="D1073" s="220" t="s">
        <v>14</v>
      </c>
      <c r="E1073" s="221" t="s">
        <v>99</v>
      </c>
      <c r="F1073" s="221" t="s">
        <v>1178</v>
      </c>
      <c r="G1073" s="226" t="s">
        <v>281</v>
      </c>
      <c r="H1073" s="222" t="s">
        <v>281</v>
      </c>
      <c r="I1073" s="222" t="s">
        <v>281</v>
      </c>
      <c r="J1073" s="222" t="s">
        <v>281</v>
      </c>
      <c r="K1073" s="222" t="s">
        <v>281</v>
      </c>
      <c r="L1073" s="222" t="s">
        <v>281</v>
      </c>
      <c r="M1073" s="222" t="s">
        <v>281</v>
      </c>
      <c r="N1073" s="222" t="s">
        <v>281</v>
      </c>
      <c r="O1073" s="223" t="s">
        <v>281</v>
      </c>
      <c r="P1073" s="223" t="s">
        <v>281</v>
      </c>
      <c r="Q1073" s="223" t="s">
        <v>281</v>
      </c>
      <c r="R1073" s="223" t="s">
        <v>281</v>
      </c>
      <c r="S1073" s="223" t="s">
        <v>281</v>
      </c>
      <c r="T1073" s="223" t="s">
        <v>281</v>
      </c>
      <c r="U1073" s="223" t="s">
        <v>281</v>
      </c>
      <c r="V1073" s="223" t="s">
        <v>281</v>
      </c>
      <c r="W1073" s="224" t="s">
        <v>281</v>
      </c>
      <c r="X1073" s="224" t="s">
        <v>281</v>
      </c>
      <c r="Y1073" s="225" t="s">
        <v>281</v>
      </c>
    </row>
    <row r="1074" spans="1:25">
      <c r="A1074" s="219">
        <v>20</v>
      </c>
      <c r="B1074" s="220" t="str">
        <f>VLOOKUP(Tabel10[[#This Row],[Code]],Ruimtegroepen[[Code]:[Ruimte omschrijving]],2,FALSE)</f>
        <v>Niet in Onderhoud</v>
      </c>
      <c r="C1074" s="221" t="s">
        <v>1176</v>
      </c>
      <c r="D1074" s="220" t="s">
        <v>14</v>
      </c>
      <c r="E1074" s="221" t="s">
        <v>101</v>
      </c>
      <c r="F1074" s="221" t="s">
        <v>1179</v>
      </c>
      <c r="G1074" s="226" t="s">
        <v>281</v>
      </c>
      <c r="H1074" s="222" t="s">
        <v>281</v>
      </c>
      <c r="I1074" s="222" t="s">
        <v>281</v>
      </c>
      <c r="J1074" s="222" t="s">
        <v>281</v>
      </c>
      <c r="K1074" s="222" t="s">
        <v>281</v>
      </c>
      <c r="L1074" s="222" t="s">
        <v>281</v>
      </c>
      <c r="M1074" s="222" t="s">
        <v>281</v>
      </c>
      <c r="N1074" s="222" t="s">
        <v>281</v>
      </c>
      <c r="O1074" s="223" t="s">
        <v>281</v>
      </c>
      <c r="P1074" s="223" t="s">
        <v>281</v>
      </c>
      <c r="Q1074" s="223" t="s">
        <v>281</v>
      </c>
      <c r="R1074" s="223" t="s">
        <v>281</v>
      </c>
      <c r="S1074" s="223" t="s">
        <v>281</v>
      </c>
      <c r="T1074" s="223" t="s">
        <v>281</v>
      </c>
      <c r="U1074" s="223" t="s">
        <v>281</v>
      </c>
      <c r="V1074" s="223" t="s">
        <v>281</v>
      </c>
      <c r="W1074" s="224" t="s">
        <v>281</v>
      </c>
      <c r="X1074" s="224" t="s">
        <v>281</v>
      </c>
      <c r="Y1074" s="225" t="s">
        <v>281</v>
      </c>
    </row>
    <row r="1075" spans="1:25">
      <c r="A1075" s="219">
        <v>20</v>
      </c>
      <c r="B1075" s="220" t="str">
        <f>VLOOKUP(Tabel10[[#This Row],[Code]],Ruimtegroepen[[Code]:[Ruimte omschrijving]],2,FALSE)</f>
        <v>Niet in Onderhoud</v>
      </c>
      <c r="C1075" s="221" t="s">
        <v>1176</v>
      </c>
      <c r="D1075" s="220" t="s">
        <v>14</v>
      </c>
      <c r="E1075" s="221" t="s">
        <v>102</v>
      </c>
      <c r="F1075" s="221" t="s">
        <v>1180</v>
      </c>
      <c r="G1075" s="226" t="s">
        <v>281</v>
      </c>
      <c r="H1075" s="222" t="s">
        <v>281</v>
      </c>
      <c r="I1075" s="222" t="s">
        <v>281</v>
      </c>
      <c r="J1075" s="222" t="s">
        <v>281</v>
      </c>
      <c r="K1075" s="222" t="s">
        <v>281</v>
      </c>
      <c r="L1075" s="222" t="s">
        <v>281</v>
      </c>
      <c r="M1075" s="222" t="s">
        <v>281</v>
      </c>
      <c r="N1075" s="222" t="s">
        <v>281</v>
      </c>
      <c r="O1075" s="223" t="s">
        <v>281</v>
      </c>
      <c r="P1075" s="223" t="s">
        <v>281</v>
      </c>
      <c r="Q1075" s="223" t="s">
        <v>281</v>
      </c>
      <c r="R1075" s="223" t="s">
        <v>281</v>
      </c>
      <c r="S1075" s="223" t="s">
        <v>281</v>
      </c>
      <c r="T1075" s="223" t="s">
        <v>281</v>
      </c>
      <c r="U1075" s="223" t="s">
        <v>281</v>
      </c>
      <c r="V1075" s="223" t="s">
        <v>281</v>
      </c>
      <c r="W1075" s="224" t="s">
        <v>281</v>
      </c>
      <c r="X1075" s="224" t="s">
        <v>281</v>
      </c>
      <c r="Y1075" s="225" t="s">
        <v>281</v>
      </c>
    </row>
    <row r="1076" spans="1:25">
      <c r="A1076" s="219">
        <v>20</v>
      </c>
      <c r="B1076" s="220" t="str">
        <f>VLOOKUP(Tabel10[[#This Row],[Code]],Ruimtegroepen[[Code]:[Ruimte omschrijving]],2,FALSE)</f>
        <v>Niet in Onderhoud</v>
      </c>
      <c r="C1076" s="221" t="s">
        <v>1176</v>
      </c>
      <c r="D1076" s="220" t="s">
        <v>14</v>
      </c>
      <c r="E1076" s="221" t="s">
        <v>99</v>
      </c>
      <c r="F1076" s="221" t="s">
        <v>1178</v>
      </c>
      <c r="G1076" s="226" t="s">
        <v>281</v>
      </c>
      <c r="H1076" s="222" t="s">
        <v>281</v>
      </c>
      <c r="I1076" s="222" t="s">
        <v>281</v>
      </c>
      <c r="J1076" s="222" t="s">
        <v>281</v>
      </c>
      <c r="K1076" s="222" t="s">
        <v>281</v>
      </c>
      <c r="L1076" s="222" t="s">
        <v>281</v>
      </c>
      <c r="M1076" s="222" t="s">
        <v>281</v>
      </c>
      <c r="N1076" s="222" t="s">
        <v>281</v>
      </c>
      <c r="O1076" s="223" t="s">
        <v>281</v>
      </c>
      <c r="P1076" s="223" t="s">
        <v>281</v>
      </c>
      <c r="Q1076" s="223" t="s">
        <v>281</v>
      </c>
      <c r="R1076" s="223" t="s">
        <v>281</v>
      </c>
      <c r="S1076" s="223" t="s">
        <v>281</v>
      </c>
      <c r="T1076" s="223" t="s">
        <v>281</v>
      </c>
      <c r="U1076" s="223" t="s">
        <v>281</v>
      </c>
      <c r="V1076" s="223" t="s">
        <v>281</v>
      </c>
      <c r="W1076" s="224" t="s">
        <v>281</v>
      </c>
      <c r="X1076" s="224" t="s">
        <v>281</v>
      </c>
      <c r="Y1076" s="225" t="s">
        <v>281</v>
      </c>
    </row>
    <row r="1077" spans="1:25">
      <c r="A1077" s="219">
        <v>20</v>
      </c>
      <c r="B1077" s="220" t="str">
        <f>VLOOKUP(Tabel10[[#This Row],[Code]],Ruimtegroepen[[Code]:[Ruimte omschrijving]],2,FALSE)</f>
        <v>Niet in Onderhoud</v>
      </c>
      <c r="C1077" s="221" t="s">
        <v>1176</v>
      </c>
      <c r="D1077" s="220" t="s">
        <v>14</v>
      </c>
      <c r="E1077" s="221" t="s">
        <v>1309</v>
      </c>
      <c r="F1077" s="221" t="s">
        <v>1323</v>
      </c>
      <c r="G1077" s="226" t="s">
        <v>281</v>
      </c>
      <c r="H1077" s="222" t="s">
        <v>281</v>
      </c>
      <c r="I1077" s="222" t="s">
        <v>281</v>
      </c>
      <c r="J1077" s="222" t="s">
        <v>281</v>
      </c>
      <c r="K1077" s="222" t="s">
        <v>281</v>
      </c>
      <c r="L1077" s="222" t="s">
        <v>281</v>
      </c>
      <c r="M1077" s="222" t="s">
        <v>281</v>
      </c>
      <c r="N1077" s="222" t="s">
        <v>281</v>
      </c>
      <c r="O1077" s="223" t="s">
        <v>281</v>
      </c>
      <c r="P1077" s="223" t="s">
        <v>281</v>
      </c>
      <c r="Q1077" s="223" t="s">
        <v>281</v>
      </c>
      <c r="R1077" s="223" t="s">
        <v>281</v>
      </c>
      <c r="S1077" s="223" t="s">
        <v>281</v>
      </c>
      <c r="T1077" s="223" t="s">
        <v>281</v>
      </c>
      <c r="U1077" s="223" t="s">
        <v>281</v>
      </c>
      <c r="V1077" s="223" t="s">
        <v>281</v>
      </c>
      <c r="W1077" s="224" t="s">
        <v>281</v>
      </c>
      <c r="X1077" s="224" t="s">
        <v>281</v>
      </c>
      <c r="Y1077" s="225" t="s">
        <v>281</v>
      </c>
    </row>
    <row r="1078" spans="1:25">
      <c r="A1078" s="219">
        <v>20</v>
      </c>
      <c r="B1078" s="220" t="str">
        <f>VLOOKUP(Tabel10[[#This Row],[Code]],Ruimtegroepen[[Code]:[Ruimte omschrijving]],2,FALSE)</f>
        <v>Niet in Onderhoud</v>
      </c>
      <c r="C1078" s="221" t="s">
        <v>1181</v>
      </c>
      <c r="D1078" s="220" t="s">
        <v>13</v>
      </c>
      <c r="E1078" s="221" t="s">
        <v>100</v>
      </c>
      <c r="F1078" s="221" t="s">
        <v>1182</v>
      </c>
      <c r="G1078" s="226" t="s">
        <v>281</v>
      </c>
      <c r="H1078" s="222" t="s">
        <v>281</v>
      </c>
      <c r="I1078" s="222" t="s">
        <v>281</v>
      </c>
      <c r="J1078" s="222" t="s">
        <v>281</v>
      </c>
      <c r="K1078" s="222" t="s">
        <v>281</v>
      </c>
      <c r="L1078" s="222" t="s">
        <v>281</v>
      </c>
      <c r="M1078" s="222" t="s">
        <v>281</v>
      </c>
      <c r="N1078" s="222" t="s">
        <v>281</v>
      </c>
      <c r="O1078" s="223" t="s">
        <v>281</v>
      </c>
      <c r="P1078" s="223" t="s">
        <v>281</v>
      </c>
      <c r="Q1078" s="223" t="s">
        <v>281</v>
      </c>
      <c r="R1078" s="223" t="s">
        <v>281</v>
      </c>
      <c r="S1078" s="223" t="s">
        <v>281</v>
      </c>
      <c r="T1078" s="223" t="s">
        <v>281</v>
      </c>
      <c r="U1078" s="223" t="s">
        <v>281</v>
      </c>
      <c r="V1078" s="223" t="s">
        <v>281</v>
      </c>
      <c r="W1078" s="224" t="s">
        <v>281</v>
      </c>
      <c r="X1078" s="224" t="s">
        <v>281</v>
      </c>
      <c r="Y1078" s="225" t="s">
        <v>281</v>
      </c>
    </row>
    <row r="1079" spans="1:25">
      <c r="A1079" s="219">
        <v>20</v>
      </c>
      <c r="B1079" s="220" t="str">
        <f>VLOOKUP(Tabel10[[#This Row],[Code]],Ruimtegroepen[[Code]:[Ruimte omschrijving]],2,FALSE)</f>
        <v>Niet in Onderhoud</v>
      </c>
      <c r="C1079" s="221" t="s">
        <v>1181</v>
      </c>
      <c r="D1079" s="220" t="s">
        <v>13</v>
      </c>
      <c r="E1079" s="221" t="s">
        <v>99</v>
      </c>
      <c r="F1079" s="221" t="s">
        <v>1183</v>
      </c>
      <c r="G1079" s="226" t="s">
        <v>281</v>
      </c>
      <c r="H1079" s="222" t="s">
        <v>281</v>
      </c>
      <c r="I1079" s="222" t="s">
        <v>281</v>
      </c>
      <c r="J1079" s="222" t="s">
        <v>281</v>
      </c>
      <c r="K1079" s="222" t="s">
        <v>281</v>
      </c>
      <c r="L1079" s="222" t="s">
        <v>281</v>
      </c>
      <c r="M1079" s="222" t="s">
        <v>281</v>
      </c>
      <c r="N1079" s="222" t="s">
        <v>281</v>
      </c>
      <c r="O1079" s="223" t="s">
        <v>281</v>
      </c>
      <c r="P1079" s="223" t="s">
        <v>281</v>
      </c>
      <c r="Q1079" s="223" t="s">
        <v>281</v>
      </c>
      <c r="R1079" s="223" t="s">
        <v>281</v>
      </c>
      <c r="S1079" s="223" t="s">
        <v>281</v>
      </c>
      <c r="T1079" s="223" t="s">
        <v>281</v>
      </c>
      <c r="U1079" s="223" t="s">
        <v>281</v>
      </c>
      <c r="V1079" s="223" t="s">
        <v>281</v>
      </c>
      <c r="W1079" s="224" t="s">
        <v>281</v>
      </c>
      <c r="X1079" s="224" t="s">
        <v>281</v>
      </c>
      <c r="Y1079" s="225" t="s">
        <v>281</v>
      </c>
    </row>
    <row r="1080" spans="1:25">
      <c r="A1080" s="219">
        <v>20</v>
      </c>
      <c r="B1080" s="220" t="str">
        <f>VLOOKUP(Tabel10[[#This Row],[Code]],Ruimtegroepen[[Code]:[Ruimte omschrijving]],2,FALSE)</f>
        <v>Niet in Onderhoud</v>
      </c>
      <c r="C1080" s="221" t="s">
        <v>1181</v>
      </c>
      <c r="D1080" s="220" t="s">
        <v>13</v>
      </c>
      <c r="E1080" s="221" t="s">
        <v>101</v>
      </c>
      <c r="F1080" s="221" t="s">
        <v>1184</v>
      </c>
      <c r="G1080" s="226" t="s">
        <v>281</v>
      </c>
      <c r="H1080" s="222" t="s">
        <v>281</v>
      </c>
      <c r="I1080" s="222" t="s">
        <v>281</v>
      </c>
      <c r="J1080" s="222" t="s">
        <v>281</v>
      </c>
      <c r="K1080" s="222" t="s">
        <v>281</v>
      </c>
      <c r="L1080" s="222" t="s">
        <v>281</v>
      </c>
      <c r="M1080" s="222" t="s">
        <v>281</v>
      </c>
      <c r="N1080" s="222" t="s">
        <v>281</v>
      </c>
      <c r="O1080" s="223" t="s">
        <v>281</v>
      </c>
      <c r="P1080" s="223" t="s">
        <v>281</v>
      </c>
      <c r="Q1080" s="223" t="s">
        <v>281</v>
      </c>
      <c r="R1080" s="223" t="s">
        <v>281</v>
      </c>
      <c r="S1080" s="223" t="s">
        <v>281</v>
      </c>
      <c r="T1080" s="223" t="s">
        <v>281</v>
      </c>
      <c r="U1080" s="223" t="s">
        <v>281</v>
      </c>
      <c r="V1080" s="223" t="s">
        <v>281</v>
      </c>
      <c r="W1080" s="224" t="s">
        <v>281</v>
      </c>
      <c r="X1080" s="224" t="s">
        <v>281</v>
      </c>
      <c r="Y1080" s="225" t="s">
        <v>281</v>
      </c>
    </row>
    <row r="1081" spans="1:25">
      <c r="A1081" s="219">
        <v>20</v>
      </c>
      <c r="B1081" s="220" t="str">
        <f>VLOOKUP(Tabel10[[#This Row],[Code]],Ruimtegroepen[[Code]:[Ruimte omschrijving]],2,FALSE)</f>
        <v>Niet in Onderhoud</v>
      </c>
      <c r="C1081" s="221" t="s">
        <v>1181</v>
      </c>
      <c r="D1081" s="220" t="s">
        <v>13</v>
      </c>
      <c r="E1081" s="221" t="s">
        <v>102</v>
      </c>
      <c r="F1081" s="221" t="s">
        <v>1185</v>
      </c>
      <c r="G1081" s="226" t="s">
        <v>281</v>
      </c>
      <c r="H1081" s="222" t="s">
        <v>281</v>
      </c>
      <c r="I1081" s="222" t="s">
        <v>281</v>
      </c>
      <c r="J1081" s="222" t="s">
        <v>281</v>
      </c>
      <c r="K1081" s="222" t="s">
        <v>281</v>
      </c>
      <c r="L1081" s="222" t="s">
        <v>281</v>
      </c>
      <c r="M1081" s="222" t="s">
        <v>281</v>
      </c>
      <c r="N1081" s="222" t="s">
        <v>281</v>
      </c>
      <c r="O1081" s="223" t="s">
        <v>281</v>
      </c>
      <c r="P1081" s="223" t="s">
        <v>281</v>
      </c>
      <c r="Q1081" s="223" t="s">
        <v>281</v>
      </c>
      <c r="R1081" s="223" t="s">
        <v>281</v>
      </c>
      <c r="S1081" s="223" t="s">
        <v>281</v>
      </c>
      <c r="T1081" s="223" t="s">
        <v>281</v>
      </c>
      <c r="U1081" s="223" t="s">
        <v>281</v>
      </c>
      <c r="V1081" s="223" t="s">
        <v>281</v>
      </c>
      <c r="W1081" s="224" t="s">
        <v>281</v>
      </c>
      <c r="X1081" s="224" t="s">
        <v>281</v>
      </c>
      <c r="Y1081" s="225" t="s">
        <v>281</v>
      </c>
    </row>
    <row r="1082" spans="1:25">
      <c r="A1082" s="219">
        <v>20</v>
      </c>
      <c r="B1082" s="220" t="str">
        <f>VLOOKUP(Tabel10[[#This Row],[Code]],Ruimtegroepen[[Code]:[Ruimte omschrijving]],2,FALSE)</f>
        <v>Niet in Onderhoud</v>
      </c>
      <c r="C1082" s="221" t="s">
        <v>1181</v>
      </c>
      <c r="D1082" s="220" t="s">
        <v>13</v>
      </c>
      <c r="E1082" s="221" t="s">
        <v>99</v>
      </c>
      <c r="F1082" s="221" t="s">
        <v>1183</v>
      </c>
      <c r="G1082" s="226" t="s">
        <v>281</v>
      </c>
      <c r="H1082" s="222" t="s">
        <v>281</v>
      </c>
      <c r="I1082" s="222" t="s">
        <v>281</v>
      </c>
      <c r="J1082" s="222" t="s">
        <v>281</v>
      </c>
      <c r="K1082" s="222" t="s">
        <v>281</v>
      </c>
      <c r="L1082" s="222" t="s">
        <v>281</v>
      </c>
      <c r="M1082" s="222" t="s">
        <v>281</v>
      </c>
      <c r="N1082" s="222" t="s">
        <v>281</v>
      </c>
      <c r="O1082" s="223" t="s">
        <v>281</v>
      </c>
      <c r="P1082" s="223" t="s">
        <v>281</v>
      </c>
      <c r="Q1082" s="223" t="s">
        <v>281</v>
      </c>
      <c r="R1082" s="223" t="s">
        <v>281</v>
      </c>
      <c r="S1082" s="223" t="s">
        <v>281</v>
      </c>
      <c r="T1082" s="223" t="s">
        <v>281</v>
      </c>
      <c r="U1082" s="223" t="s">
        <v>281</v>
      </c>
      <c r="V1082" s="223" t="s">
        <v>281</v>
      </c>
      <c r="W1082" s="224" t="s">
        <v>281</v>
      </c>
      <c r="X1082" s="224" t="s">
        <v>281</v>
      </c>
      <c r="Y1082" s="225" t="s">
        <v>281</v>
      </c>
    </row>
    <row r="1083" spans="1:25">
      <c r="A1083" s="219">
        <v>20</v>
      </c>
      <c r="B1083" s="220" t="str">
        <f>VLOOKUP(Tabel10[[#This Row],[Code]],Ruimtegroepen[[Code]:[Ruimte omschrijving]],2,FALSE)</f>
        <v>Niet in Onderhoud</v>
      </c>
      <c r="C1083" s="221" t="s">
        <v>1181</v>
      </c>
      <c r="D1083" s="220" t="s">
        <v>13</v>
      </c>
      <c r="E1083" s="221" t="s">
        <v>1309</v>
      </c>
      <c r="F1083" s="221" t="s">
        <v>1322</v>
      </c>
      <c r="G1083" s="226" t="s">
        <v>281</v>
      </c>
      <c r="H1083" s="222" t="s">
        <v>281</v>
      </c>
      <c r="I1083" s="222" t="s">
        <v>281</v>
      </c>
      <c r="J1083" s="222" t="s">
        <v>281</v>
      </c>
      <c r="K1083" s="222" t="s">
        <v>281</v>
      </c>
      <c r="L1083" s="222" t="s">
        <v>281</v>
      </c>
      <c r="M1083" s="222" t="s">
        <v>281</v>
      </c>
      <c r="N1083" s="222" t="s">
        <v>281</v>
      </c>
      <c r="O1083" s="223" t="s">
        <v>281</v>
      </c>
      <c r="P1083" s="223" t="s">
        <v>281</v>
      </c>
      <c r="Q1083" s="223" t="s">
        <v>281</v>
      </c>
      <c r="R1083" s="223" t="s">
        <v>281</v>
      </c>
      <c r="S1083" s="223" t="s">
        <v>281</v>
      </c>
      <c r="T1083" s="223" t="s">
        <v>281</v>
      </c>
      <c r="U1083" s="223" t="s">
        <v>281</v>
      </c>
      <c r="V1083" s="223" t="s">
        <v>281</v>
      </c>
      <c r="W1083" s="224" t="s">
        <v>281</v>
      </c>
      <c r="X1083" s="224" t="s">
        <v>281</v>
      </c>
      <c r="Y1083" s="225" t="s">
        <v>281</v>
      </c>
    </row>
    <row r="1084" spans="1:25">
      <c r="A1084" s="219">
        <v>20</v>
      </c>
      <c r="B1084" s="220" t="str">
        <f>VLOOKUP(Tabel10[[#This Row],[Code]],Ruimtegroepen[[Code]:[Ruimte omschrijving]],2,FALSE)</f>
        <v>Niet in Onderhoud</v>
      </c>
      <c r="C1084" s="221" t="s">
        <v>1186</v>
      </c>
      <c r="D1084" s="220" t="s">
        <v>0</v>
      </c>
      <c r="E1084" s="221" t="s">
        <v>100</v>
      </c>
      <c r="F1084" s="221" t="s">
        <v>1187</v>
      </c>
      <c r="G1084" s="226" t="s">
        <v>281</v>
      </c>
      <c r="H1084" s="222" t="s">
        <v>281</v>
      </c>
      <c r="I1084" s="222" t="s">
        <v>281</v>
      </c>
      <c r="J1084" s="222" t="s">
        <v>281</v>
      </c>
      <c r="K1084" s="222" t="s">
        <v>281</v>
      </c>
      <c r="L1084" s="222" t="s">
        <v>281</v>
      </c>
      <c r="M1084" s="222" t="s">
        <v>281</v>
      </c>
      <c r="N1084" s="222" t="s">
        <v>281</v>
      </c>
      <c r="O1084" s="223" t="s">
        <v>281</v>
      </c>
      <c r="P1084" s="223" t="s">
        <v>281</v>
      </c>
      <c r="Q1084" s="223" t="s">
        <v>281</v>
      </c>
      <c r="R1084" s="223" t="s">
        <v>281</v>
      </c>
      <c r="S1084" s="223" t="s">
        <v>281</v>
      </c>
      <c r="T1084" s="223" t="s">
        <v>281</v>
      </c>
      <c r="U1084" s="223" t="s">
        <v>281</v>
      </c>
      <c r="V1084" s="223" t="s">
        <v>281</v>
      </c>
      <c r="W1084" s="224" t="s">
        <v>281</v>
      </c>
      <c r="X1084" s="224" t="s">
        <v>281</v>
      </c>
      <c r="Y1084" s="225" t="s">
        <v>281</v>
      </c>
    </row>
    <row r="1085" spans="1:25">
      <c r="A1085" s="219">
        <v>20</v>
      </c>
      <c r="B1085" s="220" t="str">
        <f>VLOOKUP(Tabel10[[#This Row],[Code]],Ruimtegroepen[[Code]:[Ruimte omschrijving]],2,FALSE)</f>
        <v>Niet in Onderhoud</v>
      </c>
      <c r="C1085" s="221" t="s">
        <v>1186</v>
      </c>
      <c r="D1085" s="220" t="s">
        <v>0</v>
      </c>
      <c r="E1085" s="221" t="s">
        <v>99</v>
      </c>
      <c r="F1085" s="221" t="s">
        <v>1188</v>
      </c>
      <c r="G1085" s="226" t="s">
        <v>281</v>
      </c>
      <c r="H1085" s="222" t="s">
        <v>281</v>
      </c>
      <c r="I1085" s="222" t="s">
        <v>281</v>
      </c>
      <c r="J1085" s="222" t="s">
        <v>281</v>
      </c>
      <c r="K1085" s="222" t="s">
        <v>281</v>
      </c>
      <c r="L1085" s="222" t="s">
        <v>281</v>
      </c>
      <c r="M1085" s="222" t="s">
        <v>281</v>
      </c>
      <c r="N1085" s="222" t="s">
        <v>281</v>
      </c>
      <c r="O1085" s="223" t="s">
        <v>281</v>
      </c>
      <c r="P1085" s="223" t="s">
        <v>281</v>
      </c>
      <c r="Q1085" s="223" t="s">
        <v>281</v>
      </c>
      <c r="R1085" s="223" t="s">
        <v>281</v>
      </c>
      <c r="S1085" s="223" t="s">
        <v>281</v>
      </c>
      <c r="T1085" s="223" t="s">
        <v>281</v>
      </c>
      <c r="U1085" s="223" t="s">
        <v>281</v>
      </c>
      <c r="V1085" s="223" t="s">
        <v>281</v>
      </c>
      <c r="W1085" s="224" t="s">
        <v>281</v>
      </c>
      <c r="X1085" s="224" t="s">
        <v>281</v>
      </c>
      <c r="Y1085" s="225" t="s">
        <v>281</v>
      </c>
    </row>
    <row r="1086" spans="1:25">
      <c r="A1086" s="219">
        <v>20</v>
      </c>
      <c r="B1086" s="220" t="str">
        <f>VLOOKUP(Tabel10[[#This Row],[Code]],Ruimtegroepen[[Code]:[Ruimte omschrijving]],2,FALSE)</f>
        <v>Niet in Onderhoud</v>
      </c>
      <c r="C1086" s="221" t="s">
        <v>1186</v>
      </c>
      <c r="D1086" s="220" t="s">
        <v>0</v>
      </c>
      <c r="E1086" s="221" t="s">
        <v>101</v>
      </c>
      <c r="F1086" s="221" t="s">
        <v>1189</v>
      </c>
      <c r="G1086" s="226" t="s">
        <v>281</v>
      </c>
      <c r="H1086" s="222" t="s">
        <v>281</v>
      </c>
      <c r="I1086" s="222" t="s">
        <v>281</v>
      </c>
      <c r="J1086" s="222" t="s">
        <v>281</v>
      </c>
      <c r="K1086" s="222" t="s">
        <v>281</v>
      </c>
      <c r="L1086" s="222" t="s">
        <v>281</v>
      </c>
      <c r="M1086" s="222" t="s">
        <v>281</v>
      </c>
      <c r="N1086" s="222" t="s">
        <v>281</v>
      </c>
      <c r="O1086" s="223" t="s">
        <v>281</v>
      </c>
      <c r="P1086" s="223" t="s">
        <v>281</v>
      </c>
      <c r="Q1086" s="223" t="s">
        <v>281</v>
      </c>
      <c r="R1086" s="223" t="s">
        <v>281</v>
      </c>
      <c r="S1086" s="223" t="s">
        <v>281</v>
      </c>
      <c r="T1086" s="223" t="s">
        <v>281</v>
      </c>
      <c r="U1086" s="223" t="s">
        <v>281</v>
      </c>
      <c r="V1086" s="223" t="s">
        <v>281</v>
      </c>
      <c r="W1086" s="224" t="s">
        <v>281</v>
      </c>
      <c r="X1086" s="224" t="s">
        <v>281</v>
      </c>
      <c r="Y1086" s="225" t="s">
        <v>281</v>
      </c>
    </row>
    <row r="1087" spans="1:25">
      <c r="A1087" s="219">
        <v>20</v>
      </c>
      <c r="B1087" s="220" t="str">
        <f>VLOOKUP(Tabel10[[#This Row],[Code]],Ruimtegroepen[[Code]:[Ruimte omschrijving]],2,FALSE)</f>
        <v>Niet in Onderhoud</v>
      </c>
      <c r="C1087" s="221" t="s">
        <v>1186</v>
      </c>
      <c r="D1087" s="220" t="s">
        <v>0</v>
      </c>
      <c r="E1087" s="221" t="s">
        <v>102</v>
      </c>
      <c r="F1087" s="221" t="s">
        <v>1190</v>
      </c>
      <c r="G1087" s="226" t="s">
        <v>281</v>
      </c>
      <c r="H1087" s="222" t="s">
        <v>281</v>
      </c>
      <c r="I1087" s="222" t="s">
        <v>281</v>
      </c>
      <c r="J1087" s="222" t="s">
        <v>281</v>
      </c>
      <c r="K1087" s="222" t="s">
        <v>281</v>
      </c>
      <c r="L1087" s="222" t="s">
        <v>281</v>
      </c>
      <c r="M1087" s="222" t="s">
        <v>281</v>
      </c>
      <c r="N1087" s="222" t="s">
        <v>281</v>
      </c>
      <c r="O1087" s="223" t="s">
        <v>281</v>
      </c>
      <c r="P1087" s="223" t="s">
        <v>281</v>
      </c>
      <c r="Q1087" s="223" t="s">
        <v>281</v>
      </c>
      <c r="R1087" s="223" t="s">
        <v>281</v>
      </c>
      <c r="S1087" s="223" t="s">
        <v>281</v>
      </c>
      <c r="T1087" s="223" t="s">
        <v>281</v>
      </c>
      <c r="U1087" s="223" t="s">
        <v>281</v>
      </c>
      <c r="V1087" s="223" t="s">
        <v>281</v>
      </c>
      <c r="W1087" s="224" t="s">
        <v>281</v>
      </c>
      <c r="X1087" s="224" t="s">
        <v>281</v>
      </c>
      <c r="Y1087" s="225" t="s">
        <v>281</v>
      </c>
    </row>
    <row r="1088" spans="1:25">
      <c r="A1088" s="219">
        <v>20</v>
      </c>
      <c r="B1088" s="220" t="str">
        <f>VLOOKUP(Tabel10[[#This Row],[Code]],Ruimtegroepen[[Code]:[Ruimte omschrijving]],2,FALSE)</f>
        <v>Niet in Onderhoud</v>
      </c>
      <c r="C1088" s="221" t="s">
        <v>1186</v>
      </c>
      <c r="D1088" s="220" t="s">
        <v>0</v>
      </c>
      <c r="E1088" s="221" t="s">
        <v>99</v>
      </c>
      <c r="F1088" s="221" t="s">
        <v>1188</v>
      </c>
      <c r="G1088" s="226" t="s">
        <v>281</v>
      </c>
      <c r="H1088" s="222" t="s">
        <v>281</v>
      </c>
      <c r="I1088" s="222" t="s">
        <v>281</v>
      </c>
      <c r="J1088" s="222" t="s">
        <v>281</v>
      </c>
      <c r="K1088" s="222" t="s">
        <v>281</v>
      </c>
      <c r="L1088" s="222" t="s">
        <v>281</v>
      </c>
      <c r="M1088" s="222" t="s">
        <v>281</v>
      </c>
      <c r="N1088" s="222" t="s">
        <v>281</v>
      </c>
      <c r="O1088" s="223" t="s">
        <v>281</v>
      </c>
      <c r="P1088" s="223" t="s">
        <v>281</v>
      </c>
      <c r="Q1088" s="223" t="s">
        <v>281</v>
      </c>
      <c r="R1088" s="223" t="s">
        <v>281</v>
      </c>
      <c r="S1088" s="223" t="s">
        <v>281</v>
      </c>
      <c r="T1088" s="223" t="s">
        <v>281</v>
      </c>
      <c r="U1088" s="223" t="s">
        <v>281</v>
      </c>
      <c r="V1088" s="223" t="s">
        <v>281</v>
      </c>
      <c r="W1088" s="224" t="s">
        <v>281</v>
      </c>
      <c r="X1088" s="224" t="s">
        <v>281</v>
      </c>
      <c r="Y1088" s="225" t="s">
        <v>281</v>
      </c>
    </row>
    <row r="1089" spans="1:25">
      <c r="A1089" s="219">
        <v>20</v>
      </c>
      <c r="B1089" s="220" t="str">
        <f>VLOOKUP(Tabel10[[#This Row],[Code]],Ruimtegroepen[[Code]:[Ruimte omschrijving]],2,FALSE)</f>
        <v>Niet in Onderhoud</v>
      </c>
      <c r="C1089" s="221" t="s">
        <v>1186</v>
      </c>
      <c r="D1089" s="220" t="s">
        <v>0</v>
      </c>
      <c r="E1089" s="221" t="s">
        <v>1309</v>
      </c>
      <c r="F1089" s="221" t="s">
        <v>1321</v>
      </c>
      <c r="G1089" s="226" t="s">
        <v>281</v>
      </c>
      <c r="H1089" s="222" t="s">
        <v>281</v>
      </c>
      <c r="I1089" s="222" t="s">
        <v>281</v>
      </c>
      <c r="J1089" s="222" t="s">
        <v>281</v>
      </c>
      <c r="K1089" s="222" t="s">
        <v>281</v>
      </c>
      <c r="L1089" s="222" t="s">
        <v>281</v>
      </c>
      <c r="M1089" s="222" t="s">
        <v>281</v>
      </c>
      <c r="N1089" s="222" t="s">
        <v>281</v>
      </c>
      <c r="O1089" s="223" t="s">
        <v>281</v>
      </c>
      <c r="P1089" s="223" t="s">
        <v>281</v>
      </c>
      <c r="Q1089" s="223" t="s">
        <v>281</v>
      </c>
      <c r="R1089" s="223" t="s">
        <v>281</v>
      </c>
      <c r="S1089" s="223" t="s">
        <v>281</v>
      </c>
      <c r="T1089" s="223" t="s">
        <v>281</v>
      </c>
      <c r="U1089" s="223" t="s">
        <v>281</v>
      </c>
      <c r="V1089" s="223" t="s">
        <v>281</v>
      </c>
      <c r="W1089" s="224" t="s">
        <v>281</v>
      </c>
      <c r="X1089" s="224" t="s">
        <v>281</v>
      </c>
      <c r="Y1089" s="225" t="s">
        <v>281</v>
      </c>
    </row>
    <row r="1090" spans="1:25">
      <c r="A1090" s="219">
        <v>20</v>
      </c>
      <c r="B1090" s="220" t="str">
        <f>VLOOKUP(Tabel10[[#This Row],[Code]],Ruimtegroepen[[Code]:[Ruimte omschrijving]],2,FALSE)</f>
        <v>Niet in Onderhoud</v>
      </c>
      <c r="C1090" s="221" t="s">
        <v>1191</v>
      </c>
      <c r="D1090" s="220" t="s">
        <v>27</v>
      </c>
      <c r="E1090" s="221" t="s">
        <v>100</v>
      </c>
      <c r="F1090" s="221" t="s">
        <v>1192</v>
      </c>
      <c r="G1090" s="226" t="s">
        <v>281</v>
      </c>
      <c r="H1090" s="222" t="s">
        <v>281</v>
      </c>
      <c r="I1090" s="222" t="s">
        <v>281</v>
      </c>
      <c r="J1090" s="222" t="s">
        <v>281</v>
      </c>
      <c r="K1090" s="222" t="s">
        <v>281</v>
      </c>
      <c r="L1090" s="222" t="s">
        <v>281</v>
      </c>
      <c r="M1090" s="222" t="s">
        <v>281</v>
      </c>
      <c r="N1090" s="222" t="s">
        <v>281</v>
      </c>
      <c r="O1090" s="223" t="s">
        <v>281</v>
      </c>
      <c r="P1090" s="223" t="s">
        <v>281</v>
      </c>
      <c r="Q1090" s="223" t="s">
        <v>281</v>
      </c>
      <c r="R1090" s="223" t="s">
        <v>281</v>
      </c>
      <c r="S1090" s="223" t="s">
        <v>281</v>
      </c>
      <c r="T1090" s="223" t="s">
        <v>281</v>
      </c>
      <c r="U1090" s="223" t="s">
        <v>281</v>
      </c>
      <c r="V1090" s="223" t="s">
        <v>281</v>
      </c>
      <c r="W1090" s="224" t="s">
        <v>281</v>
      </c>
      <c r="X1090" s="224" t="s">
        <v>281</v>
      </c>
      <c r="Y1090" s="225" t="s">
        <v>281</v>
      </c>
    </row>
    <row r="1091" spans="1:25">
      <c r="A1091" s="219">
        <v>20</v>
      </c>
      <c r="B1091" s="220" t="str">
        <f>VLOOKUP(Tabel10[[#This Row],[Code]],Ruimtegroepen[[Code]:[Ruimte omschrijving]],2,FALSE)</f>
        <v>Niet in Onderhoud</v>
      </c>
      <c r="C1091" s="221" t="s">
        <v>1191</v>
      </c>
      <c r="D1091" s="220" t="s">
        <v>27</v>
      </c>
      <c r="E1091" s="221" t="s">
        <v>99</v>
      </c>
      <c r="F1091" s="221" t="s">
        <v>1193</v>
      </c>
      <c r="G1091" s="226" t="s">
        <v>281</v>
      </c>
      <c r="H1091" s="222" t="s">
        <v>281</v>
      </c>
      <c r="I1091" s="222" t="s">
        <v>281</v>
      </c>
      <c r="J1091" s="222" t="s">
        <v>281</v>
      </c>
      <c r="K1091" s="222" t="s">
        <v>281</v>
      </c>
      <c r="L1091" s="222" t="s">
        <v>281</v>
      </c>
      <c r="M1091" s="222" t="s">
        <v>281</v>
      </c>
      <c r="N1091" s="222" t="s">
        <v>281</v>
      </c>
      <c r="O1091" s="223" t="s">
        <v>281</v>
      </c>
      <c r="P1091" s="223" t="s">
        <v>281</v>
      </c>
      <c r="Q1091" s="223" t="s">
        <v>281</v>
      </c>
      <c r="R1091" s="223" t="s">
        <v>281</v>
      </c>
      <c r="S1091" s="223" t="s">
        <v>281</v>
      </c>
      <c r="T1091" s="223" t="s">
        <v>281</v>
      </c>
      <c r="U1091" s="223" t="s">
        <v>281</v>
      </c>
      <c r="V1091" s="223" t="s">
        <v>281</v>
      </c>
      <c r="W1091" s="224" t="s">
        <v>281</v>
      </c>
      <c r="X1091" s="224" t="s">
        <v>281</v>
      </c>
      <c r="Y1091" s="225" t="s">
        <v>281</v>
      </c>
    </row>
    <row r="1092" spans="1:25">
      <c r="A1092" s="219">
        <v>20</v>
      </c>
      <c r="B1092" s="220" t="str">
        <f>VLOOKUP(Tabel10[[#This Row],[Code]],Ruimtegroepen[[Code]:[Ruimte omschrijving]],2,FALSE)</f>
        <v>Niet in Onderhoud</v>
      </c>
      <c r="C1092" s="221" t="s">
        <v>1191</v>
      </c>
      <c r="D1092" s="220" t="s">
        <v>27</v>
      </c>
      <c r="E1092" s="221" t="s">
        <v>101</v>
      </c>
      <c r="F1092" s="221" t="s">
        <v>1194</v>
      </c>
      <c r="G1092" s="226" t="s">
        <v>281</v>
      </c>
      <c r="H1092" s="222" t="s">
        <v>281</v>
      </c>
      <c r="I1092" s="222" t="s">
        <v>281</v>
      </c>
      <c r="J1092" s="222" t="s">
        <v>281</v>
      </c>
      <c r="K1092" s="222" t="s">
        <v>281</v>
      </c>
      <c r="L1092" s="222" t="s">
        <v>281</v>
      </c>
      <c r="M1092" s="222" t="s">
        <v>281</v>
      </c>
      <c r="N1092" s="222" t="s">
        <v>281</v>
      </c>
      <c r="O1092" s="223" t="s">
        <v>281</v>
      </c>
      <c r="P1092" s="223" t="s">
        <v>281</v>
      </c>
      <c r="Q1092" s="223" t="s">
        <v>281</v>
      </c>
      <c r="R1092" s="223" t="s">
        <v>281</v>
      </c>
      <c r="S1092" s="223" t="s">
        <v>281</v>
      </c>
      <c r="T1092" s="223" t="s">
        <v>281</v>
      </c>
      <c r="U1092" s="223" t="s">
        <v>281</v>
      </c>
      <c r="V1092" s="223" t="s">
        <v>281</v>
      </c>
      <c r="W1092" s="224" t="s">
        <v>281</v>
      </c>
      <c r="X1092" s="224" t="s">
        <v>281</v>
      </c>
      <c r="Y1092" s="225" t="s">
        <v>281</v>
      </c>
    </row>
    <row r="1093" spans="1:25">
      <c r="A1093" s="219">
        <v>20</v>
      </c>
      <c r="B1093" s="220" t="str">
        <f>VLOOKUP(Tabel10[[#This Row],[Code]],Ruimtegroepen[[Code]:[Ruimte omschrijving]],2,FALSE)</f>
        <v>Niet in Onderhoud</v>
      </c>
      <c r="C1093" s="221" t="s">
        <v>1191</v>
      </c>
      <c r="D1093" s="220" t="s">
        <v>27</v>
      </c>
      <c r="E1093" s="221" t="s">
        <v>102</v>
      </c>
      <c r="F1093" s="221" t="s">
        <v>1195</v>
      </c>
      <c r="G1093" s="226" t="s">
        <v>281</v>
      </c>
      <c r="H1093" s="222" t="s">
        <v>281</v>
      </c>
      <c r="I1093" s="222" t="s">
        <v>281</v>
      </c>
      <c r="J1093" s="222" t="s">
        <v>281</v>
      </c>
      <c r="K1093" s="222" t="s">
        <v>281</v>
      </c>
      <c r="L1093" s="222" t="s">
        <v>281</v>
      </c>
      <c r="M1093" s="222" t="s">
        <v>281</v>
      </c>
      <c r="N1093" s="222" t="s">
        <v>281</v>
      </c>
      <c r="O1093" s="223" t="s">
        <v>281</v>
      </c>
      <c r="P1093" s="223" t="s">
        <v>281</v>
      </c>
      <c r="Q1093" s="223" t="s">
        <v>281</v>
      </c>
      <c r="R1093" s="223" t="s">
        <v>281</v>
      </c>
      <c r="S1093" s="223" t="s">
        <v>281</v>
      </c>
      <c r="T1093" s="223" t="s">
        <v>281</v>
      </c>
      <c r="U1093" s="223" t="s">
        <v>281</v>
      </c>
      <c r="V1093" s="223" t="s">
        <v>281</v>
      </c>
      <c r="W1093" s="224" t="s">
        <v>281</v>
      </c>
      <c r="X1093" s="224" t="s">
        <v>281</v>
      </c>
      <c r="Y1093" s="225" t="s">
        <v>281</v>
      </c>
    </row>
    <row r="1094" spans="1:25">
      <c r="A1094" s="219">
        <v>20</v>
      </c>
      <c r="B1094" s="220" t="str">
        <f>VLOOKUP(Tabel10[[#This Row],[Code]],Ruimtegroepen[[Code]:[Ruimte omschrijving]],2,FALSE)</f>
        <v>Niet in Onderhoud</v>
      </c>
      <c r="C1094" s="221" t="s">
        <v>1191</v>
      </c>
      <c r="D1094" s="220" t="s">
        <v>27</v>
      </c>
      <c r="E1094" s="221" t="s">
        <v>99</v>
      </c>
      <c r="F1094" s="221" t="s">
        <v>1193</v>
      </c>
      <c r="G1094" s="226" t="s">
        <v>281</v>
      </c>
      <c r="H1094" s="222" t="s">
        <v>281</v>
      </c>
      <c r="I1094" s="222" t="s">
        <v>281</v>
      </c>
      <c r="J1094" s="222" t="s">
        <v>281</v>
      </c>
      <c r="K1094" s="222" t="s">
        <v>281</v>
      </c>
      <c r="L1094" s="222" t="s">
        <v>281</v>
      </c>
      <c r="M1094" s="222" t="s">
        <v>281</v>
      </c>
      <c r="N1094" s="222" t="s">
        <v>281</v>
      </c>
      <c r="O1094" s="223" t="s">
        <v>281</v>
      </c>
      <c r="P1094" s="223" t="s">
        <v>281</v>
      </c>
      <c r="Q1094" s="223" t="s">
        <v>281</v>
      </c>
      <c r="R1094" s="223" t="s">
        <v>281</v>
      </c>
      <c r="S1094" s="223" t="s">
        <v>281</v>
      </c>
      <c r="T1094" s="223" t="s">
        <v>281</v>
      </c>
      <c r="U1094" s="223" t="s">
        <v>281</v>
      </c>
      <c r="V1094" s="223" t="s">
        <v>281</v>
      </c>
      <c r="W1094" s="224" t="s">
        <v>281</v>
      </c>
      <c r="X1094" s="224" t="s">
        <v>281</v>
      </c>
      <c r="Y1094" s="225" t="s">
        <v>281</v>
      </c>
    </row>
    <row r="1095" spans="1:25">
      <c r="A1095" s="219">
        <v>20</v>
      </c>
      <c r="B1095" s="220" t="str">
        <f>VLOOKUP(Tabel10[[#This Row],[Code]],Ruimtegroepen[[Code]:[Ruimte omschrijving]],2,FALSE)</f>
        <v>Niet in Onderhoud</v>
      </c>
      <c r="C1095" s="221" t="s">
        <v>1191</v>
      </c>
      <c r="D1095" s="220" t="s">
        <v>27</v>
      </c>
      <c r="E1095" s="221" t="s">
        <v>1309</v>
      </c>
      <c r="F1095" s="221" t="s">
        <v>1320</v>
      </c>
      <c r="G1095" s="226" t="s">
        <v>281</v>
      </c>
      <c r="H1095" s="222" t="s">
        <v>281</v>
      </c>
      <c r="I1095" s="222" t="s">
        <v>281</v>
      </c>
      <c r="J1095" s="222" t="s">
        <v>281</v>
      </c>
      <c r="K1095" s="222" t="s">
        <v>281</v>
      </c>
      <c r="L1095" s="222" t="s">
        <v>281</v>
      </c>
      <c r="M1095" s="222" t="s">
        <v>281</v>
      </c>
      <c r="N1095" s="222" t="s">
        <v>281</v>
      </c>
      <c r="O1095" s="223" t="s">
        <v>281</v>
      </c>
      <c r="P1095" s="223" t="s">
        <v>281</v>
      </c>
      <c r="Q1095" s="223" t="s">
        <v>281</v>
      </c>
      <c r="R1095" s="223" t="s">
        <v>281</v>
      </c>
      <c r="S1095" s="223" t="s">
        <v>281</v>
      </c>
      <c r="T1095" s="223" t="s">
        <v>281</v>
      </c>
      <c r="U1095" s="223" t="s">
        <v>281</v>
      </c>
      <c r="V1095" s="223" t="s">
        <v>281</v>
      </c>
      <c r="W1095" s="224" t="s">
        <v>281</v>
      </c>
      <c r="X1095" s="224" t="s">
        <v>281</v>
      </c>
      <c r="Y1095" s="225" t="s">
        <v>281</v>
      </c>
    </row>
    <row r="1096" spans="1:25">
      <c r="A1096" s="219">
        <v>20</v>
      </c>
      <c r="B1096" s="220" t="str">
        <f>VLOOKUP(Tabel10[[#This Row],[Code]],Ruimtegroepen[[Code]:[Ruimte omschrijving]],2,FALSE)</f>
        <v>Niet in Onderhoud</v>
      </c>
      <c r="C1096" s="221" t="s">
        <v>1196</v>
      </c>
      <c r="D1096" s="220" t="s">
        <v>28</v>
      </c>
      <c r="E1096" s="221" t="s">
        <v>100</v>
      </c>
      <c r="F1096" s="221" t="s">
        <v>1197</v>
      </c>
      <c r="G1096" s="226" t="s">
        <v>281</v>
      </c>
      <c r="H1096" s="222" t="s">
        <v>281</v>
      </c>
      <c r="I1096" s="222" t="s">
        <v>281</v>
      </c>
      <c r="J1096" s="222" t="s">
        <v>281</v>
      </c>
      <c r="K1096" s="222" t="s">
        <v>281</v>
      </c>
      <c r="L1096" s="222" t="s">
        <v>281</v>
      </c>
      <c r="M1096" s="222" t="s">
        <v>281</v>
      </c>
      <c r="N1096" s="222" t="s">
        <v>281</v>
      </c>
      <c r="O1096" s="223" t="s">
        <v>281</v>
      </c>
      <c r="P1096" s="223" t="s">
        <v>281</v>
      </c>
      <c r="Q1096" s="223" t="s">
        <v>281</v>
      </c>
      <c r="R1096" s="223" t="s">
        <v>281</v>
      </c>
      <c r="S1096" s="223" t="s">
        <v>281</v>
      </c>
      <c r="T1096" s="223" t="s">
        <v>281</v>
      </c>
      <c r="U1096" s="223" t="s">
        <v>281</v>
      </c>
      <c r="V1096" s="223" t="s">
        <v>281</v>
      </c>
      <c r="W1096" s="224" t="s">
        <v>281</v>
      </c>
      <c r="X1096" s="224" t="s">
        <v>281</v>
      </c>
      <c r="Y1096" s="225" t="s">
        <v>281</v>
      </c>
    </row>
    <row r="1097" spans="1:25">
      <c r="A1097" s="219">
        <v>20</v>
      </c>
      <c r="B1097" s="220" t="str">
        <f>VLOOKUP(Tabel10[[#This Row],[Code]],Ruimtegroepen[[Code]:[Ruimte omschrijving]],2,FALSE)</f>
        <v>Niet in Onderhoud</v>
      </c>
      <c r="C1097" s="221" t="s">
        <v>1196</v>
      </c>
      <c r="D1097" s="220" t="s">
        <v>28</v>
      </c>
      <c r="E1097" s="221" t="s">
        <v>99</v>
      </c>
      <c r="F1097" s="221" t="s">
        <v>1198</v>
      </c>
      <c r="G1097" s="226" t="s">
        <v>281</v>
      </c>
      <c r="H1097" s="222" t="s">
        <v>281</v>
      </c>
      <c r="I1097" s="222" t="s">
        <v>281</v>
      </c>
      <c r="J1097" s="222" t="s">
        <v>281</v>
      </c>
      <c r="K1097" s="222" t="s">
        <v>281</v>
      </c>
      <c r="L1097" s="222" t="s">
        <v>281</v>
      </c>
      <c r="M1097" s="222" t="s">
        <v>281</v>
      </c>
      <c r="N1097" s="222" t="s">
        <v>281</v>
      </c>
      <c r="O1097" s="223" t="s">
        <v>281</v>
      </c>
      <c r="P1097" s="223" t="s">
        <v>281</v>
      </c>
      <c r="Q1097" s="223" t="s">
        <v>281</v>
      </c>
      <c r="R1097" s="223" t="s">
        <v>281</v>
      </c>
      <c r="S1097" s="223" t="s">
        <v>281</v>
      </c>
      <c r="T1097" s="223" t="s">
        <v>281</v>
      </c>
      <c r="U1097" s="223" t="s">
        <v>281</v>
      </c>
      <c r="V1097" s="223" t="s">
        <v>281</v>
      </c>
      <c r="W1097" s="224" t="s">
        <v>281</v>
      </c>
      <c r="X1097" s="224" t="s">
        <v>281</v>
      </c>
      <c r="Y1097" s="225" t="s">
        <v>281</v>
      </c>
    </row>
    <row r="1098" spans="1:25">
      <c r="A1098" s="219">
        <v>20</v>
      </c>
      <c r="B1098" s="220" t="str">
        <f>VLOOKUP(Tabel10[[#This Row],[Code]],Ruimtegroepen[[Code]:[Ruimte omschrijving]],2,FALSE)</f>
        <v>Niet in Onderhoud</v>
      </c>
      <c r="C1098" s="221" t="s">
        <v>1196</v>
      </c>
      <c r="D1098" s="220" t="s">
        <v>28</v>
      </c>
      <c r="E1098" s="221" t="s">
        <v>101</v>
      </c>
      <c r="F1098" s="221" t="s">
        <v>1199</v>
      </c>
      <c r="G1098" s="226" t="s">
        <v>281</v>
      </c>
      <c r="H1098" s="222" t="s">
        <v>281</v>
      </c>
      <c r="I1098" s="222" t="s">
        <v>281</v>
      </c>
      <c r="J1098" s="222" t="s">
        <v>281</v>
      </c>
      <c r="K1098" s="222" t="s">
        <v>281</v>
      </c>
      <c r="L1098" s="222" t="s">
        <v>281</v>
      </c>
      <c r="M1098" s="222" t="s">
        <v>281</v>
      </c>
      <c r="N1098" s="222" t="s">
        <v>281</v>
      </c>
      <c r="O1098" s="223" t="s">
        <v>281</v>
      </c>
      <c r="P1098" s="223" t="s">
        <v>281</v>
      </c>
      <c r="Q1098" s="223" t="s">
        <v>281</v>
      </c>
      <c r="R1098" s="223" t="s">
        <v>281</v>
      </c>
      <c r="S1098" s="223" t="s">
        <v>281</v>
      </c>
      <c r="T1098" s="223" t="s">
        <v>281</v>
      </c>
      <c r="U1098" s="223" t="s">
        <v>281</v>
      </c>
      <c r="V1098" s="223" t="s">
        <v>281</v>
      </c>
      <c r="W1098" s="224" t="s">
        <v>281</v>
      </c>
      <c r="X1098" s="224" t="s">
        <v>281</v>
      </c>
      <c r="Y1098" s="225" t="s">
        <v>281</v>
      </c>
    </row>
    <row r="1099" spans="1:25">
      <c r="A1099" s="219">
        <v>20</v>
      </c>
      <c r="B1099" s="220" t="str">
        <f>VLOOKUP(Tabel10[[#This Row],[Code]],Ruimtegroepen[[Code]:[Ruimte omschrijving]],2,FALSE)</f>
        <v>Niet in Onderhoud</v>
      </c>
      <c r="C1099" s="221" t="s">
        <v>1196</v>
      </c>
      <c r="D1099" s="220" t="s">
        <v>28</v>
      </c>
      <c r="E1099" s="221" t="s">
        <v>102</v>
      </c>
      <c r="F1099" s="221" t="s">
        <v>1200</v>
      </c>
      <c r="G1099" s="226" t="s">
        <v>281</v>
      </c>
      <c r="H1099" s="222" t="s">
        <v>281</v>
      </c>
      <c r="I1099" s="222" t="s">
        <v>281</v>
      </c>
      <c r="J1099" s="222" t="s">
        <v>281</v>
      </c>
      <c r="K1099" s="222" t="s">
        <v>281</v>
      </c>
      <c r="L1099" s="222" t="s">
        <v>281</v>
      </c>
      <c r="M1099" s="222" t="s">
        <v>281</v>
      </c>
      <c r="N1099" s="222" t="s">
        <v>281</v>
      </c>
      <c r="O1099" s="223" t="s">
        <v>281</v>
      </c>
      <c r="P1099" s="223" t="s">
        <v>281</v>
      </c>
      <c r="Q1099" s="223" t="s">
        <v>281</v>
      </c>
      <c r="R1099" s="223" t="s">
        <v>281</v>
      </c>
      <c r="S1099" s="223" t="s">
        <v>281</v>
      </c>
      <c r="T1099" s="223" t="s">
        <v>281</v>
      </c>
      <c r="U1099" s="223" t="s">
        <v>281</v>
      </c>
      <c r="V1099" s="223" t="s">
        <v>281</v>
      </c>
      <c r="W1099" s="224" t="s">
        <v>281</v>
      </c>
      <c r="X1099" s="224" t="s">
        <v>281</v>
      </c>
      <c r="Y1099" s="225" t="s">
        <v>281</v>
      </c>
    </row>
    <row r="1100" spans="1:25">
      <c r="A1100" s="219">
        <v>20</v>
      </c>
      <c r="B1100" s="220" t="str">
        <f>VLOOKUP(Tabel10[[#This Row],[Code]],Ruimtegroepen[[Code]:[Ruimte omschrijving]],2,FALSE)</f>
        <v>Niet in Onderhoud</v>
      </c>
      <c r="C1100" s="221" t="s">
        <v>1196</v>
      </c>
      <c r="D1100" s="220" t="s">
        <v>28</v>
      </c>
      <c r="E1100" s="221" t="s">
        <v>99</v>
      </c>
      <c r="F1100" s="221" t="s">
        <v>1198</v>
      </c>
      <c r="G1100" s="226" t="s">
        <v>281</v>
      </c>
      <c r="H1100" s="222" t="s">
        <v>281</v>
      </c>
      <c r="I1100" s="222" t="s">
        <v>281</v>
      </c>
      <c r="J1100" s="222" t="s">
        <v>281</v>
      </c>
      <c r="K1100" s="222" t="s">
        <v>281</v>
      </c>
      <c r="L1100" s="222" t="s">
        <v>281</v>
      </c>
      <c r="M1100" s="222" t="s">
        <v>281</v>
      </c>
      <c r="N1100" s="222" t="s">
        <v>281</v>
      </c>
      <c r="O1100" s="223" t="s">
        <v>281</v>
      </c>
      <c r="P1100" s="223" t="s">
        <v>281</v>
      </c>
      <c r="Q1100" s="223" t="s">
        <v>281</v>
      </c>
      <c r="R1100" s="223" t="s">
        <v>281</v>
      </c>
      <c r="S1100" s="223" t="s">
        <v>281</v>
      </c>
      <c r="T1100" s="223" t="s">
        <v>281</v>
      </c>
      <c r="U1100" s="223" t="s">
        <v>281</v>
      </c>
      <c r="V1100" s="223" t="s">
        <v>281</v>
      </c>
      <c r="W1100" s="224" t="s">
        <v>281</v>
      </c>
      <c r="X1100" s="224" t="s">
        <v>281</v>
      </c>
      <c r="Y1100" s="225" t="s">
        <v>281</v>
      </c>
    </row>
    <row r="1101" spans="1:25">
      <c r="A1101" s="219">
        <v>20</v>
      </c>
      <c r="B1101" s="220" t="str">
        <f>VLOOKUP(Tabel10[[#This Row],[Code]],Ruimtegroepen[[Code]:[Ruimte omschrijving]],2,FALSE)</f>
        <v>Niet in Onderhoud</v>
      </c>
      <c r="C1101" s="221" t="s">
        <v>1196</v>
      </c>
      <c r="D1101" s="220" t="s">
        <v>28</v>
      </c>
      <c r="E1101" s="221" t="s">
        <v>1309</v>
      </c>
      <c r="F1101" s="221" t="s">
        <v>1319</v>
      </c>
      <c r="G1101" s="226" t="s">
        <v>281</v>
      </c>
      <c r="H1101" s="222" t="s">
        <v>281</v>
      </c>
      <c r="I1101" s="222" t="s">
        <v>281</v>
      </c>
      <c r="J1101" s="222" t="s">
        <v>281</v>
      </c>
      <c r="K1101" s="222" t="s">
        <v>281</v>
      </c>
      <c r="L1101" s="222" t="s">
        <v>281</v>
      </c>
      <c r="M1101" s="222" t="s">
        <v>281</v>
      </c>
      <c r="N1101" s="222" t="s">
        <v>281</v>
      </c>
      <c r="O1101" s="223" t="s">
        <v>281</v>
      </c>
      <c r="P1101" s="223" t="s">
        <v>281</v>
      </c>
      <c r="Q1101" s="223" t="s">
        <v>281</v>
      </c>
      <c r="R1101" s="223" t="s">
        <v>281</v>
      </c>
      <c r="S1101" s="223" t="s">
        <v>281</v>
      </c>
      <c r="T1101" s="223" t="s">
        <v>281</v>
      </c>
      <c r="U1101" s="223" t="s">
        <v>281</v>
      </c>
      <c r="V1101" s="223" t="s">
        <v>281</v>
      </c>
      <c r="W1101" s="224" t="s">
        <v>281</v>
      </c>
      <c r="X1101" s="224" t="s">
        <v>281</v>
      </c>
      <c r="Y1101" s="225" t="s">
        <v>281</v>
      </c>
    </row>
  </sheetData>
  <sheetProtection algorithmName="SHA-512" hashValue="cji5Rh5ihsu4/ky/c0HgB1CgjD9e0xcxIpKL7QplOf50qnSAmBqJvrLfDcGLfYTZzO1Ns5a/06H/rnG+n4PAzQ==" saltValue="uF00FazYyEpFfmW+xrZS+w=="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I34" sqref="I34"/>
    </sheetView>
  </sheetViews>
  <sheetFormatPr defaultColWidth="7.85546875" defaultRowHeight="15" customHeight="1"/>
  <cols>
    <col min="1" max="1" width="15.140625" style="327" bestFit="1" customWidth="1"/>
    <col min="2" max="2" width="26" style="327" customWidth="1"/>
    <col min="3" max="3" width="18.28515625" style="327" customWidth="1"/>
    <col min="4" max="4" width="17.7109375" style="327" bestFit="1" customWidth="1"/>
    <col min="5" max="5" width="18.28515625" style="347" customWidth="1"/>
    <col min="6" max="6" width="2.85546875" style="327" customWidth="1"/>
    <col min="7" max="7" width="14.85546875" style="327" customWidth="1"/>
    <col min="8" max="8" width="12" style="327" bestFit="1" customWidth="1"/>
    <col min="9" max="9" width="19.42578125" style="327" bestFit="1" customWidth="1"/>
    <col min="10" max="10" width="12" style="327" bestFit="1" customWidth="1"/>
    <col min="11" max="11" width="19.42578125" style="327" bestFit="1" customWidth="1"/>
    <col min="12" max="12" width="12" style="327" bestFit="1" customWidth="1"/>
    <col min="13" max="13" width="19.42578125" style="327" bestFit="1" customWidth="1"/>
    <col min="14" max="14" width="12" style="327" bestFit="1" customWidth="1"/>
    <col min="15" max="15" width="19.42578125" style="327" bestFit="1" customWidth="1"/>
    <col min="16" max="16" width="12" style="327" bestFit="1" customWidth="1"/>
    <col min="17" max="17" width="19.42578125" style="327" bestFit="1" customWidth="1"/>
    <col min="18" max="16384" width="7.85546875" style="327"/>
  </cols>
  <sheetData>
    <row r="1" spans="1:17" s="370" customFormat="1" ht="26.25" customHeight="1">
      <c r="A1" s="369" t="s">
        <v>34</v>
      </c>
      <c r="B1" s="369"/>
      <c r="C1" s="369"/>
      <c r="D1" s="369"/>
      <c r="E1" s="369"/>
    </row>
    <row r="2" spans="1:17" s="370" customFormat="1" ht="15" customHeight="1">
      <c r="A2" s="371" t="s">
        <v>1586</v>
      </c>
      <c r="B2" s="371"/>
      <c r="C2" s="371"/>
      <c r="D2" s="371"/>
      <c r="E2" s="371"/>
      <c r="G2" s="372" t="s">
        <v>242</v>
      </c>
      <c r="H2" s="372"/>
      <c r="I2" s="372"/>
      <c r="J2" s="372"/>
      <c r="K2" s="372"/>
      <c r="L2" s="372"/>
      <c r="M2" s="372"/>
      <c r="N2" s="372"/>
      <c r="O2" s="372"/>
      <c r="P2" s="372"/>
      <c r="Q2" s="372"/>
    </row>
    <row r="3" spans="1:17" ht="15" customHeight="1">
      <c r="E3" s="327"/>
      <c r="G3" s="373"/>
      <c r="H3" s="374">
        <v>2028</v>
      </c>
      <c r="I3" s="374"/>
      <c r="J3" s="375">
        <v>2029</v>
      </c>
      <c r="K3" s="376"/>
      <c r="L3" s="375">
        <v>2030</v>
      </c>
      <c r="M3" s="376"/>
      <c r="N3" s="375">
        <v>2031</v>
      </c>
      <c r="O3" s="376"/>
      <c r="P3" s="375">
        <v>2032</v>
      </c>
      <c r="Q3" s="376"/>
    </row>
    <row r="4" spans="1:17" s="362" customFormat="1" ht="26.25" customHeight="1">
      <c r="A4" s="358" t="s">
        <v>72</v>
      </c>
      <c r="B4" s="360"/>
      <c r="C4" s="361" t="s">
        <v>194</v>
      </c>
      <c r="D4" s="361" t="s">
        <v>206</v>
      </c>
      <c r="E4" s="361" t="s">
        <v>79</v>
      </c>
      <c r="G4" s="361" t="s">
        <v>1287</v>
      </c>
      <c r="H4" s="361" t="s">
        <v>1288</v>
      </c>
      <c r="I4" s="361" t="s">
        <v>1289</v>
      </c>
      <c r="J4" s="361" t="s">
        <v>1288</v>
      </c>
      <c r="K4" s="361" t="s">
        <v>1289</v>
      </c>
      <c r="L4" s="361" t="s">
        <v>1288</v>
      </c>
      <c r="M4" s="361" t="s">
        <v>1289</v>
      </c>
      <c r="N4" s="361" t="s">
        <v>1288</v>
      </c>
      <c r="O4" s="361" t="s">
        <v>1289</v>
      </c>
      <c r="P4" s="361" t="s">
        <v>1288</v>
      </c>
      <c r="Q4" s="361" t="s">
        <v>1289</v>
      </c>
    </row>
    <row r="5" spans="1:17" ht="15" customHeight="1">
      <c r="A5" s="377" t="s">
        <v>93</v>
      </c>
      <c r="B5" s="378"/>
      <c r="C5" s="391">
        <v>0</v>
      </c>
      <c r="D5" s="392">
        <v>0</v>
      </c>
      <c r="E5" s="344">
        <f>C5*D5</f>
        <v>0</v>
      </c>
      <c r="G5" s="328"/>
      <c r="H5" s="328"/>
      <c r="I5" s="328"/>
      <c r="J5" s="328"/>
      <c r="K5" s="328"/>
      <c r="L5" s="328"/>
      <c r="M5" s="328"/>
      <c r="N5" s="328"/>
      <c r="O5" s="328"/>
      <c r="P5" s="328"/>
      <c r="Q5" s="328"/>
    </row>
    <row r="6" spans="1:17" ht="15" customHeight="1">
      <c r="A6" s="377" t="s">
        <v>64</v>
      </c>
      <c r="B6" s="378"/>
      <c r="C6" s="391">
        <v>0</v>
      </c>
      <c r="D6" s="392">
        <v>0</v>
      </c>
      <c r="E6" s="344">
        <f>C6*D6</f>
        <v>0</v>
      </c>
      <c r="G6" s="328"/>
      <c r="H6" s="328"/>
      <c r="I6" s="328"/>
      <c r="J6" s="328"/>
      <c r="K6" s="328"/>
      <c r="L6" s="328"/>
      <c r="M6" s="328"/>
      <c r="N6" s="328"/>
      <c r="O6" s="328"/>
      <c r="P6" s="328"/>
      <c r="Q6" s="328"/>
    </row>
    <row r="7" spans="1:17" ht="15" customHeight="1">
      <c r="A7" s="387"/>
      <c r="B7" s="389"/>
      <c r="C7" s="391">
        <v>0</v>
      </c>
      <c r="D7" s="392">
        <v>0</v>
      </c>
      <c r="E7" s="344">
        <f>C7*D7</f>
        <v>0</v>
      </c>
      <c r="G7" s="328"/>
      <c r="H7" s="328"/>
      <c r="I7" s="328"/>
      <c r="J7" s="328"/>
      <c r="K7" s="328"/>
      <c r="L7" s="328"/>
      <c r="M7" s="328"/>
      <c r="N7" s="328"/>
      <c r="O7" s="328"/>
      <c r="P7" s="328"/>
      <c r="Q7" s="328"/>
    </row>
    <row r="8" spans="1:17" ht="15" customHeight="1">
      <c r="A8" s="364" t="s">
        <v>65</v>
      </c>
      <c r="B8" s="366"/>
      <c r="C8" s="391">
        <v>0</v>
      </c>
      <c r="D8" s="392">
        <v>0</v>
      </c>
      <c r="E8" s="344">
        <f>C8*D8</f>
        <v>0</v>
      </c>
      <c r="G8" s="328"/>
      <c r="H8" s="328"/>
      <c r="I8" s="328"/>
      <c r="J8" s="328"/>
      <c r="K8" s="328"/>
      <c r="L8" s="328"/>
      <c r="M8" s="328"/>
      <c r="N8" s="328"/>
      <c r="O8" s="328"/>
      <c r="P8" s="328"/>
      <c r="Q8" s="328"/>
    </row>
    <row r="9" spans="1:17" ht="15" customHeight="1">
      <c r="A9" s="379" t="s">
        <v>94</v>
      </c>
      <c r="B9" s="380"/>
      <c r="C9" s="381"/>
      <c r="D9" s="382">
        <f>SUM(D5:D8)</f>
        <v>0</v>
      </c>
      <c r="E9" s="344" t="str">
        <f>IF(SUM($D$5:$D$8)=100%,SUM(E5:E8),"    GEEN 100%")</f>
        <v xml:space="preserve">    GEEN 100%</v>
      </c>
      <c r="G9" s="328"/>
      <c r="H9" s="383"/>
      <c r="I9" s="328"/>
      <c r="J9" s="328"/>
      <c r="K9" s="328"/>
      <c r="L9" s="328"/>
      <c r="M9" s="328"/>
      <c r="N9" s="328"/>
      <c r="O9" s="328"/>
      <c r="P9" s="328"/>
      <c r="Q9" s="328"/>
    </row>
    <row r="10" spans="1:17" ht="15" customHeight="1">
      <c r="A10" s="324" t="s">
        <v>66</v>
      </c>
      <c r="B10" s="324"/>
      <c r="C10" s="324"/>
      <c r="D10" s="325" t="s">
        <v>3</v>
      </c>
      <c r="E10" s="356">
        <f>SUM(E9:E9)</f>
        <v>0</v>
      </c>
      <c r="G10" s="328" t="s">
        <v>1290</v>
      </c>
      <c r="H10" s="329">
        <v>0</v>
      </c>
      <c r="I10" s="356">
        <f>(E10*H10)+E10</f>
        <v>0</v>
      </c>
      <c r="J10" s="329">
        <v>0</v>
      </c>
      <c r="K10" s="356">
        <f>(I10*J10)+I10</f>
        <v>0</v>
      </c>
      <c r="L10" s="329">
        <v>0</v>
      </c>
      <c r="M10" s="356">
        <f>(K10*L10)+K10</f>
        <v>0</v>
      </c>
      <c r="N10" s="329">
        <v>0</v>
      </c>
      <c r="O10" s="356">
        <f>(M10*N10)+M10</f>
        <v>0</v>
      </c>
      <c r="P10" s="329">
        <v>0</v>
      </c>
      <c r="Q10" s="356">
        <f>(O10*P10)+O10</f>
        <v>0</v>
      </c>
    </row>
    <row r="11" spans="1:17" ht="15" customHeight="1">
      <c r="A11" s="384"/>
      <c r="B11" s="385"/>
      <c r="C11" s="385"/>
      <c r="D11" s="385"/>
      <c r="G11" s="328"/>
      <c r="H11" s="328"/>
      <c r="I11" s="328"/>
      <c r="J11" s="328"/>
      <c r="K11" s="328"/>
      <c r="L11" s="328"/>
      <c r="M11" s="328"/>
      <c r="N11" s="328"/>
      <c r="O11" s="328"/>
      <c r="P11" s="328"/>
      <c r="Q11" s="328"/>
    </row>
    <row r="12" spans="1:17" s="362" customFormat="1" ht="26.25" customHeight="1">
      <c r="A12" s="358" t="s">
        <v>67</v>
      </c>
      <c r="B12" s="359"/>
      <c r="C12" s="360"/>
      <c r="D12" s="341" t="s">
        <v>76</v>
      </c>
      <c r="E12" s="361" t="s">
        <v>79</v>
      </c>
      <c r="G12" s="363"/>
      <c r="H12" s="363"/>
      <c r="I12" s="363"/>
      <c r="J12" s="363"/>
      <c r="K12" s="363"/>
      <c r="L12" s="363"/>
      <c r="M12" s="363"/>
      <c r="N12" s="363"/>
      <c r="O12" s="363"/>
      <c r="P12" s="363"/>
      <c r="Q12" s="363"/>
    </row>
    <row r="13" spans="1:17" ht="15" customHeight="1">
      <c r="A13" s="354" t="s">
        <v>4</v>
      </c>
      <c r="B13" s="351"/>
      <c r="C13" s="351"/>
      <c r="D13" s="386">
        <v>0</v>
      </c>
      <c r="E13" s="368">
        <f>SUM($E$10*D13)</f>
        <v>0</v>
      </c>
      <c r="G13" s="328" t="s">
        <v>1582</v>
      </c>
      <c r="H13" s="329"/>
      <c r="I13" s="350">
        <f>(E13*H13)+E13</f>
        <v>0</v>
      </c>
      <c r="J13" s="349"/>
      <c r="K13" s="350">
        <f>(I13*J13)+I13</f>
        <v>0</v>
      </c>
      <c r="L13" s="349"/>
      <c r="M13" s="350">
        <f>(K13*L13)+K13</f>
        <v>0</v>
      </c>
      <c r="N13" s="349"/>
      <c r="O13" s="350">
        <f>(M13*N13)+M13</f>
        <v>0</v>
      </c>
      <c r="P13" s="349"/>
      <c r="Q13" s="350">
        <f>(O13*P13)+O13</f>
        <v>0</v>
      </c>
    </row>
    <row r="14" spans="1:17" ht="15" customHeight="1">
      <c r="A14" s="351" t="s">
        <v>81</v>
      </c>
      <c r="B14" s="351"/>
      <c r="C14" s="351"/>
      <c r="D14" s="386">
        <v>0</v>
      </c>
      <c r="E14" s="368">
        <f>SUM($E$10*D14)</f>
        <v>0</v>
      </c>
      <c r="G14" s="328" t="s">
        <v>1582</v>
      </c>
      <c r="H14" s="329"/>
      <c r="I14" s="350">
        <f>(E14*H14)+E14</f>
        <v>0</v>
      </c>
      <c r="J14" s="349"/>
      <c r="K14" s="350">
        <f>(I14*J14)+I14</f>
        <v>0</v>
      </c>
      <c r="L14" s="349"/>
      <c r="M14" s="350">
        <f>(K14*L14)+K14</f>
        <v>0</v>
      </c>
      <c r="N14" s="349"/>
      <c r="O14" s="350">
        <f>(M14*N14)+M14</f>
        <v>0</v>
      </c>
      <c r="P14" s="349"/>
      <c r="Q14" s="350">
        <f>(O14*P14)+O14</f>
        <v>0</v>
      </c>
    </row>
    <row r="15" spans="1:17" ht="15" customHeight="1">
      <c r="A15" s="351" t="s">
        <v>5</v>
      </c>
      <c r="B15" s="351"/>
      <c r="C15" s="351"/>
      <c r="D15" s="386">
        <v>0</v>
      </c>
      <c r="E15" s="368">
        <f>SUM($E$10*D15)</f>
        <v>0</v>
      </c>
      <c r="G15" s="328" t="s">
        <v>1582</v>
      </c>
      <c r="H15" s="329"/>
      <c r="I15" s="350">
        <f>(E15*H15)+E15</f>
        <v>0</v>
      </c>
      <c r="J15" s="349"/>
      <c r="K15" s="350">
        <f>(I15*J15)+I15</f>
        <v>0</v>
      </c>
      <c r="L15" s="349"/>
      <c r="M15" s="350">
        <f>(K15*L15)+K15</f>
        <v>0</v>
      </c>
      <c r="N15" s="349"/>
      <c r="O15" s="350">
        <f>(M15*N15)+M15</f>
        <v>0</v>
      </c>
      <c r="P15" s="349"/>
      <c r="Q15" s="350">
        <f>(O15*P15)+O15</f>
        <v>0</v>
      </c>
    </row>
    <row r="16" spans="1:17" ht="15" customHeight="1">
      <c r="A16" s="351" t="s">
        <v>6</v>
      </c>
      <c r="B16" s="351"/>
      <c r="C16" s="351"/>
      <c r="D16" s="386">
        <v>0</v>
      </c>
      <c r="E16" s="368">
        <f>SUM($E$10*D16)</f>
        <v>0</v>
      </c>
      <c r="G16" s="328" t="s">
        <v>1582</v>
      </c>
      <c r="H16" s="329"/>
      <c r="I16" s="350">
        <f>(E16*H16)+E16</f>
        <v>0</v>
      </c>
      <c r="J16" s="349"/>
      <c r="K16" s="350">
        <f>(I16*J16)+I16</f>
        <v>0</v>
      </c>
      <c r="L16" s="349"/>
      <c r="M16" s="350">
        <f>(K16*L16)+K16</f>
        <v>0</v>
      </c>
      <c r="N16" s="349"/>
      <c r="O16" s="350">
        <f>(M16*N16)+M16</f>
        <v>0</v>
      </c>
      <c r="P16" s="349"/>
      <c r="Q16" s="350">
        <f>(O16*P16)+O16</f>
        <v>0</v>
      </c>
    </row>
    <row r="17" spans="1:17" ht="15" customHeight="1">
      <c r="A17" s="387" t="s">
        <v>84</v>
      </c>
      <c r="B17" s="388"/>
      <c r="C17" s="389"/>
      <c r="D17" s="386">
        <v>0</v>
      </c>
      <c r="E17" s="368">
        <f>SUM($E$10*D17)</f>
        <v>0</v>
      </c>
      <c r="G17" s="328" t="s">
        <v>1582</v>
      </c>
      <c r="H17" s="329"/>
      <c r="I17" s="350">
        <f>(E17*H17)+E17</f>
        <v>0</v>
      </c>
      <c r="J17" s="349"/>
      <c r="K17" s="350">
        <f>(I17*J17)+I17</f>
        <v>0</v>
      </c>
      <c r="L17" s="349"/>
      <c r="M17" s="350">
        <f>(K17*L17)+K17</f>
        <v>0</v>
      </c>
      <c r="N17" s="349"/>
      <c r="O17" s="350">
        <f>(M17*N17)+M17</f>
        <v>0</v>
      </c>
      <c r="P17" s="349"/>
      <c r="Q17" s="350">
        <f>(O17*P17)+O17</f>
        <v>0</v>
      </c>
    </row>
    <row r="18" spans="1:17" ht="15" customHeight="1">
      <c r="A18" s="324" t="s">
        <v>73</v>
      </c>
      <c r="B18" s="324"/>
      <c r="C18" s="324"/>
      <c r="D18" s="325"/>
      <c r="E18" s="367">
        <f>SUM(E13:E17)</f>
        <v>0</v>
      </c>
      <c r="G18" s="328"/>
      <c r="H18" s="329"/>
      <c r="I18" s="367">
        <f>SUM(I13:I17)</f>
        <v>0</v>
      </c>
      <c r="J18" s="329"/>
      <c r="K18" s="367">
        <f>SUM(K13:K17)</f>
        <v>0</v>
      </c>
      <c r="L18" s="329"/>
      <c r="M18" s="367">
        <f>SUM(M13:M17)</f>
        <v>0</v>
      </c>
      <c r="N18" s="329"/>
      <c r="O18" s="367">
        <f>SUM(O13:O17)</f>
        <v>0</v>
      </c>
      <c r="P18" s="329"/>
      <c r="Q18" s="367">
        <f>SUM(Q13:Q17)</f>
        <v>0</v>
      </c>
    </row>
    <row r="19" spans="1:17" ht="15" customHeight="1">
      <c r="D19" s="331"/>
      <c r="E19" s="338"/>
      <c r="G19" s="328"/>
      <c r="H19" s="328"/>
      <c r="I19" s="328"/>
      <c r="J19" s="328"/>
      <c r="K19" s="328"/>
      <c r="L19" s="328"/>
      <c r="M19" s="328"/>
      <c r="N19" s="328"/>
      <c r="O19" s="328"/>
      <c r="P19" s="328"/>
      <c r="Q19" s="328"/>
    </row>
    <row r="20" spans="1:17" s="362" customFormat="1" ht="26.25" customHeight="1">
      <c r="A20" s="358" t="s">
        <v>68</v>
      </c>
      <c r="B20" s="359"/>
      <c r="C20" s="360"/>
      <c r="D20" s="341" t="s">
        <v>77</v>
      </c>
      <c r="E20" s="361" t="s">
        <v>79</v>
      </c>
      <c r="G20" s="363"/>
      <c r="H20" s="363"/>
      <c r="I20" s="363"/>
      <c r="J20" s="363"/>
      <c r="K20" s="363"/>
      <c r="L20" s="363"/>
      <c r="M20" s="363"/>
      <c r="N20" s="363"/>
      <c r="O20" s="363"/>
      <c r="P20" s="363"/>
      <c r="Q20" s="363"/>
    </row>
    <row r="21" spans="1:17" ht="15" customHeight="1">
      <c r="A21" s="351" t="s">
        <v>7</v>
      </c>
      <c r="B21" s="351"/>
      <c r="C21" s="351"/>
      <c r="D21" s="353" t="e">
        <f>E21/$E$35</f>
        <v>#DIV/0!</v>
      </c>
      <c r="E21" s="390">
        <v>0</v>
      </c>
      <c r="G21" s="328" t="s">
        <v>1582</v>
      </c>
      <c r="H21" s="329"/>
      <c r="I21" s="350">
        <f>(E21*H21)+E21</f>
        <v>0</v>
      </c>
      <c r="J21" s="349"/>
      <c r="K21" s="350">
        <f>(I21*J21)+I21</f>
        <v>0</v>
      </c>
      <c r="L21" s="349"/>
      <c r="M21" s="350">
        <f>(K21*L21)+K21</f>
        <v>0</v>
      </c>
      <c r="N21" s="349"/>
      <c r="O21" s="350">
        <f>(M21*N21)+M21</f>
        <v>0</v>
      </c>
      <c r="P21" s="349"/>
      <c r="Q21" s="350">
        <f>(O21*P21)+O21</f>
        <v>0</v>
      </c>
    </row>
    <row r="22" spans="1:17" ht="15" customHeight="1">
      <c r="A22" s="354" t="s">
        <v>8</v>
      </c>
      <c r="B22" s="351"/>
      <c r="C22" s="351"/>
      <c r="D22" s="353" t="e">
        <f>E22/$E$35</f>
        <v>#DIV/0!</v>
      </c>
      <c r="E22" s="390">
        <v>0</v>
      </c>
      <c r="G22" s="328" t="s">
        <v>1582</v>
      </c>
      <c r="H22" s="329"/>
      <c r="I22" s="350">
        <f>(E22*H22)+E22</f>
        <v>0</v>
      </c>
      <c r="J22" s="349"/>
      <c r="K22" s="350">
        <f>(I22*J22)+I22</f>
        <v>0</v>
      </c>
      <c r="L22" s="349"/>
      <c r="M22" s="350">
        <f>(K22*L22)+K22</f>
        <v>0</v>
      </c>
      <c r="N22" s="349"/>
      <c r="O22" s="350">
        <f>(M22*N22)+M22</f>
        <v>0</v>
      </c>
      <c r="P22" s="349"/>
      <c r="Q22" s="350">
        <f>(O22*P22)+O22</f>
        <v>0</v>
      </c>
    </row>
    <row r="23" spans="1:17" ht="15" customHeight="1">
      <c r="A23" s="351" t="s">
        <v>9</v>
      </c>
      <c r="B23" s="351"/>
      <c r="C23" s="351"/>
      <c r="D23" s="353" t="e">
        <f>E23/$E$35</f>
        <v>#DIV/0!</v>
      </c>
      <c r="E23" s="390">
        <v>0</v>
      </c>
      <c r="G23" s="328" t="s">
        <v>1582</v>
      </c>
      <c r="H23" s="329"/>
      <c r="I23" s="348">
        <f>(E23*H23)+E23</f>
        <v>0</v>
      </c>
      <c r="J23" s="349"/>
      <c r="K23" s="350">
        <f>(I23*J23)+I23</f>
        <v>0</v>
      </c>
      <c r="L23" s="349"/>
      <c r="M23" s="350">
        <f>(K23*L23)+K23</f>
        <v>0</v>
      </c>
      <c r="N23" s="349"/>
      <c r="O23" s="350">
        <f>(M23*N23)+M23</f>
        <v>0</v>
      </c>
      <c r="P23" s="349"/>
      <c r="Q23" s="350">
        <f>(O23*P23)+O23</f>
        <v>0</v>
      </c>
    </row>
    <row r="24" spans="1:17" ht="15" customHeight="1">
      <c r="A24" s="364" t="s">
        <v>10</v>
      </c>
      <c r="B24" s="365"/>
      <c r="C24" s="366"/>
      <c r="D24" s="386">
        <v>0</v>
      </c>
      <c r="E24" s="355">
        <f>D24*$E$10</f>
        <v>0</v>
      </c>
      <c r="G24" s="328" t="s">
        <v>1290</v>
      </c>
      <c r="H24" s="329"/>
      <c r="I24" s="350">
        <f>(E24*H24)+E24</f>
        <v>0</v>
      </c>
      <c r="J24" s="349"/>
      <c r="K24" s="350">
        <f>(I24*J24)+I24</f>
        <v>0</v>
      </c>
      <c r="L24" s="349"/>
      <c r="M24" s="350">
        <f>(K24*L24)+K24</f>
        <v>0</v>
      </c>
      <c r="N24" s="349"/>
      <c r="O24" s="350">
        <f>(M24*N24)+M24</f>
        <v>0</v>
      </c>
      <c r="P24" s="349"/>
      <c r="Q24" s="350">
        <f>(O24*P24)+O24</f>
        <v>0</v>
      </c>
    </row>
    <row r="25" spans="1:17" ht="15" customHeight="1">
      <c r="A25" s="387" t="s">
        <v>82</v>
      </c>
      <c r="B25" s="388"/>
      <c r="C25" s="389"/>
      <c r="D25" s="353" t="e">
        <f>E25/$E$35</f>
        <v>#DIV/0!</v>
      </c>
      <c r="E25" s="390">
        <v>0</v>
      </c>
      <c r="G25" s="328" t="s">
        <v>1582</v>
      </c>
      <c r="H25" s="329"/>
      <c r="I25" s="348">
        <f>(E25*H25)+E25</f>
        <v>0</v>
      </c>
      <c r="J25" s="349"/>
      <c r="K25" s="350">
        <f>(I25*J25)+I25</f>
        <v>0</v>
      </c>
      <c r="L25" s="349"/>
      <c r="M25" s="350">
        <f>(K25*L25)+K25</f>
        <v>0</v>
      </c>
      <c r="N25" s="349"/>
      <c r="O25" s="350">
        <f>(M25*N25)+M25</f>
        <v>0</v>
      </c>
      <c r="P25" s="349"/>
      <c r="Q25" s="350">
        <f>(O25*P25)+O25</f>
        <v>0</v>
      </c>
    </row>
    <row r="26" spans="1:17" ht="15" customHeight="1">
      <c r="A26" s="324" t="s">
        <v>74</v>
      </c>
      <c r="B26" s="324"/>
      <c r="C26" s="324"/>
      <c r="D26" s="325" t="s">
        <v>3</v>
      </c>
      <c r="E26" s="356">
        <f>SUM(E21:E25)</f>
        <v>0</v>
      </c>
      <c r="G26" s="328"/>
      <c r="H26" s="328"/>
      <c r="I26" s="356">
        <f>SUM(I21:I25)</f>
        <v>0</v>
      </c>
      <c r="J26" s="329"/>
      <c r="K26" s="356">
        <f>SUM(K21:K25)</f>
        <v>0</v>
      </c>
      <c r="L26" s="329"/>
      <c r="M26" s="356">
        <f>SUM(M21:M25)</f>
        <v>0</v>
      </c>
      <c r="N26" s="329"/>
      <c r="O26" s="356">
        <f>SUM(O21:O25)</f>
        <v>0</v>
      </c>
      <c r="P26" s="329"/>
      <c r="Q26" s="356">
        <f>SUM(Q21:Q25)</f>
        <v>0</v>
      </c>
    </row>
    <row r="27" spans="1:17" ht="15" customHeight="1">
      <c r="A27" s="330"/>
      <c r="B27" s="330"/>
      <c r="C27" s="330"/>
      <c r="D27" s="331"/>
      <c r="E27" s="357"/>
      <c r="G27" s="328"/>
      <c r="H27" s="328"/>
      <c r="I27" s="328"/>
      <c r="J27" s="328"/>
      <c r="K27" s="328"/>
      <c r="L27" s="328"/>
      <c r="M27" s="328"/>
      <c r="N27" s="328"/>
      <c r="O27" s="328"/>
      <c r="P27" s="328"/>
      <c r="Q27" s="328"/>
    </row>
    <row r="28" spans="1:17" s="362" customFormat="1" ht="26.25" customHeight="1">
      <c r="A28" s="358" t="s">
        <v>69</v>
      </c>
      <c r="B28" s="359"/>
      <c r="C28" s="360"/>
      <c r="D28" s="341" t="s">
        <v>77</v>
      </c>
      <c r="E28" s="361" t="s">
        <v>79</v>
      </c>
      <c r="G28" s="363"/>
      <c r="H28" s="363"/>
      <c r="I28" s="363"/>
      <c r="J28" s="363"/>
      <c r="K28" s="363"/>
      <c r="L28" s="363"/>
      <c r="M28" s="363"/>
      <c r="N28" s="363"/>
      <c r="O28" s="363"/>
      <c r="P28" s="363"/>
      <c r="Q28" s="363"/>
    </row>
    <row r="29" spans="1:17" ht="15" customHeight="1">
      <c r="A29" s="354" t="s">
        <v>11</v>
      </c>
      <c r="B29" s="351"/>
      <c r="C29" s="351"/>
      <c r="D29" s="386">
        <v>0</v>
      </c>
      <c r="E29" s="355">
        <f>D29*($E$18+$E$10)</f>
        <v>0</v>
      </c>
      <c r="G29" s="328" t="s">
        <v>1582</v>
      </c>
      <c r="H29" s="329"/>
      <c r="I29" s="350">
        <f>(E29*H29)+E29</f>
        <v>0</v>
      </c>
      <c r="J29" s="349"/>
      <c r="K29" s="350">
        <f>(I29*J29)+I29</f>
        <v>0</v>
      </c>
      <c r="L29" s="349"/>
      <c r="M29" s="350">
        <f>(K29*L29)+K29</f>
        <v>0</v>
      </c>
      <c r="N29" s="349"/>
      <c r="O29" s="350">
        <f>(M29*N29)+M29</f>
        <v>0</v>
      </c>
      <c r="P29" s="349"/>
      <c r="Q29" s="350">
        <f>(O29*P29)+O29</f>
        <v>0</v>
      </c>
    </row>
    <row r="30" spans="1:17" ht="15" customHeight="1">
      <c r="A30" s="354" t="s">
        <v>70</v>
      </c>
      <c r="B30" s="351"/>
      <c r="C30" s="351"/>
      <c r="D30" s="352" t="e">
        <f>E30/$E$35</f>
        <v>#DIV/0!</v>
      </c>
      <c r="E30" s="390">
        <v>0</v>
      </c>
      <c r="G30" s="328" t="s">
        <v>1582</v>
      </c>
      <c r="H30" s="329"/>
      <c r="I30" s="348">
        <f>(E30*H30)+E30</f>
        <v>0</v>
      </c>
      <c r="J30" s="349"/>
      <c r="K30" s="350">
        <f>(I30*J30)+I30</f>
        <v>0</v>
      </c>
      <c r="L30" s="349"/>
      <c r="M30" s="350">
        <f>(K30*L30)+K30</f>
        <v>0</v>
      </c>
      <c r="N30" s="349"/>
      <c r="O30" s="350">
        <f>(M30*N30)+M30</f>
        <v>0</v>
      </c>
      <c r="P30" s="349"/>
      <c r="Q30" s="350">
        <f>(O30*P30)+O30</f>
        <v>0</v>
      </c>
    </row>
    <row r="31" spans="1:17" ht="15" customHeight="1">
      <c r="A31" s="387" t="s">
        <v>83</v>
      </c>
      <c r="B31" s="388"/>
      <c r="C31" s="389"/>
      <c r="D31" s="353" t="e">
        <f>E31/$E$35</f>
        <v>#DIV/0!</v>
      </c>
      <c r="E31" s="390">
        <v>0</v>
      </c>
      <c r="G31" s="328" t="s">
        <v>1582</v>
      </c>
      <c r="H31" s="329"/>
      <c r="I31" s="348">
        <f>(E31*H31)+E31</f>
        <v>0</v>
      </c>
      <c r="J31" s="349"/>
      <c r="K31" s="350">
        <f>(I31*J31)+I31</f>
        <v>0</v>
      </c>
      <c r="L31" s="349"/>
      <c r="M31" s="350">
        <f>(K31*L31)+K31</f>
        <v>0</v>
      </c>
      <c r="N31" s="349"/>
      <c r="O31" s="350">
        <f>(M31*N31)+M31</f>
        <v>0</v>
      </c>
      <c r="P31" s="349"/>
      <c r="Q31" s="350">
        <f>(O31*P31)+O31</f>
        <v>0</v>
      </c>
    </row>
    <row r="32" spans="1:17" ht="15" customHeight="1">
      <c r="A32" s="351" t="s">
        <v>71</v>
      </c>
      <c r="B32" s="351"/>
      <c r="C32" s="351"/>
      <c r="D32" s="352" t="e">
        <f>E32/$E$35</f>
        <v>#DIV/0!</v>
      </c>
      <c r="E32" s="390">
        <v>0</v>
      </c>
      <c r="G32" s="328" t="s">
        <v>1582</v>
      </c>
      <c r="H32" s="329"/>
      <c r="I32" s="348">
        <f>(E32*H32)+E32</f>
        <v>0</v>
      </c>
      <c r="J32" s="349"/>
      <c r="K32" s="350">
        <f>(I32*J32)+I32</f>
        <v>0</v>
      </c>
      <c r="L32" s="349"/>
      <c r="M32" s="350">
        <f>(K32*L32)+K32</f>
        <v>0</v>
      </c>
      <c r="N32" s="349"/>
      <c r="O32" s="350">
        <f>(M32*N32)+M32</f>
        <v>0</v>
      </c>
      <c r="P32" s="349"/>
      <c r="Q32" s="350">
        <f>(O32*P32)+O32</f>
        <v>0</v>
      </c>
    </row>
    <row r="33" spans="1:17" ht="15" customHeight="1">
      <c r="A33" s="324" t="s">
        <v>75</v>
      </c>
      <c r="B33" s="324"/>
      <c r="C33" s="324"/>
      <c r="D33" s="325"/>
      <c r="E33" s="326">
        <f>SUM(E29:E32)</f>
        <v>0</v>
      </c>
      <c r="G33" s="328"/>
      <c r="H33" s="329"/>
      <c r="I33" s="326">
        <f>SUM(I29:I32)</f>
        <v>0</v>
      </c>
      <c r="J33" s="329"/>
      <c r="K33" s="326">
        <f>SUM(K29:K32)</f>
        <v>0</v>
      </c>
      <c r="L33" s="329"/>
      <c r="M33" s="326">
        <f>SUM(M29:M32)</f>
        <v>0</v>
      </c>
      <c r="N33" s="329"/>
      <c r="O33" s="326">
        <f>SUM(O29:O32)</f>
        <v>0</v>
      </c>
      <c r="P33" s="329"/>
      <c r="Q33" s="326">
        <f>SUM(Q29:Q32)</f>
        <v>0</v>
      </c>
    </row>
    <row r="34" spans="1:17" ht="15" customHeight="1">
      <c r="A34" s="330"/>
      <c r="B34" s="330"/>
      <c r="C34" s="330"/>
      <c r="D34" s="331"/>
      <c r="E34" s="332"/>
      <c r="H34" s="328"/>
      <c r="I34" s="328"/>
      <c r="J34" s="328"/>
      <c r="K34" s="328"/>
      <c r="L34" s="328"/>
      <c r="M34" s="328"/>
      <c r="N34" s="328"/>
      <c r="O34" s="328"/>
      <c r="P34" s="328"/>
      <c r="Q34" s="328"/>
    </row>
    <row r="35" spans="1:17" ht="26.25" customHeight="1">
      <c r="A35" s="333" t="s">
        <v>92</v>
      </c>
      <c r="B35" s="334"/>
      <c r="C35" s="334"/>
      <c r="D35" s="335"/>
      <c r="E35" s="336">
        <f>E10+E18+E26+E33</f>
        <v>0</v>
      </c>
      <c r="G35" s="337"/>
      <c r="H35" s="328"/>
      <c r="I35" s="336">
        <f>I33+I26+I18+I10</f>
        <v>0</v>
      </c>
      <c r="J35" s="328"/>
      <c r="K35" s="336">
        <f>K33+K26+K18+K10</f>
        <v>0</v>
      </c>
      <c r="L35" s="328"/>
      <c r="M35" s="336">
        <f>M33+M26+M18+M10</f>
        <v>0</v>
      </c>
      <c r="N35" s="328"/>
      <c r="O35" s="336">
        <f>O33+O26+O18+O10</f>
        <v>0</v>
      </c>
      <c r="P35" s="328"/>
      <c r="Q35" s="336">
        <f>Q33+Q26+Q18+Q10</f>
        <v>0</v>
      </c>
    </row>
    <row r="36" spans="1:17" ht="15" customHeight="1">
      <c r="D36" s="331"/>
      <c r="E36" s="338"/>
    </row>
    <row r="37" spans="1:17" ht="26.25" customHeight="1">
      <c r="A37" s="339" t="s">
        <v>78</v>
      </c>
      <c r="B37" s="340"/>
      <c r="C37" s="341" t="s">
        <v>91</v>
      </c>
      <c r="D37" s="341" t="s">
        <v>1291</v>
      </c>
      <c r="E37" s="341" t="s">
        <v>1292</v>
      </c>
      <c r="H37" s="341" t="s">
        <v>1575</v>
      </c>
      <c r="I37" s="342" t="e">
        <f>(I35/E35)-100%</f>
        <v>#DIV/0!</v>
      </c>
      <c r="J37" s="341"/>
      <c r="K37" s="342" t="e">
        <f>(K35/I35)-100%</f>
        <v>#DIV/0!</v>
      </c>
      <c r="L37" s="341"/>
      <c r="M37" s="342" t="e">
        <f>(M35/K35)-100%</f>
        <v>#DIV/0!</v>
      </c>
      <c r="N37" s="341"/>
      <c r="O37" s="342" t="e">
        <f>(O35/M35)-100%</f>
        <v>#DIV/0!</v>
      </c>
      <c r="P37" s="341"/>
      <c r="Q37" s="342" t="e">
        <f>(Q35/O35)-100%</f>
        <v>#DIV/0!</v>
      </c>
    </row>
    <row r="38" spans="1:17" ht="15" customHeight="1">
      <c r="A38" s="328" t="s">
        <v>80</v>
      </c>
      <c r="B38" s="328" t="s">
        <v>86</v>
      </c>
      <c r="C38" s="343">
        <v>0</v>
      </c>
      <c r="D38" s="344">
        <f>+E35</f>
        <v>0</v>
      </c>
      <c r="E38" s="345">
        <f>D38*121%</f>
        <v>0</v>
      </c>
      <c r="F38" s="337"/>
      <c r="H38" s="328"/>
      <c r="I38" s="344" t="e">
        <f>(D38*$I$37)+D38</f>
        <v>#DIV/0!</v>
      </c>
      <c r="J38" s="328"/>
      <c r="K38" s="344" t="e">
        <f>(I38*$K$37)+I38</f>
        <v>#DIV/0!</v>
      </c>
      <c r="L38" s="328"/>
      <c r="M38" s="344" t="e">
        <f>(K38*$M$37)+K38</f>
        <v>#DIV/0!</v>
      </c>
      <c r="N38" s="328"/>
      <c r="O38" s="344" t="e">
        <f>(M38*$O$37)+M38</f>
        <v>#DIV/0!</v>
      </c>
      <c r="P38" s="328"/>
      <c r="Q38" s="344" t="e">
        <f>(O38*$Q$37)+O38</f>
        <v>#DIV/0!</v>
      </c>
    </row>
    <row r="39" spans="1:17" ht="15" customHeight="1">
      <c r="A39" s="328" t="s">
        <v>85</v>
      </c>
      <c r="B39" s="328" t="s">
        <v>87</v>
      </c>
      <c r="C39" s="343">
        <v>0.3</v>
      </c>
      <c r="D39" s="344">
        <f>SUM($E$10,$E$18,$E$26,$E$33)+(C39*($E$18+$E$10))</f>
        <v>0</v>
      </c>
      <c r="E39" s="345">
        <f>D39*121%</f>
        <v>0</v>
      </c>
      <c r="F39" s="337"/>
      <c r="H39" s="344"/>
      <c r="I39" s="344" t="e">
        <f t="shared" ref="I39:I41" si="0">(D39*$I$37)+D39</f>
        <v>#DIV/0!</v>
      </c>
      <c r="J39" s="328"/>
      <c r="K39" s="344" t="e">
        <f>(I39*$K$37)+I39</f>
        <v>#DIV/0!</v>
      </c>
      <c r="L39" s="328"/>
      <c r="M39" s="344" t="e">
        <f t="shared" ref="M39:M41" si="1">(K39*$M$37)+K39</f>
        <v>#DIV/0!</v>
      </c>
      <c r="N39" s="328"/>
      <c r="O39" s="344" t="e">
        <f t="shared" ref="O39:O41" si="2">(M39*$O$37)+M39</f>
        <v>#DIV/0!</v>
      </c>
      <c r="P39" s="328"/>
      <c r="Q39" s="344" t="e">
        <f t="shared" ref="Q39:Q41" si="3">(O39*$Q$37)+O39</f>
        <v>#DIV/0!</v>
      </c>
    </row>
    <row r="40" spans="1:17" ht="15" customHeight="1">
      <c r="A40" s="328" t="s">
        <v>24</v>
      </c>
      <c r="B40" s="328" t="s">
        <v>88</v>
      </c>
      <c r="C40" s="343">
        <v>0.5</v>
      </c>
      <c r="D40" s="344">
        <f>SUM($E$10,$E$18,$E$26,$E$33)+(C40*($E$18+$E$10))</f>
        <v>0</v>
      </c>
      <c r="E40" s="345">
        <f>D40*121%</f>
        <v>0</v>
      </c>
      <c r="F40" s="337"/>
      <c r="H40" s="328"/>
      <c r="I40" s="344" t="e">
        <f t="shared" si="0"/>
        <v>#DIV/0!</v>
      </c>
      <c r="J40" s="328"/>
      <c r="K40" s="344" t="e">
        <f>(I40*$K$37)+I40</f>
        <v>#DIV/0!</v>
      </c>
      <c r="L40" s="328"/>
      <c r="M40" s="344" t="e">
        <f t="shared" si="1"/>
        <v>#DIV/0!</v>
      </c>
      <c r="N40" s="328"/>
      <c r="O40" s="344" t="e">
        <f t="shared" si="2"/>
        <v>#DIV/0!</v>
      </c>
      <c r="P40" s="328"/>
      <c r="Q40" s="344" t="e">
        <f t="shared" si="3"/>
        <v>#DIV/0!</v>
      </c>
    </row>
    <row r="41" spans="1:17" ht="15" customHeight="1">
      <c r="A41" s="328" t="s">
        <v>89</v>
      </c>
      <c r="B41" s="346" t="s">
        <v>90</v>
      </c>
      <c r="C41" s="343">
        <v>1.5</v>
      </c>
      <c r="D41" s="344">
        <f>SUM($E$10,$E$18,$E$26,$E$33)+(C41*($E$18+$E$10))</f>
        <v>0</v>
      </c>
      <c r="E41" s="345">
        <f>D41*121%</f>
        <v>0</v>
      </c>
      <c r="F41" s="337"/>
      <c r="H41" s="328"/>
      <c r="I41" s="344" t="e">
        <f t="shared" si="0"/>
        <v>#DIV/0!</v>
      </c>
      <c r="J41" s="328"/>
      <c r="K41" s="344" t="e">
        <f>(I41*$K$37)+I41</f>
        <v>#DIV/0!</v>
      </c>
      <c r="L41" s="328"/>
      <c r="M41" s="344" t="e">
        <f t="shared" si="1"/>
        <v>#DIV/0!</v>
      </c>
      <c r="N41" s="328"/>
      <c r="O41" s="344" t="e">
        <f t="shared" si="2"/>
        <v>#DIV/0!</v>
      </c>
      <c r="P41" s="328"/>
      <c r="Q41" s="344" t="e">
        <f t="shared" si="3"/>
        <v>#DIV/0!</v>
      </c>
    </row>
    <row r="42" spans="1:17" ht="15" customHeight="1">
      <c r="E42" s="327"/>
    </row>
    <row r="43" spans="1:17" ht="15" customHeight="1">
      <c r="E43" s="327"/>
    </row>
    <row r="44" spans="1:17" ht="15" customHeight="1">
      <c r="E44" s="327"/>
    </row>
    <row r="45" spans="1:17" ht="15" customHeight="1">
      <c r="E45" s="327"/>
    </row>
    <row r="46" spans="1:17" ht="15" customHeight="1">
      <c r="E46" s="327"/>
    </row>
    <row r="47" spans="1:17" ht="15" customHeight="1">
      <c r="E47" s="327"/>
    </row>
    <row r="48" spans="1:17" ht="15" customHeight="1">
      <c r="E48" s="327"/>
    </row>
    <row r="49" s="327" customFormat="1" ht="15" customHeight="1"/>
    <row r="50" s="327" customFormat="1" ht="15" customHeight="1"/>
    <row r="51" s="327" customFormat="1" ht="15" customHeight="1"/>
    <row r="52" s="327" customFormat="1" ht="15" customHeight="1"/>
    <row r="53" s="327" customFormat="1" ht="15" customHeight="1"/>
    <row r="54" s="327" customFormat="1" ht="15" customHeight="1"/>
    <row r="55" s="327" customFormat="1" ht="15" customHeight="1"/>
    <row r="56" s="327" customFormat="1" ht="15" customHeight="1"/>
  </sheetData>
  <sheetProtection algorithmName="SHA-512" hashValue="wcM+satlJKR5Lagizih4nUfFCLseEAnxYhpQlWRj4rnuJWNxCAIy22EYMnMIH+5CzJSTuyShwGX8kt+F+x1ukA==" saltValue="65v/F8o0hrqpzRzV4i/dbA==" spinCount="100000" sheet="1" objects="1" scenarios="1" sort="0" autoFilter="0"/>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273"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81"/>
  <sheetViews>
    <sheetView view="pageBreakPreview" zoomScaleNormal="100" zoomScaleSheetLayoutView="100" workbookViewId="0">
      <selection activeCell="D7" sqref="D7"/>
    </sheetView>
  </sheetViews>
  <sheetFormatPr defaultColWidth="14.140625" defaultRowHeight="15" customHeight="1"/>
  <cols>
    <col min="1" max="1" width="14.140625" style="82"/>
    <col min="2" max="2" width="44.85546875" style="79" customWidth="1"/>
    <col min="3" max="3" width="14.140625" style="79"/>
    <col min="4" max="4" width="32.5703125" style="83" customWidth="1"/>
    <col min="5" max="5" width="16.28515625" style="79" customWidth="1"/>
    <col min="6" max="6" width="17.85546875" style="79" customWidth="1"/>
    <col min="7" max="7" width="16" style="84" bestFit="1" customWidth="1"/>
    <col min="8" max="8" width="16" style="79" bestFit="1" customWidth="1"/>
    <col min="9" max="9" width="14.140625" style="79"/>
    <col min="10" max="10" width="16" style="82" bestFit="1" customWidth="1"/>
    <col min="11" max="15" width="14.140625" style="85"/>
    <col min="16" max="16384" width="14.140625" style="79"/>
  </cols>
  <sheetData>
    <row r="1" spans="1:16" s="26" customFormat="1" ht="26.25" customHeight="1">
      <c r="A1" s="303" t="s">
        <v>110</v>
      </c>
      <c r="B1" s="303"/>
      <c r="C1" s="303"/>
      <c r="D1" s="303"/>
      <c r="E1" s="303"/>
      <c r="F1" s="303"/>
      <c r="G1" s="31"/>
      <c r="H1" s="31"/>
      <c r="I1" s="31"/>
      <c r="J1" s="31"/>
      <c r="K1" s="31"/>
      <c r="L1" s="31"/>
      <c r="M1" s="31"/>
    </row>
    <row r="2" spans="1:16" s="26" customFormat="1" ht="15" customHeight="1">
      <c r="A2" s="301" t="s">
        <v>1587</v>
      </c>
      <c r="B2" s="302"/>
      <c r="C2" s="302"/>
      <c r="D2" s="302"/>
      <c r="E2" s="302"/>
      <c r="F2" s="302"/>
      <c r="G2" s="32"/>
      <c r="H2" s="32"/>
      <c r="I2" s="32"/>
      <c r="J2" s="32"/>
      <c r="K2" s="32"/>
      <c r="L2" s="32"/>
      <c r="M2" s="32"/>
      <c r="N2" s="32"/>
    </row>
    <row r="3" spans="1:16" s="35" customFormat="1" ht="26.25" customHeight="1">
      <c r="A3" s="33" t="s">
        <v>214</v>
      </c>
      <c r="B3" s="33"/>
      <c r="C3" s="33"/>
      <c r="D3" s="33"/>
      <c r="E3" s="34"/>
      <c r="F3" s="34"/>
      <c r="H3" s="36"/>
      <c r="I3" s="36"/>
      <c r="K3" s="37"/>
      <c r="L3" s="38"/>
      <c r="M3" s="38"/>
      <c r="N3" s="38"/>
      <c r="O3" s="38"/>
      <c r="P3" s="38"/>
    </row>
    <row r="4" spans="1:16" s="35" customFormat="1" ht="26.25" customHeight="1" thickBot="1">
      <c r="A4" s="236" t="s">
        <v>33</v>
      </c>
      <c r="B4" s="237" t="s">
        <v>135</v>
      </c>
      <c r="C4" s="238" t="s">
        <v>98</v>
      </c>
      <c r="D4" s="239" t="s">
        <v>1279</v>
      </c>
      <c r="E4" s="240" t="s">
        <v>1280</v>
      </c>
      <c r="F4" s="241" t="s">
        <v>1282</v>
      </c>
      <c r="G4" s="36"/>
      <c r="H4" s="36"/>
      <c r="J4" s="37"/>
      <c r="K4" s="38"/>
      <c r="L4" s="38"/>
      <c r="M4" s="38"/>
      <c r="N4" s="38"/>
      <c r="O4" s="38"/>
    </row>
    <row r="5" spans="1:16" s="35" customFormat="1" ht="15" customHeight="1" thickTop="1">
      <c r="A5" s="40">
        <v>1</v>
      </c>
      <c r="B5" s="41" t="s">
        <v>1661</v>
      </c>
      <c r="C5" s="394">
        <v>1</v>
      </c>
      <c r="D5" s="42" t="s">
        <v>1619</v>
      </c>
      <c r="E5" s="43" t="s">
        <v>1620</v>
      </c>
      <c r="F5" s="28" t="s">
        <v>1621</v>
      </c>
      <c r="G5" s="36"/>
      <c r="H5" s="36"/>
      <c r="J5" s="37"/>
      <c r="K5" s="38"/>
      <c r="L5" s="38"/>
      <c r="M5" s="38"/>
      <c r="N5" s="38"/>
      <c r="O5" s="38"/>
    </row>
    <row r="6" spans="1:16" s="35" customFormat="1" ht="15" customHeight="1">
      <c r="A6" s="40">
        <v>2</v>
      </c>
      <c r="B6" s="44" t="s">
        <v>2128</v>
      </c>
      <c r="C6" s="394">
        <v>1</v>
      </c>
      <c r="D6" s="42" t="s">
        <v>1622</v>
      </c>
      <c r="E6" s="43" t="s">
        <v>1623</v>
      </c>
      <c r="F6" s="45" t="s">
        <v>1621</v>
      </c>
      <c r="G6" s="36"/>
      <c r="H6" s="36"/>
      <c r="J6" s="37"/>
      <c r="K6" s="38"/>
      <c r="L6" s="38"/>
      <c r="M6" s="38"/>
      <c r="N6" s="38"/>
      <c r="O6" s="38"/>
    </row>
    <row r="7" spans="1:16" s="35" customFormat="1" ht="15" customHeight="1">
      <c r="A7" s="40">
        <v>3</v>
      </c>
      <c r="B7" s="44" t="s">
        <v>2129</v>
      </c>
      <c r="C7" s="394">
        <v>1</v>
      </c>
      <c r="D7" s="42" t="s">
        <v>1624</v>
      </c>
      <c r="E7" s="43" t="s">
        <v>1625</v>
      </c>
      <c r="F7" s="45" t="s">
        <v>1621</v>
      </c>
      <c r="G7" s="36"/>
      <c r="H7" s="36"/>
      <c r="J7" s="37"/>
      <c r="K7" s="38"/>
      <c r="L7" s="38"/>
      <c r="M7" s="38"/>
      <c r="N7" s="38"/>
      <c r="O7" s="38"/>
    </row>
    <row r="8" spans="1:16" s="35" customFormat="1" ht="15" customHeight="1">
      <c r="A8" s="40">
        <v>4</v>
      </c>
      <c r="B8" s="44" t="s">
        <v>2130</v>
      </c>
      <c r="C8" s="394">
        <v>1</v>
      </c>
      <c r="D8" s="42" t="s">
        <v>1626</v>
      </c>
      <c r="E8" s="43" t="s">
        <v>1627</v>
      </c>
      <c r="F8" s="45" t="s">
        <v>1621</v>
      </c>
      <c r="G8" s="36"/>
      <c r="H8" s="36"/>
      <c r="J8" s="37"/>
      <c r="K8" s="38"/>
      <c r="L8" s="38"/>
      <c r="M8" s="38"/>
      <c r="N8" s="38"/>
      <c r="O8" s="38"/>
    </row>
    <row r="9" spans="1:16" s="35" customFormat="1" ht="15" customHeight="1">
      <c r="A9" s="40">
        <v>5</v>
      </c>
      <c r="B9" s="44" t="s">
        <v>2131</v>
      </c>
      <c r="C9" s="394">
        <v>1</v>
      </c>
      <c r="D9" s="42" t="s">
        <v>1628</v>
      </c>
      <c r="E9" s="43" t="s">
        <v>1629</v>
      </c>
      <c r="F9" s="45" t="s">
        <v>1621</v>
      </c>
      <c r="G9" s="36"/>
      <c r="H9" s="36"/>
      <c r="J9" s="37"/>
      <c r="K9" s="38"/>
      <c r="L9" s="38"/>
      <c r="M9" s="38"/>
      <c r="N9" s="38"/>
      <c r="O9" s="38"/>
    </row>
    <row r="10" spans="1:16" s="35" customFormat="1" ht="15" customHeight="1">
      <c r="A10" s="48">
        <v>6</v>
      </c>
      <c r="B10" s="259" t="s">
        <v>2132</v>
      </c>
      <c r="C10" s="394">
        <v>1</v>
      </c>
      <c r="D10" s="42" t="s">
        <v>1630</v>
      </c>
      <c r="E10" s="43" t="s">
        <v>1631</v>
      </c>
      <c r="F10" s="45" t="s">
        <v>1621</v>
      </c>
      <c r="G10" s="36"/>
      <c r="H10" s="36"/>
      <c r="J10" s="37"/>
      <c r="K10" s="38"/>
      <c r="L10" s="38"/>
      <c r="M10" s="38"/>
      <c r="N10" s="38"/>
      <c r="O10" s="38"/>
    </row>
    <row r="11" spans="1:16" s="35" customFormat="1" ht="15" customHeight="1">
      <c r="A11" s="48">
        <v>7</v>
      </c>
      <c r="B11" s="259" t="s">
        <v>2133</v>
      </c>
      <c r="C11" s="394">
        <v>1</v>
      </c>
      <c r="D11" s="42" t="s">
        <v>1632</v>
      </c>
      <c r="E11" s="43" t="s">
        <v>1633</v>
      </c>
      <c r="F11" s="45" t="s">
        <v>1621</v>
      </c>
      <c r="G11" s="36"/>
      <c r="H11" s="36"/>
      <c r="J11" s="37"/>
      <c r="K11" s="38"/>
      <c r="L11" s="38"/>
      <c r="M11" s="38"/>
      <c r="N11" s="38"/>
      <c r="O11" s="38"/>
    </row>
    <row r="12" spans="1:16" s="35" customFormat="1" ht="15" customHeight="1">
      <c r="A12" s="48">
        <v>8</v>
      </c>
      <c r="B12" s="259" t="s">
        <v>2134</v>
      </c>
      <c r="C12" s="394">
        <v>1</v>
      </c>
      <c r="D12" s="42" t="s">
        <v>1634</v>
      </c>
      <c r="E12" s="43" t="s">
        <v>1635</v>
      </c>
      <c r="F12" s="45" t="s">
        <v>1621</v>
      </c>
      <c r="G12" s="36"/>
      <c r="H12" s="36"/>
      <c r="J12" s="37"/>
      <c r="K12" s="38"/>
      <c r="L12" s="38"/>
      <c r="M12" s="38"/>
      <c r="N12" s="38"/>
      <c r="O12" s="38"/>
    </row>
    <row r="13" spans="1:16" s="35" customFormat="1" ht="15" customHeight="1">
      <c r="A13" s="48">
        <v>9</v>
      </c>
      <c r="B13" s="259" t="s">
        <v>2135</v>
      </c>
      <c r="C13" s="394">
        <v>1</v>
      </c>
      <c r="D13" s="42" t="s">
        <v>1636</v>
      </c>
      <c r="E13" s="43" t="s">
        <v>1637</v>
      </c>
      <c r="F13" s="45" t="s">
        <v>1621</v>
      </c>
      <c r="G13" s="36"/>
      <c r="H13" s="36"/>
      <c r="J13" s="37"/>
      <c r="K13" s="38"/>
      <c r="L13" s="38"/>
      <c r="M13" s="38"/>
      <c r="N13" s="38"/>
      <c r="O13" s="38"/>
    </row>
    <row r="14" spans="1:16" s="35" customFormat="1" ht="15" customHeight="1">
      <c r="A14" s="48">
        <v>10</v>
      </c>
      <c r="B14" s="259" t="s">
        <v>2136</v>
      </c>
      <c r="C14" s="394">
        <v>1</v>
      </c>
      <c r="D14" s="42" t="s">
        <v>1638</v>
      </c>
      <c r="E14" s="43" t="s">
        <v>1639</v>
      </c>
      <c r="F14" s="45" t="s">
        <v>1621</v>
      </c>
      <c r="G14" s="36"/>
      <c r="H14" s="36"/>
      <c r="J14" s="37"/>
      <c r="K14" s="38"/>
      <c r="L14" s="38"/>
      <c r="M14" s="38"/>
      <c r="N14" s="38"/>
      <c r="O14" s="38"/>
    </row>
    <row r="15" spans="1:16" s="35" customFormat="1" ht="15" customHeight="1">
      <c r="A15" s="48">
        <v>11</v>
      </c>
      <c r="B15" s="259" t="s">
        <v>2137</v>
      </c>
      <c r="C15" s="394">
        <v>1</v>
      </c>
      <c r="D15" s="42" t="s">
        <v>1640</v>
      </c>
      <c r="E15" s="43" t="s">
        <v>1639</v>
      </c>
      <c r="F15" s="45" t="s">
        <v>1621</v>
      </c>
      <c r="G15" s="36"/>
      <c r="H15" s="36"/>
      <c r="J15" s="37"/>
      <c r="K15" s="38"/>
      <c r="L15" s="38"/>
      <c r="M15" s="38"/>
      <c r="N15" s="38"/>
      <c r="O15" s="38"/>
    </row>
    <row r="16" spans="1:16" s="35" customFormat="1" ht="15" customHeight="1">
      <c r="A16" s="48">
        <v>12</v>
      </c>
      <c r="B16" s="259" t="s">
        <v>2138</v>
      </c>
      <c r="C16" s="394">
        <v>1</v>
      </c>
      <c r="D16" s="42" t="s">
        <v>1641</v>
      </c>
      <c r="E16" s="43" t="s">
        <v>1642</v>
      </c>
      <c r="F16" s="45" t="s">
        <v>1621</v>
      </c>
      <c r="G16" s="36"/>
      <c r="H16" s="36"/>
      <c r="J16" s="37"/>
      <c r="K16" s="38"/>
      <c r="L16" s="38"/>
      <c r="M16" s="38"/>
      <c r="N16" s="38"/>
      <c r="O16" s="38"/>
    </row>
    <row r="17" spans="1:16" s="35" customFormat="1" ht="15" customHeight="1">
      <c r="A17" s="48">
        <v>13</v>
      </c>
      <c r="B17" s="259" t="s">
        <v>2139</v>
      </c>
      <c r="C17" s="394">
        <v>1</v>
      </c>
      <c r="D17" s="42" t="s">
        <v>1643</v>
      </c>
      <c r="E17" s="393" t="s">
        <v>1644</v>
      </c>
      <c r="F17" s="45" t="s">
        <v>1621</v>
      </c>
      <c r="G17" s="36"/>
      <c r="H17" s="36"/>
      <c r="J17" s="37"/>
      <c r="K17" s="38"/>
      <c r="L17" s="38"/>
      <c r="M17" s="38"/>
      <c r="N17" s="38"/>
      <c r="O17" s="38"/>
    </row>
    <row r="18" spans="1:16" s="35" customFormat="1" ht="15" customHeight="1">
      <c r="A18" s="48">
        <v>14</v>
      </c>
      <c r="B18" s="259" t="s">
        <v>2140</v>
      </c>
      <c r="C18" s="394">
        <v>1</v>
      </c>
      <c r="D18" s="42" t="s">
        <v>1645</v>
      </c>
      <c r="E18" s="43" t="s">
        <v>1646</v>
      </c>
      <c r="F18" s="45" t="s">
        <v>1621</v>
      </c>
      <c r="G18" s="36"/>
      <c r="H18" s="36"/>
      <c r="J18" s="37"/>
      <c r="K18" s="38"/>
      <c r="L18" s="38"/>
      <c r="M18" s="38"/>
      <c r="N18" s="38"/>
      <c r="O18" s="38"/>
    </row>
    <row r="19" spans="1:16" s="35" customFormat="1" ht="15" customHeight="1">
      <c r="A19" s="48">
        <v>15</v>
      </c>
      <c r="B19" s="259" t="s">
        <v>2141</v>
      </c>
      <c r="C19" s="394">
        <v>1</v>
      </c>
      <c r="D19" s="42" t="s">
        <v>1647</v>
      </c>
      <c r="E19" s="43" t="s">
        <v>1646</v>
      </c>
      <c r="F19" s="45" t="s">
        <v>1621</v>
      </c>
      <c r="G19" s="36"/>
      <c r="H19" s="36"/>
      <c r="J19" s="37"/>
      <c r="K19" s="38"/>
      <c r="L19" s="38"/>
      <c r="M19" s="38"/>
      <c r="N19" s="38"/>
      <c r="O19" s="38"/>
    </row>
    <row r="20" spans="1:16" s="35" customFormat="1" ht="15" customHeight="1">
      <c r="A20" s="48">
        <v>16</v>
      </c>
      <c r="B20" s="259" t="s">
        <v>2142</v>
      </c>
      <c r="C20" s="394">
        <v>1</v>
      </c>
      <c r="D20" s="42" t="s">
        <v>1648</v>
      </c>
      <c r="E20" s="43" t="s">
        <v>1649</v>
      </c>
      <c r="F20" s="45" t="s">
        <v>1621</v>
      </c>
      <c r="G20" s="36"/>
      <c r="H20" s="36"/>
      <c r="J20" s="37"/>
      <c r="K20" s="38"/>
      <c r="L20" s="38"/>
      <c r="M20" s="38"/>
      <c r="N20" s="38"/>
      <c r="O20" s="38"/>
    </row>
    <row r="21" spans="1:16" s="35" customFormat="1" ht="15" customHeight="1">
      <c r="A21" s="48">
        <v>17</v>
      </c>
      <c r="B21" s="259" t="s">
        <v>2143</v>
      </c>
      <c r="C21" s="394">
        <v>1</v>
      </c>
      <c r="D21" s="42" t="s">
        <v>1650</v>
      </c>
      <c r="E21" s="43" t="s">
        <v>1649</v>
      </c>
      <c r="F21" s="45" t="s">
        <v>1621</v>
      </c>
      <c r="G21" s="36"/>
      <c r="H21" s="36"/>
      <c r="J21" s="37"/>
      <c r="K21" s="38"/>
      <c r="L21" s="38"/>
      <c r="M21" s="38"/>
      <c r="N21" s="38"/>
      <c r="O21" s="38"/>
    </row>
    <row r="22" spans="1:16" s="35" customFormat="1" ht="15" customHeight="1">
      <c r="A22" s="48">
        <v>18</v>
      </c>
      <c r="B22" s="259" t="s">
        <v>2144</v>
      </c>
      <c r="C22" s="394">
        <v>1</v>
      </c>
      <c r="D22" s="42" t="s">
        <v>1651</v>
      </c>
      <c r="E22" s="43" t="s">
        <v>1652</v>
      </c>
      <c r="F22" s="45" t="s">
        <v>1621</v>
      </c>
      <c r="G22" s="36"/>
      <c r="H22" s="36"/>
      <c r="J22" s="37"/>
      <c r="K22" s="38"/>
      <c r="L22" s="38"/>
      <c r="M22" s="38"/>
      <c r="N22" s="38"/>
      <c r="O22" s="38"/>
    </row>
    <row r="23" spans="1:16" s="35" customFormat="1" ht="15" customHeight="1">
      <c r="A23" s="48">
        <v>19</v>
      </c>
      <c r="B23" s="259" t="s">
        <v>2145</v>
      </c>
      <c r="C23" s="394">
        <v>1</v>
      </c>
      <c r="D23" s="42" t="s">
        <v>1653</v>
      </c>
      <c r="E23" s="43" t="s">
        <v>1654</v>
      </c>
      <c r="F23" s="45" t="s">
        <v>1621</v>
      </c>
      <c r="G23" s="36"/>
      <c r="H23" s="36"/>
      <c r="J23" s="37"/>
      <c r="K23" s="38"/>
      <c r="L23" s="38"/>
      <c r="M23" s="38"/>
      <c r="N23" s="38"/>
      <c r="O23" s="38"/>
    </row>
    <row r="24" spans="1:16" s="35" customFormat="1" ht="15" customHeight="1">
      <c r="A24" s="48">
        <v>20</v>
      </c>
      <c r="B24" s="259" t="s">
        <v>2146</v>
      </c>
      <c r="C24" s="394">
        <v>1</v>
      </c>
      <c r="D24" s="42" t="s">
        <v>1655</v>
      </c>
      <c r="E24" s="43" t="s">
        <v>1625</v>
      </c>
      <c r="F24" s="45" t="s">
        <v>1621</v>
      </c>
      <c r="G24" s="36"/>
      <c r="H24" s="36"/>
      <c r="J24" s="37"/>
      <c r="K24" s="38"/>
      <c r="L24" s="38"/>
      <c r="M24" s="38"/>
      <c r="N24" s="38"/>
      <c r="O24" s="38"/>
    </row>
    <row r="25" spans="1:16" s="35" customFormat="1" ht="15" customHeight="1">
      <c r="A25" s="48">
        <v>21</v>
      </c>
      <c r="B25" s="259" t="s">
        <v>2147</v>
      </c>
      <c r="C25" s="394">
        <v>1</v>
      </c>
      <c r="D25" s="42" t="s">
        <v>1653</v>
      </c>
      <c r="E25" s="43" t="s">
        <v>1656</v>
      </c>
      <c r="F25" s="45" t="s">
        <v>1621</v>
      </c>
      <c r="G25" s="36"/>
      <c r="H25" s="36"/>
      <c r="J25" s="37"/>
      <c r="K25" s="38"/>
      <c r="L25" s="38"/>
      <c r="M25" s="38"/>
      <c r="N25" s="38"/>
      <c r="O25" s="38"/>
    </row>
    <row r="26" spans="1:16" s="35" customFormat="1" ht="15" customHeight="1">
      <c r="A26" s="48">
        <v>22</v>
      </c>
      <c r="B26" s="42" t="s">
        <v>2148</v>
      </c>
      <c r="C26" s="394">
        <v>1</v>
      </c>
      <c r="D26" s="42" t="s">
        <v>2119</v>
      </c>
      <c r="E26" s="43" t="s">
        <v>1646</v>
      </c>
      <c r="F26" s="45" t="s">
        <v>1621</v>
      </c>
      <c r="G26" s="36"/>
      <c r="H26" s="36"/>
      <c r="J26" s="37"/>
      <c r="K26" s="38"/>
      <c r="L26" s="38"/>
      <c r="M26" s="38"/>
      <c r="N26" s="38"/>
      <c r="O26" s="38"/>
    </row>
    <row r="27" spans="1:16" s="35" customFormat="1" ht="15" customHeight="1">
      <c r="A27" s="48">
        <v>23</v>
      </c>
      <c r="B27" s="259" t="s">
        <v>2149</v>
      </c>
      <c r="C27" s="394">
        <v>1</v>
      </c>
      <c r="D27" s="260" t="s">
        <v>2152</v>
      </c>
      <c r="E27" s="43" t="s">
        <v>2153</v>
      </c>
      <c r="F27" s="45" t="s">
        <v>1621</v>
      </c>
      <c r="G27" s="36"/>
      <c r="H27" s="36"/>
      <c r="J27" s="37"/>
      <c r="K27" s="38"/>
      <c r="L27" s="38"/>
      <c r="M27" s="38"/>
      <c r="N27" s="38"/>
      <c r="O27" s="38"/>
    </row>
    <row r="28" spans="1:16" s="35" customFormat="1" ht="15" customHeight="1">
      <c r="A28" s="48">
        <v>24</v>
      </c>
      <c r="B28" s="259" t="s">
        <v>2150</v>
      </c>
      <c r="C28" s="394">
        <v>1</v>
      </c>
      <c r="D28" s="42" t="s">
        <v>1657</v>
      </c>
      <c r="E28" s="43" t="s">
        <v>1658</v>
      </c>
      <c r="F28" s="45" t="s">
        <v>1621</v>
      </c>
      <c r="G28" s="36"/>
      <c r="H28" s="36"/>
      <c r="J28" s="37"/>
      <c r="K28" s="38"/>
      <c r="L28" s="38"/>
      <c r="M28" s="38"/>
      <c r="N28" s="38"/>
      <c r="O28" s="38"/>
    </row>
    <row r="29" spans="1:16" s="35" customFormat="1" ht="15" customHeight="1">
      <c r="A29" s="48">
        <v>25</v>
      </c>
      <c r="B29" s="259" t="s">
        <v>2151</v>
      </c>
      <c r="C29" s="394">
        <v>1</v>
      </c>
      <c r="D29" s="260" t="s">
        <v>1659</v>
      </c>
      <c r="E29" s="43" t="s">
        <v>1660</v>
      </c>
      <c r="F29" s="45" t="s">
        <v>1621</v>
      </c>
      <c r="G29" s="36"/>
      <c r="H29" s="36"/>
      <c r="J29" s="37"/>
      <c r="K29" s="38"/>
      <c r="L29" s="38"/>
      <c r="M29" s="38"/>
      <c r="N29" s="38"/>
      <c r="O29" s="38"/>
    </row>
    <row r="30" spans="1:16" s="35" customFormat="1" ht="15" customHeight="1">
      <c r="A30" s="30"/>
      <c r="B30" s="28"/>
      <c r="C30" s="28"/>
      <c r="D30" s="28"/>
      <c r="E30" s="28"/>
      <c r="F30" s="28"/>
      <c r="H30" s="36"/>
      <c r="I30" s="36"/>
      <c r="K30" s="37"/>
      <c r="L30" s="38"/>
      <c r="M30" s="38"/>
      <c r="N30" s="38"/>
      <c r="O30" s="38"/>
      <c r="P30" s="38"/>
    </row>
    <row r="31" spans="1:16" s="35" customFormat="1" ht="15" customHeight="1">
      <c r="A31" s="46" t="s">
        <v>215</v>
      </c>
      <c r="B31" s="34"/>
      <c r="C31" s="34"/>
      <c r="D31" s="34"/>
      <c r="E31" s="47"/>
      <c r="F31" s="47"/>
      <c r="H31" s="36"/>
      <c r="I31" s="36"/>
      <c r="K31" s="37"/>
      <c r="L31" s="38"/>
      <c r="M31" s="38"/>
      <c r="N31" s="38"/>
      <c r="O31" s="38"/>
      <c r="P31" s="38"/>
    </row>
    <row r="32" spans="1:16" s="35" customFormat="1" ht="15" customHeight="1">
      <c r="A32" s="242" t="s">
        <v>33</v>
      </c>
      <c r="B32" s="243" t="s">
        <v>96</v>
      </c>
      <c r="C32" s="244" t="s">
        <v>95</v>
      </c>
      <c r="D32" s="242" t="s">
        <v>193</v>
      </c>
      <c r="E32" s="47"/>
      <c r="H32" s="36"/>
      <c r="J32" s="37"/>
      <c r="K32" s="38"/>
      <c r="L32" s="38"/>
      <c r="M32" s="38"/>
      <c r="N32" s="38"/>
      <c r="O32" s="38"/>
    </row>
    <row r="33" spans="1:18" s="35" customFormat="1" ht="15" customHeight="1">
      <c r="A33" s="48">
        <v>1</v>
      </c>
      <c r="B33" s="26" t="s">
        <v>57</v>
      </c>
      <c r="C33" s="395"/>
      <c r="D33" s="49" t="s">
        <v>1274</v>
      </c>
      <c r="E33" s="50"/>
      <c r="F33" s="51"/>
      <c r="G33" s="51"/>
      <c r="H33" s="36"/>
      <c r="I33" s="51"/>
      <c r="J33" s="37"/>
      <c r="K33" s="38"/>
      <c r="L33" s="38"/>
      <c r="M33" s="38"/>
      <c r="N33" s="38"/>
      <c r="O33" s="38"/>
    </row>
    <row r="34" spans="1:18" s="35" customFormat="1" ht="15" customHeight="1">
      <c r="A34" s="48">
        <v>2</v>
      </c>
      <c r="B34" s="26" t="s">
        <v>58</v>
      </c>
      <c r="C34" s="395"/>
      <c r="D34" s="49" t="s">
        <v>1275</v>
      </c>
      <c r="E34" s="52"/>
      <c r="F34" s="51"/>
      <c r="G34" s="51"/>
      <c r="H34" s="36"/>
      <c r="J34" s="37"/>
      <c r="K34" s="38"/>
      <c r="L34" s="38"/>
      <c r="M34" s="38"/>
      <c r="N34" s="38"/>
      <c r="O34" s="38"/>
    </row>
    <row r="35" spans="1:18" s="35" customFormat="1" ht="12">
      <c r="A35" s="48">
        <v>3</v>
      </c>
      <c r="B35" s="26" t="s">
        <v>59</v>
      </c>
      <c r="C35" s="395"/>
      <c r="D35" s="49" t="s">
        <v>1274</v>
      </c>
      <c r="E35" s="53"/>
      <c r="H35" s="36"/>
      <c r="J35" s="37"/>
      <c r="K35" s="38"/>
      <c r="L35" s="38"/>
      <c r="M35" s="38"/>
      <c r="N35" s="38"/>
      <c r="O35" s="38"/>
    </row>
    <row r="36" spans="1:18" s="35" customFormat="1" ht="14.25" customHeight="1">
      <c r="A36" s="48">
        <v>4</v>
      </c>
      <c r="B36" s="26" t="s">
        <v>241</v>
      </c>
      <c r="C36" s="395"/>
      <c r="D36" s="49" t="s">
        <v>1275</v>
      </c>
      <c r="E36" s="52"/>
      <c r="H36" s="36"/>
      <c r="J36" s="37"/>
      <c r="K36" s="38"/>
      <c r="L36" s="38"/>
      <c r="M36" s="38"/>
      <c r="N36" s="38"/>
      <c r="O36" s="38"/>
    </row>
    <row r="37" spans="1:18" s="35" customFormat="1" ht="15" customHeight="1">
      <c r="A37" s="48">
        <v>5</v>
      </c>
      <c r="B37" s="26" t="s">
        <v>22</v>
      </c>
      <c r="C37" s="395"/>
      <c r="D37" s="49" t="s">
        <v>1276</v>
      </c>
      <c r="E37" s="52"/>
      <c r="F37" s="51"/>
      <c r="G37" s="51"/>
      <c r="H37" s="36"/>
      <c r="I37" s="51"/>
      <c r="J37" s="37"/>
      <c r="K37" s="54"/>
      <c r="L37" s="54"/>
      <c r="M37" s="54"/>
      <c r="N37" s="38"/>
      <c r="O37" s="38"/>
      <c r="P37" s="55"/>
      <c r="Q37" s="55"/>
      <c r="R37" s="55"/>
    </row>
    <row r="38" spans="1:18" s="34" customFormat="1" ht="15" customHeight="1">
      <c r="A38" s="48">
        <v>6</v>
      </c>
      <c r="B38" s="26" t="s">
        <v>60</v>
      </c>
      <c r="C38" s="395"/>
      <c r="D38" s="49" t="s">
        <v>1274</v>
      </c>
      <c r="E38" s="52"/>
      <c r="H38" s="36"/>
      <c r="I38" s="56"/>
      <c r="N38" s="57"/>
      <c r="O38" s="57"/>
      <c r="P38" s="58"/>
      <c r="Q38" s="59"/>
      <c r="R38" s="59"/>
    </row>
    <row r="39" spans="1:18" s="65" customFormat="1" ht="15" customHeight="1">
      <c r="A39" s="48">
        <v>7</v>
      </c>
      <c r="B39" s="26" t="s">
        <v>38</v>
      </c>
      <c r="C39" s="395"/>
      <c r="D39" s="49" t="s">
        <v>1274</v>
      </c>
      <c r="E39" s="52"/>
      <c r="F39" s="60"/>
      <c r="G39" s="60"/>
      <c r="H39" s="36"/>
      <c r="I39" s="61"/>
      <c r="J39" s="60"/>
      <c r="K39" s="60"/>
      <c r="L39" s="60"/>
      <c r="M39" s="60"/>
      <c r="N39" s="62"/>
      <c r="O39" s="62"/>
      <c r="P39" s="63"/>
      <c r="Q39" s="63"/>
      <c r="R39" s="64"/>
    </row>
    <row r="40" spans="1:18" s="65" customFormat="1" ht="15" customHeight="1">
      <c r="A40" s="48">
        <v>8</v>
      </c>
      <c r="B40" s="26" t="s">
        <v>1278</v>
      </c>
      <c r="C40" s="395"/>
      <c r="D40" s="49" t="s">
        <v>1273</v>
      </c>
      <c r="E40" s="52"/>
      <c r="F40" s="60"/>
      <c r="G40" s="60"/>
      <c r="H40" s="36"/>
      <c r="I40" s="61"/>
      <c r="J40" s="60"/>
      <c r="K40" s="60"/>
      <c r="L40" s="60"/>
      <c r="M40" s="60"/>
      <c r="N40" s="62"/>
      <c r="O40" s="62"/>
      <c r="P40" s="63"/>
      <c r="Q40" s="63"/>
      <c r="R40" s="64"/>
    </row>
    <row r="41" spans="1:18" s="65" customFormat="1" ht="15" customHeight="1">
      <c r="A41" s="48">
        <v>9</v>
      </c>
      <c r="B41" s="26" t="s">
        <v>1265</v>
      </c>
      <c r="C41" s="395"/>
      <c r="D41" s="49" t="s">
        <v>1273</v>
      </c>
      <c r="E41" s="52"/>
      <c r="F41" s="66"/>
      <c r="G41" s="66"/>
      <c r="H41" s="36"/>
      <c r="I41" s="67"/>
      <c r="J41" s="60"/>
      <c r="K41" s="54"/>
      <c r="L41" s="54"/>
      <c r="M41" s="66"/>
      <c r="N41" s="62"/>
      <c r="O41" s="62"/>
      <c r="P41" s="63"/>
      <c r="Q41" s="63"/>
      <c r="R41" s="64"/>
    </row>
    <row r="42" spans="1:18" s="65" customFormat="1" ht="15" customHeight="1">
      <c r="A42" s="48">
        <v>10</v>
      </c>
      <c r="B42" s="26" t="s">
        <v>61</v>
      </c>
      <c r="C42" s="395"/>
      <c r="D42" s="49" t="s">
        <v>1274</v>
      </c>
      <c r="E42" s="52"/>
      <c r="F42" s="60"/>
      <c r="G42" s="60"/>
      <c r="H42" s="60"/>
      <c r="I42" s="61"/>
      <c r="J42" s="60"/>
      <c r="K42" s="60"/>
      <c r="L42" s="60"/>
      <c r="M42" s="60"/>
      <c r="N42" s="62"/>
      <c r="O42" s="62"/>
      <c r="P42" s="63"/>
      <c r="Q42" s="63"/>
      <c r="R42" s="64"/>
    </row>
    <row r="43" spans="1:18" s="65" customFormat="1" ht="15" customHeight="1">
      <c r="A43" s="48">
        <v>11</v>
      </c>
      <c r="B43" s="26" t="s">
        <v>1266</v>
      </c>
      <c r="C43" s="395"/>
      <c r="D43" s="49" t="s">
        <v>1274</v>
      </c>
      <c r="E43" s="52"/>
      <c r="F43" s="66"/>
      <c r="G43" s="60"/>
      <c r="H43" s="60"/>
      <c r="I43" s="67"/>
      <c r="J43" s="60"/>
      <c r="K43" s="60"/>
      <c r="L43" s="66"/>
      <c r="M43" s="60"/>
      <c r="N43" s="62"/>
      <c r="O43" s="62"/>
      <c r="P43" s="63"/>
      <c r="Q43" s="63"/>
      <c r="R43" s="64"/>
    </row>
    <row r="44" spans="1:18" s="65" customFormat="1" ht="15" customHeight="1">
      <c r="A44" s="48">
        <v>12</v>
      </c>
      <c r="B44" s="26" t="s">
        <v>1267</v>
      </c>
      <c r="C44" s="395"/>
      <c r="D44" s="49" t="s">
        <v>1274</v>
      </c>
      <c r="E44" s="52"/>
      <c r="F44" s="60"/>
      <c r="G44" s="60"/>
      <c r="H44" s="60"/>
      <c r="I44" s="61"/>
      <c r="J44" s="60"/>
      <c r="K44" s="60"/>
      <c r="L44" s="60"/>
      <c r="M44" s="60"/>
      <c r="N44" s="62"/>
      <c r="O44" s="62"/>
      <c r="P44" s="63"/>
      <c r="Q44" s="63"/>
      <c r="R44" s="64"/>
    </row>
    <row r="45" spans="1:18" s="65" customFormat="1" ht="15" customHeight="1">
      <c r="A45" s="48">
        <v>13</v>
      </c>
      <c r="B45" s="26" t="s">
        <v>1585</v>
      </c>
      <c r="C45" s="395"/>
      <c r="D45" s="49" t="s">
        <v>1274</v>
      </c>
      <c r="E45" s="52"/>
      <c r="F45" s="60"/>
      <c r="G45" s="60"/>
      <c r="H45" s="60"/>
      <c r="I45" s="61"/>
      <c r="J45" s="60"/>
      <c r="K45" s="66"/>
      <c r="L45" s="60"/>
      <c r="M45" s="66"/>
      <c r="N45" s="62"/>
      <c r="O45" s="62"/>
      <c r="P45" s="63"/>
      <c r="Q45" s="63"/>
      <c r="R45" s="64"/>
    </row>
    <row r="46" spans="1:18" s="65" customFormat="1" ht="15" customHeight="1">
      <c r="A46" s="48">
        <v>14</v>
      </c>
      <c r="B46" s="26" t="s">
        <v>1268</v>
      </c>
      <c r="C46" s="395"/>
      <c r="D46" s="49" t="s">
        <v>1273</v>
      </c>
      <c r="E46" s="52"/>
      <c r="F46" s="60"/>
      <c r="G46" s="60"/>
      <c r="H46" s="60"/>
      <c r="I46" s="61"/>
      <c r="J46" s="60"/>
      <c r="K46" s="60"/>
      <c r="L46" s="60"/>
      <c r="M46" s="60"/>
      <c r="N46" s="62"/>
      <c r="O46" s="62"/>
      <c r="P46" s="62"/>
      <c r="Q46" s="62"/>
    </row>
    <row r="47" spans="1:18" s="28" customFormat="1" ht="15" customHeight="1">
      <c r="A47" s="48">
        <v>15</v>
      </c>
      <c r="B47" s="26" t="s">
        <v>62</v>
      </c>
      <c r="C47" s="395"/>
      <c r="D47" s="49" t="s">
        <v>1274</v>
      </c>
      <c r="E47" s="52"/>
      <c r="F47" s="34"/>
      <c r="G47" s="34"/>
      <c r="H47" s="34"/>
      <c r="I47" s="56"/>
      <c r="J47" s="34"/>
      <c r="K47" s="34"/>
      <c r="L47" s="34"/>
      <c r="M47" s="34"/>
      <c r="N47" s="57"/>
      <c r="O47" s="57"/>
      <c r="P47" s="57"/>
      <c r="Q47" s="57"/>
    </row>
    <row r="48" spans="1:18" s="28" customFormat="1" ht="15" customHeight="1">
      <c r="A48" s="48">
        <v>16</v>
      </c>
      <c r="B48" s="26" t="s">
        <v>1269</v>
      </c>
      <c r="C48" s="395"/>
      <c r="D48" s="49" t="s">
        <v>1273</v>
      </c>
      <c r="E48" s="52"/>
      <c r="F48" s="34"/>
      <c r="G48" s="34"/>
      <c r="H48" s="34"/>
      <c r="I48" s="56"/>
      <c r="J48" s="34"/>
      <c r="K48" s="34"/>
      <c r="L48" s="34"/>
      <c r="M48" s="34"/>
      <c r="N48" s="57"/>
      <c r="O48" s="57"/>
      <c r="P48" s="57"/>
      <c r="Q48" s="57"/>
    </row>
    <row r="49" spans="1:20" s="28" customFormat="1" ht="15" customHeight="1">
      <c r="A49" s="48">
        <v>17</v>
      </c>
      <c r="B49" s="26" t="s">
        <v>1270</v>
      </c>
      <c r="C49" s="395"/>
      <c r="D49" s="49" t="s">
        <v>1274</v>
      </c>
      <c r="E49" s="52"/>
      <c r="F49" s="34"/>
      <c r="G49" s="34"/>
      <c r="H49" s="34"/>
      <c r="I49" s="56"/>
      <c r="J49" s="34"/>
      <c r="K49" s="34"/>
      <c r="L49" s="34"/>
      <c r="M49" s="34"/>
      <c r="N49" s="57"/>
      <c r="O49" s="57"/>
      <c r="P49" s="57"/>
      <c r="Q49" s="57"/>
    </row>
    <row r="50" spans="1:20" s="28" customFormat="1" ht="15" customHeight="1">
      <c r="A50" s="48">
        <v>18</v>
      </c>
      <c r="B50" s="26" t="s">
        <v>1271</v>
      </c>
      <c r="C50" s="395"/>
      <c r="D50" s="49" t="s">
        <v>1277</v>
      </c>
      <c r="E50" s="52"/>
      <c r="F50" s="34"/>
      <c r="G50" s="34"/>
      <c r="H50" s="34"/>
      <c r="I50" s="56"/>
      <c r="J50" s="34"/>
      <c r="K50" s="34"/>
      <c r="L50" s="34"/>
      <c r="M50" s="34"/>
      <c r="N50" s="57"/>
      <c r="O50" s="57"/>
      <c r="P50" s="57"/>
      <c r="Q50" s="57"/>
    </row>
    <row r="51" spans="1:20" s="28" customFormat="1" ht="15" customHeight="1">
      <c r="A51" s="48">
        <v>19</v>
      </c>
      <c r="B51" s="26" t="s">
        <v>2176</v>
      </c>
      <c r="C51" s="395"/>
      <c r="D51" s="49" t="s">
        <v>1274</v>
      </c>
      <c r="E51" s="52"/>
      <c r="F51" s="68"/>
      <c r="G51" s="34"/>
      <c r="H51" s="34"/>
      <c r="I51" s="56"/>
      <c r="J51" s="34"/>
      <c r="K51" s="69"/>
      <c r="L51" s="34"/>
      <c r="M51" s="34"/>
      <c r="N51" s="57"/>
      <c r="O51" s="57"/>
      <c r="P51" s="57"/>
      <c r="Q51" s="57"/>
    </row>
    <row r="52" spans="1:20" s="28" customFormat="1" ht="15" customHeight="1">
      <c r="A52" s="48">
        <v>20</v>
      </c>
      <c r="B52" s="26" t="s">
        <v>1272</v>
      </c>
      <c r="C52" s="395"/>
      <c r="D52" s="49"/>
      <c r="E52" s="52"/>
      <c r="F52" s="34"/>
      <c r="G52" s="34"/>
      <c r="H52" s="34"/>
      <c r="I52" s="56"/>
      <c r="J52" s="34"/>
      <c r="K52" s="34"/>
      <c r="L52" s="34"/>
      <c r="M52" s="34"/>
      <c r="N52" s="57"/>
      <c r="O52" s="57"/>
      <c r="P52" s="57"/>
      <c r="Q52" s="57"/>
    </row>
    <row r="53" spans="1:20" s="28" customFormat="1" ht="15" customHeight="1">
      <c r="A53" s="34"/>
      <c r="B53" s="34"/>
      <c r="C53" s="34"/>
      <c r="D53" s="34"/>
      <c r="E53" s="70"/>
      <c r="F53" s="34"/>
      <c r="G53" s="34"/>
      <c r="H53" s="70"/>
      <c r="I53" s="34"/>
      <c r="J53" s="34"/>
      <c r="K53" s="34"/>
      <c r="L53" s="57"/>
      <c r="M53" s="57"/>
      <c r="N53" s="57"/>
      <c r="O53" s="57"/>
      <c r="P53" s="57"/>
      <c r="Q53" s="34"/>
      <c r="R53" s="34"/>
    </row>
    <row r="54" spans="1:20" s="28" customFormat="1" ht="15" customHeight="1">
      <c r="A54" s="33" t="s">
        <v>216</v>
      </c>
      <c r="B54" s="33"/>
      <c r="C54" s="34"/>
      <c r="D54" s="34"/>
      <c r="E54" s="70"/>
      <c r="F54" s="34"/>
      <c r="G54" s="34"/>
      <c r="H54" s="34"/>
      <c r="I54" s="34"/>
      <c r="J54" s="34"/>
      <c r="K54" s="34"/>
      <c r="L54" s="57"/>
      <c r="M54" s="57"/>
      <c r="N54" s="57"/>
      <c r="O54" s="57"/>
      <c r="P54" s="57"/>
      <c r="Q54" s="34"/>
      <c r="R54" s="34"/>
    </row>
    <row r="55" spans="1:20" s="28" customFormat="1" ht="22.9" customHeight="1">
      <c r="A55" s="245" t="s">
        <v>33</v>
      </c>
      <c r="B55" s="246" t="s">
        <v>122</v>
      </c>
      <c r="C55" s="247" t="s">
        <v>98</v>
      </c>
      <c r="D55" s="244" t="s">
        <v>97</v>
      </c>
      <c r="E55" s="34"/>
      <c r="F55" s="34"/>
      <c r="G55" s="34"/>
      <c r="H55" s="34"/>
      <c r="I55" s="34"/>
      <c r="J55" s="57"/>
      <c r="K55" s="57"/>
      <c r="L55" s="57"/>
      <c r="M55" s="57"/>
      <c r="N55" s="57"/>
      <c r="O55" s="34"/>
      <c r="P55" s="34"/>
    </row>
    <row r="56" spans="1:20" s="28" customFormat="1" ht="15" customHeight="1">
      <c r="A56" s="72" t="s">
        <v>100</v>
      </c>
      <c r="B56" s="48" t="s">
        <v>123</v>
      </c>
      <c r="C56" s="396">
        <v>1</v>
      </c>
      <c r="D56" s="26" t="s">
        <v>103</v>
      </c>
      <c r="E56" s="34"/>
      <c r="F56" s="34"/>
      <c r="G56" s="34"/>
      <c r="H56" s="34"/>
      <c r="I56" s="34"/>
      <c r="J56" s="57"/>
      <c r="K56" s="57"/>
      <c r="L56" s="57"/>
      <c r="M56" s="57"/>
      <c r="N56" s="57"/>
      <c r="O56" s="34"/>
      <c r="P56" s="34"/>
    </row>
    <row r="57" spans="1:20" s="28" customFormat="1" ht="15" customHeight="1">
      <c r="A57" s="72" t="s">
        <v>99</v>
      </c>
      <c r="B57" s="48" t="s">
        <v>36</v>
      </c>
      <c r="C57" s="396">
        <v>1</v>
      </c>
      <c r="D57" s="26" t="s">
        <v>104</v>
      </c>
      <c r="E57" s="34"/>
      <c r="F57" s="34"/>
      <c r="G57" s="34"/>
      <c r="H57" s="34"/>
      <c r="I57" s="34"/>
      <c r="J57" s="57"/>
      <c r="K57" s="57"/>
      <c r="L57" s="57"/>
      <c r="M57" s="57"/>
      <c r="N57" s="57"/>
      <c r="O57" s="34"/>
      <c r="P57" s="34"/>
    </row>
    <row r="58" spans="1:20" s="28" customFormat="1" ht="12">
      <c r="A58" s="72" t="s">
        <v>101</v>
      </c>
      <c r="B58" s="48" t="s">
        <v>119</v>
      </c>
      <c r="C58" s="396">
        <v>1</v>
      </c>
      <c r="D58" s="26" t="s">
        <v>240</v>
      </c>
      <c r="E58" s="34"/>
      <c r="F58" s="34"/>
      <c r="G58" s="34"/>
      <c r="H58" s="34"/>
      <c r="I58" s="34"/>
      <c r="J58" s="57"/>
      <c r="K58" s="57"/>
      <c r="L58" s="57"/>
      <c r="M58" s="57"/>
      <c r="N58" s="57"/>
      <c r="O58" s="34"/>
      <c r="P58" s="34"/>
    </row>
    <row r="59" spans="1:20" s="28" customFormat="1" ht="15" customHeight="1">
      <c r="A59" s="72" t="s">
        <v>102</v>
      </c>
      <c r="B59" s="48" t="s">
        <v>120</v>
      </c>
      <c r="C59" s="396">
        <v>1</v>
      </c>
      <c r="D59" s="26" t="s">
        <v>105</v>
      </c>
      <c r="E59" s="34"/>
      <c r="F59" s="34"/>
      <c r="G59" s="34"/>
      <c r="H59" s="34"/>
      <c r="I59" s="34"/>
      <c r="J59" s="34"/>
      <c r="K59" s="34"/>
      <c r="L59" s="57"/>
      <c r="M59" s="57"/>
      <c r="N59" s="57"/>
      <c r="O59" s="57"/>
      <c r="P59" s="57"/>
      <c r="Q59" s="34"/>
      <c r="R59" s="34"/>
    </row>
    <row r="60" spans="1:20" s="28" customFormat="1" ht="15" customHeight="1">
      <c r="A60" s="72" t="s">
        <v>1309</v>
      </c>
      <c r="B60" s="48" t="s">
        <v>247</v>
      </c>
      <c r="C60" s="396">
        <v>1</v>
      </c>
      <c r="D60" s="26" t="s">
        <v>1493</v>
      </c>
      <c r="E60" s="70"/>
      <c r="F60" s="34"/>
      <c r="G60" s="34"/>
      <c r="H60" s="34"/>
      <c r="I60" s="34"/>
      <c r="J60" s="34"/>
      <c r="K60" s="34"/>
      <c r="L60" s="34"/>
      <c r="M60" s="34"/>
      <c r="N60" s="57"/>
      <c r="O60" s="57"/>
      <c r="P60" s="57"/>
      <c r="Q60" s="57"/>
      <c r="R60" s="57"/>
      <c r="S60" s="34"/>
      <c r="T60" s="34"/>
    </row>
    <row r="61" spans="1:20" s="28" customFormat="1" ht="15" customHeight="1">
      <c r="A61" s="34"/>
      <c r="B61" s="34"/>
      <c r="C61" s="34"/>
      <c r="D61" s="34"/>
      <c r="E61" s="35"/>
      <c r="F61" s="35"/>
      <c r="G61" s="34"/>
      <c r="H61" s="34"/>
      <c r="I61" s="34"/>
      <c r="J61" s="34"/>
      <c r="K61" s="34"/>
      <c r="L61" s="34"/>
      <c r="M61" s="34"/>
      <c r="N61" s="57"/>
      <c r="O61" s="57"/>
      <c r="P61" s="57"/>
      <c r="Q61" s="57"/>
      <c r="R61" s="57"/>
      <c r="S61" s="34"/>
      <c r="T61" s="34"/>
    </row>
    <row r="62" spans="1:20" s="28" customFormat="1" ht="12">
      <c r="A62" s="33" t="s">
        <v>106</v>
      </c>
      <c r="B62" s="34"/>
      <c r="C62" s="34"/>
      <c r="D62" s="57"/>
      <c r="E62" s="35"/>
      <c r="F62" s="70"/>
      <c r="G62" s="34"/>
      <c r="H62" s="34"/>
      <c r="I62" s="34"/>
      <c r="J62" s="34"/>
      <c r="K62" s="34"/>
      <c r="L62" s="34"/>
      <c r="M62" s="57"/>
      <c r="N62" s="57"/>
      <c r="O62" s="57"/>
      <c r="P62" s="57"/>
      <c r="Q62" s="57"/>
      <c r="R62" s="34"/>
      <c r="S62" s="34"/>
    </row>
    <row r="63" spans="1:20" s="28" customFormat="1" ht="24">
      <c r="A63" s="245" t="s">
        <v>33</v>
      </c>
      <c r="B63" s="244" t="s">
        <v>107</v>
      </c>
      <c r="C63" s="247" t="s">
        <v>98</v>
      </c>
      <c r="D63" s="60" t="s">
        <v>164</v>
      </c>
      <c r="E63" s="35"/>
      <c r="F63" s="70"/>
      <c r="G63" s="34"/>
      <c r="H63" s="34"/>
      <c r="I63" s="34"/>
      <c r="J63" s="34"/>
      <c r="K63" s="34"/>
      <c r="L63" s="34"/>
      <c r="M63" s="57"/>
      <c r="N63" s="57"/>
      <c r="O63" s="57"/>
      <c r="P63" s="57"/>
      <c r="Q63" s="57"/>
      <c r="R63" s="34"/>
      <c r="S63" s="34"/>
    </row>
    <row r="64" spans="1:20" s="28" customFormat="1" ht="15" customHeight="1">
      <c r="A64" s="73" t="s">
        <v>251</v>
      </c>
      <c r="B64" s="74" t="s">
        <v>250</v>
      </c>
      <c r="C64" s="397">
        <v>1</v>
      </c>
      <c r="D64" s="34"/>
      <c r="E64" s="35"/>
      <c r="F64" s="70"/>
      <c r="G64" s="34"/>
      <c r="H64" s="34"/>
      <c r="I64" s="34"/>
      <c r="J64" s="34"/>
      <c r="K64" s="34"/>
      <c r="L64" s="34"/>
      <c r="M64" s="57"/>
      <c r="N64" s="57"/>
      <c r="O64" s="57"/>
      <c r="P64" s="57"/>
      <c r="Q64" s="57"/>
      <c r="R64" s="34"/>
      <c r="S64" s="34"/>
    </row>
    <row r="65" spans="1:18" s="28" customFormat="1" ht="15" customHeight="1">
      <c r="A65" s="75" t="s">
        <v>19</v>
      </c>
      <c r="B65" s="76" t="s">
        <v>29</v>
      </c>
      <c r="C65" s="397">
        <v>1</v>
      </c>
      <c r="D65" s="34"/>
      <c r="E65" s="35"/>
      <c r="F65" s="34"/>
      <c r="G65" s="34"/>
      <c r="H65" s="34"/>
      <c r="I65" s="34"/>
      <c r="J65" s="34"/>
      <c r="K65" s="57"/>
      <c r="L65" s="57"/>
      <c r="M65" s="57"/>
      <c r="N65" s="57"/>
      <c r="O65" s="57"/>
      <c r="P65" s="34"/>
      <c r="Q65" s="34"/>
    </row>
    <row r="66" spans="1:18" s="35" customFormat="1" ht="12">
      <c r="A66" s="73" t="s">
        <v>2</v>
      </c>
      <c r="B66" s="74" t="s">
        <v>1</v>
      </c>
      <c r="C66" s="397">
        <v>1</v>
      </c>
      <c r="D66" s="34"/>
      <c r="H66" s="77"/>
      <c r="I66" s="77"/>
      <c r="J66" s="38"/>
      <c r="K66" s="38"/>
      <c r="L66" s="38"/>
      <c r="M66" s="38"/>
      <c r="N66" s="38"/>
    </row>
    <row r="67" spans="1:18" ht="12">
      <c r="A67" s="75" t="s">
        <v>20</v>
      </c>
      <c r="B67" s="76" t="s">
        <v>21</v>
      </c>
      <c r="C67" s="397">
        <v>1</v>
      </c>
      <c r="D67" s="34"/>
      <c r="E67" s="35"/>
      <c r="F67" s="36"/>
      <c r="G67" s="78"/>
      <c r="H67" s="38"/>
      <c r="I67" s="38"/>
      <c r="J67" s="38"/>
      <c r="K67" s="38"/>
      <c r="L67" s="38"/>
      <c r="M67" s="38"/>
      <c r="N67" s="35"/>
      <c r="O67" s="35"/>
      <c r="P67" s="35"/>
    </row>
    <row r="68" spans="1:18" ht="15" customHeight="1">
      <c r="A68" s="73" t="s">
        <v>18</v>
      </c>
      <c r="B68" s="74" t="s">
        <v>12</v>
      </c>
      <c r="C68" s="397">
        <v>1</v>
      </c>
      <c r="D68" s="34"/>
      <c r="E68" s="35"/>
      <c r="F68" s="36"/>
      <c r="G68" s="78"/>
      <c r="H68" s="38"/>
      <c r="I68" s="38"/>
      <c r="J68" s="38"/>
      <c r="K68" s="38"/>
      <c r="L68" s="38"/>
      <c r="M68" s="38"/>
      <c r="N68" s="35"/>
      <c r="O68" s="35"/>
      <c r="P68" s="35"/>
    </row>
    <row r="69" spans="1:18" ht="15" customHeight="1">
      <c r="A69" s="75" t="s">
        <v>108</v>
      </c>
      <c r="B69" s="76" t="s">
        <v>109</v>
      </c>
      <c r="C69" s="397">
        <v>1</v>
      </c>
      <c r="D69" s="34"/>
      <c r="E69" s="35"/>
      <c r="F69" s="36"/>
      <c r="G69" s="78"/>
      <c r="H69" s="38"/>
      <c r="I69" s="38"/>
      <c r="J69" s="38"/>
      <c r="K69" s="38"/>
      <c r="L69" s="38"/>
      <c r="M69" s="38"/>
      <c r="N69" s="35"/>
      <c r="O69" s="35"/>
      <c r="P69" s="35"/>
    </row>
    <row r="70" spans="1:18" ht="15" customHeight="1">
      <c r="A70" s="73" t="s">
        <v>17</v>
      </c>
      <c r="B70" s="74" t="s">
        <v>14</v>
      </c>
      <c r="C70" s="397">
        <v>1</v>
      </c>
      <c r="D70" s="34"/>
      <c r="E70" s="35"/>
      <c r="F70" s="36"/>
      <c r="G70" s="78"/>
      <c r="H70" s="38"/>
      <c r="I70" s="38"/>
      <c r="J70" s="38"/>
      <c r="K70" s="38"/>
      <c r="L70" s="38"/>
      <c r="M70" s="38"/>
      <c r="N70" s="35"/>
      <c r="O70" s="35"/>
      <c r="P70" s="35"/>
    </row>
    <row r="71" spans="1:18" ht="15" customHeight="1">
      <c r="A71" s="75" t="s">
        <v>15</v>
      </c>
      <c r="B71" s="76" t="s">
        <v>13</v>
      </c>
      <c r="C71" s="397">
        <v>1</v>
      </c>
      <c r="D71" s="34"/>
      <c r="E71" s="35"/>
      <c r="F71" s="36"/>
      <c r="G71" s="78"/>
      <c r="H71" s="38"/>
      <c r="I71" s="38"/>
      <c r="J71" s="38"/>
      <c r="K71" s="38"/>
      <c r="L71" s="38"/>
      <c r="M71" s="38"/>
      <c r="N71" s="35"/>
      <c r="O71" s="35"/>
      <c r="P71" s="35"/>
    </row>
    <row r="72" spans="1:18" ht="15" customHeight="1">
      <c r="A72" s="73" t="s">
        <v>25</v>
      </c>
      <c r="B72" s="74" t="s">
        <v>28</v>
      </c>
      <c r="C72" s="397">
        <v>1</v>
      </c>
      <c r="D72" s="34"/>
      <c r="E72" s="35"/>
      <c r="F72" s="36"/>
      <c r="G72" s="78"/>
      <c r="H72" s="38"/>
      <c r="I72" s="38"/>
      <c r="J72" s="38"/>
      <c r="K72" s="38"/>
      <c r="L72" s="38"/>
      <c r="M72" s="38"/>
      <c r="N72" s="35"/>
      <c r="O72" s="35"/>
      <c r="P72" s="35"/>
    </row>
    <row r="73" spans="1:18" ht="15" customHeight="1">
      <c r="A73" s="75" t="s">
        <v>26</v>
      </c>
      <c r="B73" s="76" t="s">
        <v>27</v>
      </c>
      <c r="C73" s="397">
        <v>1</v>
      </c>
      <c r="D73" s="34"/>
      <c r="E73" s="35"/>
      <c r="F73" s="36"/>
      <c r="G73" s="78"/>
      <c r="H73" s="38"/>
      <c r="I73" s="38"/>
      <c r="J73" s="38"/>
      <c r="K73" s="38"/>
      <c r="L73" s="38"/>
      <c r="M73" s="38"/>
      <c r="N73" s="35"/>
      <c r="O73" s="35"/>
      <c r="P73" s="35"/>
    </row>
    <row r="74" spans="1:18" ht="15" customHeight="1">
      <c r="A74" s="73" t="s">
        <v>16</v>
      </c>
      <c r="B74" s="74" t="s">
        <v>0</v>
      </c>
      <c r="C74" s="397">
        <v>1</v>
      </c>
      <c r="D74" s="34"/>
      <c r="E74" s="35"/>
      <c r="F74" s="36"/>
      <c r="G74" s="78"/>
      <c r="H74" s="38"/>
      <c r="I74" s="38"/>
      <c r="J74" s="38"/>
      <c r="K74" s="38"/>
      <c r="L74" s="38"/>
      <c r="M74" s="38"/>
      <c r="N74" s="35"/>
      <c r="O74" s="35"/>
      <c r="P74" s="35"/>
    </row>
    <row r="75" spans="1:18" ht="15" customHeight="1">
      <c r="A75" s="73" t="s">
        <v>248</v>
      </c>
      <c r="B75" s="74" t="s">
        <v>249</v>
      </c>
      <c r="C75" s="397">
        <v>1</v>
      </c>
      <c r="D75" s="34"/>
      <c r="E75" s="35"/>
      <c r="F75" s="36"/>
      <c r="G75" s="35"/>
      <c r="H75" s="78"/>
      <c r="I75" s="78"/>
      <c r="J75" s="38"/>
      <c r="K75" s="38"/>
      <c r="L75" s="38"/>
      <c r="M75" s="38"/>
      <c r="N75" s="38"/>
      <c r="O75" s="35"/>
      <c r="P75" s="35"/>
      <c r="Q75" s="35"/>
    </row>
    <row r="76" spans="1:18" ht="15" customHeight="1">
      <c r="A76" s="80"/>
      <c r="B76" s="57"/>
      <c r="C76" s="57"/>
      <c r="D76" s="57"/>
      <c r="E76" s="35"/>
      <c r="F76" s="35"/>
      <c r="G76" s="35"/>
      <c r="H76" s="78"/>
      <c r="I76" s="78"/>
      <c r="J76" s="38"/>
      <c r="K76" s="38"/>
      <c r="L76" s="38"/>
      <c r="M76" s="38"/>
      <c r="N76" s="38"/>
      <c r="O76" s="35"/>
      <c r="P76" s="35"/>
      <c r="Q76" s="35"/>
    </row>
    <row r="77" spans="1:18" ht="15" customHeight="1">
      <c r="A77" s="78"/>
      <c r="B77" s="35"/>
      <c r="C77" s="35"/>
      <c r="D77" s="47"/>
      <c r="E77" s="35"/>
      <c r="F77" s="35"/>
      <c r="G77" s="35"/>
      <c r="H77" s="78"/>
      <c r="I77" s="78"/>
      <c r="J77" s="38"/>
      <c r="K77" s="38"/>
      <c r="L77" s="38"/>
      <c r="M77" s="38"/>
      <c r="N77" s="38"/>
      <c r="O77" s="35"/>
      <c r="P77" s="35"/>
      <c r="Q77" s="35"/>
    </row>
    <row r="78" spans="1:18" ht="15" customHeight="1">
      <c r="A78" s="78"/>
      <c r="B78" s="35"/>
      <c r="C78" s="81"/>
      <c r="D78" s="47"/>
      <c r="E78" s="35"/>
      <c r="F78" s="35"/>
      <c r="G78" s="35"/>
      <c r="H78" s="78"/>
      <c r="I78" s="78"/>
      <c r="J78" s="38"/>
      <c r="K78" s="38"/>
      <c r="L78" s="38"/>
      <c r="M78" s="38"/>
      <c r="N78" s="38"/>
      <c r="O78" s="35"/>
      <c r="P78" s="35"/>
      <c r="Q78" s="35"/>
    </row>
    <row r="79" spans="1:18" ht="15" customHeight="1">
      <c r="A79" s="78"/>
      <c r="B79" s="35"/>
      <c r="C79" s="35"/>
      <c r="D79" s="47"/>
      <c r="E79" s="35"/>
      <c r="F79" s="35"/>
      <c r="G79" s="36"/>
      <c r="H79" s="35"/>
      <c r="I79" s="35"/>
      <c r="J79" s="78"/>
      <c r="K79" s="38"/>
      <c r="L79" s="38"/>
      <c r="M79" s="38"/>
      <c r="N79" s="38"/>
      <c r="O79" s="38"/>
      <c r="P79" s="35"/>
      <c r="Q79" s="35"/>
      <c r="R79" s="35"/>
    </row>
    <row r="80" spans="1:18" ht="15" customHeight="1">
      <c r="A80" s="78"/>
      <c r="B80" s="35"/>
      <c r="C80" s="35"/>
      <c r="D80" s="47"/>
      <c r="F80" s="35"/>
      <c r="G80" s="36"/>
      <c r="H80" s="35"/>
      <c r="I80" s="35"/>
      <c r="J80" s="78"/>
      <c r="K80" s="38"/>
      <c r="L80" s="38"/>
      <c r="M80" s="38"/>
      <c r="N80" s="38"/>
      <c r="O80" s="38"/>
      <c r="P80" s="35"/>
      <c r="Q80" s="35"/>
      <c r="R80" s="35"/>
    </row>
    <row r="81" spans="6:18" ht="15" customHeight="1">
      <c r="F81" s="35"/>
      <c r="G81" s="36"/>
      <c r="H81" s="35"/>
      <c r="I81" s="35"/>
      <c r="J81" s="78"/>
      <c r="K81" s="38"/>
      <c r="L81" s="38"/>
      <c r="M81" s="38"/>
      <c r="N81" s="38"/>
      <c r="O81" s="38"/>
      <c r="P81" s="35"/>
      <c r="Q81" s="35"/>
      <c r="R81" s="35"/>
    </row>
    <row r="82" spans="6:18" ht="15" customHeight="1">
      <c r="F82" s="35"/>
      <c r="G82" s="36"/>
      <c r="H82" s="35"/>
      <c r="I82" s="35"/>
      <c r="J82" s="78"/>
      <c r="K82" s="38"/>
      <c r="L82" s="38"/>
      <c r="M82" s="38"/>
      <c r="N82" s="38"/>
      <c r="O82" s="38"/>
      <c r="P82" s="35"/>
      <c r="Q82" s="35"/>
      <c r="R82" s="35"/>
    </row>
    <row r="83" spans="6:18" ht="15" customHeight="1">
      <c r="F83" s="35"/>
      <c r="G83" s="36"/>
      <c r="H83" s="35"/>
      <c r="I83" s="35"/>
      <c r="J83" s="78"/>
      <c r="K83" s="38"/>
      <c r="L83" s="38"/>
      <c r="M83" s="38"/>
      <c r="N83" s="38"/>
      <c r="O83" s="38"/>
      <c r="P83" s="35"/>
      <c r="Q83" s="35"/>
      <c r="R83" s="35"/>
    </row>
    <row r="84" spans="6:18" ht="15" customHeight="1">
      <c r="F84" s="35"/>
      <c r="G84" s="36"/>
      <c r="H84" s="35"/>
      <c r="I84" s="35"/>
      <c r="J84" s="78"/>
      <c r="K84" s="38"/>
      <c r="L84" s="38"/>
      <c r="M84" s="38"/>
      <c r="N84" s="38"/>
      <c r="O84" s="38"/>
      <c r="P84" s="35"/>
      <c r="Q84" s="35"/>
      <c r="R84" s="35"/>
    </row>
    <row r="85" spans="6:18" ht="15" customHeight="1">
      <c r="F85" s="35"/>
      <c r="G85" s="36"/>
      <c r="H85" s="35"/>
      <c r="I85" s="35"/>
      <c r="J85" s="78"/>
      <c r="K85" s="38"/>
      <c r="L85" s="38"/>
      <c r="M85" s="38"/>
      <c r="N85" s="38"/>
      <c r="O85" s="38"/>
      <c r="P85" s="35"/>
      <c r="Q85" s="35"/>
      <c r="R85" s="35"/>
    </row>
    <row r="86" spans="6:18" ht="15" customHeight="1">
      <c r="F86" s="35"/>
      <c r="G86" s="36"/>
      <c r="H86" s="35"/>
      <c r="I86" s="35"/>
      <c r="J86" s="78"/>
      <c r="K86" s="38"/>
      <c r="L86" s="38"/>
      <c r="M86" s="38"/>
      <c r="N86" s="38"/>
      <c r="O86" s="38"/>
      <c r="P86" s="35"/>
      <c r="Q86" s="35"/>
      <c r="R86" s="35"/>
    </row>
    <row r="87" spans="6:18" ht="15" customHeight="1">
      <c r="F87" s="35"/>
      <c r="G87" s="36"/>
      <c r="H87" s="35"/>
      <c r="I87" s="35"/>
      <c r="J87" s="78"/>
      <c r="K87" s="38"/>
      <c r="L87" s="38"/>
      <c r="M87" s="38"/>
      <c r="N87" s="38"/>
      <c r="O87" s="38"/>
      <c r="P87" s="35"/>
      <c r="Q87" s="35"/>
      <c r="R87" s="35"/>
    </row>
    <row r="88" spans="6:18" ht="15" customHeight="1">
      <c r="F88" s="35"/>
      <c r="G88" s="36"/>
      <c r="H88" s="35"/>
      <c r="I88" s="35"/>
      <c r="J88" s="78"/>
      <c r="K88" s="38"/>
      <c r="L88" s="38"/>
      <c r="M88" s="38"/>
      <c r="N88" s="38"/>
      <c r="O88" s="38"/>
      <c r="P88" s="35"/>
      <c r="Q88" s="35"/>
      <c r="R88" s="35"/>
    </row>
    <row r="89" spans="6:18" ht="15" customHeight="1">
      <c r="F89" s="35"/>
      <c r="G89" s="36"/>
      <c r="H89" s="35"/>
      <c r="I89" s="35"/>
      <c r="J89" s="78"/>
      <c r="K89" s="38"/>
      <c r="L89" s="38"/>
      <c r="M89" s="38"/>
      <c r="N89" s="38"/>
      <c r="O89" s="38"/>
      <c r="P89" s="35"/>
      <c r="Q89" s="35"/>
      <c r="R89" s="35"/>
    </row>
    <row r="90" spans="6:18" ht="15" customHeight="1">
      <c r="F90" s="35"/>
      <c r="G90" s="36"/>
      <c r="H90" s="35"/>
      <c r="I90" s="35"/>
      <c r="J90" s="78"/>
      <c r="K90" s="38"/>
      <c r="L90" s="38"/>
      <c r="M90" s="38"/>
      <c r="N90" s="38"/>
      <c r="O90" s="38"/>
      <c r="P90" s="35"/>
      <c r="Q90" s="35"/>
      <c r="R90" s="35"/>
    </row>
    <row r="91" spans="6:18" ht="15" customHeight="1">
      <c r="F91" s="35"/>
      <c r="G91" s="36"/>
      <c r="H91" s="35"/>
      <c r="I91" s="35"/>
      <c r="J91" s="78"/>
      <c r="K91" s="38"/>
      <c r="L91" s="38"/>
      <c r="M91" s="38"/>
      <c r="N91" s="38"/>
      <c r="O91" s="38"/>
      <c r="P91" s="35"/>
      <c r="Q91" s="35"/>
      <c r="R91" s="35"/>
    </row>
    <row r="92" spans="6:18" ht="15" customHeight="1">
      <c r="F92" s="35"/>
      <c r="G92" s="36"/>
      <c r="H92" s="35"/>
      <c r="I92" s="35"/>
      <c r="J92" s="78"/>
      <c r="K92" s="38"/>
      <c r="L92" s="38"/>
      <c r="M92" s="38"/>
      <c r="N92" s="38"/>
      <c r="O92" s="38"/>
      <c r="P92" s="35"/>
      <c r="Q92" s="35"/>
      <c r="R92" s="35"/>
    </row>
    <row r="93" spans="6:18" ht="15" customHeight="1">
      <c r="F93" s="35"/>
      <c r="G93" s="36"/>
      <c r="H93" s="35"/>
      <c r="I93" s="35"/>
      <c r="J93" s="78"/>
      <c r="K93" s="38"/>
      <c r="L93" s="38"/>
      <c r="M93" s="38"/>
      <c r="N93" s="38"/>
      <c r="O93" s="38"/>
      <c r="P93" s="35"/>
      <c r="Q93" s="35"/>
      <c r="R93" s="35"/>
    </row>
    <row r="94" spans="6:18" ht="15" customHeight="1">
      <c r="F94" s="35"/>
      <c r="G94" s="36"/>
      <c r="H94" s="35"/>
      <c r="I94" s="35"/>
      <c r="J94" s="78"/>
      <c r="K94" s="38"/>
      <c r="L94" s="38"/>
      <c r="M94" s="38"/>
      <c r="N94" s="38"/>
      <c r="O94" s="38"/>
      <c r="P94" s="35"/>
      <c r="Q94" s="35"/>
      <c r="R94" s="35"/>
    </row>
    <row r="95" spans="6:18" ht="15" customHeight="1">
      <c r="F95" s="35"/>
      <c r="G95" s="36"/>
      <c r="H95" s="35"/>
      <c r="I95" s="35"/>
      <c r="J95" s="78"/>
      <c r="K95" s="38"/>
      <c r="L95" s="38"/>
      <c r="M95" s="38"/>
      <c r="N95" s="38"/>
      <c r="O95" s="38"/>
      <c r="P95" s="35"/>
      <c r="Q95" s="35"/>
      <c r="R95" s="35"/>
    </row>
    <row r="96" spans="6:18" ht="15" customHeight="1">
      <c r="F96" s="35"/>
      <c r="G96" s="36"/>
      <c r="H96" s="35"/>
      <c r="I96" s="35"/>
      <c r="J96" s="78"/>
      <c r="K96" s="38"/>
      <c r="L96" s="38"/>
      <c r="M96" s="38"/>
      <c r="N96" s="38"/>
      <c r="O96" s="38"/>
      <c r="P96" s="35"/>
      <c r="Q96" s="35"/>
      <c r="R96" s="35"/>
    </row>
    <row r="97" spans="6:18" ht="15" customHeight="1">
      <c r="F97" s="35"/>
      <c r="G97" s="36"/>
      <c r="H97" s="35"/>
      <c r="I97" s="35"/>
      <c r="J97" s="78"/>
      <c r="K97" s="38"/>
      <c r="L97" s="38"/>
      <c r="M97" s="38"/>
      <c r="N97" s="38"/>
      <c r="O97" s="38"/>
      <c r="P97" s="35"/>
      <c r="Q97" s="35"/>
      <c r="R97" s="35"/>
    </row>
    <row r="98" spans="6:18" ht="15" customHeight="1">
      <c r="F98" s="35"/>
      <c r="G98" s="36"/>
      <c r="H98" s="35"/>
      <c r="I98" s="35"/>
      <c r="J98" s="78"/>
      <c r="K98" s="38"/>
      <c r="L98" s="38"/>
      <c r="M98" s="38"/>
      <c r="N98" s="38"/>
      <c r="O98" s="38"/>
      <c r="P98" s="35"/>
      <c r="Q98" s="35"/>
      <c r="R98" s="35"/>
    </row>
    <row r="99" spans="6:18" ht="15" customHeight="1">
      <c r="F99" s="35"/>
      <c r="G99" s="36"/>
      <c r="H99" s="35"/>
      <c r="I99" s="35"/>
      <c r="J99" s="78"/>
      <c r="K99" s="38"/>
      <c r="L99" s="38"/>
      <c r="M99" s="38"/>
      <c r="N99" s="38"/>
      <c r="O99" s="38"/>
      <c r="P99" s="35"/>
      <c r="Q99" s="35"/>
      <c r="R99" s="35"/>
    </row>
    <row r="100" spans="6:18" ht="15" customHeight="1">
      <c r="F100" s="35"/>
      <c r="G100" s="36"/>
      <c r="H100" s="35"/>
      <c r="I100" s="35"/>
      <c r="J100" s="78"/>
      <c r="K100" s="38"/>
      <c r="L100" s="38"/>
      <c r="M100" s="38"/>
      <c r="N100" s="38"/>
      <c r="O100" s="38"/>
      <c r="P100" s="35"/>
      <c r="Q100" s="35"/>
      <c r="R100" s="35"/>
    </row>
    <row r="101" spans="6:18" ht="15" customHeight="1">
      <c r="F101" s="35"/>
      <c r="G101" s="36"/>
      <c r="H101" s="35"/>
      <c r="I101" s="35"/>
      <c r="J101" s="78"/>
      <c r="K101" s="38"/>
      <c r="L101" s="38"/>
      <c r="M101" s="38"/>
      <c r="N101" s="38"/>
      <c r="O101" s="38"/>
      <c r="P101" s="35"/>
      <c r="Q101" s="35"/>
      <c r="R101" s="35"/>
    </row>
    <row r="102" spans="6:18" ht="15" customHeight="1">
      <c r="F102" s="35"/>
      <c r="G102" s="36"/>
      <c r="H102" s="35"/>
      <c r="I102" s="35"/>
      <c r="J102" s="78"/>
      <c r="K102" s="38"/>
      <c r="L102" s="38"/>
      <c r="M102" s="38"/>
      <c r="N102" s="38"/>
      <c r="O102" s="38"/>
      <c r="P102" s="35"/>
      <c r="Q102" s="35"/>
      <c r="R102" s="35"/>
    </row>
    <row r="103" spans="6:18" ht="15" customHeight="1">
      <c r="F103" s="35"/>
      <c r="G103" s="36"/>
      <c r="H103" s="35"/>
      <c r="I103" s="35"/>
      <c r="J103" s="78"/>
      <c r="K103" s="38"/>
      <c r="L103" s="38"/>
      <c r="M103" s="38"/>
      <c r="N103" s="38"/>
      <c r="O103" s="38"/>
      <c r="P103" s="35"/>
      <c r="Q103" s="35"/>
      <c r="R103" s="35"/>
    </row>
    <row r="104" spans="6:18" ht="15" customHeight="1">
      <c r="F104" s="35"/>
      <c r="G104" s="36"/>
      <c r="H104" s="35"/>
      <c r="I104" s="35"/>
      <c r="J104" s="78"/>
      <c r="K104" s="38"/>
      <c r="L104" s="38"/>
      <c r="M104" s="38"/>
      <c r="N104" s="38"/>
      <c r="O104" s="38"/>
      <c r="P104" s="35"/>
      <c r="Q104" s="35"/>
      <c r="R104" s="35"/>
    </row>
    <row r="105" spans="6:18" ht="15" customHeight="1">
      <c r="F105" s="35"/>
      <c r="G105" s="36"/>
      <c r="H105" s="35"/>
      <c r="I105" s="35"/>
      <c r="J105" s="78"/>
      <c r="K105" s="38"/>
      <c r="L105" s="38"/>
      <c r="M105" s="38"/>
      <c r="N105" s="38"/>
      <c r="O105" s="38"/>
      <c r="P105" s="35"/>
      <c r="Q105" s="35"/>
      <c r="R105" s="35"/>
    </row>
    <row r="106" spans="6:18" ht="15" customHeight="1">
      <c r="F106" s="35"/>
      <c r="G106" s="36"/>
      <c r="H106" s="35"/>
      <c r="I106" s="35"/>
      <c r="J106" s="78"/>
      <c r="K106" s="38"/>
      <c r="L106" s="38"/>
      <c r="M106" s="38"/>
      <c r="N106" s="38"/>
      <c r="O106" s="38"/>
      <c r="P106" s="35"/>
      <c r="Q106" s="35"/>
      <c r="R106" s="35"/>
    </row>
    <row r="107" spans="6:18" ht="15" customHeight="1">
      <c r="F107" s="35"/>
      <c r="G107" s="36"/>
      <c r="H107" s="35"/>
      <c r="I107" s="35"/>
      <c r="J107" s="78"/>
      <c r="K107" s="38"/>
      <c r="L107" s="38"/>
      <c r="M107" s="38"/>
      <c r="N107" s="38"/>
      <c r="O107" s="38"/>
      <c r="P107" s="35"/>
      <c r="Q107" s="35"/>
      <c r="R107" s="35"/>
    </row>
    <row r="108" spans="6:18" ht="15" customHeight="1">
      <c r="F108" s="35"/>
      <c r="G108" s="36"/>
      <c r="H108" s="35"/>
      <c r="I108" s="35"/>
      <c r="J108" s="78"/>
      <c r="K108" s="38"/>
      <c r="L108" s="38"/>
      <c r="M108" s="38"/>
      <c r="N108" s="38"/>
      <c r="O108" s="38"/>
      <c r="P108" s="35"/>
      <c r="Q108" s="35"/>
      <c r="R108" s="35"/>
    </row>
    <row r="109" spans="6:18" ht="15" customHeight="1">
      <c r="F109" s="35"/>
      <c r="G109" s="36"/>
      <c r="H109" s="35"/>
      <c r="I109" s="35"/>
      <c r="J109" s="78"/>
      <c r="K109" s="38"/>
      <c r="L109" s="38"/>
      <c r="M109" s="38"/>
      <c r="N109" s="38"/>
      <c r="O109" s="38"/>
      <c r="P109" s="35"/>
      <c r="Q109" s="35"/>
      <c r="R109" s="35"/>
    </row>
    <row r="110" spans="6:18" ht="15" customHeight="1">
      <c r="F110" s="35"/>
      <c r="G110" s="36"/>
      <c r="H110" s="35"/>
      <c r="I110" s="35"/>
      <c r="J110" s="78"/>
      <c r="K110" s="38"/>
      <c r="L110" s="38"/>
      <c r="M110" s="38"/>
      <c r="N110" s="38"/>
      <c r="O110" s="38"/>
      <c r="P110" s="35"/>
      <c r="Q110" s="35"/>
      <c r="R110" s="35"/>
    </row>
    <row r="111" spans="6:18" ht="15" customHeight="1">
      <c r="F111" s="35"/>
      <c r="G111" s="36"/>
      <c r="H111" s="35"/>
      <c r="I111" s="35"/>
      <c r="J111" s="78"/>
      <c r="K111" s="38"/>
      <c r="L111" s="38"/>
      <c r="M111" s="38"/>
      <c r="N111" s="38"/>
      <c r="O111" s="38"/>
      <c r="P111" s="35"/>
      <c r="Q111" s="35"/>
      <c r="R111" s="35"/>
    </row>
    <row r="112" spans="6:18" ht="15" customHeight="1">
      <c r="F112" s="35"/>
      <c r="G112" s="36"/>
      <c r="H112" s="35"/>
      <c r="I112" s="35"/>
      <c r="J112" s="78"/>
      <c r="K112" s="38"/>
      <c r="L112" s="38"/>
      <c r="M112" s="38"/>
      <c r="N112" s="38"/>
      <c r="O112" s="38"/>
      <c r="P112" s="35"/>
      <c r="Q112" s="35"/>
      <c r="R112" s="35"/>
    </row>
    <row r="113" spans="6:18" ht="15" customHeight="1">
      <c r="F113" s="35"/>
      <c r="G113" s="36"/>
      <c r="H113" s="35"/>
      <c r="I113" s="35"/>
      <c r="J113" s="78"/>
      <c r="K113" s="38"/>
      <c r="L113" s="38"/>
      <c r="M113" s="38"/>
      <c r="N113" s="38"/>
      <c r="O113" s="38"/>
      <c r="P113" s="35"/>
      <c r="Q113" s="35"/>
      <c r="R113" s="35"/>
    </row>
    <row r="114" spans="6:18" ht="15" customHeight="1">
      <c r="F114" s="35"/>
      <c r="G114" s="36"/>
      <c r="H114" s="35"/>
      <c r="I114" s="35"/>
      <c r="J114" s="78"/>
      <c r="K114" s="38"/>
      <c r="L114" s="38"/>
      <c r="M114" s="38"/>
      <c r="N114" s="38"/>
      <c r="O114" s="38"/>
      <c r="P114" s="35"/>
      <c r="Q114" s="35"/>
      <c r="R114" s="35"/>
    </row>
    <row r="115" spans="6:18" ht="15" customHeight="1">
      <c r="F115" s="35"/>
      <c r="G115" s="36"/>
      <c r="H115" s="35"/>
      <c r="I115" s="35"/>
      <c r="J115" s="78"/>
      <c r="K115" s="38"/>
      <c r="L115" s="38"/>
      <c r="M115" s="38"/>
      <c r="N115" s="38"/>
      <c r="O115" s="38"/>
      <c r="P115" s="35"/>
      <c r="Q115" s="35"/>
      <c r="R115" s="35"/>
    </row>
    <row r="116" spans="6:18" ht="15" customHeight="1">
      <c r="F116" s="35"/>
      <c r="G116" s="36"/>
      <c r="H116" s="35"/>
      <c r="I116" s="35"/>
      <c r="J116" s="78"/>
      <c r="K116" s="38"/>
      <c r="L116" s="38"/>
      <c r="M116" s="38"/>
      <c r="N116" s="38"/>
      <c r="O116" s="38"/>
      <c r="P116" s="35"/>
      <c r="Q116" s="35"/>
      <c r="R116" s="35"/>
    </row>
    <row r="117" spans="6:18" ht="15" customHeight="1">
      <c r="F117" s="35"/>
      <c r="G117" s="36"/>
      <c r="H117" s="35"/>
      <c r="I117" s="35"/>
      <c r="J117" s="78"/>
      <c r="K117" s="38"/>
      <c r="L117" s="38"/>
      <c r="M117" s="38"/>
      <c r="N117" s="38"/>
      <c r="O117" s="38"/>
      <c r="P117" s="35"/>
      <c r="Q117" s="35"/>
      <c r="R117" s="35"/>
    </row>
    <row r="118" spans="6:18" ht="15" customHeight="1">
      <c r="F118" s="35"/>
      <c r="G118" s="36"/>
      <c r="H118" s="35"/>
      <c r="I118" s="35"/>
      <c r="J118" s="78"/>
      <c r="K118" s="38"/>
      <c r="L118" s="38"/>
      <c r="M118" s="38"/>
      <c r="N118" s="38"/>
      <c r="O118" s="38"/>
      <c r="P118" s="35"/>
      <c r="Q118" s="35"/>
      <c r="R118" s="35"/>
    </row>
    <row r="119" spans="6:18" ht="15" customHeight="1">
      <c r="F119" s="35"/>
      <c r="G119" s="36"/>
      <c r="H119" s="35"/>
      <c r="I119" s="35"/>
      <c r="J119" s="78"/>
      <c r="K119" s="38"/>
      <c r="L119" s="38"/>
      <c r="M119" s="38"/>
      <c r="N119" s="38"/>
      <c r="O119" s="38"/>
      <c r="P119" s="35"/>
      <c r="Q119" s="35"/>
      <c r="R119" s="35"/>
    </row>
    <row r="120" spans="6:18" ht="15" customHeight="1">
      <c r="F120" s="35"/>
      <c r="G120" s="36"/>
      <c r="H120" s="35"/>
      <c r="I120" s="35"/>
      <c r="J120" s="78"/>
      <c r="K120" s="38"/>
      <c r="L120" s="38"/>
      <c r="M120" s="38"/>
      <c r="N120" s="38"/>
      <c r="O120" s="38"/>
      <c r="P120" s="35"/>
      <c r="Q120" s="35"/>
      <c r="R120" s="35"/>
    </row>
    <row r="121" spans="6:18" ht="15" customHeight="1">
      <c r="F121" s="35"/>
      <c r="G121" s="36"/>
      <c r="H121" s="35"/>
      <c r="I121" s="35"/>
      <c r="J121" s="78"/>
      <c r="K121" s="38"/>
      <c r="L121" s="38"/>
      <c r="M121" s="38"/>
      <c r="N121" s="38"/>
      <c r="O121" s="38"/>
      <c r="P121" s="35"/>
      <c r="Q121" s="35"/>
      <c r="R121" s="35"/>
    </row>
    <row r="122" spans="6:18" ht="15" customHeight="1">
      <c r="F122" s="35"/>
      <c r="G122" s="36"/>
      <c r="H122" s="35"/>
      <c r="I122" s="35"/>
      <c r="J122" s="78"/>
      <c r="K122" s="38"/>
      <c r="L122" s="38"/>
      <c r="M122" s="38"/>
      <c r="N122" s="38"/>
      <c r="O122" s="38"/>
      <c r="P122" s="35"/>
      <c r="Q122" s="35"/>
      <c r="R122" s="35"/>
    </row>
    <row r="123" spans="6:18" ht="15" customHeight="1">
      <c r="F123" s="35"/>
      <c r="G123" s="36"/>
      <c r="H123" s="35"/>
      <c r="I123" s="35"/>
      <c r="J123" s="78"/>
      <c r="K123" s="38"/>
      <c r="L123" s="38"/>
      <c r="M123" s="38"/>
      <c r="N123" s="38"/>
      <c r="O123" s="38"/>
      <c r="P123" s="35"/>
      <c r="Q123" s="35"/>
      <c r="R123" s="35"/>
    </row>
    <row r="124" spans="6:18" ht="15" customHeight="1">
      <c r="F124" s="35"/>
      <c r="G124" s="36"/>
      <c r="H124" s="35"/>
      <c r="I124" s="35"/>
      <c r="J124" s="78"/>
      <c r="K124" s="38"/>
      <c r="L124" s="38"/>
      <c r="M124" s="38"/>
      <c r="N124" s="38"/>
      <c r="O124" s="38"/>
      <c r="P124" s="35"/>
      <c r="Q124" s="35"/>
      <c r="R124" s="35"/>
    </row>
    <row r="125" spans="6:18" ht="15" customHeight="1">
      <c r="F125" s="35"/>
      <c r="G125" s="36"/>
      <c r="H125" s="35"/>
      <c r="I125" s="35"/>
      <c r="J125" s="78"/>
      <c r="K125" s="38"/>
      <c r="L125" s="38"/>
      <c r="M125" s="38"/>
      <c r="N125" s="38"/>
      <c r="O125" s="38"/>
      <c r="P125" s="35"/>
      <c r="Q125" s="35"/>
      <c r="R125" s="35"/>
    </row>
    <row r="126" spans="6:18" ht="15" customHeight="1">
      <c r="F126" s="35"/>
      <c r="G126" s="36"/>
      <c r="H126" s="35"/>
      <c r="I126" s="35"/>
      <c r="J126" s="78"/>
      <c r="K126" s="38"/>
      <c r="L126" s="38"/>
      <c r="M126" s="38"/>
      <c r="N126" s="38"/>
      <c r="O126" s="38"/>
      <c r="P126" s="35"/>
      <c r="Q126" s="35"/>
      <c r="R126" s="35"/>
    </row>
    <row r="127" spans="6:18" ht="15" customHeight="1">
      <c r="F127" s="35"/>
      <c r="G127" s="36"/>
      <c r="H127" s="35"/>
      <c r="I127" s="35"/>
      <c r="J127" s="78"/>
      <c r="K127" s="38"/>
      <c r="L127" s="38"/>
      <c r="M127" s="38"/>
      <c r="N127" s="38"/>
      <c r="O127" s="38"/>
      <c r="P127" s="35"/>
      <c r="Q127" s="35"/>
      <c r="R127" s="35"/>
    </row>
    <row r="128" spans="6:18" ht="15" customHeight="1">
      <c r="F128" s="35"/>
      <c r="G128" s="36"/>
      <c r="H128" s="35"/>
      <c r="I128" s="35"/>
      <c r="J128" s="78"/>
      <c r="K128" s="38"/>
      <c r="L128" s="38"/>
      <c r="M128" s="38"/>
      <c r="N128" s="38"/>
      <c r="O128" s="38"/>
      <c r="P128" s="35"/>
      <c r="Q128" s="35"/>
      <c r="R128" s="35"/>
    </row>
    <row r="129" spans="6:18" ht="15" customHeight="1">
      <c r="F129" s="35"/>
      <c r="G129" s="36"/>
      <c r="H129" s="35"/>
      <c r="I129" s="35"/>
      <c r="J129" s="78"/>
      <c r="K129" s="38"/>
      <c r="L129" s="38"/>
      <c r="M129" s="38"/>
      <c r="N129" s="38"/>
      <c r="O129" s="38"/>
      <c r="P129" s="35"/>
      <c r="Q129" s="35"/>
      <c r="R129" s="35"/>
    </row>
    <row r="130" spans="6:18" ht="15" customHeight="1">
      <c r="F130" s="35"/>
      <c r="G130" s="36"/>
      <c r="H130" s="35"/>
      <c r="I130" s="35"/>
      <c r="J130" s="78"/>
      <c r="K130" s="38"/>
      <c r="L130" s="38"/>
      <c r="M130" s="38"/>
      <c r="N130" s="38"/>
      <c r="O130" s="38"/>
      <c r="P130" s="35"/>
      <c r="Q130" s="35"/>
      <c r="R130" s="35"/>
    </row>
    <row r="131" spans="6:18" ht="15" customHeight="1">
      <c r="F131" s="35"/>
      <c r="G131" s="36"/>
      <c r="H131" s="35"/>
      <c r="I131" s="35"/>
      <c r="J131" s="78"/>
      <c r="K131" s="38"/>
      <c r="L131" s="38"/>
      <c r="M131" s="38"/>
      <c r="N131" s="38"/>
      <c r="O131" s="38"/>
      <c r="P131" s="35"/>
      <c r="Q131" s="35"/>
      <c r="R131" s="35"/>
    </row>
    <row r="132" spans="6:18" ht="15" customHeight="1">
      <c r="F132" s="35"/>
      <c r="G132" s="36"/>
      <c r="H132" s="35"/>
      <c r="I132" s="35"/>
      <c r="J132" s="78"/>
      <c r="K132" s="38"/>
      <c r="L132" s="38"/>
      <c r="M132" s="38"/>
      <c r="N132" s="38"/>
      <c r="O132" s="38"/>
      <c r="P132" s="35"/>
      <c r="Q132" s="35"/>
      <c r="R132" s="35"/>
    </row>
    <row r="133" spans="6:18" ht="15" customHeight="1">
      <c r="F133" s="35"/>
      <c r="G133" s="36"/>
      <c r="H133" s="35"/>
      <c r="I133" s="35"/>
      <c r="J133" s="78"/>
      <c r="K133" s="38"/>
      <c r="L133" s="38"/>
      <c r="M133" s="38"/>
      <c r="N133" s="38"/>
      <c r="O133" s="38"/>
      <c r="P133" s="35"/>
      <c r="Q133" s="35"/>
      <c r="R133" s="35"/>
    </row>
    <row r="134" spans="6:18" ht="15" customHeight="1">
      <c r="F134" s="35"/>
      <c r="G134" s="36"/>
      <c r="H134" s="35"/>
      <c r="I134" s="35"/>
      <c r="J134" s="78"/>
      <c r="K134" s="38"/>
      <c r="L134" s="38"/>
      <c r="M134" s="38"/>
      <c r="N134" s="38"/>
      <c r="O134" s="38"/>
      <c r="P134" s="35"/>
      <c r="Q134" s="35"/>
      <c r="R134" s="35"/>
    </row>
    <row r="135" spans="6:18" ht="15" customHeight="1">
      <c r="F135" s="35"/>
      <c r="G135" s="36"/>
      <c r="H135" s="35"/>
      <c r="I135" s="35"/>
      <c r="J135" s="78"/>
      <c r="K135" s="38"/>
      <c r="L135" s="38"/>
      <c r="M135" s="38"/>
      <c r="N135" s="38"/>
      <c r="O135" s="38"/>
      <c r="P135" s="35"/>
      <c r="Q135" s="35"/>
      <c r="R135" s="35"/>
    </row>
    <row r="136" spans="6:18" ht="15" customHeight="1">
      <c r="F136" s="35"/>
      <c r="G136" s="36"/>
      <c r="H136" s="35"/>
      <c r="I136" s="35"/>
      <c r="J136" s="78"/>
      <c r="K136" s="38"/>
      <c r="L136" s="38"/>
      <c r="M136" s="38"/>
      <c r="N136" s="38"/>
      <c r="O136" s="38"/>
      <c r="P136" s="35"/>
      <c r="Q136" s="35"/>
      <c r="R136" s="35"/>
    </row>
    <row r="137" spans="6:18" ht="15" customHeight="1">
      <c r="F137" s="35"/>
      <c r="G137" s="36"/>
      <c r="H137" s="35"/>
      <c r="I137" s="35"/>
      <c r="J137" s="78"/>
      <c r="K137" s="38"/>
      <c r="L137" s="38"/>
      <c r="M137" s="38"/>
      <c r="N137" s="38"/>
      <c r="O137" s="38"/>
      <c r="P137" s="35"/>
      <c r="Q137" s="35"/>
      <c r="R137" s="35"/>
    </row>
    <row r="138" spans="6:18" ht="15" customHeight="1">
      <c r="F138" s="35"/>
      <c r="G138" s="36"/>
      <c r="H138" s="35"/>
      <c r="I138" s="35"/>
      <c r="J138" s="78"/>
      <c r="K138" s="38"/>
      <c r="L138" s="38"/>
      <c r="M138" s="38"/>
      <c r="N138" s="38"/>
      <c r="O138" s="38"/>
      <c r="P138" s="35"/>
      <c r="Q138" s="35"/>
      <c r="R138" s="35"/>
    </row>
    <row r="139" spans="6:18" ht="15" customHeight="1">
      <c r="F139" s="35"/>
      <c r="G139" s="36"/>
      <c r="H139" s="35"/>
      <c r="I139" s="35"/>
      <c r="J139" s="78"/>
      <c r="K139" s="38"/>
      <c r="L139" s="38"/>
      <c r="M139" s="38"/>
      <c r="N139" s="38"/>
      <c r="O139" s="38"/>
      <c r="P139" s="35"/>
      <c r="Q139" s="35"/>
      <c r="R139" s="35"/>
    </row>
    <row r="140" spans="6:18" ht="15" customHeight="1">
      <c r="F140" s="35"/>
      <c r="G140" s="36"/>
      <c r="H140" s="35"/>
      <c r="I140" s="35"/>
      <c r="J140" s="78"/>
      <c r="K140" s="38"/>
      <c r="L140" s="38"/>
      <c r="M140" s="38"/>
      <c r="N140" s="38"/>
      <c r="O140" s="38"/>
      <c r="P140" s="35"/>
      <c r="Q140" s="35"/>
      <c r="R140" s="35"/>
    </row>
    <row r="141" spans="6:18" ht="15" customHeight="1">
      <c r="F141" s="35"/>
      <c r="G141" s="36"/>
      <c r="H141" s="35"/>
      <c r="I141" s="35"/>
      <c r="J141" s="78"/>
      <c r="K141" s="38"/>
      <c r="L141" s="38"/>
      <c r="M141" s="38"/>
      <c r="N141" s="38"/>
      <c r="O141" s="38"/>
      <c r="P141" s="35"/>
      <c r="Q141" s="35"/>
      <c r="R141" s="35"/>
    </row>
    <row r="142" spans="6:18" ht="15" customHeight="1">
      <c r="F142" s="35"/>
      <c r="G142" s="36"/>
      <c r="H142" s="35"/>
      <c r="I142" s="35"/>
      <c r="J142" s="78"/>
      <c r="K142" s="38"/>
      <c r="L142" s="38"/>
      <c r="M142" s="38"/>
      <c r="N142" s="38"/>
      <c r="O142" s="38"/>
      <c r="P142" s="35"/>
      <c r="Q142" s="35"/>
      <c r="R142" s="35"/>
    </row>
    <row r="143" spans="6:18" ht="15" customHeight="1">
      <c r="F143" s="35"/>
      <c r="G143" s="36"/>
      <c r="H143" s="35"/>
      <c r="I143" s="35"/>
      <c r="J143" s="78"/>
      <c r="K143" s="38"/>
      <c r="L143" s="38"/>
      <c r="M143" s="38"/>
      <c r="N143" s="38"/>
      <c r="O143" s="38"/>
      <c r="P143" s="35"/>
      <c r="Q143" s="35"/>
      <c r="R143" s="35"/>
    </row>
    <row r="144" spans="6:18" ht="15" customHeight="1">
      <c r="F144" s="35"/>
      <c r="G144" s="36"/>
      <c r="H144" s="35"/>
      <c r="I144" s="35"/>
      <c r="J144" s="78"/>
      <c r="K144" s="38"/>
      <c r="L144" s="38"/>
      <c r="M144" s="38"/>
      <c r="N144" s="38"/>
      <c r="O144" s="38"/>
      <c r="P144" s="35"/>
      <c r="Q144" s="35"/>
      <c r="R144" s="35"/>
    </row>
    <row r="145" spans="6:18" ht="15" customHeight="1">
      <c r="F145" s="35"/>
      <c r="G145" s="36"/>
      <c r="H145" s="35"/>
      <c r="I145" s="35"/>
      <c r="J145" s="78"/>
      <c r="K145" s="38"/>
      <c r="L145" s="38"/>
      <c r="M145" s="38"/>
      <c r="N145" s="38"/>
      <c r="O145" s="38"/>
      <c r="P145" s="35"/>
      <c r="Q145" s="35"/>
      <c r="R145" s="35"/>
    </row>
    <row r="146" spans="6:18" ht="15" customHeight="1">
      <c r="F146" s="35"/>
      <c r="G146" s="36"/>
      <c r="H146" s="35"/>
      <c r="I146" s="35"/>
      <c r="J146" s="78"/>
      <c r="K146" s="38"/>
      <c r="L146" s="38"/>
      <c r="M146" s="38"/>
      <c r="N146" s="38"/>
      <c r="O146" s="38"/>
      <c r="P146" s="35"/>
      <c r="Q146" s="35"/>
      <c r="R146" s="35"/>
    </row>
    <row r="147" spans="6:18" ht="15" customHeight="1">
      <c r="F147" s="35"/>
      <c r="G147" s="36"/>
      <c r="H147" s="35"/>
      <c r="I147" s="35"/>
      <c r="J147" s="78"/>
      <c r="K147" s="38"/>
      <c r="L147" s="38"/>
      <c r="M147" s="38"/>
      <c r="N147" s="38"/>
      <c r="O147" s="38"/>
      <c r="P147" s="35"/>
      <c r="Q147" s="35"/>
      <c r="R147" s="35"/>
    </row>
    <row r="148" spans="6:18" ht="15" customHeight="1">
      <c r="F148" s="35"/>
      <c r="G148" s="36"/>
      <c r="H148" s="35"/>
      <c r="I148" s="35"/>
      <c r="J148" s="78"/>
      <c r="K148" s="38"/>
      <c r="L148" s="38"/>
      <c r="M148" s="38"/>
      <c r="N148" s="38"/>
      <c r="O148" s="38"/>
      <c r="P148" s="35"/>
      <c r="Q148" s="35"/>
      <c r="R148" s="35"/>
    </row>
    <row r="149" spans="6:18" ht="15" customHeight="1">
      <c r="F149" s="35"/>
      <c r="G149" s="36"/>
      <c r="H149" s="35"/>
      <c r="I149" s="35"/>
      <c r="J149" s="78"/>
      <c r="K149" s="38"/>
      <c r="L149" s="38"/>
      <c r="M149" s="38"/>
      <c r="N149" s="38"/>
      <c r="O149" s="38"/>
      <c r="P149" s="35"/>
      <c r="Q149" s="35"/>
      <c r="R149" s="35"/>
    </row>
    <row r="150" spans="6:18" ht="15" customHeight="1">
      <c r="F150" s="35"/>
      <c r="G150" s="36"/>
      <c r="H150" s="35"/>
      <c r="I150" s="35"/>
      <c r="J150" s="78"/>
      <c r="K150" s="38"/>
      <c r="L150" s="38"/>
      <c r="M150" s="38"/>
      <c r="N150" s="38"/>
      <c r="O150" s="38"/>
      <c r="P150" s="35"/>
      <c r="Q150" s="35"/>
      <c r="R150" s="35"/>
    </row>
    <row r="151" spans="6:18" ht="15" customHeight="1">
      <c r="F151" s="35"/>
      <c r="G151" s="36"/>
      <c r="H151" s="35"/>
      <c r="I151" s="35"/>
      <c r="J151" s="78"/>
      <c r="K151" s="38"/>
      <c r="L151" s="38"/>
      <c r="M151" s="38"/>
      <c r="N151" s="38"/>
      <c r="O151" s="38"/>
      <c r="P151" s="35"/>
      <c r="Q151" s="35"/>
      <c r="R151" s="35"/>
    </row>
    <row r="152" spans="6:18" ht="15" customHeight="1">
      <c r="F152" s="35"/>
      <c r="G152" s="36"/>
      <c r="H152" s="35"/>
      <c r="I152" s="35"/>
      <c r="J152" s="78"/>
      <c r="K152" s="38"/>
      <c r="L152" s="38"/>
      <c r="M152" s="38"/>
      <c r="N152" s="38"/>
      <c r="O152" s="38"/>
      <c r="P152" s="35"/>
      <c r="Q152" s="35"/>
      <c r="R152" s="35"/>
    </row>
    <row r="153" spans="6:18" ht="15" customHeight="1">
      <c r="F153" s="35"/>
      <c r="G153" s="36"/>
      <c r="H153" s="35"/>
      <c r="I153" s="35"/>
      <c r="J153" s="78"/>
      <c r="K153" s="38"/>
      <c r="L153" s="38"/>
      <c r="M153" s="38"/>
      <c r="N153" s="38"/>
      <c r="O153" s="38"/>
      <c r="P153" s="35"/>
      <c r="Q153" s="35"/>
      <c r="R153" s="35"/>
    </row>
    <row r="154" spans="6:18" ht="15" customHeight="1">
      <c r="F154" s="35"/>
      <c r="G154" s="36"/>
      <c r="H154" s="35"/>
      <c r="I154" s="35"/>
      <c r="J154" s="78"/>
      <c r="K154" s="38"/>
      <c r="L154" s="38"/>
      <c r="M154" s="38"/>
      <c r="N154" s="38"/>
      <c r="O154" s="38"/>
      <c r="P154" s="35"/>
      <c r="Q154" s="35"/>
      <c r="R154" s="35"/>
    </row>
    <row r="155" spans="6:18" ht="15" customHeight="1">
      <c r="F155" s="35"/>
      <c r="G155" s="36"/>
      <c r="H155" s="35"/>
      <c r="I155" s="35"/>
      <c r="J155" s="78"/>
      <c r="K155" s="38"/>
      <c r="L155" s="38"/>
      <c r="M155" s="38"/>
      <c r="N155" s="38"/>
      <c r="O155" s="38"/>
      <c r="P155" s="35"/>
      <c r="Q155" s="35"/>
      <c r="R155" s="35"/>
    </row>
    <row r="156" spans="6:18" ht="15" customHeight="1">
      <c r="F156" s="35"/>
      <c r="G156" s="36"/>
      <c r="H156" s="35"/>
      <c r="I156" s="35"/>
      <c r="J156" s="78"/>
      <c r="K156" s="38"/>
      <c r="L156" s="38"/>
      <c r="M156" s="38"/>
      <c r="N156" s="38"/>
      <c r="O156" s="38"/>
      <c r="P156" s="35"/>
      <c r="Q156" s="35"/>
      <c r="R156" s="35"/>
    </row>
    <row r="157" spans="6:18" ht="15" customHeight="1">
      <c r="F157" s="35"/>
      <c r="G157" s="36"/>
      <c r="H157" s="35"/>
      <c r="I157" s="35"/>
      <c r="J157" s="78"/>
      <c r="K157" s="38"/>
      <c r="L157" s="38"/>
      <c r="M157" s="38"/>
      <c r="N157" s="38"/>
      <c r="O157" s="38"/>
      <c r="P157" s="35"/>
      <c r="Q157" s="35"/>
      <c r="R157" s="35"/>
    </row>
    <row r="158" spans="6:18" ht="15" customHeight="1">
      <c r="F158" s="35"/>
      <c r="G158" s="36"/>
      <c r="H158" s="35"/>
      <c r="I158" s="35"/>
      <c r="J158" s="78"/>
      <c r="K158" s="38"/>
      <c r="L158" s="38"/>
      <c r="M158" s="38"/>
      <c r="N158" s="38"/>
      <c r="O158" s="38"/>
      <c r="P158" s="35"/>
      <c r="Q158" s="35"/>
      <c r="R158" s="35"/>
    </row>
    <row r="159" spans="6:18" ht="15" customHeight="1">
      <c r="F159" s="35"/>
      <c r="G159" s="36"/>
      <c r="H159" s="35"/>
      <c r="I159" s="35"/>
      <c r="J159" s="78"/>
      <c r="K159" s="38"/>
      <c r="L159" s="38"/>
      <c r="M159" s="38"/>
      <c r="N159" s="38"/>
      <c r="O159" s="38"/>
      <c r="P159" s="35"/>
      <c r="Q159" s="35"/>
      <c r="R159" s="35"/>
    </row>
    <row r="160" spans="6:18" ht="15" customHeight="1">
      <c r="F160" s="35"/>
      <c r="G160" s="36"/>
      <c r="H160" s="35"/>
      <c r="I160" s="35"/>
      <c r="J160" s="78"/>
      <c r="K160" s="38"/>
      <c r="L160" s="38"/>
      <c r="M160" s="38"/>
      <c r="N160" s="38"/>
      <c r="O160" s="38"/>
      <c r="P160" s="35"/>
      <c r="Q160" s="35"/>
      <c r="R160" s="35"/>
    </row>
    <row r="161" spans="6:18" ht="15" customHeight="1">
      <c r="F161" s="35"/>
      <c r="G161" s="36"/>
      <c r="H161" s="35"/>
      <c r="I161" s="35"/>
      <c r="J161" s="78"/>
      <c r="K161" s="38"/>
      <c r="L161" s="38"/>
      <c r="M161" s="38"/>
      <c r="N161" s="38"/>
      <c r="O161" s="38"/>
      <c r="P161" s="35"/>
      <c r="Q161" s="35"/>
      <c r="R161" s="35"/>
    </row>
    <row r="162" spans="6:18" ht="15" customHeight="1">
      <c r="F162" s="35"/>
      <c r="G162" s="36"/>
      <c r="H162" s="35"/>
      <c r="I162" s="35"/>
      <c r="J162" s="78"/>
      <c r="K162" s="38"/>
      <c r="L162" s="38"/>
      <c r="M162" s="38"/>
      <c r="N162" s="38"/>
      <c r="O162" s="38"/>
      <c r="P162" s="35"/>
      <c r="Q162" s="35"/>
      <c r="R162" s="35"/>
    </row>
    <row r="163" spans="6:18" ht="15" customHeight="1">
      <c r="F163" s="35"/>
      <c r="G163" s="36"/>
      <c r="H163" s="35"/>
      <c r="I163" s="35"/>
      <c r="J163" s="78"/>
      <c r="K163" s="38"/>
      <c r="L163" s="38"/>
      <c r="M163" s="38"/>
      <c r="N163" s="38"/>
      <c r="O163" s="38"/>
      <c r="P163" s="35"/>
      <c r="Q163" s="35"/>
      <c r="R163" s="35"/>
    </row>
    <row r="164" spans="6:18" ht="15" customHeight="1">
      <c r="F164" s="35"/>
      <c r="G164" s="36"/>
      <c r="H164" s="35"/>
      <c r="I164" s="35"/>
      <c r="J164" s="78"/>
      <c r="K164" s="38"/>
      <c r="L164" s="38"/>
      <c r="M164" s="38"/>
      <c r="N164" s="38"/>
      <c r="O164" s="38"/>
      <c r="P164" s="35"/>
      <c r="Q164" s="35"/>
      <c r="R164" s="35"/>
    </row>
    <row r="165" spans="6:18" ht="15" customHeight="1">
      <c r="F165" s="35"/>
      <c r="G165" s="36"/>
      <c r="H165" s="35"/>
      <c r="I165" s="35"/>
      <c r="J165" s="78"/>
      <c r="K165" s="38"/>
      <c r="L165" s="38"/>
      <c r="M165" s="38"/>
      <c r="N165" s="38"/>
      <c r="O165" s="38"/>
      <c r="P165" s="35"/>
      <c r="Q165" s="35"/>
      <c r="R165" s="35"/>
    </row>
    <row r="166" spans="6:18" ht="15" customHeight="1">
      <c r="F166" s="35"/>
      <c r="G166" s="36"/>
      <c r="H166" s="35"/>
      <c r="I166" s="35"/>
      <c r="J166" s="78"/>
      <c r="K166" s="38"/>
      <c r="L166" s="38"/>
      <c r="M166" s="38"/>
      <c r="N166" s="38"/>
      <c r="O166" s="38"/>
      <c r="P166" s="35"/>
      <c r="Q166" s="35"/>
      <c r="R166" s="35"/>
    </row>
    <row r="167" spans="6:18" ht="15" customHeight="1">
      <c r="F167" s="35"/>
      <c r="G167" s="36"/>
      <c r="H167" s="35"/>
      <c r="I167" s="35"/>
      <c r="J167" s="78"/>
      <c r="K167" s="38"/>
      <c r="L167" s="38"/>
      <c r="M167" s="38"/>
      <c r="N167" s="38"/>
      <c r="O167" s="38"/>
      <c r="P167" s="35"/>
      <c r="Q167" s="35"/>
      <c r="R167" s="35"/>
    </row>
    <row r="168" spans="6:18" ht="15" customHeight="1">
      <c r="F168" s="35"/>
      <c r="G168" s="36"/>
      <c r="H168" s="35"/>
      <c r="I168" s="35"/>
      <c r="J168" s="78"/>
      <c r="K168" s="38"/>
      <c r="L168" s="38"/>
      <c r="M168" s="38"/>
      <c r="N168" s="38"/>
      <c r="O168" s="38"/>
      <c r="P168" s="35"/>
      <c r="Q168" s="35"/>
      <c r="R168" s="35"/>
    </row>
    <row r="169" spans="6:18" ht="15" customHeight="1">
      <c r="F169" s="35"/>
      <c r="G169" s="36"/>
      <c r="H169" s="35"/>
      <c r="I169" s="35"/>
      <c r="J169" s="78"/>
      <c r="K169" s="38"/>
      <c r="L169" s="38"/>
      <c r="M169" s="38"/>
      <c r="N169" s="38"/>
      <c r="O169" s="38"/>
      <c r="P169" s="35"/>
      <c r="Q169" s="35"/>
      <c r="R169" s="35"/>
    </row>
    <row r="170" spans="6:18" ht="15" customHeight="1">
      <c r="F170" s="35"/>
      <c r="G170" s="36"/>
      <c r="H170" s="35"/>
      <c r="I170" s="35"/>
      <c r="J170" s="78"/>
      <c r="K170" s="38"/>
      <c r="L170" s="38"/>
      <c r="M170" s="38"/>
      <c r="N170" s="38"/>
      <c r="O170" s="38"/>
      <c r="P170" s="35"/>
      <c r="Q170" s="35"/>
      <c r="R170" s="35"/>
    </row>
    <row r="171" spans="6:18" ht="15" customHeight="1">
      <c r="F171" s="35"/>
      <c r="G171" s="36"/>
      <c r="H171" s="35"/>
      <c r="I171" s="35"/>
      <c r="J171" s="78"/>
      <c r="K171" s="38"/>
      <c r="L171" s="38"/>
      <c r="M171" s="38"/>
      <c r="N171" s="38"/>
      <c r="O171" s="38"/>
      <c r="P171" s="35"/>
      <c r="Q171" s="35"/>
      <c r="R171" s="35"/>
    </row>
    <row r="172" spans="6:18" ht="15" customHeight="1">
      <c r="F172" s="35"/>
      <c r="G172" s="36"/>
      <c r="H172" s="35"/>
      <c r="I172" s="35"/>
      <c r="J172" s="78"/>
      <c r="K172" s="38"/>
      <c r="L172" s="38"/>
      <c r="M172" s="38"/>
      <c r="N172" s="38"/>
      <c r="O172" s="38"/>
      <c r="P172" s="35"/>
      <c r="Q172" s="35"/>
      <c r="R172" s="35"/>
    </row>
    <row r="173" spans="6:18" ht="15" customHeight="1">
      <c r="F173" s="35"/>
      <c r="G173" s="36"/>
      <c r="H173" s="35"/>
      <c r="I173" s="35"/>
      <c r="J173" s="78"/>
      <c r="K173" s="38"/>
      <c r="L173" s="38"/>
      <c r="M173" s="38"/>
      <c r="N173" s="38"/>
      <c r="O173" s="38"/>
      <c r="P173" s="35"/>
      <c r="Q173" s="35"/>
      <c r="R173" s="35"/>
    </row>
    <row r="174" spans="6:18" ht="15" customHeight="1">
      <c r="F174" s="35"/>
      <c r="G174" s="36"/>
      <c r="H174" s="35"/>
      <c r="I174" s="35"/>
      <c r="J174" s="78"/>
      <c r="K174" s="38"/>
      <c r="L174" s="38"/>
      <c r="M174" s="38"/>
      <c r="N174" s="38"/>
      <c r="O174" s="38"/>
      <c r="P174" s="35"/>
      <c r="Q174" s="35"/>
      <c r="R174" s="35"/>
    </row>
    <row r="175" spans="6:18" ht="15" customHeight="1">
      <c r="F175" s="35"/>
      <c r="G175" s="36"/>
      <c r="H175" s="35"/>
      <c r="I175" s="35"/>
      <c r="J175" s="78"/>
      <c r="K175" s="38"/>
      <c r="L175" s="38"/>
      <c r="M175" s="38"/>
      <c r="N175" s="38"/>
      <c r="O175" s="38"/>
      <c r="P175" s="35"/>
      <c r="Q175" s="35"/>
      <c r="R175" s="35"/>
    </row>
    <row r="176" spans="6:18" ht="15" customHeight="1">
      <c r="F176" s="35"/>
      <c r="G176" s="36"/>
      <c r="H176" s="35"/>
      <c r="I176" s="35"/>
      <c r="J176" s="78"/>
      <c r="K176" s="38"/>
      <c r="L176" s="38"/>
      <c r="M176" s="38"/>
      <c r="N176" s="38"/>
      <c r="O176" s="38"/>
      <c r="P176" s="35"/>
      <c r="Q176" s="35"/>
      <c r="R176" s="35"/>
    </row>
    <row r="177" spans="6:18" ht="15" customHeight="1">
      <c r="F177" s="35"/>
      <c r="G177" s="36"/>
      <c r="H177" s="35"/>
      <c r="I177" s="35"/>
      <c r="J177" s="78"/>
      <c r="K177" s="38"/>
      <c r="L177" s="38"/>
      <c r="M177" s="38"/>
      <c r="N177" s="38"/>
      <c r="O177" s="38"/>
      <c r="P177" s="35"/>
      <c r="Q177" s="35"/>
      <c r="R177" s="35"/>
    </row>
    <row r="178" spans="6:18" ht="15" customHeight="1">
      <c r="G178" s="36"/>
      <c r="H178" s="35"/>
      <c r="I178" s="35"/>
      <c r="J178" s="78"/>
      <c r="K178" s="38"/>
      <c r="L178" s="38"/>
      <c r="M178" s="38"/>
      <c r="N178" s="38"/>
      <c r="O178" s="38"/>
      <c r="P178" s="35"/>
      <c r="Q178" s="35"/>
      <c r="R178" s="35"/>
    </row>
    <row r="179" spans="6:18" ht="15" customHeight="1">
      <c r="G179" s="36"/>
      <c r="H179" s="35"/>
      <c r="I179" s="35"/>
      <c r="J179" s="78"/>
      <c r="K179" s="38"/>
      <c r="L179" s="38"/>
      <c r="M179" s="38"/>
      <c r="N179" s="38"/>
      <c r="O179" s="38"/>
      <c r="P179" s="35"/>
      <c r="Q179" s="35"/>
      <c r="R179" s="35"/>
    </row>
    <row r="180" spans="6:18" ht="15" customHeight="1">
      <c r="G180" s="36"/>
      <c r="H180" s="35"/>
      <c r="I180" s="35"/>
      <c r="J180" s="78"/>
      <c r="K180" s="38"/>
      <c r="L180" s="38"/>
      <c r="M180" s="38"/>
      <c r="N180" s="38"/>
      <c r="O180" s="38"/>
      <c r="P180" s="35"/>
      <c r="Q180" s="35"/>
      <c r="R180" s="35"/>
    </row>
    <row r="181" spans="6:18" ht="15" customHeight="1">
      <c r="G181" s="36"/>
      <c r="H181" s="35"/>
      <c r="I181" s="35"/>
      <c r="J181" s="78"/>
      <c r="K181" s="38"/>
      <c r="L181" s="38"/>
      <c r="M181" s="38"/>
      <c r="N181" s="38"/>
      <c r="O181" s="38"/>
      <c r="P181" s="35"/>
      <c r="Q181" s="35"/>
      <c r="R181" s="35"/>
    </row>
  </sheetData>
  <sheetProtection algorithmName="SHA-512" hashValue="Altcdhaw85PaYdIbykyXPDOnHPw8r01iEXBsCwGJVmm3ypbcEv0YF1dKKET/tgBGxeSeYxy0OWpOvtjbIGBywQ==" saltValue="CodYjKdQaNAP0FdXandx6g==" spinCount="100000" sheet="1" objects="1" scenarios="1" sort="0"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29"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T946"/>
  <sheetViews>
    <sheetView view="pageBreakPreview" zoomScale="83" zoomScaleNormal="40" zoomScaleSheetLayoutView="115" workbookViewId="0">
      <pane ySplit="4" topLeftCell="A593" activePane="bottomLeft" state="frozen"/>
      <selection activeCell="T6105" sqref="T6105"/>
      <selection pane="bottomLeft" activeCell="K599" sqref="K599"/>
    </sheetView>
  </sheetViews>
  <sheetFormatPr defaultColWidth="10.28515625" defaultRowHeight="15" customHeight="1"/>
  <cols>
    <col min="1" max="1" width="7.85546875" style="330" customWidth="1"/>
    <col min="2" max="2" width="37.42578125" style="435" bestFit="1" customWidth="1"/>
    <col min="3" max="3" width="18.5703125" style="435" bestFit="1" customWidth="1"/>
    <col min="4" max="4" width="10.140625" style="435" customWidth="1"/>
    <col min="5" max="5" width="14.28515625" style="435" customWidth="1"/>
    <col min="6" max="6" width="10.28515625" style="327" customWidth="1"/>
    <col min="7" max="7" width="13.42578125" style="330" bestFit="1" customWidth="1"/>
    <col min="8" max="8" width="11.140625" style="330" customWidth="1"/>
    <col min="9" max="9" width="32.140625" style="450" bestFit="1" customWidth="1"/>
    <col min="10" max="10" width="10" style="330" customWidth="1"/>
    <col min="11" max="11" width="23.140625" style="450" bestFit="1" customWidth="1"/>
    <col min="12" max="12" width="10" style="330" customWidth="1"/>
    <col min="13" max="13" width="19.140625" style="457" customWidth="1"/>
    <col min="14" max="14" width="14.5703125" style="457" bestFit="1" customWidth="1"/>
    <col min="15" max="17" width="13.85546875" style="458" customWidth="1"/>
    <col min="18" max="18" width="18.7109375" style="440" bestFit="1" customWidth="1"/>
    <col min="19" max="19" width="12" style="327" customWidth="1"/>
    <col min="20" max="20" width="12.42578125" style="385" customWidth="1"/>
    <col min="21" max="21" width="16.42578125" style="385" customWidth="1"/>
    <col min="22" max="22" width="16.42578125" style="459" customWidth="1"/>
    <col min="23" max="23" width="16.7109375" style="460" customWidth="1"/>
    <col min="24" max="24" width="17" style="461" bestFit="1" customWidth="1"/>
    <col min="25" max="30" width="17" style="461" customWidth="1"/>
    <col min="31" max="31" width="16.42578125" style="462" customWidth="1"/>
    <col min="32" max="32" width="16.42578125" style="459" customWidth="1"/>
    <col min="33" max="33" width="16.42578125" style="460" customWidth="1"/>
    <col min="34" max="36" width="16.42578125" style="327" customWidth="1"/>
    <col min="37" max="38" width="16.42578125" style="461" customWidth="1"/>
    <col min="39" max="39" width="16.42578125" style="337" customWidth="1"/>
    <col min="40" max="40" width="16.42578125" style="402" customWidth="1"/>
    <col min="41" max="41" width="2.5703125" style="402" customWidth="1"/>
    <col min="42" max="42" width="22.7109375" style="402" hidden="1" customWidth="1"/>
    <col min="43" max="43" width="4.42578125" style="400" customWidth="1"/>
    <col min="44" max="44" width="4.140625" style="400" customWidth="1"/>
    <col min="45" max="45" width="4.7109375" style="400" customWidth="1"/>
    <col min="46" max="46" width="4.140625" style="400" customWidth="1"/>
    <col min="47" max="47" width="4.28515625" style="400" customWidth="1"/>
    <col min="48" max="48" width="4.42578125" style="400" customWidth="1"/>
    <col min="49" max="49" width="3.5703125" style="400" customWidth="1"/>
    <col min="50" max="50" width="4.140625" style="400" customWidth="1"/>
    <col min="51" max="51" width="3.85546875" style="400" customWidth="1"/>
    <col min="52" max="53" width="4.140625" style="400" customWidth="1"/>
    <col min="54" max="54" width="4" style="400" customWidth="1"/>
    <col min="55" max="56" width="4.42578125" style="400" customWidth="1"/>
    <col min="57" max="57" width="4.140625" style="400" customWidth="1"/>
    <col min="58" max="58" width="3.85546875" style="400" customWidth="1"/>
    <col min="59" max="59" width="4" style="400" customWidth="1"/>
    <col min="60" max="60" width="3.42578125" style="400" customWidth="1"/>
    <col min="61" max="61" width="4" style="400" customWidth="1"/>
    <col min="62" max="62" width="2.28515625" style="401" customWidth="1"/>
    <col min="63" max="63" width="10.85546875" style="402" hidden="1" customWidth="1"/>
    <col min="64" max="64" width="3.7109375" style="400" customWidth="1"/>
    <col min="65" max="65" width="3.28515625" style="400" customWidth="1"/>
    <col min="66" max="66" width="3.42578125" style="400" customWidth="1"/>
    <col min="67" max="67" width="3.85546875" style="400" customWidth="1"/>
    <col min="68" max="68" width="3.42578125" style="400" customWidth="1"/>
    <col min="69" max="69" width="3.28515625" style="400" customWidth="1"/>
    <col min="70" max="70" width="3.140625" style="400" customWidth="1"/>
    <col min="71" max="71" width="4.140625" style="400" customWidth="1"/>
    <col min="72" max="72" width="3.5703125" style="400" customWidth="1"/>
    <col min="73" max="73" width="3.85546875" style="400" customWidth="1"/>
    <col min="74" max="74" width="3.28515625" style="400" customWidth="1"/>
    <col min="75" max="75" width="3.7109375" style="400" customWidth="1"/>
    <col min="76" max="76" width="3.5703125" style="400" customWidth="1"/>
    <col min="77" max="77" width="3.42578125" style="400" customWidth="1"/>
    <col min="78" max="80" width="3.28515625" style="400" customWidth="1"/>
    <col min="81" max="81" width="3.42578125" style="400" customWidth="1"/>
    <col min="82" max="82" width="3.85546875" style="400" customWidth="1"/>
    <col min="83" max="227" width="10.28515625" style="402"/>
    <col min="228" max="16384" width="10.28515625" style="327"/>
  </cols>
  <sheetData>
    <row r="1" spans="1:228" ht="15" customHeight="1">
      <c r="A1" s="398" t="s">
        <v>161</v>
      </c>
      <c r="B1" s="398"/>
      <c r="C1" s="398"/>
      <c r="D1" s="398"/>
      <c r="E1" s="398"/>
      <c r="F1" s="398"/>
      <c r="G1" s="398"/>
      <c r="H1" s="398"/>
      <c r="I1" s="398"/>
      <c r="J1" s="398"/>
      <c r="K1" s="398"/>
      <c r="L1" s="398"/>
      <c r="M1" s="398"/>
      <c r="N1" s="398"/>
      <c r="O1" s="398"/>
      <c r="P1" s="398"/>
      <c r="Q1" s="398"/>
      <c r="R1" s="398"/>
      <c r="S1" s="369"/>
      <c r="T1" s="369"/>
      <c r="U1" s="369"/>
      <c r="V1" s="369"/>
      <c r="W1" s="369"/>
      <c r="X1" s="369"/>
      <c r="Y1" s="369"/>
      <c r="Z1" s="369"/>
      <c r="AA1" s="369"/>
      <c r="AB1" s="369"/>
      <c r="AC1" s="369"/>
      <c r="AD1" s="369"/>
      <c r="AE1" s="369"/>
      <c r="AF1" s="369"/>
      <c r="AG1" s="369"/>
      <c r="AH1" s="369"/>
      <c r="AI1" s="369"/>
      <c r="AJ1" s="369"/>
      <c r="AK1" s="369"/>
      <c r="AL1" s="369"/>
      <c r="AM1" s="369"/>
      <c r="AN1" s="369"/>
      <c r="AO1" s="399"/>
      <c r="AP1" s="399"/>
      <c r="BK1" s="399"/>
    </row>
    <row r="2" spans="1:228" ht="15" customHeight="1">
      <c r="A2" s="403"/>
      <c r="B2" s="404"/>
      <c r="C2" s="404"/>
      <c r="D2" s="404"/>
      <c r="E2" s="404"/>
      <c r="F2" s="402"/>
      <c r="G2" s="403"/>
      <c r="H2" s="403"/>
      <c r="I2" s="405"/>
      <c r="J2" s="406"/>
      <c r="K2" s="407"/>
      <c r="L2" s="403"/>
      <c r="M2" s="408"/>
      <c r="N2" s="408"/>
      <c r="O2" s="409"/>
      <c r="P2" s="409"/>
      <c r="Q2" s="409"/>
      <c r="R2" s="410"/>
      <c r="S2" s="402"/>
      <c r="T2" s="411"/>
      <c r="U2" s="402"/>
      <c r="V2" s="402"/>
      <c r="W2" s="402"/>
      <c r="X2" s="412"/>
      <c r="Y2" s="412"/>
      <c r="Z2" s="412"/>
      <c r="AA2" s="412"/>
      <c r="AB2" s="412"/>
      <c r="AC2" s="412"/>
      <c r="AD2" s="412"/>
      <c r="AE2" s="413"/>
      <c r="AF2" s="402"/>
      <c r="AG2" s="402"/>
      <c r="AH2" s="402"/>
      <c r="AI2" s="402"/>
      <c r="AJ2" s="402"/>
      <c r="AK2" s="402"/>
      <c r="AL2" s="402"/>
      <c r="AM2" s="402"/>
      <c r="AQ2" s="414" t="s">
        <v>252</v>
      </c>
      <c r="AR2" s="414"/>
      <c r="AS2" s="414"/>
      <c r="AT2" s="414"/>
      <c r="AU2" s="414"/>
      <c r="AV2" s="414"/>
      <c r="AW2" s="414"/>
      <c r="AX2" s="414"/>
      <c r="AY2" s="414"/>
      <c r="AZ2" s="414"/>
      <c r="BA2" s="414"/>
      <c r="BB2" s="414"/>
      <c r="BC2" s="414"/>
      <c r="BD2" s="414"/>
      <c r="BE2" s="414"/>
      <c r="BF2" s="414"/>
      <c r="BG2" s="414"/>
      <c r="BH2" s="414"/>
      <c r="BI2" s="414"/>
      <c r="BL2" s="415" t="s">
        <v>253</v>
      </c>
      <c r="BM2" s="415"/>
      <c r="BN2" s="415"/>
      <c r="BO2" s="415"/>
      <c r="BP2" s="415"/>
      <c r="BQ2" s="415"/>
      <c r="BR2" s="415"/>
      <c r="BS2" s="415"/>
      <c r="BT2" s="415"/>
      <c r="BU2" s="415"/>
      <c r="BV2" s="415"/>
      <c r="BW2" s="415"/>
      <c r="BX2" s="415"/>
      <c r="BY2" s="415"/>
      <c r="BZ2" s="415"/>
      <c r="CA2" s="415"/>
      <c r="CB2" s="415"/>
      <c r="CC2" s="415"/>
      <c r="CD2" s="415"/>
    </row>
    <row r="3" spans="1:228" s="402" customFormat="1" ht="15" customHeight="1">
      <c r="A3" s="403"/>
      <c r="B3" s="404"/>
      <c r="C3" s="404"/>
      <c r="D3" s="404"/>
      <c r="E3" s="404"/>
      <c r="G3" s="403"/>
      <c r="H3" s="403"/>
      <c r="I3" s="416"/>
      <c r="J3" s="403"/>
      <c r="K3" s="416"/>
      <c r="L3" s="403"/>
      <c r="M3" s="408"/>
      <c r="N3" s="408"/>
      <c r="O3" s="409"/>
      <c r="P3" s="409"/>
      <c r="Q3" s="409"/>
      <c r="R3" s="410"/>
      <c r="T3" s="417" t="s">
        <v>221</v>
      </c>
      <c r="U3" s="418"/>
      <c r="V3" s="418"/>
      <c r="W3" s="418"/>
      <c r="X3" s="418"/>
      <c r="Y3" s="418"/>
      <c r="Z3" s="418"/>
      <c r="AA3" s="418"/>
      <c r="AB3" s="418"/>
      <c r="AC3" s="418"/>
      <c r="AD3" s="418"/>
      <c r="AE3" s="419"/>
      <c r="AF3" s="420" t="s">
        <v>222</v>
      </c>
      <c r="AG3" s="421"/>
      <c r="AH3" s="421"/>
      <c r="AI3" s="421"/>
      <c r="AJ3" s="421"/>
      <c r="AK3" s="422"/>
      <c r="AL3" s="423" t="s">
        <v>223</v>
      </c>
      <c r="AM3" s="424"/>
      <c r="AN3" s="424"/>
      <c r="AO3" s="425"/>
      <c r="AP3" s="425"/>
      <c r="AQ3" s="426" t="s">
        <v>254</v>
      </c>
      <c r="AR3" s="426"/>
      <c r="AS3" s="426"/>
      <c r="AT3" s="426"/>
      <c r="AU3" s="426"/>
      <c r="AV3" s="426"/>
      <c r="AW3" s="426"/>
      <c r="AX3" s="426"/>
      <c r="AY3" s="427" t="s">
        <v>255</v>
      </c>
      <c r="AZ3" s="427"/>
      <c r="BA3" s="427"/>
      <c r="BB3" s="427"/>
      <c r="BC3" s="427"/>
      <c r="BD3" s="427"/>
      <c r="BE3" s="427"/>
      <c r="BF3" s="427"/>
      <c r="BG3" s="428" t="s">
        <v>256</v>
      </c>
      <c r="BH3" s="428"/>
      <c r="BI3" s="428"/>
      <c r="BJ3" s="429"/>
      <c r="BK3" s="425"/>
      <c r="BL3" s="426" t="s">
        <v>254</v>
      </c>
      <c r="BM3" s="426"/>
      <c r="BN3" s="426"/>
      <c r="BO3" s="426"/>
      <c r="BP3" s="426"/>
      <c r="BQ3" s="426"/>
      <c r="BR3" s="426"/>
      <c r="BS3" s="426"/>
      <c r="BT3" s="427" t="s">
        <v>255</v>
      </c>
      <c r="BU3" s="427"/>
      <c r="BV3" s="427"/>
      <c r="BW3" s="427"/>
      <c r="BX3" s="427"/>
      <c r="BY3" s="427"/>
      <c r="BZ3" s="427"/>
      <c r="CA3" s="427"/>
      <c r="CB3" s="428" t="s">
        <v>256</v>
      </c>
      <c r="CC3" s="428"/>
      <c r="CD3" s="428"/>
    </row>
    <row r="4" spans="1:228" s="362" customFormat="1" ht="46.5" customHeight="1">
      <c r="A4" s="430" t="s">
        <v>33</v>
      </c>
      <c r="B4" s="430" t="s">
        <v>122</v>
      </c>
      <c r="C4" s="430" t="s">
        <v>1279</v>
      </c>
      <c r="D4" s="430" t="s">
        <v>1280</v>
      </c>
      <c r="E4" s="430" t="s">
        <v>1281</v>
      </c>
      <c r="F4" s="430" t="s">
        <v>30</v>
      </c>
      <c r="G4" s="430" t="s">
        <v>111</v>
      </c>
      <c r="H4" s="430" t="s">
        <v>246</v>
      </c>
      <c r="I4" s="430" t="s">
        <v>96</v>
      </c>
      <c r="J4" s="430" t="s">
        <v>23</v>
      </c>
      <c r="K4" s="430" t="s">
        <v>112</v>
      </c>
      <c r="L4" s="430" t="s">
        <v>113</v>
      </c>
      <c r="M4" s="430" t="s">
        <v>37</v>
      </c>
      <c r="N4" s="430" t="s">
        <v>31</v>
      </c>
      <c r="O4" s="430" t="s">
        <v>124</v>
      </c>
      <c r="P4" s="430" t="s">
        <v>1824</v>
      </c>
      <c r="Q4" s="430" t="s">
        <v>1705</v>
      </c>
      <c r="R4" s="430" t="s">
        <v>63</v>
      </c>
      <c r="S4" s="430" t="s">
        <v>116</v>
      </c>
      <c r="T4" s="430" t="s">
        <v>114</v>
      </c>
      <c r="U4" s="430" t="s">
        <v>127</v>
      </c>
      <c r="V4" s="430" t="s">
        <v>128</v>
      </c>
      <c r="W4" s="430" t="s">
        <v>129</v>
      </c>
      <c r="X4" s="430" t="s">
        <v>125</v>
      </c>
      <c r="Y4" s="431" t="s">
        <v>2177</v>
      </c>
      <c r="Z4" s="431" t="s">
        <v>2112</v>
      </c>
      <c r="AA4" s="431" t="s">
        <v>2178</v>
      </c>
      <c r="AB4" s="432" t="s">
        <v>2179</v>
      </c>
      <c r="AC4" s="432" t="s">
        <v>2113</v>
      </c>
      <c r="AD4" s="432" t="s">
        <v>2180</v>
      </c>
      <c r="AE4" s="430" t="s">
        <v>126</v>
      </c>
      <c r="AF4" s="430" t="s">
        <v>115</v>
      </c>
      <c r="AG4" s="430" t="s">
        <v>134</v>
      </c>
      <c r="AH4" s="430" t="s">
        <v>130</v>
      </c>
      <c r="AI4" s="430" t="s">
        <v>131</v>
      </c>
      <c r="AJ4" s="430" t="s">
        <v>132</v>
      </c>
      <c r="AK4" s="430" t="s">
        <v>133</v>
      </c>
      <c r="AL4" s="430" t="s">
        <v>118</v>
      </c>
      <c r="AM4" s="430" t="s">
        <v>35</v>
      </c>
      <c r="AN4" s="430" t="s">
        <v>1258</v>
      </c>
      <c r="AO4" s="430" t="s">
        <v>192</v>
      </c>
      <c r="AP4" s="430" t="s">
        <v>1242</v>
      </c>
      <c r="AQ4" s="430" t="s">
        <v>257</v>
      </c>
      <c r="AR4" s="430" t="s">
        <v>258</v>
      </c>
      <c r="AS4" s="430" t="s">
        <v>259</v>
      </c>
      <c r="AT4" s="430" t="s">
        <v>260</v>
      </c>
      <c r="AU4" s="430" t="s">
        <v>261</v>
      </c>
      <c r="AV4" s="430" t="s">
        <v>262</v>
      </c>
      <c r="AW4" s="430" t="s">
        <v>263</v>
      </c>
      <c r="AX4" s="430" t="s">
        <v>264</v>
      </c>
      <c r="AY4" s="430" t="s">
        <v>265</v>
      </c>
      <c r="AZ4" s="430" t="s">
        <v>266</v>
      </c>
      <c r="BA4" s="430" t="s">
        <v>267</v>
      </c>
      <c r="BB4" s="430" t="s">
        <v>268</v>
      </c>
      <c r="BC4" s="430" t="s">
        <v>269</v>
      </c>
      <c r="BD4" s="430" t="s">
        <v>270</v>
      </c>
      <c r="BE4" s="430" t="s">
        <v>271</v>
      </c>
      <c r="BF4" s="430" t="s">
        <v>272</v>
      </c>
      <c r="BG4" s="430" t="s">
        <v>273</v>
      </c>
      <c r="BH4" s="430" t="s">
        <v>274</v>
      </c>
      <c r="BI4" s="430" t="s">
        <v>275</v>
      </c>
      <c r="BJ4" s="430" t="s">
        <v>164</v>
      </c>
      <c r="BK4" s="430" t="s">
        <v>276</v>
      </c>
      <c r="BL4" s="430" t="s">
        <v>1588</v>
      </c>
      <c r="BM4" s="430" t="s">
        <v>1589</v>
      </c>
      <c r="BN4" s="430" t="s">
        <v>1590</v>
      </c>
      <c r="BO4" s="430" t="s">
        <v>1591</v>
      </c>
      <c r="BP4" s="430" t="s">
        <v>1592</v>
      </c>
      <c r="BQ4" s="430" t="s">
        <v>1593</v>
      </c>
      <c r="BR4" s="430" t="s">
        <v>1594</v>
      </c>
      <c r="BS4" s="430" t="s">
        <v>1595</v>
      </c>
      <c r="BT4" s="430" t="s">
        <v>1596</v>
      </c>
      <c r="BU4" s="430" t="s">
        <v>1597</v>
      </c>
      <c r="BV4" s="430" t="s">
        <v>1598</v>
      </c>
      <c r="BW4" s="430" t="s">
        <v>1599</v>
      </c>
      <c r="BX4" s="430" t="s">
        <v>1600</v>
      </c>
      <c r="BY4" s="430" t="s">
        <v>1601</v>
      </c>
      <c r="BZ4" s="430" t="s">
        <v>1602</v>
      </c>
      <c r="CA4" s="430" t="s">
        <v>1603</v>
      </c>
      <c r="CB4" s="430" t="s">
        <v>1604</v>
      </c>
      <c r="CC4" s="430" t="s">
        <v>1605</v>
      </c>
      <c r="CD4" s="430" t="s">
        <v>1606</v>
      </c>
      <c r="CE4" s="433"/>
      <c r="CF4" s="433"/>
      <c r="CG4" s="433"/>
      <c r="CH4" s="433"/>
      <c r="CI4" s="433"/>
      <c r="CJ4" s="433"/>
      <c r="CK4" s="433"/>
      <c r="CL4" s="433"/>
      <c r="CM4" s="433"/>
      <c r="CN4" s="433"/>
      <c r="CO4" s="433"/>
      <c r="CP4" s="433"/>
      <c r="CQ4" s="433"/>
      <c r="CR4" s="433"/>
      <c r="CS4" s="433"/>
      <c r="CT4" s="433"/>
      <c r="CU4" s="433"/>
      <c r="CV4" s="433"/>
      <c r="CW4" s="433"/>
      <c r="CX4" s="433"/>
      <c r="CY4" s="433"/>
      <c r="CZ4" s="433"/>
      <c r="DA4" s="433"/>
      <c r="DB4" s="433"/>
      <c r="DC4" s="433"/>
      <c r="DD4" s="433"/>
      <c r="DE4" s="433"/>
      <c r="DF4" s="433"/>
      <c r="DG4" s="433"/>
      <c r="DH4" s="433"/>
      <c r="DI4" s="433"/>
      <c r="DJ4" s="433"/>
      <c r="DK4" s="433"/>
      <c r="DL4" s="433"/>
      <c r="DM4" s="433"/>
      <c r="DN4" s="433"/>
      <c r="DO4" s="433"/>
      <c r="DP4" s="433"/>
      <c r="DQ4" s="433"/>
      <c r="DR4" s="433"/>
      <c r="DS4" s="433"/>
      <c r="DT4" s="433"/>
      <c r="DU4" s="433"/>
      <c r="DV4" s="433"/>
      <c r="DW4" s="433"/>
      <c r="DX4" s="433"/>
      <c r="DY4" s="433"/>
      <c r="DZ4" s="433"/>
      <c r="EA4" s="433"/>
      <c r="EB4" s="433"/>
      <c r="EC4" s="433"/>
      <c r="ED4" s="433"/>
      <c r="EE4" s="433"/>
      <c r="EF4" s="433"/>
      <c r="EG4" s="433"/>
      <c r="EH4" s="433"/>
      <c r="EI4" s="433"/>
      <c r="EJ4" s="433"/>
      <c r="EK4" s="433"/>
      <c r="EL4" s="433"/>
      <c r="EM4" s="433"/>
      <c r="EN4" s="433"/>
      <c r="EO4" s="433"/>
      <c r="EP4" s="433"/>
      <c r="EQ4" s="433"/>
      <c r="ER4" s="433"/>
      <c r="ES4" s="433"/>
      <c r="ET4" s="433"/>
      <c r="EU4" s="433"/>
      <c r="EV4" s="433"/>
      <c r="EW4" s="433"/>
      <c r="EX4" s="433"/>
      <c r="EY4" s="433"/>
      <c r="EZ4" s="433"/>
      <c r="FA4" s="433"/>
      <c r="FB4" s="433"/>
      <c r="FC4" s="433"/>
      <c r="FD4" s="433"/>
      <c r="FE4" s="433"/>
      <c r="FF4" s="433"/>
      <c r="FG4" s="433"/>
      <c r="FH4" s="433"/>
      <c r="FI4" s="433"/>
      <c r="FJ4" s="433"/>
      <c r="FK4" s="433"/>
      <c r="FL4" s="433"/>
      <c r="FM4" s="433"/>
      <c r="FN4" s="433"/>
      <c r="FO4" s="433"/>
      <c r="FP4" s="433"/>
      <c r="FQ4" s="433"/>
      <c r="FR4" s="433"/>
      <c r="FS4" s="433"/>
      <c r="FT4" s="433"/>
      <c r="FU4" s="433"/>
      <c r="FV4" s="433"/>
      <c r="FW4" s="433"/>
      <c r="FX4" s="433"/>
      <c r="FY4" s="433"/>
      <c r="FZ4" s="433"/>
      <c r="GA4" s="433"/>
      <c r="GB4" s="433"/>
      <c r="GC4" s="433"/>
      <c r="GD4" s="433"/>
      <c r="GE4" s="433"/>
      <c r="GF4" s="433"/>
      <c r="GG4" s="433"/>
      <c r="GH4" s="433"/>
      <c r="GI4" s="433"/>
      <c r="GJ4" s="433"/>
      <c r="GK4" s="433"/>
      <c r="GL4" s="433"/>
      <c r="GM4" s="433"/>
      <c r="GN4" s="433"/>
      <c r="GO4" s="433"/>
      <c r="GP4" s="433"/>
      <c r="GQ4" s="433"/>
      <c r="GR4" s="433"/>
      <c r="GS4" s="433"/>
      <c r="GT4" s="433"/>
      <c r="GU4" s="433"/>
      <c r="GV4" s="433"/>
      <c r="GW4" s="433"/>
      <c r="GX4" s="433"/>
      <c r="GY4" s="433"/>
      <c r="GZ4" s="433"/>
      <c r="HA4" s="433"/>
      <c r="HB4" s="433"/>
      <c r="HC4" s="433"/>
      <c r="HD4" s="433"/>
      <c r="HE4" s="433"/>
      <c r="HF4" s="433"/>
      <c r="HG4" s="433"/>
      <c r="HH4" s="433"/>
      <c r="HI4" s="433"/>
      <c r="HJ4" s="433"/>
      <c r="HK4" s="433"/>
      <c r="HL4" s="433"/>
      <c r="HM4" s="433"/>
      <c r="HN4" s="433"/>
      <c r="HO4" s="433"/>
      <c r="HP4" s="433"/>
      <c r="HQ4" s="433"/>
      <c r="HR4" s="433"/>
      <c r="HS4" s="433"/>
      <c r="HT4" s="433"/>
    </row>
    <row r="5" spans="1:228" s="362" customFormat="1" ht="15" customHeight="1">
      <c r="A5" s="434">
        <v>1</v>
      </c>
      <c r="B5" s="435" t="str">
        <f>VLOOKUP(Ruimtestaat[[#This Row],[Code]],Locaties[[Code]:[Locatie]],2,FALSE)</f>
        <v>Hoofdkantoor OPOZ</v>
      </c>
      <c r="C5" s="435" t="str">
        <f>VLOOKUP(Ruimtestaat[[#This Row],[Code]],Locaties[[#All],[Code]:[Adres]],4,FALSE)</f>
        <v>Blauw-roodlaan 156</v>
      </c>
      <c r="D5" s="435" t="str">
        <f>VLOOKUP(Ruimtestaat[[#This Row],[Code]],Locaties[[#All],[Code]:[Postcode]],5,FALSE)</f>
        <v>2718 SK</v>
      </c>
      <c r="E5" s="435" t="str">
        <f>VLOOKUP(Ruimtestaat[[#This Row],[Code]],Locaties[#All],6,FALSE)</f>
        <v>Zoetermeer</v>
      </c>
      <c r="F5" s="434"/>
      <c r="G5" s="434" t="s">
        <v>1678</v>
      </c>
      <c r="H5" s="436" t="s">
        <v>1662</v>
      </c>
      <c r="I5" s="437" t="s">
        <v>1675</v>
      </c>
      <c r="J5" s="434">
        <v>6</v>
      </c>
      <c r="K5" s="438" t="str">
        <f>VLOOKUP(Ruimtestaat[[#This Row],[Ruimte code]],Ruimtegroepen[[#All],[Code]:[Ruimte omschrijving]],2,FALSE)</f>
        <v>Gangen/hallen</v>
      </c>
      <c r="L5" s="434" t="s">
        <v>99</v>
      </c>
      <c r="M5" s="437" t="s">
        <v>36</v>
      </c>
      <c r="N5" s="439">
        <v>79</v>
      </c>
      <c r="O5" s="439"/>
      <c r="P5" s="439"/>
      <c r="Q5" s="439"/>
      <c r="R5" s="440" t="str">
        <f>VLOOKUP(Ruimtestaat[[#This Row],[Ruimte code]],Ruimtegroepen[],4,FALSE)</f>
        <v>Ve</v>
      </c>
      <c r="S5" s="434">
        <v>42</v>
      </c>
      <c r="T5" s="434" t="s">
        <v>2</v>
      </c>
      <c r="U5" s="434">
        <f>IF(S5&gt;0,IF(RIGHT(Ruimtestaat[[#This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V5" s="434">
        <f>IF(U5&gt;0,VLOOKUP($J5,Ruimtegroepen[],3,FALSE)*VLOOKUP($L5,Vloersoorten[],3,FALSE)*VLOOKUP($T5,Frequenties[],3,FALSE)*VLOOKUP($A5,Locaties[],3,FALSE),0)</f>
        <v>0</v>
      </c>
      <c r="W5" s="434">
        <f>Ruimtestaat[[#This Row],[Uitvoeringen werkdagen]]*Ruimtestaat[[#This Row],[Oppervlak (netto)]]</f>
        <v>16590</v>
      </c>
      <c r="X5" s="441">
        <f>IF(V5&gt;0,Ruimtestaat[[#This Row],[Prest. (m2 /jaar) werkdagen]]/Ruimtestaat[[#This Row],[Norm (m2/uur) werkdagen]],0)</f>
        <v>0</v>
      </c>
      <c r="Y5" s="442">
        <f>Ruimtestaat[[#This Row],[Uitvoeringen werkdagen]]*Ruimtestaat[[#This Row],[Gedeeltelijk]]</f>
        <v>0</v>
      </c>
      <c r="Z5" s="443" t="e">
        <f>IF(U5&gt;0,Ruimtestaat[[#This Row],[Prest. (m2 / jaar) werkdagen gedeeld]]/Ruimtestaat[[#This Row],[Norm (m2/uur) werkdagen]],0)</f>
        <v>#DIV/0!</v>
      </c>
      <c r="AA5" s="441" t="e">
        <f>Ruimtestaat[[#This Row],[uren / jaar werkdagen gedeeld]]*Tariefsopbouw!$E$35</f>
        <v>#DIV/0!</v>
      </c>
      <c r="AB5" s="441">
        <f>Ruimtestaat[[#This Row],[Uitvoeringen werkdagen]]*Ruimtestaat[[#This Row],[BSO]]</f>
        <v>0</v>
      </c>
      <c r="AC5" s="443" t="e">
        <f>IF(U5&gt;0,Ruimtestaat[[#This Row],[Prest. (m2 / jaar) werkdagen BSO]]/Ruimtestaat[[#This Row],[Norm (m2/uur) werkdagen]],0)</f>
        <v>#DIV/0!</v>
      </c>
      <c r="AD5" s="443" t="e">
        <f>Ruimtestaat[[#This Row],[uren / jaar werkdagen BSO]]*Tariefsopbouw!$E$35</f>
        <v>#DIV/0!</v>
      </c>
      <c r="AE5" s="444">
        <f>Ruimtestaat[[#This Row],[uren / jaar werkdagen]]*Tariefsopbouw!$E$35</f>
        <v>0</v>
      </c>
      <c r="AF5" s="434"/>
      <c r="AG5" s="434">
        <f>IF(Ruimtestaat[[#This Row],[Frequentie weekend]]&gt;0,VALUE(LEFT(AF5,1))*S5,0)</f>
        <v>0</v>
      </c>
      <c r="AH5" s="445">
        <f>IF($AG5&gt;0,VLOOKUP($J5,Ruimtegroepen[],3,FALSE)*VLOOKUP($L5,Vloersoorten[],3,FALSE)*VLOOKUP($AF5,Frequenties[],3,FALSE)*VLOOKUP(Ruimtestaat[[#This Row],[Code]],Locaties[],3,FALSE),0)</f>
        <v>0</v>
      </c>
      <c r="AI5" s="445">
        <f>Ruimtestaat[[#This Row],[Uitvoeringen weekend]]*Ruimtestaat[[#This Row],[Oppervlak (netto)]]</f>
        <v>0</v>
      </c>
      <c r="AJ5" s="445">
        <f>IF(AH5&gt;0,Ruimtestaat[[#This Row],[Prest. (m2 /jaar) weekend]]/Ruimtestaat[[#This Row],[Norm (m2/uur) weekend]],0)</f>
        <v>0</v>
      </c>
      <c r="AK5" s="444">
        <f>Ruimtestaat[[#This Row],[uren / jaar weekend]]*Tariefsopbouw!$D$40</f>
        <v>0</v>
      </c>
      <c r="AL5" s="441">
        <f>Ruimtestaat[[#This Row],[Prest. (m2 /jaar) weekend]]+Ruimtestaat[[#This Row],[Prest. (m2 /jaar) werkdagen]]</f>
        <v>16590</v>
      </c>
      <c r="AM5" s="441">
        <f>Ruimtestaat[[#This Row],[uren / jaar weekend]]+Ruimtestaat[[#This Row],[uren / jaar werkdagen]]</f>
        <v>0</v>
      </c>
      <c r="AN5" s="446">
        <f>Ruimtestaat[[#This Row],[kosten / jaar weekend]]+Ruimtestaat[[#This Row],[kosten / jaar werkdagen]]</f>
        <v>0</v>
      </c>
      <c r="AO5" s="446"/>
      <c r="AP5" s="447" t="str">
        <f>IF(Ruimtestaat[[#This Row],[Frequentie werkdagen]]="","",_xlfn.CONCAT(Ruimtestaat[[#This Row],[Ruimte code]],"-",Ruimtestaat[[#This Row],[Frequentie werkdagen]]," ",Ruimtestaat[[#This Row],[Vloer code]]))</f>
        <v>6-5w T</v>
      </c>
      <c r="AQ5" s="448" t="str">
        <f>_xlfn.IFNA(VLOOKUP($AP5,Programma!$F$3:$G$1101,2,0),"")</f>
        <v>_</v>
      </c>
      <c r="AR5" s="448" t="str">
        <f>_xlfn.IFNA(VLOOKUP($AP5,Programma!$F$3:$H$1101,3,0),"")</f>
        <v>5w</v>
      </c>
      <c r="AS5" s="448" t="str">
        <f>_xlfn.IFNA(VLOOKUP($AP5,Programma!$F$3:$I$1101,4,0),"")</f>
        <v>_</v>
      </c>
      <c r="AT5" s="448" t="str">
        <f>_xlfn.IFNA(VLOOKUP($AP5,Programma!$F$3:$J$1101,5,0),"")</f>
        <v>_</v>
      </c>
      <c r="AU5" s="448" t="str">
        <f>_xlfn.IFNA(VLOOKUP($AP5,Programma!$F$3:$K$1101,6,0),"")</f>
        <v>_</v>
      </c>
      <c r="AV5" s="448" t="str">
        <f>_xlfn.IFNA(VLOOKUP($AP5,Programma!$F$3:$L$1101,7,0),"")</f>
        <v>_</v>
      </c>
      <c r="AW5" s="448" t="str">
        <f>_xlfn.IFNA(VLOOKUP($AP5,Programma!$F$3:$M$1101,8,0),"")</f>
        <v>_</v>
      </c>
      <c r="AX5" s="448" t="str">
        <f>_xlfn.IFNA(VLOOKUP($AP5,Programma!$F$3:$N$1101,9,0),"")</f>
        <v>_</v>
      </c>
      <c r="AY5" s="448" t="str">
        <f>_xlfn.IFNA(VLOOKUP($AP5,Programma!$F$3:$O$1101,10,0),"")</f>
        <v>5w</v>
      </c>
      <c r="AZ5" s="448" t="str">
        <f>_xlfn.IFNA(VLOOKUP($AP5,Programma!$F$3:$P$1101,11,0),"")</f>
        <v>5w</v>
      </c>
      <c r="BA5" s="448" t="str">
        <f>_xlfn.IFNA(VLOOKUP($AP5,Programma!$F$3:$Q$1101,12,0),"")</f>
        <v>1w</v>
      </c>
      <c r="BB5" s="448" t="str">
        <f>_xlfn.IFNA(VLOOKUP($AP5,Programma!$F$3:$R$1101,13,0),"")</f>
        <v>1w</v>
      </c>
      <c r="BC5" s="448" t="str">
        <f>_xlfn.IFNA(VLOOKUP($AP5,Programma!$F$3:$S$1101,14,0),"")</f>
        <v>1m</v>
      </c>
      <c r="BD5" s="448" t="str">
        <f>_xlfn.IFNA(VLOOKUP($AP5,Programma!$F$3:$T$1101,15,0),"")</f>
        <v>2j</v>
      </c>
      <c r="BE5" s="448" t="str">
        <f>_xlfn.IFNA(VLOOKUP($AP5,Programma!$F$3:$U$1101,16,0),"")</f>
        <v>1j</v>
      </c>
      <c r="BF5" s="448" t="str">
        <f>_xlfn.IFNA(VLOOKUP($AP5,Programma!$F$3:$V$1101,17,0),"")</f>
        <v>_</v>
      </c>
      <c r="BG5" s="448" t="str">
        <f>_xlfn.IFNA(VLOOKUP($AP5,Programma!$F$3:$W$1101,18,0),"")</f>
        <v>_</v>
      </c>
      <c r="BH5" s="448" t="str">
        <f>_xlfn.IFNA(VLOOKUP($AP5,Programma!$F$3:$X$1101,19,0),"")</f>
        <v>_</v>
      </c>
      <c r="BI5" s="448" t="str">
        <f>_xlfn.IFNA(VLOOKUP($AP5,Programma!$F$3:$Y$1101,20,0),"")</f>
        <v>_</v>
      </c>
      <c r="BJ5" s="449"/>
      <c r="BK5" s="447" t="str">
        <f>IF(Ruimtestaat[[#This Row],[Frequentie weekend]]="","",_xlfn.CONCAT(Ruimtestaat[[#This Row],[Ruimte code]],"-",Ruimtestaat[[#This Row],[Frequentie weekend]]," ",Ruimtestaat[[#This Row],[Vloer code]]))</f>
        <v/>
      </c>
      <c r="BL5" s="448" t="str">
        <f>_xlfn.IFNA(VLOOKUP($BK5,Programma!$F$3:$G$1101,2,0),"")</f>
        <v/>
      </c>
      <c r="BM5" s="448" t="str">
        <f>_xlfn.IFNA(VLOOKUP($BK5,Programma!$F$3:$H$1101,3,0),"")</f>
        <v/>
      </c>
      <c r="BN5" s="448" t="str">
        <f>_xlfn.IFNA(VLOOKUP($BK5,Programma!$F$3:$I$1101,4,0),"")</f>
        <v/>
      </c>
      <c r="BO5" s="448" t="str">
        <f>_xlfn.IFNA(VLOOKUP($BK5,Programma!$F$3:$J$1101,5,0),"")</f>
        <v/>
      </c>
      <c r="BP5" s="448" t="str">
        <f>_xlfn.IFNA(VLOOKUP($BK5,Programma!$F$3:$K$1101,6,0),"")</f>
        <v/>
      </c>
      <c r="BQ5" s="448" t="str">
        <f>_xlfn.IFNA(VLOOKUP($BK5,Programma!$F$3:$L$1101,7,0),"")</f>
        <v/>
      </c>
      <c r="BR5" s="448" t="str">
        <f>_xlfn.IFNA(VLOOKUP($BK5,Programma!$F$3:$M$1101,8,0),"")</f>
        <v/>
      </c>
      <c r="BS5" s="448" t="str">
        <f>_xlfn.IFNA(VLOOKUP($BK5,Programma!$F$3:$N$1101,9,0),"")</f>
        <v/>
      </c>
      <c r="BT5" s="448" t="str">
        <f>_xlfn.IFNA(VLOOKUP($BK5,Programma!$F$3:$O$1101,10,0),"")</f>
        <v/>
      </c>
      <c r="BU5" s="448" t="str">
        <f>_xlfn.IFNA(VLOOKUP($BK5,Programma!$F$3:$P$1101,11,0),"")</f>
        <v/>
      </c>
      <c r="BV5" s="448" t="str">
        <f>_xlfn.IFNA(VLOOKUP($BK5,Programma!$F$3:$Q$1101,12,0),"")</f>
        <v/>
      </c>
      <c r="BW5" s="448" t="str">
        <f>_xlfn.IFNA(VLOOKUP($BK5,Programma!$F$3:$R$1101,13,0),"")</f>
        <v/>
      </c>
      <c r="BX5" s="448" t="str">
        <f>_xlfn.IFNA(VLOOKUP($BK5,Programma!$F$3:$S$1101,14,0),"")</f>
        <v/>
      </c>
      <c r="BY5" s="448" t="str">
        <f>_xlfn.IFNA(VLOOKUP($BK5,Programma!$F$3:$T$1101,15,0),"")</f>
        <v/>
      </c>
      <c r="BZ5" s="448" t="str">
        <f>_xlfn.IFNA(VLOOKUP($BK5,Programma!$F$3:$U$1101,16,0),"")</f>
        <v/>
      </c>
      <c r="CA5" s="448" t="str">
        <f>_xlfn.IFNA(VLOOKUP($BK5,Programma!$F$3:$V$1101,17,0),"")</f>
        <v/>
      </c>
      <c r="CB5" s="448" t="str">
        <f>_xlfn.IFNA(VLOOKUP($BK5,Programma!$F$3:$W$1101,18,0),"")</f>
        <v/>
      </c>
      <c r="CC5" s="448" t="str">
        <f>_xlfn.IFNA(VLOOKUP($BK5,Programma!$F$3:$X$1101,19,0),"")</f>
        <v/>
      </c>
      <c r="CD5" s="448" t="str">
        <f>_xlfn.IFNA(VLOOKUP($BK5,Programma!$F$3:$Y$1101,20,0),"")</f>
        <v/>
      </c>
    </row>
    <row r="6" spans="1:228" s="362" customFormat="1" ht="15" customHeight="1">
      <c r="A6" s="434">
        <v>1</v>
      </c>
      <c r="B6" s="435" t="str">
        <f>VLOOKUP(Ruimtestaat[[#This Row],[Code]],Locaties[[Code]:[Locatie]],2,FALSE)</f>
        <v>Hoofdkantoor OPOZ</v>
      </c>
      <c r="C6" s="435" t="str">
        <f>VLOOKUP(Ruimtestaat[[#This Row],[Code]],Locaties[[#All],[Code]:[Adres]],4,FALSE)</f>
        <v>Blauw-roodlaan 156</v>
      </c>
      <c r="D6" s="435" t="str">
        <f>VLOOKUP(Ruimtestaat[[#This Row],[Code]],Locaties[[#All],[Code]:[Postcode]],5,FALSE)</f>
        <v>2718 SK</v>
      </c>
      <c r="E6" s="435" t="str">
        <f>VLOOKUP(Ruimtestaat[[#This Row],[Code]],Locaties[#All],6,FALSE)</f>
        <v>Zoetermeer</v>
      </c>
      <c r="F6" s="434"/>
      <c r="G6" s="434" t="s">
        <v>1678</v>
      </c>
      <c r="H6" s="436" t="s">
        <v>1662</v>
      </c>
      <c r="I6" s="437" t="s">
        <v>38</v>
      </c>
      <c r="J6" s="434">
        <v>7</v>
      </c>
      <c r="K6" s="438" t="str">
        <f>VLOOKUP(Ruimtestaat[[#This Row],[Ruimte code]],Ruimtegroepen[[#All],[Code]:[Ruimte omschrijving]],2,FALSE)</f>
        <v>Entree</v>
      </c>
      <c r="L6" s="434" t="s">
        <v>100</v>
      </c>
      <c r="M6" s="437" t="s">
        <v>1759</v>
      </c>
      <c r="N6" s="439">
        <v>4</v>
      </c>
      <c r="O6" s="439"/>
      <c r="P6" s="439"/>
      <c r="Q6" s="439"/>
      <c r="R6" s="440" t="str">
        <f>VLOOKUP(Ruimtestaat[[#This Row],[Ruimte code]],Ruimtegroepen[],4,FALSE)</f>
        <v>Ve</v>
      </c>
      <c r="S6" s="434">
        <v>42</v>
      </c>
      <c r="T6" s="434" t="s">
        <v>2</v>
      </c>
      <c r="U6" s="434">
        <f>IF(S6&gt;0,IF(RIGHT(Ruimtestaat[[#This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V6" s="434">
        <f>IF(U6&gt;0,VLOOKUP($J6,Ruimtegroepen[],3,FALSE)*VLOOKUP($L6,Vloersoorten[],3,FALSE)*VLOOKUP($T6,Frequenties[],3,FALSE)*VLOOKUP($A6,Locaties[],3,FALSE),0)</f>
        <v>0</v>
      </c>
      <c r="W6" s="434">
        <f>Ruimtestaat[[#This Row],[Uitvoeringen werkdagen]]*Ruimtestaat[[#This Row],[Oppervlak (netto)]]</f>
        <v>840</v>
      </c>
      <c r="X6" s="441">
        <f>IF(V6&gt;0,Ruimtestaat[[#This Row],[Prest. (m2 /jaar) werkdagen]]/Ruimtestaat[[#This Row],[Norm (m2/uur) werkdagen]],0)</f>
        <v>0</v>
      </c>
      <c r="Y6" s="442">
        <f>Ruimtestaat[[#This Row],[Uitvoeringen werkdagen]]*Ruimtestaat[[#This Row],[Gedeeltelijk]]</f>
        <v>0</v>
      </c>
      <c r="Z6" s="443" t="e">
        <f>IF(U6&gt;0,Ruimtestaat[[#This Row],[Prest. (m2 / jaar) werkdagen gedeeld]]/Ruimtestaat[[#This Row],[Norm (m2/uur) werkdagen]],0)</f>
        <v>#DIV/0!</v>
      </c>
      <c r="AA6" s="441" t="e">
        <f>Ruimtestaat[[#This Row],[uren / jaar werkdagen gedeeld]]*Tariefsopbouw!$E$35</f>
        <v>#DIV/0!</v>
      </c>
      <c r="AB6" s="441">
        <f>Ruimtestaat[[#This Row],[Uitvoeringen werkdagen]]*Ruimtestaat[[#This Row],[BSO]]</f>
        <v>0</v>
      </c>
      <c r="AC6" s="443" t="e">
        <f>IF(U6&gt;0,Ruimtestaat[[#This Row],[Prest. (m2 / jaar) werkdagen BSO]]/Ruimtestaat[[#This Row],[Norm (m2/uur) werkdagen]],0)</f>
        <v>#DIV/0!</v>
      </c>
      <c r="AD6" s="443" t="e">
        <f>Ruimtestaat[[#This Row],[uren / jaar werkdagen BSO]]*Tariefsopbouw!$E$35</f>
        <v>#DIV/0!</v>
      </c>
      <c r="AE6" s="444">
        <f>Ruimtestaat[[#This Row],[uren / jaar werkdagen]]*Tariefsopbouw!$E$35</f>
        <v>0</v>
      </c>
      <c r="AF6" s="434"/>
      <c r="AG6" s="434">
        <f>IF(Ruimtestaat[[#This Row],[Frequentie weekend]]&gt;0,VALUE(LEFT(AF6,1))*S6,0)</f>
        <v>0</v>
      </c>
      <c r="AH6" s="445">
        <f>IF($AG6&gt;0,VLOOKUP($J6,Ruimtegroepen[],3,FALSE)*VLOOKUP($L6,Vloersoorten[],3,FALSE)*VLOOKUP($AF6,Frequenties[],3,FALSE)*VLOOKUP(Ruimtestaat[[#This Row],[Code]],Locaties[],3,FALSE),0)</f>
        <v>0</v>
      </c>
      <c r="AI6" s="445">
        <f>Ruimtestaat[[#This Row],[Uitvoeringen weekend]]*Ruimtestaat[[#This Row],[Oppervlak (netto)]]</f>
        <v>0</v>
      </c>
      <c r="AJ6" s="445">
        <f>IF(AH6&gt;0,Ruimtestaat[[#This Row],[Prest. (m2 /jaar) weekend]]/Ruimtestaat[[#This Row],[Norm (m2/uur) weekend]],0)</f>
        <v>0</v>
      </c>
      <c r="AK6" s="444">
        <f>Ruimtestaat[[#This Row],[uren / jaar weekend]]*Tariefsopbouw!$D$40</f>
        <v>0</v>
      </c>
      <c r="AL6" s="441">
        <f>Ruimtestaat[[#This Row],[Prest. (m2 /jaar) weekend]]+Ruimtestaat[[#This Row],[Prest. (m2 /jaar) werkdagen]]</f>
        <v>840</v>
      </c>
      <c r="AM6" s="441">
        <f>Ruimtestaat[[#This Row],[uren / jaar weekend]]+Ruimtestaat[[#This Row],[uren / jaar werkdagen]]</f>
        <v>0</v>
      </c>
      <c r="AN6" s="446">
        <f>Ruimtestaat[[#This Row],[kosten / jaar weekend]]+Ruimtestaat[[#This Row],[kosten / jaar werkdagen]]</f>
        <v>0</v>
      </c>
      <c r="AO6" s="446"/>
      <c r="AP6" s="447" t="str">
        <f>IF(Ruimtestaat[[#This Row],[Frequentie werkdagen]]="","",_xlfn.CONCAT(Ruimtestaat[[#This Row],[Ruimte code]],"-",Ruimtestaat[[#This Row],[Frequentie werkdagen]]," ",Ruimtestaat[[#This Row],[Vloer code]]))</f>
        <v>7-5w L</v>
      </c>
      <c r="AQ6" s="448" t="str">
        <f>_xlfn.IFNA(VLOOKUP($AP6,Programma!$F$3:$G$1101,2,0),"")</f>
        <v>_</v>
      </c>
      <c r="AR6" s="448" t="str">
        <f>_xlfn.IFNA(VLOOKUP($AP6,Programma!$F$3:$H$1101,3,0),"")</f>
        <v>_</v>
      </c>
      <c r="AS6" s="448" t="str">
        <f>_xlfn.IFNA(VLOOKUP($AP6,Programma!$F$3:$I$1101,4,0),"")</f>
        <v>_</v>
      </c>
      <c r="AT6" s="448" t="str">
        <f>_xlfn.IFNA(VLOOKUP($AP6,Programma!$F$3:$J$1101,5,0),"")</f>
        <v>5w</v>
      </c>
      <c r="AU6" s="448" t="str">
        <f>_xlfn.IFNA(VLOOKUP($AP6,Programma!$F$3:$K$1101,6,0),"")</f>
        <v>_</v>
      </c>
      <c r="AV6" s="448" t="str">
        <f>_xlfn.IFNA(VLOOKUP($AP6,Programma!$F$3:$L$1101,7,0),"")</f>
        <v>_</v>
      </c>
      <c r="AW6" s="448" t="str">
        <f>_xlfn.IFNA(VLOOKUP($AP6,Programma!$F$3:$M$1101,8,0),"")</f>
        <v>_</v>
      </c>
      <c r="AX6" s="448" t="str">
        <f>_xlfn.IFNA(VLOOKUP($AP6,Programma!$F$3:$N$1101,9,0),"")</f>
        <v>_</v>
      </c>
      <c r="AY6" s="448" t="str">
        <f>_xlfn.IFNA(VLOOKUP($AP6,Programma!$F$3:$O$1101,10,0),"")</f>
        <v>5w</v>
      </c>
      <c r="AZ6" s="448" t="str">
        <f>_xlfn.IFNA(VLOOKUP($AP6,Programma!$F$3:$P$1101,11,0),"")</f>
        <v>5w</v>
      </c>
      <c r="BA6" s="448" t="str">
        <f>_xlfn.IFNA(VLOOKUP($AP6,Programma!$F$3:$Q$1101,12,0),"")</f>
        <v>1w</v>
      </c>
      <c r="BB6" s="448" t="str">
        <f>_xlfn.IFNA(VLOOKUP($AP6,Programma!$F$3:$R$1101,13,0),"")</f>
        <v>1w</v>
      </c>
      <c r="BC6" s="448" t="str">
        <f>_xlfn.IFNA(VLOOKUP($AP6,Programma!$F$3:$S$1101,14,0),"")</f>
        <v>1m</v>
      </c>
      <c r="BD6" s="448" t="str">
        <f>_xlfn.IFNA(VLOOKUP($AP6,Programma!$F$3:$T$1101,15,0),"")</f>
        <v>2j</v>
      </c>
      <c r="BE6" s="448" t="str">
        <f>_xlfn.IFNA(VLOOKUP($AP6,Programma!$F$3:$U$1101,16,0),"")</f>
        <v>1j</v>
      </c>
      <c r="BF6" s="448" t="str">
        <f>_xlfn.IFNA(VLOOKUP($AP6,Programma!$F$3:$V$1101,17,0),"")</f>
        <v>_</v>
      </c>
      <c r="BG6" s="448" t="str">
        <f>_xlfn.IFNA(VLOOKUP($AP6,Programma!$F$3:$W$1101,18,0),"")</f>
        <v>_</v>
      </c>
      <c r="BH6" s="448" t="str">
        <f>_xlfn.IFNA(VLOOKUP($AP6,Programma!$F$3:$X$1101,19,0),"")</f>
        <v>_</v>
      </c>
      <c r="BI6" s="448" t="str">
        <f>_xlfn.IFNA(VLOOKUP($AP6,Programma!$F$3:$Y$1101,20,0),"")</f>
        <v>_</v>
      </c>
      <c r="BJ6" s="449"/>
      <c r="BK6" s="447" t="str">
        <f>IF(Ruimtestaat[[#This Row],[Frequentie weekend]]="","",_xlfn.CONCAT(Ruimtestaat[[#This Row],[Ruimte code]],"-",Ruimtestaat[[#This Row],[Frequentie weekend]]," ",Ruimtestaat[[#This Row],[Vloer code]]))</f>
        <v/>
      </c>
      <c r="BL6" s="448" t="str">
        <f>_xlfn.IFNA(VLOOKUP($BK6,Programma!$F$3:$G$1101,2,0),"")</f>
        <v/>
      </c>
      <c r="BM6" s="448" t="str">
        <f>_xlfn.IFNA(VLOOKUP($BK6,Programma!$F$3:$H$1101,3,0),"")</f>
        <v/>
      </c>
      <c r="BN6" s="448" t="str">
        <f>_xlfn.IFNA(VLOOKUP($BK6,Programma!$F$3:$I$1101,4,0),"")</f>
        <v/>
      </c>
      <c r="BO6" s="448" t="str">
        <f>_xlfn.IFNA(VLOOKUP($BK6,Programma!$F$3:$J$1101,5,0),"")</f>
        <v/>
      </c>
      <c r="BP6" s="448" t="str">
        <f>_xlfn.IFNA(VLOOKUP($BK6,Programma!$F$3:$K$1101,6,0),"")</f>
        <v/>
      </c>
      <c r="BQ6" s="448" t="str">
        <f>_xlfn.IFNA(VLOOKUP($BK6,Programma!$F$3:$L$1101,7,0),"")</f>
        <v/>
      </c>
      <c r="BR6" s="448" t="str">
        <f>_xlfn.IFNA(VLOOKUP($BK6,Programma!$F$3:$M$1101,8,0),"")</f>
        <v/>
      </c>
      <c r="BS6" s="448" t="str">
        <f>_xlfn.IFNA(VLOOKUP($BK6,Programma!$F$3:$N$1101,9,0),"")</f>
        <v/>
      </c>
      <c r="BT6" s="448" t="str">
        <f>_xlfn.IFNA(VLOOKUP($BK6,Programma!$F$3:$O$1101,10,0),"")</f>
        <v/>
      </c>
      <c r="BU6" s="448" t="str">
        <f>_xlfn.IFNA(VLOOKUP($BK6,Programma!$F$3:$P$1101,11,0),"")</f>
        <v/>
      </c>
      <c r="BV6" s="448" t="str">
        <f>_xlfn.IFNA(VLOOKUP($BK6,Programma!$F$3:$Q$1101,12,0),"")</f>
        <v/>
      </c>
      <c r="BW6" s="448" t="str">
        <f>_xlfn.IFNA(VLOOKUP($BK6,Programma!$F$3:$R$1101,13,0),"")</f>
        <v/>
      </c>
      <c r="BX6" s="448" t="str">
        <f>_xlfn.IFNA(VLOOKUP($BK6,Programma!$F$3:$S$1101,14,0),"")</f>
        <v/>
      </c>
      <c r="BY6" s="448" t="str">
        <f>_xlfn.IFNA(VLOOKUP($BK6,Programma!$F$3:$T$1101,15,0),"")</f>
        <v/>
      </c>
      <c r="BZ6" s="448" t="str">
        <f>_xlfn.IFNA(VLOOKUP($BK6,Programma!$F$3:$U$1101,16,0),"")</f>
        <v/>
      </c>
      <c r="CA6" s="448" t="str">
        <f>_xlfn.IFNA(VLOOKUP($BK6,Programma!$F$3:$V$1101,17,0),"")</f>
        <v/>
      </c>
      <c r="CB6" s="448" t="str">
        <f>_xlfn.IFNA(VLOOKUP($BK6,Programma!$F$3:$W$1101,18,0),"")</f>
        <v/>
      </c>
      <c r="CC6" s="448" t="str">
        <f>_xlfn.IFNA(VLOOKUP($BK6,Programma!$F$3:$X$1101,19,0),"")</f>
        <v/>
      </c>
      <c r="CD6" s="448" t="str">
        <f>_xlfn.IFNA(VLOOKUP($BK6,Programma!$F$3:$Y$1101,20,0),"")</f>
        <v/>
      </c>
    </row>
    <row r="7" spans="1:228" ht="15" customHeight="1">
      <c r="A7" s="434">
        <v>1</v>
      </c>
      <c r="B7" s="435" t="str">
        <f>VLOOKUP(Ruimtestaat[[#This Row],[Code]],Locaties[[Code]:[Locatie]],2,FALSE)</f>
        <v>Hoofdkantoor OPOZ</v>
      </c>
      <c r="C7" s="435" t="str">
        <f>VLOOKUP(Ruimtestaat[[#This Row],[Code]],Locaties[[#All],[Code]:[Adres]],4,FALSE)</f>
        <v>Blauw-roodlaan 156</v>
      </c>
      <c r="D7" s="435" t="str">
        <f>VLOOKUP(Ruimtestaat[[#This Row],[Code]],Locaties[[#All],[Code]:[Postcode]],5,FALSE)</f>
        <v>2718 SK</v>
      </c>
      <c r="E7" s="435" t="str">
        <f>VLOOKUP(Ruimtestaat[[#This Row],[Code]],Locaties[#All],6,FALSE)</f>
        <v>Zoetermeer</v>
      </c>
      <c r="F7" s="434"/>
      <c r="G7" s="434" t="s">
        <v>1678</v>
      </c>
      <c r="H7" s="436" t="s">
        <v>1665</v>
      </c>
      <c r="I7" s="437" t="s">
        <v>1676</v>
      </c>
      <c r="J7" s="330">
        <v>2</v>
      </c>
      <c r="K7" s="450" t="str">
        <f>VLOOKUP(Ruimtestaat[[#This Row],[Ruimte code]],Ruimtegroepen[[#All],[Code]:[Ruimte omschrijving]],2,FALSE)</f>
        <v>Kantoren</v>
      </c>
      <c r="L7" s="434" t="s">
        <v>99</v>
      </c>
      <c r="M7" s="437" t="s">
        <v>36</v>
      </c>
      <c r="N7" s="439">
        <v>72</v>
      </c>
      <c r="O7" s="439"/>
      <c r="P7" s="439"/>
      <c r="Q7" s="439"/>
      <c r="R7" s="440" t="str">
        <f>VLOOKUP(Ruimtestaat[[#This Row],[Ruimte code]],Ruimtegroepen[],4,FALSE)</f>
        <v>Bu</v>
      </c>
      <c r="S7" s="434">
        <v>42</v>
      </c>
      <c r="T7" s="434" t="s">
        <v>2</v>
      </c>
      <c r="U7" s="434">
        <f>IF(S7&gt;0,IF(RIGHT(Ruimtestaat[[#This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V7" s="434">
        <f>IF(U7&gt;0,VLOOKUP($J7,Ruimtegroepen[],3,FALSE)*VLOOKUP($L7,Vloersoorten[],3,FALSE)*VLOOKUP($T7,Frequenties[],3,FALSE)*VLOOKUP($A7,Locaties[],3,FALSE),0)</f>
        <v>0</v>
      </c>
      <c r="W7" s="434">
        <f>Ruimtestaat[[#This Row],[Uitvoeringen werkdagen]]*Ruimtestaat[[#This Row],[Oppervlak (netto)]]</f>
        <v>15120</v>
      </c>
      <c r="X7" s="441">
        <f>IF(V7&gt;0,Ruimtestaat[[#This Row],[Prest. (m2 /jaar) werkdagen]]/Ruimtestaat[[#This Row],[Norm (m2/uur) werkdagen]],0)</f>
        <v>0</v>
      </c>
      <c r="Y7" s="442">
        <f>Ruimtestaat[[#This Row],[Uitvoeringen werkdagen]]*Ruimtestaat[[#This Row],[Gedeeltelijk]]</f>
        <v>0</v>
      </c>
      <c r="Z7" s="443" t="e">
        <f>IF(U7&gt;0,Ruimtestaat[[#This Row],[Prest. (m2 / jaar) werkdagen gedeeld]]/Ruimtestaat[[#This Row],[Norm (m2/uur) werkdagen]],0)</f>
        <v>#DIV/0!</v>
      </c>
      <c r="AA7" s="441" t="e">
        <f>Ruimtestaat[[#This Row],[uren / jaar werkdagen gedeeld]]*Tariefsopbouw!$E$35</f>
        <v>#DIV/0!</v>
      </c>
      <c r="AB7" s="441">
        <f>Ruimtestaat[[#This Row],[Uitvoeringen werkdagen]]*Ruimtestaat[[#This Row],[BSO]]</f>
        <v>0</v>
      </c>
      <c r="AC7" s="443" t="e">
        <f>IF(U7&gt;0,Ruimtestaat[[#This Row],[Prest. (m2 / jaar) werkdagen BSO]]/Ruimtestaat[[#This Row],[Norm (m2/uur) werkdagen]],0)</f>
        <v>#DIV/0!</v>
      </c>
      <c r="AD7" s="443" t="e">
        <f>Ruimtestaat[[#This Row],[uren / jaar werkdagen BSO]]*Tariefsopbouw!$E$35</f>
        <v>#DIV/0!</v>
      </c>
      <c r="AE7" s="444">
        <f>Ruimtestaat[[#This Row],[uren / jaar werkdagen]]*Tariefsopbouw!$E$35</f>
        <v>0</v>
      </c>
      <c r="AF7" s="434"/>
      <c r="AG7" s="434">
        <f>IF(Ruimtestaat[[#This Row],[Frequentie weekend]]&gt;0,VALUE(LEFT(AF7,1))*S7,0)</f>
        <v>0</v>
      </c>
      <c r="AH7" s="445">
        <f>IF($AG7&gt;0,VLOOKUP($J7,Ruimtegroepen[],3,FALSE)*VLOOKUP($L7,Vloersoorten[],3,FALSE)*VLOOKUP($AF7,Frequenties[],3,FALSE)*VLOOKUP(Ruimtestaat[[#This Row],[Code]],Locaties[],3,FALSE),0)</f>
        <v>0</v>
      </c>
      <c r="AI7" s="445">
        <f>Ruimtestaat[[#This Row],[Uitvoeringen weekend]]*Ruimtestaat[[#This Row],[Oppervlak (netto)]]</f>
        <v>0</v>
      </c>
      <c r="AJ7" s="445">
        <f>IF(AH7&gt;0,Ruimtestaat[[#This Row],[Prest. (m2 /jaar) weekend]]/Ruimtestaat[[#This Row],[Norm (m2/uur) weekend]],0)</f>
        <v>0</v>
      </c>
      <c r="AK7" s="444">
        <f>Ruimtestaat[[#This Row],[uren / jaar weekend]]*Tariefsopbouw!$D$40</f>
        <v>0</v>
      </c>
      <c r="AL7" s="441">
        <f>Ruimtestaat[[#This Row],[Prest. (m2 /jaar) weekend]]+Ruimtestaat[[#This Row],[Prest. (m2 /jaar) werkdagen]]</f>
        <v>15120</v>
      </c>
      <c r="AM7" s="441">
        <f>Ruimtestaat[[#This Row],[uren / jaar weekend]]+Ruimtestaat[[#This Row],[uren / jaar werkdagen]]</f>
        <v>0</v>
      </c>
      <c r="AN7" s="446">
        <f>Ruimtestaat[[#This Row],[kosten / jaar weekend]]+Ruimtestaat[[#This Row],[kosten / jaar werkdagen]]</f>
        <v>0</v>
      </c>
      <c r="AO7" s="446"/>
      <c r="AP7" s="447" t="str">
        <f>IF(Ruimtestaat[[#This Row],[Frequentie werkdagen]]="","",_xlfn.CONCAT(Ruimtestaat[[#This Row],[Ruimte code]],"-",Ruimtestaat[[#This Row],[Frequentie werkdagen]]," ",Ruimtestaat[[#This Row],[Vloer code]]))</f>
        <v>2-5w T</v>
      </c>
      <c r="AQ7" s="448" t="str">
        <f>_xlfn.IFNA(VLOOKUP($AP7,Programma!$F$3:$G$1101,2,0),"")</f>
        <v>4w</v>
      </c>
      <c r="AR7" s="448" t="str">
        <f>_xlfn.IFNA(VLOOKUP($AP7,Programma!$F$3:$H$1101,3,0),"")</f>
        <v>1w</v>
      </c>
      <c r="AS7" s="448" t="str">
        <f>_xlfn.IFNA(VLOOKUP($AP7,Programma!$F$3:$I$1101,4,0),"")</f>
        <v>_</v>
      </c>
      <c r="AT7" s="448" t="str">
        <f>_xlfn.IFNA(VLOOKUP($AP7,Programma!$F$3:$J$1101,5,0),"")</f>
        <v>_</v>
      </c>
      <c r="AU7" s="448" t="str">
        <f>_xlfn.IFNA(VLOOKUP($AP7,Programma!$F$3:$K$1101,6,0),"")</f>
        <v>_</v>
      </c>
      <c r="AV7" s="448" t="str">
        <f>_xlfn.IFNA(VLOOKUP($AP7,Programma!$F$3:$L$1101,7,0),"")</f>
        <v>_</v>
      </c>
      <c r="AW7" s="448" t="str">
        <f>_xlfn.IFNA(VLOOKUP($AP7,Programma!$F$3:$M$1101,8,0),"")</f>
        <v>_</v>
      </c>
      <c r="AX7" s="448" t="str">
        <f>_xlfn.IFNA(VLOOKUP($AP7,Programma!$F$3:$N$1101,9,0),"")</f>
        <v>_</v>
      </c>
      <c r="AY7" s="448" t="str">
        <f>_xlfn.IFNA(VLOOKUP($AP7,Programma!$F$3:$O$1101,10,0),"")</f>
        <v>5w</v>
      </c>
      <c r="AZ7" s="448" t="str">
        <f>_xlfn.IFNA(VLOOKUP($AP7,Programma!$F$3:$P$1101,11,0),"")</f>
        <v>5w</v>
      </c>
      <c r="BA7" s="448" t="str">
        <f>_xlfn.IFNA(VLOOKUP($AP7,Programma!$F$3:$Q$1101,12,0),"")</f>
        <v>1w</v>
      </c>
      <c r="BB7" s="448" t="str">
        <f>_xlfn.IFNA(VLOOKUP($AP7,Programma!$F$3:$R$1101,13,0),"")</f>
        <v>1w</v>
      </c>
      <c r="BC7" s="448" t="str">
        <f>_xlfn.IFNA(VLOOKUP($AP7,Programma!$F$3:$S$1101,14,0),"")</f>
        <v>1m</v>
      </c>
      <c r="BD7" s="448" t="str">
        <f>_xlfn.IFNA(VLOOKUP($AP7,Programma!$F$3:$T$1101,15,0),"")</f>
        <v>2j</v>
      </c>
      <c r="BE7" s="448" t="str">
        <f>_xlfn.IFNA(VLOOKUP($AP7,Programma!$F$3:$U$1101,16,0),"")</f>
        <v>1j</v>
      </c>
      <c r="BF7" s="448" t="str">
        <f>_xlfn.IFNA(VLOOKUP($AP7,Programma!$F$3:$V$1101,17,0),"")</f>
        <v>_</v>
      </c>
      <c r="BG7" s="448" t="str">
        <f>_xlfn.IFNA(VLOOKUP($AP7,Programma!$F$3:$W$1101,18,0),"")</f>
        <v>_</v>
      </c>
      <c r="BH7" s="448" t="str">
        <f>_xlfn.IFNA(VLOOKUP($AP7,Programma!$F$3:$X$1101,19,0),"")</f>
        <v>_</v>
      </c>
      <c r="BI7" s="448" t="str">
        <f>_xlfn.IFNA(VLOOKUP($AP7,Programma!$F$3:$Y$1101,20,0),"")</f>
        <v>_</v>
      </c>
      <c r="BJ7" s="449"/>
      <c r="BK7" s="447" t="str">
        <f>IF(Ruimtestaat[[#This Row],[Frequentie weekend]]="","",_xlfn.CONCAT(Ruimtestaat[[#This Row],[Ruimte code]],"-",Ruimtestaat[[#This Row],[Frequentie weekend]]," ",Ruimtestaat[[#This Row],[Vloer code]]))</f>
        <v/>
      </c>
      <c r="BL7" s="448" t="str">
        <f>_xlfn.IFNA(VLOOKUP($BK7,Programma!$F$3:$G$1101,2,0),"")</f>
        <v/>
      </c>
      <c r="BM7" s="448" t="str">
        <f>_xlfn.IFNA(VLOOKUP($BK7,Programma!$F$3:$H$1101,3,0),"")</f>
        <v/>
      </c>
      <c r="BN7" s="448" t="str">
        <f>_xlfn.IFNA(VLOOKUP($BK7,Programma!$F$3:$I$1101,4,0),"")</f>
        <v/>
      </c>
      <c r="BO7" s="448" t="str">
        <f>_xlfn.IFNA(VLOOKUP($BK7,Programma!$F$3:$J$1101,5,0),"")</f>
        <v/>
      </c>
      <c r="BP7" s="448" t="str">
        <f>_xlfn.IFNA(VLOOKUP($BK7,Programma!$F$3:$K$1101,6,0),"")</f>
        <v/>
      </c>
      <c r="BQ7" s="448" t="str">
        <f>_xlfn.IFNA(VLOOKUP($BK7,Programma!$F$3:$L$1101,7,0),"")</f>
        <v/>
      </c>
      <c r="BR7" s="448" t="str">
        <f>_xlfn.IFNA(VLOOKUP($BK7,Programma!$F$3:$M$1101,8,0),"")</f>
        <v/>
      </c>
      <c r="BS7" s="448" t="str">
        <f>_xlfn.IFNA(VLOOKUP($BK7,Programma!$F$3:$N$1101,9,0),"")</f>
        <v/>
      </c>
      <c r="BT7" s="448" t="str">
        <f>_xlfn.IFNA(VLOOKUP($BK7,Programma!$F$3:$O$1101,10,0),"")</f>
        <v/>
      </c>
      <c r="BU7" s="448" t="str">
        <f>_xlfn.IFNA(VLOOKUP($BK7,Programma!$F$3:$P$1101,11,0),"")</f>
        <v/>
      </c>
      <c r="BV7" s="448" t="str">
        <f>_xlfn.IFNA(VLOOKUP($BK7,Programma!$F$3:$Q$1101,12,0),"")</f>
        <v/>
      </c>
      <c r="BW7" s="448" t="str">
        <f>_xlfn.IFNA(VLOOKUP($BK7,Programma!$F$3:$R$1101,13,0),"")</f>
        <v/>
      </c>
      <c r="BX7" s="448" t="str">
        <f>_xlfn.IFNA(VLOOKUP($BK7,Programma!$F$3:$S$1101,14,0),"")</f>
        <v/>
      </c>
      <c r="BY7" s="448" t="str">
        <f>_xlfn.IFNA(VLOOKUP($BK7,Programma!$F$3:$T$1101,15,0),"")</f>
        <v/>
      </c>
      <c r="BZ7" s="448" t="str">
        <f>_xlfn.IFNA(VLOOKUP($BK7,Programma!$F$3:$U$1101,16,0),"")</f>
        <v/>
      </c>
      <c r="CA7" s="448" t="str">
        <f>_xlfn.IFNA(VLOOKUP($BK7,Programma!$F$3:$V$1101,17,0),"")</f>
        <v/>
      </c>
      <c r="CB7" s="448" t="str">
        <f>_xlfn.IFNA(VLOOKUP($BK7,Programma!$F$3:$W$1101,18,0),"")</f>
        <v/>
      </c>
      <c r="CC7" s="448" t="str">
        <f>_xlfn.IFNA(VLOOKUP($BK7,Programma!$F$3:$X$1101,19,0),"")</f>
        <v/>
      </c>
      <c r="CD7" s="448" t="str">
        <f>_xlfn.IFNA(VLOOKUP($BK7,Programma!$F$3:$Y$1101,20,0),"")</f>
        <v/>
      </c>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c r="DN7" s="327"/>
      <c r="DO7" s="327"/>
      <c r="DP7" s="327"/>
      <c r="DQ7" s="327"/>
      <c r="DR7" s="327"/>
      <c r="DS7" s="327"/>
      <c r="DT7" s="327"/>
      <c r="DU7" s="327"/>
      <c r="DV7" s="327"/>
      <c r="DW7" s="327"/>
      <c r="DX7" s="327"/>
      <c r="DY7" s="327"/>
      <c r="DZ7" s="327"/>
      <c r="EA7" s="327"/>
      <c r="EB7" s="327"/>
      <c r="EC7" s="327"/>
      <c r="ED7" s="327"/>
      <c r="EE7" s="327"/>
      <c r="EF7" s="327"/>
      <c r="EG7" s="327"/>
      <c r="EH7" s="327"/>
      <c r="EI7" s="327"/>
      <c r="EJ7" s="327"/>
      <c r="EK7" s="327"/>
      <c r="EL7" s="327"/>
      <c r="EM7" s="327"/>
      <c r="EN7" s="327"/>
      <c r="EO7" s="327"/>
      <c r="EP7" s="327"/>
      <c r="EQ7" s="327"/>
      <c r="ER7" s="327"/>
      <c r="ES7" s="327"/>
      <c r="ET7" s="327"/>
      <c r="EU7" s="327"/>
      <c r="EV7" s="327"/>
      <c r="EW7" s="327"/>
      <c r="EX7" s="327"/>
      <c r="EY7" s="327"/>
      <c r="EZ7" s="327"/>
      <c r="FA7" s="327"/>
      <c r="FB7" s="327"/>
      <c r="FC7" s="327"/>
      <c r="FD7" s="327"/>
      <c r="FE7" s="327"/>
      <c r="FF7" s="327"/>
      <c r="FG7" s="327"/>
      <c r="FH7" s="327"/>
      <c r="FI7" s="327"/>
      <c r="FJ7" s="327"/>
      <c r="FK7" s="327"/>
      <c r="FL7" s="327"/>
      <c r="FM7" s="327"/>
      <c r="FN7" s="327"/>
      <c r="FO7" s="327"/>
      <c r="FP7" s="327"/>
      <c r="FQ7" s="327"/>
      <c r="FR7" s="327"/>
      <c r="FS7" s="327"/>
      <c r="FT7" s="327"/>
      <c r="FU7" s="327"/>
      <c r="FV7" s="327"/>
      <c r="FW7" s="327"/>
      <c r="FX7" s="327"/>
      <c r="FY7" s="327"/>
      <c r="FZ7" s="327"/>
      <c r="GA7" s="327"/>
      <c r="GB7" s="327"/>
      <c r="GC7" s="327"/>
      <c r="GD7" s="327"/>
      <c r="GE7" s="327"/>
      <c r="GF7" s="327"/>
      <c r="GG7" s="327"/>
      <c r="GH7" s="327"/>
      <c r="GI7" s="327"/>
      <c r="GJ7" s="327"/>
      <c r="GK7" s="327"/>
      <c r="GL7" s="327"/>
      <c r="GM7" s="327"/>
      <c r="GN7" s="327"/>
      <c r="GO7" s="327"/>
      <c r="GP7" s="327"/>
      <c r="GQ7" s="327"/>
      <c r="GR7" s="327"/>
      <c r="GS7" s="327"/>
      <c r="GT7" s="327"/>
      <c r="GU7" s="327"/>
      <c r="GV7" s="327"/>
      <c r="GW7" s="327"/>
      <c r="GX7" s="327"/>
      <c r="GY7" s="327"/>
      <c r="GZ7" s="327"/>
      <c r="HA7" s="327"/>
      <c r="HB7" s="327"/>
      <c r="HC7" s="327"/>
      <c r="HD7" s="327"/>
      <c r="HE7" s="327"/>
      <c r="HF7" s="327"/>
      <c r="HG7" s="327"/>
      <c r="HH7" s="327"/>
      <c r="HI7" s="327"/>
      <c r="HJ7" s="327"/>
      <c r="HK7" s="327"/>
      <c r="HL7" s="327"/>
      <c r="HM7" s="327"/>
      <c r="HN7" s="327"/>
      <c r="HO7" s="327"/>
      <c r="HP7" s="327"/>
      <c r="HQ7" s="327"/>
      <c r="HR7" s="327"/>
      <c r="HS7" s="327"/>
    </row>
    <row r="8" spans="1:228" ht="12" customHeight="1">
      <c r="A8" s="434">
        <v>1</v>
      </c>
      <c r="B8" s="435" t="str">
        <f>VLOOKUP(Ruimtestaat[[#This Row],[Code]],Locaties[[Code]:[Locatie]],2,FALSE)</f>
        <v>Hoofdkantoor OPOZ</v>
      </c>
      <c r="C8" s="435" t="str">
        <f>VLOOKUP(Ruimtestaat[[#This Row],[Code]],Locaties[[#All],[Code]:[Adres]],4,FALSE)</f>
        <v>Blauw-roodlaan 156</v>
      </c>
      <c r="D8" s="435" t="str">
        <f>VLOOKUP(Ruimtestaat[[#This Row],[Code]],Locaties[[#All],[Code]:[Postcode]],5,FALSE)</f>
        <v>2718 SK</v>
      </c>
      <c r="E8" s="435" t="str">
        <f>VLOOKUP(Ruimtestaat[[#This Row],[Code]],Locaties[#All],6,FALSE)</f>
        <v>Zoetermeer</v>
      </c>
      <c r="F8" s="434"/>
      <c r="G8" s="434" t="s">
        <v>1678</v>
      </c>
      <c r="H8" s="436" t="s">
        <v>1667</v>
      </c>
      <c r="I8" s="437" t="s">
        <v>1676</v>
      </c>
      <c r="J8" s="434">
        <v>2</v>
      </c>
      <c r="K8" s="450" t="str">
        <f>VLOOKUP(Ruimtestaat[[#This Row],[Ruimte code]],Ruimtegroepen[[#All],[Code]:[Ruimte omschrijving]],2,FALSE)</f>
        <v>Kantoren</v>
      </c>
      <c r="L8" s="434" t="s">
        <v>99</v>
      </c>
      <c r="M8" s="437" t="s">
        <v>36</v>
      </c>
      <c r="N8" s="439">
        <v>23</v>
      </c>
      <c r="O8" s="439"/>
      <c r="P8" s="439"/>
      <c r="Q8" s="439"/>
      <c r="R8" s="440" t="str">
        <f>VLOOKUP(Ruimtestaat[[#This Row],[Ruimte code]],Ruimtegroepen[],4,FALSE)</f>
        <v>Bu</v>
      </c>
      <c r="S8" s="434">
        <v>42</v>
      </c>
      <c r="T8" s="434" t="s">
        <v>2</v>
      </c>
      <c r="U8" s="434">
        <f>IF(S8&gt;0,IF(RIGHT(Ruimtestaat[[#This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V8" s="434">
        <f>IF(U8&gt;0,VLOOKUP($J8,Ruimtegroepen[],3,FALSE)*VLOOKUP($L8,Vloersoorten[],3,FALSE)*VLOOKUP($T8,Frequenties[],3,FALSE)*VLOOKUP($A8,Locaties[],3,FALSE),0)</f>
        <v>0</v>
      </c>
      <c r="W8" s="434">
        <f>Ruimtestaat[[#This Row],[Uitvoeringen werkdagen]]*Ruimtestaat[[#This Row],[Oppervlak (netto)]]</f>
        <v>4830</v>
      </c>
      <c r="X8" s="441">
        <f>IF(V8&gt;0,Ruimtestaat[[#This Row],[Prest. (m2 /jaar) werkdagen]]/Ruimtestaat[[#This Row],[Norm (m2/uur) werkdagen]],0)</f>
        <v>0</v>
      </c>
      <c r="Y8" s="442">
        <f>Ruimtestaat[[#This Row],[Uitvoeringen werkdagen]]*Ruimtestaat[[#This Row],[Gedeeltelijk]]</f>
        <v>0</v>
      </c>
      <c r="Z8" s="443" t="e">
        <f>IF(U8&gt;0,Ruimtestaat[[#This Row],[Prest. (m2 / jaar) werkdagen gedeeld]]/Ruimtestaat[[#This Row],[Norm (m2/uur) werkdagen]],0)</f>
        <v>#DIV/0!</v>
      </c>
      <c r="AA8" s="441" t="e">
        <f>Ruimtestaat[[#This Row],[uren / jaar werkdagen gedeeld]]*Tariefsopbouw!$E$35</f>
        <v>#DIV/0!</v>
      </c>
      <c r="AB8" s="441">
        <f>Ruimtestaat[[#This Row],[Uitvoeringen werkdagen]]*Ruimtestaat[[#This Row],[BSO]]</f>
        <v>0</v>
      </c>
      <c r="AC8" s="443" t="e">
        <f>IF(U8&gt;0,Ruimtestaat[[#This Row],[Prest. (m2 / jaar) werkdagen BSO]]/Ruimtestaat[[#This Row],[Norm (m2/uur) werkdagen]],0)</f>
        <v>#DIV/0!</v>
      </c>
      <c r="AD8" s="443" t="e">
        <f>Ruimtestaat[[#This Row],[uren / jaar werkdagen BSO]]*Tariefsopbouw!$E$35</f>
        <v>#DIV/0!</v>
      </c>
      <c r="AE8" s="444">
        <f>Ruimtestaat[[#This Row],[uren / jaar werkdagen]]*Tariefsopbouw!$E$35</f>
        <v>0</v>
      </c>
      <c r="AF8" s="434"/>
      <c r="AG8" s="434">
        <f>IF(Ruimtestaat[[#This Row],[Frequentie weekend]]&gt;0,VALUE(LEFT(AF8,1))*S8,0)</f>
        <v>0</v>
      </c>
      <c r="AH8" s="445">
        <f>IF($AG8&gt;0,VLOOKUP($J8,Ruimtegroepen[],3,FALSE)*VLOOKUP($L8,Vloersoorten[],3,FALSE)*VLOOKUP($AF8,Frequenties[],3,FALSE)*VLOOKUP(Ruimtestaat[[#This Row],[Code]],Locaties[],3,FALSE),0)</f>
        <v>0</v>
      </c>
      <c r="AI8" s="445">
        <f>Ruimtestaat[[#This Row],[Uitvoeringen weekend]]*Ruimtestaat[[#This Row],[Oppervlak (netto)]]</f>
        <v>0</v>
      </c>
      <c r="AJ8" s="445">
        <f>IF(AH8&gt;0,Ruimtestaat[[#This Row],[Prest. (m2 /jaar) weekend]]/Ruimtestaat[[#This Row],[Norm (m2/uur) weekend]],0)</f>
        <v>0</v>
      </c>
      <c r="AK8" s="444">
        <f>Ruimtestaat[[#This Row],[uren / jaar weekend]]*Tariefsopbouw!$D$40</f>
        <v>0</v>
      </c>
      <c r="AL8" s="441">
        <f>Ruimtestaat[[#This Row],[Prest. (m2 /jaar) weekend]]+Ruimtestaat[[#This Row],[Prest. (m2 /jaar) werkdagen]]</f>
        <v>4830</v>
      </c>
      <c r="AM8" s="441">
        <f>Ruimtestaat[[#This Row],[uren / jaar weekend]]+Ruimtestaat[[#This Row],[uren / jaar werkdagen]]</f>
        <v>0</v>
      </c>
      <c r="AN8" s="446">
        <f>Ruimtestaat[[#This Row],[kosten / jaar weekend]]+Ruimtestaat[[#This Row],[kosten / jaar werkdagen]]</f>
        <v>0</v>
      </c>
      <c r="AO8" s="446"/>
      <c r="AP8" s="447" t="str">
        <f>IF(Ruimtestaat[[#This Row],[Frequentie werkdagen]]="","",_xlfn.CONCAT(Ruimtestaat[[#This Row],[Ruimte code]],"-",Ruimtestaat[[#This Row],[Frequentie werkdagen]]," ",Ruimtestaat[[#This Row],[Vloer code]]))</f>
        <v>2-5w T</v>
      </c>
      <c r="AQ8" s="448" t="str">
        <f>_xlfn.IFNA(VLOOKUP($AP8,Programma!$F$3:$G$1101,2,0),"")</f>
        <v>4w</v>
      </c>
      <c r="AR8" s="448" t="str">
        <f>_xlfn.IFNA(VLOOKUP($AP8,Programma!$F$3:$H$1101,3,0),"")</f>
        <v>1w</v>
      </c>
      <c r="AS8" s="448" t="str">
        <f>_xlfn.IFNA(VLOOKUP($AP8,Programma!$F$3:$I$1101,4,0),"")</f>
        <v>_</v>
      </c>
      <c r="AT8" s="448" t="str">
        <f>_xlfn.IFNA(VLOOKUP($AP8,Programma!$F$3:$J$1101,5,0),"")</f>
        <v>_</v>
      </c>
      <c r="AU8" s="448" t="str">
        <f>_xlfn.IFNA(VLOOKUP($AP8,Programma!$F$3:$K$1101,6,0),"")</f>
        <v>_</v>
      </c>
      <c r="AV8" s="448" t="str">
        <f>_xlfn.IFNA(VLOOKUP($AP8,Programma!$F$3:$L$1101,7,0),"")</f>
        <v>_</v>
      </c>
      <c r="AW8" s="448" t="str">
        <f>_xlfn.IFNA(VLOOKUP($AP8,Programma!$F$3:$M$1101,8,0),"")</f>
        <v>_</v>
      </c>
      <c r="AX8" s="448" t="str">
        <f>_xlfn.IFNA(VLOOKUP($AP8,Programma!$F$3:$N$1101,9,0),"")</f>
        <v>_</v>
      </c>
      <c r="AY8" s="448" t="str">
        <f>_xlfn.IFNA(VLOOKUP($AP8,Programma!$F$3:$O$1101,10,0),"")</f>
        <v>5w</v>
      </c>
      <c r="AZ8" s="448" t="str">
        <f>_xlfn.IFNA(VLOOKUP($AP8,Programma!$F$3:$P$1101,11,0),"")</f>
        <v>5w</v>
      </c>
      <c r="BA8" s="448" t="str">
        <f>_xlfn.IFNA(VLOOKUP($AP8,Programma!$F$3:$Q$1101,12,0),"")</f>
        <v>1w</v>
      </c>
      <c r="BB8" s="448" t="str">
        <f>_xlfn.IFNA(VLOOKUP($AP8,Programma!$F$3:$R$1101,13,0),"")</f>
        <v>1w</v>
      </c>
      <c r="BC8" s="448" t="str">
        <f>_xlfn.IFNA(VLOOKUP($AP8,Programma!$F$3:$S$1101,14,0),"")</f>
        <v>1m</v>
      </c>
      <c r="BD8" s="448" t="str">
        <f>_xlfn.IFNA(VLOOKUP($AP8,Programma!$F$3:$T$1101,15,0),"")</f>
        <v>2j</v>
      </c>
      <c r="BE8" s="448" t="str">
        <f>_xlfn.IFNA(VLOOKUP($AP8,Programma!$F$3:$U$1101,16,0),"")</f>
        <v>1j</v>
      </c>
      <c r="BF8" s="448" t="str">
        <f>_xlfn.IFNA(VLOOKUP($AP8,Programma!$F$3:$V$1101,17,0),"")</f>
        <v>_</v>
      </c>
      <c r="BG8" s="448" t="str">
        <f>_xlfn.IFNA(VLOOKUP($AP8,Programma!$F$3:$W$1101,18,0),"")</f>
        <v>_</v>
      </c>
      <c r="BH8" s="448" t="str">
        <f>_xlfn.IFNA(VLOOKUP($AP8,Programma!$F$3:$X$1101,19,0),"")</f>
        <v>_</v>
      </c>
      <c r="BI8" s="448" t="str">
        <f>_xlfn.IFNA(VLOOKUP($AP8,Programma!$F$3:$Y$1101,20,0),"")</f>
        <v>_</v>
      </c>
      <c r="BJ8" s="449"/>
      <c r="BK8" s="447" t="str">
        <f>IF(Ruimtestaat[[#This Row],[Frequentie weekend]]="","",_xlfn.CONCAT(Ruimtestaat[[#This Row],[Ruimte code]],"-",Ruimtestaat[[#This Row],[Frequentie weekend]]," ",Ruimtestaat[[#This Row],[Vloer code]]))</f>
        <v/>
      </c>
      <c r="BL8" s="448" t="str">
        <f>_xlfn.IFNA(VLOOKUP($BK8,Programma!$F$3:$G$1101,2,0),"")</f>
        <v/>
      </c>
      <c r="BM8" s="448" t="str">
        <f>_xlfn.IFNA(VLOOKUP($BK8,Programma!$F$3:$H$1101,3,0),"")</f>
        <v/>
      </c>
      <c r="BN8" s="448" t="str">
        <f>_xlfn.IFNA(VLOOKUP($BK8,Programma!$F$3:$I$1101,4,0),"")</f>
        <v/>
      </c>
      <c r="BO8" s="448" t="str">
        <f>_xlfn.IFNA(VLOOKUP($BK8,Programma!$F$3:$J$1101,5,0),"")</f>
        <v/>
      </c>
      <c r="BP8" s="448" t="str">
        <f>_xlfn.IFNA(VLOOKUP($BK8,Programma!$F$3:$K$1101,6,0),"")</f>
        <v/>
      </c>
      <c r="BQ8" s="448" t="str">
        <f>_xlfn.IFNA(VLOOKUP($BK8,Programma!$F$3:$L$1101,7,0),"")</f>
        <v/>
      </c>
      <c r="BR8" s="448" t="str">
        <f>_xlfn.IFNA(VLOOKUP($BK8,Programma!$F$3:$M$1101,8,0),"")</f>
        <v/>
      </c>
      <c r="BS8" s="448" t="str">
        <f>_xlfn.IFNA(VLOOKUP($BK8,Programma!$F$3:$N$1101,9,0),"")</f>
        <v/>
      </c>
      <c r="BT8" s="448" t="str">
        <f>_xlfn.IFNA(VLOOKUP($BK8,Programma!$F$3:$O$1101,10,0),"")</f>
        <v/>
      </c>
      <c r="BU8" s="448" t="str">
        <f>_xlfn.IFNA(VLOOKUP($BK8,Programma!$F$3:$P$1101,11,0),"")</f>
        <v/>
      </c>
      <c r="BV8" s="448" t="str">
        <f>_xlfn.IFNA(VLOOKUP($BK8,Programma!$F$3:$Q$1101,12,0),"")</f>
        <v/>
      </c>
      <c r="BW8" s="448" t="str">
        <f>_xlfn.IFNA(VLOOKUP($BK8,Programma!$F$3:$R$1101,13,0),"")</f>
        <v/>
      </c>
      <c r="BX8" s="448" t="str">
        <f>_xlfn.IFNA(VLOOKUP($BK8,Programma!$F$3:$S$1101,14,0),"")</f>
        <v/>
      </c>
      <c r="BY8" s="448" t="str">
        <f>_xlfn.IFNA(VLOOKUP($BK8,Programma!$F$3:$T$1101,15,0),"")</f>
        <v/>
      </c>
      <c r="BZ8" s="448" t="str">
        <f>_xlfn.IFNA(VLOOKUP($BK8,Programma!$F$3:$U$1101,16,0),"")</f>
        <v/>
      </c>
      <c r="CA8" s="448" t="str">
        <f>_xlfn.IFNA(VLOOKUP($BK8,Programma!$F$3:$V$1101,17,0),"")</f>
        <v/>
      </c>
      <c r="CB8" s="448" t="str">
        <f>_xlfn.IFNA(VLOOKUP($BK8,Programma!$F$3:$W$1101,18,0),"")</f>
        <v/>
      </c>
      <c r="CC8" s="448" t="str">
        <f>_xlfn.IFNA(VLOOKUP($BK8,Programma!$F$3:$X$1101,19,0),"")</f>
        <v/>
      </c>
      <c r="CD8" s="448" t="str">
        <f>_xlfn.IFNA(VLOOKUP($BK8,Programma!$F$3:$Y$1101,20,0),"")</f>
        <v/>
      </c>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c r="DN8" s="327"/>
      <c r="DO8" s="327"/>
      <c r="DP8" s="327"/>
      <c r="DQ8" s="327"/>
      <c r="DR8" s="327"/>
      <c r="DS8" s="327"/>
      <c r="DT8" s="327"/>
      <c r="DU8" s="327"/>
      <c r="DV8" s="327"/>
      <c r="DW8" s="327"/>
      <c r="DX8" s="327"/>
      <c r="DY8" s="327"/>
      <c r="DZ8" s="327"/>
      <c r="EA8" s="327"/>
      <c r="EB8" s="327"/>
      <c r="EC8" s="327"/>
      <c r="ED8" s="327"/>
      <c r="EE8" s="327"/>
      <c r="EF8" s="327"/>
      <c r="EG8" s="327"/>
      <c r="EH8" s="327"/>
      <c r="EI8" s="327"/>
      <c r="EJ8" s="327"/>
      <c r="EK8" s="327"/>
      <c r="EL8" s="327"/>
      <c r="EM8" s="327"/>
      <c r="EN8" s="327"/>
      <c r="EO8" s="327"/>
      <c r="EP8" s="327"/>
      <c r="EQ8" s="327"/>
      <c r="ER8" s="327"/>
      <c r="ES8" s="327"/>
      <c r="ET8" s="327"/>
      <c r="EU8" s="327"/>
      <c r="EV8" s="327"/>
      <c r="EW8" s="327"/>
      <c r="EX8" s="327"/>
      <c r="EY8" s="327"/>
      <c r="EZ8" s="327"/>
      <c r="FA8" s="327"/>
      <c r="FB8" s="327"/>
      <c r="FC8" s="327"/>
      <c r="FD8" s="327"/>
      <c r="FE8" s="327"/>
      <c r="FF8" s="327"/>
      <c r="FG8" s="327"/>
      <c r="FH8" s="327"/>
      <c r="FI8" s="327"/>
      <c r="FJ8" s="327"/>
      <c r="FK8" s="327"/>
      <c r="FL8" s="327"/>
      <c r="FM8" s="327"/>
      <c r="FN8" s="327"/>
      <c r="FO8" s="327"/>
      <c r="FP8" s="327"/>
      <c r="FQ8" s="327"/>
      <c r="FR8" s="327"/>
      <c r="FS8" s="327"/>
      <c r="FT8" s="327"/>
      <c r="FU8" s="327"/>
      <c r="FV8" s="327"/>
      <c r="FW8" s="327"/>
      <c r="FX8" s="327"/>
      <c r="FY8" s="327"/>
      <c r="FZ8" s="327"/>
      <c r="GA8" s="327"/>
      <c r="GB8" s="327"/>
      <c r="GC8" s="327"/>
      <c r="GD8" s="327"/>
      <c r="GE8" s="327"/>
      <c r="GF8" s="327"/>
      <c r="GG8" s="327"/>
      <c r="GH8" s="327"/>
      <c r="GI8" s="327"/>
      <c r="GJ8" s="327"/>
      <c r="GK8" s="327"/>
      <c r="GL8" s="327"/>
      <c r="GM8" s="327"/>
      <c r="GN8" s="327"/>
      <c r="GO8" s="327"/>
      <c r="GP8" s="327"/>
      <c r="GQ8" s="327"/>
      <c r="GR8" s="327"/>
      <c r="GS8" s="327"/>
      <c r="GT8" s="327"/>
      <c r="GU8" s="327"/>
      <c r="GV8" s="327"/>
      <c r="GW8" s="327"/>
      <c r="GX8" s="327"/>
      <c r="GY8" s="327"/>
      <c r="GZ8" s="327"/>
      <c r="HA8" s="327"/>
      <c r="HB8" s="327"/>
      <c r="HC8" s="327"/>
      <c r="HD8" s="327"/>
      <c r="HE8" s="327"/>
      <c r="HF8" s="327"/>
      <c r="HG8" s="327"/>
      <c r="HH8" s="327"/>
      <c r="HI8" s="327"/>
      <c r="HJ8" s="327"/>
      <c r="HK8" s="327"/>
      <c r="HL8" s="327"/>
      <c r="HM8" s="327"/>
      <c r="HN8" s="327"/>
      <c r="HO8" s="327"/>
      <c r="HP8" s="327"/>
      <c r="HQ8" s="327"/>
      <c r="HR8" s="327"/>
      <c r="HS8" s="327"/>
    </row>
    <row r="9" spans="1:228" ht="15" customHeight="1">
      <c r="A9" s="434">
        <v>1</v>
      </c>
      <c r="B9" s="435" t="str">
        <f>VLOOKUP(Ruimtestaat[[#This Row],[Code]],Locaties[[Code]:[Locatie]],2,FALSE)</f>
        <v>Hoofdkantoor OPOZ</v>
      </c>
      <c r="C9" s="435" t="str">
        <f>VLOOKUP(Ruimtestaat[[#This Row],[Code]],Locaties[[#All],[Code]:[Adres]],4,FALSE)</f>
        <v>Blauw-roodlaan 156</v>
      </c>
      <c r="D9" s="435" t="str">
        <f>VLOOKUP(Ruimtestaat[[#This Row],[Code]],Locaties[[#All],[Code]:[Postcode]],5,FALSE)</f>
        <v>2718 SK</v>
      </c>
      <c r="E9" s="435" t="str">
        <f>VLOOKUP(Ruimtestaat[[#This Row],[Code]],Locaties[#All],6,FALSE)</f>
        <v>Zoetermeer</v>
      </c>
      <c r="F9" s="434"/>
      <c r="G9" s="434" t="s">
        <v>1678</v>
      </c>
      <c r="H9" s="436" t="s">
        <v>1668</v>
      </c>
      <c r="I9" s="437" t="s">
        <v>1676</v>
      </c>
      <c r="J9" s="330">
        <v>2</v>
      </c>
      <c r="K9" s="450" t="str">
        <f>VLOOKUP(Ruimtestaat[[#This Row],[Ruimte code]],Ruimtegroepen[[#All],[Code]:[Ruimte omschrijving]],2,FALSE)</f>
        <v>Kantoren</v>
      </c>
      <c r="L9" s="434" t="s">
        <v>99</v>
      </c>
      <c r="M9" s="437" t="s">
        <v>36</v>
      </c>
      <c r="N9" s="439">
        <v>35</v>
      </c>
      <c r="O9" s="439"/>
      <c r="P9" s="439"/>
      <c r="Q9" s="439"/>
      <c r="R9" s="440" t="str">
        <f>VLOOKUP(Ruimtestaat[[#This Row],[Ruimte code]],Ruimtegroepen[],4,FALSE)</f>
        <v>Bu</v>
      </c>
      <c r="S9" s="434">
        <v>42</v>
      </c>
      <c r="T9" s="434" t="s">
        <v>2</v>
      </c>
      <c r="U9" s="434">
        <f>IF(S9&gt;0,IF(RIGHT(Ruimtestaat[[#This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V9" s="434">
        <f>IF(U9&gt;0,VLOOKUP($J9,Ruimtegroepen[],3,FALSE)*VLOOKUP($L9,Vloersoorten[],3,FALSE)*VLOOKUP($T9,Frequenties[],3,FALSE)*VLOOKUP($A9,Locaties[],3,FALSE),0)</f>
        <v>0</v>
      </c>
      <c r="W9" s="434">
        <f>Ruimtestaat[[#This Row],[Uitvoeringen werkdagen]]*Ruimtestaat[[#This Row],[Oppervlak (netto)]]</f>
        <v>7350</v>
      </c>
      <c r="X9" s="441">
        <f>IF(V9&gt;0,Ruimtestaat[[#This Row],[Prest. (m2 /jaar) werkdagen]]/Ruimtestaat[[#This Row],[Norm (m2/uur) werkdagen]],0)</f>
        <v>0</v>
      </c>
      <c r="Y9" s="442">
        <f>Ruimtestaat[[#This Row],[Uitvoeringen werkdagen]]*Ruimtestaat[[#This Row],[Gedeeltelijk]]</f>
        <v>0</v>
      </c>
      <c r="Z9" s="443" t="e">
        <f>IF(U9&gt;0,Ruimtestaat[[#This Row],[Prest. (m2 / jaar) werkdagen gedeeld]]/Ruimtestaat[[#This Row],[Norm (m2/uur) werkdagen]],0)</f>
        <v>#DIV/0!</v>
      </c>
      <c r="AA9" s="441" t="e">
        <f>Ruimtestaat[[#This Row],[uren / jaar werkdagen gedeeld]]*Tariefsopbouw!$E$35</f>
        <v>#DIV/0!</v>
      </c>
      <c r="AB9" s="441">
        <f>Ruimtestaat[[#This Row],[Uitvoeringen werkdagen]]*Ruimtestaat[[#This Row],[BSO]]</f>
        <v>0</v>
      </c>
      <c r="AC9" s="443" t="e">
        <f>IF(U9&gt;0,Ruimtestaat[[#This Row],[Prest. (m2 / jaar) werkdagen BSO]]/Ruimtestaat[[#This Row],[Norm (m2/uur) werkdagen]],0)</f>
        <v>#DIV/0!</v>
      </c>
      <c r="AD9" s="443" t="e">
        <f>Ruimtestaat[[#This Row],[uren / jaar werkdagen BSO]]*Tariefsopbouw!$E$35</f>
        <v>#DIV/0!</v>
      </c>
      <c r="AE9" s="444">
        <f>Ruimtestaat[[#This Row],[uren / jaar werkdagen]]*Tariefsopbouw!$E$35</f>
        <v>0</v>
      </c>
      <c r="AF9" s="434"/>
      <c r="AG9" s="434">
        <f>IF(Ruimtestaat[[#This Row],[Frequentie weekend]]&gt;0,VALUE(LEFT(AF9,1))*S9,0)</f>
        <v>0</v>
      </c>
      <c r="AH9" s="445">
        <f>IF($AG9&gt;0,VLOOKUP($J9,Ruimtegroepen[],3,FALSE)*VLOOKUP($L9,Vloersoorten[],3,FALSE)*VLOOKUP($AF9,Frequenties[],3,FALSE)*VLOOKUP(Ruimtestaat[[#This Row],[Code]],Locaties[],3,FALSE),0)</f>
        <v>0</v>
      </c>
      <c r="AI9" s="445">
        <f>Ruimtestaat[[#This Row],[Uitvoeringen weekend]]*Ruimtestaat[[#This Row],[Oppervlak (netto)]]</f>
        <v>0</v>
      </c>
      <c r="AJ9" s="445">
        <f>IF(AH9&gt;0,Ruimtestaat[[#This Row],[Prest. (m2 /jaar) weekend]]/Ruimtestaat[[#This Row],[Norm (m2/uur) weekend]],0)</f>
        <v>0</v>
      </c>
      <c r="AK9" s="444">
        <f>Ruimtestaat[[#This Row],[uren / jaar weekend]]*Tariefsopbouw!$D$40</f>
        <v>0</v>
      </c>
      <c r="AL9" s="441">
        <f>Ruimtestaat[[#This Row],[Prest. (m2 /jaar) weekend]]+Ruimtestaat[[#This Row],[Prest. (m2 /jaar) werkdagen]]</f>
        <v>7350</v>
      </c>
      <c r="AM9" s="441">
        <f>Ruimtestaat[[#This Row],[uren / jaar weekend]]+Ruimtestaat[[#This Row],[uren / jaar werkdagen]]</f>
        <v>0</v>
      </c>
      <c r="AN9" s="446">
        <f>Ruimtestaat[[#This Row],[kosten / jaar weekend]]+Ruimtestaat[[#This Row],[kosten / jaar werkdagen]]</f>
        <v>0</v>
      </c>
      <c r="AO9" s="446"/>
      <c r="AP9" s="447" t="str">
        <f>IF(Ruimtestaat[[#This Row],[Frequentie werkdagen]]="","",_xlfn.CONCAT(Ruimtestaat[[#This Row],[Ruimte code]],"-",Ruimtestaat[[#This Row],[Frequentie werkdagen]]," ",Ruimtestaat[[#This Row],[Vloer code]]))</f>
        <v>2-5w T</v>
      </c>
      <c r="AQ9" s="448" t="str">
        <f>_xlfn.IFNA(VLOOKUP($AP9,Programma!$F$3:$G$1101,2,0),"")</f>
        <v>4w</v>
      </c>
      <c r="AR9" s="448" t="str">
        <f>_xlfn.IFNA(VLOOKUP($AP9,Programma!$F$3:$H$1101,3,0),"")</f>
        <v>1w</v>
      </c>
      <c r="AS9" s="448" t="str">
        <f>_xlfn.IFNA(VLOOKUP($AP9,Programma!$F$3:$I$1101,4,0),"")</f>
        <v>_</v>
      </c>
      <c r="AT9" s="448" t="str">
        <f>_xlfn.IFNA(VLOOKUP($AP9,Programma!$F$3:$J$1101,5,0),"")</f>
        <v>_</v>
      </c>
      <c r="AU9" s="448" t="str">
        <f>_xlfn.IFNA(VLOOKUP($AP9,Programma!$F$3:$K$1101,6,0),"")</f>
        <v>_</v>
      </c>
      <c r="AV9" s="448" t="str">
        <f>_xlfn.IFNA(VLOOKUP($AP9,Programma!$F$3:$L$1101,7,0),"")</f>
        <v>_</v>
      </c>
      <c r="AW9" s="448" t="str">
        <f>_xlfn.IFNA(VLOOKUP($AP9,Programma!$F$3:$M$1101,8,0),"")</f>
        <v>_</v>
      </c>
      <c r="AX9" s="448" t="str">
        <f>_xlfn.IFNA(VLOOKUP($AP9,Programma!$F$3:$N$1101,9,0),"")</f>
        <v>_</v>
      </c>
      <c r="AY9" s="448" t="str">
        <f>_xlfn.IFNA(VLOOKUP($AP9,Programma!$F$3:$O$1101,10,0),"")</f>
        <v>5w</v>
      </c>
      <c r="AZ9" s="448" t="str">
        <f>_xlfn.IFNA(VLOOKUP($AP9,Programma!$F$3:$P$1101,11,0),"")</f>
        <v>5w</v>
      </c>
      <c r="BA9" s="448" t="str">
        <f>_xlfn.IFNA(VLOOKUP($AP9,Programma!$F$3:$Q$1101,12,0),"")</f>
        <v>1w</v>
      </c>
      <c r="BB9" s="448" t="str">
        <f>_xlfn.IFNA(VLOOKUP($AP9,Programma!$F$3:$R$1101,13,0),"")</f>
        <v>1w</v>
      </c>
      <c r="BC9" s="448" t="str">
        <f>_xlfn.IFNA(VLOOKUP($AP9,Programma!$F$3:$S$1101,14,0),"")</f>
        <v>1m</v>
      </c>
      <c r="BD9" s="448" t="str">
        <f>_xlfn.IFNA(VLOOKUP($AP9,Programma!$F$3:$T$1101,15,0),"")</f>
        <v>2j</v>
      </c>
      <c r="BE9" s="448" t="str">
        <f>_xlfn.IFNA(VLOOKUP($AP9,Programma!$F$3:$U$1101,16,0),"")</f>
        <v>1j</v>
      </c>
      <c r="BF9" s="448" t="str">
        <f>_xlfn.IFNA(VLOOKUP($AP9,Programma!$F$3:$V$1101,17,0),"")</f>
        <v>_</v>
      </c>
      <c r="BG9" s="448" t="str">
        <f>_xlfn.IFNA(VLOOKUP($AP9,Programma!$F$3:$W$1101,18,0),"")</f>
        <v>_</v>
      </c>
      <c r="BH9" s="448" t="str">
        <f>_xlfn.IFNA(VLOOKUP($AP9,Programma!$F$3:$X$1101,19,0),"")</f>
        <v>_</v>
      </c>
      <c r="BI9" s="448" t="str">
        <f>_xlfn.IFNA(VLOOKUP($AP9,Programma!$F$3:$Y$1101,20,0),"")</f>
        <v>_</v>
      </c>
      <c r="BJ9" s="449"/>
      <c r="BK9" s="447" t="str">
        <f>IF(Ruimtestaat[[#This Row],[Frequentie weekend]]="","",_xlfn.CONCAT(Ruimtestaat[[#This Row],[Ruimte code]],"-",Ruimtestaat[[#This Row],[Frequentie weekend]]," ",Ruimtestaat[[#This Row],[Vloer code]]))</f>
        <v/>
      </c>
      <c r="BL9" s="448" t="str">
        <f>_xlfn.IFNA(VLOOKUP($BK9,Programma!$F$3:$G$1101,2,0),"")</f>
        <v/>
      </c>
      <c r="BM9" s="448" t="str">
        <f>_xlfn.IFNA(VLOOKUP($BK9,Programma!$F$3:$H$1101,3,0),"")</f>
        <v/>
      </c>
      <c r="BN9" s="448" t="str">
        <f>_xlfn.IFNA(VLOOKUP($BK9,Programma!$F$3:$I$1101,4,0),"")</f>
        <v/>
      </c>
      <c r="BO9" s="448" t="str">
        <f>_xlfn.IFNA(VLOOKUP($BK9,Programma!$F$3:$J$1101,5,0),"")</f>
        <v/>
      </c>
      <c r="BP9" s="448" t="str">
        <f>_xlfn.IFNA(VLOOKUP($BK9,Programma!$F$3:$K$1101,6,0),"")</f>
        <v/>
      </c>
      <c r="BQ9" s="448" t="str">
        <f>_xlfn.IFNA(VLOOKUP($BK9,Programma!$F$3:$L$1101,7,0),"")</f>
        <v/>
      </c>
      <c r="BR9" s="448" t="str">
        <f>_xlfn.IFNA(VLOOKUP($BK9,Programma!$F$3:$M$1101,8,0),"")</f>
        <v/>
      </c>
      <c r="BS9" s="448" t="str">
        <f>_xlfn.IFNA(VLOOKUP($BK9,Programma!$F$3:$N$1101,9,0),"")</f>
        <v/>
      </c>
      <c r="BT9" s="448" t="str">
        <f>_xlfn.IFNA(VLOOKUP($BK9,Programma!$F$3:$O$1101,10,0),"")</f>
        <v/>
      </c>
      <c r="BU9" s="448" t="str">
        <f>_xlfn.IFNA(VLOOKUP($BK9,Programma!$F$3:$P$1101,11,0),"")</f>
        <v/>
      </c>
      <c r="BV9" s="448" t="str">
        <f>_xlfn.IFNA(VLOOKUP($BK9,Programma!$F$3:$Q$1101,12,0),"")</f>
        <v/>
      </c>
      <c r="BW9" s="448" t="str">
        <f>_xlfn.IFNA(VLOOKUP($BK9,Programma!$F$3:$R$1101,13,0),"")</f>
        <v/>
      </c>
      <c r="BX9" s="448" t="str">
        <f>_xlfn.IFNA(VLOOKUP($BK9,Programma!$F$3:$S$1101,14,0),"")</f>
        <v/>
      </c>
      <c r="BY9" s="448" t="str">
        <f>_xlfn.IFNA(VLOOKUP($BK9,Programma!$F$3:$T$1101,15,0),"")</f>
        <v/>
      </c>
      <c r="BZ9" s="448" t="str">
        <f>_xlfn.IFNA(VLOOKUP($BK9,Programma!$F$3:$U$1101,16,0),"")</f>
        <v/>
      </c>
      <c r="CA9" s="448" t="str">
        <f>_xlfn.IFNA(VLOOKUP($BK9,Programma!$F$3:$V$1101,17,0),"")</f>
        <v/>
      </c>
      <c r="CB9" s="448" t="str">
        <f>_xlfn.IFNA(VLOOKUP($BK9,Programma!$F$3:$W$1101,18,0),"")</f>
        <v/>
      </c>
      <c r="CC9" s="448" t="str">
        <f>_xlfn.IFNA(VLOOKUP($BK9,Programma!$F$3:$X$1101,19,0),"")</f>
        <v/>
      </c>
      <c r="CD9" s="448" t="str">
        <f>_xlfn.IFNA(VLOOKUP($BK9,Programma!$F$3:$Y$1101,20,0),"")</f>
        <v/>
      </c>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c r="DN9" s="327"/>
      <c r="DO9" s="327"/>
      <c r="DP9" s="327"/>
      <c r="DQ9" s="327"/>
      <c r="DR9" s="327"/>
      <c r="DS9" s="327"/>
      <c r="DT9" s="327"/>
      <c r="DU9" s="327"/>
      <c r="DV9" s="327"/>
      <c r="DW9" s="327"/>
      <c r="DX9" s="327"/>
      <c r="DY9" s="327"/>
      <c r="DZ9" s="327"/>
      <c r="EA9" s="327"/>
      <c r="EB9" s="327"/>
      <c r="EC9" s="327"/>
      <c r="ED9" s="327"/>
      <c r="EE9" s="327"/>
      <c r="EF9" s="327"/>
      <c r="EG9" s="327"/>
      <c r="EH9" s="327"/>
      <c r="EI9" s="327"/>
      <c r="EJ9" s="327"/>
      <c r="EK9" s="327"/>
      <c r="EL9" s="327"/>
      <c r="EM9" s="327"/>
      <c r="EN9" s="327"/>
      <c r="EO9" s="327"/>
      <c r="EP9" s="327"/>
      <c r="EQ9" s="327"/>
      <c r="ER9" s="327"/>
      <c r="ES9" s="327"/>
      <c r="ET9" s="327"/>
      <c r="EU9" s="327"/>
      <c r="EV9" s="327"/>
      <c r="EW9" s="327"/>
      <c r="EX9" s="327"/>
      <c r="EY9" s="327"/>
      <c r="EZ9" s="327"/>
      <c r="FA9" s="327"/>
      <c r="FB9" s="327"/>
      <c r="FC9" s="327"/>
      <c r="FD9" s="327"/>
      <c r="FE9" s="327"/>
      <c r="FF9" s="327"/>
      <c r="FG9" s="327"/>
      <c r="FH9" s="327"/>
      <c r="FI9" s="327"/>
      <c r="FJ9" s="327"/>
      <c r="FK9" s="327"/>
      <c r="FL9" s="327"/>
      <c r="FM9" s="327"/>
      <c r="FN9" s="327"/>
      <c r="FO9" s="327"/>
      <c r="FP9" s="327"/>
      <c r="FQ9" s="327"/>
      <c r="FR9" s="327"/>
      <c r="FS9" s="327"/>
      <c r="FT9" s="327"/>
      <c r="FU9" s="327"/>
      <c r="FV9" s="327"/>
      <c r="FW9" s="327"/>
      <c r="FX9" s="327"/>
      <c r="FY9" s="327"/>
      <c r="FZ9" s="327"/>
      <c r="GA9" s="327"/>
      <c r="GB9" s="327"/>
      <c r="GC9" s="327"/>
      <c r="GD9" s="327"/>
      <c r="GE9" s="327"/>
      <c r="GF9" s="327"/>
      <c r="GG9" s="327"/>
      <c r="GH9" s="327"/>
      <c r="GI9" s="327"/>
      <c r="GJ9" s="327"/>
      <c r="GK9" s="327"/>
      <c r="GL9" s="327"/>
      <c r="GM9" s="327"/>
      <c r="GN9" s="327"/>
      <c r="GO9" s="327"/>
      <c r="GP9" s="327"/>
      <c r="GQ9" s="327"/>
      <c r="GR9" s="327"/>
      <c r="GS9" s="327"/>
      <c r="GT9" s="327"/>
      <c r="GU9" s="327"/>
      <c r="GV9" s="327"/>
      <c r="GW9" s="327"/>
      <c r="GX9" s="327"/>
      <c r="GY9" s="327"/>
      <c r="GZ9" s="327"/>
      <c r="HA9" s="327"/>
      <c r="HB9" s="327"/>
      <c r="HC9" s="327"/>
      <c r="HD9" s="327"/>
      <c r="HE9" s="327"/>
      <c r="HF9" s="327"/>
      <c r="HG9" s="327"/>
      <c r="HH9" s="327"/>
      <c r="HI9" s="327"/>
      <c r="HJ9" s="327"/>
      <c r="HK9" s="327"/>
      <c r="HL9" s="327"/>
      <c r="HM9" s="327"/>
      <c r="HN9" s="327"/>
      <c r="HO9" s="327"/>
      <c r="HP9" s="327"/>
      <c r="HQ9" s="327"/>
      <c r="HR9" s="327"/>
      <c r="HS9" s="327"/>
    </row>
    <row r="10" spans="1:228" ht="15" customHeight="1">
      <c r="A10" s="434">
        <v>1</v>
      </c>
      <c r="B10" s="435" t="str">
        <f>VLOOKUP(Ruimtestaat[[#This Row],[Code]],Locaties[[Code]:[Locatie]],2,FALSE)</f>
        <v>Hoofdkantoor OPOZ</v>
      </c>
      <c r="C10" s="435" t="str">
        <f>VLOOKUP(Ruimtestaat[[#This Row],[Code]],Locaties[[#All],[Code]:[Adres]],4,FALSE)</f>
        <v>Blauw-roodlaan 156</v>
      </c>
      <c r="D10" s="435" t="str">
        <f>VLOOKUP(Ruimtestaat[[#This Row],[Code]],Locaties[[#All],[Code]:[Postcode]],5,FALSE)</f>
        <v>2718 SK</v>
      </c>
      <c r="E10" s="435" t="str">
        <f>VLOOKUP(Ruimtestaat[[#This Row],[Code]],Locaties[#All],6,FALSE)</f>
        <v>Zoetermeer</v>
      </c>
      <c r="F10" s="434"/>
      <c r="G10" s="434" t="s">
        <v>1678</v>
      </c>
      <c r="H10" s="436" t="s">
        <v>1669</v>
      </c>
      <c r="I10" s="437" t="s">
        <v>1676</v>
      </c>
      <c r="J10" s="330">
        <v>2</v>
      </c>
      <c r="K10" s="450" t="str">
        <f>VLOOKUP(Ruimtestaat[[#This Row],[Ruimte code]],Ruimtegroepen[[#All],[Code]:[Ruimte omschrijving]],2,FALSE)</f>
        <v>Kantoren</v>
      </c>
      <c r="L10" s="434" t="s">
        <v>99</v>
      </c>
      <c r="M10" s="437" t="s">
        <v>36</v>
      </c>
      <c r="N10" s="439">
        <v>31</v>
      </c>
      <c r="O10" s="439"/>
      <c r="P10" s="439"/>
      <c r="Q10" s="439"/>
      <c r="R10" s="440" t="str">
        <f>VLOOKUP(Ruimtestaat[[#This Row],[Ruimte code]],Ruimtegroepen[],4,FALSE)</f>
        <v>Bu</v>
      </c>
      <c r="S10" s="434">
        <v>42</v>
      </c>
      <c r="T10" s="434" t="s">
        <v>2</v>
      </c>
      <c r="U10" s="434">
        <f>IF(S10&gt;0,IF(RIGHT(Ruimtestaat[[#This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V10" s="434">
        <f>IF(U10&gt;0,VLOOKUP($J10,Ruimtegroepen[],3,FALSE)*VLOOKUP($L10,Vloersoorten[],3,FALSE)*VLOOKUP($T10,Frequenties[],3,FALSE)*VLOOKUP($A10,Locaties[],3,FALSE),0)</f>
        <v>0</v>
      </c>
      <c r="W10" s="434">
        <f>Ruimtestaat[[#This Row],[Uitvoeringen werkdagen]]*Ruimtestaat[[#This Row],[Oppervlak (netto)]]</f>
        <v>6510</v>
      </c>
      <c r="X10" s="441">
        <f>IF(V10&gt;0,Ruimtestaat[[#This Row],[Prest. (m2 /jaar) werkdagen]]/Ruimtestaat[[#This Row],[Norm (m2/uur) werkdagen]],0)</f>
        <v>0</v>
      </c>
      <c r="Y10" s="442">
        <f>Ruimtestaat[[#This Row],[Uitvoeringen werkdagen]]*Ruimtestaat[[#This Row],[Gedeeltelijk]]</f>
        <v>0</v>
      </c>
      <c r="Z10" s="443" t="e">
        <f>IF(U10&gt;0,Ruimtestaat[[#This Row],[Prest. (m2 / jaar) werkdagen gedeeld]]/Ruimtestaat[[#This Row],[Norm (m2/uur) werkdagen]],0)</f>
        <v>#DIV/0!</v>
      </c>
      <c r="AA10" s="441" t="e">
        <f>Ruimtestaat[[#This Row],[uren / jaar werkdagen gedeeld]]*Tariefsopbouw!$E$35</f>
        <v>#DIV/0!</v>
      </c>
      <c r="AB10" s="441">
        <f>Ruimtestaat[[#This Row],[Uitvoeringen werkdagen]]*Ruimtestaat[[#This Row],[BSO]]</f>
        <v>0</v>
      </c>
      <c r="AC10" s="443" t="e">
        <f>IF(U10&gt;0,Ruimtestaat[[#This Row],[Prest. (m2 / jaar) werkdagen BSO]]/Ruimtestaat[[#This Row],[Norm (m2/uur) werkdagen]],0)</f>
        <v>#DIV/0!</v>
      </c>
      <c r="AD10" s="443" t="e">
        <f>Ruimtestaat[[#This Row],[uren / jaar werkdagen BSO]]*Tariefsopbouw!$E$35</f>
        <v>#DIV/0!</v>
      </c>
      <c r="AE10" s="444">
        <f>Ruimtestaat[[#This Row],[uren / jaar werkdagen]]*Tariefsopbouw!$E$35</f>
        <v>0</v>
      </c>
      <c r="AF10" s="434"/>
      <c r="AG10" s="434">
        <f>IF(Ruimtestaat[[#This Row],[Frequentie weekend]]&gt;0,VALUE(LEFT(AF10,1))*S10,0)</f>
        <v>0</v>
      </c>
      <c r="AH10" s="445">
        <f>IF($AG10&gt;0,VLOOKUP($J10,Ruimtegroepen[],3,FALSE)*VLOOKUP($L10,Vloersoorten[],3,FALSE)*VLOOKUP($AF10,Frequenties[],3,FALSE)*VLOOKUP(Ruimtestaat[[#This Row],[Code]],Locaties[],3,FALSE),0)</f>
        <v>0</v>
      </c>
      <c r="AI10" s="445">
        <f>Ruimtestaat[[#This Row],[Uitvoeringen weekend]]*Ruimtestaat[[#This Row],[Oppervlak (netto)]]</f>
        <v>0</v>
      </c>
      <c r="AJ10" s="445">
        <f>IF(AH10&gt;0,Ruimtestaat[[#This Row],[Prest. (m2 /jaar) weekend]]/Ruimtestaat[[#This Row],[Norm (m2/uur) weekend]],0)</f>
        <v>0</v>
      </c>
      <c r="AK10" s="444">
        <f>Ruimtestaat[[#This Row],[uren / jaar weekend]]*Tariefsopbouw!$D$40</f>
        <v>0</v>
      </c>
      <c r="AL10" s="441">
        <f>Ruimtestaat[[#This Row],[Prest. (m2 /jaar) weekend]]+Ruimtestaat[[#This Row],[Prest. (m2 /jaar) werkdagen]]</f>
        <v>6510</v>
      </c>
      <c r="AM10" s="441">
        <f>Ruimtestaat[[#This Row],[uren / jaar weekend]]+Ruimtestaat[[#This Row],[uren / jaar werkdagen]]</f>
        <v>0</v>
      </c>
      <c r="AN10" s="446">
        <f>Ruimtestaat[[#This Row],[kosten / jaar weekend]]+Ruimtestaat[[#This Row],[kosten / jaar werkdagen]]</f>
        <v>0</v>
      </c>
      <c r="AO10" s="446"/>
      <c r="AP10" s="447" t="str">
        <f>IF(Ruimtestaat[[#This Row],[Frequentie werkdagen]]="","",_xlfn.CONCAT(Ruimtestaat[[#This Row],[Ruimte code]],"-",Ruimtestaat[[#This Row],[Frequentie werkdagen]]," ",Ruimtestaat[[#This Row],[Vloer code]]))</f>
        <v>2-5w T</v>
      </c>
      <c r="AQ10" s="448" t="str">
        <f>_xlfn.IFNA(VLOOKUP($AP10,Programma!$F$3:$G$1101,2,0),"")</f>
        <v>4w</v>
      </c>
      <c r="AR10" s="448" t="str">
        <f>_xlfn.IFNA(VLOOKUP($AP10,Programma!$F$3:$H$1101,3,0),"")</f>
        <v>1w</v>
      </c>
      <c r="AS10" s="448" t="str">
        <f>_xlfn.IFNA(VLOOKUP($AP10,Programma!$F$3:$I$1101,4,0),"")</f>
        <v>_</v>
      </c>
      <c r="AT10" s="448" t="str">
        <f>_xlfn.IFNA(VLOOKUP($AP10,Programma!$F$3:$J$1101,5,0),"")</f>
        <v>_</v>
      </c>
      <c r="AU10" s="448" t="str">
        <f>_xlfn.IFNA(VLOOKUP($AP10,Programma!$F$3:$K$1101,6,0),"")</f>
        <v>_</v>
      </c>
      <c r="AV10" s="448" t="str">
        <f>_xlfn.IFNA(VLOOKUP($AP10,Programma!$F$3:$L$1101,7,0),"")</f>
        <v>_</v>
      </c>
      <c r="AW10" s="448" t="str">
        <f>_xlfn.IFNA(VLOOKUP($AP10,Programma!$F$3:$M$1101,8,0),"")</f>
        <v>_</v>
      </c>
      <c r="AX10" s="448" t="str">
        <f>_xlfn.IFNA(VLOOKUP($AP10,Programma!$F$3:$N$1101,9,0),"")</f>
        <v>_</v>
      </c>
      <c r="AY10" s="448" t="str">
        <f>_xlfn.IFNA(VLOOKUP($AP10,Programma!$F$3:$O$1101,10,0),"")</f>
        <v>5w</v>
      </c>
      <c r="AZ10" s="448" t="str">
        <f>_xlfn.IFNA(VLOOKUP($AP10,Programma!$F$3:$P$1101,11,0),"")</f>
        <v>5w</v>
      </c>
      <c r="BA10" s="448" t="str">
        <f>_xlfn.IFNA(VLOOKUP($AP10,Programma!$F$3:$Q$1101,12,0),"")</f>
        <v>1w</v>
      </c>
      <c r="BB10" s="448" t="str">
        <f>_xlfn.IFNA(VLOOKUP($AP10,Programma!$F$3:$R$1101,13,0),"")</f>
        <v>1w</v>
      </c>
      <c r="BC10" s="448" t="str">
        <f>_xlfn.IFNA(VLOOKUP($AP10,Programma!$F$3:$S$1101,14,0),"")</f>
        <v>1m</v>
      </c>
      <c r="BD10" s="448" t="str">
        <f>_xlfn.IFNA(VLOOKUP($AP10,Programma!$F$3:$T$1101,15,0),"")</f>
        <v>2j</v>
      </c>
      <c r="BE10" s="448" t="str">
        <f>_xlfn.IFNA(VLOOKUP($AP10,Programma!$F$3:$U$1101,16,0),"")</f>
        <v>1j</v>
      </c>
      <c r="BF10" s="448" t="str">
        <f>_xlfn.IFNA(VLOOKUP($AP10,Programma!$F$3:$V$1101,17,0),"")</f>
        <v>_</v>
      </c>
      <c r="BG10" s="448" t="str">
        <f>_xlfn.IFNA(VLOOKUP($AP10,Programma!$F$3:$W$1101,18,0),"")</f>
        <v>_</v>
      </c>
      <c r="BH10" s="448" t="str">
        <f>_xlfn.IFNA(VLOOKUP($AP10,Programma!$F$3:$X$1101,19,0),"")</f>
        <v>_</v>
      </c>
      <c r="BI10" s="448" t="str">
        <f>_xlfn.IFNA(VLOOKUP($AP10,Programma!$F$3:$Y$1101,20,0),"")</f>
        <v>_</v>
      </c>
      <c r="BJ10" s="449"/>
      <c r="BK10" s="447" t="str">
        <f>IF(Ruimtestaat[[#This Row],[Frequentie weekend]]="","",_xlfn.CONCAT(Ruimtestaat[[#This Row],[Ruimte code]],"-",Ruimtestaat[[#This Row],[Frequentie weekend]]," ",Ruimtestaat[[#This Row],[Vloer code]]))</f>
        <v/>
      </c>
      <c r="BL10" s="448" t="str">
        <f>_xlfn.IFNA(VLOOKUP($BK10,Programma!$F$3:$G$1101,2,0),"")</f>
        <v/>
      </c>
      <c r="BM10" s="448" t="str">
        <f>_xlfn.IFNA(VLOOKUP($BK10,Programma!$F$3:$H$1101,3,0),"")</f>
        <v/>
      </c>
      <c r="BN10" s="448" t="str">
        <f>_xlfn.IFNA(VLOOKUP($BK10,Programma!$F$3:$I$1101,4,0),"")</f>
        <v/>
      </c>
      <c r="BO10" s="448" t="str">
        <f>_xlfn.IFNA(VLOOKUP($BK10,Programma!$F$3:$J$1101,5,0),"")</f>
        <v/>
      </c>
      <c r="BP10" s="448" t="str">
        <f>_xlfn.IFNA(VLOOKUP($BK10,Programma!$F$3:$K$1101,6,0),"")</f>
        <v/>
      </c>
      <c r="BQ10" s="448" t="str">
        <f>_xlfn.IFNA(VLOOKUP($BK10,Programma!$F$3:$L$1101,7,0),"")</f>
        <v/>
      </c>
      <c r="BR10" s="448" t="str">
        <f>_xlfn.IFNA(VLOOKUP($BK10,Programma!$F$3:$M$1101,8,0),"")</f>
        <v/>
      </c>
      <c r="BS10" s="448" t="str">
        <f>_xlfn.IFNA(VLOOKUP($BK10,Programma!$F$3:$N$1101,9,0),"")</f>
        <v/>
      </c>
      <c r="BT10" s="448" t="str">
        <f>_xlfn.IFNA(VLOOKUP($BK10,Programma!$F$3:$O$1101,10,0),"")</f>
        <v/>
      </c>
      <c r="BU10" s="448" t="str">
        <f>_xlfn.IFNA(VLOOKUP($BK10,Programma!$F$3:$P$1101,11,0),"")</f>
        <v/>
      </c>
      <c r="BV10" s="448" t="str">
        <f>_xlfn.IFNA(VLOOKUP($BK10,Programma!$F$3:$Q$1101,12,0),"")</f>
        <v/>
      </c>
      <c r="BW10" s="448" t="str">
        <f>_xlfn.IFNA(VLOOKUP($BK10,Programma!$F$3:$R$1101,13,0),"")</f>
        <v/>
      </c>
      <c r="BX10" s="448" t="str">
        <f>_xlfn.IFNA(VLOOKUP($BK10,Programma!$F$3:$S$1101,14,0),"")</f>
        <v/>
      </c>
      <c r="BY10" s="448" t="str">
        <f>_xlfn.IFNA(VLOOKUP($BK10,Programma!$F$3:$T$1101,15,0),"")</f>
        <v/>
      </c>
      <c r="BZ10" s="448" t="str">
        <f>_xlfn.IFNA(VLOOKUP($BK10,Programma!$F$3:$U$1101,16,0),"")</f>
        <v/>
      </c>
      <c r="CA10" s="448" t="str">
        <f>_xlfn.IFNA(VLOOKUP($BK10,Programma!$F$3:$V$1101,17,0),"")</f>
        <v/>
      </c>
      <c r="CB10" s="448" t="str">
        <f>_xlfn.IFNA(VLOOKUP($BK10,Programma!$F$3:$W$1101,18,0),"")</f>
        <v/>
      </c>
      <c r="CC10" s="448" t="str">
        <f>_xlfn.IFNA(VLOOKUP($BK10,Programma!$F$3:$X$1101,19,0),"")</f>
        <v/>
      </c>
      <c r="CD10" s="448" t="str">
        <f>_xlfn.IFNA(VLOOKUP($BK10,Programma!$F$3:$Y$1101,20,0),"")</f>
        <v/>
      </c>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c r="DN10" s="327"/>
      <c r="DO10" s="327"/>
      <c r="DP10" s="327"/>
      <c r="DQ10" s="327"/>
      <c r="DR10" s="327"/>
      <c r="DS10" s="327"/>
      <c r="DT10" s="327"/>
      <c r="DU10" s="327"/>
      <c r="DV10" s="327"/>
      <c r="DW10" s="327"/>
      <c r="DX10" s="327"/>
      <c r="DY10" s="327"/>
      <c r="DZ10" s="327"/>
      <c r="EA10" s="327"/>
      <c r="EB10" s="327"/>
      <c r="EC10" s="327"/>
      <c r="ED10" s="327"/>
      <c r="EE10" s="327"/>
      <c r="EF10" s="327"/>
      <c r="EG10" s="327"/>
      <c r="EH10" s="327"/>
      <c r="EI10" s="327"/>
      <c r="EJ10" s="327"/>
      <c r="EK10" s="327"/>
      <c r="EL10" s="327"/>
      <c r="EM10" s="327"/>
      <c r="EN10" s="327"/>
      <c r="EO10" s="327"/>
      <c r="EP10" s="327"/>
      <c r="EQ10" s="327"/>
      <c r="ER10" s="327"/>
      <c r="ES10" s="327"/>
      <c r="ET10" s="327"/>
      <c r="EU10" s="327"/>
      <c r="EV10" s="327"/>
      <c r="EW10" s="327"/>
      <c r="EX10" s="327"/>
      <c r="EY10" s="327"/>
      <c r="EZ10" s="327"/>
      <c r="FA10" s="327"/>
      <c r="FB10" s="327"/>
      <c r="FC10" s="327"/>
      <c r="FD10" s="327"/>
      <c r="FE10" s="327"/>
      <c r="FF10" s="327"/>
      <c r="FG10" s="327"/>
      <c r="FH10" s="327"/>
      <c r="FI10" s="327"/>
      <c r="FJ10" s="327"/>
      <c r="FK10" s="327"/>
      <c r="FL10" s="327"/>
      <c r="FM10" s="327"/>
      <c r="FN10" s="327"/>
      <c r="FO10" s="327"/>
      <c r="FP10" s="327"/>
      <c r="FQ10" s="327"/>
      <c r="FR10" s="327"/>
      <c r="FS10" s="327"/>
      <c r="FT10" s="327"/>
      <c r="FU10" s="327"/>
      <c r="FV10" s="327"/>
      <c r="FW10" s="327"/>
      <c r="FX10" s="327"/>
      <c r="FY10" s="327"/>
      <c r="FZ10" s="327"/>
      <c r="GA10" s="327"/>
      <c r="GB10" s="327"/>
      <c r="GC10" s="327"/>
      <c r="GD10" s="327"/>
      <c r="GE10" s="327"/>
      <c r="GF10" s="327"/>
      <c r="GG10" s="327"/>
      <c r="GH10" s="327"/>
      <c r="GI10" s="327"/>
      <c r="GJ10" s="327"/>
      <c r="GK10" s="327"/>
      <c r="GL10" s="327"/>
      <c r="GM10" s="327"/>
      <c r="GN10" s="327"/>
      <c r="GO10" s="327"/>
      <c r="GP10" s="327"/>
      <c r="GQ10" s="327"/>
      <c r="GR10" s="327"/>
      <c r="GS10" s="327"/>
      <c r="GT10" s="327"/>
      <c r="GU10" s="327"/>
      <c r="GV10" s="327"/>
      <c r="GW10" s="327"/>
      <c r="GX10" s="327"/>
      <c r="GY10" s="327"/>
      <c r="GZ10" s="327"/>
      <c r="HA10" s="327"/>
      <c r="HB10" s="327"/>
      <c r="HC10" s="327"/>
      <c r="HD10" s="327"/>
      <c r="HE10" s="327"/>
      <c r="HF10" s="327"/>
      <c r="HG10" s="327"/>
      <c r="HH10" s="327"/>
      <c r="HI10" s="327"/>
      <c r="HJ10" s="327"/>
      <c r="HK10" s="327"/>
      <c r="HL10" s="327"/>
      <c r="HM10" s="327"/>
      <c r="HN10" s="327"/>
      <c r="HO10" s="327"/>
      <c r="HP10" s="327"/>
      <c r="HQ10" s="327"/>
      <c r="HR10" s="327"/>
      <c r="HS10" s="327"/>
    </row>
    <row r="11" spans="1:228" ht="15" customHeight="1">
      <c r="A11" s="434">
        <v>1</v>
      </c>
      <c r="B11" s="435" t="str">
        <f>VLOOKUP(Ruimtestaat[[#This Row],[Code]],Locaties[[Code]:[Locatie]],2,FALSE)</f>
        <v>Hoofdkantoor OPOZ</v>
      </c>
      <c r="C11" s="435" t="str">
        <f>VLOOKUP(Ruimtestaat[[#This Row],[Code]],Locaties[[#All],[Code]:[Adres]],4,FALSE)</f>
        <v>Blauw-roodlaan 156</v>
      </c>
      <c r="D11" s="435" t="str">
        <f>VLOOKUP(Ruimtestaat[[#This Row],[Code]],Locaties[[#All],[Code]:[Postcode]],5,FALSE)</f>
        <v>2718 SK</v>
      </c>
      <c r="E11" s="435" t="str">
        <f>VLOOKUP(Ruimtestaat[[#This Row],[Code]],Locaties[#All],6,FALSE)</f>
        <v>Zoetermeer</v>
      </c>
      <c r="F11" s="434"/>
      <c r="G11" s="434" t="s">
        <v>1678</v>
      </c>
      <c r="H11" s="436" t="s">
        <v>1670</v>
      </c>
      <c r="I11" s="437" t="s">
        <v>1677</v>
      </c>
      <c r="J11" s="330">
        <v>15</v>
      </c>
      <c r="K11" s="450" t="str">
        <f>VLOOKUP(Ruimtestaat[[#This Row],[Ruimte code]],Ruimtegroepen[[#All],[Code]:[Ruimte omschrijving]],2,FALSE)</f>
        <v>Keuken/pantry</v>
      </c>
      <c r="L11" s="434" t="s">
        <v>100</v>
      </c>
      <c r="M11" s="437" t="s">
        <v>1759</v>
      </c>
      <c r="N11" s="439">
        <v>6.5</v>
      </c>
      <c r="O11" s="439"/>
      <c r="P11" s="439"/>
      <c r="Q11" s="439"/>
      <c r="R11" s="440" t="str">
        <f>VLOOKUP(Ruimtestaat[[#This Row],[Ruimte code]],Ruimtegroepen[],4,FALSE)</f>
        <v>Ve</v>
      </c>
      <c r="S11" s="434">
        <v>42</v>
      </c>
      <c r="T11" s="434" t="s">
        <v>2</v>
      </c>
      <c r="U11" s="434">
        <f>IF(S11&gt;0,IF(RIGHT(Ruimtestaat[[#This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V11" s="434">
        <f>IF(U11&gt;0,VLOOKUP($J11,Ruimtegroepen[],3,FALSE)*VLOOKUP($L11,Vloersoorten[],3,FALSE)*VLOOKUP($T11,Frequenties[],3,FALSE)*VLOOKUP($A11,Locaties[],3,FALSE),0)</f>
        <v>0</v>
      </c>
      <c r="W11" s="434">
        <f>Ruimtestaat[[#This Row],[Uitvoeringen werkdagen]]*Ruimtestaat[[#This Row],[Oppervlak (netto)]]</f>
        <v>1365</v>
      </c>
      <c r="X11" s="441">
        <f>IF(V11&gt;0,Ruimtestaat[[#This Row],[Prest. (m2 /jaar) werkdagen]]/Ruimtestaat[[#This Row],[Norm (m2/uur) werkdagen]],0)</f>
        <v>0</v>
      </c>
      <c r="Y11" s="442">
        <f>Ruimtestaat[[#This Row],[Uitvoeringen werkdagen]]*Ruimtestaat[[#This Row],[Gedeeltelijk]]</f>
        <v>0</v>
      </c>
      <c r="Z11" s="443" t="e">
        <f>IF(U11&gt;0,Ruimtestaat[[#This Row],[Prest. (m2 / jaar) werkdagen gedeeld]]/Ruimtestaat[[#This Row],[Norm (m2/uur) werkdagen]],0)</f>
        <v>#DIV/0!</v>
      </c>
      <c r="AA11" s="441" t="e">
        <f>Ruimtestaat[[#This Row],[uren / jaar werkdagen gedeeld]]*Tariefsopbouw!$E$35</f>
        <v>#DIV/0!</v>
      </c>
      <c r="AB11" s="441">
        <f>Ruimtestaat[[#This Row],[Uitvoeringen werkdagen]]*Ruimtestaat[[#This Row],[BSO]]</f>
        <v>0</v>
      </c>
      <c r="AC11" s="443" t="e">
        <f>IF(U11&gt;0,Ruimtestaat[[#This Row],[Prest. (m2 / jaar) werkdagen BSO]]/Ruimtestaat[[#This Row],[Norm (m2/uur) werkdagen]],0)</f>
        <v>#DIV/0!</v>
      </c>
      <c r="AD11" s="443" t="e">
        <f>Ruimtestaat[[#This Row],[uren / jaar werkdagen BSO]]*Tariefsopbouw!$E$35</f>
        <v>#DIV/0!</v>
      </c>
      <c r="AE11" s="444">
        <f>Ruimtestaat[[#This Row],[uren / jaar werkdagen]]*Tariefsopbouw!$E$35</f>
        <v>0</v>
      </c>
      <c r="AF11" s="434"/>
      <c r="AG11" s="434">
        <f>IF(Ruimtestaat[[#This Row],[Frequentie weekend]]&gt;0,VALUE(LEFT(AF11,1))*S11,0)</f>
        <v>0</v>
      </c>
      <c r="AH11" s="445">
        <f>IF($AG11&gt;0,VLOOKUP($J11,Ruimtegroepen[],3,FALSE)*VLOOKUP($L11,Vloersoorten[],3,FALSE)*VLOOKUP($AF11,Frequenties[],3,FALSE)*VLOOKUP(Ruimtestaat[[#This Row],[Code]],Locaties[],3,FALSE),0)</f>
        <v>0</v>
      </c>
      <c r="AI11" s="445">
        <f>Ruimtestaat[[#This Row],[Uitvoeringen weekend]]*Ruimtestaat[[#This Row],[Oppervlak (netto)]]</f>
        <v>0</v>
      </c>
      <c r="AJ11" s="445">
        <f>IF(AH11&gt;0,Ruimtestaat[[#This Row],[Prest. (m2 /jaar) weekend]]/Ruimtestaat[[#This Row],[Norm (m2/uur) weekend]],0)</f>
        <v>0</v>
      </c>
      <c r="AK11" s="444">
        <f>Ruimtestaat[[#This Row],[uren / jaar weekend]]*Tariefsopbouw!$D$40</f>
        <v>0</v>
      </c>
      <c r="AL11" s="441">
        <f>Ruimtestaat[[#This Row],[Prest. (m2 /jaar) weekend]]+Ruimtestaat[[#This Row],[Prest. (m2 /jaar) werkdagen]]</f>
        <v>1365</v>
      </c>
      <c r="AM11" s="441">
        <f>Ruimtestaat[[#This Row],[uren / jaar weekend]]+Ruimtestaat[[#This Row],[uren / jaar werkdagen]]</f>
        <v>0</v>
      </c>
      <c r="AN11" s="446">
        <f>Ruimtestaat[[#This Row],[kosten / jaar weekend]]+Ruimtestaat[[#This Row],[kosten / jaar werkdagen]]</f>
        <v>0</v>
      </c>
      <c r="AO11" s="446"/>
      <c r="AP11" s="447" t="str">
        <f>IF(Ruimtestaat[[#This Row],[Frequentie werkdagen]]="","",_xlfn.CONCAT(Ruimtestaat[[#This Row],[Ruimte code]],"-",Ruimtestaat[[#This Row],[Frequentie werkdagen]]," ",Ruimtestaat[[#This Row],[Vloer code]]))</f>
        <v>15-5w L</v>
      </c>
      <c r="AQ11" s="448" t="str">
        <f>_xlfn.IFNA(VLOOKUP($AP11,Programma!$F$3:$G$1101,2,0),"")</f>
        <v>_</v>
      </c>
      <c r="AR11" s="448" t="str">
        <f>_xlfn.IFNA(VLOOKUP($AP11,Programma!$F$3:$H$1101,3,0),"")</f>
        <v>_</v>
      </c>
      <c r="AS11" s="448" t="str">
        <f>_xlfn.IFNA(VLOOKUP($AP11,Programma!$F$3:$I$1101,4,0),"")</f>
        <v>_</v>
      </c>
      <c r="AT11" s="448" t="str">
        <f>_xlfn.IFNA(VLOOKUP($AP11,Programma!$F$3:$J$1101,5,0),"")</f>
        <v>5w</v>
      </c>
      <c r="AU11" s="448" t="str">
        <f>_xlfn.IFNA(VLOOKUP($AP11,Programma!$F$3:$K$1101,6,0),"")</f>
        <v>_</v>
      </c>
      <c r="AV11" s="448" t="str">
        <f>_xlfn.IFNA(VLOOKUP($AP11,Programma!$F$3:$L$1101,7,0),"")</f>
        <v>_</v>
      </c>
      <c r="AW11" s="448" t="str">
        <f>_xlfn.IFNA(VLOOKUP($AP11,Programma!$F$3:$M$1101,8,0),"")</f>
        <v>_</v>
      </c>
      <c r="AX11" s="448" t="str">
        <f>_xlfn.IFNA(VLOOKUP($AP11,Programma!$F$3:$N$1101,9,0),"")</f>
        <v>_</v>
      </c>
      <c r="AY11" s="448" t="str">
        <f>_xlfn.IFNA(VLOOKUP($AP11,Programma!$F$3:$O$1101,10,0),"")</f>
        <v>5w</v>
      </c>
      <c r="AZ11" s="448" t="str">
        <f>_xlfn.IFNA(VLOOKUP($AP11,Programma!$F$3:$P$1101,11,0),"")</f>
        <v>5w</v>
      </c>
      <c r="BA11" s="448" t="str">
        <f>_xlfn.IFNA(VLOOKUP($AP11,Programma!$F$3:$Q$1101,12,0),"")</f>
        <v>1w</v>
      </c>
      <c r="BB11" s="448" t="str">
        <f>_xlfn.IFNA(VLOOKUP($AP11,Programma!$F$3:$R$1101,13,0),"")</f>
        <v>1w</v>
      </c>
      <c r="BC11" s="448" t="str">
        <f>_xlfn.IFNA(VLOOKUP($AP11,Programma!$F$3:$S$1101,14,0),"")</f>
        <v>1m</v>
      </c>
      <c r="BD11" s="448" t="str">
        <f>_xlfn.IFNA(VLOOKUP($AP11,Programma!$F$3:$T$1101,15,0),"")</f>
        <v>2j</v>
      </c>
      <c r="BE11" s="448" t="str">
        <f>_xlfn.IFNA(VLOOKUP($AP11,Programma!$F$3:$U$1101,16,0),"")</f>
        <v>1j</v>
      </c>
      <c r="BF11" s="448" t="str">
        <f>_xlfn.IFNA(VLOOKUP($AP11,Programma!$F$3:$V$1101,17,0),"")</f>
        <v>_</v>
      </c>
      <c r="BG11" s="448" t="str">
        <f>_xlfn.IFNA(VLOOKUP($AP11,Programma!$F$3:$W$1101,18,0),"")</f>
        <v>_</v>
      </c>
      <c r="BH11" s="448" t="str">
        <f>_xlfn.IFNA(VLOOKUP($AP11,Programma!$F$3:$X$1101,19,0),"")</f>
        <v>_</v>
      </c>
      <c r="BI11" s="448" t="str">
        <f>_xlfn.IFNA(VLOOKUP($AP11,Programma!$F$3:$Y$1101,20,0),"")</f>
        <v>_</v>
      </c>
      <c r="BJ11" s="449"/>
      <c r="BK11" s="447" t="str">
        <f>IF(Ruimtestaat[[#This Row],[Frequentie weekend]]="","",_xlfn.CONCAT(Ruimtestaat[[#This Row],[Ruimte code]],"-",Ruimtestaat[[#This Row],[Frequentie weekend]]," ",Ruimtestaat[[#This Row],[Vloer code]]))</f>
        <v/>
      </c>
      <c r="BL11" s="448" t="str">
        <f>_xlfn.IFNA(VLOOKUP($BK11,Programma!$F$3:$G$1101,2,0),"")</f>
        <v/>
      </c>
      <c r="BM11" s="448" t="str">
        <f>_xlfn.IFNA(VLOOKUP($BK11,Programma!$F$3:$H$1101,3,0),"")</f>
        <v/>
      </c>
      <c r="BN11" s="448" t="str">
        <f>_xlfn.IFNA(VLOOKUP($BK11,Programma!$F$3:$I$1101,4,0),"")</f>
        <v/>
      </c>
      <c r="BO11" s="448" t="str">
        <f>_xlfn.IFNA(VLOOKUP($BK11,Programma!$F$3:$J$1101,5,0),"")</f>
        <v/>
      </c>
      <c r="BP11" s="448" t="str">
        <f>_xlfn.IFNA(VLOOKUP($BK11,Programma!$F$3:$K$1101,6,0),"")</f>
        <v/>
      </c>
      <c r="BQ11" s="448" t="str">
        <f>_xlfn.IFNA(VLOOKUP($BK11,Programma!$F$3:$L$1101,7,0),"")</f>
        <v/>
      </c>
      <c r="BR11" s="448" t="str">
        <f>_xlfn.IFNA(VLOOKUP($BK11,Programma!$F$3:$M$1101,8,0),"")</f>
        <v/>
      </c>
      <c r="BS11" s="448" t="str">
        <f>_xlfn.IFNA(VLOOKUP($BK11,Programma!$F$3:$N$1101,9,0),"")</f>
        <v/>
      </c>
      <c r="BT11" s="448" t="str">
        <f>_xlfn.IFNA(VLOOKUP($BK11,Programma!$F$3:$O$1101,10,0),"")</f>
        <v/>
      </c>
      <c r="BU11" s="448" t="str">
        <f>_xlfn.IFNA(VLOOKUP($BK11,Programma!$F$3:$P$1101,11,0),"")</f>
        <v/>
      </c>
      <c r="BV11" s="448" t="str">
        <f>_xlfn.IFNA(VLOOKUP($BK11,Programma!$F$3:$Q$1101,12,0),"")</f>
        <v/>
      </c>
      <c r="BW11" s="448" t="str">
        <f>_xlfn.IFNA(VLOOKUP($BK11,Programma!$F$3:$R$1101,13,0),"")</f>
        <v/>
      </c>
      <c r="BX11" s="448" t="str">
        <f>_xlfn.IFNA(VLOOKUP($BK11,Programma!$F$3:$S$1101,14,0),"")</f>
        <v/>
      </c>
      <c r="BY11" s="448" t="str">
        <f>_xlfn.IFNA(VLOOKUP($BK11,Programma!$F$3:$T$1101,15,0),"")</f>
        <v/>
      </c>
      <c r="BZ11" s="448" t="str">
        <f>_xlfn.IFNA(VLOOKUP($BK11,Programma!$F$3:$U$1101,16,0),"")</f>
        <v/>
      </c>
      <c r="CA11" s="448" t="str">
        <f>_xlfn.IFNA(VLOOKUP($BK11,Programma!$F$3:$V$1101,17,0),"")</f>
        <v/>
      </c>
      <c r="CB11" s="448" t="str">
        <f>_xlfn.IFNA(VLOOKUP($BK11,Programma!$F$3:$W$1101,18,0),"")</f>
        <v/>
      </c>
      <c r="CC11" s="448" t="str">
        <f>_xlfn.IFNA(VLOOKUP($BK11,Programma!$F$3:$X$1101,19,0),"")</f>
        <v/>
      </c>
      <c r="CD11" s="448" t="str">
        <f>_xlfn.IFNA(VLOOKUP($BK11,Programma!$F$3:$Y$1101,20,0),"")</f>
        <v/>
      </c>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c r="DN11" s="327"/>
      <c r="DO11" s="327"/>
      <c r="DP11" s="327"/>
      <c r="DQ11" s="327"/>
      <c r="DR11" s="327"/>
      <c r="DS11" s="327"/>
      <c r="DT11" s="327"/>
      <c r="DU11" s="327"/>
      <c r="DV11" s="327"/>
      <c r="DW11" s="327"/>
      <c r="DX11" s="327"/>
      <c r="DY11" s="327"/>
      <c r="DZ11" s="327"/>
      <c r="EA11" s="327"/>
      <c r="EB11" s="327"/>
      <c r="EC11" s="327"/>
      <c r="ED11" s="327"/>
      <c r="EE11" s="327"/>
      <c r="EF11" s="327"/>
      <c r="EG11" s="327"/>
      <c r="EH11" s="327"/>
      <c r="EI11" s="327"/>
      <c r="EJ11" s="327"/>
      <c r="EK11" s="327"/>
      <c r="EL11" s="327"/>
      <c r="EM11" s="327"/>
      <c r="EN11" s="327"/>
      <c r="EO11" s="327"/>
      <c r="EP11" s="327"/>
      <c r="EQ11" s="327"/>
      <c r="ER11" s="327"/>
      <c r="ES11" s="327"/>
      <c r="ET11" s="327"/>
      <c r="EU11" s="327"/>
      <c r="EV11" s="327"/>
      <c r="EW11" s="327"/>
      <c r="EX11" s="327"/>
      <c r="EY11" s="327"/>
      <c r="EZ11" s="327"/>
      <c r="FA11" s="327"/>
      <c r="FB11" s="327"/>
      <c r="FC11" s="327"/>
      <c r="FD11" s="327"/>
      <c r="FE11" s="327"/>
      <c r="FF11" s="327"/>
      <c r="FG11" s="327"/>
      <c r="FH11" s="327"/>
      <c r="FI11" s="327"/>
      <c r="FJ11" s="327"/>
      <c r="FK11" s="327"/>
      <c r="FL11" s="327"/>
      <c r="FM11" s="327"/>
      <c r="FN11" s="327"/>
      <c r="FO11" s="327"/>
      <c r="FP11" s="327"/>
      <c r="FQ11" s="327"/>
      <c r="FR11" s="327"/>
      <c r="FS11" s="327"/>
      <c r="FT11" s="327"/>
      <c r="FU11" s="327"/>
      <c r="FV11" s="327"/>
      <c r="FW11" s="327"/>
      <c r="FX11" s="327"/>
      <c r="FY11" s="327"/>
      <c r="FZ11" s="327"/>
      <c r="GA11" s="327"/>
      <c r="GB11" s="327"/>
      <c r="GC11" s="327"/>
      <c r="GD11" s="327"/>
      <c r="GE11" s="327"/>
      <c r="GF11" s="327"/>
      <c r="GG11" s="327"/>
      <c r="GH11" s="327"/>
      <c r="GI11" s="327"/>
      <c r="GJ11" s="327"/>
      <c r="GK11" s="327"/>
      <c r="GL11" s="327"/>
      <c r="GM11" s="327"/>
      <c r="GN11" s="327"/>
      <c r="GO11" s="327"/>
      <c r="GP11" s="327"/>
      <c r="GQ11" s="327"/>
      <c r="GR11" s="327"/>
      <c r="GS11" s="327"/>
      <c r="GT11" s="327"/>
      <c r="GU11" s="327"/>
      <c r="GV11" s="327"/>
      <c r="GW11" s="327"/>
      <c r="GX11" s="327"/>
      <c r="GY11" s="327"/>
      <c r="GZ11" s="327"/>
      <c r="HA11" s="327"/>
      <c r="HB11" s="327"/>
      <c r="HC11" s="327"/>
      <c r="HD11" s="327"/>
      <c r="HE11" s="327"/>
      <c r="HF11" s="327"/>
      <c r="HG11" s="327"/>
      <c r="HH11" s="327"/>
      <c r="HI11" s="327"/>
      <c r="HJ11" s="327"/>
      <c r="HK11" s="327"/>
      <c r="HL11" s="327"/>
      <c r="HM11" s="327"/>
      <c r="HN11" s="327"/>
      <c r="HO11" s="327"/>
      <c r="HP11" s="327"/>
      <c r="HQ11" s="327"/>
      <c r="HR11" s="327"/>
      <c r="HS11" s="327"/>
    </row>
    <row r="12" spans="1:228" ht="15" customHeight="1">
      <c r="A12" s="434">
        <v>1</v>
      </c>
      <c r="B12" s="435" t="str">
        <f>VLOOKUP(Ruimtestaat[[#This Row],[Code]],Locaties[[Code]:[Locatie]],2,FALSE)</f>
        <v>Hoofdkantoor OPOZ</v>
      </c>
      <c r="C12" s="435" t="str">
        <f>VLOOKUP(Ruimtestaat[[#This Row],[Code]],Locaties[[#All],[Code]:[Adres]],4,FALSE)</f>
        <v>Blauw-roodlaan 156</v>
      </c>
      <c r="D12" s="435" t="str">
        <f>VLOOKUP(Ruimtestaat[[#This Row],[Code]],Locaties[[#All],[Code]:[Postcode]],5,FALSE)</f>
        <v>2718 SK</v>
      </c>
      <c r="E12" s="435" t="str">
        <f>VLOOKUP(Ruimtestaat[[#This Row],[Code]],Locaties[#All],6,FALSE)</f>
        <v>Zoetermeer</v>
      </c>
      <c r="F12" s="434"/>
      <c r="G12" s="434" t="s">
        <v>1678</v>
      </c>
      <c r="H12" s="436" t="s">
        <v>1672</v>
      </c>
      <c r="I12" s="437" t="s">
        <v>22</v>
      </c>
      <c r="J12" s="330">
        <v>5</v>
      </c>
      <c r="K12" s="450" t="str">
        <f>VLOOKUP(Ruimtestaat[[#This Row],[Ruimte code]],Ruimtegroepen[[#All],[Code]:[Ruimte omschrijving]],2,FALSE)</f>
        <v>Sanitair</v>
      </c>
      <c r="L12" s="434" t="s">
        <v>101</v>
      </c>
      <c r="M12" s="437" t="s">
        <v>119</v>
      </c>
      <c r="N12" s="439">
        <v>4</v>
      </c>
      <c r="O12" s="439"/>
      <c r="P12" s="439"/>
      <c r="Q12" s="439"/>
      <c r="R12" s="440" t="str">
        <f>VLOOKUP(Ruimtestaat[[#This Row],[Ruimte code]],Ruimtegroepen[],4,FALSE)</f>
        <v>Sa</v>
      </c>
      <c r="S12" s="434">
        <v>42</v>
      </c>
      <c r="T12" s="434" t="s">
        <v>2</v>
      </c>
      <c r="U12" s="434">
        <f>IF(S12&gt;0,IF(RIGHT(Ruimtestaat[[#This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V12" s="434">
        <f>IF(U12&gt;0,VLOOKUP($J12,Ruimtegroepen[],3,FALSE)*VLOOKUP($L12,Vloersoorten[],3,FALSE)*VLOOKUP($T12,Frequenties[],3,FALSE)*VLOOKUP($A12,Locaties[],3,FALSE),0)</f>
        <v>0</v>
      </c>
      <c r="W12" s="434">
        <f>Ruimtestaat[[#This Row],[Uitvoeringen werkdagen]]*Ruimtestaat[[#This Row],[Oppervlak (netto)]]</f>
        <v>840</v>
      </c>
      <c r="X12" s="441">
        <f>IF(V12&gt;0,Ruimtestaat[[#This Row],[Prest. (m2 /jaar) werkdagen]]/Ruimtestaat[[#This Row],[Norm (m2/uur) werkdagen]],0)</f>
        <v>0</v>
      </c>
      <c r="Y12" s="442">
        <f>Ruimtestaat[[#This Row],[Uitvoeringen werkdagen]]*Ruimtestaat[[#This Row],[Gedeeltelijk]]</f>
        <v>0</v>
      </c>
      <c r="Z12" s="443" t="e">
        <f>IF(U12&gt;0,Ruimtestaat[[#This Row],[Prest. (m2 / jaar) werkdagen gedeeld]]/Ruimtestaat[[#This Row],[Norm (m2/uur) werkdagen]],0)</f>
        <v>#DIV/0!</v>
      </c>
      <c r="AA12" s="441" t="e">
        <f>Ruimtestaat[[#This Row],[uren / jaar werkdagen gedeeld]]*Tariefsopbouw!$E$35</f>
        <v>#DIV/0!</v>
      </c>
      <c r="AB12" s="441">
        <f>Ruimtestaat[[#This Row],[Uitvoeringen werkdagen]]*Ruimtestaat[[#This Row],[BSO]]</f>
        <v>0</v>
      </c>
      <c r="AC12" s="443" t="e">
        <f>IF(U12&gt;0,Ruimtestaat[[#This Row],[Prest. (m2 / jaar) werkdagen BSO]]/Ruimtestaat[[#This Row],[Norm (m2/uur) werkdagen]],0)</f>
        <v>#DIV/0!</v>
      </c>
      <c r="AD12" s="443" t="e">
        <f>Ruimtestaat[[#This Row],[uren / jaar werkdagen BSO]]*Tariefsopbouw!$E$35</f>
        <v>#DIV/0!</v>
      </c>
      <c r="AE12" s="444">
        <f>Ruimtestaat[[#This Row],[uren / jaar werkdagen]]*Tariefsopbouw!$E$35</f>
        <v>0</v>
      </c>
      <c r="AF12" s="434"/>
      <c r="AG12" s="434">
        <f>IF(Ruimtestaat[[#This Row],[Frequentie weekend]]&gt;0,VALUE(LEFT(AF12,1))*S12,0)</f>
        <v>0</v>
      </c>
      <c r="AH12" s="445">
        <f>IF($AG12&gt;0,VLOOKUP($J12,Ruimtegroepen[],3,FALSE)*VLOOKUP($L12,Vloersoorten[],3,FALSE)*VLOOKUP($AF12,Frequenties[],3,FALSE)*VLOOKUP(Ruimtestaat[[#This Row],[Code]],Locaties[],3,FALSE),0)</f>
        <v>0</v>
      </c>
      <c r="AI12" s="445">
        <f>Ruimtestaat[[#This Row],[Uitvoeringen weekend]]*Ruimtestaat[[#This Row],[Oppervlak (netto)]]</f>
        <v>0</v>
      </c>
      <c r="AJ12" s="445">
        <f>IF(AH12&gt;0,Ruimtestaat[[#This Row],[Prest. (m2 /jaar) weekend]]/Ruimtestaat[[#This Row],[Norm (m2/uur) weekend]],0)</f>
        <v>0</v>
      </c>
      <c r="AK12" s="444">
        <f>Ruimtestaat[[#This Row],[uren / jaar weekend]]*Tariefsopbouw!$D$40</f>
        <v>0</v>
      </c>
      <c r="AL12" s="441">
        <f>Ruimtestaat[[#This Row],[Prest. (m2 /jaar) weekend]]+Ruimtestaat[[#This Row],[Prest. (m2 /jaar) werkdagen]]</f>
        <v>840</v>
      </c>
      <c r="AM12" s="441">
        <f>Ruimtestaat[[#This Row],[uren / jaar weekend]]+Ruimtestaat[[#This Row],[uren / jaar werkdagen]]</f>
        <v>0</v>
      </c>
      <c r="AN12" s="446">
        <f>Ruimtestaat[[#This Row],[kosten / jaar weekend]]+Ruimtestaat[[#This Row],[kosten / jaar werkdagen]]</f>
        <v>0</v>
      </c>
      <c r="AO12" s="446"/>
      <c r="AP12" s="447" t="str">
        <f>IF(Ruimtestaat[[#This Row],[Frequentie werkdagen]]="","",_xlfn.CONCAT(Ruimtestaat[[#This Row],[Ruimte code]],"-",Ruimtestaat[[#This Row],[Frequentie werkdagen]]," ",Ruimtestaat[[#This Row],[Vloer code]]))</f>
        <v>5-5w S</v>
      </c>
      <c r="AQ12" s="448" t="str">
        <f>_xlfn.IFNA(VLOOKUP($AP12,Programma!$F$3:$G$1101,2,0),"")</f>
        <v>_</v>
      </c>
      <c r="AR12" s="448" t="str">
        <f>_xlfn.IFNA(VLOOKUP($AP12,Programma!$F$3:$H$1101,3,0),"")</f>
        <v>_</v>
      </c>
      <c r="AS12" s="448" t="str">
        <f>_xlfn.IFNA(VLOOKUP($AP12,Programma!$F$3:$I$1101,4,0),"")</f>
        <v>_</v>
      </c>
      <c r="AT12" s="448" t="str">
        <f>_xlfn.IFNA(VLOOKUP($AP12,Programma!$F$3:$J$1101,5,0),"")</f>
        <v>4w</v>
      </c>
      <c r="AU12" s="448" t="str">
        <f>_xlfn.IFNA(VLOOKUP($AP12,Programma!$F$3:$K$1101,6,0),"")</f>
        <v>1w</v>
      </c>
      <c r="AV12" s="448" t="str">
        <f>_xlfn.IFNA(VLOOKUP($AP12,Programma!$F$3:$L$1101,7,0),"")</f>
        <v>_</v>
      </c>
      <c r="AW12" s="448" t="str">
        <f>_xlfn.IFNA(VLOOKUP($AP12,Programma!$F$3:$M$1101,8,0),"")</f>
        <v>_</v>
      </c>
      <c r="AX12" s="448" t="str">
        <f>_xlfn.IFNA(VLOOKUP($AP12,Programma!$F$3:$N$1101,9,0),"")</f>
        <v>_</v>
      </c>
      <c r="AY12" s="448" t="str">
        <f>_xlfn.IFNA(VLOOKUP($AP12,Programma!$F$3:$O$1101,10,0),"")</f>
        <v>_</v>
      </c>
      <c r="AZ12" s="448" t="str">
        <f>_xlfn.IFNA(VLOOKUP($AP12,Programma!$F$3:$P$1101,11,0),"")</f>
        <v>_</v>
      </c>
      <c r="BA12" s="448" t="str">
        <f>_xlfn.IFNA(VLOOKUP($AP12,Programma!$F$3:$Q$1101,12,0),"")</f>
        <v>_</v>
      </c>
      <c r="BB12" s="448" t="str">
        <f>_xlfn.IFNA(VLOOKUP($AP12,Programma!$F$3:$R$1101,13,0),"")</f>
        <v>_</v>
      </c>
      <c r="BC12" s="448" t="str">
        <f>_xlfn.IFNA(VLOOKUP($AP12,Programma!$F$3:$S$1101,14,0),"")</f>
        <v>_</v>
      </c>
      <c r="BD12" s="448" t="str">
        <f>_xlfn.IFNA(VLOOKUP($AP12,Programma!$F$3:$T$1101,15,0),"")</f>
        <v>_</v>
      </c>
      <c r="BE12" s="448" t="str">
        <f>_xlfn.IFNA(VLOOKUP($AP12,Programma!$F$3:$U$1101,16,0),"")</f>
        <v>_</v>
      </c>
      <c r="BF12" s="448" t="str">
        <f>_xlfn.IFNA(VLOOKUP($AP12,Programma!$F$3:$V$1101,17,0),"")</f>
        <v>_</v>
      </c>
      <c r="BG12" s="448" t="str">
        <f>_xlfn.IFNA(VLOOKUP($AP12,Programma!$F$3:$W$1101,18,0),"")</f>
        <v>4w</v>
      </c>
      <c r="BH12" s="448" t="str">
        <f>_xlfn.IFNA(VLOOKUP($AP12,Programma!$F$3:$X$1101,19,0),"")</f>
        <v>1w</v>
      </c>
      <c r="BI12" s="448" t="str">
        <f>_xlfn.IFNA(VLOOKUP($AP12,Programma!$F$3:$Y$1101,20,0),"")</f>
        <v>_</v>
      </c>
      <c r="BJ12" s="449"/>
      <c r="BK12" s="447" t="str">
        <f>IF(Ruimtestaat[[#This Row],[Frequentie weekend]]="","",_xlfn.CONCAT(Ruimtestaat[[#This Row],[Ruimte code]],"-",Ruimtestaat[[#This Row],[Frequentie weekend]]," ",Ruimtestaat[[#This Row],[Vloer code]]))</f>
        <v/>
      </c>
      <c r="BL12" s="448" t="str">
        <f>_xlfn.IFNA(VLOOKUP($BK12,Programma!$F$3:$G$1101,2,0),"")</f>
        <v/>
      </c>
      <c r="BM12" s="448" t="str">
        <f>_xlfn.IFNA(VLOOKUP($BK12,Programma!$F$3:$H$1101,3,0),"")</f>
        <v/>
      </c>
      <c r="BN12" s="448" t="str">
        <f>_xlfn.IFNA(VLOOKUP($BK12,Programma!$F$3:$I$1101,4,0),"")</f>
        <v/>
      </c>
      <c r="BO12" s="448" t="str">
        <f>_xlfn.IFNA(VLOOKUP($BK12,Programma!$F$3:$J$1101,5,0),"")</f>
        <v/>
      </c>
      <c r="BP12" s="448" t="str">
        <f>_xlfn.IFNA(VLOOKUP($BK12,Programma!$F$3:$K$1101,6,0),"")</f>
        <v/>
      </c>
      <c r="BQ12" s="448" t="str">
        <f>_xlfn.IFNA(VLOOKUP($BK12,Programma!$F$3:$L$1101,7,0),"")</f>
        <v/>
      </c>
      <c r="BR12" s="448" t="str">
        <f>_xlfn.IFNA(VLOOKUP($BK12,Programma!$F$3:$M$1101,8,0),"")</f>
        <v/>
      </c>
      <c r="BS12" s="448" t="str">
        <f>_xlfn.IFNA(VLOOKUP($BK12,Programma!$F$3:$N$1101,9,0),"")</f>
        <v/>
      </c>
      <c r="BT12" s="448" t="str">
        <f>_xlfn.IFNA(VLOOKUP($BK12,Programma!$F$3:$O$1101,10,0),"")</f>
        <v/>
      </c>
      <c r="BU12" s="448" t="str">
        <f>_xlfn.IFNA(VLOOKUP($BK12,Programma!$F$3:$P$1101,11,0),"")</f>
        <v/>
      </c>
      <c r="BV12" s="448" t="str">
        <f>_xlfn.IFNA(VLOOKUP($BK12,Programma!$F$3:$Q$1101,12,0),"")</f>
        <v/>
      </c>
      <c r="BW12" s="448" t="str">
        <f>_xlfn.IFNA(VLOOKUP($BK12,Programma!$F$3:$R$1101,13,0),"")</f>
        <v/>
      </c>
      <c r="BX12" s="448" t="str">
        <f>_xlfn.IFNA(VLOOKUP($BK12,Programma!$F$3:$S$1101,14,0),"")</f>
        <v/>
      </c>
      <c r="BY12" s="448" t="str">
        <f>_xlfn.IFNA(VLOOKUP($BK12,Programma!$F$3:$T$1101,15,0),"")</f>
        <v/>
      </c>
      <c r="BZ12" s="448" t="str">
        <f>_xlfn.IFNA(VLOOKUP($BK12,Programma!$F$3:$U$1101,16,0),"")</f>
        <v/>
      </c>
      <c r="CA12" s="448" t="str">
        <f>_xlfn.IFNA(VLOOKUP($BK12,Programma!$F$3:$V$1101,17,0),"")</f>
        <v/>
      </c>
      <c r="CB12" s="448" t="str">
        <f>_xlfn.IFNA(VLOOKUP($BK12,Programma!$F$3:$W$1101,18,0),"")</f>
        <v/>
      </c>
      <c r="CC12" s="448" t="str">
        <f>_xlfn.IFNA(VLOOKUP($BK12,Programma!$F$3:$X$1101,19,0),"")</f>
        <v/>
      </c>
      <c r="CD12" s="448" t="str">
        <f>_xlfn.IFNA(VLOOKUP($BK12,Programma!$F$3:$Y$1101,20,0),"")</f>
        <v/>
      </c>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c r="DN12" s="327"/>
      <c r="DO12" s="327"/>
      <c r="DP12" s="327"/>
      <c r="DQ12" s="327"/>
      <c r="DR12" s="327"/>
      <c r="DS12" s="327"/>
      <c r="DT12" s="327"/>
      <c r="DU12" s="327"/>
      <c r="DV12" s="327"/>
      <c r="DW12" s="327"/>
      <c r="DX12" s="327"/>
      <c r="DY12" s="327"/>
      <c r="DZ12" s="327"/>
      <c r="EA12" s="327"/>
      <c r="EB12" s="327"/>
      <c r="EC12" s="327"/>
      <c r="ED12" s="327"/>
      <c r="EE12" s="327"/>
      <c r="EF12" s="327"/>
      <c r="EG12" s="327"/>
      <c r="EH12" s="327"/>
      <c r="EI12" s="327"/>
      <c r="EJ12" s="327"/>
      <c r="EK12" s="327"/>
      <c r="EL12" s="327"/>
      <c r="EM12" s="327"/>
      <c r="EN12" s="327"/>
      <c r="EO12" s="327"/>
      <c r="EP12" s="327"/>
      <c r="EQ12" s="327"/>
      <c r="ER12" s="327"/>
      <c r="ES12" s="327"/>
      <c r="ET12" s="327"/>
      <c r="EU12" s="327"/>
      <c r="EV12" s="327"/>
      <c r="EW12" s="327"/>
      <c r="EX12" s="327"/>
      <c r="EY12" s="327"/>
      <c r="EZ12" s="327"/>
      <c r="FA12" s="327"/>
      <c r="FB12" s="327"/>
      <c r="FC12" s="327"/>
      <c r="FD12" s="327"/>
      <c r="FE12" s="327"/>
      <c r="FF12" s="327"/>
      <c r="FG12" s="327"/>
      <c r="FH12" s="327"/>
      <c r="FI12" s="327"/>
      <c r="FJ12" s="327"/>
      <c r="FK12" s="327"/>
      <c r="FL12" s="327"/>
      <c r="FM12" s="327"/>
      <c r="FN12" s="327"/>
      <c r="FO12" s="327"/>
      <c r="FP12" s="327"/>
      <c r="FQ12" s="327"/>
      <c r="FR12" s="327"/>
      <c r="FS12" s="327"/>
      <c r="FT12" s="327"/>
      <c r="FU12" s="327"/>
      <c r="FV12" s="327"/>
      <c r="FW12" s="327"/>
      <c r="FX12" s="327"/>
      <c r="FY12" s="327"/>
      <c r="FZ12" s="327"/>
      <c r="GA12" s="327"/>
      <c r="GB12" s="327"/>
      <c r="GC12" s="327"/>
      <c r="GD12" s="327"/>
      <c r="GE12" s="327"/>
      <c r="GF12" s="327"/>
      <c r="GG12" s="327"/>
      <c r="GH12" s="327"/>
      <c r="GI12" s="327"/>
      <c r="GJ12" s="327"/>
      <c r="GK12" s="327"/>
      <c r="GL12" s="327"/>
      <c r="GM12" s="327"/>
      <c r="GN12" s="327"/>
      <c r="GO12" s="327"/>
      <c r="GP12" s="327"/>
      <c r="GQ12" s="327"/>
      <c r="GR12" s="327"/>
      <c r="GS12" s="327"/>
      <c r="GT12" s="327"/>
      <c r="GU12" s="327"/>
      <c r="GV12" s="327"/>
      <c r="GW12" s="327"/>
      <c r="GX12" s="327"/>
      <c r="GY12" s="327"/>
      <c r="GZ12" s="327"/>
      <c r="HA12" s="327"/>
      <c r="HB12" s="327"/>
      <c r="HC12" s="327"/>
      <c r="HD12" s="327"/>
      <c r="HE12" s="327"/>
      <c r="HF12" s="327"/>
      <c r="HG12" s="327"/>
      <c r="HH12" s="327"/>
      <c r="HI12" s="327"/>
      <c r="HJ12" s="327"/>
      <c r="HK12" s="327"/>
      <c r="HL12" s="327"/>
      <c r="HM12" s="327"/>
      <c r="HN12" s="327"/>
      <c r="HO12" s="327"/>
      <c r="HP12" s="327"/>
      <c r="HQ12" s="327"/>
      <c r="HR12" s="327"/>
      <c r="HS12" s="327"/>
    </row>
    <row r="13" spans="1:228" ht="15" customHeight="1">
      <c r="A13" s="434">
        <v>1</v>
      </c>
      <c r="B13" s="435" t="str">
        <f>VLOOKUP(Ruimtestaat[[#This Row],[Code]],Locaties[[Code]:[Locatie]],2,FALSE)</f>
        <v>Hoofdkantoor OPOZ</v>
      </c>
      <c r="C13" s="435" t="str">
        <f>VLOOKUP(Ruimtestaat[[#This Row],[Code]],Locaties[[#All],[Code]:[Adres]],4,FALSE)</f>
        <v>Blauw-roodlaan 156</v>
      </c>
      <c r="D13" s="435" t="str">
        <f>VLOOKUP(Ruimtestaat[[#This Row],[Code]],Locaties[[#All],[Code]:[Postcode]],5,FALSE)</f>
        <v>2718 SK</v>
      </c>
      <c r="E13" s="435" t="str">
        <f>VLOOKUP(Ruimtestaat[[#This Row],[Code]],Locaties[#All],6,FALSE)</f>
        <v>Zoetermeer</v>
      </c>
      <c r="F13" s="434"/>
      <c r="G13" s="434" t="s">
        <v>1678</v>
      </c>
      <c r="H13" s="436" t="s">
        <v>1674</v>
      </c>
      <c r="I13" s="437" t="s">
        <v>22</v>
      </c>
      <c r="J13" s="330">
        <v>5</v>
      </c>
      <c r="K13" s="450" t="str">
        <f>VLOOKUP(Ruimtestaat[[#This Row],[Ruimte code]],Ruimtegroepen[[#All],[Code]:[Ruimte omschrijving]],2,FALSE)</f>
        <v>Sanitair</v>
      </c>
      <c r="L13" s="434" t="s">
        <v>101</v>
      </c>
      <c r="M13" s="437" t="s">
        <v>1947</v>
      </c>
      <c r="N13" s="439">
        <v>2.5</v>
      </c>
      <c r="O13" s="439"/>
      <c r="P13" s="439"/>
      <c r="Q13" s="439"/>
      <c r="R13" s="440" t="str">
        <f>VLOOKUP(Ruimtestaat[[#This Row],[Ruimte code]],Ruimtegroepen[],4,FALSE)</f>
        <v>Sa</v>
      </c>
      <c r="S13" s="434">
        <v>42</v>
      </c>
      <c r="T13" s="434" t="s">
        <v>2</v>
      </c>
      <c r="U13" s="434">
        <f>IF(S13&gt;0,IF(RIGHT(Ruimtestaat[[#This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V13" s="434">
        <f>IF(U13&gt;0,VLOOKUP($J13,Ruimtegroepen[],3,FALSE)*VLOOKUP($L13,Vloersoorten[],3,FALSE)*VLOOKUP($T13,Frequenties[],3,FALSE)*VLOOKUP($A13,Locaties[],3,FALSE),0)</f>
        <v>0</v>
      </c>
      <c r="W13" s="434">
        <f>Ruimtestaat[[#This Row],[Uitvoeringen werkdagen]]*Ruimtestaat[[#This Row],[Oppervlak (netto)]]</f>
        <v>525</v>
      </c>
      <c r="X13" s="441">
        <f>IF(V13&gt;0,Ruimtestaat[[#This Row],[Prest. (m2 /jaar) werkdagen]]/Ruimtestaat[[#This Row],[Norm (m2/uur) werkdagen]],0)</f>
        <v>0</v>
      </c>
      <c r="Y13" s="442">
        <f>Ruimtestaat[[#This Row],[Uitvoeringen werkdagen]]*Ruimtestaat[[#This Row],[Gedeeltelijk]]</f>
        <v>0</v>
      </c>
      <c r="Z13" s="443" t="e">
        <f>IF(U13&gt;0,Ruimtestaat[[#This Row],[Prest. (m2 / jaar) werkdagen gedeeld]]/Ruimtestaat[[#This Row],[Norm (m2/uur) werkdagen]],0)</f>
        <v>#DIV/0!</v>
      </c>
      <c r="AA13" s="441" t="e">
        <f>Ruimtestaat[[#This Row],[uren / jaar werkdagen gedeeld]]*Tariefsopbouw!$E$35</f>
        <v>#DIV/0!</v>
      </c>
      <c r="AB13" s="441">
        <f>Ruimtestaat[[#This Row],[Uitvoeringen werkdagen]]*Ruimtestaat[[#This Row],[BSO]]</f>
        <v>0</v>
      </c>
      <c r="AC13" s="443" t="e">
        <f>IF(U13&gt;0,Ruimtestaat[[#This Row],[Prest. (m2 / jaar) werkdagen BSO]]/Ruimtestaat[[#This Row],[Norm (m2/uur) werkdagen]],0)</f>
        <v>#DIV/0!</v>
      </c>
      <c r="AD13" s="443" t="e">
        <f>Ruimtestaat[[#This Row],[uren / jaar werkdagen BSO]]*Tariefsopbouw!$E$35</f>
        <v>#DIV/0!</v>
      </c>
      <c r="AE13" s="444">
        <f>Ruimtestaat[[#This Row],[uren / jaar werkdagen]]*Tariefsopbouw!$E$35</f>
        <v>0</v>
      </c>
      <c r="AF13" s="434"/>
      <c r="AG13" s="434">
        <f>IF(Ruimtestaat[[#This Row],[Frequentie weekend]]&gt;0,VALUE(LEFT(AF13,1))*S13,0)</f>
        <v>0</v>
      </c>
      <c r="AH13" s="445">
        <f>IF($AG13&gt;0,VLOOKUP($J13,Ruimtegroepen[],3,FALSE)*VLOOKUP($L13,Vloersoorten[],3,FALSE)*VLOOKUP($AF13,Frequenties[],3,FALSE)*VLOOKUP(Ruimtestaat[[#This Row],[Code]],Locaties[],3,FALSE),0)</f>
        <v>0</v>
      </c>
      <c r="AI13" s="445">
        <f>Ruimtestaat[[#This Row],[Uitvoeringen weekend]]*Ruimtestaat[[#This Row],[Oppervlak (netto)]]</f>
        <v>0</v>
      </c>
      <c r="AJ13" s="445">
        <f>IF(AH13&gt;0,Ruimtestaat[[#This Row],[Prest. (m2 /jaar) weekend]]/Ruimtestaat[[#This Row],[Norm (m2/uur) weekend]],0)</f>
        <v>0</v>
      </c>
      <c r="AK13" s="444">
        <f>Ruimtestaat[[#This Row],[uren / jaar weekend]]*Tariefsopbouw!$D$40</f>
        <v>0</v>
      </c>
      <c r="AL13" s="441">
        <f>Ruimtestaat[[#This Row],[Prest. (m2 /jaar) weekend]]+Ruimtestaat[[#This Row],[Prest. (m2 /jaar) werkdagen]]</f>
        <v>525</v>
      </c>
      <c r="AM13" s="441">
        <f>Ruimtestaat[[#This Row],[uren / jaar weekend]]+Ruimtestaat[[#This Row],[uren / jaar werkdagen]]</f>
        <v>0</v>
      </c>
      <c r="AN13" s="446">
        <f>Ruimtestaat[[#This Row],[kosten / jaar weekend]]+Ruimtestaat[[#This Row],[kosten / jaar werkdagen]]</f>
        <v>0</v>
      </c>
      <c r="AO13" s="446"/>
      <c r="AP13" s="447" t="str">
        <f>IF(Ruimtestaat[[#This Row],[Frequentie werkdagen]]="","",_xlfn.CONCAT(Ruimtestaat[[#This Row],[Ruimte code]],"-",Ruimtestaat[[#This Row],[Frequentie werkdagen]]," ",Ruimtestaat[[#This Row],[Vloer code]]))</f>
        <v>5-5w S</v>
      </c>
      <c r="AQ13" s="448" t="str">
        <f>_xlfn.IFNA(VLOOKUP($AP13,Programma!$F$3:$G$1101,2,0),"")</f>
        <v>_</v>
      </c>
      <c r="AR13" s="448" t="str">
        <f>_xlfn.IFNA(VLOOKUP($AP13,Programma!$F$3:$H$1101,3,0),"")</f>
        <v>_</v>
      </c>
      <c r="AS13" s="448" t="str">
        <f>_xlfn.IFNA(VLOOKUP($AP13,Programma!$F$3:$I$1101,4,0),"")</f>
        <v>_</v>
      </c>
      <c r="AT13" s="448" t="str">
        <f>_xlfn.IFNA(VLOOKUP($AP13,Programma!$F$3:$J$1101,5,0),"")</f>
        <v>4w</v>
      </c>
      <c r="AU13" s="448" t="str">
        <f>_xlfn.IFNA(VLOOKUP($AP13,Programma!$F$3:$K$1101,6,0),"")</f>
        <v>1w</v>
      </c>
      <c r="AV13" s="448" t="str">
        <f>_xlfn.IFNA(VLOOKUP($AP13,Programma!$F$3:$L$1101,7,0),"")</f>
        <v>_</v>
      </c>
      <c r="AW13" s="448" t="str">
        <f>_xlfn.IFNA(VLOOKUP($AP13,Programma!$F$3:$M$1101,8,0),"")</f>
        <v>_</v>
      </c>
      <c r="AX13" s="448" t="str">
        <f>_xlfn.IFNA(VLOOKUP($AP13,Programma!$F$3:$N$1101,9,0),"")</f>
        <v>_</v>
      </c>
      <c r="AY13" s="448" t="str">
        <f>_xlfn.IFNA(VLOOKUP($AP13,Programma!$F$3:$O$1101,10,0),"")</f>
        <v>_</v>
      </c>
      <c r="AZ13" s="448" t="str">
        <f>_xlfn.IFNA(VLOOKUP($AP13,Programma!$F$3:$P$1101,11,0),"")</f>
        <v>_</v>
      </c>
      <c r="BA13" s="448" t="str">
        <f>_xlfn.IFNA(VLOOKUP($AP13,Programma!$F$3:$Q$1101,12,0),"")</f>
        <v>_</v>
      </c>
      <c r="BB13" s="448" t="str">
        <f>_xlfn.IFNA(VLOOKUP($AP13,Programma!$F$3:$R$1101,13,0),"")</f>
        <v>_</v>
      </c>
      <c r="BC13" s="448" t="str">
        <f>_xlfn.IFNA(VLOOKUP($AP13,Programma!$F$3:$S$1101,14,0),"")</f>
        <v>_</v>
      </c>
      <c r="BD13" s="448" t="str">
        <f>_xlfn.IFNA(VLOOKUP($AP13,Programma!$F$3:$T$1101,15,0),"")</f>
        <v>_</v>
      </c>
      <c r="BE13" s="448" t="str">
        <f>_xlfn.IFNA(VLOOKUP($AP13,Programma!$F$3:$U$1101,16,0),"")</f>
        <v>_</v>
      </c>
      <c r="BF13" s="448" t="str">
        <f>_xlfn.IFNA(VLOOKUP($AP13,Programma!$F$3:$V$1101,17,0),"")</f>
        <v>_</v>
      </c>
      <c r="BG13" s="448" t="str">
        <f>_xlfn.IFNA(VLOOKUP($AP13,Programma!$F$3:$W$1101,18,0),"")</f>
        <v>4w</v>
      </c>
      <c r="BH13" s="448" t="str">
        <f>_xlfn.IFNA(VLOOKUP($AP13,Programma!$F$3:$X$1101,19,0),"")</f>
        <v>1w</v>
      </c>
      <c r="BI13" s="448" t="str">
        <f>_xlfn.IFNA(VLOOKUP($AP13,Programma!$F$3:$Y$1101,20,0),"")</f>
        <v>_</v>
      </c>
      <c r="BJ13" s="449"/>
      <c r="BK13" s="447" t="str">
        <f>IF(Ruimtestaat[[#This Row],[Frequentie weekend]]="","",_xlfn.CONCAT(Ruimtestaat[[#This Row],[Ruimte code]],"-",Ruimtestaat[[#This Row],[Frequentie weekend]]," ",Ruimtestaat[[#This Row],[Vloer code]]))</f>
        <v/>
      </c>
      <c r="BL13" s="448" t="str">
        <f>_xlfn.IFNA(VLOOKUP($BK13,Programma!$F$3:$G$1101,2,0),"")</f>
        <v/>
      </c>
      <c r="BM13" s="448" t="str">
        <f>_xlfn.IFNA(VLOOKUP($BK13,Programma!$F$3:$H$1101,3,0),"")</f>
        <v/>
      </c>
      <c r="BN13" s="448" t="str">
        <f>_xlfn.IFNA(VLOOKUP($BK13,Programma!$F$3:$I$1101,4,0),"")</f>
        <v/>
      </c>
      <c r="BO13" s="448" t="str">
        <f>_xlfn.IFNA(VLOOKUP($BK13,Programma!$F$3:$J$1101,5,0),"")</f>
        <v/>
      </c>
      <c r="BP13" s="448" t="str">
        <f>_xlfn.IFNA(VLOOKUP($BK13,Programma!$F$3:$K$1101,6,0),"")</f>
        <v/>
      </c>
      <c r="BQ13" s="448" t="str">
        <f>_xlfn.IFNA(VLOOKUP($BK13,Programma!$F$3:$L$1101,7,0),"")</f>
        <v/>
      </c>
      <c r="BR13" s="448" t="str">
        <f>_xlfn.IFNA(VLOOKUP($BK13,Programma!$F$3:$M$1101,8,0),"")</f>
        <v/>
      </c>
      <c r="BS13" s="448" t="str">
        <f>_xlfn.IFNA(VLOOKUP($BK13,Programma!$F$3:$N$1101,9,0),"")</f>
        <v/>
      </c>
      <c r="BT13" s="448" t="str">
        <f>_xlfn.IFNA(VLOOKUP($BK13,Programma!$F$3:$O$1101,10,0),"")</f>
        <v/>
      </c>
      <c r="BU13" s="448" t="str">
        <f>_xlfn.IFNA(VLOOKUP($BK13,Programma!$F$3:$P$1101,11,0),"")</f>
        <v/>
      </c>
      <c r="BV13" s="448" t="str">
        <f>_xlfn.IFNA(VLOOKUP($BK13,Programma!$F$3:$Q$1101,12,0),"")</f>
        <v/>
      </c>
      <c r="BW13" s="448" t="str">
        <f>_xlfn.IFNA(VLOOKUP($BK13,Programma!$F$3:$R$1101,13,0),"")</f>
        <v/>
      </c>
      <c r="BX13" s="448" t="str">
        <f>_xlfn.IFNA(VLOOKUP($BK13,Programma!$F$3:$S$1101,14,0),"")</f>
        <v/>
      </c>
      <c r="BY13" s="448" t="str">
        <f>_xlfn.IFNA(VLOOKUP($BK13,Programma!$F$3:$T$1101,15,0),"")</f>
        <v/>
      </c>
      <c r="BZ13" s="448" t="str">
        <f>_xlfn.IFNA(VLOOKUP($BK13,Programma!$F$3:$U$1101,16,0),"")</f>
        <v/>
      </c>
      <c r="CA13" s="448" t="str">
        <f>_xlfn.IFNA(VLOOKUP($BK13,Programma!$F$3:$V$1101,17,0),"")</f>
        <v/>
      </c>
      <c r="CB13" s="448" t="str">
        <f>_xlfn.IFNA(VLOOKUP($BK13,Programma!$F$3:$W$1101,18,0),"")</f>
        <v/>
      </c>
      <c r="CC13" s="448" t="str">
        <f>_xlfn.IFNA(VLOOKUP($BK13,Programma!$F$3:$X$1101,19,0),"")</f>
        <v/>
      </c>
      <c r="CD13" s="448" t="str">
        <f>_xlfn.IFNA(VLOOKUP($BK13,Programma!$F$3:$Y$1101,20,0),"")</f>
        <v/>
      </c>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c r="DN13" s="327"/>
      <c r="DO13" s="327"/>
      <c r="DP13" s="327"/>
      <c r="DQ13" s="327"/>
      <c r="DR13" s="327"/>
      <c r="DS13" s="327"/>
      <c r="DT13" s="327"/>
      <c r="DU13" s="327"/>
      <c r="DV13" s="327"/>
      <c r="DW13" s="327"/>
      <c r="DX13" s="327"/>
      <c r="DY13" s="327"/>
      <c r="DZ13" s="327"/>
      <c r="EA13" s="327"/>
      <c r="EB13" s="327"/>
      <c r="EC13" s="327"/>
      <c r="ED13" s="327"/>
      <c r="EE13" s="327"/>
      <c r="EF13" s="327"/>
      <c r="EG13" s="327"/>
      <c r="EH13" s="327"/>
      <c r="EI13" s="327"/>
      <c r="EJ13" s="327"/>
      <c r="EK13" s="327"/>
      <c r="EL13" s="327"/>
      <c r="EM13" s="327"/>
      <c r="EN13" s="327"/>
      <c r="EO13" s="327"/>
      <c r="EP13" s="327"/>
      <c r="EQ13" s="327"/>
      <c r="ER13" s="327"/>
      <c r="ES13" s="327"/>
      <c r="ET13" s="327"/>
      <c r="EU13" s="327"/>
      <c r="EV13" s="327"/>
      <c r="EW13" s="327"/>
      <c r="EX13" s="327"/>
      <c r="EY13" s="327"/>
      <c r="EZ13" s="327"/>
      <c r="FA13" s="327"/>
      <c r="FB13" s="327"/>
      <c r="FC13" s="327"/>
      <c r="FD13" s="327"/>
      <c r="FE13" s="327"/>
      <c r="FF13" s="327"/>
      <c r="FG13" s="327"/>
      <c r="FH13" s="327"/>
      <c r="FI13" s="327"/>
      <c r="FJ13" s="327"/>
      <c r="FK13" s="327"/>
      <c r="FL13" s="327"/>
      <c r="FM13" s="327"/>
      <c r="FN13" s="327"/>
      <c r="FO13" s="327"/>
      <c r="FP13" s="327"/>
      <c r="FQ13" s="327"/>
      <c r="FR13" s="327"/>
      <c r="FS13" s="327"/>
      <c r="FT13" s="327"/>
      <c r="FU13" s="327"/>
      <c r="FV13" s="327"/>
      <c r="FW13" s="327"/>
      <c r="FX13" s="327"/>
      <c r="FY13" s="327"/>
      <c r="FZ13" s="327"/>
      <c r="GA13" s="327"/>
      <c r="GB13" s="327"/>
      <c r="GC13" s="327"/>
      <c r="GD13" s="327"/>
      <c r="GE13" s="327"/>
      <c r="GF13" s="327"/>
      <c r="GG13" s="327"/>
      <c r="GH13" s="327"/>
      <c r="GI13" s="327"/>
      <c r="GJ13" s="327"/>
      <c r="GK13" s="327"/>
      <c r="GL13" s="327"/>
      <c r="GM13" s="327"/>
      <c r="GN13" s="327"/>
      <c r="GO13" s="327"/>
      <c r="GP13" s="327"/>
      <c r="GQ13" s="327"/>
      <c r="GR13" s="327"/>
      <c r="GS13" s="327"/>
      <c r="GT13" s="327"/>
      <c r="GU13" s="327"/>
      <c r="GV13" s="327"/>
      <c r="GW13" s="327"/>
      <c r="GX13" s="327"/>
      <c r="GY13" s="327"/>
      <c r="GZ13" s="327"/>
      <c r="HA13" s="327"/>
      <c r="HB13" s="327"/>
      <c r="HC13" s="327"/>
      <c r="HD13" s="327"/>
      <c r="HE13" s="327"/>
      <c r="HF13" s="327"/>
      <c r="HG13" s="327"/>
      <c r="HH13" s="327"/>
      <c r="HI13" s="327"/>
      <c r="HJ13" s="327"/>
      <c r="HK13" s="327"/>
      <c r="HL13" s="327"/>
      <c r="HM13" s="327"/>
      <c r="HN13" s="327"/>
      <c r="HO13" s="327"/>
      <c r="HP13" s="327"/>
      <c r="HQ13" s="327"/>
      <c r="HR13" s="327"/>
      <c r="HS13" s="327"/>
    </row>
    <row r="14" spans="1:228" ht="15" customHeight="1">
      <c r="A14" s="434">
        <v>2</v>
      </c>
      <c r="B14" s="435" t="str">
        <f>VLOOKUP(Ruimtestaat[[#This Row],[Code]],Locaties[[Code]:[Locatie]],2,FALSE)</f>
        <v>IKC  De Watersnip</v>
      </c>
      <c r="C14" s="435" t="str">
        <f>VLOOKUP(Ruimtestaat[[#This Row],[Code]],Locaties[[#All],[Code]:[Adres]],4,FALSE)</f>
        <v>César Franckrode 70-72</v>
      </c>
      <c r="D14" s="435" t="str">
        <f>VLOOKUP(Ruimtestaat[[#This Row],[Code]],Locaties[[#All],[Code]:[Postcode]],5,FALSE)</f>
        <v>2717 BG</v>
      </c>
      <c r="E14" s="435" t="str">
        <f>VLOOKUP(Ruimtestaat[[#This Row],[Code]],Locaties[#All],6,FALSE)</f>
        <v>Zoetermeer</v>
      </c>
      <c r="F14" s="434"/>
      <c r="G14" s="434" t="s">
        <v>1678</v>
      </c>
      <c r="H14" s="436" t="s">
        <v>1662</v>
      </c>
      <c r="I14" s="437" t="s">
        <v>1679</v>
      </c>
      <c r="J14" s="330">
        <v>16</v>
      </c>
      <c r="K14" s="450" t="str">
        <f>VLOOKUP(Ruimtestaat[[#This Row],[Ruimte code]],Ruimtegroepen[[#All],[Code]:[Ruimte omschrijving]],2,FALSE)</f>
        <v>Leslokalen</v>
      </c>
      <c r="L14" s="434" t="s">
        <v>100</v>
      </c>
      <c r="M14" s="437" t="s">
        <v>1759</v>
      </c>
      <c r="N14" s="439">
        <v>61</v>
      </c>
      <c r="O14" s="439"/>
      <c r="P14" s="439"/>
      <c r="Q14" s="439"/>
      <c r="R14" s="440" t="str">
        <f>VLOOKUP(Ruimtestaat[[#This Row],[Ruimte code]],Ruimtegroepen[],4,FALSE)</f>
        <v>Le</v>
      </c>
      <c r="S14" s="434">
        <v>40</v>
      </c>
      <c r="T14" s="434" t="s">
        <v>2</v>
      </c>
      <c r="U14" s="434">
        <f>IF(S14&gt;0,IF(RIGHT(Ruimtestaat[[#This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 s="434">
        <f>IF(U14&gt;0,VLOOKUP($J14,Ruimtegroepen[],3,FALSE)*VLOOKUP($L14,Vloersoorten[],3,FALSE)*VLOOKUP($T14,Frequenties[],3,FALSE)*VLOOKUP($A14,Locaties[],3,FALSE),0)</f>
        <v>0</v>
      </c>
      <c r="W14" s="434">
        <f>Ruimtestaat[[#This Row],[Uitvoeringen werkdagen]]*Ruimtestaat[[#This Row],[Oppervlak (netto)]]</f>
        <v>12200</v>
      </c>
      <c r="X14" s="441">
        <f>IF(V14&gt;0,Ruimtestaat[[#This Row],[Prest. (m2 /jaar) werkdagen]]/Ruimtestaat[[#This Row],[Norm (m2/uur) werkdagen]],0)</f>
        <v>0</v>
      </c>
      <c r="Y14" s="442">
        <f>Ruimtestaat[[#This Row],[Uitvoeringen werkdagen]]*Ruimtestaat[[#This Row],[Gedeeltelijk]]</f>
        <v>0</v>
      </c>
      <c r="Z14" s="443" t="e">
        <f>IF(U14&gt;0,Ruimtestaat[[#This Row],[Prest. (m2 / jaar) werkdagen gedeeld]]/Ruimtestaat[[#This Row],[Norm (m2/uur) werkdagen]],0)</f>
        <v>#DIV/0!</v>
      </c>
      <c r="AA14" s="441" t="e">
        <f>Ruimtestaat[[#This Row],[uren / jaar werkdagen gedeeld]]*Tariefsopbouw!$E$35</f>
        <v>#DIV/0!</v>
      </c>
      <c r="AB14" s="441">
        <f>Ruimtestaat[[#This Row],[Uitvoeringen werkdagen]]*Ruimtestaat[[#This Row],[BSO]]</f>
        <v>0</v>
      </c>
      <c r="AC14" s="443" t="e">
        <f>IF(U14&gt;0,Ruimtestaat[[#This Row],[Prest. (m2 / jaar) werkdagen BSO]]/Ruimtestaat[[#This Row],[Norm (m2/uur) werkdagen]],0)</f>
        <v>#DIV/0!</v>
      </c>
      <c r="AD14" s="443" t="e">
        <f>Ruimtestaat[[#This Row],[uren / jaar werkdagen BSO]]*Tariefsopbouw!$E$35</f>
        <v>#DIV/0!</v>
      </c>
      <c r="AE14" s="444">
        <f>Ruimtestaat[[#This Row],[uren / jaar werkdagen]]*Tariefsopbouw!$E$35</f>
        <v>0</v>
      </c>
      <c r="AF14" s="434"/>
      <c r="AG14" s="434">
        <f>IF(Ruimtestaat[[#This Row],[Frequentie weekend]]&gt;0,VALUE(LEFT(AF14,1))*S14,0)</f>
        <v>0</v>
      </c>
      <c r="AH14" s="445">
        <f>IF($AG14&gt;0,VLOOKUP($J14,Ruimtegroepen[],3,FALSE)*VLOOKUP($L14,Vloersoorten[],3,FALSE)*VLOOKUP($AF14,Frequenties[],3,FALSE)*VLOOKUP(Ruimtestaat[[#This Row],[Code]],Locaties[],3,FALSE),0)</f>
        <v>0</v>
      </c>
      <c r="AI14" s="445">
        <f>Ruimtestaat[[#This Row],[Uitvoeringen weekend]]*Ruimtestaat[[#This Row],[Oppervlak (netto)]]</f>
        <v>0</v>
      </c>
      <c r="AJ14" s="445">
        <f>IF(AH14&gt;0,Ruimtestaat[[#This Row],[Prest. (m2 /jaar) weekend]]/Ruimtestaat[[#This Row],[Norm (m2/uur) weekend]],0)</f>
        <v>0</v>
      </c>
      <c r="AK14" s="444">
        <f>Ruimtestaat[[#This Row],[uren / jaar weekend]]*Tariefsopbouw!$D$40</f>
        <v>0</v>
      </c>
      <c r="AL14" s="441">
        <f>Ruimtestaat[[#This Row],[Prest. (m2 /jaar) weekend]]+Ruimtestaat[[#This Row],[Prest. (m2 /jaar) werkdagen]]</f>
        <v>12200</v>
      </c>
      <c r="AM14" s="441">
        <f>Ruimtestaat[[#This Row],[uren / jaar weekend]]+Ruimtestaat[[#This Row],[uren / jaar werkdagen]]</f>
        <v>0</v>
      </c>
      <c r="AN14" s="446">
        <f>Ruimtestaat[[#This Row],[kosten / jaar weekend]]+Ruimtestaat[[#This Row],[kosten / jaar werkdagen]]</f>
        <v>0</v>
      </c>
      <c r="AO14" s="446"/>
      <c r="AP14" s="447" t="str">
        <f>IF(Ruimtestaat[[#This Row],[Frequentie werkdagen]]="","",_xlfn.CONCAT(Ruimtestaat[[#This Row],[Ruimte code]],"-",Ruimtestaat[[#This Row],[Frequentie werkdagen]]," ",Ruimtestaat[[#This Row],[Vloer code]]))</f>
        <v>16-5w L</v>
      </c>
      <c r="AQ14" s="448" t="str">
        <f>_xlfn.IFNA(VLOOKUP($AP14,Programma!$F$3:$G$1101,2,0),"")</f>
        <v>_</v>
      </c>
      <c r="AR14" s="448" t="str">
        <f>_xlfn.IFNA(VLOOKUP($AP14,Programma!$F$3:$H$1101,3,0),"")</f>
        <v>_</v>
      </c>
      <c r="AS14" s="448" t="str">
        <f>_xlfn.IFNA(VLOOKUP($AP14,Programma!$F$3:$I$1101,4,0),"")</f>
        <v>4w</v>
      </c>
      <c r="AT14" s="448" t="str">
        <f>_xlfn.IFNA(VLOOKUP($AP14,Programma!$F$3:$J$1101,5,0),"")</f>
        <v>1w</v>
      </c>
      <c r="AU14" s="448" t="str">
        <f>_xlfn.IFNA(VLOOKUP($AP14,Programma!$F$3:$K$1101,6,0),"")</f>
        <v>_</v>
      </c>
      <c r="AV14" s="448" t="str">
        <f>_xlfn.IFNA(VLOOKUP($AP14,Programma!$F$3:$L$1101,7,0),"")</f>
        <v>_</v>
      </c>
      <c r="AW14" s="448" t="str">
        <f>_xlfn.IFNA(VLOOKUP($AP14,Programma!$F$3:$M$1101,8,0),"")</f>
        <v>_</v>
      </c>
      <c r="AX14" s="448" t="str">
        <f>_xlfn.IFNA(VLOOKUP($AP14,Programma!$F$3:$N$1101,9,0),"")</f>
        <v>_</v>
      </c>
      <c r="AY14" s="448" t="str">
        <f>_xlfn.IFNA(VLOOKUP($AP14,Programma!$F$3:$O$1101,10,0),"")</f>
        <v>5w</v>
      </c>
      <c r="AZ14" s="448" t="str">
        <f>_xlfn.IFNA(VLOOKUP($AP14,Programma!$F$3:$P$1101,11,0),"")</f>
        <v>5w</v>
      </c>
      <c r="BA14" s="448" t="str">
        <f>_xlfn.IFNA(VLOOKUP($AP14,Programma!$F$3:$Q$1101,12,0),"")</f>
        <v>1w</v>
      </c>
      <c r="BB14" s="448" t="str">
        <f>_xlfn.IFNA(VLOOKUP($AP14,Programma!$F$3:$R$1101,13,0),"")</f>
        <v>1w</v>
      </c>
      <c r="BC14" s="448" t="str">
        <f>_xlfn.IFNA(VLOOKUP($AP14,Programma!$F$3:$S$1101,14,0),"")</f>
        <v>1m</v>
      </c>
      <c r="BD14" s="448" t="str">
        <f>_xlfn.IFNA(VLOOKUP($AP14,Programma!$F$3:$T$1101,15,0),"")</f>
        <v>2j</v>
      </c>
      <c r="BE14" s="448" t="str">
        <f>_xlfn.IFNA(VLOOKUP($AP14,Programma!$F$3:$U$1101,16,0),"")</f>
        <v>1j</v>
      </c>
      <c r="BF14" s="448" t="str">
        <f>_xlfn.IFNA(VLOOKUP($AP14,Programma!$F$3:$V$1101,17,0),"")</f>
        <v>_</v>
      </c>
      <c r="BG14" s="448" t="str">
        <f>_xlfn.IFNA(VLOOKUP($AP14,Programma!$F$3:$W$1101,18,0),"")</f>
        <v>_</v>
      </c>
      <c r="BH14" s="448" t="str">
        <f>_xlfn.IFNA(VLOOKUP($AP14,Programma!$F$3:$X$1101,19,0),"")</f>
        <v>_</v>
      </c>
      <c r="BI14" s="448" t="str">
        <f>_xlfn.IFNA(VLOOKUP($AP14,Programma!$F$3:$Y$1101,20,0),"")</f>
        <v>_</v>
      </c>
      <c r="BJ14" s="449"/>
      <c r="BK14" s="447" t="str">
        <f>IF(Ruimtestaat[[#This Row],[Frequentie weekend]]="","",_xlfn.CONCAT(Ruimtestaat[[#This Row],[Ruimte code]],"-",Ruimtestaat[[#This Row],[Frequentie weekend]]," ",Ruimtestaat[[#This Row],[Vloer code]]))</f>
        <v/>
      </c>
      <c r="BL14" s="448" t="str">
        <f>_xlfn.IFNA(VLOOKUP($BK14,Programma!$F$3:$G$1101,2,0),"")</f>
        <v/>
      </c>
      <c r="BM14" s="448" t="str">
        <f>_xlfn.IFNA(VLOOKUP($BK14,Programma!$F$3:$H$1101,3,0),"")</f>
        <v/>
      </c>
      <c r="BN14" s="448" t="str">
        <f>_xlfn.IFNA(VLOOKUP($BK14,Programma!$F$3:$I$1101,4,0),"")</f>
        <v/>
      </c>
      <c r="BO14" s="448" t="str">
        <f>_xlfn.IFNA(VLOOKUP($BK14,Programma!$F$3:$J$1101,5,0),"")</f>
        <v/>
      </c>
      <c r="BP14" s="448" t="str">
        <f>_xlfn.IFNA(VLOOKUP($BK14,Programma!$F$3:$K$1101,6,0),"")</f>
        <v/>
      </c>
      <c r="BQ14" s="448" t="str">
        <f>_xlfn.IFNA(VLOOKUP($BK14,Programma!$F$3:$L$1101,7,0),"")</f>
        <v/>
      </c>
      <c r="BR14" s="448" t="str">
        <f>_xlfn.IFNA(VLOOKUP($BK14,Programma!$F$3:$M$1101,8,0),"")</f>
        <v/>
      </c>
      <c r="BS14" s="448" t="str">
        <f>_xlfn.IFNA(VLOOKUP($BK14,Programma!$F$3:$N$1101,9,0),"")</f>
        <v/>
      </c>
      <c r="BT14" s="448" t="str">
        <f>_xlfn.IFNA(VLOOKUP($BK14,Programma!$F$3:$O$1101,10,0),"")</f>
        <v/>
      </c>
      <c r="BU14" s="448" t="str">
        <f>_xlfn.IFNA(VLOOKUP($BK14,Programma!$F$3:$P$1101,11,0),"")</f>
        <v/>
      </c>
      <c r="BV14" s="448" t="str">
        <f>_xlfn.IFNA(VLOOKUP($BK14,Programma!$F$3:$Q$1101,12,0),"")</f>
        <v/>
      </c>
      <c r="BW14" s="448" t="str">
        <f>_xlfn.IFNA(VLOOKUP($BK14,Programma!$F$3:$R$1101,13,0),"")</f>
        <v/>
      </c>
      <c r="BX14" s="448" t="str">
        <f>_xlfn.IFNA(VLOOKUP($BK14,Programma!$F$3:$S$1101,14,0),"")</f>
        <v/>
      </c>
      <c r="BY14" s="448" t="str">
        <f>_xlfn.IFNA(VLOOKUP($BK14,Programma!$F$3:$T$1101,15,0),"")</f>
        <v/>
      </c>
      <c r="BZ14" s="448" t="str">
        <f>_xlfn.IFNA(VLOOKUP($BK14,Programma!$F$3:$U$1101,16,0),"")</f>
        <v/>
      </c>
      <c r="CA14" s="448" t="str">
        <f>_xlfn.IFNA(VLOOKUP($BK14,Programma!$F$3:$V$1101,17,0),"")</f>
        <v/>
      </c>
      <c r="CB14" s="448" t="str">
        <f>_xlfn.IFNA(VLOOKUP($BK14,Programma!$F$3:$W$1101,18,0),"")</f>
        <v/>
      </c>
      <c r="CC14" s="448" t="str">
        <f>_xlfn.IFNA(VLOOKUP($BK14,Programma!$F$3:$X$1101,19,0),"")</f>
        <v/>
      </c>
      <c r="CD14" s="448" t="str">
        <f>_xlfn.IFNA(VLOOKUP($BK14,Programma!$F$3:$Y$1101,20,0),"")</f>
        <v/>
      </c>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c r="DN14" s="327"/>
      <c r="DO14" s="327"/>
      <c r="DP14" s="327"/>
      <c r="DQ14" s="327"/>
      <c r="DR14" s="327"/>
      <c r="DS14" s="327"/>
      <c r="DT14" s="327"/>
      <c r="DU14" s="327"/>
      <c r="DV14" s="327"/>
      <c r="DW14" s="327"/>
      <c r="DX14" s="327"/>
      <c r="DY14" s="327"/>
      <c r="DZ14" s="327"/>
      <c r="EA14" s="327"/>
      <c r="EB14" s="327"/>
      <c r="EC14" s="327"/>
      <c r="ED14" s="327"/>
      <c r="EE14" s="327"/>
      <c r="EF14" s="327"/>
      <c r="EG14" s="327"/>
      <c r="EH14" s="327"/>
      <c r="EI14" s="327"/>
      <c r="EJ14" s="327"/>
      <c r="EK14" s="327"/>
      <c r="EL14" s="327"/>
      <c r="EM14" s="327"/>
      <c r="EN14" s="327"/>
      <c r="EO14" s="327"/>
      <c r="EP14" s="327"/>
      <c r="EQ14" s="327"/>
      <c r="ER14" s="327"/>
      <c r="ES14" s="327"/>
      <c r="ET14" s="327"/>
      <c r="EU14" s="327"/>
      <c r="EV14" s="327"/>
      <c r="EW14" s="327"/>
      <c r="EX14" s="327"/>
      <c r="EY14" s="327"/>
      <c r="EZ14" s="327"/>
      <c r="FA14" s="327"/>
      <c r="FB14" s="327"/>
      <c r="FC14" s="327"/>
      <c r="FD14" s="327"/>
      <c r="FE14" s="327"/>
      <c r="FF14" s="327"/>
      <c r="FG14" s="327"/>
      <c r="FH14" s="327"/>
      <c r="FI14" s="327"/>
      <c r="FJ14" s="327"/>
      <c r="FK14" s="327"/>
      <c r="FL14" s="327"/>
      <c r="FM14" s="327"/>
      <c r="FN14" s="327"/>
      <c r="FO14" s="327"/>
      <c r="FP14" s="327"/>
      <c r="FQ14" s="327"/>
      <c r="FR14" s="327"/>
      <c r="FS14" s="327"/>
      <c r="FT14" s="327"/>
      <c r="FU14" s="327"/>
      <c r="FV14" s="327"/>
      <c r="FW14" s="327"/>
      <c r="FX14" s="327"/>
      <c r="FY14" s="327"/>
      <c r="FZ14" s="327"/>
      <c r="GA14" s="327"/>
      <c r="GB14" s="327"/>
      <c r="GC14" s="327"/>
      <c r="GD14" s="327"/>
      <c r="GE14" s="327"/>
      <c r="GF14" s="327"/>
      <c r="GG14" s="327"/>
      <c r="GH14" s="327"/>
      <c r="GI14" s="327"/>
      <c r="GJ14" s="327"/>
      <c r="GK14" s="327"/>
      <c r="GL14" s="327"/>
      <c r="GM14" s="327"/>
      <c r="GN14" s="327"/>
      <c r="GO14" s="327"/>
      <c r="GP14" s="327"/>
      <c r="GQ14" s="327"/>
      <c r="GR14" s="327"/>
      <c r="GS14" s="327"/>
      <c r="GT14" s="327"/>
      <c r="GU14" s="327"/>
      <c r="GV14" s="327"/>
      <c r="GW14" s="327"/>
      <c r="GX14" s="327"/>
      <c r="GY14" s="327"/>
      <c r="GZ14" s="327"/>
      <c r="HA14" s="327"/>
      <c r="HB14" s="327"/>
      <c r="HC14" s="327"/>
      <c r="HD14" s="327"/>
      <c r="HE14" s="327"/>
      <c r="HF14" s="327"/>
      <c r="HG14" s="327"/>
      <c r="HH14" s="327"/>
      <c r="HI14" s="327"/>
      <c r="HJ14" s="327"/>
      <c r="HK14" s="327"/>
      <c r="HL14" s="327"/>
      <c r="HM14" s="327"/>
      <c r="HN14" s="327"/>
      <c r="HO14" s="327"/>
      <c r="HP14" s="327"/>
      <c r="HQ14" s="327"/>
      <c r="HR14" s="327"/>
      <c r="HS14" s="327"/>
    </row>
    <row r="15" spans="1:228" ht="15" customHeight="1">
      <c r="A15" s="434">
        <v>2</v>
      </c>
      <c r="B15" s="435" t="str">
        <f>VLOOKUP(Ruimtestaat[[#This Row],[Code]],Locaties[[Code]:[Locatie]],2,FALSE)</f>
        <v>IKC  De Watersnip</v>
      </c>
      <c r="C15" s="435" t="str">
        <f>VLOOKUP(Ruimtestaat[[#This Row],[Code]],Locaties[[#All],[Code]:[Adres]],4,FALSE)</f>
        <v>César Franckrode 70-72</v>
      </c>
      <c r="D15" s="435" t="str">
        <f>VLOOKUP(Ruimtestaat[[#This Row],[Code]],Locaties[[#All],[Code]:[Postcode]],5,FALSE)</f>
        <v>2717 BG</v>
      </c>
      <c r="E15" s="435" t="str">
        <f>VLOOKUP(Ruimtestaat[[#This Row],[Code]],Locaties[#All],6,FALSE)</f>
        <v>Zoetermeer</v>
      </c>
      <c r="F15" s="434"/>
      <c r="G15" s="434" t="s">
        <v>1678</v>
      </c>
      <c r="H15" s="436" t="s">
        <v>1665</v>
      </c>
      <c r="I15" s="437" t="s">
        <v>1679</v>
      </c>
      <c r="J15" s="330">
        <v>16</v>
      </c>
      <c r="K15" s="450" t="str">
        <f>VLOOKUP(Ruimtestaat[[#This Row],[Ruimte code]],Ruimtegroepen[[#All],[Code]:[Ruimte omschrijving]],2,FALSE)</f>
        <v>Leslokalen</v>
      </c>
      <c r="L15" s="434" t="s">
        <v>100</v>
      </c>
      <c r="M15" s="437" t="s">
        <v>1759</v>
      </c>
      <c r="N15" s="439">
        <v>61</v>
      </c>
      <c r="O15" s="439"/>
      <c r="P15" s="439"/>
      <c r="Q15" s="439"/>
      <c r="R15" s="440" t="str">
        <f>VLOOKUP(Ruimtestaat[[#This Row],[Ruimte code]],Ruimtegroepen[],4,FALSE)</f>
        <v>Le</v>
      </c>
      <c r="S15" s="434">
        <v>40</v>
      </c>
      <c r="T15" s="434" t="s">
        <v>2</v>
      </c>
      <c r="U15" s="434">
        <f>IF(S15&gt;0,IF(RIGHT(Ruimtestaat[[#This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 s="434">
        <f>IF(U15&gt;0,VLOOKUP($J15,Ruimtegroepen[],3,FALSE)*VLOOKUP($L15,Vloersoorten[],3,FALSE)*VLOOKUP($T15,Frequenties[],3,FALSE)*VLOOKUP($A15,Locaties[],3,FALSE),0)</f>
        <v>0</v>
      </c>
      <c r="W15" s="434">
        <f>Ruimtestaat[[#This Row],[Uitvoeringen werkdagen]]*Ruimtestaat[[#This Row],[Oppervlak (netto)]]</f>
        <v>12200</v>
      </c>
      <c r="X15" s="441">
        <f>IF(V15&gt;0,Ruimtestaat[[#This Row],[Prest. (m2 /jaar) werkdagen]]/Ruimtestaat[[#This Row],[Norm (m2/uur) werkdagen]],0)</f>
        <v>0</v>
      </c>
      <c r="Y15" s="442">
        <f>Ruimtestaat[[#This Row],[Uitvoeringen werkdagen]]*Ruimtestaat[[#This Row],[Gedeeltelijk]]</f>
        <v>0</v>
      </c>
      <c r="Z15" s="443" t="e">
        <f>IF(U15&gt;0,Ruimtestaat[[#This Row],[Prest. (m2 / jaar) werkdagen gedeeld]]/Ruimtestaat[[#This Row],[Norm (m2/uur) werkdagen]],0)</f>
        <v>#DIV/0!</v>
      </c>
      <c r="AA15" s="441" t="e">
        <f>Ruimtestaat[[#This Row],[uren / jaar werkdagen gedeeld]]*Tariefsopbouw!$E$35</f>
        <v>#DIV/0!</v>
      </c>
      <c r="AB15" s="441">
        <f>Ruimtestaat[[#This Row],[Uitvoeringen werkdagen]]*Ruimtestaat[[#This Row],[BSO]]</f>
        <v>0</v>
      </c>
      <c r="AC15" s="443" t="e">
        <f>IF(U15&gt;0,Ruimtestaat[[#This Row],[Prest. (m2 / jaar) werkdagen BSO]]/Ruimtestaat[[#This Row],[Norm (m2/uur) werkdagen]],0)</f>
        <v>#DIV/0!</v>
      </c>
      <c r="AD15" s="443" t="e">
        <f>Ruimtestaat[[#This Row],[uren / jaar werkdagen BSO]]*Tariefsopbouw!$E$35</f>
        <v>#DIV/0!</v>
      </c>
      <c r="AE15" s="444">
        <f>Ruimtestaat[[#This Row],[uren / jaar werkdagen]]*Tariefsopbouw!$E$35</f>
        <v>0</v>
      </c>
      <c r="AF15" s="434"/>
      <c r="AG15" s="434">
        <f>IF(Ruimtestaat[[#This Row],[Frequentie weekend]]&gt;0,VALUE(LEFT(AF15,1))*S15,0)</f>
        <v>0</v>
      </c>
      <c r="AH15" s="445">
        <f>IF($AG15&gt;0,VLOOKUP($J15,Ruimtegroepen[],3,FALSE)*VLOOKUP($L15,Vloersoorten[],3,FALSE)*VLOOKUP($AF15,Frequenties[],3,FALSE)*VLOOKUP(Ruimtestaat[[#This Row],[Code]],Locaties[],3,FALSE),0)</f>
        <v>0</v>
      </c>
      <c r="AI15" s="445">
        <f>Ruimtestaat[[#This Row],[Uitvoeringen weekend]]*Ruimtestaat[[#This Row],[Oppervlak (netto)]]</f>
        <v>0</v>
      </c>
      <c r="AJ15" s="445">
        <f>IF(AH15&gt;0,Ruimtestaat[[#This Row],[Prest. (m2 /jaar) weekend]]/Ruimtestaat[[#This Row],[Norm (m2/uur) weekend]],0)</f>
        <v>0</v>
      </c>
      <c r="AK15" s="444">
        <f>Ruimtestaat[[#This Row],[uren / jaar weekend]]*Tariefsopbouw!$D$40</f>
        <v>0</v>
      </c>
      <c r="AL15" s="441">
        <f>Ruimtestaat[[#This Row],[Prest. (m2 /jaar) weekend]]+Ruimtestaat[[#This Row],[Prest. (m2 /jaar) werkdagen]]</f>
        <v>12200</v>
      </c>
      <c r="AM15" s="441">
        <f>Ruimtestaat[[#This Row],[uren / jaar weekend]]+Ruimtestaat[[#This Row],[uren / jaar werkdagen]]</f>
        <v>0</v>
      </c>
      <c r="AN15" s="446">
        <f>Ruimtestaat[[#This Row],[kosten / jaar weekend]]+Ruimtestaat[[#This Row],[kosten / jaar werkdagen]]</f>
        <v>0</v>
      </c>
      <c r="AO15" s="446"/>
      <c r="AP15" s="447" t="str">
        <f>IF(Ruimtestaat[[#This Row],[Frequentie werkdagen]]="","",_xlfn.CONCAT(Ruimtestaat[[#This Row],[Ruimte code]],"-",Ruimtestaat[[#This Row],[Frequentie werkdagen]]," ",Ruimtestaat[[#This Row],[Vloer code]]))</f>
        <v>16-5w L</v>
      </c>
      <c r="AQ15" s="448" t="str">
        <f>_xlfn.IFNA(VLOOKUP($AP15,Programma!$F$3:$G$1101,2,0),"")</f>
        <v>_</v>
      </c>
      <c r="AR15" s="448" t="str">
        <f>_xlfn.IFNA(VLOOKUP($AP15,Programma!$F$3:$H$1101,3,0),"")</f>
        <v>_</v>
      </c>
      <c r="AS15" s="448" t="str">
        <f>_xlfn.IFNA(VLOOKUP($AP15,Programma!$F$3:$I$1101,4,0),"")</f>
        <v>4w</v>
      </c>
      <c r="AT15" s="448" t="str">
        <f>_xlfn.IFNA(VLOOKUP($AP15,Programma!$F$3:$J$1101,5,0),"")</f>
        <v>1w</v>
      </c>
      <c r="AU15" s="448" t="str">
        <f>_xlfn.IFNA(VLOOKUP($AP15,Programma!$F$3:$K$1101,6,0),"")</f>
        <v>_</v>
      </c>
      <c r="AV15" s="448" t="str">
        <f>_xlfn.IFNA(VLOOKUP($AP15,Programma!$F$3:$L$1101,7,0),"")</f>
        <v>_</v>
      </c>
      <c r="AW15" s="448" t="str">
        <f>_xlfn.IFNA(VLOOKUP($AP15,Programma!$F$3:$M$1101,8,0),"")</f>
        <v>_</v>
      </c>
      <c r="AX15" s="448" t="str">
        <f>_xlfn.IFNA(VLOOKUP($AP15,Programma!$F$3:$N$1101,9,0),"")</f>
        <v>_</v>
      </c>
      <c r="AY15" s="448" t="str">
        <f>_xlfn.IFNA(VLOOKUP($AP15,Programma!$F$3:$O$1101,10,0),"")</f>
        <v>5w</v>
      </c>
      <c r="AZ15" s="448" t="str">
        <f>_xlfn.IFNA(VLOOKUP($AP15,Programma!$F$3:$P$1101,11,0),"")</f>
        <v>5w</v>
      </c>
      <c r="BA15" s="448" t="str">
        <f>_xlfn.IFNA(VLOOKUP($AP15,Programma!$F$3:$Q$1101,12,0),"")</f>
        <v>1w</v>
      </c>
      <c r="BB15" s="448" t="str">
        <f>_xlfn.IFNA(VLOOKUP($AP15,Programma!$F$3:$R$1101,13,0),"")</f>
        <v>1w</v>
      </c>
      <c r="BC15" s="448" t="str">
        <f>_xlfn.IFNA(VLOOKUP($AP15,Programma!$F$3:$S$1101,14,0),"")</f>
        <v>1m</v>
      </c>
      <c r="BD15" s="448" t="str">
        <f>_xlfn.IFNA(VLOOKUP($AP15,Programma!$F$3:$T$1101,15,0),"")</f>
        <v>2j</v>
      </c>
      <c r="BE15" s="448" t="str">
        <f>_xlfn.IFNA(VLOOKUP($AP15,Programma!$F$3:$U$1101,16,0),"")</f>
        <v>1j</v>
      </c>
      <c r="BF15" s="448" t="str">
        <f>_xlfn.IFNA(VLOOKUP($AP15,Programma!$F$3:$V$1101,17,0),"")</f>
        <v>_</v>
      </c>
      <c r="BG15" s="448" t="str">
        <f>_xlfn.IFNA(VLOOKUP($AP15,Programma!$F$3:$W$1101,18,0),"")</f>
        <v>_</v>
      </c>
      <c r="BH15" s="448" t="str">
        <f>_xlfn.IFNA(VLOOKUP($AP15,Programma!$F$3:$X$1101,19,0),"")</f>
        <v>_</v>
      </c>
      <c r="BI15" s="448" t="str">
        <f>_xlfn.IFNA(VLOOKUP($AP15,Programma!$F$3:$Y$1101,20,0),"")</f>
        <v>_</v>
      </c>
      <c r="BJ15" s="449"/>
      <c r="BK15" s="447" t="str">
        <f>IF(Ruimtestaat[[#This Row],[Frequentie weekend]]="","",_xlfn.CONCAT(Ruimtestaat[[#This Row],[Ruimte code]],"-",Ruimtestaat[[#This Row],[Frequentie weekend]]," ",Ruimtestaat[[#This Row],[Vloer code]]))</f>
        <v/>
      </c>
      <c r="BL15" s="448" t="str">
        <f>_xlfn.IFNA(VLOOKUP($BK15,Programma!$F$3:$G$1101,2,0),"")</f>
        <v/>
      </c>
      <c r="BM15" s="448" t="str">
        <f>_xlfn.IFNA(VLOOKUP($BK15,Programma!$F$3:$H$1101,3,0),"")</f>
        <v/>
      </c>
      <c r="BN15" s="448" t="str">
        <f>_xlfn.IFNA(VLOOKUP($BK15,Programma!$F$3:$I$1101,4,0),"")</f>
        <v/>
      </c>
      <c r="BO15" s="448" t="str">
        <f>_xlfn.IFNA(VLOOKUP($BK15,Programma!$F$3:$J$1101,5,0),"")</f>
        <v/>
      </c>
      <c r="BP15" s="448" t="str">
        <f>_xlfn.IFNA(VLOOKUP($BK15,Programma!$F$3:$K$1101,6,0),"")</f>
        <v/>
      </c>
      <c r="BQ15" s="448" t="str">
        <f>_xlfn.IFNA(VLOOKUP($BK15,Programma!$F$3:$L$1101,7,0),"")</f>
        <v/>
      </c>
      <c r="BR15" s="448" t="str">
        <f>_xlfn.IFNA(VLOOKUP($BK15,Programma!$F$3:$M$1101,8,0),"")</f>
        <v/>
      </c>
      <c r="BS15" s="448" t="str">
        <f>_xlfn.IFNA(VLOOKUP($BK15,Programma!$F$3:$N$1101,9,0),"")</f>
        <v/>
      </c>
      <c r="BT15" s="448" t="str">
        <f>_xlfn.IFNA(VLOOKUP($BK15,Programma!$F$3:$O$1101,10,0),"")</f>
        <v/>
      </c>
      <c r="BU15" s="448" t="str">
        <f>_xlfn.IFNA(VLOOKUP($BK15,Programma!$F$3:$P$1101,11,0),"")</f>
        <v/>
      </c>
      <c r="BV15" s="448" t="str">
        <f>_xlfn.IFNA(VLOOKUP($BK15,Programma!$F$3:$Q$1101,12,0),"")</f>
        <v/>
      </c>
      <c r="BW15" s="448" t="str">
        <f>_xlfn.IFNA(VLOOKUP($BK15,Programma!$F$3:$R$1101,13,0),"")</f>
        <v/>
      </c>
      <c r="BX15" s="448" t="str">
        <f>_xlfn.IFNA(VLOOKUP($BK15,Programma!$F$3:$S$1101,14,0),"")</f>
        <v/>
      </c>
      <c r="BY15" s="448" t="str">
        <f>_xlfn.IFNA(VLOOKUP($BK15,Programma!$F$3:$T$1101,15,0),"")</f>
        <v/>
      </c>
      <c r="BZ15" s="448" t="str">
        <f>_xlfn.IFNA(VLOOKUP($BK15,Programma!$F$3:$U$1101,16,0),"")</f>
        <v/>
      </c>
      <c r="CA15" s="448" t="str">
        <f>_xlfn.IFNA(VLOOKUP($BK15,Programma!$F$3:$V$1101,17,0),"")</f>
        <v/>
      </c>
      <c r="CB15" s="448" t="str">
        <f>_xlfn.IFNA(VLOOKUP($BK15,Programma!$F$3:$W$1101,18,0),"")</f>
        <v/>
      </c>
      <c r="CC15" s="448" t="str">
        <f>_xlfn.IFNA(VLOOKUP($BK15,Programma!$F$3:$X$1101,19,0),"")</f>
        <v/>
      </c>
      <c r="CD15" s="448" t="str">
        <f>_xlfn.IFNA(VLOOKUP($BK15,Programma!$F$3:$Y$1101,20,0),"")</f>
        <v/>
      </c>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c r="DN15" s="327"/>
      <c r="DO15" s="327"/>
      <c r="DP15" s="327"/>
      <c r="DQ15" s="327"/>
      <c r="DR15" s="327"/>
      <c r="DS15" s="327"/>
      <c r="DT15" s="327"/>
      <c r="DU15" s="327"/>
      <c r="DV15" s="327"/>
      <c r="DW15" s="327"/>
      <c r="DX15" s="327"/>
      <c r="DY15" s="327"/>
      <c r="DZ15" s="327"/>
      <c r="EA15" s="327"/>
      <c r="EB15" s="327"/>
      <c r="EC15" s="327"/>
      <c r="ED15" s="327"/>
      <c r="EE15" s="327"/>
      <c r="EF15" s="327"/>
      <c r="EG15" s="327"/>
      <c r="EH15" s="327"/>
      <c r="EI15" s="327"/>
      <c r="EJ15" s="327"/>
      <c r="EK15" s="327"/>
      <c r="EL15" s="327"/>
      <c r="EM15" s="327"/>
      <c r="EN15" s="327"/>
      <c r="EO15" s="327"/>
      <c r="EP15" s="327"/>
      <c r="EQ15" s="327"/>
      <c r="ER15" s="327"/>
      <c r="ES15" s="327"/>
      <c r="ET15" s="327"/>
      <c r="EU15" s="327"/>
      <c r="EV15" s="327"/>
      <c r="EW15" s="327"/>
      <c r="EX15" s="327"/>
      <c r="EY15" s="327"/>
      <c r="EZ15" s="327"/>
      <c r="FA15" s="327"/>
      <c r="FB15" s="327"/>
      <c r="FC15" s="327"/>
      <c r="FD15" s="327"/>
      <c r="FE15" s="327"/>
      <c r="FF15" s="327"/>
      <c r="FG15" s="327"/>
      <c r="FH15" s="327"/>
      <c r="FI15" s="327"/>
      <c r="FJ15" s="327"/>
      <c r="FK15" s="327"/>
      <c r="FL15" s="327"/>
      <c r="FM15" s="327"/>
      <c r="FN15" s="327"/>
      <c r="FO15" s="327"/>
      <c r="FP15" s="327"/>
      <c r="FQ15" s="327"/>
      <c r="FR15" s="327"/>
      <c r="FS15" s="327"/>
      <c r="FT15" s="327"/>
      <c r="FU15" s="327"/>
      <c r="FV15" s="327"/>
      <c r="FW15" s="327"/>
      <c r="FX15" s="327"/>
      <c r="FY15" s="327"/>
      <c r="FZ15" s="327"/>
      <c r="GA15" s="327"/>
      <c r="GB15" s="327"/>
      <c r="GC15" s="327"/>
      <c r="GD15" s="327"/>
      <c r="GE15" s="327"/>
      <c r="GF15" s="327"/>
      <c r="GG15" s="327"/>
      <c r="GH15" s="327"/>
      <c r="GI15" s="327"/>
      <c r="GJ15" s="327"/>
      <c r="GK15" s="327"/>
      <c r="GL15" s="327"/>
      <c r="GM15" s="327"/>
      <c r="GN15" s="327"/>
      <c r="GO15" s="327"/>
      <c r="GP15" s="327"/>
      <c r="GQ15" s="327"/>
      <c r="GR15" s="327"/>
      <c r="GS15" s="327"/>
      <c r="GT15" s="327"/>
      <c r="GU15" s="327"/>
      <c r="GV15" s="327"/>
      <c r="GW15" s="327"/>
      <c r="GX15" s="327"/>
      <c r="GY15" s="327"/>
      <c r="GZ15" s="327"/>
      <c r="HA15" s="327"/>
      <c r="HB15" s="327"/>
      <c r="HC15" s="327"/>
      <c r="HD15" s="327"/>
      <c r="HE15" s="327"/>
      <c r="HF15" s="327"/>
      <c r="HG15" s="327"/>
      <c r="HH15" s="327"/>
      <c r="HI15" s="327"/>
      <c r="HJ15" s="327"/>
      <c r="HK15" s="327"/>
      <c r="HL15" s="327"/>
      <c r="HM15" s="327"/>
      <c r="HN15" s="327"/>
      <c r="HO15" s="327"/>
      <c r="HP15" s="327"/>
      <c r="HQ15" s="327"/>
      <c r="HR15" s="327"/>
      <c r="HS15" s="327"/>
    </row>
    <row r="16" spans="1:228" ht="15" customHeight="1">
      <c r="A16" s="434">
        <v>2</v>
      </c>
      <c r="B16" s="435" t="str">
        <f>VLOOKUP(Ruimtestaat[[#This Row],[Code]],Locaties[[Code]:[Locatie]],2,FALSE)</f>
        <v>IKC  De Watersnip</v>
      </c>
      <c r="C16" s="435" t="str">
        <f>VLOOKUP(Ruimtestaat[[#This Row],[Code]],Locaties[[#All],[Code]:[Adres]],4,FALSE)</f>
        <v>César Franckrode 70-72</v>
      </c>
      <c r="D16" s="435" t="str">
        <f>VLOOKUP(Ruimtestaat[[#This Row],[Code]],Locaties[[#All],[Code]:[Postcode]],5,FALSE)</f>
        <v>2717 BG</v>
      </c>
      <c r="E16" s="435" t="str">
        <f>VLOOKUP(Ruimtestaat[[#This Row],[Code]],Locaties[#All],6,FALSE)</f>
        <v>Zoetermeer</v>
      </c>
      <c r="F16" s="434"/>
      <c r="G16" s="434" t="s">
        <v>1678</v>
      </c>
      <c r="H16" s="436" t="s">
        <v>1667</v>
      </c>
      <c r="I16" s="437" t="s">
        <v>1679</v>
      </c>
      <c r="J16" s="330">
        <v>16</v>
      </c>
      <c r="K16" s="450" t="str">
        <f>VLOOKUP(Ruimtestaat[[#This Row],[Ruimte code]],Ruimtegroepen[[#All],[Code]:[Ruimte omschrijving]],2,FALSE)</f>
        <v>Leslokalen</v>
      </c>
      <c r="L16" s="434" t="s">
        <v>100</v>
      </c>
      <c r="M16" s="437" t="s">
        <v>1759</v>
      </c>
      <c r="N16" s="439">
        <v>61</v>
      </c>
      <c r="O16" s="439"/>
      <c r="P16" s="439"/>
      <c r="Q16" s="439"/>
      <c r="R16" s="440" t="str">
        <f>VLOOKUP(Ruimtestaat[[#This Row],[Ruimte code]],Ruimtegroepen[],4,FALSE)</f>
        <v>Le</v>
      </c>
      <c r="S16" s="434">
        <v>40</v>
      </c>
      <c r="T16" s="434" t="s">
        <v>2</v>
      </c>
      <c r="U16" s="434">
        <f>IF(S16&gt;0,IF(RIGHT(Ruimtestaat[[#This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 s="434">
        <f>IF(U16&gt;0,VLOOKUP($J16,Ruimtegroepen[],3,FALSE)*VLOOKUP($L16,Vloersoorten[],3,FALSE)*VLOOKUP($T16,Frequenties[],3,FALSE)*VLOOKUP($A16,Locaties[],3,FALSE),0)</f>
        <v>0</v>
      </c>
      <c r="W16" s="434">
        <f>Ruimtestaat[[#This Row],[Uitvoeringen werkdagen]]*Ruimtestaat[[#This Row],[Oppervlak (netto)]]</f>
        <v>12200</v>
      </c>
      <c r="X16" s="441">
        <f>IF(V16&gt;0,Ruimtestaat[[#This Row],[Prest. (m2 /jaar) werkdagen]]/Ruimtestaat[[#This Row],[Norm (m2/uur) werkdagen]],0)</f>
        <v>0</v>
      </c>
      <c r="Y16" s="442">
        <f>Ruimtestaat[[#This Row],[Uitvoeringen werkdagen]]*Ruimtestaat[[#This Row],[Gedeeltelijk]]</f>
        <v>0</v>
      </c>
      <c r="Z16" s="443" t="e">
        <f>IF(U16&gt;0,Ruimtestaat[[#This Row],[Prest. (m2 / jaar) werkdagen gedeeld]]/Ruimtestaat[[#This Row],[Norm (m2/uur) werkdagen]],0)</f>
        <v>#DIV/0!</v>
      </c>
      <c r="AA16" s="441" t="e">
        <f>Ruimtestaat[[#This Row],[uren / jaar werkdagen gedeeld]]*Tariefsopbouw!$E$35</f>
        <v>#DIV/0!</v>
      </c>
      <c r="AB16" s="441">
        <f>Ruimtestaat[[#This Row],[Uitvoeringen werkdagen]]*Ruimtestaat[[#This Row],[BSO]]</f>
        <v>0</v>
      </c>
      <c r="AC16" s="443" t="e">
        <f>IF(U16&gt;0,Ruimtestaat[[#This Row],[Prest. (m2 / jaar) werkdagen BSO]]/Ruimtestaat[[#This Row],[Norm (m2/uur) werkdagen]],0)</f>
        <v>#DIV/0!</v>
      </c>
      <c r="AD16" s="443" t="e">
        <f>Ruimtestaat[[#This Row],[uren / jaar werkdagen BSO]]*Tariefsopbouw!$E$35</f>
        <v>#DIV/0!</v>
      </c>
      <c r="AE16" s="444">
        <f>Ruimtestaat[[#This Row],[uren / jaar werkdagen]]*Tariefsopbouw!$E$35</f>
        <v>0</v>
      </c>
      <c r="AF16" s="434"/>
      <c r="AG16" s="434">
        <f>IF(Ruimtestaat[[#This Row],[Frequentie weekend]]&gt;0,VALUE(LEFT(AF16,1))*S16,0)</f>
        <v>0</v>
      </c>
      <c r="AH16" s="445">
        <f>IF($AG16&gt;0,VLOOKUP($J16,Ruimtegroepen[],3,FALSE)*VLOOKUP($L16,Vloersoorten[],3,FALSE)*VLOOKUP($AF16,Frequenties[],3,FALSE)*VLOOKUP(Ruimtestaat[[#This Row],[Code]],Locaties[],3,FALSE),0)</f>
        <v>0</v>
      </c>
      <c r="AI16" s="445">
        <f>Ruimtestaat[[#This Row],[Uitvoeringen weekend]]*Ruimtestaat[[#This Row],[Oppervlak (netto)]]</f>
        <v>0</v>
      </c>
      <c r="AJ16" s="445">
        <f>IF(AH16&gt;0,Ruimtestaat[[#This Row],[Prest. (m2 /jaar) weekend]]/Ruimtestaat[[#This Row],[Norm (m2/uur) weekend]],0)</f>
        <v>0</v>
      </c>
      <c r="AK16" s="444">
        <f>Ruimtestaat[[#This Row],[uren / jaar weekend]]*Tariefsopbouw!$D$40</f>
        <v>0</v>
      </c>
      <c r="AL16" s="441">
        <f>Ruimtestaat[[#This Row],[Prest. (m2 /jaar) weekend]]+Ruimtestaat[[#This Row],[Prest. (m2 /jaar) werkdagen]]</f>
        <v>12200</v>
      </c>
      <c r="AM16" s="441">
        <f>Ruimtestaat[[#This Row],[uren / jaar weekend]]+Ruimtestaat[[#This Row],[uren / jaar werkdagen]]</f>
        <v>0</v>
      </c>
      <c r="AN16" s="446">
        <f>Ruimtestaat[[#This Row],[kosten / jaar weekend]]+Ruimtestaat[[#This Row],[kosten / jaar werkdagen]]</f>
        <v>0</v>
      </c>
      <c r="AO16" s="446"/>
      <c r="AP16" s="447" t="str">
        <f>IF(Ruimtestaat[[#This Row],[Frequentie werkdagen]]="","",_xlfn.CONCAT(Ruimtestaat[[#This Row],[Ruimte code]],"-",Ruimtestaat[[#This Row],[Frequentie werkdagen]]," ",Ruimtestaat[[#This Row],[Vloer code]]))</f>
        <v>16-5w L</v>
      </c>
      <c r="AQ16" s="448" t="str">
        <f>_xlfn.IFNA(VLOOKUP($AP16,Programma!$F$3:$G$1101,2,0),"")</f>
        <v>_</v>
      </c>
      <c r="AR16" s="448" t="str">
        <f>_xlfn.IFNA(VLOOKUP($AP16,Programma!$F$3:$H$1101,3,0),"")</f>
        <v>_</v>
      </c>
      <c r="AS16" s="448" t="str">
        <f>_xlfn.IFNA(VLOOKUP($AP16,Programma!$F$3:$I$1101,4,0),"")</f>
        <v>4w</v>
      </c>
      <c r="AT16" s="448" t="str">
        <f>_xlfn.IFNA(VLOOKUP($AP16,Programma!$F$3:$J$1101,5,0),"")</f>
        <v>1w</v>
      </c>
      <c r="AU16" s="448" t="str">
        <f>_xlfn.IFNA(VLOOKUP($AP16,Programma!$F$3:$K$1101,6,0),"")</f>
        <v>_</v>
      </c>
      <c r="AV16" s="448" t="str">
        <f>_xlfn.IFNA(VLOOKUP($AP16,Programma!$F$3:$L$1101,7,0),"")</f>
        <v>_</v>
      </c>
      <c r="AW16" s="448" t="str">
        <f>_xlfn.IFNA(VLOOKUP($AP16,Programma!$F$3:$M$1101,8,0),"")</f>
        <v>_</v>
      </c>
      <c r="AX16" s="448" t="str">
        <f>_xlfn.IFNA(VLOOKUP($AP16,Programma!$F$3:$N$1101,9,0),"")</f>
        <v>_</v>
      </c>
      <c r="AY16" s="448" t="str">
        <f>_xlfn.IFNA(VLOOKUP($AP16,Programma!$F$3:$O$1101,10,0),"")</f>
        <v>5w</v>
      </c>
      <c r="AZ16" s="448" t="str">
        <f>_xlfn.IFNA(VLOOKUP($AP16,Programma!$F$3:$P$1101,11,0),"")</f>
        <v>5w</v>
      </c>
      <c r="BA16" s="448" t="str">
        <f>_xlfn.IFNA(VLOOKUP($AP16,Programma!$F$3:$Q$1101,12,0),"")</f>
        <v>1w</v>
      </c>
      <c r="BB16" s="448" t="str">
        <f>_xlfn.IFNA(VLOOKUP($AP16,Programma!$F$3:$R$1101,13,0),"")</f>
        <v>1w</v>
      </c>
      <c r="BC16" s="448" t="str">
        <f>_xlfn.IFNA(VLOOKUP($AP16,Programma!$F$3:$S$1101,14,0),"")</f>
        <v>1m</v>
      </c>
      <c r="BD16" s="448" t="str">
        <f>_xlfn.IFNA(VLOOKUP($AP16,Programma!$F$3:$T$1101,15,0),"")</f>
        <v>2j</v>
      </c>
      <c r="BE16" s="448" t="str">
        <f>_xlfn.IFNA(VLOOKUP($AP16,Programma!$F$3:$U$1101,16,0),"")</f>
        <v>1j</v>
      </c>
      <c r="BF16" s="448" t="str">
        <f>_xlfn.IFNA(VLOOKUP($AP16,Programma!$F$3:$V$1101,17,0),"")</f>
        <v>_</v>
      </c>
      <c r="BG16" s="448" t="str">
        <f>_xlfn.IFNA(VLOOKUP($AP16,Programma!$F$3:$W$1101,18,0),"")</f>
        <v>_</v>
      </c>
      <c r="BH16" s="448" t="str">
        <f>_xlfn.IFNA(VLOOKUP($AP16,Programma!$F$3:$X$1101,19,0),"")</f>
        <v>_</v>
      </c>
      <c r="BI16" s="448" t="str">
        <f>_xlfn.IFNA(VLOOKUP($AP16,Programma!$F$3:$Y$1101,20,0),"")</f>
        <v>_</v>
      </c>
      <c r="BJ16" s="449"/>
      <c r="BK16" s="447" t="str">
        <f>IF(Ruimtestaat[[#This Row],[Frequentie weekend]]="","",_xlfn.CONCAT(Ruimtestaat[[#This Row],[Ruimte code]],"-",Ruimtestaat[[#This Row],[Frequentie weekend]]," ",Ruimtestaat[[#This Row],[Vloer code]]))</f>
        <v/>
      </c>
      <c r="BL16" s="448" t="str">
        <f>_xlfn.IFNA(VLOOKUP($BK16,Programma!$F$3:$G$1101,2,0),"")</f>
        <v/>
      </c>
      <c r="BM16" s="448" t="str">
        <f>_xlfn.IFNA(VLOOKUP($BK16,Programma!$F$3:$H$1101,3,0),"")</f>
        <v/>
      </c>
      <c r="BN16" s="448" t="str">
        <f>_xlfn.IFNA(VLOOKUP($BK16,Programma!$F$3:$I$1101,4,0),"")</f>
        <v/>
      </c>
      <c r="BO16" s="448" t="str">
        <f>_xlfn.IFNA(VLOOKUP($BK16,Programma!$F$3:$J$1101,5,0),"")</f>
        <v/>
      </c>
      <c r="BP16" s="448" t="str">
        <f>_xlfn.IFNA(VLOOKUP($BK16,Programma!$F$3:$K$1101,6,0),"")</f>
        <v/>
      </c>
      <c r="BQ16" s="448" t="str">
        <f>_xlfn.IFNA(VLOOKUP($BK16,Programma!$F$3:$L$1101,7,0),"")</f>
        <v/>
      </c>
      <c r="BR16" s="448" t="str">
        <f>_xlfn.IFNA(VLOOKUP($BK16,Programma!$F$3:$M$1101,8,0),"")</f>
        <v/>
      </c>
      <c r="BS16" s="448" t="str">
        <f>_xlfn.IFNA(VLOOKUP($BK16,Programma!$F$3:$N$1101,9,0),"")</f>
        <v/>
      </c>
      <c r="BT16" s="448" t="str">
        <f>_xlfn.IFNA(VLOOKUP($BK16,Programma!$F$3:$O$1101,10,0),"")</f>
        <v/>
      </c>
      <c r="BU16" s="448" t="str">
        <f>_xlfn.IFNA(VLOOKUP($BK16,Programma!$F$3:$P$1101,11,0),"")</f>
        <v/>
      </c>
      <c r="BV16" s="448" t="str">
        <f>_xlfn.IFNA(VLOOKUP($BK16,Programma!$F$3:$Q$1101,12,0),"")</f>
        <v/>
      </c>
      <c r="BW16" s="448" t="str">
        <f>_xlfn.IFNA(VLOOKUP($BK16,Programma!$F$3:$R$1101,13,0),"")</f>
        <v/>
      </c>
      <c r="BX16" s="448" t="str">
        <f>_xlfn.IFNA(VLOOKUP($BK16,Programma!$F$3:$S$1101,14,0),"")</f>
        <v/>
      </c>
      <c r="BY16" s="448" t="str">
        <f>_xlfn.IFNA(VLOOKUP($BK16,Programma!$F$3:$T$1101,15,0),"")</f>
        <v/>
      </c>
      <c r="BZ16" s="448" t="str">
        <f>_xlfn.IFNA(VLOOKUP($BK16,Programma!$F$3:$U$1101,16,0),"")</f>
        <v/>
      </c>
      <c r="CA16" s="448" t="str">
        <f>_xlfn.IFNA(VLOOKUP($BK16,Programma!$F$3:$V$1101,17,0),"")</f>
        <v/>
      </c>
      <c r="CB16" s="448" t="str">
        <f>_xlfn.IFNA(VLOOKUP($BK16,Programma!$F$3:$W$1101,18,0),"")</f>
        <v/>
      </c>
      <c r="CC16" s="448" t="str">
        <f>_xlfn.IFNA(VLOOKUP($BK16,Programma!$F$3:$X$1101,19,0),"")</f>
        <v/>
      </c>
      <c r="CD16" s="448" t="str">
        <f>_xlfn.IFNA(VLOOKUP($BK16,Programma!$F$3:$Y$1101,20,0),"")</f>
        <v/>
      </c>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c r="DN16" s="327"/>
      <c r="DO16" s="327"/>
      <c r="DP16" s="327"/>
      <c r="DQ16" s="327"/>
      <c r="DR16" s="327"/>
      <c r="DS16" s="327"/>
      <c r="DT16" s="327"/>
      <c r="DU16" s="327"/>
      <c r="DV16" s="327"/>
      <c r="DW16" s="327"/>
      <c r="DX16" s="327"/>
      <c r="DY16" s="327"/>
      <c r="DZ16" s="327"/>
      <c r="EA16" s="327"/>
      <c r="EB16" s="327"/>
      <c r="EC16" s="327"/>
      <c r="ED16" s="327"/>
      <c r="EE16" s="327"/>
      <c r="EF16" s="327"/>
      <c r="EG16" s="327"/>
      <c r="EH16" s="327"/>
      <c r="EI16" s="327"/>
      <c r="EJ16" s="327"/>
      <c r="EK16" s="327"/>
      <c r="EL16" s="327"/>
      <c r="EM16" s="327"/>
      <c r="EN16" s="327"/>
      <c r="EO16" s="327"/>
      <c r="EP16" s="327"/>
      <c r="EQ16" s="327"/>
      <c r="ER16" s="327"/>
      <c r="ES16" s="327"/>
      <c r="ET16" s="327"/>
      <c r="EU16" s="327"/>
      <c r="EV16" s="327"/>
      <c r="EW16" s="327"/>
      <c r="EX16" s="327"/>
      <c r="EY16" s="327"/>
      <c r="EZ16" s="327"/>
      <c r="FA16" s="327"/>
      <c r="FB16" s="327"/>
      <c r="FC16" s="327"/>
      <c r="FD16" s="327"/>
      <c r="FE16" s="327"/>
      <c r="FF16" s="327"/>
      <c r="FG16" s="327"/>
      <c r="FH16" s="327"/>
      <c r="FI16" s="327"/>
      <c r="FJ16" s="327"/>
      <c r="FK16" s="327"/>
      <c r="FL16" s="327"/>
      <c r="FM16" s="327"/>
      <c r="FN16" s="327"/>
      <c r="FO16" s="327"/>
      <c r="FP16" s="327"/>
      <c r="FQ16" s="327"/>
      <c r="FR16" s="327"/>
      <c r="FS16" s="327"/>
      <c r="FT16" s="327"/>
      <c r="FU16" s="327"/>
      <c r="FV16" s="327"/>
      <c r="FW16" s="327"/>
      <c r="FX16" s="327"/>
      <c r="FY16" s="327"/>
      <c r="FZ16" s="327"/>
      <c r="GA16" s="327"/>
      <c r="GB16" s="327"/>
      <c r="GC16" s="327"/>
      <c r="GD16" s="327"/>
      <c r="GE16" s="327"/>
      <c r="GF16" s="327"/>
      <c r="GG16" s="327"/>
      <c r="GH16" s="327"/>
      <c r="GI16" s="327"/>
      <c r="GJ16" s="327"/>
      <c r="GK16" s="327"/>
      <c r="GL16" s="327"/>
      <c r="GM16" s="327"/>
      <c r="GN16" s="327"/>
      <c r="GO16" s="327"/>
      <c r="GP16" s="327"/>
      <c r="GQ16" s="327"/>
      <c r="GR16" s="327"/>
      <c r="GS16" s="327"/>
      <c r="GT16" s="327"/>
      <c r="GU16" s="327"/>
      <c r="GV16" s="327"/>
      <c r="GW16" s="327"/>
      <c r="GX16" s="327"/>
      <c r="GY16" s="327"/>
      <c r="GZ16" s="327"/>
      <c r="HA16" s="327"/>
      <c r="HB16" s="327"/>
      <c r="HC16" s="327"/>
      <c r="HD16" s="327"/>
      <c r="HE16" s="327"/>
      <c r="HF16" s="327"/>
      <c r="HG16" s="327"/>
      <c r="HH16" s="327"/>
      <c r="HI16" s="327"/>
      <c r="HJ16" s="327"/>
      <c r="HK16" s="327"/>
      <c r="HL16" s="327"/>
      <c r="HM16" s="327"/>
      <c r="HN16" s="327"/>
      <c r="HO16" s="327"/>
      <c r="HP16" s="327"/>
      <c r="HQ16" s="327"/>
      <c r="HR16" s="327"/>
      <c r="HS16" s="327"/>
    </row>
    <row r="17" spans="1:227" ht="15" customHeight="1">
      <c r="A17" s="434">
        <v>2</v>
      </c>
      <c r="B17" s="435" t="str">
        <f>VLOOKUP(Ruimtestaat[[#This Row],[Code]],Locaties[[Code]:[Locatie]],2,FALSE)</f>
        <v>IKC  De Watersnip</v>
      </c>
      <c r="C17" s="435" t="str">
        <f>VLOOKUP(Ruimtestaat[[#This Row],[Code]],Locaties[[#All],[Code]:[Adres]],4,FALSE)</f>
        <v>César Franckrode 70-72</v>
      </c>
      <c r="D17" s="435" t="str">
        <f>VLOOKUP(Ruimtestaat[[#This Row],[Code]],Locaties[[#All],[Code]:[Postcode]],5,FALSE)</f>
        <v>2717 BG</v>
      </c>
      <c r="E17" s="435" t="str">
        <f>VLOOKUP(Ruimtestaat[[#This Row],[Code]],Locaties[#All],6,FALSE)</f>
        <v>Zoetermeer</v>
      </c>
      <c r="F17" s="434"/>
      <c r="G17" s="434" t="s">
        <v>1678</v>
      </c>
      <c r="H17" s="436" t="s">
        <v>1668</v>
      </c>
      <c r="I17" s="437" t="s">
        <v>1679</v>
      </c>
      <c r="J17" s="330">
        <v>16</v>
      </c>
      <c r="K17" s="450" t="str">
        <f>VLOOKUP(Ruimtestaat[[#This Row],[Ruimte code]],Ruimtegroepen[[#All],[Code]:[Ruimte omschrijving]],2,FALSE)</f>
        <v>Leslokalen</v>
      </c>
      <c r="L17" s="434" t="s">
        <v>100</v>
      </c>
      <c r="M17" s="437" t="s">
        <v>1759</v>
      </c>
      <c r="N17" s="439">
        <v>61</v>
      </c>
      <c r="O17" s="439"/>
      <c r="P17" s="439"/>
      <c r="Q17" s="439"/>
      <c r="R17" s="440" t="str">
        <f>VLOOKUP(Ruimtestaat[[#This Row],[Ruimte code]],Ruimtegroepen[],4,FALSE)</f>
        <v>Le</v>
      </c>
      <c r="S17" s="434">
        <v>40</v>
      </c>
      <c r="T17" s="434" t="s">
        <v>2</v>
      </c>
      <c r="U17" s="434">
        <f>IF(S17&gt;0,IF(RIGHT(Ruimtestaat[[#This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 s="434">
        <f>IF(U17&gt;0,VLOOKUP($J17,Ruimtegroepen[],3,FALSE)*VLOOKUP($L17,Vloersoorten[],3,FALSE)*VLOOKUP($T17,Frequenties[],3,FALSE)*VLOOKUP($A17,Locaties[],3,FALSE),0)</f>
        <v>0</v>
      </c>
      <c r="W17" s="434">
        <f>Ruimtestaat[[#This Row],[Uitvoeringen werkdagen]]*Ruimtestaat[[#This Row],[Oppervlak (netto)]]</f>
        <v>12200</v>
      </c>
      <c r="X17" s="441">
        <f>IF(V17&gt;0,Ruimtestaat[[#This Row],[Prest. (m2 /jaar) werkdagen]]/Ruimtestaat[[#This Row],[Norm (m2/uur) werkdagen]],0)</f>
        <v>0</v>
      </c>
      <c r="Y17" s="442">
        <f>Ruimtestaat[[#This Row],[Uitvoeringen werkdagen]]*Ruimtestaat[[#This Row],[Gedeeltelijk]]</f>
        <v>0</v>
      </c>
      <c r="Z17" s="443" t="e">
        <f>IF(U17&gt;0,Ruimtestaat[[#This Row],[Prest. (m2 / jaar) werkdagen gedeeld]]/Ruimtestaat[[#This Row],[Norm (m2/uur) werkdagen]],0)</f>
        <v>#DIV/0!</v>
      </c>
      <c r="AA17" s="441" t="e">
        <f>Ruimtestaat[[#This Row],[uren / jaar werkdagen gedeeld]]*Tariefsopbouw!$E$35</f>
        <v>#DIV/0!</v>
      </c>
      <c r="AB17" s="441">
        <f>Ruimtestaat[[#This Row],[Uitvoeringen werkdagen]]*Ruimtestaat[[#This Row],[BSO]]</f>
        <v>0</v>
      </c>
      <c r="AC17" s="443" t="e">
        <f>IF(U17&gt;0,Ruimtestaat[[#This Row],[Prest. (m2 / jaar) werkdagen BSO]]/Ruimtestaat[[#This Row],[Norm (m2/uur) werkdagen]],0)</f>
        <v>#DIV/0!</v>
      </c>
      <c r="AD17" s="443" t="e">
        <f>Ruimtestaat[[#This Row],[uren / jaar werkdagen BSO]]*Tariefsopbouw!$E$35</f>
        <v>#DIV/0!</v>
      </c>
      <c r="AE17" s="444">
        <f>Ruimtestaat[[#This Row],[uren / jaar werkdagen]]*Tariefsopbouw!$E$35</f>
        <v>0</v>
      </c>
      <c r="AF17" s="434"/>
      <c r="AG17" s="434">
        <f>IF(Ruimtestaat[[#This Row],[Frequentie weekend]]&gt;0,VALUE(LEFT(AF17,1))*S17,0)</f>
        <v>0</v>
      </c>
      <c r="AH17" s="445">
        <f>IF($AG17&gt;0,VLOOKUP($J17,Ruimtegroepen[],3,FALSE)*VLOOKUP($L17,Vloersoorten[],3,FALSE)*VLOOKUP($AF17,Frequenties[],3,FALSE)*VLOOKUP(Ruimtestaat[[#This Row],[Code]],Locaties[],3,FALSE),0)</f>
        <v>0</v>
      </c>
      <c r="AI17" s="445">
        <f>Ruimtestaat[[#This Row],[Uitvoeringen weekend]]*Ruimtestaat[[#This Row],[Oppervlak (netto)]]</f>
        <v>0</v>
      </c>
      <c r="AJ17" s="445">
        <f>IF(AH17&gt;0,Ruimtestaat[[#This Row],[Prest. (m2 /jaar) weekend]]/Ruimtestaat[[#This Row],[Norm (m2/uur) weekend]],0)</f>
        <v>0</v>
      </c>
      <c r="AK17" s="444">
        <f>Ruimtestaat[[#This Row],[uren / jaar weekend]]*Tariefsopbouw!$D$40</f>
        <v>0</v>
      </c>
      <c r="AL17" s="441">
        <f>Ruimtestaat[[#This Row],[Prest. (m2 /jaar) weekend]]+Ruimtestaat[[#This Row],[Prest. (m2 /jaar) werkdagen]]</f>
        <v>12200</v>
      </c>
      <c r="AM17" s="441">
        <f>Ruimtestaat[[#This Row],[uren / jaar weekend]]+Ruimtestaat[[#This Row],[uren / jaar werkdagen]]</f>
        <v>0</v>
      </c>
      <c r="AN17" s="446">
        <f>Ruimtestaat[[#This Row],[kosten / jaar weekend]]+Ruimtestaat[[#This Row],[kosten / jaar werkdagen]]</f>
        <v>0</v>
      </c>
      <c r="AO17" s="446"/>
      <c r="AP17" s="447" t="str">
        <f>IF(Ruimtestaat[[#This Row],[Frequentie werkdagen]]="","",_xlfn.CONCAT(Ruimtestaat[[#This Row],[Ruimte code]],"-",Ruimtestaat[[#This Row],[Frequentie werkdagen]]," ",Ruimtestaat[[#This Row],[Vloer code]]))</f>
        <v>16-5w L</v>
      </c>
      <c r="AQ17" s="448" t="str">
        <f>_xlfn.IFNA(VLOOKUP($AP17,Programma!$F$3:$G$1101,2,0),"")</f>
        <v>_</v>
      </c>
      <c r="AR17" s="448" t="str">
        <f>_xlfn.IFNA(VLOOKUP($AP17,Programma!$F$3:$H$1101,3,0),"")</f>
        <v>_</v>
      </c>
      <c r="AS17" s="448" t="str">
        <f>_xlfn.IFNA(VLOOKUP($AP17,Programma!$F$3:$I$1101,4,0),"")</f>
        <v>4w</v>
      </c>
      <c r="AT17" s="448" t="str">
        <f>_xlfn.IFNA(VLOOKUP($AP17,Programma!$F$3:$J$1101,5,0),"")</f>
        <v>1w</v>
      </c>
      <c r="AU17" s="448" t="str">
        <f>_xlfn.IFNA(VLOOKUP($AP17,Programma!$F$3:$K$1101,6,0),"")</f>
        <v>_</v>
      </c>
      <c r="AV17" s="448" t="str">
        <f>_xlfn.IFNA(VLOOKUP($AP17,Programma!$F$3:$L$1101,7,0),"")</f>
        <v>_</v>
      </c>
      <c r="AW17" s="448" t="str">
        <f>_xlfn.IFNA(VLOOKUP($AP17,Programma!$F$3:$M$1101,8,0),"")</f>
        <v>_</v>
      </c>
      <c r="AX17" s="448" t="str">
        <f>_xlfn.IFNA(VLOOKUP($AP17,Programma!$F$3:$N$1101,9,0),"")</f>
        <v>_</v>
      </c>
      <c r="AY17" s="448" t="str">
        <f>_xlfn.IFNA(VLOOKUP($AP17,Programma!$F$3:$O$1101,10,0),"")</f>
        <v>5w</v>
      </c>
      <c r="AZ17" s="448" t="str">
        <f>_xlfn.IFNA(VLOOKUP($AP17,Programma!$F$3:$P$1101,11,0),"")</f>
        <v>5w</v>
      </c>
      <c r="BA17" s="448" t="str">
        <f>_xlfn.IFNA(VLOOKUP($AP17,Programma!$F$3:$Q$1101,12,0),"")</f>
        <v>1w</v>
      </c>
      <c r="BB17" s="448" t="str">
        <f>_xlfn.IFNA(VLOOKUP($AP17,Programma!$F$3:$R$1101,13,0),"")</f>
        <v>1w</v>
      </c>
      <c r="BC17" s="448" t="str">
        <f>_xlfn.IFNA(VLOOKUP($AP17,Programma!$F$3:$S$1101,14,0),"")</f>
        <v>1m</v>
      </c>
      <c r="BD17" s="448" t="str">
        <f>_xlfn.IFNA(VLOOKUP($AP17,Programma!$F$3:$T$1101,15,0),"")</f>
        <v>2j</v>
      </c>
      <c r="BE17" s="448" t="str">
        <f>_xlfn.IFNA(VLOOKUP($AP17,Programma!$F$3:$U$1101,16,0),"")</f>
        <v>1j</v>
      </c>
      <c r="BF17" s="448" t="str">
        <f>_xlfn.IFNA(VLOOKUP($AP17,Programma!$F$3:$V$1101,17,0),"")</f>
        <v>_</v>
      </c>
      <c r="BG17" s="448" t="str">
        <f>_xlfn.IFNA(VLOOKUP($AP17,Programma!$F$3:$W$1101,18,0),"")</f>
        <v>_</v>
      </c>
      <c r="BH17" s="448" t="str">
        <f>_xlfn.IFNA(VLOOKUP($AP17,Programma!$F$3:$X$1101,19,0),"")</f>
        <v>_</v>
      </c>
      <c r="BI17" s="448" t="str">
        <f>_xlfn.IFNA(VLOOKUP($AP17,Programma!$F$3:$Y$1101,20,0),"")</f>
        <v>_</v>
      </c>
      <c r="BJ17" s="449"/>
      <c r="BK17" s="447" t="str">
        <f>IF(Ruimtestaat[[#This Row],[Frequentie weekend]]="","",_xlfn.CONCAT(Ruimtestaat[[#This Row],[Ruimte code]],"-",Ruimtestaat[[#This Row],[Frequentie weekend]]," ",Ruimtestaat[[#This Row],[Vloer code]]))</f>
        <v/>
      </c>
      <c r="BL17" s="448" t="str">
        <f>_xlfn.IFNA(VLOOKUP($BK17,Programma!$F$3:$G$1101,2,0),"")</f>
        <v/>
      </c>
      <c r="BM17" s="448" t="str">
        <f>_xlfn.IFNA(VLOOKUP($BK17,Programma!$F$3:$H$1101,3,0),"")</f>
        <v/>
      </c>
      <c r="BN17" s="448" t="str">
        <f>_xlfn.IFNA(VLOOKUP($BK17,Programma!$F$3:$I$1101,4,0),"")</f>
        <v/>
      </c>
      <c r="BO17" s="448" t="str">
        <f>_xlfn.IFNA(VLOOKUP($BK17,Programma!$F$3:$J$1101,5,0),"")</f>
        <v/>
      </c>
      <c r="BP17" s="448" t="str">
        <f>_xlfn.IFNA(VLOOKUP($BK17,Programma!$F$3:$K$1101,6,0),"")</f>
        <v/>
      </c>
      <c r="BQ17" s="448" t="str">
        <f>_xlfn.IFNA(VLOOKUP($BK17,Programma!$F$3:$L$1101,7,0),"")</f>
        <v/>
      </c>
      <c r="BR17" s="448" t="str">
        <f>_xlfn.IFNA(VLOOKUP($BK17,Programma!$F$3:$M$1101,8,0),"")</f>
        <v/>
      </c>
      <c r="BS17" s="448" t="str">
        <f>_xlfn.IFNA(VLOOKUP($BK17,Programma!$F$3:$N$1101,9,0),"")</f>
        <v/>
      </c>
      <c r="BT17" s="448" t="str">
        <f>_xlfn.IFNA(VLOOKUP($BK17,Programma!$F$3:$O$1101,10,0),"")</f>
        <v/>
      </c>
      <c r="BU17" s="448" t="str">
        <f>_xlfn.IFNA(VLOOKUP($BK17,Programma!$F$3:$P$1101,11,0),"")</f>
        <v/>
      </c>
      <c r="BV17" s="448" t="str">
        <f>_xlfn.IFNA(VLOOKUP($BK17,Programma!$F$3:$Q$1101,12,0),"")</f>
        <v/>
      </c>
      <c r="BW17" s="448" t="str">
        <f>_xlfn.IFNA(VLOOKUP($BK17,Programma!$F$3:$R$1101,13,0),"")</f>
        <v/>
      </c>
      <c r="BX17" s="448" t="str">
        <f>_xlfn.IFNA(VLOOKUP($BK17,Programma!$F$3:$S$1101,14,0),"")</f>
        <v/>
      </c>
      <c r="BY17" s="448" t="str">
        <f>_xlfn.IFNA(VLOOKUP($BK17,Programma!$F$3:$T$1101,15,0),"")</f>
        <v/>
      </c>
      <c r="BZ17" s="448" t="str">
        <f>_xlfn.IFNA(VLOOKUP($BK17,Programma!$F$3:$U$1101,16,0),"")</f>
        <v/>
      </c>
      <c r="CA17" s="448" t="str">
        <f>_xlfn.IFNA(VLOOKUP($BK17,Programma!$F$3:$V$1101,17,0),"")</f>
        <v/>
      </c>
      <c r="CB17" s="448" t="str">
        <f>_xlfn.IFNA(VLOOKUP($BK17,Programma!$F$3:$W$1101,18,0),"")</f>
        <v/>
      </c>
      <c r="CC17" s="448" t="str">
        <f>_xlfn.IFNA(VLOOKUP($BK17,Programma!$F$3:$X$1101,19,0),"")</f>
        <v/>
      </c>
      <c r="CD17" s="448" t="str">
        <f>_xlfn.IFNA(VLOOKUP($BK17,Programma!$F$3:$Y$1101,20,0),"")</f>
        <v/>
      </c>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c r="DN17" s="327"/>
      <c r="DO17" s="327"/>
      <c r="DP17" s="327"/>
      <c r="DQ17" s="327"/>
      <c r="DR17" s="327"/>
      <c r="DS17" s="327"/>
      <c r="DT17" s="327"/>
      <c r="DU17" s="327"/>
      <c r="DV17" s="327"/>
      <c r="DW17" s="327"/>
      <c r="DX17" s="327"/>
      <c r="DY17" s="327"/>
      <c r="DZ17" s="327"/>
      <c r="EA17" s="327"/>
      <c r="EB17" s="327"/>
      <c r="EC17" s="327"/>
      <c r="ED17" s="327"/>
      <c r="EE17" s="327"/>
      <c r="EF17" s="327"/>
      <c r="EG17" s="327"/>
      <c r="EH17" s="327"/>
      <c r="EI17" s="327"/>
      <c r="EJ17" s="327"/>
      <c r="EK17" s="327"/>
      <c r="EL17" s="327"/>
      <c r="EM17" s="327"/>
      <c r="EN17" s="327"/>
      <c r="EO17" s="327"/>
      <c r="EP17" s="327"/>
      <c r="EQ17" s="327"/>
      <c r="ER17" s="327"/>
      <c r="ES17" s="327"/>
      <c r="ET17" s="327"/>
      <c r="EU17" s="327"/>
      <c r="EV17" s="327"/>
      <c r="EW17" s="327"/>
      <c r="EX17" s="327"/>
      <c r="EY17" s="327"/>
      <c r="EZ17" s="327"/>
      <c r="FA17" s="327"/>
      <c r="FB17" s="327"/>
      <c r="FC17" s="327"/>
      <c r="FD17" s="327"/>
      <c r="FE17" s="327"/>
      <c r="FF17" s="327"/>
      <c r="FG17" s="327"/>
      <c r="FH17" s="327"/>
      <c r="FI17" s="327"/>
      <c r="FJ17" s="327"/>
      <c r="FK17" s="327"/>
      <c r="FL17" s="327"/>
      <c r="FM17" s="327"/>
      <c r="FN17" s="327"/>
      <c r="FO17" s="327"/>
      <c r="FP17" s="327"/>
      <c r="FQ17" s="327"/>
      <c r="FR17" s="327"/>
      <c r="FS17" s="327"/>
      <c r="FT17" s="327"/>
      <c r="FU17" s="327"/>
      <c r="FV17" s="327"/>
      <c r="FW17" s="327"/>
      <c r="FX17" s="327"/>
      <c r="FY17" s="327"/>
      <c r="FZ17" s="327"/>
      <c r="GA17" s="327"/>
      <c r="GB17" s="327"/>
      <c r="GC17" s="327"/>
      <c r="GD17" s="327"/>
      <c r="GE17" s="327"/>
      <c r="GF17" s="327"/>
      <c r="GG17" s="327"/>
      <c r="GH17" s="327"/>
      <c r="GI17" s="327"/>
      <c r="GJ17" s="327"/>
      <c r="GK17" s="327"/>
      <c r="GL17" s="327"/>
      <c r="GM17" s="327"/>
      <c r="GN17" s="327"/>
      <c r="GO17" s="327"/>
      <c r="GP17" s="327"/>
      <c r="GQ17" s="327"/>
      <c r="GR17" s="327"/>
      <c r="GS17" s="327"/>
      <c r="GT17" s="327"/>
      <c r="GU17" s="327"/>
      <c r="GV17" s="327"/>
      <c r="GW17" s="327"/>
      <c r="GX17" s="327"/>
      <c r="GY17" s="327"/>
      <c r="GZ17" s="327"/>
      <c r="HA17" s="327"/>
      <c r="HB17" s="327"/>
      <c r="HC17" s="327"/>
      <c r="HD17" s="327"/>
      <c r="HE17" s="327"/>
      <c r="HF17" s="327"/>
      <c r="HG17" s="327"/>
      <c r="HH17" s="327"/>
      <c r="HI17" s="327"/>
      <c r="HJ17" s="327"/>
      <c r="HK17" s="327"/>
      <c r="HL17" s="327"/>
      <c r="HM17" s="327"/>
      <c r="HN17" s="327"/>
      <c r="HO17" s="327"/>
      <c r="HP17" s="327"/>
      <c r="HQ17" s="327"/>
      <c r="HR17" s="327"/>
      <c r="HS17" s="327"/>
    </row>
    <row r="18" spans="1:227" ht="15" customHeight="1">
      <c r="A18" s="434">
        <v>2</v>
      </c>
      <c r="B18" s="435" t="str">
        <f>VLOOKUP(Ruimtestaat[[#This Row],[Code]],Locaties[[Code]:[Locatie]],2,FALSE)</f>
        <v>IKC  De Watersnip</v>
      </c>
      <c r="C18" s="435" t="str">
        <f>VLOOKUP(Ruimtestaat[[#This Row],[Code]],Locaties[[#All],[Code]:[Adres]],4,FALSE)</f>
        <v>César Franckrode 70-72</v>
      </c>
      <c r="D18" s="435" t="str">
        <f>VLOOKUP(Ruimtestaat[[#This Row],[Code]],Locaties[[#All],[Code]:[Postcode]],5,FALSE)</f>
        <v>2717 BG</v>
      </c>
      <c r="E18" s="435" t="str">
        <f>VLOOKUP(Ruimtestaat[[#This Row],[Code]],Locaties[#All],6,FALSE)</f>
        <v>Zoetermeer</v>
      </c>
      <c r="F18" s="434"/>
      <c r="G18" s="434" t="s">
        <v>1678</v>
      </c>
      <c r="H18" s="436" t="s">
        <v>1669</v>
      </c>
      <c r="I18" s="437" t="s">
        <v>1679</v>
      </c>
      <c r="J18" s="330">
        <v>16</v>
      </c>
      <c r="K18" s="450" t="str">
        <f>VLOOKUP(Ruimtestaat[[#This Row],[Ruimte code]],Ruimtegroepen[[#All],[Code]:[Ruimte omschrijving]],2,FALSE)</f>
        <v>Leslokalen</v>
      </c>
      <c r="L18" s="434" t="s">
        <v>100</v>
      </c>
      <c r="M18" s="437" t="s">
        <v>1759</v>
      </c>
      <c r="N18" s="439">
        <v>61</v>
      </c>
      <c r="O18" s="439"/>
      <c r="P18" s="439"/>
      <c r="Q18" s="439"/>
      <c r="R18" s="440" t="str">
        <f>VLOOKUP(Ruimtestaat[[#This Row],[Ruimte code]],Ruimtegroepen[],4,FALSE)</f>
        <v>Le</v>
      </c>
      <c r="S18" s="434">
        <v>40</v>
      </c>
      <c r="T18" s="434" t="s">
        <v>2</v>
      </c>
      <c r="U18" s="434">
        <f>IF(S18&gt;0,IF(RIGHT(Ruimtestaat[[#This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 s="434">
        <f>IF(U18&gt;0,VLOOKUP($J18,Ruimtegroepen[],3,FALSE)*VLOOKUP($L18,Vloersoorten[],3,FALSE)*VLOOKUP($T18,Frequenties[],3,FALSE)*VLOOKUP($A18,Locaties[],3,FALSE),0)</f>
        <v>0</v>
      </c>
      <c r="W18" s="434">
        <f>Ruimtestaat[[#This Row],[Uitvoeringen werkdagen]]*Ruimtestaat[[#This Row],[Oppervlak (netto)]]</f>
        <v>12200</v>
      </c>
      <c r="X18" s="441">
        <f>IF(V18&gt;0,Ruimtestaat[[#This Row],[Prest. (m2 /jaar) werkdagen]]/Ruimtestaat[[#This Row],[Norm (m2/uur) werkdagen]],0)</f>
        <v>0</v>
      </c>
      <c r="Y18" s="442">
        <f>Ruimtestaat[[#This Row],[Uitvoeringen werkdagen]]*Ruimtestaat[[#This Row],[Gedeeltelijk]]</f>
        <v>0</v>
      </c>
      <c r="Z18" s="443" t="e">
        <f>IF(U18&gt;0,Ruimtestaat[[#This Row],[Prest. (m2 / jaar) werkdagen gedeeld]]/Ruimtestaat[[#This Row],[Norm (m2/uur) werkdagen]],0)</f>
        <v>#DIV/0!</v>
      </c>
      <c r="AA18" s="441" t="e">
        <f>Ruimtestaat[[#This Row],[uren / jaar werkdagen gedeeld]]*Tariefsopbouw!$E$35</f>
        <v>#DIV/0!</v>
      </c>
      <c r="AB18" s="441">
        <f>Ruimtestaat[[#This Row],[Uitvoeringen werkdagen]]*Ruimtestaat[[#This Row],[BSO]]</f>
        <v>0</v>
      </c>
      <c r="AC18" s="443" t="e">
        <f>IF(U18&gt;0,Ruimtestaat[[#This Row],[Prest. (m2 / jaar) werkdagen BSO]]/Ruimtestaat[[#This Row],[Norm (m2/uur) werkdagen]],0)</f>
        <v>#DIV/0!</v>
      </c>
      <c r="AD18" s="443" t="e">
        <f>Ruimtestaat[[#This Row],[uren / jaar werkdagen BSO]]*Tariefsopbouw!$E$35</f>
        <v>#DIV/0!</v>
      </c>
      <c r="AE18" s="444">
        <f>Ruimtestaat[[#This Row],[uren / jaar werkdagen]]*Tariefsopbouw!$E$35</f>
        <v>0</v>
      </c>
      <c r="AF18" s="434"/>
      <c r="AG18" s="434">
        <f>IF(Ruimtestaat[[#This Row],[Frequentie weekend]]&gt;0,VALUE(LEFT(AF18,1))*S18,0)</f>
        <v>0</v>
      </c>
      <c r="AH18" s="445">
        <f>IF($AG18&gt;0,VLOOKUP($J18,Ruimtegroepen[],3,FALSE)*VLOOKUP($L18,Vloersoorten[],3,FALSE)*VLOOKUP($AF18,Frequenties[],3,FALSE)*VLOOKUP(Ruimtestaat[[#This Row],[Code]],Locaties[],3,FALSE),0)</f>
        <v>0</v>
      </c>
      <c r="AI18" s="445">
        <f>Ruimtestaat[[#This Row],[Uitvoeringen weekend]]*Ruimtestaat[[#This Row],[Oppervlak (netto)]]</f>
        <v>0</v>
      </c>
      <c r="AJ18" s="445">
        <f>IF(AH18&gt;0,Ruimtestaat[[#This Row],[Prest. (m2 /jaar) weekend]]/Ruimtestaat[[#This Row],[Norm (m2/uur) weekend]],0)</f>
        <v>0</v>
      </c>
      <c r="AK18" s="444">
        <f>Ruimtestaat[[#This Row],[uren / jaar weekend]]*Tariefsopbouw!$D$40</f>
        <v>0</v>
      </c>
      <c r="AL18" s="441">
        <f>Ruimtestaat[[#This Row],[Prest. (m2 /jaar) weekend]]+Ruimtestaat[[#This Row],[Prest. (m2 /jaar) werkdagen]]</f>
        <v>12200</v>
      </c>
      <c r="AM18" s="441">
        <f>Ruimtestaat[[#This Row],[uren / jaar weekend]]+Ruimtestaat[[#This Row],[uren / jaar werkdagen]]</f>
        <v>0</v>
      </c>
      <c r="AN18" s="446">
        <f>Ruimtestaat[[#This Row],[kosten / jaar weekend]]+Ruimtestaat[[#This Row],[kosten / jaar werkdagen]]</f>
        <v>0</v>
      </c>
      <c r="AO18" s="446"/>
      <c r="AP18" s="447" t="str">
        <f>IF(Ruimtestaat[[#This Row],[Frequentie werkdagen]]="","",_xlfn.CONCAT(Ruimtestaat[[#This Row],[Ruimte code]],"-",Ruimtestaat[[#This Row],[Frequentie werkdagen]]," ",Ruimtestaat[[#This Row],[Vloer code]]))</f>
        <v>16-5w L</v>
      </c>
      <c r="AQ18" s="448" t="str">
        <f>_xlfn.IFNA(VLOOKUP($AP18,Programma!$F$3:$G$1101,2,0),"")</f>
        <v>_</v>
      </c>
      <c r="AR18" s="448" t="str">
        <f>_xlfn.IFNA(VLOOKUP($AP18,Programma!$F$3:$H$1101,3,0),"")</f>
        <v>_</v>
      </c>
      <c r="AS18" s="448" t="str">
        <f>_xlfn.IFNA(VLOOKUP($AP18,Programma!$F$3:$I$1101,4,0),"")</f>
        <v>4w</v>
      </c>
      <c r="AT18" s="448" t="str">
        <f>_xlfn.IFNA(VLOOKUP($AP18,Programma!$F$3:$J$1101,5,0),"")</f>
        <v>1w</v>
      </c>
      <c r="AU18" s="448" t="str">
        <f>_xlfn.IFNA(VLOOKUP($AP18,Programma!$F$3:$K$1101,6,0),"")</f>
        <v>_</v>
      </c>
      <c r="AV18" s="448" t="str">
        <f>_xlfn.IFNA(VLOOKUP($AP18,Programma!$F$3:$L$1101,7,0),"")</f>
        <v>_</v>
      </c>
      <c r="AW18" s="448" t="str">
        <f>_xlfn.IFNA(VLOOKUP($AP18,Programma!$F$3:$M$1101,8,0),"")</f>
        <v>_</v>
      </c>
      <c r="AX18" s="448" t="str">
        <f>_xlfn.IFNA(VLOOKUP($AP18,Programma!$F$3:$N$1101,9,0),"")</f>
        <v>_</v>
      </c>
      <c r="AY18" s="448" t="str">
        <f>_xlfn.IFNA(VLOOKUP($AP18,Programma!$F$3:$O$1101,10,0),"")</f>
        <v>5w</v>
      </c>
      <c r="AZ18" s="448" t="str">
        <f>_xlfn.IFNA(VLOOKUP($AP18,Programma!$F$3:$P$1101,11,0),"")</f>
        <v>5w</v>
      </c>
      <c r="BA18" s="448" t="str">
        <f>_xlfn.IFNA(VLOOKUP($AP18,Programma!$F$3:$Q$1101,12,0),"")</f>
        <v>1w</v>
      </c>
      <c r="BB18" s="448" t="str">
        <f>_xlfn.IFNA(VLOOKUP($AP18,Programma!$F$3:$R$1101,13,0),"")</f>
        <v>1w</v>
      </c>
      <c r="BC18" s="448" t="str">
        <f>_xlfn.IFNA(VLOOKUP($AP18,Programma!$F$3:$S$1101,14,0),"")</f>
        <v>1m</v>
      </c>
      <c r="BD18" s="448" t="str">
        <f>_xlfn.IFNA(VLOOKUP($AP18,Programma!$F$3:$T$1101,15,0),"")</f>
        <v>2j</v>
      </c>
      <c r="BE18" s="448" t="str">
        <f>_xlfn.IFNA(VLOOKUP($AP18,Programma!$F$3:$U$1101,16,0),"")</f>
        <v>1j</v>
      </c>
      <c r="BF18" s="448" t="str">
        <f>_xlfn.IFNA(VLOOKUP($AP18,Programma!$F$3:$V$1101,17,0),"")</f>
        <v>_</v>
      </c>
      <c r="BG18" s="448" t="str">
        <f>_xlfn.IFNA(VLOOKUP($AP18,Programma!$F$3:$W$1101,18,0),"")</f>
        <v>_</v>
      </c>
      <c r="BH18" s="448" t="str">
        <f>_xlfn.IFNA(VLOOKUP($AP18,Programma!$F$3:$X$1101,19,0),"")</f>
        <v>_</v>
      </c>
      <c r="BI18" s="448" t="str">
        <f>_xlfn.IFNA(VLOOKUP($AP18,Programma!$F$3:$Y$1101,20,0),"")</f>
        <v>_</v>
      </c>
      <c r="BJ18" s="449"/>
      <c r="BK18" s="447" t="str">
        <f>IF(Ruimtestaat[[#This Row],[Frequentie weekend]]="","",_xlfn.CONCAT(Ruimtestaat[[#This Row],[Ruimte code]],"-",Ruimtestaat[[#This Row],[Frequentie weekend]]," ",Ruimtestaat[[#This Row],[Vloer code]]))</f>
        <v/>
      </c>
      <c r="BL18" s="448" t="str">
        <f>_xlfn.IFNA(VLOOKUP($BK18,Programma!$F$3:$G$1101,2,0),"")</f>
        <v/>
      </c>
      <c r="BM18" s="448" t="str">
        <f>_xlfn.IFNA(VLOOKUP($BK18,Programma!$F$3:$H$1101,3,0),"")</f>
        <v/>
      </c>
      <c r="BN18" s="448" t="str">
        <f>_xlfn.IFNA(VLOOKUP($BK18,Programma!$F$3:$I$1101,4,0),"")</f>
        <v/>
      </c>
      <c r="BO18" s="448" t="str">
        <f>_xlfn.IFNA(VLOOKUP($BK18,Programma!$F$3:$J$1101,5,0),"")</f>
        <v/>
      </c>
      <c r="BP18" s="448" t="str">
        <f>_xlfn.IFNA(VLOOKUP($BK18,Programma!$F$3:$K$1101,6,0),"")</f>
        <v/>
      </c>
      <c r="BQ18" s="448" t="str">
        <f>_xlfn.IFNA(VLOOKUP($BK18,Programma!$F$3:$L$1101,7,0),"")</f>
        <v/>
      </c>
      <c r="BR18" s="448" t="str">
        <f>_xlfn.IFNA(VLOOKUP($BK18,Programma!$F$3:$M$1101,8,0),"")</f>
        <v/>
      </c>
      <c r="BS18" s="448" t="str">
        <f>_xlfn.IFNA(VLOOKUP($BK18,Programma!$F$3:$N$1101,9,0),"")</f>
        <v/>
      </c>
      <c r="BT18" s="448" t="str">
        <f>_xlfn.IFNA(VLOOKUP($BK18,Programma!$F$3:$O$1101,10,0),"")</f>
        <v/>
      </c>
      <c r="BU18" s="448" t="str">
        <f>_xlfn.IFNA(VLOOKUP($BK18,Programma!$F$3:$P$1101,11,0),"")</f>
        <v/>
      </c>
      <c r="BV18" s="448" t="str">
        <f>_xlfn.IFNA(VLOOKUP($BK18,Programma!$F$3:$Q$1101,12,0),"")</f>
        <v/>
      </c>
      <c r="BW18" s="448" t="str">
        <f>_xlfn.IFNA(VLOOKUP($BK18,Programma!$F$3:$R$1101,13,0),"")</f>
        <v/>
      </c>
      <c r="BX18" s="448" t="str">
        <f>_xlfn.IFNA(VLOOKUP($BK18,Programma!$F$3:$S$1101,14,0),"")</f>
        <v/>
      </c>
      <c r="BY18" s="448" t="str">
        <f>_xlfn.IFNA(VLOOKUP($BK18,Programma!$F$3:$T$1101,15,0),"")</f>
        <v/>
      </c>
      <c r="BZ18" s="448" t="str">
        <f>_xlfn.IFNA(VLOOKUP($BK18,Programma!$F$3:$U$1101,16,0),"")</f>
        <v/>
      </c>
      <c r="CA18" s="448" t="str">
        <f>_xlfn.IFNA(VLOOKUP($BK18,Programma!$F$3:$V$1101,17,0),"")</f>
        <v/>
      </c>
      <c r="CB18" s="448" t="str">
        <f>_xlfn.IFNA(VLOOKUP($BK18,Programma!$F$3:$W$1101,18,0),"")</f>
        <v/>
      </c>
      <c r="CC18" s="448" t="str">
        <f>_xlfn.IFNA(VLOOKUP($BK18,Programma!$F$3:$X$1101,19,0),"")</f>
        <v/>
      </c>
      <c r="CD18" s="448" t="str">
        <f>_xlfn.IFNA(VLOOKUP($BK18,Programma!$F$3:$Y$1101,20,0),"")</f>
        <v/>
      </c>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c r="DN18" s="327"/>
      <c r="DO18" s="327"/>
      <c r="DP18" s="327"/>
      <c r="DQ18" s="327"/>
      <c r="DR18" s="327"/>
      <c r="DS18" s="327"/>
      <c r="DT18" s="327"/>
      <c r="DU18" s="327"/>
      <c r="DV18" s="327"/>
      <c r="DW18" s="327"/>
      <c r="DX18" s="327"/>
      <c r="DY18" s="327"/>
      <c r="DZ18" s="327"/>
      <c r="EA18" s="327"/>
      <c r="EB18" s="327"/>
      <c r="EC18" s="327"/>
      <c r="ED18" s="327"/>
      <c r="EE18" s="327"/>
      <c r="EF18" s="327"/>
      <c r="EG18" s="327"/>
      <c r="EH18" s="327"/>
      <c r="EI18" s="327"/>
      <c r="EJ18" s="327"/>
      <c r="EK18" s="327"/>
      <c r="EL18" s="327"/>
      <c r="EM18" s="327"/>
      <c r="EN18" s="327"/>
      <c r="EO18" s="327"/>
      <c r="EP18" s="327"/>
      <c r="EQ18" s="327"/>
      <c r="ER18" s="327"/>
      <c r="ES18" s="327"/>
      <c r="ET18" s="327"/>
      <c r="EU18" s="327"/>
      <c r="EV18" s="327"/>
      <c r="EW18" s="327"/>
      <c r="EX18" s="327"/>
      <c r="EY18" s="327"/>
      <c r="EZ18" s="327"/>
      <c r="FA18" s="327"/>
      <c r="FB18" s="327"/>
      <c r="FC18" s="327"/>
      <c r="FD18" s="327"/>
      <c r="FE18" s="327"/>
      <c r="FF18" s="327"/>
      <c r="FG18" s="327"/>
      <c r="FH18" s="327"/>
      <c r="FI18" s="327"/>
      <c r="FJ18" s="327"/>
      <c r="FK18" s="327"/>
      <c r="FL18" s="327"/>
      <c r="FM18" s="327"/>
      <c r="FN18" s="327"/>
      <c r="FO18" s="327"/>
      <c r="FP18" s="327"/>
      <c r="FQ18" s="327"/>
      <c r="FR18" s="327"/>
      <c r="FS18" s="327"/>
      <c r="FT18" s="327"/>
      <c r="FU18" s="327"/>
      <c r="FV18" s="327"/>
      <c r="FW18" s="327"/>
      <c r="FX18" s="327"/>
      <c r="FY18" s="327"/>
      <c r="FZ18" s="327"/>
      <c r="GA18" s="327"/>
      <c r="GB18" s="327"/>
      <c r="GC18" s="327"/>
      <c r="GD18" s="327"/>
      <c r="GE18" s="327"/>
      <c r="GF18" s="327"/>
      <c r="GG18" s="327"/>
      <c r="GH18" s="327"/>
      <c r="GI18" s="327"/>
      <c r="GJ18" s="327"/>
      <c r="GK18" s="327"/>
      <c r="GL18" s="327"/>
      <c r="GM18" s="327"/>
      <c r="GN18" s="327"/>
      <c r="GO18" s="327"/>
      <c r="GP18" s="327"/>
      <c r="GQ18" s="327"/>
      <c r="GR18" s="327"/>
      <c r="GS18" s="327"/>
      <c r="GT18" s="327"/>
      <c r="GU18" s="327"/>
      <c r="GV18" s="327"/>
      <c r="GW18" s="327"/>
      <c r="GX18" s="327"/>
      <c r="GY18" s="327"/>
      <c r="GZ18" s="327"/>
      <c r="HA18" s="327"/>
      <c r="HB18" s="327"/>
      <c r="HC18" s="327"/>
      <c r="HD18" s="327"/>
      <c r="HE18" s="327"/>
      <c r="HF18" s="327"/>
      <c r="HG18" s="327"/>
      <c r="HH18" s="327"/>
      <c r="HI18" s="327"/>
      <c r="HJ18" s="327"/>
      <c r="HK18" s="327"/>
      <c r="HL18" s="327"/>
      <c r="HM18" s="327"/>
      <c r="HN18" s="327"/>
      <c r="HO18" s="327"/>
      <c r="HP18" s="327"/>
      <c r="HQ18" s="327"/>
      <c r="HR18" s="327"/>
      <c r="HS18" s="327"/>
    </row>
    <row r="19" spans="1:227" ht="15" customHeight="1">
      <c r="A19" s="434">
        <v>2</v>
      </c>
      <c r="B19" s="435" t="str">
        <f>VLOOKUP(Ruimtestaat[[#This Row],[Code]],Locaties[[Code]:[Locatie]],2,FALSE)</f>
        <v>IKC  De Watersnip</v>
      </c>
      <c r="C19" s="435" t="str">
        <f>VLOOKUP(Ruimtestaat[[#This Row],[Code]],Locaties[[#All],[Code]:[Adres]],4,FALSE)</f>
        <v>César Franckrode 70-72</v>
      </c>
      <c r="D19" s="435" t="str">
        <f>VLOOKUP(Ruimtestaat[[#This Row],[Code]],Locaties[[#All],[Code]:[Postcode]],5,FALSE)</f>
        <v>2717 BG</v>
      </c>
      <c r="E19" s="435" t="str">
        <f>VLOOKUP(Ruimtestaat[[#This Row],[Code]],Locaties[#All],6,FALSE)</f>
        <v>Zoetermeer</v>
      </c>
      <c r="F19" s="434"/>
      <c r="G19" s="434" t="s">
        <v>1678</v>
      </c>
      <c r="H19" s="436" t="s">
        <v>1670</v>
      </c>
      <c r="I19" s="437" t="s">
        <v>1679</v>
      </c>
      <c r="J19" s="330">
        <v>16</v>
      </c>
      <c r="K19" s="450" t="str">
        <f>VLOOKUP(Ruimtestaat[[#This Row],[Ruimte code]],Ruimtegroepen[[#All],[Code]:[Ruimte omschrijving]],2,FALSE)</f>
        <v>Leslokalen</v>
      </c>
      <c r="L19" s="434" t="s">
        <v>100</v>
      </c>
      <c r="M19" s="437" t="s">
        <v>1759</v>
      </c>
      <c r="N19" s="439">
        <v>55</v>
      </c>
      <c r="O19" s="439"/>
      <c r="P19" s="439"/>
      <c r="Q19" s="439"/>
      <c r="R19" s="440" t="str">
        <f>VLOOKUP(Ruimtestaat[[#This Row],[Ruimte code]],Ruimtegroepen[],4,FALSE)</f>
        <v>Le</v>
      </c>
      <c r="S19" s="434">
        <v>40</v>
      </c>
      <c r="T19" s="434" t="s">
        <v>2</v>
      </c>
      <c r="U19" s="434">
        <f>IF(S19&gt;0,IF(RIGHT(Ruimtestaat[[#This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 s="434">
        <f>IF(U19&gt;0,VLOOKUP($J19,Ruimtegroepen[],3,FALSE)*VLOOKUP($L19,Vloersoorten[],3,FALSE)*VLOOKUP($T19,Frequenties[],3,FALSE)*VLOOKUP($A19,Locaties[],3,FALSE),0)</f>
        <v>0</v>
      </c>
      <c r="W19" s="434">
        <f>Ruimtestaat[[#This Row],[Uitvoeringen werkdagen]]*Ruimtestaat[[#This Row],[Oppervlak (netto)]]</f>
        <v>11000</v>
      </c>
      <c r="X19" s="441">
        <f>IF(V19&gt;0,Ruimtestaat[[#This Row],[Prest. (m2 /jaar) werkdagen]]/Ruimtestaat[[#This Row],[Norm (m2/uur) werkdagen]],0)</f>
        <v>0</v>
      </c>
      <c r="Y19" s="442">
        <f>Ruimtestaat[[#This Row],[Uitvoeringen werkdagen]]*Ruimtestaat[[#This Row],[Gedeeltelijk]]</f>
        <v>0</v>
      </c>
      <c r="Z19" s="443" t="e">
        <f>IF(U19&gt;0,Ruimtestaat[[#This Row],[Prest. (m2 / jaar) werkdagen gedeeld]]/Ruimtestaat[[#This Row],[Norm (m2/uur) werkdagen]],0)</f>
        <v>#DIV/0!</v>
      </c>
      <c r="AA19" s="441" t="e">
        <f>Ruimtestaat[[#This Row],[uren / jaar werkdagen gedeeld]]*Tariefsopbouw!$E$35</f>
        <v>#DIV/0!</v>
      </c>
      <c r="AB19" s="441">
        <f>Ruimtestaat[[#This Row],[Uitvoeringen werkdagen]]*Ruimtestaat[[#This Row],[BSO]]</f>
        <v>0</v>
      </c>
      <c r="AC19" s="443" t="e">
        <f>IF(U19&gt;0,Ruimtestaat[[#This Row],[Prest. (m2 / jaar) werkdagen BSO]]/Ruimtestaat[[#This Row],[Norm (m2/uur) werkdagen]],0)</f>
        <v>#DIV/0!</v>
      </c>
      <c r="AD19" s="443" t="e">
        <f>Ruimtestaat[[#This Row],[uren / jaar werkdagen BSO]]*Tariefsopbouw!$E$35</f>
        <v>#DIV/0!</v>
      </c>
      <c r="AE19" s="444">
        <f>Ruimtestaat[[#This Row],[uren / jaar werkdagen]]*Tariefsopbouw!$E$35</f>
        <v>0</v>
      </c>
      <c r="AF19" s="434"/>
      <c r="AG19" s="434">
        <f>IF(Ruimtestaat[[#This Row],[Frequentie weekend]]&gt;0,VALUE(LEFT(AF19,1))*S19,0)</f>
        <v>0</v>
      </c>
      <c r="AH19" s="445">
        <f>IF($AG19&gt;0,VLOOKUP($J19,Ruimtegroepen[],3,FALSE)*VLOOKUP($L19,Vloersoorten[],3,FALSE)*VLOOKUP($AF19,Frequenties[],3,FALSE)*VLOOKUP(Ruimtestaat[[#This Row],[Code]],Locaties[],3,FALSE),0)</f>
        <v>0</v>
      </c>
      <c r="AI19" s="445">
        <f>Ruimtestaat[[#This Row],[Uitvoeringen weekend]]*Ruimtestaat[[#This Row],[Oppervlak (netto)]]</f>
        <v>0</v>
      </c>
      <c r="AJ19" s="445">
        <f>IF(AH19&gt;0,Ruimtestaat[[#This Row],[Prest. (m2 /jaar) weekend]]/Ruimtestaat[[#This Row],[Norm (m2/uur) weekend]],0)</f>
        <v>0</v>
      </c>
      <c r="AK19" s="444">
        <f>Ruimtestaat[[#This Row],[uren / jaar weekend]]*Tariefsopbouw!$D$40</f>
        <v>0</v>
      </c>
      <c r="AL19" s="441">
        <f>Ruimtestaat[[#This Row],[Prest. (m2 /jaar) weekend]]+Ruimtestaat[[#This Row],[Prest. (m2 /jaar) werkdagen]]</f>
        <v>11000</v>
      </c>
      <c r="AM19" s="441">
        <f>Ruimtestaat[[#This Row],[uren / jaar weekend]]+Ruimtestaat[[#This Row],[uren / jaar werkdagen]]</f>
        <v>0</v>
      </c>
      <c r="AN19" s="446">
        <f>Ruimtestaat[[#This Row],[kosten / jaar weekend]]+Ruimtestaat[[#This Row],[kosten / jaar werkdagen]]</f>
        <v>0</v>
      </c>
      <c r="AO19" s="446"/>
      <c r="AP19" s="447" t="str">
        <f>IF(Ruimtestaat[[#This Row],[Frequentie werkdagen]]="","",_xlfn.CONCAT(Ruimtestaat[[#This Row],[Ruimte code]],"-",Ruimtestaat[[#This Row],[Frequentie werkdagen]]," ",Ruimtestaat[[#This Row],[Vloer code]]))</f>
        <v>16-5w L</v>
      </c>
      <c r="AQ19" s="448" t="str">
        <f>_xlfn.IFNA(VLOOKUP($AP19,Programma!$F$3:$G$1101,2,0),"")</f>
        <v>_</v>
      </c>
      <c r="AR19" s="448" t="str">
        <f>_xlfn.IFNA(VLOOKUP($AP19,Programma!$F$3:$H$1101,3,0),"")</f>
        <v>_</v>
      </c>
      <c r="AS19" s="448" t="str">
        <f>_xlfn.IFNA(VLOOKUP($AP19,Programma!$F$3:$I$1101,4,0),"")</f>
        <v>4w</v>
      </c>
      <c r="AT19" s="448" t="str">
        <f>_xlfn.IFNA(VLOOKUP($AP19,Programma!$F$3:$J$1101,5,0),"")</f>
        <v>1w</v>
      </c>
      <c r="AU19" s="448" t="str">
        <f>_xlfn.IFNA(VLOOKUP($AP19,Programma!$F$3:$K$1101,6,0),"")</f>
        <v>_</v>
      </c>
      <c r="AV19" s="448" t="str">
        <f>_xlfn.IFNA(VLOOKUP($AP19,Programma!$F$3:$L$1101,7,0),"")</f>
        <v>_</v>
      </c>
      <c r="AW19" s="448" t="str">
        <f>_xlfn.IFNA(VLOOKUP($AP19,Programma!$F$3:$M$1101,8,0),"")</f>
        <v>_</v>
      </c>
      <c r="AX19" s="448" t="str">
        <f>_xlfn.IFNA(VLOOKUP($AP19,Programma!$F$3:$N$1101,9,0),"")</f>
        <v>_</v>
      </c>
      <c r="AY19" s="448" t="str">
        <f>_xlfn.IFNA(VLOOKUP($AP19,Programma!$F$3:$O$1101,10,0),"")</f>
        <v>5w</v>
      </c>
      <c r="AZ19" s="448" t="str">
        <f>_xlfn.IFNA(VLOOKUP($AP19,Programma!$F$3:$P$1101,11,0),"")</f>
        <v>5w</v>
      </c>
      <c r="BA19" s="448" t="str">
        <f>_xlfn.IFNA(VLOOKUP($AP19,Programma!$F$3:$Q$1101,12,0),"")</f>
        <v>1w</v>
      </c>
      <c r="BB19" s="448" t="str">
        <f>_xlfn.IFNA(VLOOKUP($AP19,Programma!$F$3:$R$1101,13,0),"")</f>
        <v>1w</v>
      </c>
      <c r="BC19" s="448" t="str">
        <f>_xlfn.IFNA(VLOOKUP($AP19,Programma!$F$3:$S$1101,14,0),"")</f>
        <v>1m</v>
      </c>
      <c r="BD19" s="448" t="str">
        <f>_xlfn.IFNA(VLOOKUP($AP19,Programma!$F$3:$T$1101,15,0),"")</f>
        <v>2j</v>
      </c>
      <c r="BE19" s="448" t="str">
        <f>_xlfn.IFNA(VLOOKUP($AP19,Programma!$F$3:$U$1101,16,0),"")</f>
        <v>1j</v>
      </c>
      <c r="BF19" s="448" t="str">
        <f>_xlfn.IFNA(VLOOKUP($AP19,Programma!$F$3:$V$1101,17,0),"")</f>
        <v>_</v>
      </c>
      <c r="BG19" s="448" t="str">
        <f>_xlfn.IFNA(VLOOKUP($AP19,Programma!$F$3:$W$1101,18,0),"")</f>
        <v>_</v>
      </c>
      <c r="BH19" s="448" t="str">
        <f>_xlfn.IFNA(VLOOKUP($AP19,Programma!$F$3:$X$1101,19,0),"")</f>
        <v>_</v>
      </c>
      <c r="BI19" s="448" t="str">
        <f>_xlfn.IFNA(VLOOKUP($AP19,Programma!$F$3:$Y$1101,20,0),"")</f>
        <v>_</v>
      </c>
      <c r="BJ19" s="449"/>
      <c r="BK19" s="447" t="str">
        <f>IF(Ruimtestaat[[#This Row],[Frequentie weekend]]="","",_xlfn.CONCAT(Ruimtestaat[[#This Row],[Ruimte code]],"-",Ruimtestaat[[#This Row],[Frequentie weekend]]," ",Ruimtestaat[[#This Row],[Vloer code]]))</f>
        <v/>
      </c>
      <c r="BL19" s="448" t="str">
        <f>_xlfn.IFNA(VLOOKUP($BK19,Programma!$F$3:$G$1101,2,0),"")</f>
        <v/>
      </c>
      <c r="BM19" s="448" t="str">
        <f>_xlfn.IFNA(VLOOKUP($BK19,Programma!$F$3:$H$1101,3,0),"")</f>
        <v/>
      </c>
      <c r="BN19" s="448" t="str">
        <f>_xlfn.IFNA(VLOOKUP($BK19,Programma!$F$3:$I$1101,4,0),"")</f>
        <v/>
      </c>
      <c r="BO19" s="448" t="str">
        <f>_xlfn.IFNA(VLOOKUP($BK19,Programma!$F$3:$J$1101,5,0),"")</f>
        <v/>
      </c>
      <c r="BP19" s="448" t="str">
        <f>_xlfn.IFNA(VLOOKUP($BK19,Programma!$F$3:$K$1101,6,0),"")</f>
        <v/>
      </c>
      <c r="BQ19" s="448" t="str">
        <f>_xlfn.IFNA(VLOOKUP($BK19,Programma!$F$3:$L$1101,7,0),"")</f>
        <v/>
      </c>
      <c r="BR19" s="448" t="str">
        <f>_xlfn.IFNA(VLOOKUP($BK19,Programma!$F$3:$M$1101,8,0),"")</f>
        <v/>
      </c>
      <c r="BS19" s="448" t="str">
        <f>_xlfn.IFNA(VLOOKUP($BK19,Programma!$F$3:$N$1101,9,0),"")</f>
        <v/>
      </c>
      <c r="BT19" s="448" t="str">
        <f>_xlfn.IFNA(VLOOKUP($BK19,Programma!$F$3:$O$1101,10,0),"")</f>
        <v/>
      </c>
      <c r="BU19" s="448" t="str">
        <f>_xlfn.IFNA(VLOOKUP($BK19,Programma!$F$3:$P$1101,11,0),"")</f>
        <v/>
      </c>
      <c r="BV19" s="448" t="str">
        <f>_xlfn.IFNA(VLOOKUP($BK19,Programma!$F$3:$Q$1101,12,0),"")</f>
        <v/>
      </c>
      <c r="BW19" s="448" t="str">
        <f>_xlfn.IFNA(VLOOKUP($BK19,Programma!$F$3:$R$1101,13,0),"")</f>
        <v/>
      </c>
      <c r="BX19" s="448" t="str">
        <f>_xlfn.IFNA(VLOOKUP($BK19,Programma!$F$3:$S$1101,14,0),"")</f>
        <v/>
      </c>
      <c r="BY19" s="448" t="str">
        <f>_xlfn.IFNA(VLOOKUP($BK19,Programma!$F$3:$T$1101,15,0),"")</f>
        <v/>
      </c>
      <c r="BZ19" s="448" t="str">
        <f>_xlfn.IFNA(VLOOKUP($BK19,Programma!$F$3:$U$1101,16,0),"")</f>
        <v/>
      </c>
      <c r="CA19" s="448" t="str">
        <f>_xlfn.IFNA(VLOOKUP($BK19,Programma!$F$3:$V$1101,17,0),"")</f>
        <v/>
      </c>
      <c r="CB19" s="448" t="str">
        <f>_xlfn.IFNA(VLOOKUP($BK19,Programma!$F$3:$W$1101,18,0),"")</f>
        <v/>
      </c>
      <c r="CC19" s="448" t="str">
        <f>_xlfn.IFNA(VLOOKUP($BK19,Programma!$F$3:$X$1101,19,0),"")</f>
        <v/>
      </c>
      <c r="CD19" s="448" t="str">
        <f>_xlfn.IFNA(VLOOKUP($BK19,Programma!$F$3:$Y$1101,20,0),"")</f>
        <v/>
      </c>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c r="DN19" s="327"/>
      <c r="DO19" s="327"/>
      <c r="DP19" s="327"/>
      <c r="DQ19" s="327"/>
      <c r="DR19" s="327"/>
      <c r="DS19" s="327"/>
      <c r="DT19" s="327"/>
      <c r="DU19" s="327"/>
      <c r="DV19" s="327"/>
      <c r="DW19" s="327"/>
      <c r="DX19" s="327"/>
      <c r="DY19" s="327"/>
      <c r="DZ19" s="327"/>
      <c r="EA19" s="327"/>
      <c r="EB19" s="327"/>
      <c r="EC19" s="327"/>
      <c r="ED19" s="327"/>
      <c r="EE19" s="327"/>
      <c r="EF19" s="327"/>
      <c r="EG19" s="327"/>
      <c r="EH19" s="327"/>
      <c r="EI19" s="327"/>
      <c r="EJ19" s="327"/>
      <c r="EK19" s="327"/>
      <c r="EL19" s="327"/>
      <c r="EM19" s="327"/>
      <c r="EN19" s="327"/>
      <c r="EO19" s="327"/>
      <c r="EP19" s="327"/>
      <c r="EQ19" s="327"/>
      <c r="ER19" s="327"/>
      <c r="ES19" s="327"/>
      <c r="ET19" s="327"/>
      <c r="EU19" s="327"/>
      <c r="EV19" s="327"/>
      <c r="EW19" s="327"/>
      <c r="EX19" s="327"/>
      <c r="EY19" s="327"/>
      <c r="EZ19" s="327"/>
      <c r="FA19" s="327"/>
      <c r="FB19" s="327"/>
      <c r="FC19" s="327"/>
      <c r="FD19" s="327"/>
      <c r="FE19" s="327"/>
      <c r="FF19" s="327"/>
      <c r="FG19" s="327"/>
      <c r="FH19" s="327"/>
      <c r="FI19" s="327"/>
      <c r="FJ19" s="327"/>
      <c r="FK19" s="327"/>
      <c r="FL19" s="327"/>
      <c r="FM19" s="327"/>
      <c r="FN19" s="327"/>
      <c r="FO19" s="327"/>
      <c r="FP19" s="327"/>
      <c r="FQ19" s="327"/>
      <c r="FR19" s="327"/>
      <c r="FS19" s="327"/>
      <c r="FT19" s="327"/>
      <c r="FU19" s="327"/>
      <c r="FV19" s="327"/>
      <c r="FW19" s="327"/>
      <c r="FX19" s="327"/>
      <c r="FY19" s="327"/>
      <c r="FZ19" s="327"/>
      <c r="GA19" s="327"/>
      <c r="GB19" s="327"/>
      <c r="GC19" s="327"/>
      <c r="GD19" s="327"/>
      <c r="GE19" s="327"/>
      <c r="GF19" s="327"/>
      <c r="GG19" s="327"/>
      <c r="GH19" s="327"/>
      <c r="GI19" s="327"/>
      <c r="GJ19" s="327"/>
      <c r="GK19" s="327"/>
      <c r="GL19" s="327"/>
      <c r="GM19" s="327"/>
      <c r="GN19" s="327"/>
      <c r="GO19" s="327"/>
      <c r="GP19" s="327"/>
      <c r="GQ19" s="327"/>
      <c r="GR19" s="327"/>
      <c r="GS19" s="327"/>
      <c r="GT19" s="327"/>
      <c r="GU19" s="327"/>
      <c r="GV19" s="327"/>
      <c r="GW19" s="327"/>
      <c r="GX19" s="327"/>
      <c r="GY19" s="327"/>
      <c r="GZ19" s="327"/>
      <c r="HA19" s="327"/>
      <c r="HB19" s="327"/>
      <c r="HC19" s="327"/>
      <c r="HD19" s="327"/>
      <c r="HE19" s="327"/>
      <c r="HF19" s="327"/>
      <c r="HG19" s="327"/>
      <c r="HH19" s="327"/>
      <c r="HI19" s="327"/>
      <c r="HJ19" s="327"/>
      <c r="HK19" s="327"/>
      <c r="HL19" s="327"/>
      <c r="HM19" s="327"/>
      <c r="HN19" s="327"/>
      <c r="HO19" s="327"/>
      <c r="HP19" s="327"/>
      <c r="HQ19" s="327"/>
      <c r="HR19" s="327"/>
      <c r="HS19" s="327"/>
    </row>
    <row r="20" spans="1:227" ht="15" customHeight="1">
      <c r="A20" s="434">
        <v>2</v>
      </c>
      <c r="B20" s="435" t="str">
        <f>VLOOKUP(Ruimtestaat[[#This Row],[Code]],Locaties[[Code]:[Locatie]],2,FALSE)</f>
        <v>IKC  De Watersnip</v>
      </c>
      <c r="C20" s="435" t="str">
        <f>VLOOKUP(Ruimtestaat[[#This Row],[Code]],Locaties[[#All],[Code]:[Adres]],4,FALSE)</f>
        <v>César Franckrode 70-72</v>
      </c>
      <c r="D20" s="435" t="str">
        <f>VLOOKUP(Ruimtestaat[[#This Row],[Code]],Locaties[[#All],[Code]:[Postcode]],5,FALSE)</f>
        <v>2717 BG</v>
      </c>
      <c r="E20" s="435" t="str">
        <f>VLOOKUP(Ruimtestaat[[#This Row],[Code]],Locaties[#All],6,FALSE)</f>
        <v>Zoetermeer</v>
      </c>
      <c r="F20" s="450" t="s">
        <v>1705</v>
      </c>
      <c r="G20" s="434" t="s">
        <v>1678</v>
      </c>
      <c r="H20" s="436" t="s">
        <v>1672</v>
      </c>
      <c r="I20" s="437" t="s">
        <v>22</v>
      </c>
      <c r="J20" s="330">
        <v>5</v>
      </c>
      <c r="K20" s="450" t="str">
        <f>VLOOKUP(Ruimtestaat[[#This Row],[Ruimte code]],Ruimtegroepen[[#All],[Code]:[Ruimte omschrijving]],2,FALSE)</f>
        <v>Sanitair</v>
      </c>
      <c r="L20" s="434" t="s">
        <v>101</v>
      </c>
      <c r="M20" s="437" t="s">
        <v>1947</v>
      </c>
      <c r="N20" s="439"/>
      <c r="O20" s="439"/>
      <c r="P20" s="439"/>
      <c r="Q20" s="439">
        <v>8</v>
      </c>
      <c r="R20" s="440" t="str">
        <f>VLOOKUP(Ruimtestaat[[#This Row],[Ruimte code]],Ruimtegroepen[],4,FALSE)</f>
        <v>Sa</v>
      </c>
      <c r="S20" s="434">
        <v>51</v>
      </c>
      <c r="T20" s="434" t="s">
        <v>20</v>
      </c>
      <c r="U20" s="434">
        <f>IF(S20&gt;0,IF(RIGHT(Ruimtestaat[[#This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20" s="434">
        <f>IF(U20&gt;0,VLOOKUP($J20,Ruimtegroepen[],3,FALSE)*VLOOKUP($L20,Vloersoorten[],3,FALSE)*VLOOKUP($T20,Frequenties[],3,FALSE)*VLOOKUP($A20,Locaties[],3,FALSE),0)</f>
        <v>0</v>
      </c>
      <c r="W20" s="434">
        <f>Ruimtestaat[[#This Row],[Uitvoeringen werkdagen]]*Ruimtestaat[[#This Row],[Oppervlak (netto)]]</f>
        <v>0</v>
      </c>
      <c r="X20" s="441">
        <f>IF(V20&gt;0,Ruimtestaat[[#This Row],[Prest. (m2 /jaar) werkdagen]]/Ruimtestaat[[#This Row],[Norm (m2/uur) werkdagen]],0)</f>
        <v>0</v>
      </c>
      <c r="Y20" s="442">
        <f>Ruimtestaat[[#This Row],[Uitvoeringen werkdagen]]*Ruimtestaat[[#This Row],[Gedeeltelijk]]</f>
        <v>0</v>
      </c>
      <c r="Z20" s="443" t="e">
        <f>IF(U20&gt;0,Ruimtestaat[[#This Row],[Prest. (m2 / jaar) werkdagen gedeeld]]/Ruimtestaat[[#This Row],[Norm (m2/uur) werkdagen]],0)</f>
        <v>#DIV/0!</v>
      </c>
      <c r="AA20" s="441" t="e">
        <f>Ruimtestaat[[#This Row],[uren / jaar werkdagen gedeeld]]*Tariefsopbouw!$E$35</f>
        <v>#DIV/0!</v>
      </c>
      <c r="AB20" s="441">
        <f>Ruimtestaat[[#This Row],[Uitvoeringen werkdagen]]*Ruimtestaat[[#This Row],[BSO]]</f>
        <v>1632</v>
      </c>
      <c r="AC20" s="443" t="e">
        <f>IF(U20&gt;0,Ruimtestaat[[#This Row],[Prest. (m2 / jaar) werkdagen BSO]]/Ruimtestaat[[#This Row],[Norm (m2/uur) werkdagen]],0)</f>
        <v>#DIV/0!</v>
      </c>
      <c r="AD20" s="443" t="e">
        <f>Ruimtestaat[[#This Row],[uren / jaar werkdagen BSO]]*Tariefsopbouw!$E$35</f>
        <v>#DIV/0!</v>
      </c>
      <c r="AE20" s="444">
        <f>Ruimtestaat[[#This Row],[uren / jaar werkdagen]]*Tariefsopbouw!$E$35</f>
        <v>0</v>
      </c>
      <c r="AF20" s="434"/>
      <c r="AG20" s="434">
        <f>IF(Ruimtestaat[[#This Row],[Frequentie weekend]]&gt;0,VALUE(LEFT(AF20,1))*S20,0)</f>
        <v>0</v>
      </c>
      <c r="AH20" s="445">
        <f>IF($AG20&gt;0,VLOOKUP($J20,Ruimtegroepen[],3,FALSE)*VLOOKUP($L20,Vloersoorten[],3,FALSE)*VLOOKUP($AF20,Frequenties[],3,FALSE)*VLOOKUP(Ruimtestaat[[#This Row],[Code]],Locaties[],3,FALSE),0)</f>
        <v>0</v>
      </c>
      <c r="AI20" s="445">
        <f>Ruimtestaat[[#This Row],[Uitvoeringen weekend]]*Ruimtestaat[[#This Row],[Oppervlak (netto)]]</f>
        <v>0</v>
      </c>
      <c r="AJ20" s="445">
        <f>IF(AH20&gt;0,Ruimtestaat[[#This Row],[Prest. (m2 /jaar) weekend]]/Ruimtestaat[[#This Row],[Norm (m2/uur) weekend]],0)</f>
        <v>0</v>
      </c>
      <c r="AK20" s="444">
        <f>Ruimtestaat[[#This Row],[uren / jaar weekend]]*Tariefsopbouw!$D$40</f>
        <v>0</v>
      </c>
      <c r="AL20" s="441">
        <f>Ruimtestaat[[#This Row],[Prest. (m2 /jaar) weekend]]+Ruimtestaat[[#This Row],[Prest. (m2 /jaar) werkdagen]]</f>
        <v>0</v>
      </c>
      <c r="AM20" s="441">
        <f>Ruimtestaat[[#This Row],[uren / jaar weekend]]+Ruimtestaat[[#This Row],[uren / jaar werkdagen]]</f>
        <v>0</v>
      </c>
      <c r="AN20" s="446">
        <f>Ruimtestaat[[#This Row],[kosten / jaar weekend]]+Ruimtestaat[[#This Row],[kosten / jaar werkdagen]]</f>
        <v>0</v>
      </c>
      <c r="AO20" s="446"/>
      <c r="AP20" s="447" t="str">
        <f>IF(Ruimtestaat[[#This Row],[Frequentie werkdagen]]="","",_xlfn.CONCAT(Ruimtestaat[[#This Row],[Ruimte code]],"-",Ruimtestaat[[#This Row],[Frequentie werkdagen]]," ",Ruimtestaat[[#This Row],[Vloer code]]))</f>
        <v>5-4w S</v>
      </c>
      <c r="AQ20" s="448" t="str">
        <f>_xlfn.IFNA(VLOOKUP($AP20,Programma!$F$3:$G$1101,2,0),"")</f>
        <v>_</v>
      </c>
      <c r="AR20" s="448" t="str">
        <f>_xlfn.IFNA(VLOOKUP($AP20,Programma!$F$3:$H$1101,3,0),"")</f>
        <v>_</v>
      </c>
      <c r="AS20" s="448" t="str">
        <f>_xlfn.IFNA(VLOOKUP($AP20,Programma!$F$3:$I$1101,4,0),"")</f>
        <v>_</v>
      </c>
      <c r="AT20" s="448" t="str">
        <f>_xlfn.IFNA(VLOOKUP($AP20,Programma!$F$3:$J$1101,5,0),"")</f>
        <v>3w</v>
      </c>
      <c r="AU20" s="448" t="str">
        <f>_xlfn.IFNA(VLOOKUP($AP20,Programma!$F$3:$K$1101,6,0),"")</f>
        <v>1w</v>
      </c>
      <c r="AV20" s="448" t="str">
        <f>_xlfn.IFNA(VLOOKUP($AP20,Programma!$F$3:$L$1101,7,0),"")</f>
        <v>_</v>
      </c>
      <c r="AW20" s="448" t="str">
        <f>_xlfn.IFNA(VLOOKUP($AP20,Programma!$F$3:$M$1101,8,0),"")</f>
        <v>_</v>
      </c>
      <c r="AX20" s="448" t="str">
        <f>_xlfn.IFNA(VLOOKUP($AP20,Programma!$F$3:$N$1101,9,0),"")</f>
        <v>_</v>
      </c>
      <c r="AY20" s="448" t="str">
        <f>_xlfn.IFNA(VLOOKUP($AP20,Programma!$F$3:$O$1101,10,0),"")</f>
        <v>_</v>
      </c>
      <c r="AZ20" s="448" t="str">
        <f>_xlfn.IFNA(VLOOKUP($AP20,Programma!$F$3:$P$1101,11,0),"")</f>
        <v>_</v>
      </c>
      <c r="BA20" s="448" t="str">
        <f>_xlfn.IFNA(VLOOKUP($AP20,Programma!$F$3:$Q$1101,12,0),"")</f>
        <v>_</v>
      </c>
      <c r="BB20" s="448" t="str">
        <f>_xlfn.IFNA(VLOOKUP($AP20,Programma!$F$3:$R$1101,13,0),"")</f>
        <v>_</v>
      </c>
      <c r="BC20" s="448" t="str">
        <f>_xlfn.IFNA(VLOOKUP($AP20,Programma!$F$3:$S$1101,14,0),"")</f>
        <v>_</v>
      </c>
      <c r="BD20" s="448" t="str">
        <f>_xlfn.IFNA(VLOOKUP($AP20,Programma!$F$3:$T$1101,15,0),"")</f>
        <v>_</v>
      </c>
      <c r="BE20" s="448" t="str">
        <f>_xlfn.IFNA(VLOOKUP($AP20,Programma!$F$3:$U$1101,16,0),"")</f>
        <v>_</v>
      </c>
      <c r="BF20" s="448" t="str">
        <f>_xlfn.IFNA(VLOOKUP($AP20,Programma!$F$3:$V$1101,17,0),"")</f>
        <v>_</v>
      </c>
      <c r="BG20" s="448" t="str">
        <f>_xlfn.IFNA(VLOOKUP($AP20,Programma!$F$3:$W$1101,18,0),"")</f>
        <v>3w</v>
      </c>
      <c r="BH20" s="448" t="str">
        <f>_xlfn.IFNA(VLOOKUP($AP20,Programma!$F$3:$X$1101,19,0),"")</f>
        <v>1w</v>
      </c>
      <c r="BI20" s="448" t="str">
        <f>_xlfn.IFNA(VLOOKUP($AP20,Programma!$F$3:$Y$1101,20,0),"")</f>
        <v>_</v>
      </c>
      <c r="BJ20" s="449"/>
      <c r="BK20" s="447" t="str">
        <f>IF(Ruimtestaat[[#This Row],[Frequentie weekend]]="","",_xlfn.CONCAT(Ruimtestaat[[#This Row],[Ruimte code]],"-",Ruimtestaat[[#This Row],[Frequentie weekend]]," ",Ruimtestaat[[#This Row],[Vloer code]]))</f>
        <v/>
      </c>
      <c r="BL20" s="448" t="str">
        <f>_xlfn.IFNA(VLOOKUP($BK20,Programma!$F$3:$G$1101,2,0),"")</f>
        <v/>
      </c>
      <c r="BM20" s="448" t="str">
        <f>_xlfn.IFNA(VLOOKUP($BK20,Programma!$F$3:$H$1101,3,0),"")</f>
        <v/>
      </c>
      <c r="BN20" s="448" t="str">
        <f>_xlfn.IFNA(VLOOKUP($BK20,Programma!$F$3:$I$1101,4,0),"")</f>
        <v/>
      </c>
      <c r="BO20" s="448" t="str">
        <f>_xlfn.IFNA(VLOOKUP($BK20,Programma!$F$3:$J$1101,5,0),"")</f>
        <v/>
      </c>
      <c r="BP20" s="448" t="str">
        <f>_xlfn.IFNA(VLOOKUP($BK20,Programma!$F$3:$K$1101,6,0),"")</f>
        <v/>
      </c>
      <c r="BQ20" s="448" t="str">
        <f>_xlfn.IFNA(VLOOKUP($BK20,Programma!$F$3:$L$1101,7,0),"")</f>
        <v/>
      </c>
      <c r="BR20" s="448" t="str">
        <f>_xlfn.IFNA(VLOOKUP($BK20,Programma!$F$3:$M$1101,8,0),"")</f>
        <v/>
      </c>
      <c r="BS20" s="448" t="str">
        <f>_xlfn.IFNA(VLOOKUP($BK20,Programma!$F$3:$N$1101,9,0),"")</f>
        <v/>
      </c>
      <c r="BT20" s="448" t="str">
        <f>_xlfn.IFNA(VLOOKUP($BK20,Programma!$F$3:$O$1101,10,0),"")</f>
        <v/>
      </c>
      <c r="BU20" s="448" t="str">
        <f>_xlfn.IFNA(VLOOKUP($BK20,Programma!$F$3:$P$1101,11,0),"")</f>
        <v/>
      </c>
      <c r="BV20" s="448" t="str">
        <f>_xlfn.IFNA(VLOOKUP($BK20,Programma!$F$3:$Q$1101,12,0),"")</f>
        <v/>
      </c>
      <c r="BW20" s="448" t="str">
        <f>_xlfn.IFNA(VLOOKUP($BK20,Programma!$F$3:$R$1101,13,0),"")</f>
        <v/>
      </c>
      <c r="BX20" s="448" t="str">
        <f>_xlfn.IFNA(VLOOKUP($BK20,Programma!$F$3:$S$1101,14,0),"")</f>
        <v/>
      </c>
      <c r="BY20" s="448" t="str">
        <f>_xlfn.IFNA(VLOOKUP($BK20,Programma!$F$3:$T$1101,15,0),"")</f>
        <v/>
      </c>
      <c r="BZ20" s="448" t="str">
        <f>_xlfn.IFNA(VLOOKUP($BK20,Programma!$F$3:$U$1101,16,0),"")</f>
        <v/>
      </c>
      <c r="CA20" s="448" t="str">
        <f>_xlfn.IFNA(VLOOKUP($BK20,Programma!$F$3:$V$1101,17,0),"")</f>
        <v/>
      </c>
      <c r="CB20" s="448" t="str">
        <f>_xlfn.IFNA(VLOOKUP($BK20,Programma!$F$3:$W$1101,18,0),"")</f>
        <v/>
      </c>
      <c r="CC20" s="448" t="str">
        <f>_xlfn.IFNA(VLOOKUP($BK20,Programma!$F$3:$X$1101,19,0),"")</f>
        <v/>
      </c>
      <c r="CD20" s="448" t="str">
        <f>_xlfn.IFNA(VLOOKUP($BK20,Programma!$F$3:$Y$1101,20,0),"")</f>
        <v/>
      </c>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c r="DN20" s="327"/>
      <c r="DO20" s="327"/>
      <c r="DP20" s="327"/>
      <c r="DQ20" s="327"/>
      <c r="DR20" s="327"/>
      <c r="DS20" s="327"/>
      <c r="DT20" s="327"/>
      <c r="DU20" s="327"/>
      <c r="DV20" s="327"/>
      <c r="DW20" s="327"/>
      <c r="DX20" s="327"/>
      <c r="DY20" s="327"/>
      <c r="DZ20" s="327"/>
      <c r="EA20" s="327"/>
      <c r="EB20" s="327"/>
      <c r="EC20" s="327"/>
      <c r="ED20" s="327"/>
      <c r="EE20" s="327"/>
      <c r="EF20" s="327"/>
      <c r="EG20" s="327"/>
      <c r="EH20" s="327"/>
      <c r="EI20" s="327"/>
      <c r="EJ20" s="327"/>
      <c r="EK20" s="327"/>
      <c r="EL20" s="327"/>
      <c r="EM20" s="327"/>
      <c r="EN20" s="327"/>
      <c r="EO20" s="327"/>
      <c r="EP20" s="327"/>
      <c r="EQ20" s="327"/>
      <c r="ER20" s="327"/>
      <c r="ES20" s="327"/>
      <c r="ET20" s="327"/>
      <c r="EU20" s="327"/>
      <c r="EV20" s="327"/>
      <c r="EW20" s="327"/>
      <c r="EX20" s="327"/>
      <c r="EY20" s="327"/>
      <c r="EZ20" s="327"/>
      <c r="FA20" s="327"/>
      <c r="FB20" s="327"/>
      <c r="FC20" s="327"/>
      <c r="FD20" s="327"/>
      <c r="FE20" s="327"/>
      <c r="FF20" s="327"/>
      <c r="FG20" s="327"/>
      <c r="FH20" s="327"/>
      <c r="FI20" s="327"/>
      <c r="FJ20" s="327"/>
      <c r="FK20" s="327"/>
      <c r="FL20" s="327"/>
      <c r="FM20" s="327"/>
      <c r="FN20" s="327"/>
      <c r="FO20" s="327"/>
      <c r="FP20" s="327"/>
      <c r="FQ20" s="327"/>
      <c r="FR20" s="327"/>
      <c r="FS20" s="327"/>
      <c r="FT20" s="327"/>
      <c r="FU20" s="327"/>
      <c r="FV20" s="327"/>
      <c r="FW20" s="327"/>
      <c r="FX20" s="327"/>
      <c r="FY20" s="327"/>
      <c r="FZ20" s="327"/>
      <c r="GA20" s="327"/>
      <c r="GB20" s="327"/>
      <c r="GC20" s="327"/>
      <c r="GD20" s="327"/>
      <c r="GE20" s="327"/>
      <c r="GF20" s="327"/>
      <c r="GG20" s="327"/>
      <c r="GH20" s="327"/>
      <c r="GI20" s="327"/>
      <c r="GJ20" s="327"/>
      <c r="GK20" s="327"/>
      <c r="GL20" s="327"/>
      <c r="GM20" s="327"/>
      <c r="GN20" s="327"/>
      <c r="GO20" s="327"/>
      <c r="GP20" s="327"/>
      <c r="GQ20" s="327"/>
      <c r="GR20" s="327"/>
      <c r="GS20" s="327"/>
      <c r="GT20" s="327"/>
      <c r="GU20" s="327"/>
      <c r="GV20" s="327"/>
      <c r="GW20" s="327"/>
      <c r="GX20" s="327"/>
      <c r="GY20" s="327"/>
      <c r="GZ20" s="327"/>
      <c r="HA20" s="327"/>
      <c r="HB20" s="327"/>
      <c r="HC20" s="327"/>
      <c r="HD20" s="327"/>
      <c r="HE20" s="327"/>
      <c r="HF20" s="327"/>
      <c r="HG20" s="327"/>
      <c r="HH20" s="327"/>
      <c r="HI20" s="327"/>
      <c r="HJ20" s="327"/>
      <c r="HK20" s="327"/>
      <c r="HL20" s="327"/>
      <c r="HM20" s="327"/>
      <c r="HN20" s="327"/>
      <c r="HO20" s="327"/>
      <c r="HP20" s="327"/>
      <c r="HQ20" s="327"/>
      <c r="HR20" s="327"/>
      <c r="HS20" s="327"/>
    </row>
    <row r="21" spans="1:227" ht="15" customHeight="1">
      <c r="A21" s="434">
        <v>2</v>
      </c>
      <c r="B21" s="435" t="str">
        <f>VLOOKUP(Ruimtestaat[[#This Row],[Code]],Locaties[[Code]:[Locatie]],2,FALSE)</f>
        <v>IKC  De Watersnip</v>
      </c>
      <c r="C21" s="435" t="str">
        <f>VLOOKUP(Ruimtestaat[[#This Row],[Code]],Locaties[[#All],[Code]:[Adres]],4,FALSE)</f>
        <v>César Franckrode 70-72</v>
      </c>
      <c r="D21" s="435" t="str">
        <f>VLOOKUP(Ruimtestaat[[#This Row],[Code]],Locaties[[#All],[Code]:[Postcode]],5,FALSE)</f>
        <v>2717 BG</v>
      </c>
      <c r="E21" s="435" t="str">
        <f>VLOOKUP(Ruimtestaat[[#This Row],[Code]],Locaties[#All],6,FALSE)</f>
        <v>Zoetermeer</v>
      </c>
      <c r="F21" s="450" t="s">
        <v>1705</v>
      </c>
      <c r="G21" s="434" t="s">
        <v>1678</v>
      </c>
      <c r="H21" s="436" t="s">
        <v>1674</v>
      </c>
      <c r="I21" s="437" t="s">
        <v>1679</v>
      </c>
      <c r="J21" s="330">
        <v>8</v>
      </c>
      <c r="K21" s="450" t="str">
        <f>VLOOKUP(Ruimtestaat[[#This Row],[Ruimte code]],Ruimtegroepen[[#All],[Code]:[Ruimte omschrijving]],2,FALSE)</f>
        <v>Kinderopvang</v>
      </c>
      <c r="L21" s="434" t="s">
        <v>100</v>
      </c>
      <c r="M21" s="437" t="s">
        <v>1759</v>
      </c>
      <c r="N21" s="439"/>
      <c r="O21" s="439"/>
      <c r="P21" s="439"/>
      <c r="Q21" s="439">
        <v>55</v>
      </c>
      <c r="R21" s="440" t="str">
        <f>VLOOKUP(Ruimtestaat[[#This Row],[Ruimte code]],Ruimtegroepen[],4,FALSE)</f>
        <v>Le</v>
      </c>
      <c r="S21" s="434">
        <v>51</v>
      </c>
      <c r="T21" s="434" t="s">
        <v>20</v>
      </c>
      <c r="U21" s="434">
        <f>IF(S21&gt;0,IF(RIGHT(Ruimtestaat[[#This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21" s="434">
        <f>IF(U21&gt;0,VLOOKUP($J21,Ruimtegroepen[],3,FALSE)*VLOOKUP($L21,Vloersoorten[],3,FALSE)*VLOOKUP($T21,Frequenties[],3,FALSE)*VLOOKUP($A21,Locaties[],3,FALSE),0)</f>
        <v>0</v>
      </c>
      <c r="W21" s="434">
        <f>Ruimtestaat[[#This Row],[Uitvoeringen werkdagen]]*Ruimtestaat[[#This Row],[Oppervlak (netto)]]</f>
        <v>0</v>
      </c>
      <c r="X21" s="441">
        <f>IF(V21&gt;0,Ruimtestaat[[#This Row],[Prest. (m2 /jaar) werkdagen]]/Ruimtestaat[[#This Row],[Norm (m2/uur) werkdagen]],0)</f>
        <v>0</v>
      </c>
      <c r="Y21" s="442">
        <f>Ruimtestaat[[#This Row],[Uitvoeringen werkdagen]]*Ruimtestaat[[#This Row],[Gedeeltelijk]]</f>
        <v>0</v>
      </c>
      <c r="Z21" s="443" t="e">
        <f>IF(U21&gt;0,Ruimtestaat[[#This Row],[Prest. (m2 / jaar) werkdagen gedeeld]]/Ruimtestaat[[#This Row],[Norm (m2/uur) werkdagen]],0)</f>
        <v>#DIV/0!</v>
      </c>
      <c r="AA21" s="441" t="e">
        <f>Ruimtestaat[[#This Row],[uren / jaar werkdagen gedeeld]]*Tariefsopbouw!$E$35</f>
        <v>#DIV/0!</v>
      </c>
      <c r="AB21" s="441">
        <f>Ruimtestaat[[#This Row],[Uitvoeringen werkdagen]]*Ruimtestaat[[#This Row],[BSO]]</f>
        <v>11220</v>
      </c>
      <c r="AC21" s="443" t="e">
        <f>IF(U21&gt;0,Ruimtestaat[[#This Row],[Prest. (m2 / jaar) werkdagen BSO]]/Ruimtestaat[[#This Row],[Norm (m2/uur) werkdagen]],0)</f>
        <v>#DIV/0!</v>
      </c>
      <c r="AD21" s="443" t="e">
        <f>Ruimtestaat[[#This Row],[uren / jaar werkdagen BSO]]*Tariefsopbouw!$E$35</f>
        <v>#DIV/0!</v>
      </c>
      <c r="AE21" s="444">
        <f>Ruimtestaat[[#This Row],[uren / jaar werkdagen]]*Tariefsopbouw!$E$35</f>
        <v>0</v>
      </c>
      <c r="AF21" s="434"/>
      <c r="AG21" s="434">
        <f>IF(Ruimtestaat[[#This Row],[Frequentie weekend]]&gt;0,VALUE(LEFT(AF21,1))*S21,0)</f>
        <v>0</v>
      </c>
      <c r="AH21" s="445">
        <f>IF($AG21&gt;0,VLOOKUP($J21,Ruimtegroepen[],3,FALSE)*VLOOKUP($L21,Vloersoorten[],3,FALSE)*VLOOKUP($AF21,Frequenties[],3,FALSE)*VLOOKUP(Ruimtestaat[[#This Row],[Code]],Locaties[],3,FALSE),0)</f>
        <v>0</v>
      </c>
      <c r="AI21" s="445">
        <f>Ruimtestaat[[#This Row],[Uitvoeringen weekend]]*Ruimtestaat[[#This Row],[Oppervlak (netto)]]</f>
        <v>0</v>
      </c>
      <c r="AJ21" s="445">
        <f>IF(AH21&gt;0,Ruimtestaat[[#This Row],[Prest. (m2 /jaar) weekend]]/Ruimtestaat[[#This Row],[Norm (m2/uur) weekend]],0)</f>
        <v>0</v>
      </c>
      <c r="AK21" s="444">
        <f>Ruimtestaat[[#This Row],[uren / jaar weekend]]*Tariefsopbouw!$D$40</f>
        <v>0</v>
      </c>
      <c r="AL21" s="441">
        <f>Ruimtestaat[[#This Row],[Prest. (m2 /jaar) weekend]]+Ruimtestaat[[#This Row],[Prest. (m2 /jaar) werkdagen]]</f>
        <v>0</v>
      </c>
      <c r="AM21" s="441">
        <f>Ruimtestaat[[#This Row],[uren / jaar weekend]]+Ruimtestaat[[#This Row],[uren / jaar werkdagen]]</f>
        <v>0</v>
      </c>
      <c r="AN21" s="446">
        <f>Ruimtestaat[[#This Row],[kosten / jaar weekend]]+Ruimtestaat[[#This Row],[kosten / jaar werkdagen]]</f>
        <v>0</v>
      </c>
      <c r="AO21" s="446"/>
      <c r="AP21" s="447" t="str">
        <f>IF(Ruimtestaat[[#This Row],[Frequentie werkdagen]]="","",_xlfn.CONCAT(Ruimtestaat[[#This Row],[Ruimte code]],"-",Ruimtestaat[[#This Row],[Frequentie werkdagen]]," ",Ruimtestaat[[#This Row],[Vloer code]]))</f>
        <v>8-4w L</v>
      </c>
      <c r="AQ21" s="448" t="str">
        <f>_xlfn.IFNA(VLOOKUP($AP21,Programma!$F$3:$G$1101,2,0),"")</f>
        <v>_</v>
      </c>
      <c r="AR21" s="448" t="str">
        <f>_xlfn.IFNA(VLOOKUP($AP21,Programma!$F$3:$H$1101,3,0),"")</f>
        <v>_</v>
      </c>
      <c r="AS21" s="448" t="str">
        <f>_xlfn.IFNA(VLOOKUP($AP21,Programma!$F$3:$I$1101,4,0),"")</f>
        <v>3w</v>
      </c>
      <c r="AT21" s="448" t="str">
        <f>_xlfn.IFNA(VLOOKUP($AP21,Programma!$F$3:$J$1101,5,0),"")</f>
        <v>1w</v>
      </c>
      <c r="AU21" s="448" t="str">
        <f>_xlfn.IFNA(VLOOKUP($AP21,Programma!$F$3:$K$1101,6,0),"")</f>
        <v>_</v>
      </c>
      <c r="AV21" s="448" t="str">
        <f>_xlfn.IFNA(VLOOKUP($AP21,Programma!$F$3:$L$1101,7,0),"")</f>
        <v>_</v>
      </c>
      <c r="AW21" s="448" t="str">
        <f>_xlfn.IFNA(VLOOKUP($AP21,Programma!$F$3:$M$1101,8,0),"")</f>
        <v>_</v>
      </c>
      <c r="AX21" s="448" t="str">
        <f>_xlfn.IFNA(VLOOKUP($AP21,Programma!$F$3:$N$1101,9,0),"")</f>
        <v>_</v>
      </c>
      <c r="AY21" s="448" t="str">
        <f>_xlfn.IFNA(VLOOKUP($AP21,Programma!$F$3:$O$1101,10,0),"")</f>
        <v>4w</v>
      </c>
      <c r="AZ21" s="448" t="str">
        <f>_xlfn.IFNA(VLOOKUP($AP21,Programma!$F$3:$P$1101,11,0),"")</f>
        <v>4w</v>
      </c>
      <c r="BA21" s="448" t="str">
        <f>_xlfn.IFNA(VLOOKUP($AP21,Programma!$F$3:$Q$1101,12,0),"")</f>
        <v>1w</v>
      </c>
      <c r="BB21" s="448" t="str">
        <f>_xlfn.IFNA(VLOOKUP($AP21,Programma!$F$3:$R$1101,13,0),"")</f>
        <v>1w</v>
      </c>
      <c r="BC21" s="448" t="str">
        <f>_xlfn.IFNA(VLOOKUP($AP21,Programma!$F$3:$S$1101,14,0),"")</f>
        <v>1m</v>
      </c>
      <c r="BD21" s="448" t="str">
        <f>_xlfn.IFNA(VLOOKUP($AP21,Programma!$F$3:$T$1101,15,0),"")</f>
        <v>2j</v>
      </c>
      <c r="BE21" s="448" t="str">
        <f>_xlfn.IFNA(VLOOKUP($AP21,Programma!$F$3:$U$1101,16,0),"")</f>
        <v>1j</v>
      </c>
      <c r="BF21" s="448" t="str">
        <f>_xlfn.IFNA(VLOOKUP($AP21,Programma!$F$3:$V$1101,17,0),"")</f>
        <v>_</v>
      </c>
      <c r="BG21" s="448" t="str">
        <f>_xlfn.IFNA(VLOOKUP($AP21,Programma!$F$3:$W$1101,18,0),"")</f>
        <v>_</v>
      </c>
      <c r="BH21" s="448" t="str">
        <f>_xlfn.IFNA(VLOOKUP($AP21,Programma!$F$3:$X$1101,19,0),"")</f>
        <v>_</v>
      </c>
      <c r="BI21" s="448" t="str">
        <f>_xlfn.IFNA(VLOOKUP($AP21,Programma!$F$3:$Y$1101,20,0),"")</f>
        <v>_</v>
      </c>
      <c r="BJ21" s="449"/>
      <c r="BK21" s="447" t="str">
        <f>IF(Ruimtestaat[[#This Row],[Frequentie weekend]]="","",_xlfn.CONCAT(Ruimtestaat[[#This Row],[Ruimte code]],"-",Ruimtestaat[[#This Row],[Frequentie weekend]]," ",Ruimtestaat[[#This Row],[Vloer code]]))</f>
        <v/>
      </c>
      <c r="BL21" s="448" t="str">
        <f>_xlfn.IFNA(VLOOKUP($BK21,Programma!$F$3:$G$1101,2,0),"")</f>
        <v/>
      </c>
      <c r="BM21" s="448" t="str">
        <f>_xlfn.IFNA(VLOOKUP($BK21,Programma!$F$3:$H$1101,3,0),"")</f>
        <v/>
      </c>
      <c r="BN21" s="448" t="str">
        <f>_xlfn.IFNA(VLOOKUP($BK21,Programma!$F$3:$I$1101,4,0),"")</f>
        <v/>
      </c>
      <c r="BO21" s="448" t="str">
        <f>_xlfn.IFNA(VLOOKUP($BK21,Programma!$F$3:$J$1101,5,0),"")</f>
        <v/>
      </c>
      <c r="BP21" s="448" t="str">
        <f>_xlfn.IFNA(VLOOKUP($BK21,Programma!$F$3:$K$1101,6,0),"")</f>
        <v/>
      </c>
      <c r="BQ21" s="448" t="str">
        <f>_xlfn.IFNA(VLOOKUP($BK21,Programma!$F$3:$L$1101,7,0),"")</f>
        <v/>
      </c>
      <c r="BR21" s="448" t="str">
        <f>_xlfn.IFNA(VLOOKUP($BK21,Programma!$F$3:$M$1101,8,0),"")</f>
        <v/>
      </c>
      <c r="BS21" s="448" t="str">
        <f>_xlfn.IFNA(VLOOKUP($BK21,Programma!$F$3:$N$1101,9,0),"")</f>
        <v/>
      </c>
      <c r="BT21" s="448" t="str">
        <f>_xlfn.IFNA(VLOOKUP($BK21,Programma!$F$3:$O$1101,10,0),"")</f>
        <v/>
      </c>
      <c r="BU21" s="448" t="str">
        <f>_xlfn.IFNA(VLOOKUP($BK21,Programma!$F$3:$P$1101,11,0),"")</f>
        <v/>
      </c>
      <c r="BV21" s="448" t="str">
        <f>_xlfn.IFNA(VLOOKUP($BK21,Programma!$F$3:$Q$1101,12,0),"")</f>
        <v/>
      </c>
      <c r="BW21" s="448" t="str">
        <f>_xlfn.IFNA(VLOOKUP($BK21,Programma!$F$3:$R$1101,13,0),"")</f>
        <v/>
      </c>
      <c r="BX21" s="448" t="str">
        <f>_xlfn.IFNA(VLOOKUP($BK21,Programma!$F$3:$S$1101,14,0),"")</f>
        <v/>
      </c>
      <c r="BY21" s="448" t="str">
        <f>_xlfn.IFNA(VLOOKUP($BK21,Programma!$F$3:$T$1101,15,0),"")</f>
        <v/>
      </c>
      <c r="BZ21" s="448" t="str">
        <f>_xlfn.IFNA(VLOOKUP($BK21,Programma!$F$3:$U$1101,16,0),"")</f>
        <v/>
      </c>
      <c r="CA21" s="448" t="str">
        <f>_xlfn.IFNA(VLOOKUP($BK21,Programma!$F$3:$V$1101,17,0),"")</f>
        <v/>
      </c>
      <c r="CB21" s="448" t="str">
        <f>_xlfn.IFNA(VLOOKUP($BK21,Programma!$F$3:$W$1101,18,0),"")</f>
        <v/>
      </c>
      <c r="CC21" s="448" t="str">
        <f>_xlfn.IFNA(VLOOKUP($BK21,Programma!$F$3:$X$1101,19,0),"")</f>
        <v/>
      </c>
      <c r="CD21" s="448" t="str">
        <f>_xlfn.IFNA(VLOOKUP($BK21,Programma!$F$3:$Y$1101,20,0),"")</f>
        <v/>
      </c>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c r="DN21" s="327"/>
      <c r="DO21" s="327"/>
      <c r="DP21" s="327"/>
      <c r="DQ21" s="327"/>
      <c r="DR21" s="327"/>
      <c r="DS21" s="327"/>
      <c r="DT21" s="327"/>
      <c r="DU21" s="327"/>
      <c r="DV21" s="327"/>
      <c r="DW21" s="327"/>
      <c r="DX21" s="327"/>
      <c r="DY21" s="327"/>
      <c r="DZ21" s="327"/>
      <c r="EA21" s="327"/>
      <c r="EB21" s="327"/>
      <c r="EC21" s="327"/>
      <c r="ED21" s="327"/>
      <c r="EE21" s="327"/>
      <c r="EF21" s="327"/>
      <c r="EG21" s="327"/>
      <c r="EH21" s="327"/>
      <c r="EI21" s="327"/>
      <c r="EJ21" s="327"/>
      <c r="EK21" s="327"/>
      <c r="EL21" s="327"/>
      <c r="EM21" s="327"/>
      <c r="EN21" s="327"/>
      <c r="EO21" s="327"/>
      <c r="EP21" s="327"/>
      <c r="EQ21" s="327"/>
      <c r="ER21" s="327"/>
      <c r="ES21" s="327"/>
      <c r="ET21" s="327"/>
      <c r="EU21" s="327"/>
      <c r="EV21" s="327"/>
      <c r="EW21" s="327"/>
      <c r="EX21" s="327"/>
      <c r="EY21" s="327"/>
      <c r="EZ21" s="327"/>
      <c r="FA21" s="327"/>
      <c r="FB21" s="327"/>
      <c r="FC21" s="327"/>
      <c r="FD21" s="327"/>
      <c r="FE21" s="327"/>
      <c r="FF21" s="327"/>
      <c r="FG21" s="327"/>
      <c r="FH21" s="327"/>
      <c r="FI21" s="327"/>
      <c r="FJ21" s="327"/>
      <c r="FK21" s="327"/>
      <c r="FL21" s="327"/>
      <c r="FM21" s="327"/>
      <c r="FN21" s="327"/>
      <c r="FO21" s="327"/>
      <c r="FP21" s="327"/>
      <c r="FQ21" s="327"/>
      <c r="FR21" s="327"/>
      <c r="FS21" s="327"/>
      <c r="FT21" s="327"/>
      <c r="FU21" s="327"/>
      <c r="FV21" s="327"/>
      <c r="FW21" s="327"/>
      <c r="FX21" s="327"/>
      <c r="FY21" s="327"/>
      <c r="FZ21" s="327"/>
      <c r="GA21" s="327"/>
      <c r="GB21" s="327"/>
      <c r="GC21" s="327"/>
      <c r="GD21" s="327"/>
      <c r="GE21" s="327"/>
      <c r="GF21" s="327"/>
      <c r="GG21" s="327"/>
      <c r="GH21" s="327"/>
      <c r="GI21" s="327"/>
      <c r="GJ21" s="327"/>
      <c r="GK21" s="327"/>
      <c r="GL21" s="327"/>
      <c r="GM21" s="327"/>
      <c r="GN21" s="327"/>
      <c r="GO21" s="327"/>
      <c r="GP21" s="327"/>
      <c r="GQ21" s="327"/>
      <c r="GR21" s="327"/>
      <c r="GS21" s="327"/>
      <c r="GT21" s="327"/>
      <c r="GU21" s="327"/>
      <c r="GV21" s="327"/>
      <c r="GW21" s="327"/>
      <c r="GX21" s="327"/>
      <c r="GY21" s="327"/>
      <c r="GZ21" s="327"/>
      <c r="HA21" s="327"/>
      <c r="HB21" s="327"/>
      <c r="HC21" s="327"/>
      <c r="HD21" s="327"/>
      <c r="HE21" s="327"/>
      <c r="HF21" s="327"/>
      <c r="HG21" s="327"/>
      <c r="HH21" s="327"/>
      <c r="HI21" s="327"/>
      <c r="HJ21" s="327"/>
      <c r="HK21" s="327"/>
      <c r="HL21" s="327"/>
      <c r="HM21" s="327"/>
      <c r="HN21" s="327"/>
      <c r="HO21" s="327"/>
      <c r="HP21" s="327"/>
      <c r="HQ21" s="327"/>
      <c r="HR21" s="327"/>
      <c r="HS21" s="327"/>
    </row>
    <row r="22" spans="1:227" ht="15" customHeight="1">
      <c r="A22" s="434">
        <v>2</v>
      </c>
      <c r="B22" s="435" t="str">
        <f>VLOOKUP(Ruimtestaat[[#This Row],[Code]],Locaties[[Code]:[Locatie]],2,FALSE)</f>
        <v>IKC  De Watersnip</v>
      </c>
      <c r="C22" s="435" t="str">
        <f>VLOOKUP(Ruimtestaat[[#This Row],[Code]],Locaties[[#All],[Code]:[Adres]],4,FALSE)</f>
        <v>César Franckrode 70-72</v>
      </c>
      <c r="D22" s="435" t="str">
        <f>VLOOKUP(Ruimtestaat[[#This Row],[Code]],Locaties[[#All],[Code]:[Postcode]],5,FALSE)</f>
        <v>2717 BG</v>
      </c>
      <c r="E22" s="435" t="str">
        <f>VLOOKUP(Ruimtestaat[[#This Row],[Code]],Locaties[#All],6,FALSE)</f>
        <v>Zoetermeer</v>
      </c>
      <c r="F22" s="434"/>
      <c r="G22" s="434" t="s">
        <v>1678</v>
      </c>
      <c r="H22" s="436" t="s">
        <v>1680</v>
      </c>
      <c r="I22" s="437" t="s">
        <v>22</v>
      </c>
      <c r="J22" s="330">
        <v>5</v>
      </c>
      <c r="K22" s="450" t="str">
        <f>VLOOKUP(Ruimtestaat[[#This Row],[Ruimte code]],Ruimtegroepen[[#All],[Code]:[Ruimte omschrijving]],2,FALSE)</f>
        <v>Sanitair</v>
      </c>
      <c r="L22" s="434" t="s">
        <v>101</v>
      </c>
      <c r="M22" s="437" t="s">
        <v>1947</v>
      </c>
      <c r="N22" s="439">
        <v>8</v>
      </c>
      <c r="O22" s="439"/>
      <c r="P22" s="439"/>
      <c r="Q22" s="439"/>
      <c r="R22" s="440" t="str">
        <f>VLOOKUP(Ruimtestaat[[#This Row],[Ruimte code]],Ruimtegroepen[],4,FALSE)</f>
        <v>Sa</v>
      </c>
      <c r="S22" s="434">
        <v>41</v>
      </c>
      <c r="T22" s="434" t="s">
        <v>2</v>
      </c>
      <c r="U22" s="434">
        <f>IF(S22&gt;0,IF(RIGHT(Ruimtestaat[[#This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2" s="434">
        <f>IF(U22&gt;0,VLOOKUP($J22,Ruimtegroepen[],3,FALSE)*VLOOKUP($L22,Vloersoorten[],3,FALSE)*VLOOKUP($T22,Frequenties[],3,FALSE)*VLOOKUP($A22,Locaties[],3,FALSE),0)</f>
        <v>0</v>
      </c>
      <c r="W22" s="434">
        <f>Ruimtestaat[[#This Row],[Uitvoeringen werkdagen]]*Ruimtestaat[[#This Row],[Oppervlak (netto)]]</f>
        <v>1640</v>
      </c>
      <c r="X22" s="441">
        <f>IF(V22&gt;0,Ruimtestaat[[#This Row],[Prest. (m2 /jaar) werkdagen]]/Ruimtestaat[[#This Row],[Norm (m2/uur) werkdagen]],0)</f>
        <v>0</v>
      </c>
      <c r="Y22" s="442">
        <f>Ruimtestaat[[#This Row],[Uitvoeringen werkdagen]]*Ruimtestaat[[#This Row],[Gedeeltelijk]]</f>
        <v>0</v>
      </c>
      <c r="Z22" s="443" t="e">
        <f>IF(U22&gt;0,Ruimtestaat[[#This Row],[Prest. (m2 / jaar) werkdagen gedeeld]]/Ruimtestaat[[#This Row],[Norm (m2/uur) werkdagen]],0)</f>
        <v>#DIV/0!</v>
      </c>
      <c r="AA22" s="441" t="e">
        <f>Ruimtestaat[[#This Row],[uren / jaar werkdagen gedeeld]]*Tariefsopbouw!$E$35</f>
        <v>#DIV/0!</v>
      </c>
      <c r="AB22" s="441">
        <f>Ruimtestaat[[#This Row],[Uitvoeringen werkdagen]]*Ruimtestaat[[#This Row],[BSO]]</f>
        <v>0</v>
      </c>
      <c r="AC22" s="443" t="e">
        <f>IF(U22&gt;0,Ruimtestaat[[#This Row],[Prest. (m2 / jaar) werkdagen BSO]]/Ruimtestaat[[#This Row],[Norm (m2/uur) werkdagen]],0)</f>
        <v>#DIV/0!</v>
      </c>
      <c r="AD22" s="443" t="e">
        <f>Ruimtestaat[[#This Row],[uren / jaar werkdagen BSO]]*Tariefsopbouw!$E$35</f>
        <v>#DIV/0!</v>
      </c>
      <c r="AE22" s="444">
        <f>Ruimtestaat[[#This Row],[uren / jaar werkdagen]]*Tariefsopbouw!$E$35</f>
        <v>0</v>
      </c>
      <c r="AF22" s="434"/>
      <c r="AG22" s="434">
        <f>IF(Ruimtestaat[[#This Row],[Frequentie weekend]]&gt;0,VALUE(LEFT(AF22,1))*S22,0)</f>
        <v>0</v>
      </c>
      <c r="AH22" s="445">
        <f>IF($AG22&gt;0,VLOOKUP($J22,Ruimtegroepen[],3,FALSE)*VLOOKUP($L22,Vloersoorten[],3,FALSE)*VLOOKUP($AF22,Frequenties[],3,FALSE)*VLOOKUP(Ruimtestaat[[#This Row],[Code]],Locaties[],3,FALSE),0)</f>
        <v>0</v>
      </c>
      <c r="AI22" s="445">
        <f>Ruimtestaat[[#This Row],[Uitvoeringen weekend]]*Ruimtestaat[[#This Row],[Oppervlak (netto)]]</f>
        <v>0</v>
      </c>
      <c r="AJ22" s="445">
        <f>IF(AH22&gt;0,Ruimtestaat[[#This Row],[Prest. (m2 /jaar) weekend]]/Ruimtestaat[[#This Row],[Norm (m2/uur) weekend]],0)</f>
        <v>0</v>
      </c>
      <c r="AK22" s="444">
        <f>Ruimtestaat[[#This Row],[uren / jaar weekend]]*Tariefsopbouw!$D$40</f>
        <v>0</v>
      </c>
      <c r="AL22" s="441">
        <f>Ruimtestaat[[#This Row],[Prest. (m2 /jaar) weekend]]+Ruimtestaat[[#This Row],[Prest. (m2 /jaar) werkdagen]]</f>
        <v>1640</v>
      </c>
      <c r="AM22" s="441">
        <f>Ruimtestaat[[#This Row],[uren / jaar weekend]]+Ruimtestaat[[#This Row],[uren / jaar werkdagen]]</f>
        <v>0</v>
      </c>
      <c r="AN22" s="446">
        <f>Ruimtestaat[[#This Row],[kosten / jaar weekend]]+Ruimtestaat[[#This Row],[kosten / jaar werkdagen]]</f>
        <v>0</v>
      </c>
      <c r="AO22" s="446"/>
      <c r="AP22" s="447" t="str">
        <f>IF(Ruimtestaat[[#This Row],[Frequentie werkdagen]]="","",_xlfn.CONCAT(Ruimtestaat[[#This Row],[Ruimte code]],"-",Ruimtestaat[[#This Row],[Frequentie werkdagen]]," ",Ruimtestaat[[#This Row],[Vloer code]]))</f>
        <v>5-5w S</v>
      </c>
      <c r="AQ22" s="448" t="str">
        <f>_xlfn.IFNA(VLOOKUP($AP22,Programma!$F$3:$G$1101,2,0),"")</f>
        <v>_</v>
      </c>
      <c r="AR22" s="448" t="str">
        <f>_xlfn.IFNA(VLOOKUP($AP22,Programma!$F$3:$H$1101,3,0),"")</f>
        <v>_</v>
      </c>
      <c r="AS22" s="448" t="str">
        <f>_xlfn.IFNA(VLOOKUP($AP22,Programma!$F$3:$I$1101,4,0),"")</f>
        <v>_</v>
      </c>
      <c r="AT22" s="448" t="str">
        <f>_xlfn.IFNA(VLOOKUP($AP22,Programma!$F$3:$J$1101,5,0),"")</f>
        <v>4w</v>
      </c>
      <c r="AU22" s="448" t="str">
        <f>_xlfn.IFNA(VLOOKUP($AP22,Programma!$F$3:$K$1101,6,0),"")</f>
        <v>1w</v>
      </c>
      <c r="AV22" s="448" t="str">
        <f>_xlfn.IFNA(VLOOKUP($AP22,Programma!$F$3:$L$1101,7,0),"")</f>
        <v>_</v>
      </c>
      <c r="AW22" s="448" t="str">
        <f>_xlfn.IFNA(VLOOKUP($AP22,Programma!$F$3:$M$1101,8,0),"")</f>
        <v>_</v>
      </c>
      <c r="AX22" s="448" t="str">
        <f>_xlfn.IFNA(VLOOKUP($AP22,Programma!$F$3:$N$1101,9,0),"")</f>
        <v>_</v>
      </c>
      <c r="AY22" s="448" t="str">
        <f>_xlfn.IFNA(VLOOKUP($AP22,Programma!$F$3:$O$1101,10,0),"")</f>
        <v>_</v>
      </c>
      <c r="AZ22" s="448" t="str">
        <f>_xlfn.IFNA(VLOOKUP($AP22,Programma!$F$3:$P$1101,11,0),"")</f>
        <v>_</v>
      </c>
      <c r="BA22" s="448" t="str">
        <f>_xlfn.IFNA(VLOOKUP($AP22,Programma!$F$3:$Q$1101,12,0),"")</f>
        <v>_</v>
      </c>
      <c r="BB22" s="448" t="str">
        <f>_xlfn.IFNA(VLOOKUP($AP22,Programma!$F$3:$R$1101,13,0),"")</f>
        <v>_</v>
      </c>
      <c r="BC22" s="448" t="str">
        <f>_xlfn.IFNA(VLOOKUP($AP22,Programma!$F$3:$S$1101,14,0),"")</f>
        <v>_</v>
      </c>
      <c r="BD22" s="448" t="str">
        <f>_xlfn.IFNA(VLOOKUP($AP22,Programma!$F$3:$T$1101,15,0),"")</f>
        <v>_</v>
      </c>
      <c r="BE22" s="448" t="str">
        <f>_xlfn.IFNA(VLOOKUP($AP22,Programma!$F$3:$U$1101,16,0),"")</f>
        <v>_</v>
      </c>
      <c r="BF22" s="448" t="str">
        <f>_xlfn.IFNA(VLOOKUP($AP22,Programma!$F$3:$V$1101,17,0),"")</f>
        <v>_</v>
      </c>
      <c r="BG22" s="448" t="str">
        <f>_xlfn.IFNA(VLOOKUP($AP22,Programma!$F$3:$W$1101,18,0),"")</f>
        <v>4w</v>
      </c>
      <c r="BH22" s="448" t="str">
        <f>_xlfn.IFNA(VLOOKUP($AP22,Programma!$F$3:$X$1101,19,0),"")</f>
        <v>1w</v>
      </c>
      <c r="BI22" s="448" t="str">
        <f>_xlfn.IFNA(VLOOKUP($AP22,Programma!$F$3:$Y$1101,20,0),"")</f>
        <v>_</v>
      </c>
      <c r="BJ22" s="449"/>
      <c r="BK22" s="447" t="str">
        <f>IF(Ruimtestaat[[#This Row],[Frequentie weekend]]="","",_xlfn.CONCAT(Ruimtestaat[[#This Row],[Ruimte code]],"-",Ruimtestaat[[#This Row],[Frequentie weekend]]," ",Ruimtestaat[[#This Row],[Vloer code]]))</f>
        <v/>
      </c>
      <c r="BL22" s="448" t="str">
        <f>_xlfn.IFNA(VLOOKUP($BK22,Programma!$F$3:$G$1101,2,0),"")</f>
        <v/>
      </c>
      <c r="BM22" s="448" t="str">
        <f>_xlfn.IFNA(VLOOKUP($BK22,Programma!$F$3:$H$1101,3,0),"")</f>
        <v/>
      </c>
      <c r="BN22" s="448" t="str">
        <f>_xlfn.IFNA(VLOOKUP($BK22,Programma!$F$3:$I$1101,4,0),"")</f>
        <v/>
      </c>
      <c r="BO22" s="448" t="str">
        <f>_xlfn.IFNA(VLOOKUP($BK22,Programma!$F$3:$J$1101,5,0),"")</f>
        <v/>
      </c>
      <c r="BP22" s="448" t="str">
        <f>_xlfn.IFNA(VLOOKUP($BK22,Programma!$F$3:$K$1101,6,0),"")</f>
        <v/>
      </c>
      <c r="BQ22" s="448" t="str">
        <f>_xlfn.IFNA(VLOOKUP($BK22,Programma!$F$3:$L$1101,7,0),"")</f>
        <v/>
      </c>
      <c r="BR22" s="448" t="str">
        <f>_xlfn.IFNA(VLOOKUP($BK22,Programma!$F$3:$M$1101,8,0),"")</f>
        <v/>
      </c>
      <c r="BS22" s="448" t="str">
        <f>_xlfn.IFNA(VLOOKUP($BK22,Programma!$F$3:$N$1101,9,0),"")</f>
        <v/>
      </c>
      <c r="BT22" s="448" t="str">
        <f>_xlfn.IFNA(VLOOKUP($BK22,Programma!$F$3:$O$1101,10,0),"")</f>
        <v/>
      </c>
      <c r="BU22" s="448" t="str">
        <f>_xlfn.IFNA(VLOOKUP($BK22,Programma!$F$3:$P$1101,11,0),"")</f>
        <v/>
      </c>
      <c r="BV22" s="448" t="str">
        <f>_xlfn.IFNA(VLOOKUP($BK22,Programma!$F$3:$Q$1101,12,0),"")</f>
        <v/>
      </c>
      <c r="BW22" s="448" t="str">
        <f>_xlfn.IFNA(VLOOKUP($BK22,Programma!$F$3:$R$1101,13,0),"")</f>
        <v/>
      </c>
      <c r="BX22" s="448" t="str">
        <f>_xlfn.IFNA(VLOOKUP($BK22,Programma!$F$3:$S$1101,14,0),"")</f>
        <v/>
      </c>
      <c r="BY22" s="448" t="str">
        <f>_xlfn.IFNA(VLOOKUP($BK22,Programma!$F$3:$T$1101,15,0),"")</f>
        <v/>
      </c>
      <c r="BZ22" s="448" t="str">
        <f>_xlfn.IFNA(VLOOKUP($BK22,Programma!$F$3:$U$1101,16,0),"")</f>
        <v/>
      </c>
      <c r="CA22" s="448" t="str">
        <f>_xlfn.IFNA(VLOOKUP($BK22,Programma!$F$3:$V$1101,17,0),"")</f>
        <v/>
      </c>
      <c r="CB22" s="448" t="str">
        <f>_xlfn.IFNA(VLOOKUP($BK22,Programma!$F$3:$W$1101,18,0),"")</f>
        <v/>
      </c>
      <c r="CC22" s="448" t="str">
        <f>_xlfn.IFNA(VLOOKUP($BK22,Programma!$F$3:$X$1101,19,0),"")</f>
        <v/>
      </c>
      <c r="CD22" s="448" t="str">
        <f>_xlfn.IFNA(VLOOKUP($BK22,Programma!$F$3:$Y$1101,20,0),"")</f>
        <v/>
      </c>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c r="DN22" s="327"/>
      <c r="DO22" s="327"/>
      <c r="DP22" s="327"/>
      <c r="DQ22" s="327"/>
      <c r="DR22" s="327"/>
      <c r="DS22" s="327"/>
      <c r="DT22" s="327"/>
      <c r="DU22" s="327"/>
      <c r="DV22" s="327"/>
      <c r="DW22" s="327"/>
      <c r="DX22" s="327"/>
      <c r="DY22" s="327"/>
      <c r="DZ22" s="327"/>
      <c r="EA22" s="327"/>
      <c r="EB22" s="327"/>
      <c r="EC22" s="327"/>
      <c r="ED22" s="327"/>
      <c r="EE22" s="327"/>
      <c r="EF22" s="327"/>
      <c r="EG22" s="327"/>
      <c r="EH22" s="327"/>
      <c r="EI22" s="327"/>
      <c r="EJ22" s="327"/>
      <c r="EK22" s="327"/>
      <c r="EL22" s="327"/>
      <c r="EM22" s="327"/>
      <c r="EN22" s="327"/>
      <c r="EO22" s="327"/>
      <c r="EP22" s="327"/>
      <c r="EQ22" s="327"/>
      <c r="ER22" s="327"/>
      <c r="ES22" s="327"/>
      <c r="ET22" s="327"/>
      <c r="EU22" s="327"/>
      <c r="EV22" s="327"/>
      <c r="EW22" s="327"/>
      <c r="EX22" s="327"/>
      <c r="EY22" s="327"/>
      <c r="EZ22" s="327"/>
      <c r="FA22" s="327"/>
      <c r="FB22" s="327"/>
      <c r="FC22" s="327"/>
      <c r="FD22" s="327"/>
      <c r="FE22" s="327"/>
      <c r="FF22" s="327"/>
      <c r="FG22" s="327"/>
      <c r="FH22" s="327"/>
      <c r="FI22" s="327"/>
      <c r="FJ22" s="327"/>
      <c r="FK22" s="327"/>
      <c r="FL22" s="327"/>
      <c r="FM22" s="327"/>
      <c r="FN22" s="327"/>
      <c r="FO22" s="327"/>
      <c r="FP22" s="327"/>
      <c r="FQ22" s="327"/>
      <c r="FR22" s="327"/>
      <c r="FS22" s="327"/>
      <c r="FT22" s="327"/>
      <c r="FU22" s="327"/>
      <c r="FV22" s="327"/>
      <c r="FW22" s="327"/>
      <c r="FX22" s="327"/>
      <c r="FY22" s="327"/>
      <c r="FZ22" s="327"/>
      <c r="GA22" s="327"/>
      <c r="GB22" s="327"/>
      <c r="GC22" s="327"/>
      <c r="GD22" s="327"/>
      <c r="GE22" s="327"/>
      <c r="GF22" s="327"/>
      <c r="GG22" s="327"/>
      <c r="GH22" s="327"/>
      <c r="GI22" s="327"/>
      <c r="GJ22" s="327"/>
      <c r="GK22" s="327"/>
      <c r="GL22" s="327"/>
      <c r="GM22" s="327"/>
      <c r="GN22" s="327"/>
      <c r="GO22" s="327"/>
      <c r="GP22" s="327"/>
      <c r="GQ22" s="327"/>
      <c r="GR22" s="327"/>
      <c r="GS22" s="327"/>
      <c r="GT22" s="327"/>
      <c r="GU22" s="327"/>
      <c r="GV22" s="327"/>
      <c r="GW22" s="327"/>
      <c r="GX22" s="327"/>
      <c r="GY22" s="327"/>
      <c r="GZ22" s="327"/>
      <c r="HA22" s="327"/>
      <c r="HB22" s="327"/>
      <c r="HC22" s="327"/>
      <c r="HD22" s="327"/>
      <c r="HE22" s="327"/>
      <c r="HF22" s="327"/>
      <c r="HG22" s="327"/>
      <c r="HH22" s="327"/>
      <c r="HI22" s="327"/>
      <c r="HJ22" s="327"/>
      <c r="HK22" s="327"/>
      <c r="HL22" s="327"/>
      <c r="HM22" s="327"/>
      <c r="HN22" s="327"/>
      <c r="HO22" s="327"/>
      <c r="HP22" s="327"/>
      <c r="HQ22" s="327"/>
      <c r="HR22" s="327"/>
      <c r="HS22" s="327"/>
    </row>
    <row r="23" spans="1:227" ht="15" customHeight="1">
      <c r="A23" s="434">
        <v>2</v>
      </c>
      <c r="B23" s="435" t="str">
        <f>VLOOKUP(Ruimtestaat[[#This Row],[Code]],Locaties[[Code]:[Locatie]],2,FALSE)</f>
        <v>IKC  De Watersnip</v>
      </c>
      <c r="C23" s="435" t="str">
        <f>VLOOKUP(Ruimtestaat[[#This Row],[Code]],Locaties[[#All],[Code]:[Adres]],4,FALSE)</f>
        <v>César Franckrode 70-72</v>
      </c>
      <c r="D23" s="435" t="str">
        <f>VLOOKUP(Ruimtestaat[[#This Row],[Code]],Locaties[[#All],[Code]:[Postcode]],5,FALSE)</f>
        <v>2717 BG</v>
      </c>
      <c r="E23" s="435" t="str">
        <f>VLOOKUP(Ruimtestaat[[#This Row],[Code]],Locaties[#All],6,FALSE)</f>
        <v>Zoetermeer</v>
      </c>
      <c r="F23" s="434"/>
      <c r="G23" s="434" t="s">
        <v>1678</v>
      </c>
      <c r="H23" s="436" t="s">
        <v>1681</v>
      </c>
      <c r="I23" s="437" t="s">
        <v>1679</v>
      </c>
      <c r="J23" s="330">
        <v>16</v>
      </c>
      <c r="K23" s="450" t="str">
        <f>VLOOKUP(Ruimtestaat[[#This Row],[Ruimte code]],Ruimtegroepen[[#All],[Code]:[Ruimte omschrijving]],2,FALSE)</f>
        <v>Leslokalen</v>
      </c>
      <c r="L23" s="434" t="s">
        <v>100</v>
      </c>
      <c r="M23" s="437" t="s">
        <v>1759</v>
      </c>
      <c r="N23" s="439">
        <v>55</v>
      </c>
      <c r="O23" s="439"/>
      <c r="P23" s="439"/>
      <c r="Q23" s="439"/>
      <c r="R23" s="440" t="str">
        <f>VLOOKUP(Ruimtestaat[[#This Row],[Ruimte code]],Ruimtegroepen[],4,FALSE)</f>
        <v>Le</v>
      </c>
      <c r="S23" s="434">
        <v>40</v>
      </c>
      <c r="T23" s="434" t="s">
        <v>2</v>
      </c>
      <c r="U23" s="434">
        <f>IF(S23&gt;0,IF(RIGHT(Ruimtestaat[[#This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 s="434">
        <f>IF(U23&gt;0,VLOOKUP($J23,Ruimtegroepen[],3,FALSE)*VLOOKUP($L23,Vloersoorten[],3,FALSE)*VLOOKUP($T23,Frequenties[],3,FALSE)*VLOOKUP($A23,Locaties[],3,FALSE),0)</f>
        <v>0</v>
      </c>
      <c r="W23" s="434">
        <f>Ruimtestaat[[#This Row],[Uitvoeringen werkdagen]]*Ruimtestaat[[#This Row],[Oppervlak (netto)]]</f>
        <v>11000</v>
      </c>
      <c r="X23" s="441">
        <f>IF(V23&gt;0,Ruimtestaat[[#This Row],[Prest. (m2 /jaar) werkdagen]]/Ruimtestaat[[#This Row],[Norm (m2/uur) werkdagen]],0)</f>
        <v>0</v>
      </c>
      <c r="Y23" s="442">
        <f>Ruimtestaat[[#This Row],[Uitvoeringen werkdagen]]*Ruimtestaat[[#This Row],[Gedeeltelijk]]</f>
        <v>0</v>
      </c>
      <c r="Z23" s="443" t="e">
        <f>IF(U23&gt;0,Ruimtestaat[[#This Row],[Prest. (m2 / jaar) werkdagen gedeeld]]/Ruimtestaat[[#This Row],[Norm (m2/uur) werkdagen]],0)</f>
        <v>#DIV/0!</v>
      </c>
      <c r="AA23" s="441" t="e">
        <f>Ruimtestaat[[#This Row],[uren / jaar werkdagen gedeeld]]*Tariefsopbouw!$E$35</f>
        <v>#DIV/0!</v>
      </c>
      <c r="AB23" s="441">
        <f>Ruimtestaat[[#This Row],[Uitvoeringen werkdagen]]*Ruimtestaat[[#This Row],[BSO]]</f>
        <v>0</v>
      </c>
      <c r="AC23" s="443" t="e">
        <f>IF(U23&gt;0,Ruimtestaat[[#This Row],[Prest. (m2 / jaar) werkdagen BSO]]/Ruimtestaat[[#This Row],[Norm (m2/uur) werkdagen]],0)</f>
        <v>#DIV/0!</v>
      </c>
      <c r="AD23" s="443" t="e">
        <f>Ruimtestaat[[#This Row],[uren / jaar werkdagen BSO]]*Tariefsopbouw!$E$35</f>
        <v>#DIV/0!</v>
      </c>
      <c r="AE23" s="444">
        <f>Ruimtestaat[[#This Row],[uren / jaar werkdagen]]*Tariefsopbouw!$E$35</f>
        <v>0</v>
      </c>
      <c r="AF23" s="434"/>
      <c r="AG23" s="434">
        <f>IF(Ruimtestaat[[#This Row],[Frequentie weekend]]&gt;0,VALUE(LEFT(AF23,1))*S23,0)</f>
        <v>0</v>
      </c>
      <c r="AH23" s="445">
        <f>IF($AG23&gt;0,VLOOKUP($J23,Ruimtegroepen[],3,FALSE)*VLOOKUP($L23,Vloersoorten[],3,FALSE)*VLOOKUP($AF23,Frequenties[],3,FALSE)*VLOOKUP(Ruimtestaat[[#This Row],[Code]],Locaties[],3,FALSE),0)</f>
        <v>0</v>
      </c>
      <c r="AI23" s="445">
        <f>Ruimtestaat[[#This Row],[Uitvoeringen weekend]]*Ruimtestaat[[#This Row],[Oppervlak (netto)]]</f>
        <v>0</v>
      </c>
      <c r="AJ23" s="445">
        <f>IF(AH23&gt;0,Ruimtestaat[[#This Row],[Prest. (m2 /jaar) weekend]]/Ruimtestaat[[#This Row],[Norm (m2/uur) weekend]],0)</f>
        <v>0</v>
      </c>
      <c r="AK23" s="444">
        <f>Ruimtestaat[[#This Row],[uren / jaar weekend]]*Tariefsopbouw!$D$40</f>
        <v>0</v>
      </c>
      <c r="AL23" s="441">
        <f>Ruimtestaat[[#This Row],[Prest. (m2 /jaar) weekend]]+Ruimtestaat[[#This Row],[Prest. (m2 /jaar) werkdagen]]</f>
        <v>11000</v>
      </c>
      <c r="AM23" s="441">
        <f>Ruimtestaat[[#This Row],[uren / jaar weekend]]+Ruimtestaat[[#This Row],[uren / jaar werkdagen]]</f>
        <v>0</v>
      </c>
      <c r="AN23" s="446">
        <f>Ruimtestaat[[#This Row],[kosten / jaar weekend]]+Ruimtestaat[[#This Row],[kosten / jaar werkdagen]]</f>
        <v>0</v>
      </c>
      <c r="AO23" s="446"/>
      <c r="AP23" s="447" t="str">
        <f>IF(Ruimtestaat[[#This Row],[Frequentie werkdagen]]="","",_xlfn.CONCAT(Ruimtestaat[[#This Row],[Ruimte code]],"-",Ruimtestaat[[#This Row],[Frequentie werkdagen]]," ",Ruimtestaat[[#This Row],[Vloer code]]))</f>
        <v>16-5w L</v>
      </c>
      <c r="AQ23" s="448" t="str">
        <f>_xlfn.IFNA(VLOOKUP($AP23,Programma!$F$3:$G$1101,2,0),"")</f>
        <v>_</v>
      </c>
      <c r="AR23" s="448" t="str">
        <f>_xlfn.IFNA(VLOOKUP($AP23,Programma!$F$3:$H$1101,3,0),"")</f>
        <v>_</v>
      </c>
      <c r="AS23" s="448" t="str">
        <f>_xlfn.IFNA(VLOOKUP($AP23,Programma!$F$3:$I$1101,4,0),"")</f>
        <v>4w</v>
      </c>
      <c r="AT23" s="448" t="str">
        <f>_xlfn.IFNA(VLOOKUP($AP23,Programma!$F$3:$J$1101,5,0),"")</f>
        <v>1w</v>
      </c>
      <c r="AU23" s="448" t="str">
        <f>_xlfn.IFNA(VLOOKUP($AP23,Programma!$F$3:$K$1101,6,0),"")</f>
        <v>_</v>
      </c>
      <c r="AV23" s="448" t="str">
        <f>_xlfn.IFNA(VLOOKUP($AP23,Programma!$F$3:$L$1101,7,0),"")</f>
        <v>_</v>
      </c>
      <c r="AW23" s="448" t="str">
        <f>_xlfn.IFNA(VLOOKUP($AP23,Programma!$F$3:$M$1101,8,0),"")</f>
        <v>_</v>
      </c>
      <c r="AX23" s="448" t="str">
        <f>_xlfn.IFNA(VLOOKUP($AP23,Programma!$F$3:$N$1101,9,0),"")</f>
        <v>_</v>
      </c>
      <c r="AY23" s="448" t="str">
        <f>_xlfn.IFNA(VLOOKUP($AP23,Programma!$F$3:$O$1101,10,0),"")</f>
        <v>5w</v>
      </c>
      <c r="AZ23" s="448" t="str">
        <f>_xlfn.IFNA(VLOOKUP($AP23,Programma!$F$3:$P$1101,11,0),"")</f>
        <v>5w</v>
      </c>
      <c r="BA23" s="448" t="str">
        <f>_xlfn.IFNA(VLOOKUP($AP23,Programma!$F$3:$Q$1101,12,0),"")</f>
        <v>1w</v>
      </c>
      <c r="BB23" s="448" t="str">
        <f>_xlfn.IFNA(VLOOKUP($AP23,Programma!$F$3:$R$1101,13,0),"")</f>
        <v>1w</v>
      </c>
      <c r="BC23" s="448" t="str">
        <f>_xlfn.IFNA(VLOOKUP($AP23,Programma!$F$3:$S$1101,14,0),"")</f>
        <v>1m</v>
      </c>
      <c r="BD23" s="448" t="str">
        <f>_xlfn.IFNA(VLOOKUP($AP23,Programma!$F$3:$T$1101,15,0),"")</f>
        <v>2j</v>
      </c>
      <c r="BE23" s="448" t="str">
        <f>_xlfn.IFNA(VLOOKUP($AP23,Programma!$F$3:$U$1101,16,0),"")</f>
        <v>1j</v>
      </c>
      <c r="BF23" s="448" t="str">
        <f>_xlfn.IFNA(VLOOKUP($AP23,Programma!$F$3:$V$1101,17,0),"")</f>
        <v>_</v>
      </c>
      <c r="BG23" s="448" t="str">
        <f>_xlfn.IFNA(VLOOKUP($AP23,Programma!$F$3:$W$1101,18,0),"")</f>
        <v>_</v>
      </c>
      <c r="BH23" s="448" t="str">
        <f>_xlfn.IFNA(VLOOKUP($AP23,Programma!$F$3:$X$1101,19,0),"")</f>
        <v>_</v>
      </c>
      <c r="BI23" s="448" t="str">
        <f>_xlfn.IFNA(VLOOKUP($AP23,Programma!$F$3:$Y$1101,20,0),"")</f>
        <v>_</v>
      </c>
      <c r="BJ23" s="449"/>
      <c r="BK23" s="447" t="str">
        <f>IF(Ruimtestaat[[#This Row],[Frequentie weekend]]="","",_xlfn.CONCAT(Ruimtestaat[[#This Row],[Ruimte code]],"-",Ruimtestaat[[#This Row],[Frequentie weekend]]," ",Ruimtestaat[[#This Row],[Vloer code]]))</f>
        <v/>
      </c>
      <c r="BL23" s="448" t="str">
        <f>_xlfn.IFNA(VLOOKUP($BK23,Programma!$F$3:$G$1101,2,0),"")</f>
        <v/>
      </c>
      <c r="BM23" s="448" t="str">
        <f>_xlfn.IFNA(VLOOKUP($BK23,Programma!$F$3:$H$1101,3,0),"")</f>
        <v/>
      </c>
      <c r="BN23" s="448" t="str">
        <f>_xlfn.IFNA(VLOOKUP($BK23,Programma!$F$3:$I$1101,4,0),"")</f>
        <v/>
      </c>
      <c r="BO23" s="448" t="str">
        <f>_xlfn.IFNA(VLOOKUP($BK23,Programma!$F$3:$J$1101,5,0),"")</f>
        <v/>
      </c>
      <c r="BP23" s="448" t="str">
        <f>_xlfn.IFNA(VLOOKUP($BK23,Programma!$F$3:$K$1101,6,0),"")</f>
        <v/>
      </c>
      <c r="BQ23" s="448" t="str">
        <f>_xlfn.IFNA(VLOOKUP($BK23,Programma!$F$3:$L$1101,7,0),"")</f>
        <v/>
      </c>
      <c r="BR23" s="448" t="str">
        <f>_xlfn.IFNA(VLOOKUP($BK23,Programma!$F$3:$M$1101,8,0),"")</f>
        <v/>
      </c>
      <c r="BS23" s="448" t="str">
        <f>_xlfn.IFNA(VLOOKUP($BK23,Programma!$F$3:$N$1101,9,0),"")</f>
        <v/>
      </c>
      <c r="BT23" s="448" t="str">
        <f>_xlfn.IFNA(VLOOKUP($BK23,Programma!$F$3:$O$1101,10,0),"")</f>
        <v/>
      </c>
      <c r="BU23" s="448" t="str">
        <f>_xlfn.IFNA(VLOOKUP($BK23,Programma!$F$3:$P$1101,11,0),"")</f>
        <v/>
      </c>
      <c r="BV23" s="448" t="str">
        <f>_xlfn.IFNA(VLOOKUP($BK23,Programma!$F$3:$Q$1101,12,0),"")</f>
        <v/>
      </c>
      <c r="BW23" s="448" t="str">
        <f>_xlfn.IFNA(VLOOKUP($BK23,Programma!$F$3:$R$1101,13,0),"")</f>
        <v/>
      </c>
      <c r="BX23" s="448" t="str">
        <f>_xlfn.IFNA(VLOOKUP($BK23,Programma!$F$3:$S$1101,14,0),"")</f>
        <v/>
      </c>
      <c r="BY23" s="448" t="str">
        <f>_xlfn.IFNA(VLOOKUP($BK23,Programma!$F$3:$T$1101,15,0),"")</f>
        <v/>
      </c>
      <c r="BZ23" s="448" t="str">
        <f>_xlfn.IFNA(VLOOKUP($BK23,Programma!$F$3:$U$1101,16,0),"")</f>
        <v/>
      </c>
      <c r="CA23" s="448" t="str">
        <f>_xlfn.IFNA(VLOOKUP($BK23,Programma!$F$3:$V$1101,17,0),"")</f>
        <v/>
      </c>
      <c r="CB23" s="448" t="str">
        <f>_xlfn.IFNA(VLOOKUP($BK23,Programma!$F$3:$W$1101,18,0),"")</f>
        <v/>
      </c>
      <c r="CC23" s="448" t="str">
        <f>_xlfn.IFNA(VLOOKUP($BK23,Programma!$F$3:$X$1101,19,0),"")</f>
        <v/>
      </c>
      <c r="CD23" s="448" t="str">
        <f>_xlfn.IFNA(VLOOKUP($BK23,Programma!$F$3:$Y$1101,20,0),"")</f>
        <v/>
      </c>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c r="DN23" s="327"/>
      <c r="DO23" s="327"/>
      <c r="DP23" s="327"/>
      <c r="DQ23" s="327"/>
      <c r="DR23" s="327"/>
      <c r="DS23" s="327"/>
      <c r="DT23" s="327"/>
      <c r="DU23" s="327"/>
      <c r="DV23" s="327"/>
      <c r="DW23" s="327"/>
      <c r="DX23" s="327"/>
      <c r="DY23" s="327"/>
      <c r="DZ23" s="327"/>
      <c r="EA23" s="327"/>
      <c r="EB23" s="327"/>
      <c r="EC23" s="327"/>
      <c r="ED23" s="327"/>
      <c r="EE23" s="327"/>
      <c r="EF23" s="327"/>
      <c r="EG23" s="327"/>
      <c r="EH23" s="327"/>
      <c r="EI23" s="327"/>
      <c r="EJ23" s="327"/>
      <c r="EK23" s="327"/>
      <c r="EL23" s="327"/>
      <c r="EM23" s="327"/>
      <c r="EN23" s="327"/>
      <c r="EO23" s="327"/>
      <c r="EP23" s="327"/>
      <c r="EQ23" s="327"/>
      <c r="ER23" s="327"/>
      <c r="ES23" s="327"/>
      <c r="ET23" s="327"/>
      <c r="EU23" s="327"/>
      <c r="EV23" s="327"/>
      <c r="EW23" s="327"/>
      <c r="EX23" s="327"/>
      <c r="EY23" s="327"/>
      <c r="EZ23" s="327"/>
      <c r="FA23" s="327"/>
      <c r="FB23" s="327"/>
      <c r="FC23" s="327"/>
      <c r="FD23" s="327"/>
      <c r="FE23" s="327"/>
      <c r="FF23" s="327"/>
      <c r="FG23" s="327"/>
      <c r="FH23" s="327"/>
      <c r="FI23" s="327"/>
      <c r="FJ23" s="327"/>
      <c r="FK23" s="327"/>
      <c r="FL23" s="327"/>
      <c r="FM23" s="327"/>
      <c r="FN23" s="327"/>
      <c r="FO23" s="327"/>
      <c r="FP23" s="327"/>
      <c r="FQ23" s="327"/>
      <c r="FR23" s="327"/>
      <c r="FS23" s="327"/>
      <c r="FT23" s="327"/>
      <c r="FU23" s="327"/>
      <c r="FV23" s="327"/>
      <c r="FW23" s="327"/>
      <c r="FX23" s="327"/>
      <c r="FY23" s="327"/>
      <c r="FZ23" s="327"/>
      <c r="GA23" s="327"/>
      <c r="GB23" s="327"/>
      <c r="GC23" s="327"/>
      <c r="GD23" s="327"/>
      <c r="GE23" s="327"/>
      <c r="GF23" s="327"/>
      <c r="GG23" s="327"/>
      <c r="GH23" s="327"/>
      <c r="GI23" s="327"/>
      <c r="GJ23" s="327"/>
      <c r="GK23" s="327"/>
      <c r="GL23" s="327"/>
      <c r="GM23" s="327"/>
      <c r="GN23" s="327"/>
      <c r="GO23" s="327"/>
      <c r="GP23" s="327"/>
      <c r="GQ23" s="327"/>
      <c r="GR23" s="327"/>
      <c r="GS23" s="327"/>
      <c r="GT23" s="327"/>
      <c r="GU23" s="327"/>
      <c r="GV23" s="327"/>
      <c r="GW23" s="327"/>
      <c r="GX23" s="327"/>
      <c r="GY23" s="327"/>
      <c r="GZ23" s="327"/>
      <c r="HA23" s="327"/>
      <c r="HB23" s="327"/>
      <c r="HC23" s="327"/>
      <c r="HD23" s="327"/>
      <c r="HE23" s="327"/>
      <c r="HF23" s="327"/>
      <c r="HG23" s="327"/>
      <c r="HH23" s="327"/>
      <c r="HI23" s="327"/>
      <c r="HJ23" s="327"/>
      <c r="HK23" s="327"/>
      <c r="HL23" s="327"/>
      <c r="HM23" s="327"/>
      <c r="HN23" s="327"/>
      <c r="HO23" s="327"/>
      <c r="HP23" s="327"/>
      <c r="HQ23" s="327"/>
      <c r="HR23" s="327"/>
      <c r="HS23" s="327"/>
    </row>
    <row r="24" spans="1:227" ht="15" customHeight="1">
      <c r="A24" s="434">
        <v>2</v>
      </c>
      <c r="B24" s="435" t="str">
        <f>VLOOKUP(Ruimtestaat[[#This Row],[Code]],Locaties[[Code]:[Locatie]],2,FALSE)</f>
        <v>IKC  De Watersnip</v>
      </c>
      <c r="C24" s="435" t="str">
        <f>VLOOKUP(Ruimtestaat[[#This Row],[Code]],Locaties[[#All],[Code]:[Adres]],4,FALSE)</f>
        <v>César Franckrode 70-72</v>
      </c>
      <c r="D24" s="435" t="str">
        <f>VLOOKUP(Ruimtestaat[[#This Row],[Code]],Locaties[[#All],[Code]:[Postcode]],5,FALSE)</f>
        <v>2717 BG</v>
      </c>
      <c r="E24" s="435" t="str">
        <f>VLOOKUP(Ruimtestaat[[#This Row],[Code]],Locaties[#All],6,FALSE)</f>
        <v>Zoetermeer</v>
      </c>
      <c r="F24" s="434"/>
      <c r="G24" s="434" t="s">
        <v>1678</v>
      </c>
      <c r="H24" s="436" t="s">
        <v>1682</v>
      </c>
      <c r="I24" s="437" t="s">
        <v>22</v>
      </c>
      <c r="J24" s="330">
        <v>5</v>
      </c>
      <c r="K24" s="450" t="str">
        <f>VLOOKUP(Ruimtestaat[[#This Row],[Ruimte code]],Ruimtegroepen[[#All],[Code]:[Ruimte omschrijving]],2,FALSE)</f>
        <v>Sanitair</v>
      </c>
      <c r="L24" s="434" t="s">
        <v>101</v>
      </c>
      <c r="M24" s="437" t="s">
        <v>1947</v>
      </c>
      <c r="N24" s="439">
        <v>8</v>
      </c>
      <c r="O24" s="439"/>
      <c r="P24" s="439"/>
      <c r="Q24" s="439"/>
      <c r="R24" s="440" t="str">
        <f>VLOOKUP(Ruimtestaat[[#This Row],[Ruimte code]],Ruimtegroepen[],4,FALSE)</f>
        <v>Sa</v>
      </c>
      <c r="S24" s="434">
        <v>41</v>
      </c>
      <c r="T24" s="434" t="s">
        <v>2</v>
      </c>
      <c r="U24" s="434">
        <f>IF(S24&gt;0,IF(RIGHT(Ruimtestaat[[#This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4" s="434">
        <f>IF(U24&gt;0,VLOOKUP($J24,Ruimtegroepen[],3,FALSE)*VLOOKUP($L24,Vloersoorten[],3,FALSE)*VLOOKUP($T24,Frequenties[],3,FALSE)*VLOOKUP($A24,Locaties[],3,FALSE),0)</f>
        <v>0</v>
      </c>
      <c r="W24" s="434">
        <f>Ruimtestaat[[#This Row],[Uitvoeringen werkdagen]]*Ruimtestaat[[#This Row],[Oppervlak (netto)]]</f>
        <v>1640</v>
      </c>
      <c r="X24" s="441">
        <f>IF(V24&gt;0,Ruimtestaat[[#This Row],[Prest. (m2 /jaar) werkdagen]]/Ruimtestaat[[#This Row],[Norm (m2/uur) werkdagen]],0)</f>
        <v>0</v>
      </c>
      <c r="Y24" s="442">
        <f>Ruimtestaat[[#This Row],[Uitvoeringen werkdagen]]*Ruimtestaat[[#This Row],[Gedeeltelijk]]</f>
        <v>0</v>
      </c>
      <c r="Z24" s="443" t="e">
        <f>IF(U24&gt;0,Ruimtestaat[[#This Row],[Prest. (m2 / jaar) werkdagen gedeeld]]/Ruimtestaat[[#This Row],[Norm (m2/uur) werkdagen]],0)</f>
        <v>#DIV/0!</v>
      </c>
      <c r="AA24" s="441" t="e">
        <f>Ruimtestaat[[#This Row],[uren / jaar werkdagen gedeeld]]*Tariefsopbouw!$E$35</f>
        <v>#DIV/0!</v>
      </c>
      <c r="AB24" s="441">
        <f>Ruimtestaat[[#This Row],[Uitvoeringen werkdagen]]*Ruimtestaat[[#This Row],[BSO]]</f>
        <v>0</v>
      </c>
      <c r="AC24" s="443" t="e">
        <f>IF(U24&gt;0,Ruimtestaat[[#This Row],[Prest. (m2 / jaar) werkdagen BSO]]/Ruimtestaat[[#This Row],[Norm (m2/uur) werkdagen]],0)</f>
        <v>#DIV/0!</v>
      </c>
      <c r="AD24" s="443" t="e">
        <f>Ruimtestaat[[#This Row],[uren / jaar werkdagen BSO]]*Tariefsopbouw!$E$35</f>
        <v>#DIV/0!</v>
      </c>
      <c r="AE24" s="444">
        <f>Ruimtestaat[[#This Row],[uren / jaar werkdagen]]*Tariefsopbouw!$E$35</f>
        <v>0</v>
      </c>
      <c r="AF24" s="434"/>
      <c r="AG24" s="434">
        <f>IF(Ruimtestaat[[#This Row],[Frequentie weekend]]&gt;0,VALUE(LEFT(AF24,1))*S24,0)</f>
        <v>0</v>
      </c>
      <c r="AH24" s="445">
        <f>IF($AG24&gt;0,VLOOKUP($J24,Ruimtegroepen[],3,FALSE)*VLOOKUP($L24,Vloersoorten[],3,FALSE)*VLOOKUP($AF24,Frequenties[],3,FALSE)*VLOOKUP(Ruimtestaat[[#This Row],[Code]],Locaties[],3,FALSE),0)</f>
        <v>0</v>
      </c>
      <c r="AI24" s="445">
        <f>Ruimtestaat[[#This Row],[Uitvoeringen weekend]]*Ruimtestaat[[#This Row],[Oppervlak (netto)]]</f>
        <v>0</v>
      </c>
      <c r="AJ24" s="445">
        <f>IF(AH24&gt;0,Ruimtestaat[[#This Row],[Prest. (m2 /jaar) weekend]]/Ruimtestaat[[#This Row],[Norm (m2/uur) weekend]],0)</f>
        <v>0</v>
      </c>
      <c r="AK24" s="444">
        <f>Ruimtestaat[[#This Row],[uren / jaar weekend]]*Tariefsopbouw!$D$40</f>
        <v>0</v>
      </c>
      <c r="AL24" s="441">
        <f>Ruimtestaat[[#This Row],[Prest. (m2 /jaar) weekend]]+Ruimtestaat[[#This Row],[Prest. (m2 /jaar) werkdagen]]</f>
        <v>1640</v>
      </c>
      <c r="AM24" s="441">
        <f>Ruimtestaat[[#This Row],[uren / jaar weekend]]+Ruimtestaat[[#This Row],[uren / jaar werkdagen]]</f>
        <v>0</v>
      </c>
      <c r="AN24" s="446">
        <f>Ruimtestaat[[#This Row],[kosten / jaar weekend]]+Ruimtestaat[[#This Row],[kosten / jaar werkdagen]]</f>
        <v>0</v>
      </c>
      <c r="AO24" s="446"/>
      <c r="AP24" s="447" t="str">
        <f>IF(Ruimtestaat[[#This Row],[Frequentie werkdagen]]="","",_xlfn.CONCAT(Ruimtestaat[[#This Row],[Ruimte code]],"-",Ruimtestaat[[#This Row],[Frequentie werkdagen]]," ",Ruimtestaat[[#This Row],[Vloer code]]))</f>
        <v>5-5w S</v>
      </c>
      <c r="AQ24" s="448" t="str">
        <f>_xlfn.IFNA(VLOOKUP($AP24,Programma!$F$3:$G$1101,2,0),"")</f>
        <v>_</v>
      </c>
      <c r="AR24" s="448" t="str">
        <f>_xlfn.IFNA(VLOOKUP($AP24,Programma!$F$3:$H$1101,3,0),"")</f>
        <v>_</v>
      </c>
      <c r="AS24" s="448" t="str">
        <f>_xlfn.IFNA(VLOOKUP($AP24,Programma!$F$3:$I$1101,4,0),"")</f>
        <v>_</v>
      </c>
      <c r="AT24" s="448" t="str">
        <f>_xlfn.IFNA(VLOOKUP($AP24,Programma!$F$3:$J$1101,5,0),"")</f>
        <v>4w</v>
      </c>
      <c r="AU24" s="448" t="str">
        <f>_xlfn.IFNA(VLOOKUP($AP24,Programma!$F$3:$K$1101,6,0),"")</f>
        <v>1w</v>
      </c>
      <c r="AV24" s="448" t="str">
        <f>_xlfn.IFNA(VLOOKUP($AP24,Programma!$F$3:$L$1101,7,0),"")</f>
        <v>_</v>
      </c>
      <c r="AW24" s="448" t="str">
        <f>_xlfn.IFNA(VLOOKUP($AP24,Programma!$F$3:$M$1101,8,0),"")</f>
        <v>_</v>
      </c>
      <c r="AX24" s="448" t="str">
        <f>_xlfn.IFNA(VLOOKUP($AP24,Programma!$F$3:$N$1101,9,0),"")</f>
        <v>_</v>
      </c>
      <c r="AY24" s="448" t="str">
        <f>_xlfn.IFNA(VLOOKUP($AP24,Programma!$F$3:$O$1101,10,0),"")</f>
        <v>_</v>
      </c>
      <c r="AZ24" s="448" t="str">
        <f>_xlfn.IFNA(VLOOKUP($AP24,Programma!$F$3:$P$1101,11,0),"")</f>
        <v>_</v>
      </c>
      <c r="BA24" s="448" t="str">
        <f>_xlfn.IFNA(VLOOKUP($AP24,Programma!$F$3:$Q$1101,12,0),"")</f>
        <v>_</v>
      </c>
      <c r="BB24" s="448" t="str">
        <f>_xlfn.IFNA(VLOOKUP($AP24,Programma!$F$3:$R$1101,13,0),"")</f>
        <v>_</v>
      </c>
      <c r="BC24" s="448" t="str">
        <f>_xlfn.IFNA(VLOOKUP($AP24,Programma!$F$3:$S$1101,14,0),"")</f>
        <v>_</v>
      </c>
      <c r="BD24" s="448" t="str">
        <f>_xlfn.IFNA(VLOOKUP($AP24,Programma!$F$3:$T$1101,15,0),"")</f>
        <v>_</v>
      </c>
      <c r="BE24" s="448" t="str">
        <f>_xlfn.IFNA(VLOOKUP($AP24,Programma!$F$3:$U$1101,16,0),"")</f>
        <v>_</v>
      </c>
      <c r="BF24" s="448" t="str">
        <f>_xlfn.IFNA(VLOOKUP($AP24,Programma!$F$3:$V$1101,17,0),"")</f>
        <v>_</v>
      </c>
      <c r="BG24" s="448" t="str">
        <f>_xlfn.IFNA(VLOOKUP($AP24,Programma!$F$3:$W$1101,18,0),"")</f>
        <v>4w</v>
      </c>
      <c r="BH24" s="448" t="str">
        <f>_xlfn.IFNA(VLOOKUP($AP24,Programma!$F$3:$X$1101,19,0),"")</f>
        <v>1w</v>
      </c>
      <c r="BI24" s="448" t="str">
        <f>_xlfn.IFNA(VLOOKUP($AP24,Programma!$F$3:$Y$1101,20,0),"")</f>
        <v>_</v>
      </c>
      <c r="BJ24" s="449"/>
      <c r="BK24" s="447" t="str">
        <f>IF(Ruimtestaat[[#This Row],[Frequentie weekend]]="","",_xlfn.CONCAT(Ruimtestaat[[#This Row],[Ruimte code]],"-",Ruimtestaat[[#This Row],[Frequentie weekend]]," ",Ruimtestaat[[#This Row],[Vloer code]]))</f>
        <v/>
      </c>
      <c r="BL24" s="448" t="str">
        <f>_xlfn.IFNA(VLOOKUP($BK24,Programma!$F$3:$G$1101,2,0),"")</f>
        <v/>
      </c>
      <c r="BM24" s="448" t="str">
        <f>_xlfn.IFNA(VLOOKUP($BK24,Programma!$F$3:$H$1101,3,0),"")</f>
        <v/>
      </c>
      <c r="BN24" s="448" t="str">
        <f>_xlfn.IFNA(VLOOKUP($BK24,Programma!$F$3:$I$1101,4,0),"")</f>
        <v/>
      </c>
      <c r="BO24" s="448" t="str">
        <f>_xlfn.IFNA(VLOOKUP($BK24,Programma!$F$3:$J$1101,5,0),"")</f>
        <v/>
      </c>
      <c r="BP24" s="448" t="str">
        <f>_xlfn.IFNA(VLOOKUP($BK24,Programma!$F$3:$K$1101,6,0),"")</f>
        <v/>
      </c>
      <c r="BQ24" s="448" t="str">
        <f>_xlfn.IFNA(VLOOKUP($BK24,Programma!$F$3:$L$1101,7,0),"")</f>
        <v/>
      </c>
      <c r="BR24" s="448" t="str">
        <f>_xlfn.IFNA(VLOOKUP($BK24,Programma!$F$3:$M$1101,8,0),"")</f>
        <v/>
      </c>
      <c r="BS24" s="448" t="str">
        <f>_xlfn.IFNA(VLOOKUP($BK24,Programma!$F$3:$N$1101,9,0),"")</f>
        <v/>
      </c>
      <c r="BT24" s="448" t="str">
        <f>_xlfn.IFNA(VLOOKUP($BK24,Programma!$F$3:$O$1101,10,0),"")</f>
        <v/>
      </c>
      <c r="BU24" s="448" t="str">
        <f>_xlfn.IFNA(VLOOKUP($BK24,Programma!$F$3:$P$1101,11,0),"")</f>
        <v/>
      </c>
      <c r="BV24" s="448" t="str">
        <f>_xlfn.IFNA(VLOOKUP($BK24,Programma!$F$3:$Q$1101,12,0),"")</f>
        <v/>
      </c>
      <c r="BW24" s="448" t="str">
        <f>_xlfn.IFNA(VLOOKUP($BK24,Programma!$F$3:$R$1101,13,0),"")</f>
        <v/>
      </c>
      <c r="BX24" s="448" t="str">
        <f>_xlfn.IFNA(VLOOKUP($BK24,Programma!$F$3:$S$1101,14,0),"")</f>
        <v/>
      </c>
      <c r="BY24" s="448" t="str">
        <f>_xlfn.IFNA(VLOOKUP($BK24,Programma!$F$3:$T$1101,15,0),"")</f>
        <v/>
      </c>
      <c r="BZ24" s="448" t="str">
        <f>_xlfn.IFNA(VLOOKUP($BK24,Programma!$F$3:$U$1101,16,0),"")</f>
        <v/>
      </c>
      <c r="CA24" s="448" t="str">
        <f>_xlfn.IFNA(VLOOKUP($BK24,Programma!$F$3:$V$1101,17,0),"")</f>
        <v/>
      </c>
      <c r="CB24" s="448" t="str">
        <f>_xlfn.IFNA(VLOOKUP($BK24,Programma!$F$3:$W$1101,18,0),"")</f>
        <v/>
      </c>
      <c r="CC24" s="448" t="str">
        <f>_xlfn.IFNA(VLOOKUP($BK24,Programma!$F$3:$X$1101,19,0),"")</f>
        <v/>
      </c>
      <c r="CD24" s="448" t="str">
        <f>_xlfn.IFNA(VLOOKUP($BK24,Programma!$F$3:$Y$1101,20,0),"")</f>
        <v/>
      </c>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c r="DN24" s="327"/>
      <c r="DO24" s="327"/>
      <c r="DP24" s="327"/>
      <c r="DQ24" s="327"/>
      <c r="DR24" s="327"/>
      <c r="DS24" s="327"/>
      <c r="DT24" s="327"/>
      <c r="DU24" s="327"/>
      <c r="DV24" s="327"/>
      <c r="DW24" s="327"/>
      <c r="DX24" s="327"/>
      <c r="DY24" s="327"/>
      <c r="DZ24" s="327"/>
      <c r="EA24" s="327"/>
      <c r="EB24" s="327"/>
      <c r="EC24" s="327"/>
      <c r="ED24" s="327"/>
      <c r="EE24" s="327"/>
      <c r="EF24" s="327"/>
      <c r="EG24" s="327"/>
      <c r="EH24" s="327"/>
      <c r="EI24" s="327"/>
      <c r="EJ24" s="327"/>
      <c r="EK24" s="327"/>
      <c r="EL24" s="327"/>
      <c r="EM24" s="327"/>
      <c r="EN24" s="327"/>
      <c r="EO24" s="327"/>
      <c r="EP24" s="327"/>
      <c r="EQ24" s="327"/>
      <c r="ER24" s="327"/>
      <c r="ES24" s="327"/>
      <c r="ET24" s="327"/>
      <c r="EU24" s="327"/>
      <c r="EV24" s="327"/>
      <c r="EW24" s="327"/>
      <c r="EX24" s="327"/>
      <c r="EY24" s="327"/>
      <c r="EZ24" s="327"/>
      <c r="FA24" s="327"/>
      <c r="FB24" s="327"/>
      <c r="FC24" s="327"/>
      <c r="FD24" s="327"/>
      <c r="FE24" s="327"/>
      <c r="FF24" s="327"/>
      <c r="FG24" s="327"/>
      <c r="FH24" s="327"/>
      <c r="FI24" s="327"/>
      <c r="FJ24" s="327"/>
      <c r="FK24" s="327"/>
      <c r="FL24" s="327"/>
      <c r="FM24" s="327"/>
      <c r="FN24" s="327"/>
      <c r="FO24" s="327"/>
      <c r="FP24" s="327"/>
      <c r="FQ24" s="327"/>
      <c r="FR24" s="327"/>
      <c r="FS24" s="327"/>
      <c r="FT24" s="327"/>
      <c r="FU24" s="327"/>
      <c r="FV24" s="327"/>
      <c r="FW24" s="327"/>
      <c r="FX24" s="327"/>
      <c r="FY24" s="327"/>
      <c r="FZ24" s="327"/>
      <c r="GA24" s="327"/>
      <c r="GB24" s="327"/>
      <c r="GC24" s="327"/>
      <c r="GD24" s="327"/>
      <c r="GE24" s="327"/>
      <c r="GF24" s="327"/>
      <c r="GG24" s="327"/>
      <c r="GH24" s="327"/>
      <c r="GI24" s="327"/>
      <c r="GJ24" s="327"/>
      <c r="GK24" s="327"/>
      <c r="GL24" s="327"/>
      <c r="GM24" s="327"/>
      <c r="GN24" s="327"/>
      <c r="GO24" s="327"/>
      <c r="GP24" s="327"/>
      <c r="GQ24" s="327"/>
      <c r="GR24" s="327"/>
      <c r="GS24" s="327"/>
      <c r="GT24" s="327"/>
      <c r="GU24" s="327"/>
      <c r="GV24" s="327"/>
      <c r="GW24" s="327"/>
      <c r="GX24" s="327"/>
      <c r="GY24" s="327"/>
      <c r="GZ24" s="327"/>
      <c r="HA24" s="327"/>
      <c r="HB24" s="327"/>
      <c r="HC24" s="327"/>
      <c r="HD24" s="327"/>
      <c r="HE24" s="327"/>
      <c r="HF24" s="327"/>
      <c r="HG24" s="327"/>
      <c r="HH24" s="327"/>
      <c r="HI24" s="327"/>
      <c r="HJ24" s="327"/>
      <c r="HK24" s="327"/>
      <c r="HL24" s="327"/>
      <c r="HM24" s="327"/>
      <c r="HN24" s="327"/>
      <c r="HO24" s="327"/>
      <c r="HP24" s="327"/>
      <c r="HQ24" s="327"/>
      <c r="HR24" s="327"/>
      <c r="HS24" s="327"/>
    </row>
    <row r="25" spans="1:227" ht="15" customHeight="1">
      <c r="A25" s="434">
        <v>2</v>
      </c>
      <c r="B25" s="435" t="str">
        <f>VLOOKUP(Ruimtestaat[[#This Row],[Code]],Locaties[[Code]:[Locatie]],2,FALSE)</f>
        <v>IKC  De Watersnip</v>
      </c>
      <c r="C25" s="435" t="str">
        <f>VLOOKUP(Ruimtestaat[[#This Row],[Code]],Locaties[[#All],[Code]:[Adres]],4,FALSE)</f>
        <v>César Franckrode 70-72</v>
      </c>
      <c r="D25" s="435" t="str">
        <f>VLOOKUP(Ruimtestaat[[#This Row],[Code]],Locaties[[#All],[Code]:[Postcode]],5,FALSE)</f>
        <v>2717 BG</v>
      </c>
      <c r="E25" s="435" t="str">
        <f>VLOOKUP(Ruimtestaat[[#This Row],[Code]],Locaties[#All],6,FALSE)</f>
        <v>Zoetermeer</v>
      </c>
      <c r="F25" s="434"/>
      <c r="G25" s="434" t="s">
        <v>1678</v>
      </c>
      <c r="H25" s="436" t="s">
        <v>1683</v>
      </c>
      <c r="I25" s="437" t="s">
        <v>1684</v>
      </c>
      <c r="J25" s="330">
        <v>18</v>
      </c>
      <c r="K25" s="450" t="str">
        <f>VLOOKUP(Ruimtestaat[[#This Row],[Ruimte code]],Ruimtegroepen[[#All],[Code]:[Ruimte omschrijving]],2,FALSE)</f>
        <v>Gymzaal</v>
      </c>
      <c r="L25" s="434" t="s">
        <v>102</v>
      </c>
      <c r="M25" s="437" t="s">
        <v>2104</v>
      </c>
      <c r="N25" s="439">
        <v>88</v>
      </c>
      <c r="O25" s="439"/>
      <c r="P25" s="439"/>
      <c r="Q25" s="439"/>
      <c r="R25" s="440" t="str">
        <f>VLOOKUP(Ruimtestaat[[#This Row],[Ruimte code]],Ruimtegroepen[],4,FALSE)</f>
        <v>Sp</v>
      </c>
      <c r="S25" s="434">
        <v>40</v>
      </c>
      <c r="T25" s="434" t="s">
        <v>2</v>
      </c>
      <c r="U25" s="434">
        <f>IF(S25&gt;0,IF(RIGHT(Ruimtestaat[[#This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 s="434">
        <f>IF(U25&gt;0,VLOOKUP($J25,Ruimtegroepen[],3,FALSE)*VLOOKUP($L25,Vloersoorten[],3,FALSE)*VLOOKUP($T25,Frequenties[],3,FALSE)*VLOOKUP($A25,Locaties[],3,FALSE),0)</f>
        <v>0</v>
      </c>
      <c r="W25" s="434">
        <f>Ruimtestaat[[#This Row],[Uitvoeringen werkdagen]]*Ruimtestaat[[#This Row],[Oppervlak (netto)]]</f>
        <v>17600</v>
      </c>
      <c r="X25" s="441">
        <f>IF(V25&gt;0,Ruimtestaat[[#This Row],[Prest. (m2 /jaar) werkdagen]]/Ruimtestaat[[#This Row],[Norm (m2/uur) werkdagen]],0)</f>
        <v>0</v>
      </c>
      <c r="Y25" s="442">
        <f>Ruimtestaat[[#This Row],[Uitvoeringen werkdagen]]*Ruimtestaat[[#This Row],[Gedeeltelijk]]</f>
        <v>0</v>
      </c>
      <c r="Z25" s="443" t="e">
        <f>IF(U25&gt;0,Ruimtestaat[[#This Row],[Prest. (m2 / jaar) werkdagen gedeeld]]/Ruimtestaat[[#This Row],[Norm (m2/uur) werkdagen]],0)</f>
        <v>#DIV/0!</v>
      </c>
      <c r="AA25" s="441" t="e">
        <f>Ruimtestaat[[#This Row],[uren / jaar werkdagen gedeeld]]*Tariefsopbouw!$E$35</f>
        <v>#DIV/0!</v>
      </c>
      <c r="AB25" s="441">
        <f>Ruimtestaat[[#This Row],[Uitvoeringen werkdagen]]*Ruimtestaat[[#This Row],[BSO]]</f>
        <v>0</v>
      </c>
      <c r="AC25" s="443" t="e">
        <f>IF(U25&gt;0,Ruimtestaat[[#This Row],[Prest. (m2 / jaar) werkdagen BSO]]/Ruimtestaat[[#This Row],[Norm (m2/uur) werkdagen]],0)</f>
        <v>#DIV/0!</v>
      </c>
      <c r="AD25" s="443" t="e">
        <f>Ruimtestaat[[#This Row],[uren / jaar werkdagen BSO]]*Tariefsopbouw!$E$35</f>
        <v>#DIV/0!</v>
      </c>
      <c r="AE25" s="444">
        <f>Ruimtestaat[[#This Row],[uren / jaar werkdagen]]*Tariefsopbouw!$E$35</f>
        <v>0</v>
      </c>
      <c r="AF25" s="434"/>
      <c r="AG25" s="434">
        <f>IF(Ruimtestaat[[#This Row],[Frequentie weekend]]&gt;0,VALUE(LEFT(AF25,1))*S25,0)</f>
        <v>0</v>
      </c>
      <c r="AH25" s="445">
        <f>IF($AG25&gt;0,VLOOKUP($J25,Ruimtegroepen[],3,FALSE)*VLOOKUP($L25,Vloersoorten[],3,FALSE)*VLOOKUP($AF25,Frequenties[],3,FALSE)*VLOOKUP(Ruimtestaat[[#This Row],[Code]],Locaties[],3,FALSE),0)</f>
        <v>0</v>
      </c>
      <c r="AI25" s="445">
        <f>Ruimtestaat[[#This Row],[Uitvoeringen weekend]]*Ruimtestaat[[#This Row],[Oppervlak (netto)]]</f>
        <v>0</v>
      </c>
      <c r="AJ25" s="445">
        <f>IF(AH25&gt;0,Ruimtestaat[[#This Row],[Prest. (m2 /jaar) weekend]]/Ruimtestaat[[#This Row],[Norm (m2/uur) weekend]],0)</f>
        <v>0</v>
      </c>
      <c r="AK25" s="444">
        <f>Ruimtestaat[[#This Row],[uren / jaar weekend]]*Tariefsopbouw!$D$40</f>
        <v>0</v>
      </c>
      <c r="AL25" s="441">
        <f>Ruimtestaat[[#This Row],[Prest. (m2 /jaar) weekend]]+Ruimtestaat[[#This Row],[Prest. (m2 /jaar) werkdagen]]</f>
        <v>17600</v>
      </c>
      <c r="AM25" s="441">
        <f>Ruimtestaat[[#This Row],[uren / jaar weekend]]+Ruimtestaat[[#This Row],[uren / jaar werkdagen]]</f>
        <v>0</v>
      </c>
      <c r="AN25" s="446">
        <f>Ruimtestaat[[#This Row],[kosten / jaar weekend]]+Ruimtestaat[[#This Row],[kosten / jaar werkdagen]]</f>
        <v>0</v>
      </c>
      <c r="AO25" s="446"/>
      <c r="AP25" s="447" t="str">
        <f>IF(Ruimtestaat[[#This Row],[Frequentie werkdagen]]="","",_xlfn.CONCAT(Ruimtestaat[[#This Row],[Ruimte code]],"-",Ruimtestaat[[#This Row],[Frequentie werkdagen]]," ",Ruimtestaat[[#This Row],[Vloer code]]))</f>
        <v>18-5w P</v>
      </c>
      <c r="AQ25" s="448" t="str">
        <f>_xlfn.IFNA(VLOOKUP($AP25,Programma!$F$3:$G$1101,2,0),"")</f>
        <v>_</v>
      </c>
      <c r="AR25" s="448" t="str">
        <f>_xlfn.IFNA(VLOOKUP($AP25,Programma!$F$3:$H$1101,3,0),"")</f>
        <v>_</v>
      </c>
      <c r="AS25" s="448" t="str">
        <f>_xlfn.IFNA(VLOOKUP($AP25,Programma!$F$3:$I$1101,4,0),"")</f>
        <v>4w</v>
      </c>
      <c r="AT25" s="448" t="str">
        <f>_xlfn.IFNA(VLOOKUP($AP25,Programma!$F$3:$J$1101,5,0),"")</f>
        <v>1w</v>
      </c>
      <c r="AU25" s="448" t="str">
        <f>_xlfn.IFNA(VLOOKUP($AP25,Programma!$F$3:$K$1101,6,0),"")</f>
        <v>4j</v>
      </c>
      <c r="AV25" s="448" t="str">
        <f>_xlfn.IFNA(VLOOKUP($AP25,Programma!$F$3:$L$1101,7,0),"")</f>
        <v>_</v>
      </c>
      <c r="AW25" s="448" t="str">
        <f>_xlfn.IFNA(VLOOKUP($AP25,Programma!$F$3:$M$1101,8,0),"")</f>
        <v>_</v>
      </c>
      <c r="AX25" s="448" t="str">
        <f>_xlfn.IFNA(VLOOKUP($AP25,Programma!$F$3:$N$1101,9,0),"")</f>
        <v>_</v>
      </c>
      <c r="AY25" s="448" t="str">
        <f>_xlfn.IFNA(VLOOKUP($AP25,Programma!$F$3:$O$1101,10,0),"")</f>
        <v>5w</v>
      </c>
      <c r="AZ25" s="448" t="str">
        <f>_xlfn.IFNA(VLOOKUP($AP25,Programma!$F$3:$P$1101,11,0),"")</f>
        <v>5w</v>
      </c>
      <c r="BA25" s="448" t="str">
        <f>_xlfn.IFNA(VLOOKUP($AP25,Programma!$F$3:$Q$1101,12,0),"")</f>
        <v>5w</v>
      </c>
      <c r="BB25" s="448" t="str">
        <f>_xlfn.IFNA(VLOOKUP($AP25,Programma!$F$3:$R$1101,13,0),"")</f>
        <v>5w</v>
      </c>
      <c r="BC25" s="448" t="str">
        <f>_xlfn.IFNA(VLOOKUP($AP25,Programma!$F$3:$S$1101,14,0),"")</f>
        <v>1m</v>
      </c>
      <c r="BD25" s="448" t="str">
        <f>_xlfn.IFNA(VLOOKUP($AP25,Programma!$F$3:$T$1101,15,0),"")</f>
        <v>2j</v>
      </c>
      <c r="BE25" s="448" t="str">
        <f>_xlfn.IFNA(VLOOKUP($AP25,Programma!$F$3:$U$1101,16,0),"")</f>
        <v>1j</v>
      </c>
      <c r="BF25" s="448" t="str">
        <f>_xlfn.IFNA(VLOOKUP($AP25,Programma!$F$3:$V$1101,17,0),"")</f>
        <v>_</v>
      </c>
      <c r="BG25" s="448" t="str">
        <f>_xlfn.IFNA(VLOOKUP($AP25,Programma!$F$3:$W$1101,18,0),"")</f>
        <v>_</v>
      </c>
      <c r="BH25" s="448" t="str">
        <f>_xlfn.IFNA(VLOOKUP($AP25,Programma!$F$3:$X$1101,19,0),"")</f>
        <v>_</v>
      </c>
      <c r="BI25" s="448" t="str">
        <f>_xlfn.IFNA(VLOOKUP($AP25,Programma!$F$3:$Y$1101,20,0),"")</f>
        <v>_</v>
      </c>
      <c r="BJ25" s="449"/>
      <c r="BK25" s="447" t="str">
        <f>IF(Ruimtestaat[[#This Row],[Frequentie weekend]]="","",_xlfn.CONCAT(Ruimtestaat[[#This Row],[Ruimte code]],"-",Ruimtestaat[[#This Row],[Frequentie weekend]]," ",Ruimtestaat[[#This Row],[Vloer code]]))</f>
        <v/>
      </c>
      <c r="BL25" s="448" t="str">
        <f>_xlfn.IFNA(VLOOKUP($BK25,Programma!$F$3:$G$1101,2,0),"")</f>
        <v/>
      </c>
      <c r="BM25" s="448" t="str">
        <f>_xlfn.IFNA(VLOOKUP($BK25,Programma!$F$3:$H$1101,3,0),"")</f>
        <v/>
      </c>
      <c r="BN25" s="448" t="str">
        <f>_xlfn.IFNA(VLOOKUP($BK25,Programma!$F$3:$I$1101,4,0),"")</f>
        <v/>
      </c>
      <c r="BO25" s="448" t="str">
        <f>_xlfn.IFNA(VLOOKUP($BK25,Programma!$F$3:$J$1101,5,0),"")</f>
        <v/>
      </c>
      <c r="BP25" s="448" t="str">
        <f>_xlfn.IFNA(VLOOKUP($BK25,Programma!$F$3:$K$1101,6,0),"")</f>
        <v/>
      </c>
      <c r="BQ25" s="448" t="str">
        <f>_xlfn.IFNA(VLOOKUP($BK25,Programma!$F$3:$L$1101,7,0),"")</f>
        <v/>
      </c>
      <c r="BR25" s="448" t="str">
        <f>_xlfn.IFNA(VLOOKUP($BK25,Programma!$F$3:$M$1101,8,0),"")</f>
        <v/>
      </c>
      <c r="BS25" s="448" t="str">
        <f>_xlfn.IFNA(VLOOKUP($BK25,Programma!$F$3:$N$1101,9,0),"")</f>
        <v/>
      </c>
      <c r="BT25" s="448" t="str">
        <f>_xlfn.IFNA(VLOOKUP($BK25,Programma!$F$3:$O$1101,10,0),"")</f>
        <v/>
      </c>
      <c r="BU25" s="448" t="str">
        <f>_xlfn.IFNA(VLOOKUP($BK25,Programma!$F$3:$P$1101,11,0),"")</f>
        <v/>
      </c>
      <c r="BV25" s="448" t="str">
        <f>_xlfn.IFNA(VLOOKUP($BK25,Programma!$F$3:$Q$1101,12,0),"")</f>
        <v/>
      </c>
      <c r="BW25" s="448" t="str">
        <f>_xlfn.IFNA(VLOOKUP($BK25,Programma!$F$3:$R$1101,13,0),"")</f>
        <v/>
      </c>
      <c r="BX25" s="448" t="str">
        <f>_xlfn.IFNA(VLOOKUP($BK25,Programma!$F$3:$S$1101,14,0),"")</f>
        <v/>
      </c>
      <c r="BY25" s="448" t="str">
        <f>_xlfn.IFNA(VLOOKUP($BK25,Programma!$F$3:$T$1101,15,0),"")</f>
        <v/>
      </c>
      <c r="BZ25" s="448" t="str">
        <f>_xlfn.IFNA(VLOOKUP($BK25,Programma!$F$3:$U$1101,16,0),"")</f>
        <v/>
      </c>
      <c r="CA25" s="448" t="str">
        <f>_xlfn.IFNA(VLOOKUP($BK25,Programma!$F$3:$V$1101,17,0),"")</f>
        <v/>
      </c>
      <c r="CB25" s="448" t="str">
        <f>_xlfn.IFNA(VLOOKUP($BK25,Programma!$F$3:$W$1101,18,0),"")</f>
        <v/>
      </c>
      <c r="CC25" s="448" t="str">
        <f>_xlfn.IFNA(VLOOKUP($BK25,Programma!$F$3:$X$1101,19,0),"")</f>
        <v/>
      </c>
      <c r="CD25" s="448" t="str">
        <f>_xlfn.IFNA(VLOOKUP($BK25,Programma!$F$3:$Y$1101,20,0),"")</f>
        <v/>
      </c>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c r="DN25" s="327"/>
      <c r="DO25" s="327"/>
      <c r="DP25" s="327"/>
      <c r="DQ25" s="327"/>
      <c r="DR25" s="327"/>
      <c r="DS25" s="327"/>
      <c r="DT25" s="327"/>
      <c r="DU25" s="327"/>
      <c r="DV25" s="327"/>
      <c r="DW25" s="327"/>
      <c r="DX25" s="327"/>
      <c r="DY25" s="327"/>
      <c r="DZ25" s="327"/>
      <c r="EA25" s="327"/>
      <c r="EB25" s="327"/>
      <c r="EC25" s="327"/>
      <c r="ED25" s="327"/>
      <c r="EE25" s="327"/>
      <c r="EF25" s="327"/>
      <c r="EG25" s="327"/>
      <c r="EH25" s="327"/>
      <c r="EI25" s="327"/>
      <c r="EJ25" s="327"/>
      <c r="EK25" s="327"/>
      <c r="EL25" s="327"/>
      <c r="EM25" s="327"/>
      <c r="EN25" s="327"/>
      <c r="EO25" s="327"/>
      <c r="EP25" s="327"/>
      <c r="EQ25" s="327"/>
      <c r="ER25" s="327"/>
      <c r="ES25" s="327"/>
      <c r="ET25" s="327"/>
      <c r="EU25" s="327"/>
      <c r="EV25" s="327"/>
      <c r="EW25" s="327"/>
      <c r="EX25" s="327"/>
      <c r="EY25" s="327"/>
      <c r="EZ25" s="327"/>
      <c r="FA25" s="327"/>
      <c r="FB25" s="327"/>
      <c r="FC25" s="327"/>
      <c r="FD25" s="327"/>
      <c r="FE25" s="327"/>
      <c r="FF25" s="327"/>
      <c r="FG25" s="327"/>
      <c r="FH25" s="327"/>
      <c r="FI25" s="327"/>
      <c r="FJ25" s="327"/>
      <c r="FK25" s="327"/>
      <c r="FL25" s="327"/>
      <c r="FM25" s="327"/>
      <c r="FN25" s="327"/>
      <c r="FO25" s="327"/>
      <c r="FP25" s="327"/>
      <c r="FQ25" s="327"/>
      <c r="FR25" s="327"/>
      <c r="FS25" s="327"/>
      <c r="FT25" s="327"/>
      <c r="FU25" s="327"/>
      <c r="FV25" s="327"/>
      <c r="FW25" s="327"/>
      <c r="FX25" s="327"/>
      <c r="FY25" s="327"/>
      <c r="FZ25" s="327"/>
      <c r="GA25" s="327"/>
      <c r="GB25" s="327"/>
      <c r="GC25" s="327"/>
      <c r="GD25" s="327"/>
      <c r="GE25" s="327"/>
      <c r="GF25" s="327"/>
      <c r="GG25" s="327"/>
      <c r="GH25" s="327"/>
      <c r="GI25" s="327"/>
      <c r="GJ25" s="327"/>
      <c r="GK25" s="327"/>
      <c r="GL25" s="327"/>
      <c r="GM25" s="327"/>
      <c r="GN25" s="327"/>
      <c r="GO25" s="327"/>
      <c r="GP25" s="327"/>
      <c r="GQ25" s="327"/>
      <c r="GR25" s="327"/>
      <c r="GS25" s="327"/>
      <c r="GT25" s="327"/>
      <c r="GU25" s="327"/>
      <c r="GV25" s="327"/>
      <c r="GW25" s="327"/>
      <c r="GX25" s="327"/>
      <c r="GY25" s="327"/>
      <c r="GZ25" s="327"/>
      <c r="HA25" s="327"/>
      <c r="HB25" s="327"/>
      <c r="HC25" s="327"/>
      <c r="HD25" s="327"/>
      <c r="HE25" s="327"/>
      <c r="HF25" s="327"/>
      <c r="HG25" s="327"/>
      <c r="HH25" s="327"/>
      <c r="HI25" s="327"/>
      <c r="HJ25" s="327"/>
      <c r="HK25" s="327"/>
      <c r="HL25" s="327"/>
      <c r="HM25" s="327"/>
      <c r="HN25" s="327"/>
      <c r="HO25" s="327"/>
      <c r="HP25" s="327"/>
      <c r="HQ25" s="327"/>
      <c r="HR25" s="327"/>
      <c r="HS25" s="327"/>
    </row>
    <row r="26" spans="1:227" ht="15" customHeight="1">
      <c r="A26" s="434">
        <v>2</v>
      </c>
      <c r="B26" s="435" t="str">
        <f>VLOOKUP(Ruimtestaat[[#This Row],[Code]],Locaties[[Code]:[Locatie]],2,FALSE)</f>
        <v>IKC  De Watersnip</v>
      </c>
      <c r="C26" s="435" t="str">
        <f>VLOOKUP(Ruimtestaat[[#This Row],[Code]],Locaties[[#All],[Code]:[Adres]],4,FALSE)</f>
        <v>César Franckrode 70-72</v>
      </c>
      <c r="D26" s="435" t="str">
        <f>VLOOKUP(Ruimtestaat[[#This Row],[Code]],Locaties[[#All],[Code]:[Postcode]],5,FALSE)</f>
        <v>2717 BG</v>
      </c>
      <c r="E26" s="435" t="str">
        <f>VLOOKUP(Ruimtestaat[[#This Row],[Code]],Locaties[#All],6,FALSE)</f>
        <v>Zoetermeer</v>
      </c>
      <c r="F26" s="434"/>
      <c r="G26" s="434" t="s">
        <v>1678</v>
      </c>
      <c r="H26" s="436" t="s">
        <v>1685</v>
      </c>
      <c r="I26" s="437" t="s">
        <v>22</v>
      </c>
      <c r="J26" s="330">
        <v>5</v>
      </c>
      <c r="K26" s="450" t="str">
        <f>VLOOKUP(Ruimtestaat[[#This Row],[Ruimte code]],Ruimtegroepen[[#All],[Code]:[Ruimte omschrijving]],2,FALSE)</f>
        <v>Sanitair</v>
      </c>
      <c r="L26" s="434" t="s">
        <v>101</v>
      </c>
      <c r="M26" s="437" t="s">
        <v>1947</v>
      </c>
      <c r="N26" s="439">
        <v>2</v>
      </c>
      <c r="O26" s="439"/>
      <c r="P26" s="439"/>
      <c r="Q26" s="439"/>
      <c r="R26" s="440" t="str">
        <f>VLOOKUP(Ruimtestaat[[#This Row],[Ruimte code]],Ruimtegroepen[],4,FALSE)</f>
        <v>Sa</v>
      </c>
      <c r="S26" s="434">
        <v>41</v>
      </c>
      <c r="T26" s="434" t="s">
        <v>2</v>
      </c>
      <c r="U26" s="434">
        <f>IF(S26&gt;0,IF(RIGHT(Ruimtestaat[[#This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6" s="434">
        <f>IF(U26&gt;0,VLOOKUP($J26,Ruimtegroepen[],3,FALSE)*VLOOKUP($L26,Vloersoorten[],3,FALSE)*VLOOKUP($T26,Frequenties[],3,FALSE)*VLOOKUP($A26,Locaties[],3,FALSE),0)</f>
        <v>0</v>
      </c>
      <c r="W26" s="434">
        <f>Ruimtestaat[[#This Row],[Uitvoeringen werkdagen]]*Ruimtestaat[[#This Row],[Oppervlak (netto)]]</f>
        <v>410</v>
      </c>
      <c r="X26" s="441">
        <f>IF(V26&gt;0,Ruimtestaat[[#This Row],[Prest. (m2 /jaar) werkdagen]]/Ruimtestaat[[#This Row],[Norm (m2/uur) werkdagen]],0)</f>
        <v>0</v>
      </c>
      <c r="Y26" s="442">
        <f>Ruimtestaat[[#This Row],[Uitvoeringen werkdagen]]*Ruimtestaat[[#This Row],[Gedeeltelijk]]</f>
        <v>0</v>
      </c>
      <c r="Z26" s="443" t="e">
        <f>IF(U26&gt;0,Ruimtestaat[[#This Row],[Prest. (m2 / jaar) werkdagen gedeeld]]/Ruimtestaat[[#This Row],[Norm (m2/uur) werkdagen]],0)</f>
        <v>#DIV/0!</v>
      </c>
      <c r="AA26" s="441" t="e">
        <f>Ruimtestaat[[#This Row],[uren / jaar werkdagen gedeeld]]*Tariefsopbouw!$E$35</f>
        <v>#DIV/0!</v>
      </c>
      <c r="AB26" s="441">
        <f>Ruimtestaat[[#This Row],[Uitvoeringen werkdagen]]*Ruimtestaat[[#This Row],[BSO]]</f>
        <v>0</v>
      </c>
      <c r="AC26" s="443" t="e">
        <f>IF(U26&gt;0,Ruimtestaat[[#This Row],[Prest. (m2 / jaar) werkdagen BSO]]/Ruimtestaat[[#This Row],[Norm (m2/uur) werkdagen]],0)</f>
        <v>#DIV/0!</v>
      </c>
      <c r="AD26" s="443" t="e">
        <f>Ruimtestaat[[#This Row],[uren / jaar werkdagen BSO]]*Tariefsopbouw!$E$35</f>
        <v>#DIV/0!</v>
      </c>
      <c r="AE26" s="444">
        <f>Ruimtestaat[[#This Row],[uren / jaar werkdagen]]*Tariefsopbouw!$E$35</f>
        <v>0</v>
      </c>
      <c r="AF26" s="434"/>
      <c r="AG26" s="434">
        <f>IF(Ruimtestaat[[#This Row],[Frequentie weekend]]&gt;0,VALUE(LEFT(AF26,1))*S26,0)</f>
        <v>0</v>
      </c>
      <c r="AH26" s="445">
        <f>IF($AG26&gt;0,VLOOKUP($J26,Ruimtegroepen[],3,FALSE)*VLOOKUP($L26,Vloersoorten[],3,FALSE)*VLOOKUP($AF26,Frequenties[],3,FALSE)*VLOOKUP(Ruimtestaat[[#This Row],[Code]],Locaties[],3,FALSE),0)</f>
        <v>0</v>
      </c>
      <c r="AI26" s="445">
        <f>Ruimtestaat[[#This Row],[Uitvoeringen weekend]]*Ruimtestaat[[#This Row],[Oppervlak (netto)]]</f>
        <v>0</v>
      </c>
      <c r="AJ26" s="445">
        <f>IF(AH26&gt;0,Ruimtestaat[[#This Row],[Prest. (m2 /jaar) weekend]]/Ruimtestaat[[#This Row],[Norm (m2/uur) weekend]],0)</f>
        <v>0</v>
      </c>
      <c r="AK26" s="444">
        <f>Ruimtestaat[[#This Row],[uren / jaar weekend]]*Tariefsopbouw!$D$40</f>
        <v>0</v>
      </c>
      <c r="AL26" s="441">
        <f>Ruimtestaat[[#This Row],[Prest. (m2 /jaar) weekend]]+Ruimtestaat[[#This Row],[Prest. (m2 /jaar) werkdagen]]</f>
        <v>410</v>
      </c>
      <c r="AM26" s="441">
        <f>Ruimtestaat[[#This Row],[uren / jaar weekend]]+Ruimtestaat[[#This Row],[uren / jaar werkdagen]]</f>
        <v>0</v>
      </c>
      <c r="AN26" s="446">
        <f>Ruimtestaat[[#This Row],[kosten / jaar weekend]]+Ruimtestaat[[#This Row],[kosten / jaar werkdagen]]</f>
        <v>0</v>
      </c>
      <c r="AO26" s="446"/>
      <c r="AP26" s="447" t="str">
        <f>IF(Ruimtestaat[[#This Row],[Frequentie werkdagen]]="","",_xlfn.CONCAT(Ruimtestaat[[#This Row],[Ruimte code]],"-",Ruimtestaat[[#This Row],[Frequentie werkdagen]]," ",Ruimtestaat[[#This Row],[Vloer code]]))</f>
        <v>5-5w S</v>
      </c>
      <c r="AQ26" s="448" t="str">
        <f>_xlfn.IFNA(VLOOKUP($AP26,Programma!$F$3:$G$1101,2,0),"")</f>
        <v>_</v>
      </c>
      <c r="AR26" s="448" t="str">
        <f>_xlfn.IFNA(VLOOKUP($AP26,Programma!$F$3:$H$1101,3,0),"")</f>
        <v>_</v>
      </c>
      <c r="AS26" s="448" t="str">
        <f>_xlfn.IFNA(VLOOKUP($AP26,Programma!$F$3:$I$1101,4,0),"")</f>
        <v>_</v>
      </c>
      <c r="AT26" s="448" t="str">
        <f>_xlfn.IFNA(VLOOKUP($AP26,Programma!$F$3:$J$1101,5,0),"")</f>
        <v>4w</v>
      </c>
      <c r="AU26" s="448" t="str">
        <f>_xlfn.IFNA(VLOOKUP($AP26,Programma!$F$3:$K$1101,6,0),"")</f>
        <v>1w</v>
      </c>
      <c r="AV26" s="448" t="str">
        <f>_xlfn.IFNA(VLOOKUP($AP26,Programma!$F$3:$L$1101,7,0),"")</f>
        <v>_</v>
      </c>
      <c r="AW26" s="448" t="str">
        <f>_xlfn.IFNA(VLOOKUP($AP26,Programma!$F$3:$M$1101,8,0),"")</f>
        <v>_</v>
      </c>
      <c r="AX26" s="448" t="str">
        <f>_xlfn.IFNA(VLOOKUP($AP26,Programma!$F$3:$N$1101,9,0),"")</f>
        <v>_</v>
      </c>
      <c r="AY26" s="448" t="str">
        <f>_xlfn.IFNA(VLOOKUP($AP26,Programma!$F$3:$O$1101,10,0),"")</f>
        <v>_</v>
      </c>
      <c r="AZ26" s="448" t="str">
        <f>_xlfn.IFNA(VLOOKUP($AP26,Programma!$F$3:$P$1101,11,0),"")</f>
        <v>_</v>
      </c>
      <c r="BA26" s="448" t="str">
        <f>_xlfn.IFNA(VLOOKUP($AP26,Programma!$F$3:$Q$1101,12,0),"")</f>
        <v>_</v>
      </c>
      <c r="BB26" s="448" t="str">
        <f>_xlfn.IFNA(VLOOKUP($AP26,Programma!$F$3:$R$1101,13,0),"")</f>
        <v>_</v>
      </c>
      <c r="BC26" s="448" t="str">
        <f>_xlfn.IFNA(VLOOKUP($AP26,Programma!$F$3:$S$1101,14,0),"")</f>
        <v>_</v>
      </c>
      <c r="BD26" s="448" t="str">
        <f>_xlfn.IFNA(VLOOKUP($AP26,Programma!$F$3:$T$1101,15,0),"")</f>
        <v>_</v>
      </c>
      <c r="BE26" s="448" t="str">
        <f>_xlfn.IFNA(VLOOKUP($AP26,Programma!$F$3:$U$1101,16,0),"")</f>
        <v>_</v>
      </c>
      <c r="BF26" s="448" t="str">
        <f>_xlfn.IFNA(VLOOKUP($AP26,Programma!$F$3:$V$1101,17,0),"")</f>
        <v>_</v>
      </c>
      <c r="BG26" s="448" t="str">
        <f>_xlfn.IFNA(VLOOKUP($AP26,Programma!$F$3:$W$1101,18,0),"")</f>
        <v>4w</v>
      </c>
      <c r="BH26" s="448" t="str">
        <f>_xlfn.IFNA(VLOOKUP($AP26,Programma!$F$3:$X$1101,19,0),"")</f>
        <v>1w</v>
      </c>
      <c r="BI26" s="448" t="str">
        <f>_xlfn.IFNA(VLOOKUP($AP26,Programma!$F$3:$Y$1101,20,0),"")</f>
        <v>_</v>
      </c>
      <c r="BJ26" s="449"/>
      <c r="BK26" s="447" t="str">
        <f>IF(Ruimtestaat[[#This Row],[Frequentie weekend]]="","",_xlfn.CONCAT(Ruimtestaat[[#This Row],[Ruimte code]],"-",Ruimtestaat[[#This Row],[Frequentie weekend]]," ",Ruimtestaat[[#This Row],[Vloer code]]))</f>
        <v/>
      </c>
      <c r="BL26" s="448" t="str">
        <f>_xlfn.IFNA(VLOOKUP($BK26,Programma!$F$3:$G$1101,2,0),"")</f>
        <v/>
      </c>
      <c r="BM26" s="448" t="str">
        <f>_xlfn.IFNA(VLOOKUP($BK26,Programma!$F$3:$H$1101,3,0),"")</f>
        <v/>
      </c>
      <c r="BN26" s="448" t="str">
        <f>_xlfn.IFNA(VLOOKUP($BK26,Programma!$F$3:$I$1101,4,0),"")</f>
        <v/>
      </c>
      <c r="BO26" s="448" t="str">
        <f>_xlfn.IFNA(VLOOKUP($BK26,Programma!$F$3:$J$1101,5,0),"")</f>
        <v/>
      </c>
      <c r="BP26" s="448" t="str">
        <f>_xlfn.IFNA(VLOOKUP($BK26,Programma!$F$3:$K$1101,6,0),"")</f>
        <v/>
      </c>
      <c r="BQ26" s="448" t="str">
        <f>_xlfn.IFNA(VLOOKUP($BK26,Programma!$F$3:$L$1101,7,0),"")</f>
        <v/>
      </c>
      <c r="BR26" s="448" t="str">
        <f>_xlfn.IFNA(VLOOKUP($BK26,Programma!$F$3:$M$1101,8,0),"")</f>
        <v/>
      </c>
      <c r="BS26" s="448" t="str">
        <f>_xlfn.IFNA(VLOOKUP($BK26,Programma!$F$3:$N$1101,9,0),"")</f>
        <v/>
      </c>
      <c r="BT26" s="448" t="str">
        <f>_xlfn.IFNA(VLOOKUP($BK26,Programma!$F$3:$O$1101,10,0),"")</f>
        <v/>
      </c>
      <c r="BU26" s="448" t="str">
        <f>_xlfn.IFNA(VLOOKUP($BK26,Programma!$F$3:$P$1101,11,0),"")</f>
        <v/>
      </c>
      <c r="BV26" s="448" t="str">
        <f>_xlfn.IFNA(VLOOKUP($BK26,Programma!$F$3:$Q$1101,12,0),"")</f>
        <v/>
      </c>
      <c r="BW26" s="448" t="str">
        <f>_xlfn.IFNA(VLOOKUP($BK26,Programma!$F$3:$R$1101,13,0),"")</f>
        <v/>
      </c>
      <c r="BX26" s="448" t="str">
        <f>_xlfn.IFNA(VLOOKUP($BK26,Programma!$F$3:$S$1101,14,0),"")</f>
        <v/>
      </c>
      <c r="BY26" s="448" t="str">
        <f>_xlfn.IFNA(VLOOKUP($BK26,Programma!$F$3:$T$1101,15,0),"")</f>
        <v/>
      </c>
      <c r="BZ26" s="448" t="str">
        <f>_xlfn.IFNA(VLOOKUP($BK26,Programma!$F$3:$U$1101,16,0),"")</f>
        <v/>
      </c>
      <c r="CA26" s="448" t="str">
        <f>_xlfn.IFNA(VLOOKUP($BK26,Programma!$F$3:$V$1101,17,0),"")</f>
        <v/>
      </c>
      <c r="CB26" s="448" t="str">
        <f>_xlfn.IFNA(VLOOKUP($BK26,Programma!$F$3:$W$1101,18,0),"")</f>
        <v/>
      </c>
      <c r="CC26" s="448" t="str">
        <f>_xlfn.IFNA(VLOOKUP($BK26,Programma!$F$3:$X$1101,19,0),"")</f>
        <v/>
      </c>
      <c r="CD26" s="448" t="str">
        <f>_xlfn.IFNA(VLOOKUP($BK26,Programma!$F$3:$Y$1101,20,0),"")</f>
        <v/>
      </c>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c r="DN26" s="327"/>
      <c r="DO26" s="327"/>
      <c r="DP26" s="327"/>
      <c r="DQ26" s="327"/>
      <c r="DR26" s="327"/>
      <c r="DS26" s="327"/>
      <c r="DT26" s="327"/>
      <c r="DU26" s="327"/>
      <c r="DV26" s="327"/>
      <c r="DW26" s="327"/>
      <c r="DX26" s="327"/>
      <c r="DY26" s="327"/>
      <c r="DZ26" s="327"/>
      <c r="EA26" s="327"/>
      <c r="EB26" s="327"/>
      <c r="EC26" s="327"/>
      <c r="ED26" s="327"/>
      <c r="EE26" s="327"/>
      <c r="EF26" s="327"/>
      <c r="EG26" s="327"/>
      <c r="EH26" s="327"/>
      <c r="EI26" s="327"/>
      <c r="EJ26" s="327"/>
      <c r="EK26" s="327"/>
      <c r="EL26" s="327"/>
      <c r="EM26" s="327"/>
      <c r="EN26" s="327"/>
      <c r="EO26" s="327"/>
      <c r="EP26" s="327"/>
      <c r="EQ26" s="327"/>
      <c r="ER26" s="327"/>
      <c r="ES26" s="327"/>
      <c r="ET26" s="327"/>
      <c r="EU26" s="327"/>
      <c r="EV26" s="327"/>
      <c r="EW26" s="327"/>
      <c r="EX26" s="327"/>
      <c r="EY26" s="327"/>
      <c r="EZ26" s="327"/>
      <c r="FA26" s="327"/>
      <c r="FB26" s="327"/>
      <c r="FC26" s="327"/>
      <c r="FD26" s="327"/>
      <c r="FE26" s="327"/>
      <c r="FF26" s="327"/>
      <c r="FG26" s="327"/>
      <c r="FH26" s="327"/>
      <c r="FI26" s="327"/>
      <c r="FJ26" s="327"/>
      <c r="FK26" s="327"/>
      <c r="FL26" s="327"/>
      <c r="FM26" s="327"/>
      <c r="FN26" s="327"/>
      <c r="FO26" s="327"/>
      <c r="FP26" s="327"/>
      <c r="FQ26" s="327"/>
      <c r="FR26" s="327"/>
      <c r="FS26" s="327"/>
      <c r="FT26" s="327"/>
      <c r="FU26" s="327"/>
      <c r="FV26" s="327"/>
      <c r="FW26" s="327"/>
      <c r="FX26" s="327"/>
      <c r="FY26" s="327"/>
      <c r="FZ26" s="327"/>
      <c r="GA26" s="327"/>
      <c r="GB26" s="327"/>
      <c r="GC26" s="327"/>
      <c r="GD26" s="327"/>
      <c r="GE26" s="327"/>
      <c r="GF26" s="327"/>
      <c r="GG26" s="327"/>
      <c r="GH26" s="327"/>
      <c r="GI26" s="327"/>
      <c r="GJ26" s="327"/>
      <c r="GK26" s="327"/>
      <c r="GL26" s="327"/>
      <c r="GM26" s="327"/>
      <c r="GN26" s="327"/>
      <c r="GO26" s="327"/>
      <c r="GP26" s="327"/>
      <c r="GQ26" s="327"/>
      <c r="GR26" s="327"/>
      <c r="GS26" s="327"/>
      <c r="GT26" s="327"/>
      <c r="GU26" s="327"/>
      <c r="GV26" s="327"/>
      <c r="GW26" s="327"/>
      <c r="GX26" s="327"/>
      <c r="GY26" s="327"/>
      <c r="GZ26" s="327"/>
      <c r="HA26" s="327"/>
      <c r="HB26" s="327"/>
      <c r="HC26" s="327"/>
      <c r="HD26" s="327"/>
      <c r="HE26" s="327"/>
      <c r="HF26" s="327"/>
      <c r="HG26" s="327"/>
      <c r="HH26" s="327"/>
      <c r="HI26" s="327"/>
      <c r="HJ26" s="327"/>
      <c r="HK26" s="327"/>
      <c r="HL26" s="327"/>
      <c r="HM26" s="327"/>
      <c r="HN26" s="327"/>
      <c r="HO26" s="327"/>
      <c r="HP26" s="327"/>
      <c r="HQ26" s="327"/>
      <c r="HR26" s="327"/>
      <c r="HS26" s="327"/>
    </row>
    <row r="27" spans="1:227" ht="15" customHeight="1">
      <c r="A27" s="434">
        <v>2</v>
      </c>
      <c r="B27" s="435" t="str">
        <f>VLOOKUP(Ruimtestaat[[#This Row],[Code]],Locaties[[Code]:[Locatie]],2,FALSE)</f>
        <v>IKC  De Watersnip</v>
      </c>
      <c r="C27" s="435" t="str">
        <f>VLOOKUP(Ruimtestaat[[#This Row],[Code]],Locaties[[#All],[Code]:[Adres]],4,FALSE)</f>
        <v>César Franckrode 70-72</v>
      </c>
      <c r="D27" s="435" t="str">
        <f>VLOOKUP(Ruimtestaat[[#This Row],[Code]],Locaties[[#All],[Code]:[Postcode]],5,FALSE)</f>
        <v>2717 BG</v>
      </c>
      <c r="E27" s="435" t="str">
        <f>VLOOKUP(Ruimtestaat[[#This Row],[Code]],Locaties[#All],6,FALSE)</f>
        <v>Zoetermeer</v>
      </c>
      <c r="F27" s="434"/>
      <c r="G27" s="434" t="s">
        <v>1678</v>
      </c>
      <c r="H27" s="436" t="s">
        <v>1686</v>
      </c>
      <c r="I27" s="437" t="s">
        <v>22</v>
      </c>
      <c r="J27" s="330">
        <v>5</v>
      </c>
      <c r="K27" s="450" t="str">
        <f>VLOOKUP(Ruimtestaat[[#This Row],[Ruimte code]],Ruimtegroepen[[#All],[Code]:[Ruimte omschrijving]],2,FALSE)</f>
        <v>Sanitair</v>
      </c>
      <c r="L27" s="434" t="s">
        <v>101</v>
      </c>
      <c r="M27" s="437" t="s">
        <v>1947</v>
      </c>
      <c r="N27" s="439">
        <v>2</v>
      </c>
      <c r="O27" s="439"/>
      <c r="P27" s="439"/>
      <c r="Q27" s="439"/>
      <c r="R27" s="440" t="str">
        <f>VLOOKUP(Ruimtestaat[[#This Row],[Ruimte code]],Ruimtegroepen[],4,FALSE)</f>
        <v>Sa</v>
      </c>
      <c r="S27" s="434">
        <v>41</v>
      </c>
      <c r="T27" s="434" t="s">
        <v>2</v>
      </c>
      <c r="U27" s="434">
        <f>IF(S27&gt;0,IF(RIGHT(Ruimtestaat[[#This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7" s="434">
        <f>IF(U27&gt;0,VLOOKUP($J27,Ruimtegroepen[],3,FALSE)*VLOOKUP($L27,Vloersoorten[],3,FALSE)*VLOOKUP($T27,Frequenties[],3,FALSE)*VLOOKUP($A27,Locaties[],3,FALSE),0)</f>
        <v>0</v>
      </c>
      <c r="W27" s="434">
        <f>Ruimtestaat[[#This Row],[Uitvoeringen werkdagen]]*Ruimtestaat[[#This Row],[Oppervlak (netto)]]</f>
        <v>410</v>
      </c>
      <c r="X27" s="441">
        <f>IF(V27&gt;0,Ruimtestaat[[#This Row],[Prest. (m2 /jaar) werkdagen]]/Ruimtestaat[[#This Row],[Norm (m2/uur) werkdagen]],0)</f>
        <v>0</v>
      </c>
      <c r="Y27" s="442">
        <f>Ruimtestaat[[#This Row],[Uitvoeringen werkdagen]]*Ruimtestaat[[#This Row],[Gedeeltelijk]]</f>
        <v>0</v>
      </c>
      <c r="Z27" s="443" t="e">
        <f>IF(U27&gt;0,Ruimtestaat[[#This Row],[Prest. (m2 / jaar) werkdagen gedeeld]]/Ruimtestaat[[#This Row],[Norm (m2/uur) werkdagen]],0)</f>
        <v>#DIV/0!</v>
      </c>
      <c r="AA27" s="441" t="e">
        <f>Ruimtestaat[[#This Row],[uren / jaar werkdagen gedeeld]]*Tariefsopbouw!$E$35</f>
        <v>#DIV/0!</v>
      </c>
      <c r="AB27" s="441">
        <f>Ruimtestaat[[#This Row],[Uitvoeringen werkdagen]]*Ruimtestaat[[#This Row],[BSO]]</f>
        <v>0</v>
      </c>
      <c r="AC27" s="443" t="e">
        <f>IF(U27&gt;0,Ruimtestaat[[#This Row],[Prest. (m2 / jaar) werkdagen BSO]]/Ruimtestaat[[#This Row],[Norm (m2/uur) werkdagen]],0)</f>
        <v>#DIV/0!</v>
      </c>
      <c r="AD27" s="443" t="e">
        <f>Ruimtestaat[[#This Row],[uren / jaar werkdagen BSO]]*Tariefsopbouw!$E$35</f>
        <v>#DIV/0!</v>
      </c>
      <c r="AE27" s="444">
        <f>Ruimtestaat[[#This Row],[uren / jaar werkdagen]]*Tariefsopbouw!$E$35</f>
        <v>0</v>
      </c>
      <c r="AF27" s="434"/>
      <c r="AG27" s="434">
        <f>IF(Ruimtestaat[[#This Row],[Frequentie weekend]]&gt;0,VALUE(LEFT(AF27,1))*S27,0)</f>
        <v>0</v>
      </c>
      <c r="AH27" s="445">
        <f>IF($AG27&gt;0,VLOOKUP($J27,Ruimtegroepen[],3,FALSE)*VLOOKUP($L27,Vloersoorten[],3,FALSE)*VLOOKUP($AF27,Frequenties[],3,FALSE)*VLOOKUP(Ruimtestaat[[#This Row],[Code]],Locaties[],3,FALSE),0)</f>
        <v>0</v>
      </c>
      <c r="AI27" s="445">
        <f>Ruimtestaat[[#This Row],[Uitvoeringen weekend]]*Ruimtestaat[[#This Row],[Oppervlak (netto)]]</f>
        <v>0</v>
      </c>
      <c r="AJ27" s="445">
        <f>IF(AH27&gt;0,Ruimtestaat[[#This Row],[Prest. (m2 /jaar) weekend]]/Ruimtestaat[[#This Row],[Norm (m2/uur) weekend]],0)</f>
        <v>0</v>
      </c>
      <c r="AK27" s="444">
        <f>Ruimtestaat[[#This Row],[uren / jaar weekend]]*Tariefsopbouw!$D$40</f>
        <v>0</v>
      </c>
      <c r="AL27" s="441">
        <f>Ruimtestaat[[#This Row],[Prest. (m2 /jaar) weekend]]+Ruimtestaat[[#This Row],[Prest. (m2 /jaar) werkdagen]]</f>
        <v>410</v>
      </c>
      <c r="AM27" s="441">
        <f>Ruimtestaat[[#This Row],[uren / jaar weekend]]+Ruimtestaat[[#This Row],[uren / jaar werkdagen]]</f>
        <v>0</v>
      </c>
      <c r="AN27" s="446">
        <f>Ruimtestaat[[#This Row],[kosten / jaar weekend]]+Ruimtestaat[[#This Row],[kosten / jaar werkdagen]]</f>
        <v>0</v>
      </c>
      <c r="AO27" s="446"/>
      <c r="AP27" s="447" t="str">
        <f>IF(Ruimtestaat[[#This Row],[Frequentie werkdagen]]="","",_xlfn.CONCAT(Ruimtestaat[[#This Row],[Ruimte code]],"-",Ruimtestaat[[#This Row],[Frequentie werkdagen]]," ",Ruimtestaat[[#This Row],[Vloer code]]))</f>
        <v>5-5w S</v>
      </c>
      <c r="AQ27" s="448" t="str">
        <f>_xlfn.IFNA(VLOOKUP($AP27,Programma!$F$3:$G$1101,2,0),"")</f>
        <v>_</v>
      </c>
      <c r="AR27" s="448" t="str">
        <f>_xlfn.IFNA(VLOOKUP($AP27,Programma!$F$3:$H$1101,3,0),"")</f>
        <v>_</v>
      </c>
      <c r="AS27" s="448" t="str">
        <f>_xlfn.IFNA(VLOOKUP($AP27,Programma!$F$3:$I$1101,4,0),"")</f>
        <v>_</v>
      </c>
      <c r="AT27" s="448" t="str">
        <f>_xlfn.IFNA(VLOOKUP($AP27,Programma!$F$3:$J$1101,5,0),"")</f>
        <v>4w</v>
      </c>
      <c r="AU27" s="448" t="str">
        <f>_xlfn.IFNA(VLOOKUP($AP27,Programma!$F$3:$K$1101,6,0),"")</f>
        <v>1w</v>
      </c>
      <c r="AV27" s="448" t="str">
        <f>_xlfn.IFNA(VLOOKUP($AP27,Programma!$F$3:$L$1101,7,0),"")</f>
        <v>_</v>
      </c>
      <c r="AW27" s="448" t="str">
        <f>_xlfn.IFNA(VLOOKUP($AP27,Programma!$F$3:$M$1101,8,0),"")</f>
        <v>_</v>
      </c>
      <c r="AX27" s="448" t="str">
        <f>_xlfn.IFNA(VLOOKUP($AP27,Programma!$F$3:$N$1101,9,0),"")</f>
        <v>_</v>
      </c>
      <c r="AY27" s="448" t="str">
        <f>_xlfn.IFNA(VLOOKUP($AP27,Programma!$F$3:$O$1101,10,0),"")</f>
        <v>_</v>
      </c>
      <c r="AZ27" s="448" t="str">
        <f>_xlfn.IFNA(VLOOKUP($AP27,Programma!$F$3:$P$1101,11,0),"")</f>
        <v>_</v>
      </c>
      <c r="BA27" s="448" t="str">
        <f>_xlfn.IFNA(VLOOKUP($AP27,Programma!$F$3:$Q$1101,12,0),"")</f>
        <v>_</v>
      </c>
      <c r="BB27" s="448" t="str">
        <f>_xlfn.IFNA(VLOOKUP($AP27,Programma!$F$3:$R$1101,13,0),"")</f>
        <v>_</v>
      </c>
      <c r="BC27" s="448" t="str">
        <f>_xlfn.IFNA(VLOOKUP($AP27,Programma!$F$3:$S$1101,14,0),"")</f>
        <v>_</v>
      </c>
      <c r="BD27" s="448" t="str">
        <f>_xlfn.IFNA(VLOOKUP($AP27,Programma!$F$3:$T$1101,15,0),"")</f>
        <v>_</v>
      </c>
      <c r="BE27" s="448" t="str">
        <f>_xlfn.IFNA(VLOOKUP($AP27,Programma!$F$3:$U$1101,16,0),"")</f>
        <v>_</v>
      </c>
      <c r="BF27" s="448" t="str">
        <f>_xlfn.IFNA(VLOOKUP($AP27,Programma!$F$3:$V$1101,17,0),"")</f>
        <v>_</v>
      </c>
      <c r="BG27" s="448" t="str">
        <f>_xlfn.IFNA(VLOOKUP($AP27,Programma!$F$3:$W$1101,18,0),"")</f>
        <v>4w</v>
      </c>
      <c r="BH27" s="448" t="str">
        <f>_xlfn.IFNA(VLOOKUP($AP27,Programma!$F$3:$X$1101,19,0),"")</f>
        <v>1w</v>
      </c>
      <c r="BI27" s="448" t="str">
        <f>_xlfn.IFNA(VLOOKUP($AP27,Programma!$F$3:$Y$1101,20,0),"")</f>
        <v>_</v>
      </c>
      <c r="BJ27" s="449"/>
      <c r="BK27" s="447" t="str">
        <f>IF(Ruimtestaat[[#This Row],[Frequentie weekend]]="","",_xlfn.CONCAT(Ruimtestaat[[#This Row],[Ruimte code]],"-",Ruimtestaat[[#This Row],[Frequentie weekend]]," ",Ruimtestaat[[#This Row],[Vloer code]]))</f>
        <v/>
      </c>
      <c r="BL27" s="448" t="str">
        <f>_xlfn.IFNA(VLOOKUP($BK27,Programma!$F$3:$G$1101,2,0),"")</f>
        <v/>
      </c>
      <c r="BM27" s="448" t="str">
        <f>_xlfn.IFNA(VLOOKUP($BK27,Programma!$F$3:$H$1101,3,0),"")</f>
        <v/>
      </c>
      <c r="BN27" s="448" t="str">
        <f>_xlfn.IFNA(VLOOKUP($BK27,Programma!$F$3:$I$1101,4,0),"")</f>
        <v/>
      </c>
      <c r="BO27" s="448" t="str">
        <f>_xlfn.IFNA(VLOOKUP($BK27,Programma!$F$3:$J$1101,5,0),"")</f>
        <v/>
      </c>
      <c r="BP27" s="448" t="str">
        <f>_xlfn.IFNA(VLOOKUP($BK27,Programma!$F$3:$K$1101,6,0),"")</f>
        <v/>
      </c>
      <c r="BQ27" s="448" t="str">
        <f>_xlfn.IFNA(VLOOKUP($BK27,Programma!$F$3:$L$1101,7,0),"")</f>
        <v/>
      </c>
      <c r="BR27" s="448" t="str">
        <f>_xlfn.IFNA(VLOOKUP($BK27,Programma!$F$3:$M$1101,8,0),"")</f>
        <v/>
      </c>
      <c r="BS27" s="448" t="str">
        <f>_xlfn.IFNA(VLOOKUP($BK27,Programma!$F$3:$N$1101,9,0),"")</f>
        <v/>
      </c>
      <c r="BT27" s="448" t="str">
        <f>_xlfn.IFNA(VLOOKUP($BK27,Programma!$F$3:$O$1101,10,0),"")</f>
        <v/>
      </c>
      <c r="BU27" s="448" t="str">
        <f>_xlfn.IFNA(VLOOKUP($BK27,Programma!$F$3:$P$1101,11,0),"")</f>
        <v/>
      </c>
      <c r="BV27" s="448" t="str">
        <f>_xlfn.IFNA(VLOOKUP($BK27,Programma!$F$3:$Q$1101,12,0),"")</f>
        <v/>
      </c>
      <c r="BW27" s="448" t="str">
        <f>_xlfn.IFNA(VLOOKUP($BK27,Programma!$F$3:$R$1101,13,0),"")</f>
        <v/>
      </c>
      <c r="BX27" s="448" t="str">
        <f>_xlfn.IFNA(VLOOKUP($BK27,Programma!$F$3:$S$1101,14,0),"")</f>
        <v/>
      </c>
      <c r="BY27" s="448" t="str">
        <f>_xlfn.IFNA(VLOOKUP($BK27,Programma!$F$3:$T$1101,15,0),"")</f>
        <v/>
      </c>
      <c r="BZ27" s="448" t="str">
        <f>_xlfn.IFNA(VLOOKUP($BK27,Programma!$F$3:$U$1101,16,0),"")</f>
        <v/>
      </c>
      <c r="CA27" s="448" t="str">
        <f>_xlfn.IFNA(VLOOKUP($BK27,Programma!$F$3:$V$1101,17,0),"")</f>
        <v/>
      </c>
      <c r="CB27" s="448" t="str">
        <f>_xlfn.IFNA(VLOOKUP($BK27,Programma!$F$3:$W$1101,18,0),"")</f>
        <v/>
      </c>
      <c r="CC27" s="448" t="str">
        <f>_xlfn.IFNA(VLOOKUP($BK27,Programma!$F$3:$X$1101,19,0),"")</f>
        <v/>
      </c>
      <c r="CD27" s="448" t="str">
        <f>_xlfn.IFNA(VLOOKUP($BK27,Programma!$F$3:$Y$1101,20,0),"")</f>
        <v/>
      </c>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c r="DN27" s="327"/>
      <c r="DO27" s="327"/>
      <c r="DP27" s="327"/>
      <c r="DQ27" s="327"/>
      <c r="DR27" s="327"/>
      <c r="DS27" s="327"/>
      <c r="DT27" s="327"/>
      <c r="DU27" s="327"/>
      <c r="DV27" s="327"/>
      <c r="DW27" s="327"/>
      <c r="DX27" s="327"/>
      <c r="DY27" s="327"/>
      <c r="DZ27" s="327"/>
      <c r="EA27" s="327"/>
      <c r="EB27" s="327"/>
      <c r="EC27" s="327"/>
      <c r="ED27" s="327"/>
      <c r="EE27" s="327"/>
      <c r="EF27" s="327"/>
      <c r="EG27" s="327"/>
      <c r="EH27" s="327"/>
      <c r="EI27" s="327"/>
      <c r="EJ27" s="327"/>
      <c r="EK27" s="327"/>
      <c r="EL27" s="327"/>
      <c r="EM27" s="327"/>
      <c r="EN27" s="327"/>
      <c r="EO27" s="327"/>
      <c r="EP27" s="327"/>
      <c r="EQ27" s="327"/>
      <c r="ER27" s="327"/>
      <c r="ES27" s="327"/>
      <c r="ET27" s="327"/>
      <c r="EU27" s="327"/>
      <c r="EV27" s="327"/>
      <c r="EW27" s="327"/>
      <c r="EX27" s="327"/>
      <c r="EY27" s="327"/>
      <c r="EZ27" s="327"/>
      <c r="FA27" s="327"/>
      <c r="FB27" s="327"/>
      <c r="FC27" s="327"/>
      <c r="FD27" s="327"/>
      <c r="FE27" s="327"/>
      <c r="FF27" s="327"/>
      <c r="FG27" s="327"/>
      <c r="FH27" s="327"/>
      <c r="FI27" s="327"/>
      <c r="FJ27" s="327"/>
      <c r="FK27" s="327"/>
      <c r="FL27" s="327"/>
      <c r="FM27" s="327"/>
      <c r="FN27" s="327"/>
      <c r="FO27" s="327"/>
      <c r="FP27" s="327"/>
      <c r="FQ27" s="327"/>
      <c r="FR27" s="327"/>
      <c r="FS27" s="327"/>
      <c r="FT27" s="327"/>
      <c r="FU27" s="327"/>
      <c r="FV27" s="327"/>
      <c r="FW27" s="327"/>
      <c r="FX27" s="327"/>
      <c r="FY27" s="327"/>
      <c r="FZ27" s="327"/>
      <c r="GA27" s="327"/>
      <c r="GB27" s="327"/>
      <c r="GC27" s="327"/>
      <c r="GD27" s="327"/>
      <c r="GE27" s="327"/>
      <c r="GF27" s="327"/>
      <c r="GG27" s="327"/>
      <c r="GH27" s="327"/>
      <c r="GI27" s="327"/>
      <c r="GJ27" s="327"/>
      <c r="GK27" s="327"/>
      <c r="GL27" s="327"/>
      <c r="GM27" s="327"/>
      <c r="GN27" s="327"/>
      <c r="GO27" s="327"/>
      <c r="GP27" s="327"/>
      <c r="GQ27" s="327"/>
      <c r="GR27" s="327"/>
      <c r="GS27" s="327"/>
      <c r="GT27" s="327"/>
      <c r="GU27" s="327"/>
      <c r="GV27" s="327"/>
      <c r="GW27" s="327"/>
      <c r="GX27" s="327"/>
      <c r="GY27" s="327"/>
      <c r="GZ27" s="327"/>
      <c r="HA27" s="327"/>
      <c r="HB27" s="327"/>
      <c r="HC27" s="327"/>
      <c r="HD27" s="327"/>
      <c r="HE27" s="327"/>
      <c r="HF27" s="327"/>
      <c r="HG27" s="327"/>
      <c r="HH27" s="327"/>
      <c r="HI27" s="327"/>
      <c r="HJ27" s="327"/>
      <c r="HK27" s="327"/>
      <c r="HL27" s="327"/>
      <c r="HM27" s="327"/>
      <c r="HN27" s="327"/>
      <c r="HO27" s="327"/>
      <c r="HP27" s="327"/>
      <c r="HQ27" s="327"/>
      <c r="HR27" s="327"/>
      <c r="HS27" s="327"/>
    </row>
    <row r="28" spans="1:227" ht="15" customHeight="1">
      <c r="A28" s="434">
        <v>2</v>
      </c>
      <c r="B28" s="435" t="str">
        <f>VLOOKUP(Ruimtestaat[[#This Row],[Code]],Locaties[[Code]:[Locatie]],2,FALSE)</f>
        <v>IKC  De Watersnip</v>
      </c>
      <c r="C28" s="435" t="str">
        <f>VLOOKUP(Ruimtestaat[[#This Row],[Code]],Locaties[[#All],[Code]:[Adres]],4,FALSE)</f>
        <v>César Franckrode 70-72</v>
      </c>
      <c r="D28" s="435" t="str">
        <f>VLOOKUP(Ruimtestaat[[#This Row],[Code]],Locaties[[#All],[Code]:[Postcode]],5,FALSE)</f>
        <v>2717 BG</v>
      </c>
      <c r="E28" s="435" t="str">
        <f>VLOOKUP(Ruimtestaat[[#This Row],[Code]],Locaties[#All],6,FALSE)</f>
        <v>Zoetermeer</v>
      </c>
      <c r="F28" s="434"/>
      <c r="G28" s="434" t="s">
        <v>1678</v>
      </c>
      <c r="H28" s="436" t="s">
        <v>1687</v>
      </c>
      <c r="I28" s="437" t="s">
        <v>1688</v>
      </c>
      <c r="J28" s="330">
        <v>6</v>
      </c>
      <c r="K28" s="450" t="str">
        <f>VLOOKUP(Ruimtestaat[[#This Row],[Ruimte code]],Ruimtegroepen[[#All],[Code]:[Ruimte omschrijving]],2,FALSE)</f>
        <v>Gangen/hallen</v>
      </c>
      <c r="L28" s="434" t="s">
        <v>100</v>
      </c>
      <c r="M28" s="437" t="s">
        <v>1759</v>
      </c>
      <c r="N28" s="439">
        <v>215</v>
      </c>
      <c r="O28" s="439"/>
      <c r="P28" s="439"/>
      <c r="Q28" s="439"/>
      <c r="R28" s="440" t="str">
        <f>VLOOKUP(Ruimtestaat[[#This Row],[Ruimte code]],Ruimtegroepen[],4,FALSE)</f>
        <v>Ve</v>
      </c>
      <c r="S28" s="434">
        <v>41</v>
      </c>
      <c r="T28" s="434" t="s">
        <v>2</v>
      </c>
      <c r="U28" s="434">
        <f>IF(S28&gt;0,IF(RIGHT(Ruimtestaat[[#This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8" s="434">
        <f>IF(U28&gt;0,VLOOKUP($J28,Ruimtegroepen[],3,FALSE)*VLOOKUP($L28,Vloersoorten[],3,FALSE)*VLOOKUP($T28,Frequenties[],3,FALSE)*VLOOKUP($A28,Locaties[],3,FALSE),0)</f>
        <v>0</v>
      </c>
      <c r="W28" s="434">
        <f>Ruimtestaat[[#This Row],[Uitvoeringen werkdagen]]*Ruimtestaat[[#This Row],[Oppervlak (netto)]]</f>
        <v>44075</v>
      </c>
      <c r="X28" s="441">
        <f>IF(V28&gt;0,Ruimtestaat[[#This Row],[Prest. (m2 /jaar) werkdagen]]/Ruimtestaat[[#This Row],[Norm (m2/uur) werkdagen]],0)</f>
        <v>0</v>
      </c>
      <c r="Y28" s="442">
        <f>Ruimtestaat[[#This Row],[Uitvoeringen werkdagen]]*Ruimtestaat[[#This Row],[Gedeeltelijk]]</f>
        <v>0</v>
      </c>
      <c r="Z28" s="443" t="e">
        <f>IF(U28&gt;0,Ruimtestaat[[#This Row],[Prest. (m2 / jaar) werkdagen gedeeld]]/Ruimtestaat[[#This Row],[Norm (m2/uur) werkdagen]],0)</f>
        <v>#DIV/0!</v>
      </c>
      <c r="AA28" s="441" t="e">
        <f>Ruimtestaat[[#This Row],[uren / jaar werkdagen gedeeld]]*Tariefsopbouw!$E$35</f>
        <v>#DIV/0!</v>
      </c>
      <c r="AB28" s="441">
        <f>Ruimtestaat[[#This Row],[Uitvoeringen werkdagen]]*Ruimtestaat[[#This Row],[BSO]]</f>
        <v>0</v>
      </c>
      <c r="AC28" s="443" t="e">
        <f>IF(U28&gt;0,Ruimtestaat[[#This Row],[Prest. (m2 / jaar) werkdagen BSO]]/Ruimtestaat[[#This Row],[Norm (m2/uur) werkdagen]],0)</f>
        <v>#DIV/0!</v>
      </c>
      <c r="AD28" s="443" t="e">
        <f>Ruimtestaat[[#This Row],[uren / jaar werkdagen BSO]]*Tariefsopbouw!$E$35</f>
        <v>#DIV/0!</v>
      </c>
      <c r="AE28" s="444">
        <f>Ruimtestaat[[#This Row],[uren / jaar werkdagen]]*Tariefsopbouw!$E$35</f>
        <v>0</v>
      </c>
      <c r="AF28" s="434"/>
      <c r="AG28" s="434">
        <f>IF(Ruimtestaat[[#This Row],[Frequentie weekend]]&gt;0,VALUE(LEFT(AF28,1))*S28,0)</f>
        <v>0</v>
      </c>
      <c r="AH28" s="445">
        <f>IF($AG28&gt;0,VLOOKUP($J28,Ruimtegroepen[],3,FALSE)*VLOOKUP($L28,Vloersoorten[],3,FALSE)*VLOOKUP($AF28,Frequenties[],3,FALSE)*VLOOKUP(Ruimtestaat[[#This Row],[Code]],Locaties[],3,FALSE),0)</f>
        <v>0</v>
      </c>
      <c r="AI28" s="445">
        <f>Ruimtestaat[[#This Row],[Uitvoeringen weekend]]*Ruimtestaat[[#This Row],[Oppervlak (netto)]]</f>
        <v>0</v>
      </c>
      <c r="AJ28" s="445">
        <f>IF(AH28&gt;0,Ruimtestaat[[#This Row],[Prest. (m2 /jaar) weekend]]/Ruimtestaat[[#This Row],[Norm (m2/uur) weekend]],0)</f>
        <v>0</v>
      </c>
      <c r="AK28" s="444">
        <f>Ruimtestaat[[#This Row],[uren / jaar weekend]]*Tariefsopbouw!$D$40</f>
        <v>0</v>
      </c>
      <c r="AL28" s="441">
        <f>Ruimtestaat[[#This Row],[Prest. (m2 /jaar) weekend]]+Ruimtestaat[[#This Row],[Prest. (m2 /jaar) werkdagen]]</f>
        <v>44075</v>
      </c>
      <c r="AM28" s="441">
        <f>Ruimtestaat[[#This Row],[uren / jaar weekend]]+Ruimtestaat[[#This Row],[uren / jaar werkdagen]]</f>
        <v>0</v>
      </c>
      <c r="AN28" s="446">
        <f>Ruimtestaat[[#This Row],[kosten / jaar weekend]]+Ruimtestaat[[#This Row],[kosten / jaar werkdagen]]</f>
        <v>0</v>
      </c>
      <c r="AO28" s="446"/>
      <c r="AP28" s="447" t="str">
        <f>IF(Ruimtestaat[[#This Row],[Frequentie werkdagen]]="","",_xlfn.CONCAT(Ruimtestaat[[#This Row],[Ruimte code]],"-",Ruimtestaat[[#This Row],[Frequentie werkdagen]]," ",Ruimtestaat[[#This Row],[Vloer code]]))</f>
        <v>6-5w L</v>
      </c>
      <c r="AQ28" s="448" t="str">
        <f>_xlfn.IFNA(VLOOKUP($AP28,Programma!$F$3:$G$1101,2,0),"")</f>
        <v>_</v>
      </c>
      <c r="AR28" s="448" t="str">
        <f>_xlfn.IFNA(VLOOKUP($AP28,Programma!$F$3:$H$1101,3,0),"")</f>
        <v>_</v>
      </c>
      <c r="AS28" s="448" t="str">
        <f>_xlfn.IFNA(VLOOKUP($AP28,Programma!$F$3:$I$1101,4,0),"")</f>
        <v>_</v>
      </c>
      <c r="AT28" s="448" t="str">
        <f>_xlfn.IFNA(VLOOKUP($AP28,Programma!$F$3:$J$1101,5,0),"")</f>
        <v>5w</v>
      </c>
      <c r="AU28" s="448" t="str">
        <f>_xlfn.IFNA(VLOOKUP($AP28,Programma!$F$3:$K$1101,6,0),"")</f>
        <v>_</v>
      </c>
      <c r="AV28" s="448" t="str">
        <f>_xlfn.IFNA(VLOOKUP($AP28,Programma!$F$3:$L$1101,7,0),"")</f>
        <v>_</v>
      </c>
      <c r="AW28" s="448" t="str">
        <f>_xlfn.IFNA(VLOOKUP($AP28,Programma!$F$3:$M$1101,8,0),"")</f>
        <v>_</v>
      </c>
      <c r="AX28" s="448" t="str">
        <f>_xlfn.IFNA(VLOOKUP($AP28,Programma!$F$3:$N$1101,9,0),"")</f>
        <v>_</v>
      </c>
      <c r="AY28" s="448" t="str">
        <f>_xlfn.IFNA(VLOOKUP($AP28,Programma!$F$3:$O$1101,10,0),"")</f>
        <v>5w</v>
      </c>
      <c r="AZ28" s="448" t="str">
        <f>_xlfn.IFNA(VLOOKUP($AP28,Programma!$F$3:$P$1101,11,0),"")</f>
        <v>5w</v>
      </c>
      <c r="BA28" s="448" t="str">
        <f>_xlfn.IFNA(VLOOKUP($AP28,Programma!$F$3:$Q$1101,12,0),"")</f>
        <v>1w</v>
      </c>
      <c r="BB28" s="448" t="str">
        <f>_xlfn.IFNA(VLOOKUP($AP28,Programma!$F$3:$R$1101,13,0),"")</f>
        <v>1w</v>
      </c>
      <c r="BC28" s="448" t="str">
        <f>_xlfn.IFNA(VLOOKUP($AP28,Programma!$F$3:$S$1101,14,0),"")</f>
        <v>1m</v>
      </c>
      <c r="BD28" s="448" t="str">
        <f>_xlfn.IFNA(VLOOKUP($AP28,Programma!$F$3:$T$1101,15,0),"")</f>
        <v>2j</v>
      </c>
      <c r="BE28" s="448" t="str">
        <f>_xlfn.IFNA(VLOOKUP($AP28,Programma!$F$3:$U$1101,16,0),"")</f>
        <v>1j</v>
      </c>
      <c r="BF28" s="448" t="str">
        <f>_xlfn.IFNA(VLOOKUP($AP28,Programma!$F$3:$V$1101,17,0),"")</f>
        <v>_</v>
      </c>
      <c r="BG28" s="448" t="str">
        <f>_xlfn.IFNA(VLOOKUP($AP28,Programma!$F$3:$W$1101,18,0),"")</f>
        <v>_</v>
      </c>
      <c r="BH28" s="448" t="str">
        <f>_xlfn.IFNA(VLOOKUP($AP28,Programma!$F$3:$X$1101,19,0),"")</f>
        <v>_</v>
      </c>
      <c r="BI28" s="448" t="str">
        <f>_xlfn.IFNA(VLOOKUP($AP28,Programma!$F$3:$Y$1101,20,0),"")</f>
        <v>_</v>
      </c>
      <c r="BJ28" s="449"/>
      <c r="BK28" s="447" t="str">
        <f>IF(Ruimtestaat[[#This Row],[Frequentie weekend]]="","",_xlfn.CONCAT(Ruimtestaat[[#This Row],[Ruimte code]],"-",Ruimtestaat[[#This Row],[Frequentie weekend]]," ",Ruimtestaat[[#This Row],[Vloer code]]))</f>
        <v/>
      </c>
      <c r="BL28" s="448" t="str">
        <f>_xlfn.IFNA(VLOOKUP($BK28,Programma!$F$3:$G$1101,2,0),"")</f>
        <v/>
      </c>
      <c r="BM28" s="448" t="str">
        <f>_xlfn.IFNA(VLOOKUP($BK28,Programma!$F$3:$H$1101,3,0),"")</f>
        <v/>
      </c>
      <c r="BN28" s="448" t="str">
        <f>_xlfn.IFNA(VLOOKUP($BK28,Programma!$F$3:$I$1101,4,0),"")</f>
        <v/>
      </c>
      <c r="BO28" s="448" t="str">
        <f>_xlfn.IFNA(VLOOKUP($BK28,Programma!$F$3:$J$1101,5,0),"")</f>
        <v/>
      </c>
      <c r="BP28" s="448" t="str">
        <f>_xlfn.IFNA(VLOOKUP($BK28,Programma!$F$3:$K$1101,6,0),"")</f>
        <v/>
      </c>
      <c r="BQ28" s="448" t="str">
        <f>_xlfn.IFNA(VLOOKUP($BK28,Programma!$F$3:$L$1101,7,0),"")</f>
        <v/>
      </c>
      <c r="BR28" s="448" t="str">
        <f>_xlfn.IFNA(VLOOKUP($BK28,Programma!$F$3:$M$1101,8,0),"")</f>
        <v/>
      </c>
      <c r="BS28" s="448" t="str">
        <f>_xlfn.IFNA(VLOOKUP($BK28,Programma!$F$3:$N$1101,9,0),"")</f>
        <v/>
      </c>
      <c r="BT28" s="448" t="str">
        <f>_xlfn.IFNA(VLOOKUP($BK28,Programma!$F$3:$O$1101,10,0),"")</f>
        <v/>
      </c>
      <c r="BU28" s="448" t="str">
        <f>_xlfn.IFNA(VLOOKUP($BK28,Programma!$F$3:$P$1101,11,0),"")</f>
        <v/>
      </c>
      <c r="BV28" s="448" t="str">
        <f>_xlfn.IFNA(VLOOKUP($BK28,Programma!$F$3:$Q$1101,12,0),"")</f>
        <v/>
      </c>
      <c r="BW28" s="448" t="str">
        <f>_xlfn.IFNA(VLOOKUP($BK28,Programma!$F$3:$R$1101,13,0),"")</f>
        <v/>
      </c>
      <c r="BX28" s="448" t="str">
        <f>_xlfn.IFNA(VLOOKUP($BK28,Programma!$F$3:$S$1101,14,0),"")</f>
        <v/>
      </c>
      <c r="BY28" s="448" t="str">
        <f>_xlfn.IFNA(VLOOKUP($BK28,Programma!$F$3:$T$1101,15,0),"")</f>
        <v/>
      </c>
      <c r="BZ28" s="448" t="str">
        <f>_xlfn.IFNA(VLOOKUP($BK28,Programma!$F$3:$U$1101,16,0),"")</f>
        <v/>
      </c>
      <c r="CA28" s="448" t="str">
        <f>_xlfn.IFNA(VLOOKUP($BK28,Programma!$F$3:$V$1101,17,0),"")</f>
        <v/>
      </c>
      <c r="CB28" s="448" t="str">
        <f>_xlfn.IFNA(VLOOKUP($BK28,Programma!$F$3:$W$1101,18,0),"")</f>
        <v/>
      </c>
      <c r="CC28" s="448" t="str">
        <f>_xlfn.IFNA(VLOOKUP($BK28,Programma!$F$3:$X$1101,19,0),"")</f>
        <v/>
      </c>
      <c r="CD28" s="448" t="str">
        <f>_xlfn.IFNA(VLOOKUP($BK28,Programma!$F$3:$Y$1101,20,0),"")</f>
        <v/>
      </c>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c r="DN28" s="327"/>
      <c r="DO28" s="327"/>
      <c r="DP28" s="327"/>
      <c r="DQ28" s="327"/>
      <c r="DR28" s="327"/>
      <c r="DS28" s="327"/>
      <c r="DT28" s="327"/>
      <c r="DU28" s="327"/>
      <c r="DV28" s="327"/>
      <c r="DW28" s="327"/>
      <c r="DX28" s="327"/>
      <c r="DY28" s="327"/>
      <c r="DZ28" s="327"/>
      <c r="EA28" s="327"/>
      <c r="EB28" s="327"/>
      <c r="EC28" s="327"/>
      <c r="ED28" s="327"/>
      <c r="EE28" s="327"/>
      <c r="EF28" s="327"/>
      <c r="EG28" s="327"/>
      <c r="EH28" s="327"/>
      <c r="EI28" s="327"/>
      <c r="EJ28" s="327"/>
      <c r="EK28" s="327"/>
      <c r="EL28" s="327"/>
      <c r="EM28" s="327"/>
      <c r="EN28" s="327"/>
      <c r="EO28" s="327"/>
      <c r="EP28" s="327"/>
      <c r="EQ28" s="327"/>
      <c r="ER28" s="327"/>
      <c r="ES28" s="327"/>
      <c r="ET28" s="327"/>
      <c r="EU28" s="327"/>
      <c r="EV28" s="327"/>
      <c r="EW28" s="327"/>
      <c r="EX28" s="327"/>
      <c r="EY28" s="327"/>
      <c r="EZ28" s="327"/>
      <c r="FA28" s="327"/>
      <c r="FB28" s="327"/>
      <c r="FC28" s="327"/>
      <c r="FD28" s="327"/>
      <c r="FE28" s="327"/>
      <c r="FF28" s="327"/>
      <c r="FG28" s="327"/>
      <c r="FH28" s="327"/>
      <c r="FI28" s="327"/>
      <c r="FJ28" s="327"/>
      <c r="FK28" s="327"/>
      <c r="FL28" s="327"/>
      <c r="FM28" s="327"/>
      <c r="FN28" s="327"/>
      <c r="FO28" s="327"/>
      <c r="FP28" s="327"/>
      <c r="FQ28" s="327"/>
      <c r="FR28" s="327"/>
      <c r="FS28" s="327"/>
      <c r="FT28" s="327"/>
      <c r="FU28" s="327"/>
      <c r="FV28" s="327"/>
      <c r="FW28" s="327"/>
      <c r="FX28" s="327"/>
      <c r="FY28" s="327"/>
      <c r="FZ28" s="327"/>
      <c r="GA28" s="327"/>
      <c r="GB28" s="327"/>
      <c r="GC28" s="327"/>
      <c r="GD28" s="327"/>
      <c r="GE28" s="327"/>
      <c r="GF28" s="327"/>
      <c r="GG28" s="327"/>
      <c r="GH28" s="327"/>
      <c r="GI28" s="327"/>
      <c r="GJ28" s="327"/>
      <c r="GK28" s="327"/>
      <c r="GL28" s="327"/>
      <c r="GM28" s="327"/>
      <c r="GN28" s="327"/>
      <c r="GO28" s="327"/>
      <c r="GP28" s="327"/>
      <c r="GQ28" s="327"/>
      <c r="GR28" s="327"/>
      <c r="GS28" s="327"/>
      <c r="GT28" s="327"/>
      <c r="GU28" s="327"/>
      <c r="GV28" s="327"/>
      <c r="GW28" s="327"/>
      <c r="GX28" s="327"/>
      <c r="GY28" s="327"/>
      <c r="GZ28" s="327"/>
      <c r="HA28" s="327"/>
      <c r="HB28" s="327"/>
      <c r="HC28" s="327"/>
      <c r="HD28" s="327"/>
      <c r="HE28" s="327"/>
      <c r="HF28" s="327"/>
      <c r="HG28" s="327"/>
      <c r="HH28" s="327"/>
      <c r="HI28" s="327"/>
      <c r="HJ28" s="327"/>
      <c r="HK28" s="327"/>
      <c r="HL28" s="327"/>
      <c r="HM28" s="327"/>
      <c r="HN28" s="327"/>
      <c r="HO28" s="327"/>
      <c r="HP28" s="327"/>
      <c r="HQ28" s="327"/>
      <c r="HR28" s="327"/>
      <c r="HS28" s="327"/>
    </row>
    <row r="29" spans="1:227" ht="15" customHeight="1">
      <c r="A29" s="434">
        <v>2</v>
      </c>
      <c r="B29" s="435" t="str">
        <f>VLOOKUP(Ruimtestaat[[#This Row],[Code]],Locaties[[Code]:[Locatie]],2,FALSE)</f>
        <v>IKC  De Watersnip</v>
      </c>
      <c r="C29" s="435" t="str">
        <f>VLOOKUP(Ruimtestaat[[#This Row],[Code]],Locaties[[#All],[Code]:[Adres]],4,FALSE)</f>
        <v>César Franckrode 70-72</v>
      </c>
      <c r="D29" s="435" t="str">
        <f>VLOOKUP(Ruimtestaat[[#This Row],[Code]],Locaties[[#All],[Code]:[Postcode]],5,FALSE)</f>
        <v>2717 BG</v>
      </c>
      <c r="E29" s="435" t="str">
        <f>VLOOKUP(Ruimtestaat[[#This Row],[Code]],Locaties[#All],6,FALSE)</f>
        <v>Zoetermeer</v>
      </c>
      <c r="F29" s="434"/>
      <c r="G29" s="434" t="s">
        <v>1678</v>
      </c>
      <c r="H29" s="436" t="s">
        <v>1689</v>
      </c>
      <c r="I29" s="437" t="s">
        <v>1690</v>
      </c>
      <c r="J29" s="330">
        <v>16</v>
      </c>
      <c r="K29" s="450" t="str">
        <f>VLOOKUP(Ruimtestaat[[#This Row],[Ruimte code]],Ruimtegroepen[[#All],[Code]:[Ruimte omschrijving]],2,FALSE)</f>
        <v>Leslokalen</v>
      </c>
      <c r="L29" s="434" t="s">
        <v>100</v>
      </c>
      <c r="M29" s="437" t="s">
        <v>1759</v>
      </c>
      <c r="N29" s="439">
        <v>60</v>
      </c>
      <c r="O29" s="439"/>
      <c r="P29" s="439"/>
      <c r="Q29" s="439"/>
      <c r="R29" s="440" t="str">
        <f>VLOOKUP(Ruimtestaat[[#This Row],[Ruimte code]],Ruimtegroepen[],4,FALSE)</f>
        <v>Le</v>
      </c>
      <c r="S29" s="434">
        <v>40</v>
      </c>
      <c r="T29" s="434" t="s">
        <v>2</v>
      </c>
      <c r="U29" s="434">
        <f>IF(S29&gt;0,IF(RIGHT(Ruimtestaat[[#This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 s="434">
        <f>IF(U29&gt;0,VLOOKUP($J29,Ruimtegroepen[],3,FALSE)*VLOOKUP($L29,Vloersoorten[],3,FALSE)*VLOOKUP($T29,Frequenties[],3,FALSE)*VLOOKUP($A29,Locaties[],3,FALSE),0)</f>
        <v>0</v>
      </c>
      <c r="W29" s="434">
        <f>Ruimtestaat[[#This Row],[Uitvoeringen werkdagen]]*Ruimtestaat[[#This Row],[Oppervlak (netto)]]</f>
        <v>12000</v>
      </c>
      <c r="X29" s="441">
        <f>IF(V29&gt;0,Ruimtestaat[[#This Row],[Prest. (m2 /jaar) werkdagen]]/Ruimtestaat[[#This Row],[Norm (m2/uur) werkdagen]],0)</f>
        <v>0</v>
      </c>
      <c r="Y29" s="442">
        <f>Ruimtestaat[[#This Row],[Uitvoeringen werkdagen]]*Ruimtestaat[[#This Row],[Gedeeltelijk]]</f>
        <v>0</v>
      </c>
      <c r="Z29" s="443" t="e">
        <f>IF(U29&gt;0,Ruimtestaat[[#This Row],[Prest. (m2 / jaar) werkdagen gedeeld]]/Ruimtestaat[[#This Row],[Norm (m2/uur) werkdagen]],0)</f>
        <v>#DIV/0!</v>
      </c>
      <c r="AA29" s="441" t="e">
        <f>Ruimtestaat[[#This Row],[uren / jaar werkdagen gedeeld]]*Tariefsopbouw!$E$35</f>
        <v>#DIV/0!</v>
      </c>
      <c r="AB29" s="441">
        <f>Ruimtestaat[[#This Row],[Uitvoeringen werkdagen]]*Ruimtestaat[[#This Row],[BSO]]</f>
        <v>0</v>
      </c>
      <c r="AC29" s="443" t="e">
        <f>IF(U29&gt;0,Ruimtestaat[[#This Row],[Prest. (m2 / jaar) werkdagen BSO]]/Ruimtestaat[[#This Row],[Norm (m2/uur) werkdagen]],0)</f>
        <v>#DIV/0!</v>
      </c>
      <c r="AD29" s="443" t="e">
        <f>Ruimtestaat[[#This Row],[uren / jaar werkdagen BSO]]*Tariefsopbouw!$E$35</f>
        <v>#DIV/0!</v>
      </c>
      <c r="AE29" s="444">
        <f>Ruimtestaat[[#This Row],[uren / jaar werkdagen]]*Tariefsopbouw!$E$35</f>
        <v>0</v>
      </c>
      <c r="AF29" s="434"/>
      <c r="AG29" s="434">
        <f>IF(Ruimtestaat[[#This Row],[Frequentie weekend]]&gt;0,VALUE(LEFT(AF29,1))*S29,0)</f>
        <v>0</v>
      </c>
      <c r="AH29" s="445">
        <f>IF($AG29&gt;0,VLOOKUP($J29,Ruimtegroepen[],3,FALSE)*VLOOKUP($L29,Vloersoorten[],3,FALSE)*VLOOKUP($AF29,Frequenties[],3,FALSE)*VLOOKUP(Ruimtestaat[[#This Row],[Code]],Locaties[],3,FALSE),0)</f>
        <v>0</v>
      </c>
      <c r="AI29" s="445">
        <f>Ruimtestaat[[#This Row],[Uitvoeringen weekend]]*Ruimtestaat[[#This Row],[Oppervlak (netto)]]</f>
        <v>0</v>
      </c>
      <c r="AJ29" s="445">
        <f>IF(AH29&gt;0,Ruimtestaat[[#This Row],[Prest. (m2 /jaar) weekend]]/Ruimtestaat[[#This Row],[Norm (m2/uur) weekend]],0)</f>
        <v>0</v>
      </c>
      <c r="AK29" s="444">
        <f>Ruimtestaat[[#This Row],[uren / jaar weekend]]*Tariefsopbouw!$D$40</f>
        <v>0</v>
      </c>
      <c r="AL29" s="441">
        <f>Ruimtestaat[[#This Row],[Prest. (m2 /jaar) weekend]]+Ruimtestaat[[#This Row],[Prest. (m2 /jaar) werkdagen]]</f>
        <v>12000</v>
      </c>
      <c r="AM29" s="441">
        <f>Ruimtestaat[[#This Row],[uren / jaar weekend]]+Ruimtestaat[[#This Row],[uren / jaar werkdagen]]</f>
        <v>0</v>
      </c>
      <c r="AN29" s="446">
        <f>Ruimtestaat[[#This Row],[kosten / jaar weekend]]+Ruimtestaat[[#This Row],[kosten / jaar werkdagen]]</f>
        <v>0</v>
      </c>
      <c r="AO29" s="446"/>
      <c r="AP29" s="447" t="str">
        <f>IF(Ruimtestaat[[#This Row],[Frequentie werkdagen]]="","",_xlfn.CONCAT(Ruimtestaat[[#This Row],[Ruimte code]],"-",Ruimtestaat[[#This Row],[Frequentie werkdagen]]," ",Ruimtestaat[[#This Row],[Vloer code]]))</f>
        <v>16-5w L</v>
      </c>
      <c r="AQ29" s="448" t="str">
        <f>_xlfn.IFNA(VLOOKUP($AP29,Programma!$F$3:$G$1101,2,0),"")</f>
        <v>_</v>
      </c>
      <c r="AR29" s="448" t="str">
        <f>_xlfn.IFNA(VLOOKUP($AP29,Programma!$F$3:$H$1101,3,0),"")</f>
        <v>_</v>
      </c>
      <c r="AS29" s="448" t="str">
        <f>_xlfn.IFNA(VLOOKUP($AP29,Programma!$F$3:$I$1101,4,0),"")</f>
        <v>4w</v>
      </c>
      <c r="AT29" s="448" t="str">
        <f>_xlfn.IFNA(VLOOKUP($AP29,Programma!$F$3:$J$1101,5,0),"")</f>
        <v>1w</v>
      </c>
      <c r="AU29" s="448" t="str">
        <f>_xlfn.IFNA(VLOOKUP($AP29,Programma!$F$3:$K$1101,6,0),"")</f>
        <v>_</v>
      </c>
      <c r="AV29" s="448" t="str">
        <f>_xlfn.IFNA(VLOOKUP($AP29,Programma!$F$3:$L$1101,7,0),"")</f>
        <v>_</v>
      </c>
      <c r="AW29" s="448" t="str">
        <f>_xlfn.IFNA(VLOOKUP($AP29,Programma!$F$3:$M$1101,8,0),"")</f>
        <v>_</v>
      </c>
      <c r="AX29" s="448" t="str">
        <f>_xlfn.IFNA(VLOOKUP($AP29,Programma!$F$3:$N$1101,9,0),"")</f>
        <v>_</v>
      </c>
      <c r="AY29" s="448" t="str">
        <f>_xlfn.IFNA(VLOOKUP($AP29,Programma!$F$3:$O$1101,10,0),"")</f>
        <v>5w</v>
      </c>
      <c r="AZ29" s="448" t="str">
        <f>_xlfn.IFNA(VLOOKUP($AP29,Programma!$F$3:$P$1101,11,0),"")</f>
        <v>5w</v>
      </c>
      <c r="BA29" s="448" t="str">
        <f>_xlfn.IFNA(VLOOKUP($AP29,Programma!$F$3:$Q$1101,12,0),"")</f>
        <v>1w</v>
      </c>
      <c r="BB29" s="448" t="str">
        <f>_xlfn.IFNA(VLOOKUP($AP29,Programma!$F$3:$R$1101,13,0),"")</f>
        <v>1w</v>
      </c>
      <c r="BC29" s="448" t="str">
        <f>_xlfn.IFNA(VLOOKUP($AP29,Programma!$F$3:$S$1101,14,0),"")</f>
        <v>1m</v>
      </c>
      <c r="BD29" s="448" t="str">
        <f>_xlfn.IFNA(VLOOKUP($AP29,Programma!$F$3:$T$1101,15,0),"")</f>
        <v>2j</v>
      </c>
      <c r="BE29" s="448" t="str">
        <f>_xlfn.IFNA(VLOOKUP($AP29,Programma!$F$3:$U$1101,16,0),"")</f>
        <v>1j</v>
      </c>
      <c r="BF29" s="448" t="str">
        <f>_xlfn.IFNA(VLOOKUP($AP29,Programma!$F$3:$V$1101,17,0),"")</f>
        <v>_</v>
      </c>
      <c r="BG29" s="448" t="str">
        <f>_xlfn.IFNA(VLOOKUP($AP29,Programma!$F$3:$W$1101,18,0),"")</f>
        <v>_</v>
      </c>
      <c r="BH29" s="448" t="str">
        <f>_xlfn.IFNA(VLOOKUP($AP29,Programma!$F$3:$X$1101,19,0),"")</f>
        <v>_</v>
      </c>
      <c r="BI29" s="448" t="str">
        <f>_xlfn.IFNA(VLOOKUP($AP29,Programma!$F$3:$Y$1101,20,0),"")</f>
        <v>_</v>
      </c>
      <c r="BJ29" s="449"/>
      <c r="BK29" s="447" t="str">
        <f>IF(Ruimtestaat[[#This Row],[Frequentie weekend]]="","",_xlfn.CONCAT(Ruimtestaat[[#This Row],[Ruimte code]],"-",Ruimtestaat[[#This Row],[Frequentie weekend]]," ",Ruimtestaat[[#This Row],[Vloer code]]))</f>
        <v/>
      </c>
      <c r="BL29" s="448" t="str">
        <f>_xlfn.IFNA(VLOOKUP($BK29,Programma!$F$3:$G$1101,2,0),"")</f>
        <v/>
      </c>
      <c r="BM29" s="448" t="str">
        <f>_xlfn.IFNA(VLOOKUP($BK29,Programma!$F$3:$H$1101,3,0),"")</f>
        <v/>
      </c>
      <c r="BN29" s="448" t="str">
        <f>_xlfn.IFNA(VLOOKUP($BK29,Programma!$F$3:$I$1101,4,0),"")</f>
        <v/>
      </c>
      <c r="BO29" s="448" t="str">
        <f>_xlfn.IFNA(VLOOKUP($BK29,Programma!$F$3:$J$1101,5,0),"")</f>
        <v/>
      </c>
      <c r="BP29" s="448" t="str">
        <f>_xlfn.IFNA(VLOOKUP($BK29,Programma!$F$3:$K$1101,6,0),"")</f>
        <v/>
      </c>
      <c r="BQ29" s="448" t="str">
        <f>_xlfn.IFNA(VLOOKUP($BK29,Programma!$F$3:$L$1101,7,0),"")</f>
        <v/>
      </c>
      <c r="BR29" s="448" t="str">
        <f>_xlfn.IFNA(VLOOKUP($BK29,Programma!$F$3:$M$1101,8,0),"")</f>
        <v/>
      </c>
      <c r="BS29" s="448" t="str">
        <f>_xlfn.IFNA(VLOOKUP($BK29,Programma!$F$3:$N$1101,9,0),"")</f>
        <v/>
      </c>
      <c r="BT29" s="448" t="str">
        <f>_xlfn.IFNA(VLOOKUP($BK29,Programma!$F$3:$O$1101,10,0),"")</f>
        <v/>
      </c>
      <c r="BU29" s="448" t="str">
        <f>_xlfn.IFNA(VLOOKUP($BK29,Programma!$F$3:$P$1101,11,0),"")</f>
        <v/>
      </c>
      <c r="BV29" s="448" t="str">
        <f>_xlfn.IFNA(VLOOKUP($BK29,Programma!$F$3:$Q$1101,12,0),"")</f>
        <v/>
      </c>
      <c r="BW29" s="448" t="str">
        <f>_xlfn.IFNA(VLOOKUP($BK29,Programma!$F$3:$R$1101,13,0),"")</f>
        <v/>
      </c>
      <c r="BX29" s="448" t="str">
        <f>_xlfn.IFNA(VLOOKUP($BK29,Programma!$F$3:$S$1101,14,0),"")</f>
        <v/>
      </c>
      <c r="BY29" s="448" t="str">
        <f>_xlfn.IFNA(VLOOKUP($BK29,Programma!$F$3:$T$1101,15,0),"")</f>
        <v/>
      </c>
      <c r="BZ29" s="448" t="str">
        <f>_xlfn.IFNA(VLOOKUP($BK29,Programma!$F$3:$U$1101,16,0),"")</f>
        <v/>
      </c>
      <c r="CA29" s="448" t="str">
        <f>_xlfn.IFNA(VLOOKUP($BK29,Programma!$F$3:$V$1101,17,0),"")</f>
        <v/>
      </c>
      <c r="CB29" s="448" t="str">
        <f>_xlfn.IFNA(VLOOKUP($BK29,Programma!$F$3:$W$1101,18,0),"")</f>
        <v/>
      </c>
      <c r="CC29" s="448" t="str">
        <f>_xlfn.IFNA(VLOOKUP($BK29,Programma!$F$3:$X$1101,19,0),"")</f>
        <v/>
      </c>
      <c r="CD29" s="448" t="str">
        <f>_xlfn.IFNA(VLOOKUP($BK29,Programma!$F$3:$Y$1101,20,0),"")</f>
        <v/>
      </c>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c r="DN29" s="327"/>
      <c r="DO29" s="327"/>
      <c r="DP29" s="327"/>
      <c r="DQ29" s="327"/>
      <c r="DR29" s="327"/>
      <c r="DS29" s="327"/>
      <c r="DT29" s="327"/>
      <c r="DU29" s="327"/>
      <c r="DV29" s="327"/>
      <c r="DW29" s="327"/>
      <c r="DX29" s="327"/>
      <c r="DY29" s="327"/>
      <c r="DZ29" s="327"/>
      <c r="EA29" s="327"/>
      <c r="EB29" s="327"/>
      <c r="EC29" s="327"/>
      <c r="ED29" s="327"/>
      <c r="EE29" s="327"/>
      <c r="EF29" s="327"/>
      <c r="EG29" s="327"/>
      <c r="EH29" s="327"/>
      <c r="EI29" s="327"/>
      <c r="EJ29" s="327"/>
      <c r="EK29" s="327"/>
      <c r="EL29" s="327"/>
      <c r="EM29" s="327"/>
      <c r="EN29" s="327"/>
      <c r="EO29" s="327"/>
      <c r="EP29" s="327"/>
      <c r="EQ29" s="327"/>
      <c r="ER29" s="327"/>
      <c r="ES29" s="327"/>
      <c r="ET29" s="327"/>
      <c r="EU29" s="327"/>
      <c r="EV29" s="327"/>
      <c r="EW29" s="327"/>
      <c r="EX29" s="327"/>
      <c r="EY29" s="327"/>
      <c r="EZ29" s="327"/>
      <c r="FA29" s="327"/>
      <c r="FB29" s="327"/>
      <c r="FC29" s="327"/>
      <c r="FD29" s="327"/>
      <c r="FE29" s="327"/>
      <c r="FF29" s="327"/>
      <c r="FG29" s="327"/>
      <c r="FH29" s="327"/>
      <c r="FI29" s="327"/>
      <c r="FJ29" s="327"/>
      <c r="FK29" s="327"/>
      <c r="FL29" s="327"/>
      <c r="FM29" s="327"/>
      <c r="FN29" s="327"/>
      <c r="FO29" s="327"/>
      <c r="FP29" s="327"/>
      <c r="FQ29" s="327"/>
      <c r="FR29" s="327"/>
      <c r="FS29" s="327"/>
      <c r="FT29" s="327"/>
      <c r="FU29" s="327"/>
      <c r="FV29" s="327"/>
      <c r="FW29" s="327"/>
      <c r="FX29" s="327"/>
      <c r="FY29" s="327"/>
      <c r="FZ29" s="327"/>
      <c r="GA29" s="327"/>
      <c r="GB29" s="327"/>
      <c r="GC29" s="327"/>
      <c r="GD29" s="327"/>
      <c r="GE29" s="327"/>
      <c r="GF29" s="327"/>
      <c r="GG29" s="327"/>
      <c r="GH29" s="327"/>
      <c r="GI29" s="327"/>
      <c r="GJ29" s="327"/>
      <c r="GK29" s="327"/>
      <c r="GL29" s="327"/>
      <c r="GM29" s="327"/>
      <c r="GN29" s="327"/>
      <c r="GO29" s="327"/>
      <c r="GP29" s="327"/>
      <c r="GQ29" s="327"/>
      <c r="GR29" s="327"/>
      <c r="GS29" s="327"/>
      <c r="GT29" s="327"/>
      <c r="GU29" s="327"/>
      <c r="GV29" s="327"/>
      <c r="GW29" s="327"/>
      <c r="GX29" s="327"/>
      <c r="GY29" s="327"/>
      <c r="GZ29" s="327"/>
      <c r="HA29" s="327"/>
      <c r="HB29" s="327"/>
      <c r="HC29" s="327"/>
      <c r="HD29" s="327"/>
      <c r="HE29" s="327"/>
      <c r="HF29" s="327"/>
      <c r="HG29" s="327"/>
      <c r="HH29" s="327"/>
      <c r="HI29" s="327"/>
      <c r="HJ29" s="327"/>
      <c r="HK29" s="327"/>
      <c r="HL29" s="327"/>
      <c r="HM29" s="327"/>
      <c r="HN29" s="327"/>
      <c r="HO29" s="327"/>
      <c r="HP29" s="327"/>
      <c r="HQ29" s="327"/>
      <c r="HR29" s="327"/>
      <c r="HS29" s="327"/>
    </row>
    <row r="30" spans="1:227" ht="15" customHeight="1">
      <c r="A30" s="434">
        <v>2</v>
      </c>
      <c r="B30" s="435" t="str">
        <f>VLOOKUP(Ruimtestaat[[#This Row],[Code]],Locaties[[Code]:[Locatie]],2,FALSE)</f>
        <v>IKC  De Watersnip</v>
      </c>
      <c r="C30" s="435" t="str">
        <f>VLOOKUP(Ruimtestaat[[#This Row],[Code]],Locaties[[#All],[Code]:[Adres]],4,FALSE)</f>
        <v>César Franckrode 70-72</v>
      </c>
      <c r="D30" s="435" t="str">
        <f>VLOOKUP(Ruimtestaat[[#This Row],[Code]],Locaties[[#All],[Code]:[Postcode]],5,FALSE)</f>
        <v>2717 BG</v>
      </c>
      <c r="E30" s="435" t="str">
        <f>VLOOKUP(Ruimtestaat[[#This Row],[Code]],Locaties[#All],6,FALSE)</f>
        <v>Zoetermeer</v>
      </c>
      <c r="F30" s="434"/>
      <c r="G30" s="434" t="s">
        <v>1678</v>
      </c>
      <c r="H30" s="436" t="s">
        <v>1691</v>
      </c>
      <c r="I30" s="437" t="s">
        <v>1676</v>
      </c>
      <c r="J30" s="330">
        <v>2</v>
      </c>
      <c r="K30" s="450" t="str">
        <f>VLOOKUP(Ruimtestaat[[#This Row],[Ruimte code]],Ruimtegroepen[[#All],[Code]:[Ruimte omschrijving]],2,FALSE)</f>
        <v>Kantoren</v>
      </c>
      <c r="L30" s="434" t="s">
        <v>100</v>
      </c>
      <c r="M30" s="437" t="s">
        <v>1759</v>
      </c>
      <c r="N30" s="439">
        <v>31</v>
      </c>
      <c r="O30" s="439"/>
      <c r="P30" s="439"/>
      <c r="Q30" s="439"/>
      <c r="R30" s="440" t="str">
        <f>VLOOKUP(Ruimtestaat[[#This Row],[Ruimte code]],Ruimtegroepen[],4,FALSE)</f>
        <v>Bu</v>
      </c>
      <c r="S30" s="434">
        <v>41</v>
      </c>
      <c r="T30" s="434" t="s">
        <v>17</v>
      </c>
      <c r="U30" s="434">
        <f>IF(S30&gt;0,IF(RIGHT(Ruimtestaat[[#This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0" s="434">
        <f>IF(U30&gt;0,VLOOKUP($J30,Ruimtegroepen[],3,FALSE)*VLOOKUP($L30,Vloersoorten[],3,FALSE)*VLOOKUP($T30,Frequenties[],3,FALSE)*VLOOKUP($A30,Locaties[],3,FALSE),0)</f>
        <v>0</v>
      </c>
      <c r="W30" s="434">
        <f>Ruimtestaat[[#This Row],[Uitvoeringen werkdagen]]*Ruimtestaat[[#This Row],[Oppervlak (netto)]]</f>
        <v>2542</v>
      </c>
      <c r="X30" s="441">
        <f>IF(V30&gt;0,Ruimtestaat[[#This Row],[Prest. (m2 /jaar) werkdagen]]/Ruimtestaat[[#This Row],[Norm (m2/uur) werkdagen]],0)</f>
        <v>0</v>
      </c>
      <c r="Y30" s="442">
        <f>Ruimtestaat[[#This Row],[Uitvoeringen werkdagen]]*Ruimtestaat[[#This Row],[Gedeeltelijk]]</f>
        <v>0</v>
      </c>
      <c r="Z30" s="443" t="e">
        <f>IF(U30&gt;0,Ruimtestaat[[#This Row],[Prest. (m2 / jaar) werkdagen gedeeld]]/Ruimtestaat[[#This Row],[Norm (m2/uur) werkdagen]],0)</f>
        <v>#DIV/0!</v>
      </c>
      <c r="AA30" s="441" t="e">
        <f>Ruimtestaat[[#This Row],[uren / jaar werkdagen gedeeld]]*Tariefsopbouw!$E$35</f>
        <v>#DIV/0!</v>
      </c>
      <c r="AB30" s="441">
        <f>Ruimtestaat[[#This Row],[Uitvoeringen werkdagen]]*Ruimtestaat[[#This Row],[BSO]]</f>
        <v>0</v>
      </c>
      <c r="AC30" s="443" t="e">
        <f>IF(U30&gt;0,Ruimtestaat[[#This Row],[Prest. (m2 / jaar) werkdagen BSO]]/Ruimtestaat[[#This Row],[Norm (m2/uur) werkdagen]],0)</f>
        <v>#DIV/0!</v>
      </c>
      <c r="AD30" s="443" t="e">
        <f>Ruimtestaat[[#This Row],[uren / jaar werkdagen BSO]]*Tariefsopbouw!$E$35</f>
        <v>#DIV/0!</v>
      </c>
      <c r="AE30" s="444">
        <f>Ruimtestaat[[#This Row],[uren / jaar werkdagen]]*Tariefsopbouw!$E$35</f>
        <v>0</v>
      </c>
      <c r="AF30" s="434"/>
      <c r="AG30" s="434">
        <f>IF(Ruimtestaat[[#This Row],[Frequentie weekend]]&gt;0,VALUE(LEFT(AF30,1))*S30,0)</f>
        <v>0</v>
      </c>
      <c r="AH30" s="445">
        <f>IF($AG30&gt;0,VLOOKUP($J30,Ruimtegroepen[],3,FALSE)*VLOOKUP($L30,Vloersoorten[],3,FALSE)*VLOOKUP($AF30,Frequenties[],3,FALSE)*VLOOKUP(Ruimtestaat[[#This Row],[Code]],Locaties[],3,FALSE),0)</f>
        <v>0</v>
      </c>
      <c r="AI30" s="445">
        <f>Ruimtestaat[[#This Row],[Uitvoeringen weekend]]*Ruimtestaat[[#This Row],[Oppervlak (netto)]]</f>
        <v>0</v>
      </c>
      <c r="AJ30" s="445">
        <f>IF(AH30&gt;0,Ruimtestaat[[#This Row],[Prest. (m2 /jaar) weekend]]/Ruimtestaat[[#This Row],[Norm (m2/uur) weekend]],0)</f>
        <v>0</v>
      </c>
      <c r="AK30" s="444">
        <f>Ruimtestaat[[#This Row],[uren / jaar weekend]]*Tariefsopbouw!$D$40</f>
        <v>0</v>
      </c>
      <c r="AL30" s="441">
        <f>Ruimtestaat[[#This Row],[Prest. (m2 /jaar) weekend]]+Ruimtestaat[[#This Row],[Prest. (m2 /jaar) werkdagen]]</f>
        <v>2542</v>
      </c>
      <c r="AM30" s="441">
        <f>Ruimtestaat[[#This Row],[uren / jaar weekend]]+Ruimtestaat[[#This Row],[uren / jaar werkdagen]]</f>
        <v>0</v>
      </c>
      <c r="AN30" s="446">
        <f>Ruimtestaat[[#This Row],[kosten / jaar weekend]]+Ruimtestaat[[#This Row],[kosten / jaar werkdagen]]</f>
        <v>0</v>
      </c>
      <c r="AO30" s="446"/>
      <c r="AP30" s="447" t="str">
        <f>IF(Ruimtestaat[[#This Row],[Frequentie werkdagen]]="","",_xlfn.CONCAT(Ruimtestaat[[#This Row],[Ruimte code]],"-",Ruimtestaat[[#This Row],[Frequentie werkdagen]]," ",Ruimtestaat[[#This Row],[Vloer code]]))</f>
        <v>2-2w L</v>
      </c>
      <c r="AQ30" s="448" t="str">
        <f>_xlfn.IFNA(VLOOKUP($AP30,Programma!$F$3:$G$1101,2,0),"")</f>
        <v>_</v>
      </c>
      <c r="AR30" s="448" t="str">
        <f>_xlfn.IFNA(VLOOKUP($AP30,Programma!$F$3:$H$1101,3,0),"")</f>
        <v>_</v>
      </c>
      <c r="AS30" s="448" t="str">
        <f>_xlfn.IFNA(VLOOKUP($AP30,Programma!$F$3:$I$1101,4,0),"")</f>
        <v>1w</v>
      </c>
      <c r="AT30" s="448" t="str">
        <f>_xlfn.IFNA(VLOOKUP($AP30,Programma!$F$3:$J$1101,5,0),"")</f>
        <v>1w</v>
      </c>
      <c r="AU30" s="448" t="str">
        <f>_xlfn.IFNA(VLOOKUP($AP30,Programma!$F$3:$K$1101,6,0),"")</f>
        <v>_</v>
      </c>
      <c r="AV30" s="448" t="str">
        <f>_xlfn.IFNA(VLOOKUP($AP30,Programma!$F$3:$L$1101,7,0),"")</f>
        <v>_</v>
      </c>
      <c r="AW30" s="448" t="str">
        <f>_xlfn.IFNA(VLOOKUP($AP30,Programma!$F$3:$M$1101,8,0),"")</f>
        <v>_</v>
      </c>
      <c r="AX30" s="448" t="str">
        <f>_xlfn.IFNA(VLOOKUP($AP30,Programma!$F$3:$N$1101,9,0),"")</f>
        <v>_</v>
      </c>
      <c r="AY30" s="448" t="str">
        <f>_xlfn.IFNA(VLOOKUP($AP30,Programma!$F$3:$O$1101,10,0),"")</f>
        <v>2w</v>
      </c>
      <c r="AZ30" s="448" t="str">
        <f>_xlfn.IFNA(VLOOKUP($AP30,Programma!$F$3:$P$1101,11,0),"")</f>
        <v>2w</v>
      </c>
      <c r="BA30" s="448" t="str">
        <f>_xlfn.IFNA(VLOOKUP($AP30,Programma!$F$3:$Q$1101,12,0),"")</f>
        <v>1w</v>
      </c>
      <c r="BB30" s="448" t="str">
        <f>_xlfn.IFNA(VLOOKUP($AP30,Programma!$F$3:$R$1101,13,0),"")</f>
        <v>1w</v>
      </c>
      <c r="BC30" s="448" t="str">
        <f>_xlfn.IFNA(VLOOKUP($AP30,Programma!$F$3:$S$1101,14,0),"")</f>
        <v>1m</v>
      </c>
      <c r="BD30" s="448" t="str">
        <f>_xlfn.IFNA(VLOOKUP($AP30,Programma!$F$3:$T$1101,15,0),"")</f>
        <v>2j</v>
      </c>
      <c r="BE30" s="448" t="str">
        <f>_xlfn.IFNA(VLOOKUP($AP30,Programma!$F$3:$U$1101,16,0),"")</f>
        <v>1j</v>
      </c>
      <c r="BF30" s="448" t="str">
        <f>_xlfn.IFNA(VLOOKUP($AP30,Programma!$F$3:$V$1101,17,0),"")</f>
        <v>_</v>
      </c>
      <c r="BG30" s="448" t="str">
        <f>_xlfn.IFNA(VLOOKUP($AP30,Programma!$F$3:$W$1101,18,0),"")</f>
        <v>_</v>
      </c>
      <c r="BH30" s="448" t="str">
        <f>_xlfn.IFNA(VLOOKUP($AP30,Programma!$F$3:$X$1101,19,0),"")</f>
        <v>_</v>
      </c>
      <c r="BI30" s="448" t="str">
        <f>_xlfn.IFNA(VLOOKUP($AP30,Programma!$F$3:$Y$1101,20,0),"")</f>
        <v>_</v>
      </c>
      <c r="BJ30" s="449"/>
      <c r="BK30" s="447" t="str">
        <f>IF(Ruimtestaat[[#This Row],[Frequentie weekend]]="","",_xlfn.CONCAT(Ruimtestaat[[#This Row],[Ruimte code]],"-",Ruimtestaat[[#This Row],[Frequentie weekend]]," ",Ruimtestaat[[#This Row],[Vloer code]]))</f>
        <v/>
      </c>
      <c r="BL30" s="448" t="str">
        <f>_xlfn.IFNA(VLOOKUP($BK30,Programma!$F$3:$G$1101,2,0),"")</f>
        <v/>
      </c>
      <c r="BM30" s="448" t="str">
        <f>_xlfn.IFNA(VLOOKUP($BK30,Programma!$F$3:$H$1101,3,0),"")</f>
        <v/>
      </c>
      <c r="BN30" s="448" t="str">
        <f>_xlfn.IFNA(VLOOKUP($BK30,Programma!$F$3:$I$1101,4,0),"")</f>
        <v/>
      </c>
      <c r="BO30" s="448" t="str">
        <f>_xlfn.IFNA(VLOOKUP($BK30,Programma!$F$3:$J$1101,5,0),"")</f>
        <v/>
      </c>
      <c r="BP30" s="448" t="str">
        <f>_xlfn.IFNA(VLOOKUP($BK30,Programma!$F$3:$K$1101,6,0),"")</f>
        <v/>
      </c>
      <c r="BQ30" s="448" t="str">
        <f>_xlfn.IFNA(VLOOKUP($BK30,Programma!$F$3:$L$1101,7,0),"")</f>
        <v/>
      </c>
      <c r="BR30" s="448" t="str">
        <f>_xlfn.IFNA(VLOOKUP($BK30,Programma!$F$3:$M$1101,8,0),"")</f>
        <v/>
      </c>
      <c r="BS30" s="448" t="str">
        <f>_xlfn.IFNA(VLOOKUP($BK30,Programma!$F$3:$N$1101,9,0),"")</f>
        <v/>
      </c>
      <c r="BT30" s="448" t="str">
        <f>_xlfn.IFNA(VLOOKUP($BK30,Programma!$F$3:$O$1101,10,0),"")</f>
        <v/>
      </c>
      <c r="BU30" s="448" t="str">
        <f>_xlfn.IFNA(VLOOKUP($BK30,Programma!$F$3:$P$1101,11,0),"")</f>
        <v/>
      </c>
      <c r="BV30" s="448" t="str">
        <f>_xlfn.IFNA(VLOOKUP($BK30,Programma!$F$3:$Q$1101,12,0),"")</f>
        <v/>
      </c>
      <c r="BW30" s="448" t="str">
        <f>_xlfn.IFNA(VLOOKUP($BK30,Programma!$F$3:$R$1101,13,0),"")</f>
        <v/>
      </c>
      <c r="BX30" s="448" t="str">
        <f>_xlfn.IFNA(VLOOKUP($BK30,Programma!$F$3:$S$1101,14,0),"")</f>
        <v/>
      </c>
      <c r="BY30" s="448" t="str">
        <f>_xlfn.IFNA(VLOOKUP($BK30,Programma!$F$3:$T$1101,15,0),"")</f>
        <v/>
      </c>
      <c r="BZ30" s="448" t="str">
        <f>_xlfn.IFNA(VLOOKUP($BK30,Programma!$F$3:$U$1101,16,0),"")</f>
        <v/>
      </c>
      <c r="CA30" s="448" t="str">
        <f>_xlfn.IFNA(VLOOKUP($BK30,Programma!$F$3:$V$1101,17,0),"")</f>
        <v/>
      </c>
      <c r="CB30" s="448" t="str">
        <f>_xlfn.IFNA(VLOOKUP($BK30,Programma!$F$3:$W$1101,18,0),"")</f>
        <v/>
      </c>
      <c r="CC30" s="448" t="str">
        <f>_xlfn.IFNA(VLOOKUP($BK30,Programma!$F$3:$X$1101,19,0),"")</f>
        <v/>
      </c>
      <c r="CD30" s="448" t="str">
        <f>_xlfn.IFNA(VLOOKUP($BK30,Programma!$F$3:$Y$1101,20,0),"")</f>
        <v/>
      </c>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c r="DN30" s="327"/>
      <c r="DO30" s="327"/>
      <c r="DP30" s="327"/>
      <c r="DQ30" s="327"/>
      <c r="DR30" s="327"/>
      <c r="DS30" s="327"/>
      <c r="DT30" s="327"/>
      <c r="DU30" s="327"/>
      <c r="DV30" s="327"/>
      <c r="DW30" s="327"/>
      <c r="DX30" s="327"/>
      <c r="DY30" s="327"/>
      <c r="DZ30" s="327"/>
      <c r="EA30" s="327"/>
      <c r="EB30" s="327"/>
      <c r="EC30" s="327"/>
      <c r="ED30" s="327"/>
      <c r="EE30" s="327"/>
      <c r="EF30" s="327"/>
      <c r="EG30" s="327"/>
      <c r="EH30" s="327"/>
      <c r="EI30" s="327"/>
      <c r="EJ30" s="327"/>
      <c r="EK30" s="327"/>
      <c r="EL30" s="327"/>
      <c r="EM30" s="327"/>
      <c r="EN30" s="327"/>
      <c r="EO30" s="327"/>
      <c r="EP30" s="327"/>
      <c r="EQ30" s="327"/>
      <c r="ER30" s="327"/>
      <c r="ES30" s="327"/>
      <c r="ET30" s="327"/>
      <c r="EU30" s="327"/>
      <c r="EV30" s="327"/>
      <c r="EW30" s="327"/>
      <c r="EX30" s="327"/>
      <c r="EY30" s="327"/>
      <c r="EZ30" s="327"/>
      <c r="FA30" s="327"/>
      <c r="FB30" s="327"/>
      <c r="FC30" s="327"/>
      <c r="FD30" s="327"/>
      <c r="FE30" s="327"/>
      <c r="FF30" s="327"/>
      <c r="FG30" s="327"/>
      <c r="FH30" s="327"/>
      <c r="FI30" s="327"/>
      <c r="FJ30" s="327"/>
      <c r="FK30" s="327"/>
      <c r="FL30" s="327"/>
      <c r="FM30" s="327"/>
      <c r="FN30" s="327"/>
      <c r="FO30" s="327"/>
      <c r="FP30" s="327"/>
      <c r="FQ30" s="327"/>
      <c r="FR30" s="327"/>
      <c r="FS30" s="327"/>
      <c r="FT30" s="327"/>
      <c r="FU30" s="327"/>
      <c r="FV30" s="327"/>
      <c r="FW30" s="327"/>
      <c r="FX30" s="327"/>
      <c r="FY30" s="327"/>
      <c r="FZ30" s="327"/>
      <c r="GA30" s="327"/>
      <c r="GB30" s="327"/>
      <c r="GC30" s="327"/>
      <c r="GD30" s="327"/>
      <c r="GE30" s="327"/>
      <c r="GF30" s="327"/>
      <c r="GG30" s="327"/>
      <c r="GH30" s="327"/>
      <c r="GI30" s="327"/>
      <c r="GJ30" s="327"/>
      <c r="GK30" s="327"/>
      <c r="GL30" s="327"/>
      <c r="GM30" s="327"/>
      <c r="GN30" s="327"/>
      <c r="GO30" s="327"/>
      <c r="GP30" s="327"/>
      <c r="GQ30" s="327"/>
      <c r="GR30" s="327"/>
      <c r="GS30" s="327"/>
      <c r="GT30" s="327"/>
      <c r="GU30" s="327"/>
      <c r="GV30" s="327"/>
      <c r="GW30" s="327"/>
      <c r="GX30" s="327"/>
      <c r="GY30" s="327"/>
      <c r="GZ30" s="327"/>
      <c r="HA30" s="327"/>
      <c r="HB30" s="327"/>
      <c r="HC30" s="327"/>
      <c r="HD30" s="327"/>
      <c r="HE30" s="327"/>
      <c r="HF30" s="327"/>
      <c r="HG30" s="327"/>
      <c r="HH30" s="327"/>
      <c r="HI30" s="327"/>
      <c r="HJ30" s="327"/>
      <c r="HK30" s="327"/>
      <c r="HL30" s="327"/>
      <c r="HM30" s="327"/>
      <c r="HN30" s="327"/>
      <c r="HO30" s="327"/>
      <c r="HP30" s="327"/>
      <c r="HQ30" s="327"/>
      <c r="HR30" s="327"/>
      <c r="HS30" s="327"/>
    </row>
    <row r="31" spans="1:227" ht="15" customHeight="1">
      <c r="A31" s="434">
        <v>2</v>
      </c>
      <c r="B31" s="435" t="str">
        <f>VLOOKUP(Ruimtestaat[[#This Row],[Code]],Locaties[[Code]:[Locatie]],2,FALSE)</f>
        <v>IKC  De Watersnip</v>
      </c>
      <c r="C31" s="435" t="str">
        <f>VLOOKUP(Ruimtestaat[[#This Row],[Code]],Locaties[[#All],[Code]:[Adres]],4,FALSE)</f>
        <v>César Franckrode 70-72</v>
      </c>
      <c r="D31" s="435" t="str">
        <f>VLOOKUP(Ruimtestaat[[#This Row],[Code]],Locaties[[#All],[Code]:[Postcode]],5,FALSE)</f>
        <v>2717 BG</v>
      </c>
      <c r="E31" s="435" t="str">
        <f>VLOOKUP(Ruimtestaat[[#This Row],[Code]],Locaties[#All],6,FALSE)</f>
        <v>Zoetermeer</v>
      </c>
      <c r="F31" s="434"/>
      <c r="G31" s="434" t="s">
        <v>1678</v>
      </c>
      <c r="H31" s="436" t="s">
        <v>1692</v>
      </c>
      <c r="I31" s="437" t="s">
        <v>1676</v>
      </c>
      <c r="J31" s="330">
        <v>2</v>
      </c>
      <c r="K31" s="450" t="str">
        <f>VLOOKUP(Ruimtestaat[[#This Row],[Ruimte code]],Ruimtegroepen[[#All],[Code]:[Ruimte omschrijving]],2,FALSE)</f>
        <v>Kantoren</v>
      </c>
      <c r="L31" s="434" t="s">
        <v>100</v>
      </c>
      <c r="M31" s="437" t="s">
        <v>1759</v>
      </c>
      <c r="N31" s="439">
        <v>30</v>
      </c>
      <c r="O31" s="439"/>
      <c r="P31" s="439"/>
      <c r="Q31" s="439"/>
      <c r="R31" s="440" t="str">
        <f>VLOOKUP(Ruimtestaat[[#This Row],[Ruimte code]],Ruimtegroepen[],4,FALSE)</f>
        <v>Bu</v>
      </c>
      <c r="S31" s="434">
        <v>41</v>
      </c>
      <c r="T31" s="434" t="s">
        <v>17</v>
      </c>
      <c r="U31" s="434">
        <f>IF(S31&gt;0,IF(RIGHT(Ruimtestaat[[#This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1" s="434">
        <f>IF(U31&gt;0,VLOOKUP($J31,Ruimtegroepen[],3,FALSE)*VLOOKUP($L31,Vloersoorten[],3,FALSE)*VLOOKUP($T31,Frequenties[],3,FALSE)*VLOOKUP($A31,Locaties[],3,FALSE),0)</f>
        <v>0</v>
      </c>
      <c r="W31" s="434">
        <f>Ruimtestaat[[#This Row],[Uitvoeringen werkdagen]]*Ruimtestaat[[#This Row],[Oppervlak (netto)]]</f>
        <v>2460</v>
      </c>
      <c r="X31" s="441">
        <f>IF(V31&gt;0,Ruimtestaat[[#This Row],[Prest. (m2 /jaar) werkdagen]]/Ruimtestaat[[#This Row],[Norm (m2/uur) werkdagen]],0)</f>
        <v>0</v>
      </c>
      <c r="Y31" s="442">
        <f>Ruimtestaat[[#This Row],[Uitvoeringen werkdagen]]*Ruimtestaat[[#This Row],[Gedeeltelijk]]</f>
        <v>0</v>
      </c>
      <c r="Z31" s="443" t="e">
        <f>IF(U31&gt;0,Ruimtestaat[[#This Row],[Prest. (m2 / jaar) werkdagen gedeeld]]/Ruimtestaat[[#This Row],[Norm (m2/uur) werkdagen]],0)</f>
        <v>#DIV/0!</v>
      </c>
      <c r="AA31" s="441" t="e">
        <f>Ruimtestaat[[#This Row],[uren / jaar werkdagen gedeeld]]*Tariefsopbouw!$E$35</f>
        <v>#DIV/0!</v>
      </c>
      <c r="AB31" s="441">
        <f>Ruimtestaat[[#This Row],[Uitvoeringen werkdagen]]*Ruimtestaat[[#This Row],[BSO]]</f>
        <v>0</v>
      </c>
      <c r="AC31" s="443" t="e">
        <f>IF(U31&gt;0,Ruimtestaat[[#This Row],[Prest. (m2 / jaar) werkdagen BSO]]/Ruimtestaat[[#This Row],[Norm (m2/uur) werkdagen]],0)</f>
        <v>#DIV/0!</v>
      </c>
      <c r="AD31" s="443" t="e">
        <f>Ruimtestaat[[#This Row],[uren / jaar werkdagen BSO]]*Tariefsopbouw!$E$35</f>
        <v>#DIV/0!</v>
      </c>
      <c r="AE31" s="444">
        <f>Ruimtestaat[[#This Row],[uren / jaar werkdagen]]*Tariefsopbouw!$E$35</f>
        <v>0</v>
      </c>
      <c r="AF31" s="434"/>
      <c r="AG31" s="434">
        <f>IF(Ruimtestaat[[#This Row],[Frequentie weekend]]&gt;0,VALUE(LEFT(AF31,1))*S31,0)</f>
        <v>0</v>
      </c>
      <c r="AH31" s="445">
        <f>IF($AG31&gt;0,VLOOKUP($J31,Ruimtegroepen[],3,FALSE)*VLOOKUP($L31,Vloersoorten[],3,FALSE)*VLOOKUP($AF31,Frequenties[],3,FALSE)*VLOOKUP(Ruimtestaat[[#This Row],[Code]],Locaties[],3,FALSE),0)</f>
        <v>0</v>
      </c>
      <c r="AI31" s="445">
        <f>Ruimtestaat[[#This Row],[Uitvoeringen weekend]]*Ruimtestaat[[#This Row],[Oppervlak (netto)]]</f>
        <v>0</v>
      </c>
      <c r="AJ31" s="445">
        <f>IF(AH31&gt;0,Ruimtestaat[[#This Row],[Prest. (m2 /jaar) weekend]]/Ruimtestaat[[#This Row],[Norm (m2/uur) weekend]],0)</f>
        <v>0</v>
      </c>
      <c r="AK31" s="444">
        <f>Ruimtestaat[[#This Row],[uren / jaar weekend]]*Tariefsopbouw!$D$40</f>
        <v>0</v>
      </c>
      <c r="AL31" s="441">
        <f>Ruimtestaat[[#This Row],[Prest. (m2 /jaar) weekend]]+Ruimtestaat[[#This Row],[Prest. (m2 /jaar) werkdagen]]</f>
        <v>2460</v>
      </c>
      <c r="AM31" s="441">
        <f>Ruimtestaat[[#This Row],[uren / jaar weekend]]+Ruimtestaat[[#This Row],[uren / jaar werkdagen]]</f>
        <v>0</v>
      </c>
      <c r="AN31" s="446">
        <f>Ruimtestaat[[#This Row],[kosten / jaar weekend]]+Ruimtestaat[[#This Row],[kosten / jaar werkdagen]]</f>
        <v>0</v>
      </c>
      <c r="AO31" s="446"/>
      <c r="AP31" s="447" t="str">
        <f>IF(Ruimtestaat[[#This Row],[Frequentie werkdagen]]="","",_xlfn.CONCAT(Ruimtestaat[[#This Row],[Ruimte code]],"-",Ruimtestaat[[#This Row],[Frequentie werkdagen]]," ",Ruimtestaat[[#This Row],[Vloer code]]))</f>
        <v>2-2w L</v>
      </c>
      <c r="AQ31" s="448" t="str">
        <f>_xlfn.IFNA(VLOOKUP($AP31,Programma!$F$3:$G$1101,2,0),"")</f>
        <v>_</v>
      </c>
      <c r="AR31" s="448" t="str">
        <f>_xlfn.IFNA(VLOOKUP($AP31,Programma!$F$3:$H$1101,3,0),"")</f>
        <v>_</v>
      </c>
      <c r="AS31" s="448" t="str">
        <f>_xlfn.IFNA(VLOOKUP($AP31,Programma!$F$3:$I$1101,4,0),"")</f>
        <v>1w</v>
      </c>
      <c r="AT31" s="448" t="str">
        <f>_xlfn.IFNA(VLOOKUP($AP31,Programma!$F$3:$J$1101,5,0),"")</f>
        <v>1w</v>
      </c>
      <c r="AU31" s="448" t="str">
        <f>_xlfn.IFNA(VLOOKUP($AP31,Programma!$F$3:$K$1101,6,0),"")</f>
        <v>_</v>
      </c>
      <c r="AV31" s="448" t="str">
        <f>_xlfn.IFNA(VLOOKUP($AP31,Programma!$F$3:$L$1101,7,0),"")</f>
        <v>_</v>
      </c>
      <c r="AW31" s="448" t="str">
        <f>_xlfn.IFNA(VLOOKUP($AP31,Programma!$F$3:$M$1101,8,0),"")</f>
        <v>_</v>
      </c>
      <c r="AX31" s="448" t="str">
        <f>_xlfn.IFNA(VLOOKUP($AP31,Programma!$F$3:$N$1101,9,0),"")</f>
        <v>_</v>
      </c>
      <c r="AY31" s="448" t="str">
        <f>_xlfn.IFNA(VLOOKUP($AP31,Programma!$F$3:$O$1101,10,0),"")</f>
        <v>2w</v>
      </c>
      <c r="AZ31" s="448" t="str">
        <f>_xlfn.IFNA(VLOOKUP($AP31,Programma!$F$3:$P$1101,11,0),"")</f>
        <v>2w</v>
      </c>
      <c r="BA31" s="448" t="str">
        <f>_xlfn.IFNA(VLOOKUP($AP31,Programma!$F$3:$Q$1101,12,0),"")</f>
        <v>1w</v>
      </c>
      <c r="BB31" s="448" t="str">
        <f>_xlfn.IFNA(VLOOKUP($AP31,Programma!$F$3:$R$1101,13,0),"")</f>
        <v>1w</v>
      </c>
      <c r="BC31" s="448" t="str">
        <f>_xlfn.IFNA(VLOOKUP($AP31,Programma!$F$3:$S$1101,14,0),"")</f>
        <v>1m</v>
      </c>
      <c r="BD31" s="448" t="str">
        <f>_xlfn.IFNA(VLOOKUP($AP31,Programma!$F$3:$T$1101,15,0),"")</f>
        <v>2j</v>
      </c>
      <c r="BE31" s="448" t="str">
        <f>_xlfn.IFNA(VLOOKUP($AP31,Programma!$F$3:$U$1101,16,0),"")</f>
        <v>1j</v>
      </c>
      <c r="BF31" s="448" t="str">
        <f>_xlfn.IFNA(VLOOKUP($AP31,Programma!$F$3:$V$1101,17,0),"")</f>
        <v>_</v>
      </c>
      <c r="BG31" s="448" t="str">
        <f>_xlfn.IFNA(VLOOKUP($AP31,Programma!$F$3:$W$1101,18,0),"")</f>
        <v>_</v>
      </c>
      <c r="BH31" s="448" t="str">
        <f>_xlfn.IFNA(VLOOKUP($AP31,Programma!$F$3:$X$1101,19,0),"")</f>
        <v>_</v>
      </c>
      <c r="BI31" s="448" t="str">
        <f>_xlfn.IFNA(VLOOKUP($AP31,Programma!$F$3:$Y$1101,20,0),"")</f>
        <v>_</v>
      </c>
      <c r="BJ31" s="449"/>
      <c r="BK31" s="447" t="str">
        <f>IF(Ruimtestaat[[#This Row],[Frequentie weekend]]="","",_xlfn.CONCAT(Ruimtestaat[[#This Row],[Ruimte code]],"-",Ruimtestaat[[#This Row],[Frequentie weekend]]," ",Ruimtestaat[[#This Row],[Vloer code]]))</f>
        <v/>
      </c>
      <c r="BL31" s="448" t="str">
        <f>_xlfn.IFNA(VLOOKUP($BK31,Programma!$F$3:$G$1101,2,0),"")</f>
        <v/>
      </c>
      <c r="BM31" s="448" t="str">
        <f>_xlfn.IFNA(VLOOKUP($BK31,Programma!$F$3:$H$1101,3,0),"")</f>
        <v/>
      </c>
      <c r="BN31" s="448" t="str">
        <f>_xlfn.IFNA(VLOOKUP($BK31,Programma!$F$3:$I$1101,4,0),"")</f>
        <v/>
      </c>
      <c r="BO31" s="448" t="str">
        <f>_xlfn.IFNA(VLOOKUP($BK31,Programma!$F$3:$J$1101,5,0),"")</f>
        <v/>
      </c>
      <c r="BP31" s="448" t="str">
        <f>_xlfn.IFNA(VLOOKUP($BK31,Programma!$F$3:$K$1101,6,0),"")</f>
        <v/>
      </c>
      <c r="BQ31" s="448" t="str">
        <f>_xlfn.IFNA(VLOOKUP($BK31,Programma!$F$3:$L$1101,7,0),"")</f>
        <v/>
      </c>
      <c r="BR31" s="448" t="str">
        <f>_xlfn.IFNA(VLOOKUP($BK31,Programma!$F$3:$M$1101,8,0),"")</f>
        <v/>
      </c>
      <c r="BS31" s="448" t="str">
        <f>_xlfn.IFNA(VLOOKUP($BK31,Programma!$F$3:$N$1101,9,0),"")</f>
        <v/>
      </c>
      <c r="BT31" s="448" t="str">
        <f>_xlfn.IFNA(VLOOKUP($BK31,Programma!$F$3:$O$1101,10,0),"")</f>
        <v/>
      </c>
      <c r="BU31" s="448" t="str">
        <f>_xlfn.IFNA(VLOOKUP($BK31,Programma!$F$3:$P$1101,11,0),"")</f>
        <v/>
      </c>
      <c r="BV31" s="448" t="str">
        <f>_xlfn.IFNA(VLOOKUP($BK31,Programma!$F$3:$Q$1101,12,0),"")</f>
        <v/>
      </c>
      <c r="BW31" s="448" t="str">
        <f>_xlfn.IFNA(VLOOKUP($BK31,Programma!$F$3:$R$1101,13,0),"")</f>
        <v/>
      </c>
      <c r="BX31" s="448" t="str">
        <f>_xlfn.IFNA(VLOOKUP($BK31,Programma!$F$3:$S$1101,14,0),"")</f>
        <v/>
      </c>
      <c r="BY31" s="448" t="str">
        <f>_xlfn.IFNA(VLOOKUP($BK31,Programma!$F$3:$T$1101,15,0),"")</f>
        <v/>
      </c>
      <c r="BZ31" s="448" t="str">
        <f>_xlfn.IFNA(VLOOKUP($BK31,Programma!$F$3:$U$1101,16,0),"")</f>
        <v/>
      </c>
      <c r="CA31" s="448" t="str">
        <f>_xlfn.IFNA(VLOOKUP($BK31,Programma!$F$3:$V$1101,17,0),"")</f>
        <v/>
      </c>
      <c r="CB31" s="448" t="str">
        <f>_xlfn.IFNA(VLOOKUP($BK31,Programma!$F$3:$W$1101,18,0),"")</f>
        <v/>
      </c>
      <c r="CC31" s="448" t="str">
        <f>_xlfn.IFNA(VLOOKUP($BK31,Programma!$F$3:$X$1101,19,0),"")</f>
        <v/>
      </c>
      <c r="CD31" s="448" t="str">
        <f>_xlfn.IFNA(VLOOKUP($BK31,Programma!$F$3:$Y$1101,20,0),"")</f>
        <v/>
      </c>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c r="DN31" s="327"/>
      <c r="DO31" s="327"/>
      <c r="DP31" s="327"/>
      <c r="DQ31" s="327"/>
      <c r="DR31" s="327"/>
      <c r="DS31" s="327"/>
      <c r="DT31" s="327"/>
      <c r="DU31" s="327"/>
      <c r="DV31" s="327"/>
      <c r="DW31" s="327"/>
      <c r="DX31" s="327"/>
      <c r="DY31" s="327"/>
      <c r="DZ31" s="327"/>
      <c r="EA31" s="327"/>
      <c r="EB31" s="327"/>
      <c r="EC31" s="327"/>
      <c r="ED31" s="327"/>
      <c r="EE31" s="327"/>
      <c r="EF31" s="327"/>
      <c r="EG31" s="327"/>
      <c r="EH31" s="327"/>
      <c r="EI31" s="327"/>
      <c r="EJ31" s="327"/>
      <c r="EK31" s="327"/>
      <c r="EL31" s="327"/>
      <c r="EM31" s="327"/>
      <c r="EN31" s="327"/>
      <c r="EO31" s="327"/>
      <c r="EP31" s="327"/>
      <c r="EQ31" s="327"/>
      <c r="ER31" s="327"/>
      <c r="ES31" s="327"/>
      <c r="ET31" s="327"/>
      <c r="EU31" s="327"/>
      <c r="EV31" s="327"/>
      <c r="EW31" s="327"/>
      <c r="EX31" s="327"/>
      <c r="EY31" s="327"/>
      <c r="EZ31" s="327"/>
      <c r="FA31" s="327"/>
      <c r="FB31" s="327"/>
      <c r="FC31" s="327"/>
      <c r="FD31" s="327"/>
      <c r="FE31" s="327"/>
      <c r="FF31" s="327"/>
      <c r="FG31" s="327"/>
      <c r="FH31" s="327"/>
      <c r="FI31" s="327"/>
      <c r="FJ31" s="327"/>
      <c r="FK31" s="327"/>
      <c r="FL31" s="327"/>
      <c r="FM31" s="327"/>
      <c r="FN31" s="327"/>
      <c r="FO31" s="327"/>
      <c r="FP31" s="327"/>
      <c r="FQ31" s="327"/>
      <c r="FR31" s="327"/>
      <c r="FS31" s="327"/>
      <c r="FT31" s="327"/>
      <c r="FU31" s="327"/>
      <c r="FV31" s="327"/>
      <c r="FW31" s="327"/>
      <c r="FX31" s="327"/>
      <c r="FY31" s="327"/>
      <c r="FZ31" s="327"/>
      <c r="GA31" s="327"/>
      <c r="GB31" s="327"/>
      <c r="GC31" s="327"/>
      <c r="GD31" s="327"/>
      <c r="GE31" s="327"/>
      <c r="GF31" s="327"/>
      <c r="GG31" s="327"/>
      <c r="GH31" s="327"/>
      <c r="GI31" s="327"/>
      <c r="GJ31" s="327"/>
      <c r="GK31" s="327"/>
      <c r="GL31" s="327"/>
      <c r="GM31" s="327"/>
      <c r="GN31" s="327"/>
      <c r="GO31" s="327"/>
      <c r="GP31" s="327"/>
      <c r="GQ31" s="327"/>
      <c r="GR31" s="327"/>
      <c r="GS31" s="327"/>
      <c r="GT31" s="327"/>
      <c r="GU31" s="327"/>
      <c r="GV31" s="327"/>
      <c r="GW31" s="327"/>
      <c r="GX31" s="327"/>
      <c r="GY31" s="327"/>
      <c r="GZ31" s="327"/>
      <c r="HA31" s="327"/>
      <c r="HB31" s="327"/>
      <c r="HC31" s="327"/>
      <c r="HD31" s="327"/>
      <c r="HE31" s="327"/>
      <c r="HF31" s="327"/>
      <c r="HG31" s="327"/>
      <c r="HH31" s="327"/>
      <c r="HI31" s="327"/>
      <c r="HJ31" s="327"/>
      <c r="HK31" s="327"/>
      <c r="HL31" s="327"/>
      <c r="HM31" s="327"/>
      <c r="HN31" s="327"/>
      <c r="HO31" s="327"/>
      <c r="HP31" s="327"/>
      <c r="HQ31" s="327"/>
      <c r="HR31" s="327"/>
      <c r="HS31" s="327"/>
    </row>
    <row r="32" spans="1:227" ht="15" customHeight="1">
      <c r="A32" s="434">
        <v>2</v>
      </c>
      <c r="B32" s="435" t="str">
        <f>VLOOKUP(Ruimtestaat[[#This Row],[Code]],Locaties[[Code]:[Locatie]],2,FALSE)</f>
        <v>IKC  De Watersnip</v>
      </c>
      <c r="C32" s="435" t="str">
        <f>VLOOKUP(Ruimtestaat[[#This Row],[Code]],Locaties[[#All],[Code]:[Adres]],4,FALSE)</f>
        <v>César Franckrode 70-72</v>
      </c>
      <c r="D32" s="435" t="str">
        <f>VLOOKUP(Ruimtestaat[[#This Row],[Code]],Locaties[[#All],[Code]:[Postcode]],5,FALSE)</f>
        <v>2717 BG</v>
      </c>
      <c r="E32" s="435" t="str">
        <f>VLOOKUP(Ruimtestaat[[#This Row],[Code]],Locaties[#All],6,FALSE)</f>
        <v>Zoetermeer</v>
      </c>
      <c r="F32" s="434"/>
      <c r="G32" s="434" t="s">
        <v>1678</v>
      </c>
      <c r="H32" s="436" t="s">
        <v>1693</v>
      </c>
      <c r="I32" s="437" t="s">
        <v>22</v>
      </c>
      <c r="J32" s="330">
        <v>5</v>
      </c>
      <c r="K32" s="450" t="str">
        <f>VLOOKUP(Ruimtestaat[[#This Row],[Ruimte code]],Ruimtegroepen[[#All],[Code]:[Ruimte omschrijving]],2,FALSE)</f>
        <v>Sanitair</v>
      </c>
      <c r="L32" s="434" t="s">
        <v>102</v>
      </c>
      <c r="M32" s="437" t="s">
        <v>2105</v>
      </c>
      <c r="N32" s="439">
        <v>30</v>
      </c>
      <c r="O32" s="439"/>
      <c r="P32" s="439"/>
      <c r="Q32" s="439"/>
      <c r="R32" s="440" t="str">
        <f>VLOOKUP(Ruimtestaat[[#This Row],[Ruimte code]],Ruimtegroepen[],4,FALSE)</f>
        <v>Sa</v>
      </c>
      <c r="S32" s="434">
        <v>41</v>
      </c>
      <c r="T32" s="434" t="s">
        <v>2</v>
      </c>
      <c r="U32" s="434">
        <f>IF(S32&gt;0,IF(RIGHT(Ruimtestaat[[#This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2" s="434">
        <f>IF(U32&gt;0,VLOOKUP($J32,Ruimtegroepen[],3,FALSE)*VLOOKUP($L32,Vloersoorten[],3,FALSE)*VLOOKUP($T32,Frequenties[],3,FALSE)*VLOOKUP($A32,Locaties[],3,FALSE),0)</f>
        <v>0</v>
      </c>
      <c r="W32" s="434">
        <f>Ruimtestaat[[#This Row],[Uitvoeringen werkdagen]]*Ruimtestaat[[#This Row],[Oppervlak (netto)]]</f>
        <v>6150</v>
      </c>
      <c r="X32" s="441">
        <f>IF(V32&gt;0,Ruimtestaat[[#This Row],[Prest. (m2 /jaar) werkdagen]]/Ruimtestaat[[#This Row],[Norm (m2/uur) werkdagen]],0)</f>
        <v>0</v>
      </c>
      <c r="Y32" s="442">
        <f>Ruimtestaat[[#This Row],[Uitvoeringen werkdagen]]*Ruimtestaat[[#This Row],[Gedeeltelijk]]</f>
        <v>0</v>
      </c>
      <c r="Z32" s="443" t="e">
        <f>IF(U32&gt;0,Ruimtestaat[[#This Row],[Prest. (m2 / jaar) werkdagen gedeeld]]/Ruimtestaat[[#This Row],[Norm (m2/uur) werkdagen]],0)</f>
        <v>#DIV/0!</v>
      </c>
      <c r="AA32" s="441" t="e">
        <f>Ruimtestaat[[#This Row],[uren / jaar werkdagen gedeeld]]*Tariefsopbouw!$E$35</f>
        <v>#DIV/0!</v>
      </c>
      <c r="AB32" s="441">
        <f>Ruimtestaat[[#This Row],[Uitvoeringen werkdagen]]*Ruimtestaat[[#This Row],[BSO]]</f>
        <v>0</v>
      </c>
      <c r="AC32" s="443" t="e">
        <f>IF(U32&gt;0,Ruimtestaat[[#This Row],[Prest. (m2 / jaar) werkdagen BSO]]/Ruimtestaat[[#This Row],[Norm (m2/uur) werkdagen]],0)</f>
        <v>#DIV/0!</v>
      </c>
      <c r="AD32" s="443" t="e">
        <f>Ruimtestaat[[#This Row],[uren / jaar werkdagen BSO]]*Tariefsopbouw!$E$35</f>
        <v>#DIV/0!</v>
      </c>
      <c r="AE32" s="444">
        <f>Ruimtestaat[[#This Row],[uren / jaar werkdagen]]*Tariefsopbouw!$E$35</f>
        <v>0</v>
      </c>
      <c r="AF32" s="434"/>
      <c r="AG32" s="434">
        <f>IF(Ruimtestaat[[#This Row],[Frequentie weekend]]&gt;0,VALUE(LEFT(AF32,1))*S32,0)</f>
        <v>0</v>
      </c>
      <c r="AH32" s="445">
        <f>IF($AG32&gt;0,VLOOKUP($J32,Ruimtegroepen[],3,FALSE)*VLOOKUP($L32,Vloersoorten[],3,FALSE)*VLOOKUP($AF32,Frequenties[],3,FALSE)*VLOOKUP(Ruimtestaat[[#This Row],[Code]],Locaties[],3,FALSE),0)</f>
        <v>0</v>
      </c>
      <c r="AI32" s="445">
        <f>Ruimtestaat[[#This Row],[Uitvoeringen weekend]]*Ruimtestaat[[#This Row],[Oppervlak (netto)]]</f>
        <v>0</v>
      </c>
      <c r="AJ32" s="445">
        <f>IF(AH32&gt;0,Ruimtestaat[[#This Row],[Prest. (m2 /jaar) weekend]]/Ruimtestaat[[#This Row],[Norm (m2/uur) weekend]],0)</f>
        <v>0</v>
      </c>
      <c r="AK32" s="444">
        <f>Ruimtestaat[[#This Row],[uren / jaar weekend]]*Tariefsopbouw!$D$40</f>
        <v>0</v>
      </c>
      <c r="AL32" s="441">
        <f>Ruimtestaat[[#This Row],[Prest. (m2 /jaar) weekend]]+Ruimtestaat[[#This Row],[Prest. (m2 /jaar) werkdagen]]</f>
        <v>6150</v>
      </c>
      <c r="AM32" s="441">
        <f>Ruimtestaat[[#This Row],[uren / jaar weekend]]+Ruimtestaat[[#This Row],[uren / jaar werkdagen]]</f>
        <v>0</v>
      </c>
      <c r="AN32" s="446">
        <f>Ruimtestaat[[#This Row],[kosten / jaar weekend]]+Ruimtestaat[[#This Row],[kosten / jaar werkdagen]]</f>
        <v>0</v>
      </c>
      <c r="AO32" s="446"/>
      <c r="AP32" s="447" t="str">
        <f>IF(Ruimtestaat[[#This Row],[Frequentie werkdagen]]="","",_xlfn.CONCAT(Ruimtestaat[[#This Row],[Ruimte code]],"-",Ruimtestaat[[#This Row],[Frequentie werkdagen]]," ",Ruimtestaat[[#This Row],[Vloer code]]))</f>
        <v>5-5w P</v>
      </c>
      <c r="AQ32" s="448" t="str">
        <f>_xlfn.IFNA(VLOOKUP($AP32,Programma!$F$3:$G$1101,2,0),"")</f>
        <v>_</v>
      </c>
      <c r="AR32" s="448" t="str">
        <f>_xlfn.IFNA(VLOOKUP($AP32,Programma!$F$3:$H$1101,3,0),"")</f>
        <v>_</v>
      </c>
      <c r="AS32" s="448" t="str">
        <f>_xlfn.IFNA(VLOOKUP($AP32,Programma!$F$3:$I$1101,4,0),"")</f>
        <v>_</v>
      </c>
      <c r="AT32" s="448" t="str">
        <f>_xlfn.IFNA(VLOOKUP($AP32,Programma!$F$3:$J$1101,5,0),"")</f>
        <v>4w</v>
      </c>
      <c r="AU32" s="448" t="str">
        <f>_xlfn.IFNA(VLOOKUP($AP32,Programma!$F$3:$K$1101,6,0),"")</f>
        <v>1w</v>
      </c>
      <c r="AV32" s="448" t="str">
        <f>_xlfn.IFNA(VLOOKUP($AP32,Programma!$F$3:$L$1101,7,0),"")</f>
        <v>_</v>
      </c>
      <c r="AW32" s="448" t="str">
        <f>_xlfn.IFNA(VLOOKUP($AP32,Programma!$F$3:$M$1101,8,0),"")</f>
        <v>_</v>
      </c>
      <c r="AX32" s="448" t="str">
        <f>_xlfn.IFNA(VLOOKUP($AP32,Programma!$F$3:$N$1101,9,0),"")</f>
        <v>_</v>
      </c>
      <c r="AY32" s="448" t="str">
        <f>_xlfn.IFNA(VLOOKUP($AP32,Programma!$F$3:$O$1101,10,0),"")</f>
        <v>_</v>
      </c>
      <c r="AZ32" s="448" t="str">
        <f>_xlfn.IFNA(VLOOKUP($AP32,Programma!$F$3:$P$1101,11,0),"")</f>
        <v>_</v>
      </c>
      <c r="BA32" s="448" t="str">
        <f>_xlfn.IFNA(VLOOKUP($AP32,Programma!$F$3:$Q$1101,12,0),"")</f>
        <v>_</v>
      </c>
      <c r="BB32" s="448" t="str">
        <f>_xlfn.IFNA(VLOOKUP($AP32,Programma!$F$3:$R$1101,13,0),"")</f>
        <v>_</v>
      </c>
      <c r="BC32" s="448" t="str">
        <f>_xlfn.IFNA(VLOOKUP($AP32,Programma!$F$3:$S$1101,14,0),"")</f>
        <v>_</v>
      </c>
      <c r="BD32" s="448" t="str">
        <f>_xlfn.IFNA(VLOOKUP($AP32,Programma!$F$3:$T$1101,15,0),"")</f>
        <v>_</v>
      </c>
      <c r="BE32" s="448" t="str">
        <f>_xlfn.IFNA(VLOOKUP($AP32,Programma!$F$3:$U$1101,16,0),"")</f>
        <v>_</v>
      </c>
      <c r="BF32" s="448" t="str">
        <f>_xlfn.IFNA(VLOOKUP($AP32,Programma!$F$3:$V$1101,17,0),"")</f>
        <v>_</v>
      </c>
      <c r="BG32" s="448" t="str">
        <f>_xlfn.IFNA(VLOOKUP($AP32,Programma!$F$3:$W$1101,18,0),"")</f>
        <v>4w</v>
      </c>
      <c r="BH32" s="448" t="str">
        <f>_xlfn.IFNA(VLOOKUP($AP32,Programma!$F$3:$X$1101,19,0),"")</f>
        <v>1w</v>
      </c>
      <c r="BI32" s="448" t="str">
        <f>_xlfn.IFNA(VLOOKUP($AP32,Programma!$F$3:$Y$1101,20,0),"")</f>
        <v>_</v>
      </c>
      <c r="BJ32" s="449"/>
      <c r="BK32" s="447" t="str">
        <f>IF(Ruimtestaat[[#This Row],[Frequentie weekend]]="","",_xlfn.CONCAT(Ruimtestaat[[#This Row],[Ruimte code]],"-",Ruimtestaat[[#This Row],[Frequentie weekend]]," ",Ruimtestaat[[#This Row],[Vloer code]]))</f>
        <v/>
      </c>
      <c r="BL32" s="448" t="str">
        <f>_xlfn.IFNA(VLOOKUP($BK32,Programma!$F$3:$G$1101,2,0),"")</f>
        <v/>
      </c>
      <c r="BM32" s="448" t="str">
        <f>_xlfn.IFNA(VLOOKUP($BK32,Programma!$F$3:$H$1101,3,0),"")</f>
        <v/>
      </c>
      <c r="BN32" s="448" t="str">
        <f>_xlfn.IFNA(VLOOKUP($BK32,Programma!$F$3:$I$1101,4,0),"")</f>
        <v/>
      </c>
      <c r="BO32" s="448" t="str">
        <f>_xlfn.IFNA(VLOOKUP($BK32,Programma!$F$3:$J$1101,5,0),"")</f>
        <v/>
      </c>
      <c r="BP32" s="448" t="str">
        <f>_xlfn.IFNA(VLOOKUP($BK32,Programma!$F$3:$K$1101,6,0),"")</f>
        <v/>
      </c>
      <c r="BQ32" s="448" t="str">
        <f>_xlfn.IFNA(VLOOKUP($BK32,Programma!$F$3:$L$1101,7,0),"")</f>
        <v/>
      </c>
      <c r="BR32" s="448" t="str">
        <f>_xlfn.IFNA(VLOOKUP($BK32,Programma!$F$3:$M$1101,8,0),"")</f>
        <v/>
      </c>
      <c r="BS32" s="448" t="str">
        <f>_xlfn.IFNA(VLOOKUP($BK32,Programma!$F$3:$N$1101,9,0),"")</f>
        <v/>
      </c>
      <c r="BT32" s="448" t="str">
        <f>_xlfn.IFNA(VLOOKUP($BK32,Programma!$F$3:$O$1101,10,0),"")</f>
        <v/>
      </c>
      <c r="BU32" s="448" t="str">
        <f>_xlfn.IFNA(VLOOKUP($BK32,Programma!$F$3:$P$1101,11,0),"")</f>
        <v/>
      </c>
      <c r="BV32" s="448" t="str">
        <f>_xlfn.IFNA(VLOOKUP($BK32,Programma!$F$3:$Q$1101,12,0),"")</f>
        <v/>
      </c>
      <c r="BW32" s="448" t="str">
        <f>_xlfn.IFNA(VLOOKUP($BK32,Programma!$F$3:$R$1101,13,0),"")</f>
        <v/>
      </c>
      <c r="BX32" s="448" t="str">
        <f>_xlfn.IFNA(VLOOKUP($BK32,Programma!$F$3:$S$1101,14,0),"")</f>
        <v/>
      </c>
      <c r="BY32" s="448" t="str">
        <f>_xlfn.IFNA(VLOOKUP($BK32,Programma!$F$3:$T$1101,15,0),"")</f>
        <v/>
      </c>
      <c r="BZ32" s="448" t="str">
        <f>_xlfn.IFNA(VLOOKUP($BK32,Programma!$F$3:$U$1101,16,0),"")</f>
        <v/>
      </c>
      <c r="CA32" s="448" t="str">
        <f>_xlfn.IFNA(VLOOKUP($BK32,Programma!$F$3:$V$1101,17,0),"")</f>
        <v/>
      </c>
      <c r="CB32" s="448" t="str">
        <f>_xlfn.IFNA(VLOOKUP($BK32,Programma!$F$3:$W$1101,18,0),"")</f>
        <v/>
      </c>
      <c r="CC32" s="448" t="str">
        <f>_xlfn.IFNA(VLOOKUP($BK32,Programma!$F$3:$X$1101,19,0),"")</f>
        <v/>
      </c>
      <c r="CD32" s="448" t="str">
        <f>_xlfn.IFNA(VLOOKUP($BK32,Programma!$F$3:$Y$1101,20,0),"")</f>
        <v/>
      </c>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c r="DN32" s="327"/>
      <c r="DO32" s="327"/>
      <c r="DP32" s="327"/>
      <c r="DQ32" s="327"/>
      <c r="DR32" s="327"/>
      <c r="DS32" s="327"/>
      <c r="DT32" s="327"/>
      <c r="DU32" s="327"/>
      <c r="DV32" s="327"/>
      <c r="DW32" s="327"/>
      <c r="DX32" s="327"/>
      <c r="DY32" s="327"/>
      <c r="DZ32" s="327"/>
      <c r="EA32" s="327"/>
      <c r="EB32" s="327"/>
      <c r="EC32" s="327"/>
      <c r="ED32" s="327"/>
      <c r="EE32" s="327"/>
      <c r="EF32" s="327"/>
      <c r="EG32" s="327"/>
      <c r="EH32" s="327"/>
      <c r="EI32" s="327"/>
      <c r="EJ32" s="327"/>
      <c r="EK32" s="327"/>
      <c r="EL32" s="327"/>
      <c r="EM32" s="327"/>
      <c r="EN32" s="327"/>
      <c r="EO32" s="327"/>
      <c r="EP32" s="327"/>
      <c r="EQ32" s="327"/>
      <c r="ER32" s="327"/>
      <c r="ES32" s="327"/>
      <c r="ET32" s="327"/>
      <c r="EU32" s="327"/>
      <c r="EV32" s="327"/>
      <c r="EW32" s="327"/>
      <c r="EX32" s="327"/>
      <c r="EY32" s="327"/>
      <c r="EZ32" s="327"/>
      <c r="FA32" s="327"/>
      <c r="FB32" s="327"/>
      <c r="FC32" s="327"/>
      <c r="FD32" s="327"/>
      <c r="FE32" s="327"/>
      <c r="FF32" s="327"/>
      <c r="FG32" s="327"/>
      <c r="FH32" s="327"/>
      <c r="FI32" s="327"/>
      <c r="FJ32" s="327"/>
      <c r="FK32" s="327"/>
      <c r="FL32" s="327"/>
      <c r="FM32" s="327"/>
      <c r="FN32" s="327"/>
      <c r="FO32" s="327"/>
      <c r="FP32" s="327"/>
      <c r="FQ32" s="327"/>
      <c r="FR32" s="327"/>
      <c r="FS32" s="327"/>
      <c r="FT32" s="327"/>
      <c r="FU32" s="327"/>
      <c r="FV32" s="327"/>
      <c r="FW32" s="327"/>
      <c r="FX32" s="327"/>
      <c r="FY32" s="327"/>
      <c r="FZ32" s="327"/>
      <c r="GA32" s="327"/>
      <c r="GB32" s="327"/>
      <c r="GC32" s="327"/>
      <c r="GD32" s="327"/>
      <c r="GE32" s="327"/>
      <c r="GF32" s="327"/>
      <c r="GG32" s="327"/>
      <c r="GH32" s="327"/>
      <c r="GI32" s="327"/>
      <c r="GJ32" s="327"/>
      <c r="GK32" s="327"/>
      <c r="GL32" s="327"/>
      <c r="GM32" s="327"/>
      <c r="GN32" s="327"/>
      <c r="GO32" s="327"/>
      <c r="GP32" s="327"/>
      <c r="GQ32" s="327"/>
      <c r="GR32" s="327"/>
      <c r="GS32" s="327"/>
      <c r="GT32" s="327"/>
      <c r="GU32" s="327"/>
      <c r="GV32" s="327"/>
      <c r="GW32" s="327"/>
      <c r="GX32" s="327"/>
      <c r="GY32" s="327"/>
      <c r="GZ32" s="327"/>
      <c r="HA32" s="327"/>
      <c r="HB32" s="327"/>
      <c r="HC32" s="327"/>
      <c r="HD32" s="327"/>
      <c r="HE32" s="327"/>
      <c r="HF32" s="327"/>
      <c r="HG32" s="327"/>
      <c r="HH32" s="327"/>
      <c r="HI32" s="327"/>
      <c r="HJ32" s="327"/>
      <c r="HK32" s="327"/>
      <c r="HL32" s="327"/>
      <c r="HM32" s="327"/>
      <c r="HN32" s="327"/>
      <c r="HO32" s="327"/>
      <c r="HP32" s="327"/>
      <c r="HQ32" s="327"/>
      <c r="HR32" s="327"/>
      <c r="HS32" s="327"/>
    </row>
    <row r="33" spans="1:227" ht="15" customHeight="1">
      <c r="A33" s="434">
        <v>2</v>
      </c>
      <c r="B33" s="435" t="str">
        <f>VLOOKUP(Ruimtestaat[[#This Row],[Code]],Locaties[[Code]:[Locatie]],2,FALSE)</f>
        <v>IKC  De Watersnip</v>
      </c>
      <c r="C33" s="435" t="str">
        <f>VLOOKUP(Ruimtestaat[[#This Row],[Code]],Locaties[[#All],[Code]:[Adres]],4,FALSE)</f>
        <v>César Franckrode 70-72</v>
      </c>
      <c r="D33" s="435" t="str">
        <f>VLOOKUP(Ruimtestaat[[#This Row],[Code]],Locaties[[#All],[Code]:[Postcode]],5,FALSE)</f>
        <v>2717 BG</v>
      </c>
      <c r="E33" s="435" t="str">
        <f>VLOOKUP(Ruimtestaat[[#This Row],[Code]],Locaties[#All],6,FALSE)</f>
        <v>Zoetermeer</v>
      </c>
      <c r="F33" s="434"/>
      <c r="G33" s="434" t="s">
        <v>1678</v>
      </c>
      <c r="H33" s="436" t="s">
        <v>1694</v>
      </c>
      <c r="I33" s="437" t="s">
        <v>1676</v>
      </c>
      <c r="J33" s="330">
        <v>2</v>
      </c>
      <c r="K33" s="450" t="str">
        <f>VLOOKUP(Ruimtestaat[[#This Row],[Ruimte code]],Ruimtegroepen[[#All],[Code]:[Ruimte omschrijving]],2,FALSE)</f>
        <v>Kantoren</v>
      </c>
      <c r="L33" s="434" t="s">
        <v>100</v>
      </c>
      <c r="M33" s="437" t="s">
        <v>1759</v>
      </c>
      <c r="N33" s="439">
        <v>10</v>
      </c>
      <c r="O33" s="439"/>
      <c r="P33" s="439"/>
      <c r="Q33" s="439"/>
      <c r="R33" s="440" t="str">
        <f>VLOOKUP(Ruimtestaat[[#This Row],[Ruimte code]],Ruimtegroepen[],4,FALSE)</f>
        <v>Bu</v>
      </c>
      <c r="S33" s="434">
        <v>41</v>
      </c>
      <c r="T33" s="434" t="s">
        <v>17</v>
      </c>
      <c r="U33" s="434">
        <f>IF(S33&gt;0,IF(RIGHT(Ruimtestaat[[#This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3" s="434">
        <f>IF(U33&gt;0,VLOOKUP($J33,Ruimtegroepen[],3,FALSE)*VLOOKUP($L33,Vloersoorten[],3,FALSE)*VLOOKUP($T33,Frequenties[],3,FALSE)*VLOOKUP($A33,Locaties[],3,FALSE),0)</f>
        <v>0</v>
      </c>
      <c r="W33" s="434">
        <f>Ruimtestaat[[#This Row],[Uitvoeringen werkdagen]]*Ruimtestaat[[#This Row],[Oppervlak (netto)]]</f>
        <v>820</v>
      </c>
      <c r="X33" s="441">
        <f>IF(V33&gt;0,Ruimtestaat[[#This Row],[Prest. (m2 /jaar) werkdagen]]/Ruimtestaat[[#This Row],[Norm (m2/uur) werkdagen]],0)</f>
        <v>0</v>
      </c>
      <c r="Y33" s="442">
        <f>Ruimtestaat[[#This Row],[Uitvoeringen werkdagen]]*Ruimtestaat[[#This Row],[Gedeeltelijk]]</f>
        <v>0</v>
      </c>
      <c r="Z33" s="443" t="e">
        <f>IF(U33&gt;0,Ruimtestaat[[#This Row],[Prest. (m2 / jaar) werkdagen gedeeld]]/Ruimtestaat[[#This Row],[Norm (m2/uur) werkdagen]],0)</f>
        <v>#DIV/0!</v>
      </c>
      <c r="AA33" s="441" t="e">
        <f>Ruimtestaat[[#This Row],[uren / jaar werkdagen gedeeld]]*Tariefsopbouw!$E$35</f>
        <v>#DIV/0!</v>
      </c>
      <c r="AB33" s="441">
        <f>Ruimtestaat[[#This Row],[Uitvoeringen werkdagen]]*Ruimtestaat[[#This Row],[BSO]]</f>
        <v>0</v>
      </c>
      <c r="AC33" s="443" t="e">
        <f>IF(U33&gt;0,Ruimtestaat[[#This Row],[Prest. (m2 / jaar) werkdagen BSO]]/Ruimtestaat[[#This Row],[Norm (m2/uur) werkdagen]],0)</f>
        <v>#DIV/0!</v>
      </c>
      <c r="AD33" s="443" t="e">
        <f>Ruimtestaat[[#This Row],[uren / jaar werkdagen BSO]]*Tariefsopbouw!$E$35</f>
        <v>#DIV/0!</v>
      </c>
      <c r="AE33" s="444">
        <f>Ruimtestaat[[#This Row],[uren / jaar werkdagen]]*Tariefsopbouw!$E$35</f>
        <v>0</v>
      </c>
      <c r="AF33" s="434"/>
      <c r="AG33" s="434">
        <f>IF(Ruimtestaat[[#This Row],[Frequentie weekend]]&gt;0,VALUE(LEFT(AF33,1))*S33,0)</f>
        <v>0</v>
      </c>
      <c r="AH33" s="445">
        <f>IF($AG33&gt;0,VLOOKUP($J33,Ruimtegroepen[],3,FALSE)*VLOOKUP($L33,Vloersoorten[],3,FALSE)*VLOOKUP($AF33,Frequenties[],3,FALSE)*VLOOKUP(Ruimtestaat[[#This Row],[Code]],Locaties[],3,FALSE),0)</f>
        <v>0</v>
      </c>
      <c r="AI33" s="445">
        <f>Ruimtestaat[[#This Row],[Uitvoeringen weekend]]*Ruimtestaat[[#This Row],[Oppervlak (netto)]]</f>
        <v>0</v>
      </c>
      <c r="AJ33" s="445">
        <f>IF(AH33&gt;0,Ruimtestaat[[#This Row],[Prest. (m2 /jaar) weekend]]/Ruimtestaat[[#This Row],[Norm (m2/uur) weekend]],0)</f>
        <v>0</v>
      </c>
      <c r="AK33" s="444">
        <f>Ruimtestaat[[#This Row],[uren / jaar weekend]]*Tariefsopbouw!$D$40</f>
        <v>0</v>
      </c>
      <c r="AL33" s="441">
        <f>Ruimtestaat[[#This Row],[Prest. (m2 /jaar) weekend]]+Ruimtestaat[[#This Row],[Prest. (m2 /jaar) werkdagen]]</f>
        <v>820</v>
      </c>
      <c r="AM33" s="441">
        <f>Ruimtestaat[[#This Row],[uren / jaar weekend]]+Ruimtestaat[[#This Row],[uren / jaar werkdagen]]</f>
        <v>0</v>
      </c>
      <c r="AN33" s="446">
        <f>Ruimtestaat[[#This Row],[kosten / jaar weekend]]+Ruimtestaat[[#This Row],[kosten / jaar werkdagen]]</f>
        <v>0</v>
      </c>
      <c r="AO33" s="446"/>
      <c r="AP33" s="447" t="str">
        <f>IF(Ruimtestaat[[#This Row],[Frequentie werkdagen]]="","",_xlfn.CONCAT(Ruimtestaat[[#This Row],[Ruimte code]],"-",Ruimtestaat[[#This Row],[Frequentie werkdagen]]," ",Ruimtestaat[[#This Row],[Vloer code]]))</f>
        <v>2-2w L</v>
      </c>
      <c r="AQ33" s="448" t="str">
        <f>_xlfn.IFNA(VLOOKUP($AP33,Programma!$F$3:$G$1101,2,0),"")</f>
        <v>_</v>
      </c>
      <c r="AR33" s="448" t="str">
        <f>_xlfn.IFNA(VLOOKUP($AP33,Programma!$F$3:$H$1101,3,0),"")</f>
        <v>_</v>
      </c>
      <c r="AS33" s="448" t="str">
        <f>_xlfn.IFNA(VLOOKUP($AP33,Programma!$F$3:$I$1101,4,0),"")</f>
        <v>1w</v>
      </c>
      <c r="AT33" s="448" t="str">
        <f>_xlfn.IFNA(VLOOKUP($AP33,Programma!$F$3:$J$1101,5,0),"")</f>
        <v>1w</v>
      </c>
      <c r="AU33" s="448" t="str">
        <f>_xlfn.IFNA(VLOOKUP($AP33,Programma!$F$3:$K$1101,6,0),"")</f>
        <v>_</v>
      </c>
      <c r="AV33" s="448" t="str">
        <f>_xlfn.IFNA(VLOOKUP($AP33,Programma!$F$3:$L$1101,7,0),"")</f>
        <v>_</v>
      </c>
      <c r="AW33" s="448" t="str">
        <f>_xlfn.IFNA(VLOOKUP($AP33,Programma!$F$3:$M$1101,8,0),"")</f>
        <v>_</v>
      </c>
      <c r="AX33" s="448" t="str">
        <f>_xlfn.IFNA(VLOOKUP($AP33,Programma!$F$3:$N$1101,9,0),"")</f>
        <v>_</v>
      </c>
      <c r="AY33" s="448" t="str">
        <f>_xlfn.IFNA(VLOOKUP($AP33,Programma!$F$3:$O$1101,10,0),"")</f>
        <v>2w</v>
      </c>
      <c r="AZ33" s="448" t="str">
        <f>_xlfn.IFNA(VLOOKUP($AP33,Programma!$F$3:$P$1101,11,0),"")</f>
        <v>2w</v>
      </c>
      <c r="BA33" s="448" t="str">
        <f>_xlfn.IFNA(VLOOKUP($AP33,Programma!$F$3:$Q$1101,12,0),"")</f>
        <v>1w</v>
      </c>
      <c r="BB33" s="448" t="str">
        <f>_xlfn.IFNA(VLOOKUP($AP33,Programma!$F$3:$R$1101,13,0),"")</f>
        <v>1w</v>
      </c>
      <c r="BC33" s="448" t="str">
        <f>_xlfn.IFNA(VLOOKUP($AP33,Programma!$F$3:$S$1101,14,0),"")</f>
        <v>1m</v>
      </c>
      <c r="BD33" s="448" t="str">
        <f>_xlfn.IFNA(VLOOKUP($AP33,Programma!$F$3:$T$1101,15,0),"")</f>
        <v>2j</v>
      </c>
      <c r="BE33" s="448" t="str">
        <f>_xlfn.IFNA(VLOOKUP($AP33,Programma!$F$3:$U$1101,16,0),"")</f>
        <v>1j</v>
      </c>
      <c r="BF33" s="448" t="str">
        <f>_xlfn.IFNA(VLOOKUP($AP33,Programma!$F$3:$V$1101,17,0),"")</f>
        <v>_</v>
      </c>
      <c r="BG33" s="448" t="str">
        <f>_xlfn.IFNA(VLOOKUP($AP33,Programma!$F$3:$W$1101,18,0),"")</f>
        <v>_</v>
      </c>
      <c r="BH33" s="448" t="str">
        <f>_xlfn.IFNA(VLOOKUP($AP33,Programma!$F$3:$X$1101,19,0),"")</f>
        <v>_</v>
      </c>
      <c r="BI33" s="448" t="str">
        <f>_xlfn.IFNA(VLOOKUP($AP33,Programma!$F$3:$Y$1101,20,0),"")</f>
        <v>_</v>
      </c>
      <c r="BJ33" s="449"/>
      <c r="BK33" s="447" t="str">
        <f>IF(Ruimtestaat[[#This Row],[Frequentie weekend]]="","",_xlfn.CONCAT(Ruimtestaat[[#This Row],[Ruimte code]],"-",Ruimtestaat[[#This Row],[Frequentie weekend]]," ",Ruimtestaat[[#This Row],[Vloer code]]))</f>
        <v/>
      </c>
      <c r="BL33" s="448" t="str">
        <f>_xlfn.IFNA(VLOOKUP($BK33,Programma!$F$3:$G$1101,2,0),"")</f>
        <v/>
      </c>
      <c r="BM33" s="448" t="str">
        <f>_xlfn.IFNA(VLOOKUP($BK33,Programma!$F$3:$H$1101,3,0),"")</f>
        <v/>
      </c>
      <c r="BN33" s="448" t="str">
        <f>_xlfn.IFNA(VLOOKUP($BK33,Programma!$F$3:$I$1101,4,0),"")</f>
        <v/>
      </c>
      <c r="BO33" s="448" t="str">
        <f>_xlfn.IFNA(VLOOKUP($BK33,Programma!$F$3:$J$1101,5,0),"")</f>
        <v/>
      </c>
      <c r="BP33" s="448" t="str">
        <f>_xlfn.IFNA(VLOOKUP($BK33,Programma!$F$3:$K$1101,6,0),"")</f>
        <v/>
      </c>
      <c r="BQ33" s="448" t="str">
        <f>_xlfn.IFNA(VLOOKUP($BK33,Programma!$F$3:$L$1101,7,0),"")</f>
        <v/>
      </c>
      <c r="BR33" s="448" t="str">
        <f>_xlfn.IFNA(VLOOKUP($BK33,Programma!$F$3:$M$1101,8,0),"")</f>
        <v/>
      </c>
      <c r="BS33" s="448" t="str">
        <f>_xlfn.IFNA(VLOOKUP($BK33,Programma!$F$3:$N$1101,9,0),"")</f>
        <v/>
      </c>
      <c r="BT33" s="448" t="str">
        <f>_xlfn.IFNA(VLOOKUP($BK33,Programma!$F$3:$O$1101,10,0),"")</f>
        <v/>
      </c>
      <c r="BU33" s="448" t="str">
        <f>_xlfn.IFNA(VLOOKUP($BK33,Programma!$F$3:$P$1101,11,0),"")</f>
        <v/>
      </c>
      <c r="BV33" s="448" t="str">
        <f>_xlfn.IFNA(VLOOKUP($BK33,Programma!$F$3:$Q$1101,12,0),"")</f>
        <v/>
      </c>
      <c r="BW33" s="448" t="str">
        <f>_xlfn.IFNA(VLOOKUP($BK33,Programma!$F$3:$R$1101,13,0),"")</f>
        <v/>
      </c>
      <c r="BX33" s="448" t="str">
        <f>_xlfn.IFNA(VLOOKUP($BK33,Programma!$F$3:$S$1101,14,0),"")</f>
        <v/>
      </c>
      <c r="BY33" s="448" t="str">
        <f>_xlfn.IFNA(VLOOKUP($BK33,Programma!$F$3:$T$1101,15,0),"")</f>
        <v/>
      </c>
      <c r="BZ33" s="448" t="str">
        <f>_xlfn.IFNA(VLOOKUP($BK33,Programma!$F$3:$U$1101,16,0),"")</f>
        <v/>
      </c>
      <c r="CA33" s="448" t="str">
        <f>_xlfn.IFNA(VLOOKUP($BK33,Programma!$F$3:$V$1101,17,0),"")</f>
        <v/>
      </c>
      <c r="CB33" s="448" t="str">
        <f>_xlfn.IFNA(VLOOKUP($BK33,Programma!$F$3:$W$1101,18,0),"")</f>
        <v/>
      </c>
      <c r="CC33" s="448" t="str">
        <f>_xlfn.IFNA(VLOOKUP($BK33,Programma!$F$3:$X$1101,19,0),"")</f>
        <v/>
      </c>
      <c r="CD33" s="448" t="str">
        <f>_xlfn.IFNA(VLOOKUP($BK33,Programma!$F$3:$Y$1101,20,0),"")</f>
        <v/>
      </c>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c r="DN33" s="327"/>
      <c r="DO33" s="327"/>
      <c r="DP33" s="327"/>
      <c r="DQ33" s="327"/>
      <c r="DR33" s="327"/>
      <c r="DS33" s="327"/>
      <c r="DT33" s="327"/>
      <c r="DU33" s="327"/>
      <c r="DV33" s="327"/>
      <c r="DW33" s="327"/>
      <c r="DX33" s="327"/>
      <c r="DY33" s="327"/>
      <c r="DZ33" s="327"/>
      <c r="EA33" s="327"/>
      <c r="EB33" s="327"/>
      <c r="EC33" s="327"/>
      <c r="ED33" s="327"/>
      <c r="EE33" s="327"/>
      <c r="EF33" s="327"/>
      <c r="EG33" s="327"/>
      <c r="EH33" s="327"/>
      <c r="EI33" s="327"/>
      <c r="EJ33" s="327"/>
      <c r="EK33" s="327"/>
      <c r="EL33" s="327"/>
      <c r="EM33" s="327"/>
      <c r="EN33" s="327"/>
      <c r="EO33" s="327"/>
      <c r="EP33" s="327"/>
      <c r="EQ33" s="327"/>
      <c r="ER33" s="327"/>
      <c r="ES33" s="327"/>
      <c r="ET33" s="327"/>
      <c r="EU33" s="327"/>
      <c r="EV33" s="327"/>
      <c r="EW33" s="327"/>
      <c r="EX33" s="327"/>
      <c r="EY33" s="327"/>
      <c r="EZ33" s="327"/>
      <c r="FA33" s="327"/>
      <c r="FB33" s="327"/>
      <c r="FC33" s="327"/>
      <c r="FD33" s="327"/>
      <c r="FE33" s="327"/>
      <c r="FF33" s="327"/>
      <c r="FG33" s="327"/>
      <c r="FH33" s="327"/>
      <c r="FI33" s="327"/>
      <c r="FJ33" s="327"/>
      <c r="FK33" s="327"/>
      <c r="FL33" s="327"/>
      <c r="FM33" s="327"/>
      <c r="FN33" s="327"/>
      <c r="FO33" s="327"/>
      <c r="FP33" s="327"/>
      <c r="FQ33" s="327"/>
      <c r="FR33" s="327"/>
      <c r="FS33" s="327"/>
      <c r="FT33" s="327"/>
      <c r="FU33" s="327"/>
      <c r="FV33" s="327"/>
      <c r="FW33" s="327"/>
      <c r="FX33" s="327"/>
      <c r="FY33" s="327"/>
      <c r="FZ33" s="327"/>
      <c r="GA33" s="327"/>
      <c r="GB33" s="327"/>
      <c r="GC33" s="327"/>
      <c r="GD33" s="327"/>
      <c r="GE33" s="327"/>
      <c r="GF33" s="327"/>
      <c r="GG33" s="327"/>
      <c r="GH33" s="327"/>
      <c r="GI33" s="327"/>
      <c r="GJ33" s="327"/>
      <c r="GK33" s="327"/>
      <c r="GL33" s="327"/>
      <c r="GM33" s="327"/>
      <c r="GN33" s="327"/>
      <c r="GO33" s="327"/>
      <c r="GP33" s="327"/>
      <c r="GQ33" s="327"/>
      <c r="GR33" s="327"/>
      <c r="GS33" s="327"/>
      <c r="GT33" s="327"/>
      <c r="GU33" s="327"/>
      <c r="GV33" s="327"/>
      <c r="GW33" s="327"/>
      <c r="GX33" s="327"/>
      <c r="GY33" s="327"/>
      <c r="GZ33" s="327"/>
      <c r="HA33" s="327"/>
      <c r="HB33" s="327"/>
      <c r="HC33" s="327"/>
      <c r="HD33" s="327"/>
      <c r="HE33" s="327"/>
      <c r="HF33" s="327"/>
      <c r="HG33" s="327"/>
      <c r="HH33" s="327"/>
      <c r="HI33" s="327"/>
      <c r="HJ33" s="327"/>
      <c r="HK33" s="327"/>
      <c r="HL33" s="327"/>
      <c r="HM33" s="327"/>
      <c r="HN33" s="327"/>
      <c r="HO33" s="327"/>
      <c r="HP33" s="327"/>
      <c r="HQ33" s="327"/>
      <c r="HR33" s="327"/>
      <c r="HS33" s="327"/>
    </row>
    <row r="34" spans="1:227" ht="15" customHeight="1">
      <c r="A34" s="434">
        <v>2</v>
      </c>
      <c r="B34" s="435" t="str">
        <f>VLOOKUP(Ruimtestaat[[#This Row],[Code]],Locaties[[Code]:[Locatie]],2,FALSE)</f>
        <v>IKC  De Watersnip</v>
      </c>
      <c r="C34" s="435" t="str">
        <f>VLOOKUP(Ruimtestaat[[#This Row],[Code]],Locaties[[#All],[Code]:[Adres]],4,FALSE)</f>
        <v>César Franckrode 70-72</v>
      </c>
      <c r="D34" s="435" t="str">
        <f>VLOOKUP(Ruimtestaat[[#This Row],[Code]],Locaties[[#All],[Code]:[Postcode]],5,FALSE)</f>
        <v>2717 BG</v>
      </c>
      <c r="E34" s="435" t="str">
        <f>VLOOKUP(Ruimtestaat[[#This Row],[Code]],Locaties[#All],6,FALSE)</f>
        <v>Zoetermeer</v>
      </c>
      <c r="F34" s="434"/>
      <c r="G34" s="434" t="s">
        <v>1678</v>
      </c>
      <c r="H34" s="436" t="s">
        <v>1695</v>
      </c>
      <c r="I34" s="437" t="s">
        <v>1676</v>
      </c>
      <c r="J34" s="330">
        <v>2</v>
      </c>
      <c r="K34" s="450" t="str">
        <f>VLOOKUP(Ruimtestaat[[#This Row],[Ruimte code]],Ruimtegroepen[[#All],[Code]:[Ruimte omschrijving]],2,FALSE)</f>
        <v>Kantoren</v>
      </c>
      <c r="L34" s="434" t="s">
        <v>99</v>
      </c>
      <c r="M34" s="437" t="s">
        <v>36</v>
      </c>
      <c r="N34" s="439">
        <v>12</v>
      </c>
      <c r="O34" s="439"/>
      <c r="P34" s="439"/>
      <c r="Q34" s="439"/>
      <c r="R34" s="440" t="str">
        <f>VLOOKUP(Ruimtestaat[[#This Row],[Ruimte code]],Ruimtegroepen[],4,FALSE)</f>
        <v>Bu</v>
      </c>
      <c r="S34" s="434">
        <v>41</v>
      </c>
      <c r="T34" s="434" t="s">
        <v>17</v>
      </c>
      <c r="U34" s="434">
        <f>IF(S34&gt;0,IF(RIGHT(Ruimtestaat[[#This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4" s="434">
        <f>IF(U34&gt;0,VLOOKUP($J34,Ruimtegroepen[],3,FALSE)*VLOOKUP($L34,Vloersoorten[],3,FALSE)*VLOOKUP($T34,Frequenties[],3,FALSE)*VLOOKUP($A34,Locaties[],3,FALSE),0)</f>
        <v>0</v>
      </c>
      <c r="W34" s="434">
        <f>Ruimtestaat[[#This Row],[Uitvoeringen werkdagen]]*Ruimtestaat[[#This Row],[Oppervlak (netto)]]</f>
        <v>984</v>
      </c>
      <c r="X34" s="441">
        <f>IF(V34&gt;0,Ruimtestaat[[#This Row],[Prest. (m2 /jaar) werkdagen]]/Ruimtestaat[[#This Row],[Norm (m2/uur) werkdagen]],0)</f>
        <v>0</v>
      </c>
      <c r="Y34" s="442">
        <f>Ruimtestaat[[#This Row],[Uitvoeringen werkdagen]]*Ruimtestaat[[#This Row],[Gedeeltelijk]]</f>
        <v>0</v>
      </c>
      <c r="Z34" s="443" t="e">
        <f>IF(U34&gt;0,Ruimtestaat[[#This Row],[Prest. (m2 / jaar) werkdagen gedeeld]]/Ruimtestaat[[#This Row],[Norm (m2/uur) werkdagen]],0)</f>
        <v>#DIV/0!</v>
      </c>
      <c r="AA34" s="441" t="e">
        <f>Ruimtestaat[[#This Row],[uren / jaar werkdagen gedeeld]]*Tariefsopbouw!$E$35</f>
        <v>#DIV/0!</v>
      </c>
      <c r="AB34" s="441">
        <f>Ruimtestaat[[#This Row],[Uitvoeringen werkdagen]]*Ruimtestaat[[#This Row],[BSO]]</f>
        <v>0</v>
      </c>
      <c r="AC34" s="443" t="e">
        <f>IF(U34&gt;0,Ruimtestaat[[#This Row],[Prest. (m2 / jaar) werkdagen BSO]]/Ruimtestaat[[#This Row],[Norm (m2/uur) werkdagen]],0)</f>
        <v>#DIV/0!</v>
      </c>
      <c r="AD34" s="443" t="e">
        <f>Ruimtestaat[[#This Row],[uren / jaar werkdagen BSO]]*Tariefsopbouw!$E$35</f>
        <v>#DIV/0!</v>
      </c>
      <c r="AE34" s="444">
        <f>Ruimtestaat[[#This Row],[uren / jaar werkdagen]]*Tariefsopbouw!$E$35</f>
        <v>0</v>
      </c>
      <c r="AF34" s="434"/>
      <c r="AG34" s="434">
        <f>IF(Ruimtestaat[[#This Row],[Frequentie weekend]]&gt;0,VALUE(LEFT(AF34,1))*S34,0)</f>
        <v>0</v>
      </c>
      <c r="AH34" s="445">
        <f>IF($AG34&gt;0,VLOOKUP($J34,Ruimtegroepen[],3,FALSE)*VLOOKUP($L34,Vloersoorten[],3,FALSE)*VLOOKUP($AF34,Frequenties[],3,FALSE)*VLOOKUP(Ruimtestaat[[#This Row],[Code]],Locaties[],3,FALSE),0)</f>
        <v>0</v>
      </c>
      <c r="AI34" s="445">
        <f>Ruimtestaat[[#This Row],[Uitvoeringen weekend]]*Ruimtestaat[[#This Row],[Oppervlak (netto)]]</f>
        <v>0</v>
      </c>
      <c r="AJ34" s="445">
        <f>IF(AH34&gt;0,Ruimtestaat[[#This Row],[Prest. (m2 /jaar) weekend]]/Ruimtestaat[[#This Row],[Norm (m2/uur) weekend]],0)</f>
        <v>0</v>
      </c>
      <c r="AK34" s="444">
        <f>Ruimtestaat[[#This Row],[uren / jaar weekend]]*Tariefsopbouw!$D$40</f>
        <v>0</v>
      </c>
      <c r="AL34" s="441">
        <f>Ruimtestaat[[#This Row],[Prest. (m2 /jaar) weekend]]+Ruimtestaat[[#This Row],[Prest. (m2 /jaar) werkdagen]]</f>
        <v>984</v>
      </c>
      <c r="AM34" s="441">
        <f>Ruimtestaat[[#This Row],[uren / jaar weekend]]+Ruimtestaat[[#This Row],[uren / jaar werkdagen]]</f>
        <v>0</v>
      </c>
      <c r="AN34" s="446">
        <f>Ruimtestaat[[#This Row],[kosten / jaar weekend]]+Ruimtestaat[[#This Row],[kosten / jaar werkdagen]]</f>
        <v>0</v>
      </c>
      <c r="AO34" s="446"/>
      <c r="AP34" s="447" t="str">
        <f>IF(Ruimtestaat[[#This Row],[Frequentie werkdagen]]="","",_xlfn.CONCAT(Ruimtestaat[[#This Row],[Ruimte code]],"-",Ruimtestaat[[#This Row],[Frequentie werkdagen]]," ",Ruimtestaat[[#This Row],[Vloer code]]))</f>
        <v>2-2w T</v>
      </c>
      <c r="AQ34" s="448" t="str">
        <f>_xlfn.IFNA(VLOOKUP($AP34,Programma!$F$3:$G$1101,2,0),"")</f>
        <v>1w</v>
      </c>
      <c r="AR34" s="448" t="str">
        <f>_xlfn.IFNA(VLOOKUP($AP34,Programma!$F$3:$H$1101,3,0),"")</f>
        <v>1w</v>
      </c>
      <c r="AS34" s="448" t="str">
        <f>_xlfn.IFNA(VLOOKUP($AP34,Programma!$F$3:$I$1101,4,0),"")</f>
        <v>_</v>
      </c>
      <c r="AT34" s="448" t="str">
        <f>_xlfn.IFNA(VLOOKUP($AP34,Programma!$F$3:$J$1101,5,0),"")</f>
        <v>_</v>
      </c>
      <c r="AU34" s="448" t="str">
        <f>_xlfn.IFNA(VLOOKUP($AP34,Programma!$F$3:$K$1101,6,0),"")</f>
        <v>_</v>
      </c>
      <c r="AV34" s="448" t="str">
        <f>_xlfn.IFNA(VLOOKUP($AP34,Programma!$F$3:$L$1101,7,0),"")</f>
        <v>_</v>
      </c>
      <c r="AW34" s="448" t="str">
        <f>_xlfn.IFNA(VLOOKUP($AP34,Programma!$F$3:$M$1101,8,0),"")</f>
        <v>_</v>
      </c>
      <c r="AX34" s="448" t="str">
        <f>_xlfn.IFNA(VLOOKUP($AP34,Programma!$F$3:$N$1101,9,0),"")</f>
        <v>_</v>
      </c>
      <c r="AY34" s="448" t="str">
        <f>_xlfn.IFNA(VLOOKUP($AP34,Programma!$F$3:$O$1101,10,0),"")</f>
        <v>2w</v>
      </c>
      <c r="AZ34" s="448" t="str">
        <f>_xlfn.IFNA(VLOOKUP($AP34,Programma!$F$3:$P$1101,11,0),"")</f>
        <v>2w</v>
      </c>
      <c r="BA34" s="448" t="str">
        <f>_xlfn.IFNA(VLOOKUP($AP34,Programma!$F$3:$Q$1101,12,0),"")</f>
        <v>1w</v>
      </c>
      <c r="BB34" s="448" t="str">
        <f>_xlfn.IFNA(VLOOKUP($AP34,Programma!$F$3:$R$1101,13,0),"")</f>
        <v>1w</v>
      </c>
      <c r="BC34" s="448" t="str">
        <f>_xlfn.IFNA(VLOOKUP($AP34,Programma!$F$3:$S$1101,14,0),"")</f>
        <v>1m</v>
      </c>
      <c r="BD34" s="448" t="str">
        <f>_xlfn.IFNA(VLOOKUP($AP34,Programma!$F$3:$T$1101,15,0),"")</f>
        <v>2j</v>
      </c>
      <c r="BE34" s="448" t="str">
        <f>_xlfn.IFNA(VLOOKUP($AP34,Programma!$F$3:$U$1101,16,0),"")</f>
        <v>1j</v>
      </c>
      <c r="BF34" s="448" t="str">
        <f>_xlfn.IFNA(VLOOKUP($AP34,Programma!$F$3:$V$1101,17,0),"")</f>
        <v>_</v>
      </c>
      <c r="BG34" s="448" t="str">
        <f>_xlfn.IFNA(VLOOKUP($AP34,Programma!$F$3:$W$1101,18,0),"")</f>
        <v>_</v>
      </c>
      <c r="BH34" s="448" t="str">
        <f>_xlfn.IFNA(VLOOKUP($AP34,Programma!$F$3:$X$1101,19,0),"")</f>
        <v>_</v>
      </c>
      <c r="BI34" s="448" t="str">
        <f>_xlfn.IFNA(VLOOKUP($AP34,Programma!$F$3:$Y$1101,20,0),"")</f>
        <v>_</v>
      </c>
      <c r="BJ34" s="449"/>
      <c r="BK34" s="447" t="str">
        <f>IF(Ruimtestaat[[#This Row],[Frequentie weekend]]="","",_xlfn.CONCAT(Ruimtestaat[[#This Row],[Ruimte code]],"-",Ruimtestaat[[#This Row],[Frequentie weekend]]," ",Ruimtestaat[[#This Row],[Vloer code]]))</f>
        <v/>
      </c>
      <c r="BL34" s="448" t="str">
        <f>_xlfn.IFNA(VLOOKUP($BK34,Programma!$F$3:$G$1101,2,0),"")</f>
        <v/>
      </c>
      <c r="BM34" s="448" t="str">
        <f>_xlfn.IFNA(VLOOKUP($BK34,Programma!$F$3:$H$1101,3,0),"")</f>
        <v/>
      </c>
      <c r="BN34" s="448" t="str">
        <f>_xlfn.IFNA(VLOOKUP($BK34,Programma!$F$3:$I$1101,4,0),"")</f>
        <v/>
      </c>
      <c r="BO34" s="448" t="str">
        <f>_xlfn.IFNA(VLOOKUP($BK34,Programma!$F$3:$J$1101,5,0),"")</f>
        <v/>
      </c>
      <c r="BP34" s="448" t="str">
        <f>_xlfn.IFNA(VLOOKUP($BK34,Programma!$F$3:$K$1101,6,0),"")</f>
        <v/>
      </c>
      <c r="BQ34" s="448" t="str">
        <f>_xlfn.IFNA(VLOOKUP($BK34,Programma!$F$3:$L$1101,7,0),"")</f>
        <v/>
      </c>
      <c r="BR34" s="448" t="str">
        <f>_xlfn.IFNA(VLOOKUP($BK34,Programma!$F$3:$M$1101,8,0),"")</f>
        <v/>
      </c>
      <c r="BS34" s="448" t="str">
        <f>_xlfn.IFNA(VLOOKUP($BK34,Programma!$F$3:$N$1101,9,0),"")</f>
        <v/>
      </c>
      <c r="BT34" s="448" t="str">
        <f>_xlfn.IFNA(VLOOKUP($BK34,Programma!$F$3:$O$1101,10,0),"")</f>
        <v/>
      </c>
      <c r="BU34" s="448" t="str">
        <f>_xlfn.IFNA(VLOOKUP($BK34,Programma!$F$3:$P$1101,11,0),"")</f>
        <v/>
      </c>
      <c r="BV34" s="448" t="str">
        <f>_xlfn.IFNA(VLOOKUP($BK34,Programma!$F$3:$Q$1101,12,0),"")</f>
        <v/>
      </c>
      <c r="BW34" s="448" t="str">
        <f>_xlfn.IFNA(VLOOKUP($BK34,Programma!$F$3:$R$1101,13,0),"")</f>
        <v/>
      </c>
      <c r="BX34" s="448" t="str">
        <f>_xlfn.IFNA(VLOOKUP($BK34,Programma!$F$3:$S$1101,14,0),"")</f>
        <v/>
      </c>
      <c r="BY34" s="448" t="str">
        <f>_xlfn.IFNA(VLOOKUP($BK34,Programma!$F$3:$T$1101,15,0),"")</f>
        <v/>
      </c>
      <c r="BZ34" s="448" t="str">
        <f>_xlfn.IFNA(VLOOKUP($BK34,Programma!$F$3:$U$1101,16,0),"")</f>
        <v/>
      </c>
      <c r="CA34" s="448" t="str">
        <f>_xlfn.IFNA(VLOOKUP($BK34,Programma!$F$3:$V$1101,17,0),"")</f>
        <v/>
      </c>
      <c r="CB34" s="448" t="str">
        <f>_xlfn.IFNA(VLOOKUP($BK34,Programma!$F$3:$W$1101,18,0),"")</f>
        <v/>
      </c>
      <c r="CC34" s="448" t="str">
        <f>_xlfn.IFNA(VLOOKUP($BK34,Programma!$F$3:$X$1101,19,0),"")</f>
        <v/>
      </c>
      <c r="CD34" s="448" t="str">
        <f>_xlfn.IFNA(VLOOKUP($BK34,Programma!$F$3:$Y$1101,20,0),"")</f>
        <v/>
      </c>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c r="DN34" s="327"/>
      <c r="DO34" s="327"/>
      <c r="DP34" s="327"/>
      <c r="DQ34" s="327"/>
      <c r="DR34" s="327"/>
      <c r="DS34" s="327"/>
      <c r="DT34" s="327"/>
      <c r="DU34" s="327"/>
      <c r="DV34" s="327"/>
      <c r="DW34" s="327"/>
      <c r="DX34" s="327"/>
      <c r="DY34" s="327"/>
      <c r="DZ34" s="327"/>
      <c r="EA34" s="327"/>
      <c r="EB34" s="327"/>
      <c r="EC34" s="327"/>
      <c r="ED34" s="327"/>
      <c r="EE34" s="327"/>
      <c r="EF34" s="327"/>
      <c r="EG34" s="327"/>
      <c r="EH34" s="327"/>
      <c r="EI34" s="327"/>
      <c r="EJ34" s="327"/>
      <c r="EK34" s="327"/>
      <c r="EL34" s="327"/>
      <c r="EM34" s="327"/>
      <c r="EN34" s="327"/>
      <c r="EO34" s="327"/>
      <c r="EP34" s="327"/>
      <c r="EQ34" s="327"/>
      <c r="ER34" s="327"/>
      <c r="ES34" s="327"/>
      <c r="ET34" s="327"/>
      <c r="EU34" s="327"/>
      <c r="EV34" s="327"/>
      <c r="EW34" s="327"/>
      <c r="EX34" s="327"/>
      <c r="EY34" s="327"/>
      <c r="EZ34" s="327"/>
      <c r="FA34" s="327"/>
      <c r="FB34" s="327"/>
      <c r="FC34" s="327"/>
      <c r="FD34" s="327"/>
      <c r="FE34" s="327"/>
      <c r="FF34" s="327"/>
      <c r="FG34" s="327"/>
      <c r="FH34" s="327"/>
      <c r="FI34" s="327"/>
      <c r="FJ34" s="327"/>
      <c r="FK34" s="327"/>
      <c r="FL34" s="327"/>
      <c r="FM34" s="327"/>
      <c r="FN34" s="327"/>
      <c r="FO34" s="327"/>
      <c r="FP34" s="327"/>
      <c r="FQ34" s="327"/>
      <c r="FR34" s="327"/>
      <c r="FS34" s="327"/>
      <c r="FT34" s="327"/>
      <c r="FU34" s="327"/>
      <c r="FV34" s="327"/>
      <c r="FW34" s="327"/>
      <c r="FX34" s="327"/>
      <c r="FY34" s="327"/>
      <c r="FZ34" s="327"/>
      <c r="GA34" s="327"/>
      <c r="GB34" s="327"/>
      <c r="GC34" s="327"/>
      <c r="GD34" s="327"/>
      <c r="GE34" s="327"/>
      <c r="GF34" s="327"/>
      <c r="GG34" s="327"/>
      <c r="GH34" s="327"/>
      <c r="GI34" s="327"/>
      <c r="GJ34" s="327"/>
      <c r="GK34" s="327"/>
      <c r="GL34" s="327"/>
      <c r="GM34" s="327"/>
      <c r="GN34" s="327"/>
      <c r="GO34" s="327"/>
      <c r="GP34" s="327"/>
      <c r="GQ34" s="327"/>
      <c r="GR34" s="327"/>
      <c r="GS34" s="327"/>
      <c r="GT34" s="327"/>
      <c r="GU34" s="327"/>
      <c r="GV34" s="327"/>
      <c r="GW34" s="327"/>
      <c r="GX34" s="327"/>
      <c r="GY34" s="327"/>
      <c r="GZ34" s="327"/>
      <c r="HA34" s="327"/>
      <c r="HB34" s="327"/>
      <c r="HC34" s="327"/>
      <c r="HD34" s="327"/>
      <c r="HE34" s="327"/>
      <c r="HF34" s="327"/>
      <c r="HG34" s="327"/>
      <c r="HH34" s="327"/>
      <c r="HI34" s="327"/>
      <c r="HJ34" s="327"/>
      <c r="HK34" s="327"/>
      <c r="HL34" s="327"/>
      <c r="HM34" s="327"/>
      <c r="HN34" s="327"/>
      <c r="HO34" s="327"/>
      <c r="HP34" s="327"/>
      <c r="HQ34" s="327"/>
      <c r="HR34" s="327"/>
      <c r="HS34" s="327"/>
    </row>
    <row r="35" spans="1:227" ht="15" customHeight="1">
      <c r="A35" s="434">
        <v>2</v>
      </c>
      <c r="B35" s="435" t="str">
        <f>VLOOKUP(Ruimtestaat[[#This Row],[Code]],Locaties[[Code]:[Locatie]],2,FALSE)</f>
        <v>IKC  De Watersnip</v>
      </c>
      <c r="C35" s="435" t="str">
        <f>VLOOKUP(Ruimtestaat[[#This Row],[Code]],Locaties[[#All],[Code]:[Adres]],4,FALSE)</f>
        <v>César Franckrode 70-72</v>
      </c>
      <c r="D35" s="435" t="str">
        <f>VLOOKUP(Ruimtestaat[[#This Row],[Code]],Locaties[[#All],[Code]:[Postcode]],5,FALSE)</f>
        <v>2717 BG</v>
      </c>
      <c r="E35" s="435" t="str">
        <f>VLOOKUP(Ruimtestaat[[#This Row],[Code]],Locaties[#All],6,FALSE)</f>
        <v>Zoetermeer</v>
      </c>
      <c r="F35" s="434"/>
      <c r="G35" s="434" t="s">
        <v>1678</v>
      </c>
      <c r="H35" s="436" t="s">
        <v>1696</v>
      </c>
      <c r="I35" s="437" t="s">
        <v>1697</v>
      </c>
      <c r="J35" s="330">
        <v>4</v>
      </c>
      <c r="K35" s="438" t="str">
        <f>VLOOKUP(Ruimtestaat[[#This Row],[Ruimte code]],Ruimtegroepen[[#All],[Code]:[Ruimte omschrijving]],2,FALSE)</f>
        <v>Vergader/spreekkamers</v>
      </c>
      <c r="L35" s="434" t="s">
        <v>100</v>
      </c>
      <c r="M35" s="437" t="s">
        <v>1759</v>
      </c>
      <c r="N35" s="439">
        <v>6</v>
      </c>
      <c r="O35" s="439"/>
      <c r="P35" s="439"/>
      <c r="Q35" s="439"/>
      <c r="R35" s="440" t="str">
        <f>VLOOKUP(Ruimtestaat[[#This Row],[Ruimte code]],Ruimtegroepen[],4,FALSE)</f>
        <v>Bu</v>
      </c>
      <c r="S35" s="434">
        <v>40</v>
      </c>
      <c r="T35" s="434" t="s">
        <v>17</v>
      </c>
      <c r="U35" s="434">
        <f>IF(S35&gt;0,IF(RIGHT(Ruimtestaat[[#This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V35" s="434">
        <f>IF(U35&gt;0,VLOOKUP($J35,Ruimtegroepen[],3,FALSE)*VLOOKUP($L35,Vloersoorten[],3,FALSE)*VLOOKUP($T35,Frequenties[],3,FALSE)*VLOOKUP($A35,Locaties[],3,FALSE),0)</f>
        <v>0</v>
      </c>
      <c r="W35" s="434">
        <f>Ruimtestaat[[#This Row],[Uitvoeringen werkdagen]]*Ruimtestaat[[#This Row],[Oppervlak (netto)]]</f>
        <v>480</v>
      </c>
      <c r="X35" s="441">
        <f>IF(V35&gt;0,Ruimtestaat[[#This Row],[Prest. (m2 /jaar) werkdagen]]/Ruimtestaat[[#This Row],[Norm (m2/uur) werkdagen]],0)</f>
        <v>0</v>
      </c>
      <c r="Y35" s="442">
        <f>Ruimtestaat[[#This Row],[Uitvoeringen werkdagen]]*Ruimtestaat[[#This Row],[Gedeeltelijk]]</f>
        <v>0</v>
      </c>
      <c r="Z35" s="443" t="e">
        <f>IF(U35&gt;0,Ruimtestaat[[#This Row],[Prest. (m2 / jaar) werkdagen gedeeld]]/Ruimtestaat[[#This Row],[Norm (m2/uur) werkdagen]],0)</f>
        <v>#DIV/0!</v>
      </c>
      <c r="AA35" s="441" t="e">
        <f>Ruimtestaat[[#This Row],[uren / jaar werkdagen gedeeld]]*Tariefsopbouw!$E$35</f>
        <v>#DIV/0!</v>
      </c>
      <c r="AB35" s="441">
        <f>Ruimtestaat[[#This Row],[Uitvoeringen werkdagen]]*Ruimtestaat[[#This Row],[BSO]]</f>
        <v>0</v>
      </c>
      <c r="AC35" s="443" t="e">
        <f>IF(U35&gt;0,Ruimtestaat[[#This Row],[Prest. (m2 / jaar) werkdagen BSO]]/Ruimtestaat[[#This Row],[Norm (m2/uur) werkdagen]],0)</f>
        <v>#DIV/0!</v>
      </c>
      <c r="AD35" s="443" t="e">
        <f>Ruimtestaat[[#This Row],[uren / jaar werkdagen BSO]]*Tariefsopbouw!$E$35</f>
        <v>#DIV/0!</v>
      </c>
      <c r="AE35" s="444">
        <f>Ruimtestaat[[#This Row],[uren / jaar werkdagen]]*Tariefsopbouw!$E$35</f>
        <v>0</v>
      </c>
      <c r="AF35" s="434"/>
      <c r="AG35" s="434">
        <f>IF(Ruimtestaat[[#This Row],[Frequentie weekend]]&gt;0,VALUE(LEFT(AF35,1))*S35,0)</f>
        <v>0</v>
      </c>
      <c r="AH35" s="445">
        <f>IF($AG35&gt;0,VLOOKUP($J35,Ruimtegroepen[],3,FALSE)*VLOOKUP($L35,Vloersoorten[],3,FALSE)*VLOOKUP($AF35,Frequenties[],3,FALSE)*VLOOKUP(Ruimtestaat[[#This Row],[Code]],Locaties[],3,FALSE),0)</f>
        <v>0</v>
      </c>
      <c r="AI35" s="445">
        <f>Ruimtestaat[[#This Row],[Uitvoeringen weekend]]*Ruimtestaat[[#This Row],[Oppervlak (netto)]]</f>
        <v>0</v>
      </c>
      <c r="AJ35" s="445">
        <f>IF(AH35&gt;0,Ruimtestaat[[#This Row],[Prest. (m2 /jaar) weekend]]/Ruimtestaat[[#This Row],[Norm (m2/uur) weekend]],0)</f>
        <v>0</v>
      </c>
      <c r="AK35" s="444">
        <f>Ruimtestaat[[#This Row],[uren / jaar weekend]]*Tariefsopbouw!$D$40</f>
        <v>0</v>
      </c>
      <c r="AL35" s="441">
        <f>Ruimtestaat[[#This Row],[Prest. (m2 /jaar) weekend]]+Ruimtestaat[[#This Row],[Prest. (m2 /jaar) werkdagen]]</f>
        <v>480</v>
      </c>
      <c r="AM35" s="441">
        <f>Ruimtestaat[[#This Row],[uren / jaar weekend]]+Ruimtestaat[[#This Row],[uren / jaar werkdagen]]</f>
        <v>0</v>
      </c>
      <c r="AN35" s="446">
        <f>Ruimtestaat[[#This Row],[kosten / jaar weekend]]+Ruimtestaat[[#This Row],[kosten / jaar werkdagen]]</f>
        <v>0</v>
      </c>
      <c r="AO35" s="446"/>
      <c r="AP35" s="447" t="str">
        <f>IF(Ruimtestaat[[#This Row],[Frequentie werkdagen]]="","",_xlfn.CONCAT(Ruimtestaat[[#This Row],[Ruimte code]],"-",Ruimtestaat[[#This Row],[Frequentie werkdagen]]," ",Ruimtestaat[[#This Row],[Vloer code]]))</f>
        <v>4-2w L</v>
      </c>
      <c r="AQ35" s="448" t="str">
        <f>_xlfn.IFNA(VLOOKUP($AP35,Programma!$F$3:$G$1101,2,0),"")</f>
        <v>_</v>
      </c>
      <c r="AR35" s="448" t="str">
        <f>_xlfn.IFNA(VLOOKUP($AP35,Programma!$F$3:$H$1101,3,0),"")</f>
        <v>_</v>
      </c>
      <c r="AS35" s="448" t="str">
        <f>_xlfn.IFNA(VLOOKUP($AP35,Programma!$F$3:$I$1101,4,0),"")</f>
        <v>1w</v>
      </c>
      <c r="AT35" s="448" t="str">
        <f>_xlfn.IFNA(VLOOKUP($AP35,Programma!$F$3:$J$1101,5,0),"")</f>
        <v>1w</v>
      </c>
      <c r="AU35" s="448" t="str">
        <f>_xlfn.IFNA(VLOOKUP($AP35,Programma!$F$3:$K$1101,6,0),"")</f>
        <v>_</v>
      </c>
      <c r="AV35" s="448" t="str">
        <f>_xlfn.IFNA(VLOOKUP($AP35,Programma!$F$3:$L$1101,7,0),"")</f>
        <v>_</v>
      </c>
      <c r="AW35" s="448" t="str">
        <f>_xlfn.IFNA(VLOOKUP($AP35,Programma!$F$3:$M$1101,8,0),"")</f>
        <v>_</v>
      </c>
      <c r="AX35" s="448" t="str">
        <f>_xlfn.IFNA(VLOOKUP($AP35,Programma!$F$3:$N$1101,9,0),"")</f>
        <v>_</v>
      </c>
      <c r="AY35" s="448" t="str">
        <f>_xlfn.IFNA(VLOOKUP($AP35,Programma!$F$3:$O$1101,10,0),"")</f>
        <v>2w</v>
      </c>
      <c r="AZ35" s="448" t="str">
        <f>_xlfn.IFNA(VLOOKUP($AP35,Programma!$F$3:$P$1101,11,0),"")</f>
        <v>2w</v>
      </c>
      <c r="BA35" s="448" t="str">
        <f>_xlfn.IFNA(VLOOKUP($AP35,Programma!$F$3:$Q$1101,12,0),"")</f>
        <v>1w</v>
      </c>
      <c r="BB35" s="448" t="str">
        <f>_xlfn.IFNA(VLOOKUP($AP35,Programma!$F$3:$R$1101,13,0),"")</f>
        <v>1w</v>
      </c>
      <c r="BC35" s="448" t="str">
        <f>_xlfn.IFNA(VLOOKUP($AP35,Programma!$F$3:$S$1101,14,0),"")</f>
        <v>1m</v>
      </c>
      <c r="BD35" s="448" t="str">
        <f>_xlfn.IFNA(VLOOKUP($AP35,Programma!$F$3:$T$1101,15,0),"")</f>
        <v>2j</v>
      </c>
      <c r="BE35" s="448" t="str">
        <f>_xlfn.IFNA(VLOOKUP($AP35,Programma!$F$3:$U$1101,16,0),"")</f>
        <v>1j</v>
      </c>
      <c r="BF35" s="448" t="str">
        <f>_xlfn.IFNA(VLOOKUP($AP35,Programma!$F$3:$V$1101,17,0),"")</f>
        <v>_</v>
      </c>
      <c r="BG35" s="448" t="str">
        <f>_xlfn.IFNA(VLOOKUP($AP35,Programma!$F$3:$W$1101,18,0),"")</f>
        <v>_</v>
      </c>
      <c r="BH35" s="448" t="str">
        <f>_xlfn.IFNA(VLOOKUP($AP35,Programma!$F$3:$X$1101,19,0),"")</f>
        <v>_</v>
      </c>
      <c r="BI35" s="448" t="str">
        <f>_xlfn.IFNA(VLOOKUP($AP35,Programma!$F$3:$Y$1101,20,0),"")</f>
        <v>_</v>
      </c>
      <c r="BJ35" s="449"/>
      <c r="BK35" s="447" t="str">
        <f>IF(Ruimtestaat[[#This Row],[Frequentie weekend]]="","",_xlfn.CONCAT(Ruimtestaat[[#This Row],[Ruimte code]],"-",Ruimtestaat[[#This Row],[Frequentie weekend]]," ",Ruimtestaat[[#This Row],[Vloer code]]))</f>
        <v/>
      </c>
      <c r="BL35" s="448" t="str">
        <f>_xlfn.IFNA(VLOOKUP($BK35,Programma!$F$3:$G$1101,2,0),"")</f>
        <v/>
      </c>
      <c r="BM35" s="448" t="str">
        <f>_xlfn.IFNA(VLOOKUP($BK35,Programma!$F$3:$H$1101,3,0),"")</f>
        <v/>
      </c>
      <c r="BN35" s="448" t="str">
        <f>_xlfn.IFNA(VLOOKUP($BK35,Programma!$F$3:$I$1101,4,0),"")</f>
        <v/>
      </c>
      <c r="BO35" s="448" t="str">
        <f>_xlfn.IFNA(VLOOKUP($BK35,Programma!$F$3:$J$1101,5,0),"")</f>
        <v/>
      </c>
      <c r="BP35" s="448" t="str">
        <f>_xlfn.IFNA(VLOOKUP($BK35,Programma!$F$3:$K$1101,6,0),"")</f>
        <v/>
      </c>
      <c r="BQ35" s="448" t="str">
        <f>_xlfn.IFNA(VLOOKUP($BK35,Programma!$F$3:$L$1101,7,0),"")</f>
        <v/>
      </c>
      <c r="BR35" s="448" t="str">
        <f>_xlfn.IFNA(VLOOKUP($BK35,Programma!$F$3:$M$1101,8,0),"")</f>
        <v/>
      </c>
      <c r="BS35" s="448" t="str">
        <f>_xlfn.IFNA(VLOOKUP($BK35,Programma!$F$3:$N$1101,9,0),"")</f>
        <v/>
      </c>
      <c r="BT35" s="448" t="str">
        <f>_xlfn.IFNA(VLOOKUP($BK35,Programma!$F$3:$O$1101,10,0),"")</f>
        <v/>
      </c>
      <c r="BU35" s="448" t="str">
        <f>_xlfn.IFNA(VLOOKUP($BK35,Programma!$F$3:$P$1101,11,0),"")</f>
        <v/>
      </c>
      <c r="BV35" s="448" t="str">
        <f>_xlfn.IFNA(VLOOKUP($BK35,Programma!$F$3:$Q$1101,12,0),"")</f>
        <v/>
      </c>
      <c r="BW35" s="448" t="str">
        <f>_xlfn.IFNA(VLOOKUP($BK35,Programma!$F$3:$R$1101,13,0),"")</f>
        <v/>
      </c>
      <c r="BX35" s="448" t="str">
        <f>_xlfn.IFNA(VLOOKUP($BK35,Programma!$F$3:$S$1101,14,0),"")</f>
        <v/>
      </c>
      <c r="BY35" s="448" t="str">
        <f>_xlfn.IFNA(VLOOKUP($BK35,Programma!$F$3:$T$1101,15,0),"")</f>
        <v/>
      </c>
      <c r="BZ35" s="448" t="str">
        <f>_xlfn.IFNA(VLOOKUP($BK35,Programma!$F$3:$U$1101,16,0),"")</f>
        <v/>
      </c>
      <c r="CA35" s="448" t="str">
        <f>_xlfn.IFNA(VLOOKUP($BK35,Programma!$F$3:$V$1101,17,0),"")</f>
        <v/>
      </c>
      <c r="CB35" s="448" t="str">
        <f>_xlfn.IFNA(VLOOKUP($BK35,Programma!$F$3:$W$1101,18,0),"")</f>
        <v/>
      </c>
      <c r="CC35" s="448" t="str">
        <f>_xlfn.IFNA(VLOOKUP($BK35,Programma!$F$3:$X$1101,19,0),"")</f>
        <v/>
      </c>
      <c r="CD35" s="448" t="str">
        <f>_xlfn.IFNA(VLOOKUP($BK35,Programma!$F$3:$Y$1101,20,0),"")</f>
        <v/>
      </c>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c r="DN35" s="327"/>
      <c r="DO35" s="327"/>
      <c r="DP35" s="327"/>
      <c r="DQ35" s="327"/>
      <c r="DR35" s="327"/>
      <c r="DS35" s="327"/>
      <c r="DT35" s="327"/>
      <c r="DU35" s="327"/>
      <c r="DV35" s="327"/>
      <c r="DW35" s="327"/>
      <c r="DX35" s="327"/>
      <c r="DY35" s="327"/>
      <c r="DZ35" s="327"/>
      <c r="EA35" s="327"/>
      <c r="EB35" s="327"/>
      <c r="EC35" s="327"/>
      <c r="ED35" s="327"/>
      <c r="EE35" s="327"/>
      <c r="EF35" s="327"/>
      <c r="EG35" s="327"/>
      <c r="EH35" s="327"/>
      <c r="EI35" s="327"/>
      <c r="EJ35" s="327"/>
      <c r="EK35" s="327"/>
      <c r="EL35" s="327"/>
      <c r="EM35" s="327"/>
      <c r="EN35" s="327"/>
      <c r="EO35" s="327"/>
      <c r="EP35" s="327"/>
      <c r="EQ35" s="327"/>
      <c r="ER35" s="327"/>
      <c r="ES35" s="327"/>
      <c r="ET35" s="327"/>
      <c r="EU35" s="327"/>
      <c r="EV35" s="327"/>
      <c r="EW35" s="327"/>
      <c r="EX35" s="327"/>
      <c r="EY35" s="327"/>
      <c r="EZ35" s="327"/>
      <c r="FA35" s="327"/>
      <c r="FB35" s="327"/>
      <c r="FC35" s="327"/>
      <c r="FD35" s="327"/>
      <c r="FE35" s="327"/>
      <c r="FF35" s="327"/>
      <c r="FG35" s="327"/>
      <c r="FH35" s="327"/>
      <c r="FI35" s="327"/>
      <c r="FJ35" s="327"/>
      <c r="FK35" s="327"/>
      <c r="FL35" s="327"/>
      <c r="FM35" s="327"/>
      <c r="FN35" s="327"/>
      <c r="FO35" s="327"/>
      <c r="FP35" s="327"/>
      <c r="FQ35" s="327"/>
      <c r="FR35" s="327"/>
      <c r="FS35" s="327"/>
      <c r="FT35" s="327"/>
      <c r="FU35" s="327"/>
      <c r="FV35" s="327"/>
      <c r="FW35" s="327"/>
      <c r="FX35" s="327"/>
      <c r="FY35" s="327"/>
      <c r="FZ35" s="327"/>
      <c r="GA35" s="327"/>
      <c r="GB35" s="327"/>
      <c r="GC35" s="327"/>
      <c r="GD35" s="327"/>
      <c r="GE35" s="327"/>
      <c r="GF35" s="327"/>
      <c r="GG35" s="327"/>
      <c r="GH35" s="327"/>
      <c r="GI35" s="327"/>
      <c r="GJ35" s="327"/>
      <c r="GK35" s="327"/>
      <c r="GL35" s="327"/>
      <c r="GM35" s="327"/>
      <c r="GN35" s="327"/>
      <c r="GO35" s="327"/>
      <c r="GP35" s="327"/>
      <c r="GQ35" s="327"/>
      <c r="GR35" s="327"/>
      <c r="GS35" s="327"/>
      <c r="GT35" s="327"/>
      <c r="GU35" s="327"/>
      <c r="GV35" s="327"/>
      <c r="GW35" s="327"/>
      <c r="GX35" s="327"/>
      <c r="GY35" s="327"/>
      <c r="GZ35" s="327"/>
      <c r="HA35" s="327"/>
      <c r="HB35" s="327"/>
      <c r="HC35" s="327"/>
      <c r="HD35" s="327"/>
      <c r="HE35" s="327"/>
      <c r="HF35" s="327"/>
      <c r="HG35" s="327"/>
      <c r="HH35" s="327"/>
      <c r="HI35" s="327"/>
      <c r="HJ35" s="327"/>
      <c r="HK35" s="327"/>
      <c r="HL35" s="327"/>
      <c r="HM35" s="327"/>
      <c r="HN35" s="327"/>
      <c r="HO35" s="327"/>
      <c r="HP35" s="327"/>
      <c r="HQ35" s="327"/>
      <c r="HR35" s="327"/>
      <c r="HS35" s="327"/>
    </row>
    <row r="36" spans="1:227" ht="15" customHeight="1">
      <c r="A36" s="434">
        <v>2</v>
      </c>
      <c r="B36" s="435" t="str">
        <f>VLOOKUP(Ruimtestaat[[#This Row],[Code]],Locaties[[Code]:[Locatie]],2,FALSE)</f>
        <v>IKC  De Watersnip</v>
      </c>
      <c r="C36" s="435" t="str">
        <f>VLOOKUP(Ruimtestaat[[#This Row],[Code]],Locaties[[#All],[Code]:[Adres]],4,FALSE)</f>
        <v>César Franckrode 70-72</v>
      </c>
      <c r="D36" s="435" t="str">
        <f>VLOOKUP(Ruimtestaat[[#This Row],[Code]],Locaties[[#All],[Code]:[Postcode]],5,FALSE)</f>
        <v>2717 BG</v>
      </c>
      <c r="E36" s="435" t="str">
        <f>VLOOKUP(Ruimtestaat[[#This Row],[Code]],Locaties[#All],6,FALSE)</f>
        <v>Zoetermeer</v>
      </c>
      <c r="F36" s="434"/>
      <c r="G36" s="434" t="s">
        <v>1678</v>
      </c>
      <c r="H36" s="436" t="s">
        <v>1698</v>
      </c>
      <c r="I36" s="437" t="s">
        <v>1697</v>
      </c>
      <c r="J36" s="330">
        <v>4</v>
      </c>
      <c r="K36" s="438" t="str">
        <f>VLOOKUP(Ruimtestaat[[#This Row],[Ruimte code]],Ruimtegroepen[[#All],[Code]:[Ruimte omschrijving]],2,FALSE)</f>
        <v>Vergader/spreekkamers</v>
      </c>
      <c r="L36" s="434" t="s">
        <v>100</v>
      </c>
      <c r="M36" s="437" t="s">
        <v>1759</v>
      </c>
      <c r="N36" s="439">
        <v>6</v>
      </c>
      <c r="O36" s="439"/>
      <c r="P36" s="439"/>
      <c r="Q36" s="439"/>
      <c r="R36" s="440" t="str">
        <f>VLOOKUP(Ruimtestaat[[#This Row],[Ruimte code]],Ruimtegroepen[],4,FALSE)</f>
        <v>Bu</v>
      </c>
      <c r="S36" s="434">
        <v>40</v>
      </c>
      <c r="T36" s="434" t="s">
        <v>17</v>
      </c>
      <c r="U36" s="434">
        <f>IF(S36&gt;0,IF(RIGHT(Ruimtestaat[[#This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V36" s="434">
        <f>IF(U36&gt;0,VLOOKUP($J36,Ruimtegroepen[],3,FALSE)*VLOOKUP($L36,Vloersoorten[],3,FALSE)*VLOOKUP($T36,Frequenties[],3,FALSE)*VLOOKUP($A36,Locaties[],3,FALSE),0)</f>
        <v>0</v>
      </c>
      <c r="W36" s="434">
        <f>Ruimtestaat[[#This Row],[Uitvoeringen werkdagen]]*Ruimtestaat[[#This Row],[Oppervlak (netto)]]</f>
        <v>480</v>
      </c>
      <c r="X36" s="441">
        <f>IF(V36&gt;0,Ruimtestaat[[#This Row],[Prest. (m2 /jaar) werkdagen]]/Ruimtestaat[[#This Row],[Norm (m2/uur) werkdagen]],0)</f>
        <v>0</v>
      </c>
      <c r="Y36" s="442">
        <f>Ruimtestaat[[#This Row],[Uitvoeringen werkdagen]]*Ruimtestaat[[#This Row],[Gedeeltelijk]]</f>
        <v>0</v>
      </c>
      <c r="Z36" s="443" t="e">
        <f>IF(U36&gt;0,Ruimtestaat[[#This Row],[Prest. (m2 / jaar) werkdagen gedeeld]]/Ruimtestaat[[#This Row],[Norm (m2/uur) werkdagen]],0)</f>
        <v>#DIV/0!</v>
      </c>
      <c r="AA36" s="441" t="e">
        <f>Ruimtestaat[[#This Row],[uren / jaar werkdagen gedeeld]]*Tariefsopbouw!$E$35</f>
        <v>#DIV/0!</v>
      </c>
      <c r="AB36" s="441">
        <f>Ruimtestaat[[#This Row],[Uitvoeringen werkdagen]]*Ruimtestaat[[#This Row],[BSO]]</f>
        <v>0</v>
      </c>
      <c r="AC36" s="443" t="e">
        <f>IF(U36&gt;0,Ruimtestaat[[#This Row],[Prest. (m2 / jaar) werkdagen BSO]]/Ruimtestaat[[#This Row],[Norm (m2/uur) werkdagen]],0)</f>
        <v>#DIV/0!</v>
      </c>
      <c r="AD36" s="443" t="e">
        <f>Ruimtestaat[[#This Row],[uren / jaar werkdagen BSO]]*Tariefsopbouw!$E$35</f>
        <v>#DIV/0!</v>
      </c>
      <c r="AE36" s="444">
        <f>Ruimtestaat[[#This Row],[uren / jaar werkdagen]]*Tariefsopbouw!$E$35</f>
        <v>0</v>
      </c>
      <c r="AF36" s="434"/>
      <c r="AG36" s="434">
        <f>IF(Ruimtestaat[[#This Row],[Frequentie weekend]]&gt;0,VALUE(LEFT(AF36,1))*S36,0)</f>
        <v>0</v>
      </c>
      <c r="AH36" s="445">
        <f>IF($AG36&gt;0,VLOOKUP($J36,Ruimtegroepen[],3,FALSE)*VLOOKUP($L36,Vloersoorten[],3,FALSE)*VLOOKUP($AF36,Frequenties[],3,FALSE)*VLOOKUP(Ruimtestaat[[#This Row],[Code]],Locaties[],3,FALSE),0)</f>
        <v>0</v>
      </c>
      <c r="AI36" s="445">
        <f>Ruimtestaat[[#This Row],[Uitvoeringen weekend]]*Ruimtestaat[[#This Row],[Oppervlak (netto)]]</f>
        <v>0</v>
      </c>
      <c r="AJ36" s="445">
        <f>IF(AH36&gt;0,Ruimtestaat[[#This Row],[Prest. (m2 /jaar) weekend]]/Ruimtestaat[[#This Row],[Norm (m2/uur) weekend]],0)</f>
        <v>0</v>
      </c>
      <c r="AK36" s="444">
        <f>Ruimtestaat[[#This Row],[uren / jaar weekend]]*Tariefsopbouw!$D$40</f>
        <v>0</v>
      </c>
      <c r="AL36" s="441">
        <f>Ruimtestaat[[#This Row],[Prest. (m2 /jaar) weekend]]+Ruimtestaat[[#This Row],[Prest. (m2 /jaar) werkdagen]]</f>
        <v>480</v>
      </c>
      <c r="AM36" s="441">
        <f>Ruimtestaat[[#This Row],[uren / jaar weekend]]+Ruimtestaat[[#This Row],[uren / jaar werkdagen]]</f>
        <v>0</v>
      </c>
      <c r="AN36" s="446">
        <f>Ruimtestaat[[#This Row],[kosten / jaar weekend]]+Ruimtestaat[[#This Row],[kosten / jaar werkdagen]]</f>
        <v>0</v>
      </c>
      <c r="AO36" s="446"/>
      <c r="AP36" s="447" t="str">
        <f>IF(Ruimtestaat[[#This Row],[Frequentie werkdagen]]="","",_xlfn.CONCAT(Ruimtestaat[[#This Row],[Ruimte code]],"-",Ruimtestaat[[#This Row],[Frequentie werkdagen]]," ",Ruimtestaat[[#This Row],[Vloer code]]))</f>
        <v>4-2w L</v>
      </c>
      <c r="AQ36" s="448" t="str">
        <f>_xlfn.IFNA(VLOOKUP($AP36,Programma!$F$3:$G$1101,2,0),"")</f>
        <v>_</v>
      </c>
      <c r="AR36" s="448" t="str">
        <f>_xlfn.IFNA(VLOOKUP($AP36,Programma!$F$3:$H$1101,3,0),"")</f>
        <v>_</v>
      </c>
      <c r="AS36" s="448" t="str">
        <f>_xlfn.IFNA(VLOOKUP($AP36,Programma!$F$3:$I$1101,4,0),"")</f>
        <v>1w</v>
      </c>
      <c r="AT36" s="448" t="str">
        <f>_xlfn.IFNA(VLOOKUP($AP36,Programma!$F$3:$J$1101,5,0),"")</f>
        <v>1w</v>
      </c>
      <c r="AU36" s="448" t="str">
        <f>_xlfn.IFNA(VLOOKUP($AP36,Programma!$F$3:$K$1101,6,0),"")</f>
        <v>_</v>
      </c>
      <c r="AV36" s="448" t="str">
        <f>_xlfn.IFNA(VLOOKUP($AP36,Programma!$F$3:$L$1101,7,0),"")</f>
        <v>_</v>
      </c>
      <c r="AW36" s="448" t="str">
        <f>_xlfn.IFNA(VLOOKUP($AP36,Programma!$F$3:$M$1101,8,0),"")</f>
        <v>_</v>
      </c>
      <c r="AX36" s="448" t="str">
        <f>_xlfn.IFNA(VLOOKUP($AP36,Programma!$F$3:$N$1101,9,0),"")</f>
        <v>_</v>
      </c>
      <c r="AY36" s="448" t="str">
        <f>_xlfn.IFNA(VLOOKUP($AP36,Programma!$F$3:$O$1101,10,0),"")</f>
        <v>2w</v>
      </c>
      <c r="AZ36" s="448" t="str">
        <f>_xlfn.IFNA(VLOOKUP($AP36,Programma!$F$3:$P$1101,11,0),"")</f>
        <v>2w</v>
      </c>
      <c r="BA36" s="448" t="str">
        <f>_xlfn.IFNA(VLOOKUP($AP36,Programma!$F$3:$Q$1101,12,0),"")</f>
        <v>1w</v>
      </c>
      <c r="BB36" s="448" t="str">
        <f>_xlfn.IFNA(VLOOKUP($AP36,Programma!$F$3:$R$1101,13,0),"")</f>
        <v>1w</v>
      </c>
      <c r="BC36" s="448" t="str">
        <f>_xlfn.IFNA(VLOOKUP($AP36,Programma!$F$3:$S$1101,14,0),"")</f>
        <v>1m</v>
      </c>
      <c r="BD36" s="448" t="str">
        <f>_xlfn.IFNA(VLOOKUP($AP36,Programma!$F$3:$T$1101,15,0),"")</f>
        <v>2j</v>
      </c>
      <c r="BE36" s="448" t="str">
        <f>_xlfn.IFNA(VLOOKUP($AP36,Programma!$F$3:$U$1101,16,0),"")</f>
        <v>1j</v>
      </c>
      <c r="BF36" s="448" t="str">
        <f>_xlfn.IFNA(VLOOKUP($AP36,Programma!$F$3:$V$1101,17,0),"")</f>
        <v>_</v>
      </c>
      <c r="BG36" s="448" t="str">
        <f>_xlfn.IFNA(VLOOKUP($AP36,Programma!$F$3:$W$1101,18,0),"")</f>
        <v>_</v>
      </c>
      <c r="BH36" s="448" t="str">
        <f>_xlfn.IFNA(VLOOKUP($AP36,Programma!$F$3:$X$1101,19,0),"")</f>
        <v>_</v>
      </c>
      <c r="BI36" s="448" t="str">
        <f>_xlfn.IFNA(VLOOKUP($AP36,Programma!$F$3:$Y$1101,20,0),"")</f>
        <v>_</v>
      </c>
      <c r="BJ36" s="449"/>
      <c r="BK36" s="447" t="str">
        <f>IF(Ruimtestaat[[#This Row],[Frequentie weekend]]="","",_xlfn.CONCAT(Ruimtestaat[[#This Row],[Ruimte code]],"-",Ruimtestaat[[#This Row],[Frequentie weekend]]," ",Ruimtestaat[[#This Row],[Vloer code]]))</f>
        <v/>
      </c>
      <c r="BL36" s="448" t="str">
        <f>_xlfn.IFNA(VLOOKUP($BK36,Programma!$F$3:$G$1101,2,0),"")</f>
        <v/>
      </c>
      <c r="BM36" s="448" t="str">
        <f>_xlfn.IFNA(VLOOKUP($BK36,Programma!$F$3:$H$1101,3,0),"")</f>
        <v/>
      </c>
      <c r="BN36" s="448" t="str">
        <f>_xlfn.IFNA(VLOOKUP($BK36,Programma!$F$3:$I$1101,4,0),"")</f>
        <v/>
      </c>
      <c r="BO36" s="448" t="str">
        <f>_xlfn.IFNA(VLOOKUP($BK36,Programma!$F$3:$J$1101,5,0),"")</f>
        <v/>
      </c>
      <c r="BP36" s="448" t="str">
        <f>_xlfn.IFNA(VLOOKUP($BK36,Programma!$F$3:$K$1101,6,0),"")</f>
        <v/>
      </c>
      <c r="BQ36" s="448" t="str">
        <f>_xlfn.IFNA(VLOOKUP($BK36,Programma!$F$3:$L$1101,7,0),"")</f>
        <v/>
      </c>
      <c r="BR36" s="448" t="str">
        <f>_xlfn.IFNA(VLOOKUP($BK36,Programma!$F$3:$M$1101,8,0),"")</f>
        <v/>
      </c>
      <c r="BS36" s="448" t="str">
        <f>_xlfn.IFNA(VLOOKUP($BK36,Programma!$F$3:$N$1101,9,0),"")</f>
        <v/>
      </c>
      <c r="BT36" s="448" t="str">
        <f>_xlfn.IFNA(VLOOKUP($BK36,Programma!$F$3:$O$1101,10,0),"")</f>
        <v/>
      </c>
      <c r="BU36" s="448" t="str">
        <f>_xlfn.IFNA(VLOOKUP($BK36,Programma!$F$3:$P$1101,11,0),"")</f>
        <v/>
      </c>
      <c r="BV36" s="448" t="str">
        <f>_xlfn.IFNA(VLOOKUP($BK36,Programma!$F$3:$Q$1101,12,0),"")</f>
        <v/>
      </c>
      <c r="BW36" s="448" t="str">
        <f>_xlfn.IFNA(VLOOKUP($BK36,Programma!$F$3:$R$1101,13,0),"")</f>
        <v/>
      </c>
      <c r="BX36" s="448" t="str">
        <f>_xlfn.IFNA(VLOOKUP($BK36,Programma!$F$3:$S$1101,14,0),"")</f>
        <v/>
      </c>
      <c r="BY36" s="448" t="str">
        <f>_xlfn.IFNA(VLOOKUP($BK36,Programma!$F$3:$T$1101,15,0),"")</f>
        <v/>
      </c>
      <c r="BZ36" s="448" t="str">
        <f>_xlfn.IFNA(VLOOKUP($BK36,Programma!$F$3:$U$1101,16,0),"")</f>
        <v/>
      </c>
      <c r="CA36" s="448" t="str">
        <f>_xlfn.IFNA(VLOOKUP($BK36,Programma!$F$3:$V$1101,17,0),"")</f>
        <v/>
      </c>
      <c r="CB36" s="448" t="str">
        <f>_xlfn.IFNA(VLOOKUP($BK36,Programma!$F$3:$W$1101,18,0),"")</f>
        <v/>
      </c>
      <c r="CC36" s="448" t="str">
        <f>_xlfn.IFNA(VLOOKUP($BK36,Programma!$F$3:$X$1101,19,0),"")</f>
        <v/>
      </c>
      <c r="CD36" s="448" t="str">
        <f>_xlfn.IFNA(VLOOKUP($BK36,Programma!$F$3:$Y$1101,20,0),"")</f>
        <v/>
      </c>
      <c r="CE36" s="327"/>
      <c r="CF36" s="327"/>
      <c r="CG36" s="327"/>
      <c r="CH36" s="327"/>
      <c r="CI36" s="327"/>
      <c r="CJ36" s="327"/>
      <c r="CK36" s="327"/>
      <c r="CL36" s="327"/>
      <c r="CM36" s="327"/>
      <c r="CN36" s="327"/>
      <c r="CO36" s="327"/>
      <c r="CP36" s="327"/>
      <c r="CQ36" s="327"/>
      <c r="CR36" s="327"/>
      <c r="CS36" s="327"/>
      <c r="CT36" s="327"/>
      <c r="CU36" s="327"/>
      <c r="CV36" s="327"/>
      <c r="CW36" s="327"/>
      <c r="CX36" s="327"/>
      <c r="CY36" s="327"/>
      <c r="CZ36" s="327"/>
      <c r="DA36" s="327"/>
      <c r="DB36" s="327"/>
      <c r="DC36" s="327"/>
      <c r="DD36" s="327"/>
      <c r="DE36" s="327"/>
      <c r="DF36" s="327"/>
      <c r="DG36" s="327"/>
      <c r="DH36" s="327"/>
      <c r="DI36" s="327"/>
      <c r="DJ36" s="327"/>
      <c r="DK36" s="327"/>
      <c r="DL36" s="327"/>
      <c r="DM36" s="327"/>
      <c r="DN36" s="327"/>
      <c r="DO36" s="327"/>
      <c r="DP36" s="327"/>
      <c r="DQ36" s="327"/>
      <c r="DR36" s="327"/>
      <c r="DS36" s="327"/>
      <c r="DT36" s="327"/>
      <c r="DU36" s="327"/>
      <c r="DV36" s="327"/>
      <c r="DW36" s="327"/>
      <c r="DX36" s="327"/>
      <c r="DY36" s="327"/>
      <c r="DZ36" s="327"/>
      <c r="EA36" s="327"/>
      <c r="EB36" s="327"/>
      <c r="EC36" s="327"/>
      <c r="ED36" s="327"/>
      <c r="EE36" s="327"/>
      <c r="EF36" s="327"/>
      <c r="EG36" s="327"/>
      <c r="EH36" s="327"/>
      <c r="EI36" s="327"/>
      <c r="EJ36" s="327"/>
      <c r="EK36" s="327"/>
      <c r="EL36" s="327"/>
      <c r="EM36" s="327"/>
      <c r="EN36" s="327"/>
      <c r="EO36" s="327"/>
      <c r="EP36" s="327"/>
      <c r="EQ36" s="327"/>
      <c r="ER36" s="327"/>
      <c r="ES36" s="327"/>
      <c r="ET36" s="327"/>
      <c r="EU36" s="327"/>
      <c r="EV36" s="327"/>
      <c r="EW36" s="327"/>
      <c r="EX36" s="327"/>
      <c r="EY36" s="327"/>
      <c r="EZ36" s="327"/>
      <c r="FA36" s="327"/>
      <c r="FB36" s="327"/>
      <c r="FC36" s="327"/>
      <c r="FD36" s="327"/>
      <c r="FE36" s="327"/>
      <c r="FF36" s="327"/>
      <c r="FG36" s="327"/>
      <c r="FH36" s="327"/>
      <c r="FI36" s="327"/>
      <c r="FJ36" s="327"/>
      <c r="FK36" s="327"/>
      <c r="FL36" s="327"/>
      <c r="FM36" s="327"/>
      <c r="FN36" s="327"/>
      <c r="FO36" s="327"/>
      <c r="FP36" s="327"/>
      <c r="FQ36" s="327"/>
      <c r="FR36" s="327"/>
      <c r="FS36" s="327"/>
      <c r="FT36" s="327"/>
      <c r="FU36" s="327"/>
      <c r="FV36" s="327"/>
      <c r="FW36" s="327"/>
      <c r="FX36" s="327"/>
      <c r="FY36" s="327"/>
      <c r="FZ36" s="327"/>
      <c r="GA36" s="327"/>
      <c r="GB36" s="327"/>
      <c r="GC36" s="327"/>
      <c r="GD36" s="327"/>
      <c r="GE36" s="327"/>
      <c r="GF36" s="327"/>
      <c r="GG36" s="327"/>
      <c r="GH36" s="327"/>
      <c r="GI36" s="327"/>
      <c r="GJ36" s="327"/>
      <c r="GK36" s="327"/>
      <c r="GL36" s="327"/>
      <c r="GM36" s="327"/>
      <c r="GN36" s="327"/>
      <c r="GO36" s="327"/>
      <c r="GP36" s="327"/>
      <c r="GQ36" s="327"/>
      <c r="GR36" s="327"/>
      <c r="GS36" s="327"/>
      <c r="GT36" s="327"/>
      <c r="GU36" s="327"/>
      <c r="GV36" s="327"/>
      <c r="GW36" s="327"/>
      <c r="GX36" s="327"/>
      <c r="GY36" s="327"/>
      <c r="GZ36" s="327"/>
      <c r="HA36" s="327"/>
      <c r="HB36" s="327"/>
      <c r="HC36" s="327"/>
      <c r="HD36" s="327"/>
      <c r="HE36" s="327"/>
      <c r="HF36" s="327"/>
      <c r="HG36" s="327"/>
      <c r="HH36" s="327"/>
      <c r="HI36" s="327"/>
      <c r="HJ36" s="327"/>
      <c r="HK36" s="327"/>
      <c r="HL36" s="327"/>
      <c r="HM36" s="327"/>
      <c r="HN36" s="327"/>
      <c r="HO36" s="327"/>
      <c r="HP36" s="327"/>
      <c r="HQ36" s="327"/>
      <c r="HR36" s="327"/>
      <c r="HS36" s="327"/>
    </row>
    <row r="37" spans="1:227" ht="15" customHeight="1">
      <c r="A37" s="434">
        <v>2</v>
      </c>
      <c r="B37" s="435" t="str">
        <f>VLOOKUP(Ruimtestaat[[#This Row],[Code]],Locaties[[Code]:[Locatie]],2,FALSE)</f>
        <v>IKC  De Watersnip</v>
      </c>
      <c r="C37" s="435" t="str">
        <f>VLOOKUP(Ruimtestaat[[#This Row],[Code]],Locaties[[#All],[Code]:[Adres]],4,FALSE)</f>
        <v>César Franckrode 70-72</v>
      </c>
      <c r="D37" s="435" t="str">
        <f>VLOOKUP(Ruimtestaat[[#This Row],[Code]],Locaties[[#All],[Code]:[Postcode]],5,FALSE)</f>
        <v>2717 BG</v>
      </c>
      <c r="E37" s="435" t="str">
        <f>VLOOKUP(Ruimtestaat[[#This Row],[Code]],Locaties[#All],6,FALSE)</f>
        <v>Zoetermeer</v>
      </c>
      <c r="F37" s="434"/>
      <c r="G37" s="434" t="s">
        <v>1678</v>
      </c>
      <c r="H37" s="436" t="s">
        <v>1699</v>
      </c>
      <c r="I37" s="437" t="s">
        <v>38</v>
      </c>
      <c r="J37" s="330">
        <v>7</v>
      </c>
      <c r="K37" s="450" t="str">
        <f>VLOOKUP(Ruimtestaat[[#This Row],[Ruimte code]],Ruimtegroepen[[#All],[Code]:[Ruimte omschrijving]],2,FALSE)</f>
        <v>Entree</v>
      </c>
      <c r="L37" s="434" t="s">
        <v>99</v>
      </c>
      <c r="M37" s="437" t="s">
        <v>1758</v>
      </c>
      <c r="N37" s="439">
        <v>8</v>
      </c>
      <c r="O37" s="439"/>
      <c r="P37" s="439"/>
      <c r="Q37" s="439"/>
      <c r="R37" s="440" t="str">
        <f>VLOOKUP(Ruimtestaat[[#This Row],[Ruimte code]],Ruimtegroepen[],4,FALSE)</f>
        <v>Ve</v>
      </c>
      <c r="S37" s="434">
        <v>41</v>
      </c>
      <c r="T37" s="434" t="s">
        <v>2</v>
      </c>
      <c r="U37" s="434">
        <f>IF(S37&gt;0,IF(RIGHT(Ruimtestaat[[#This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7" s="434">
        <f>IF(U37&gt;0,VLOOKUP($J37,Ruimtegroepen[],3,FALSE)*VLOOKUP($L37,Vloersoorten[],3,FALSE)*VLOOKUP($T37,Frequenties[],3,FALSE)*VLOOKUP($A37,Locaties[],3,FALSE),0)</f>
        <v>0</v>
      </c>
      <c r="W37" s="434">
        <f>Ruimtestaat[[#This Row],[Uitvoeringen werkdagen]]*Ruimtestaat[[#This Row],[Oppervlak (netto)]]</f>
        <v>1640</v>
      </c>
      <c r="X37" s="441">
        <f>IF(V37&gt;0,Ruimtestaat[[#This Row],[Prest. (m2 /jaar) werkdagen]]/Ruimtestaat[[#This Row],[Norm (m2/uur) werkdagen]],0)</f>
        <v>0</v>
      </c>
      <c r="Y37" s="442">
        <f>Ruimtestaat[[#This Row],[Uitvoeringen werkdagen]]*Ruimtestaat[[#This Row],[Gedeeltelijk]]</f>
        <v>0</v>
      </c>
      <c r="Z37" s="443" t="e">
        <f>IF(U37&gt;0,Ruimtestaat[[#This Row],[Prest. (m2 / jaar) werkdagen gedeeld]]/Ruimtestaat[[#This Row],[Norm (m2/uur) werkdagen]],0)</f>
        <v>#DIV/0!</v>
      </c>
      <c r="AA37" s="441" t="e">
        <f>Ruimtestaat[[#This Row],[uren / jaar werkdagen gedeeld]]*Tariefsopbouw!$E$35</f>
        <v>#DIV/0!</v>
      </c>
      <c r="AB37" s="441">
        <f>Ruimtestaat[[#This Row],[Uitvoeringen werkdagen]]*Ruimtestaat[[#This Row],[BSO]]</f>
        <v>0</v>
      </c>
      <c r="AC37" s="443" t="e">
        <f>IF(U37&gt;0,Ruimtestaat[[#This Row],[Prest. (m2 / jaar) werkdagen BSO]]/Ruimtestaat[[#This Row],[Norm (m2/uur) werkdagen]],0)</f>
        <v>#DIV/0!</v>
      </c>
      <c r="AD37" s="443" t="e">
        <f>Ruimtestaat[[#This Row],[uren / jaar werkdagen BSO]]*Tariefsopbouw!$E$35</f>
        <v>#DIV/0!</v>
      </c>
      <c r="AE37" s="444">
        <f>Ruimtestaat[[#This Row],[uren / jaar werkdagen]]*Tariefsopbouw!$E$35</f>
        <v>0</v>
      </c>
      <c r="AF37" s="434"/>
      <c r="AG37" s="434">
        <f>IF(Ruimtestaat[[#This Row],[Frequentie weekend]]&gt;0,VALUE(LEFT(AF37,1))*S37,0)</f>
        <v>0</v>
      </c>
      <c r="AH37" s="445">
        <f>IF($AG37&gt;0,VLOOKUP($J37,Ruimtegroepen[],3,FALSE)*VLOOKUP($L37,Vloersoorten[],3,FALSE)*VLOOKUP($AF37,Frequenties[],3,FALSE)*VLOOKUP(Ruimtestaat[[#This Row],[Code]],Locaties[],3,FALSE),0)</f>
        <v>0</v>
      </c>
      <c r="AI37" s="445">
        <f>Ruimtestaat[[#This Row],[Uitvoeringen weekend]]*Ruimtestaat[[#This Row],[Oppervlak (netto)]]</f>
        <v>0</v>
      </c>
      <c r="AJ37" s="445">
        <f>IF(AH37&gt;0,Ruimtestaat[[#This Row],[Prest. (m2 /jaar) weekend]]/Ruimtestaat[[#This Row],[Norm (m2/uur) weekend]],0)</f>
        <v>0</v>
      </c>
      <c r="AK37" s="444">
        <f>Ruimtestaat[[#This Row],[uren / jaar weekend]]*Tariefsopbouw!$D$40</f>
        <v>0</v>
      </c>
      <c r="AL37" s="441">
        <f>Ruimtestaat[[#This Row],[Prest. (m2 /jaar) weekend]]+Ruimtestaat[[#This Row],[Prest. (m2 /jaar) werkdagen]]</f>
        <v>1640</v>
      </c>
      <c r="AM37" s="441">
        <f>Ruimtestaat[[#This Row],[uren / jaar weekend]]+Ruimtestaat[[#This Row],[uren / jaar werkdagen]]</f>
        <v>0</v>
      </c>
      <c r="AN37" s="446">
        <f>Ruimtestaat[[#This Row],[kosten / jaar weekend]]+Ruimtestaat[[#This Row],[kosten / jaar werkdagen]]</f>
        <v>0</v>
      </c>
      <c r="AO37" s="446"/>
      <c r="AP37" s="447" t="str">
        <f>IF(Ruimtestaat[[#This Row],[Frequentie werkdagen]]="","",_xlfn.CONCAT(Ruimtestaat[[#This Row],[Ruimte code]],"-",Ruimtestaat[[#This Row],[Frequentie werkdagen]]," ",Ruimtestaat[[#This Row],[Vloer code]]))</f>
        <v>7-5w T</v>
      </c>
      <c r="AQ37" s="448" t="str">
        <f>_xlfn.IFNA(VLOOKUP($AP37,Programma!$F$3:$G$1101,2,0),"")</f>
        <v>_</v>
      </c>
      <c r="AR37" s="448" t="str">
        <f>_xlfn.IFNA(VLOOKUP($AP37,Programma!$F$3:$H$1101,3,0),"")</f>
        <v>5w</v>
      </c>
      <c r="AS37" s="448" t="str">
        <f>_xlfn.IFNA(VLOOKUP($AP37,Programma!$F$3:$I$1101,4,0),"")</f>
        <v>_</v>
      </c>
      <c r="AT37" s="448" t="str">
        <f>_xlfn.IFNA(VLOOKUP($AP37,Programma!$F$3:$J$1101,5,0),"")</f>
        <v>_</v>
      </c>
      <c r="AU37" s="448" t="str">
        <f>_xlfn.IFNA(VLOOKUP($AP37,Programma!$F$3:$K$1101,6,0),"")</f>
        <v>_</v>
      </c>
      <c r="AV37" s="448" t="str">
        <f>_xlfn.IFNA(VLOOKUP($AP37,Programma!$F$3:$L$1101,7,0),"")</f>
        <v>_</v>
      </c>
      <c r="AW37" s="448" t="str">
        <f>_xlfn.IFNA(VLOOKUP($AP37,Programma!$F$3:$M$1101,8,0),"")</f>
        <v>_</v>
      </c>
      <c r="AX37" s="448" t="str">
        <f>_xlfn.IFNA(VLOOKUP($AP37,Programma!$F$3:$N$1101,9,0),"")</f>
        <v>_</v>
      </c>
      <c r="AY37" s="448" t="str">
        <f>_xlfn.IFNA(VLOOKUP($AP37,Programma!$F$3:$O$1101,10,0),"")</f>
        <v>5w</v>
      </c>
      <c r="AZ37" s="448" t="str">
        <f>_xlfn.IFNA(VLOOKUP($AP37,Programma!$F$3:$P$1101,11,0),"")</f>
        <v>5w</v>
      </c>
      <c r="BA37" s="448" t="str">
        <f>_xlfn.IFNA(VLOOKUP($AP37,Programma!$F$3:$Q$1101,12,0),"")</f>
        <v>1w</v>
      </c>
      <c r="BB37" s="448" t="str">
        <f>_xlfn.IFNA(VLOOKUP($AP37,Programma!$F$3:$R$1101,13,0),"")</f>
        <v>1w</v>
      </c>
      <c r="BC37" s="448" t="str">
        <f>_xlfn.IFNA(VLOOKUP($AP37,Programma!$F$3:$S$1101,14,0),"")</f>
        <v>1m</v>
      </c>
      <c r="BD37" s="448" t="str">
        <f>_xlfn.IFNA(VLOOKUP($AP37,Programma!$F$3:$T$1101,15,0),"")</f>
        <v>2j</v>
      </c>
      <c r="BE37" s="448" t="str">
        <f>_xlfn.IFNA(VLOOKUP($AP37,Programma!$F$3:$U$1101,16,0),"")</f>
        <v>1j</v>
      </c>
      <c r="BF37" s="448" t="str">
        <f>_xlfn.IFNA(VLOOKUP($AP37,Programma!$F$3:$V$1101,17,0),"")</f>
        <v>_</v>
      </c>
      <c r="BG37" s="448" t="str">
        <f>_xlfn.IFNA(VLOOKUP($AP37,Programma!$F$3:$W$1101,18,0),"")</f>
        <v>_</v>
      </c>
      <c r="BH37" s="448" t="str">
        <f>_xlfn.IFNA(VLOOKUP($AP37,Programma!$F$3:$X$1101,19,0),"")</f>
        <v>_</v>
      </c>
      <c r="BI37" s="448" t="str">
        <f>_xlfn.IFNA(VLOOKUP($AP37,Programma!$F$3:$Y$1101,20,0),"")</f>
        <v>_</v>
      </c>
      <c r="BJ37" s="449"/>
      <c r="BK37" s="447" t="str">
        <f>IF(Ruimtestaat[[#This Row],[Frequentie weekend]]="","",_xlfn.CONCAT(Ruimtestaat[[#This Row],[Ruimte code]],"-",Ruimtestaat[[#This Row],[Frequentie weekend]]," ",Ruimtestaat[[#This Row],[Vloer code]]))</f>
        <v/>
      </c>
      <c r="BL37" s="448" t="str">
        <f>_xlfn.IFNA(VLOOKUP($BK37,Programma!$F$3:$G$1101,2,0),"")</f>
        <v/>
      </c>
      <c r="BM37" s="448" t="str">
        <f>_xlfn.IFNA(VLOOKUP($BK37,Programma!$F$3:$H$1101,3,0),"")</f>
        <v/>
      </c>
      <c r="BN37" s="448" t="str">
        <f>_xlfn.IFNA(VLOOKUP($BK37,Programma!$F$3:$I$1101,4,0),"")</f>
        <v/>
      </c>
      <c r="BO37" s="448" t="str">
        <f>_xlfn.IFNA(VLOOKUP($BK37,Programma!$F$3:$J$1101,5,0),"")</f>
        <v/>
      </c>
      <c r="BP37" s="448" t="str">
        <f>_xlfn.IFNA(VLOOKUP($BK37,Programma!$F$3:$K$1101,6,0),"")</f>
        <v/>
      </c>
      <c r="BQ37" s="448" t="str">
        <f>_xlfn.IFNA(VLOOKUP($BK37,Programma!$F$3:$L$1101,7,0),"")</f>
        <v/>
      </c>
      <c r="BR37" s="448" t="str">
        <f>_xlfn.IFNA(VLOOKUP($BK37,Programma!$F$3:$M$1101,8,0),"")</f>
        <v/>
      </c>
      <c r="BS37" s="448" t="str">
        <f>_xlfn.IFNA(VLOOKUP($BK37,Programma!$F$3:$N$1101,9,0),"")</f>
        <v/>
      </c>
      <c r="BT37" s="448" t="str">
        <f>_xlfn.IFNA(VLOOKUP($BK37,Programma!$F$3:$O$1101,10,0),"")</f>
        <v/>
      </c>
      <c r="BU37" s="448" t="str">
        <f>_xlfn.IFNA(VLOOKUP($BK37,Programma!$F$3:$P$1101,11,0),"")</f>
        <v/>
      </c>
      <c r="BV37" s="448" t="str">
        <f>_xlfn.IFNA(VLOOKUP($BK37,Programma!$F$3:$Q$1101,12,0),"")</f>
        <v/>
      </c>
      <c r="BW37" s="448" t="str">
        <f>_xlfn.IFNA(VLOOKUP($BK37,Programma!$F$3:$R$1101,13,0),"")</f>
        <v/>
      </c>
      <c r="BX37" s="448" t="str">
        <f>_xlfn.IFNA(VLOOKUP($BK37,Programma!$F$3:$S$1101,14,0),"")</f>
        <v/>
      </c>
      <c r="BY37" s="448" t="str">
        <f>_xlfn.IFNA(VLOOKUP($BK37,Programma!$F$3:$T$1101,15,0),"")</f>
        <v/>
      </c>
      <c r="BZ37" s="448" t="str">
        <f>_xlfn.IFNA(VLOOKUP($BK37,Programma!$F$3:$U$1101,16,0),"")</f>
        <v/>
      </c>
      <c r="CA37" s="448" t="str">
        <f>_xlfn.IFNA(VLOOKUP($BK37,Programma!$F$3:$V$1101,17,0),"")</f>
        <v/>
      </c>
      <c r="CB37" s="448" t="str">
        <f>_xlfn.IFNA(VLOOKUP($BK37,Programma!$F$3:$W$1101,18,0),"")</f>
        <v/>
      </c>
      <c r="CC37" s="448" t="str">
        <f>_xlfn.IFNA(VLOOKUP($BK37,Programma!$F$3:$X$1101,19,0),"")</f>
        <v/>
      </c>
      <c r="CD37" s="448" t="str">
        <f>_xlfn.IFNA(VLOOKUP($BK37,Programma!$F$3:$Y$1101,20,0),"")</f>
        <v/>
      </c>
      <c r="CE37" s="327"/>
      <c r="CF37" s="327"/>
      <c r="CG37" s="327"/>
      <c r="CH37" s="327"/>
      <c r="CI37" s="327"/>
      <c r="CJ37" s="327"/>
      <c r="CK37" s="327"/>
      <c r="CL37" s="327"/>
      <c r="CM37" s="327"/>
      <c r="CN37" s="327"/>
      <c r="CO37" s="327"/>
      <c r="CP37" s="327"/>
      <c r="CQ37" s="327"/>
      <c r="CR37" s="327"/>
      <c r="CS37" s="327"/>
      <c r="CT37" s="327"/>
      <c r="CU37" s="327"/>
      <c r="CV37" s="327"/>
      <c r="CW37" s="327"/>
      <c r="CX37" s="327"/>
      <c r="CY37" s="327"/>
      <c r="CZ37" s="327"/>
      <c r="DA37" s="327"/>
      <c r="DB37" s="327"/>
      <c r="DC37" s="327"/>
      <c r="DD37" s="327"/>
      <c r="DE37" s="327"/>
      <c r="DF37" s="327"/>
      <c r="DG37" s="327"/>
      <c r="DH37" s="327"/>
      <c r="DI37" s="327"/>
      <c r="DJ37" s="327"/>
      <c r="DK37" s="327"/>
      <c r="DL37" s="327"/>
      <c r="DM37" s="327"/>
      <c r="DN37" s="327"/>
      <c r="DO37" s="327"/>
      <c r="DP37" s="327"/>
      <c r="DQ37" s="327"/>
      <c r="DR37" s="327"/>
      <c r="DS37" s="327"/>
      <c r="DT37" s="327"/>
      <c r="DU37" s="327"/>
      <c r="DV37" s="327"/>
      <c r="DW37" s="327"/>
      <c r="DX37" s="327"/>
      <c r="DY37" s="327"/>
      <c r="DZ37" s="327"/>
      <c r="EA37" s="327"/>
      <c r="EB37" s="327"/>
      <c r="EC37" s="327"/>
      <c r="ED37" s="327"/>
      <c r="EE37" s="327"/>
      <c r="EF37" s="327"/>
      <c r="EG37" s="327"/>
      <c r="EH37" s="327"/>
      <c r="EI37" s="327"/>
      <c r="EJ37" s="327"/>
      <c r="EK37" s="327"/>
      <c r="EL37" s="327"/>
      <c r="EM37" s="327"/>
      <c r="EN37" s="327"/>
      <c r="EO37" s="327"/>
      <c r="EP37" s="327"/>
      <c r="EQ37" s="327"/>
      <c r="ER37" s="327"/>
      <c r="ES37" s="327"/>
      <c r="ET37" s="327"/>
      <c r="EU37" s="327"/>
      <c r="EV37" s="327"/>
      <c r="EW37" s="327"/>
      <c r="EX37" s="327"/>
      <c r="EY37" s="327"/>
      <c r="EZ37" s="327"/>
      <c r="FA37" s="327"/>
      <c r="FB37" s="327"/>
      <c r="FC37" s="327"/>
      <c r="FD37" s="327"/>
      <c r="FE37" s="327"/>
      <c r="FF37" s="327"/>
      <c r="FG37" s="327"/>
      <c r="FH37" s="327"/>
      <c r="FI37" s="327"/>
      <c r="FJ37" s="327"/>
      <c r="FK37" s="327"/>
      <c r="FL37" s="327"/>
      <c r="FM37" s="327"/>
      <c r="FN37" s="327"/>
      <c r="FO37" s="327"/>
      <c r="FP37" s="327"/>
      <c r="FQ37" s="327"/>
      <c r="FR37" s="327"/>
      <c r="FS37" s="327"/>
      <c r="FT37" s="327"/>
      <c r="FU37" s="327"/>
      <c r="FV37" s="327"/>
      <c r="FW37" s="327"/>
      <c r="FX37" s="327"/>
      <c r="FY37" s="327"/>
      <c r="FZ37" s="327"/>
      <c r="GA37" s="327"/>
      <c r="GB37" s="327"/>
      <c r="GC37" s="327"/>
      <c r="GD37" s="327"/>
      <c r="GE37" s="327"/>
      <c r="GF37" s="327"/>
      <c r="GG37" s="327"/>
      <c r="GH37" s="327"/>
      <c r="GI37" s="327"/>
      <c r="GJ37" s="327"/>
      <c r="GK37" s="327"/>
      <c r="GL37" s="327"/>
      <c r="GM37" s="327"/>
      <c r="GN37" s="327"/>
      <c r="GO37" s="327"/>
      <c r="GP37" s="327"/>
      <c r="GQ37" s="327"/>
      <c r="GR37" s="327"/>
      <c r="GS37" s="327"/>
      <c r="GT37" s="327"/>
      <c r="GU37" s="327"/>
      <c r="GV37" s="327"/>
      <c r="GW37" s="327"/>
      <c r="GX37" s="327"/>
      <c r="GY37" s="327"/>
      <c r="GZ37" s="327"/>
      <c r="HA37" s="327"/>
      <c r="HB37" s="327"/>
      <c r="HC37" s="327"/>
      <c r="HD37" s="327"/>
      <c r="HE37" s="327"/>
      <c r="HF37" s="327"/>
      <c r="HG37" s="327"/>
      <c r="HH37" s="327"/>
      <c r="HI37" s="327"/>
      <c r="HJ37" s="327"/>
      <c r="HK37" s="327"/>
      <c r="HL37" s="327"/>
      <c r="HM37" s="327"/>
      <c r="HN37" s="327"/>
      <c r="HO37" s="327"/>
      <c r="HP37" s="327"/>
      <c r="HQ37" s="327"/>
      <c r="HR37" s="327"/>
      <c r="HS37" s="327"/>
    </row>
    <row r="38" spans="1:227" ht="15" customHeight="1">
      <c r="A38" s="434">
        <v>3</v>
      </c>
      <c r="B38" s="435" t="str">
        <f>VLOOKUP(Ruimtestaat[[#This Row],[Code]],Locaties[[Code]:[Locatie]],2,FALSE)</f>
        <v>IKC De Saffier</v>
      </c>
      <c r="C38" s="435" t="str">
        <f>VLOOKUP(Ruimtestaat[[#This Row],[Code]],Locaties[[#All],[Code]:[Adres]],4,FALSE)</f>
        <v>Elektrablauw 5</v>
      </c>
      <c r="D38" s="435" t="str">
        <f>VLOOKUP(Ruimtestaat[[#This Row],[Code]],Locaties[[#All],[Code]:[Postcode]],5,FALSE)</f>
        <v>2718 JT</v>
      </c>
      <c r="E38" s="435" t="str">
        <f>VLOOKUP(Ruimtestaat[[#This Row],[Code]],Locaties[#All],6,FALSE)</f>
        <v>Zoetermeer</v>
      </c>
      <c r="F38" s="450" t="s">
        <v>1705</v>
      </c>
      <c r="G38" s="434" t="s">
        <v>1678</v>
      </c>
      <c r="H38" s="436" t="s">
        <v>1662</v>
      </c>
      <c r="I38" s="437" t="s">
        <v>1679</v>
      </c>
      <c r="J38" s="330">
        <v>8</v>
      </c>
      <c r="K38" s="450" t="str">
        <f>VLOOKUP(Ruimtestaat[[#This Row],[Ruimte code]],Ruimtegroepen[[#All],[Code]:[Ruimte omschrijving]],2,FALSE)</f>
        <v>Kinderopvang</v>
      </c>
      <c r="L38" s="434" t="s">
        <v>100</v>
      </c>
      <c r="M38" s="437" t="s">
        <v>1759</v>
      </c>
      <c r="N38" s="439"/>
      <c r="O38" s="439"/>
      <c r="P38" s="439"/>
      <c r="Q38" s="439">
        <v>56</v>
      </c>
      <c r="R38" s="440" t="str">
        <f>VLOOKUP(Ruimtestaat[[#This Row],[Ruimte code]],Ruimtegroepen[],4,FALSE)</f>
        <v>Le</v>
      </c>
      <c r="S38" s="434">
        <v>51</v>
      </c>
      <c r="T38" s="434" t="s">
        <v>20</v>
      </c>
      <c r="U38" s="434">
        <f>IF(S38&gt;0,IF(RIGHT(Ruimtestaat[[#This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38" s="434">
        <f>IF(U38&gt;0,VLOOKUP($J38,Ruimtegroepen[],3,FALSE)*VLOOKUP($L38,Vloersoorten[],3,FALSE)*VLOOKUP($T38,Frequenties[],3,FALSE)*VLOOKUP($A38,Locaties[],3,FALSE),0)</f>
        <v>0</v>
      </c>
      <c r="W38" s="434">
        <f>Ruimtestaat[[#This Row],[Uitvoeringen werkdagen]]*Ruimtestaat[[#This Row],[Oppervlak (netto)]]</f>
        <v>0</v>
      </c>
      <c r="X38" s="441">
        <f>IF(V38&gt;0,Ruimtestaat[[#This Row],[Prest. (m2 /jaar) werkdagen]]/Ruimtestaat[[#This Row],[Norm (m2/uur) werkdagen]],0)</f>
        <v>0</v>
      </c>
      <c r="Y38" s="442">
        <f>Ruimtestaat[[#This Row],[Uitvoeringen werkdagen]]*Ruimtestaat[[#This Row],[Gedeeltelijk]]</f>
        <v>0</v>
      </c>
      <c r="Z38" s="443" t="e">
        <f>IF(U38&gt;0,Ruimtestaat[[#This Row],[Prest. (m2 / jaar) werkdagen gedeeld]]/Ruimtestaat[[#This Row],[Norm (m2/uur) werkdagen]],0)</f>
        <v>#DIV/0!</v>
      </c>
      <c r="AA38" s="441" t="e">
        <f>Ruimtestaat[[#This Row],[uren / jaar werkdagen gedeeld]]*Tariefsopbouw!$E$35</f>
        <v>#DIV/0!</v>
      </c>
      <c r="AB38" s="441">
        <f>Ruimtestaat[[#This Row],[Uitvoeringen werkdagen]]*Ruimtestaat[[#This Row],[BSO]]</f>
        <v>11424</v>
      </c>
      <c r="AC38" s="443" t="e">
        <f>IF(U38&gt;0,Ruimtestaat[[#This Row],[Prest. (m2 / jaar) werkdagen BSO]]/Ruimtestaat[[#This Row],[Norm (m2/uur) werkdagen]],0)</f>
        <v>#DIV/0!</v>
      </c>
      <c r="AD38" s="443" t="e">
        <f>Ruimtestaat[[#This Row],[uren / jaar werkdagen BSO]]*Tariefsopbouw!$E$35</f>
        <v>#DIV/0!</v>
      </c>
      <c r="AE38" s="444">
        <f>Ruimtestaat[[#This Row],[uren / jaar werkdagen]]*Tariefsopbouw!$E$35</f>
        <v>0</v>
      </c>
      <c r="AF38" s="434"/>
      <c r="AG38" s="434">
        <f>IF(Ruimtestaat[[#This Row],[Frequentie weekend]]&gt;0,VALUE(LEFT(AF38,1))*S38,0)</f>
        <v>0</v>
      </c>
      <c r="AH38" s="445">
        <f>IF($AG38&gt;0,VLOOKUP($J38,Ruimtegroepen[],3,FALSE)*VLOOKUP($L38,Vloersoorten[],3,FALSE)*VLOOKUP($AF38,Frequenties[],3,FALSE)*VLOOKUP(Ruimtestaat[[#This Row],[Code]],Locaties[],3,FALSE),0)</f>
        <v>0</v>
      </c>
      <c r="AI38" s="445">
        <f>Ruimtestaat[[#This Row],[Uitvoeringen weekend]]*Ruimtestaat[[#This Row],[Oppervlak (netto)]]</f>
        <v>0</v>
      </c>
      <c r="AJ38" s="445">
        <f>IF(AH38&gt;0,Ruimtestaat[[#This Row],[Prest. (m2 /jaar) weekend]]/Ruimtestaat[[#This Row],[Norm (m2/uur) weekend]],0)</f>
        <v>0</v>
      </c>
      <c r="AK38" s="444">
        <f>Ruimtestaat[[#This Row],[uren / jaar weekend]]*Tariefsopbouw!$D$40</f>
        <v>0</v>
      </c>
      <c r="AL38" s="441">
        <f>Ruimtestaat[[#This Row],[Prest. (m2 /jaar) weekend]]+Ruimtestaat[[#This Row],[Prest. (m2 /jaar) werkdagen]]</f>
        <v>0</v>
      </c>
      <c r="AM38" s="441">
        <f>Ruimtestaat[[#This Row],[uren / jaar weekend]]+Ruimtestaat[[#This Row],[uren / jaar werkdagen]]</f>
        <v>0</v>
      </c>
      <c r="AN38" s="446">
        <f>Ruimtestaat[[#This Row],[kosten / jaar weekend]]+Ruimtestaat[[#This Row],[kosten / jaar werkdagen]]</f>
        <v>0</v>
      </c>
      <c r="AO38" s="446"/>
      <c r="AP38" s="447" t="str">
        <f>IF(Ruimtestaat[[#This Row],[Frequentie werkdagen]]="","",_xlfn.CONCAT(Ruimtestaat[[#This Row],[Ruimte code]],"-",Ruimtestaat[[#This Row],[Frequentie werkdagen]]," ",Ruimtestaat[[#This Row],[Vloer code]]))</f>
        <v>8-4w L</v>
      </c>
      <c r="AQ38" s="448" t="str">
        <f>_xlfn.IFNA(VLOOKUP($AP38,Programma!$F$3:$G$1101,2,0),"")</f>
        <v>_</v>
      </c>
      <c r="AR38" s="448" t="str">
        <f>_xlfn.IFNA(VLOOKUP($AP38,Programma!$F$3:$H$1101,3,0),"")</f>
        <v>_</v>
      </c>
      <c r="AS38" s="448" t="str">
        <f>_xlfn.IFNA(VLOOKUP($AP38,Programma!$F$3:$I$1101,4,0),"")</f>
        <v>3w</v>
      </c>
      <c r="AT38" s="448" t="str">
        <f>_xlfn.IFNA(VLOOKUP($AP38,Programma!$F$3:$J$1101,5,0),"")</f>
        <v>1w</v>
      </c>
      <c r="AU38" s="448" t="str">
        <f>_xlfn.IFNA(VLOOKUP($AP38,Programma!$F$3:$K$1101,6,0),"")</f>
        <v>_</v>
      </c>
      <c r="AV38" s="448" t="str">
        <f>_xlfn.IFNA(VLOOKUP($AP38,Programma!$F$3:$L$1101,7,0),"")</f>
        <v>_</v>
      </c>
      <c r="AW38" s="448" t="str">
        <f>_xlfn.IFNA(VLOOKUP($AP38,Programma!$F$3:$M$1101,8,0),"")</f>
        <v>_</v>
      </c>
      <c r="AX38" s="448" t="str">
        <f>_xlfn.IFNA(VLOOKUP($AP38,Programma!$F$3:$N$1101,9,0),"")</f>
        <v>_</v>
      </c>
      <c r="AY38" s="448" t="str">
        <f>_xlfn.IFNA(VLOOKUP($AP38,Programma!$F$3:$O$1101,10,0),"")</f>
        <v>4w</v>
      </c>
      <c r="AZ38" s="448" t="str">
        <f>_xlfn.IFNA(VLOOKUP($AP38,Programma!$F$3:$P$1101,11,0),"")</f>
        <v>4w</v>
      </c>
      <c r="BA38" s="448" t="str">
        <f>_xlfn.IFNA(VLOOKUP($AP38,Programma!$F$3:$Q$1101,12,0),"")</f>
        <v>1w</v>
      </c>
      <c r="BB38" s="448" t="str">
        <f>_xlfn.IFNA(VLOOKUP($AP38,Programma!$F$3:$R$1101,13,0),"")</f>
        <v>1w</v>
      </c>
      <c r="BC38" s="448" t="str">
        <f>_xlfn.IFNA(VLOOKUP($AP38,Programma!$F$3:$S$1101,14,0),"")</f>
        <v>1m</v>
      </c>
      <c r="BD38" s="448" t="str">
        <f>_xlfn.IFNA(VLOOKUP($AP38,Programma!$F$3:$T$1101,15,0),"")</f>
        <v>2j</v>
      </c>
      <c r="BE38" s="448" t="str">
        <f>_xlfn.IFNA(VLOOKUP($AP38,Programma!$F$3:$U$1101,16,0),"")</f>
        <v>1j</v>
      </c>
      <c r="BF38" s="448" t="str">
        <f>_xlfn.IFNA(VLOOKUP($AP38,Programma!$F$3:$V$1101,17,0),"")</f>
        <v>_</v>
      </c>
      <c r="BG38" s="448" t="str">
        <f>_xlfn.IFNA(VLOOKUP($AP38,Programma!$F$3:$W$1101,18,0),"")</f>
        <v>_</v>
      </c>
      <c r="BH38" s="448" t="str">
        <f>_xlfn.IFNA(VLOOKUP($AP38,Programma!$F$3:$X$1101,19,0),"")</f>
        <v>_</v>
      </c>
      <c r="BI38" s="448" t="str">
        <f>_xlfn.IFNA(VLOOKUP($AP38,Programma!$F$3:$Y$1101,20,0),"")</f>
        <v>_</v>
      </c>
      <c r="BJ38" s="449"/>
      <c r="BK38" s="447" t="str">
        <f>IF(Ruimtestaat[[#This Row],[Frequentie weekend]]="","",_xlfn.CONCAT(Ruimtestaat[[#This Row],[Ruimte code]],"-",Ruimtestaat[[#This Row],[Frequentie weekend]]," ",Ruimtestaat[[#This Row],[Vloer code]]))</f>
        <v/>
      </c>
      <c r="BL38" s="448" t="str">
        <f>_xlfn.IFNA(VLOOKUP($BK38,Programma!$F$3:$G$1101,2,0),"")</f>
        <v/>
      </c>
      <c r="BM38" s="448" t="str">
        <f>_xlfn.IFNA(VLOOKUP($BK38,Programma!$F$3:$H$1101,3,0),"")</f>
        <v/>
      </c>
      <c r="BN38" s="448" t="str">
        <f>_xlfn.IFNA(VLOOKUP($BK38,Programma!$F$3:$I$1101,4,0),"")</f>
        <v/>
      </c>
      <c r="BO38" s="448" t="str">
        <f>_xlfn.IFNA(VLOOKUP($BK38,Programma!$F$3:$J$1101,5,0),"")</f>
        <v/>
      </c>
      <c r="BP38" s="448" t="str">
        <f>_xlfn.IFNA(VLOOKUP($BK38,Programma!$F$3:$K$1101,6,0),"")</f>
        <v/>
      </c>
      <c r="BQ38" s="448" t="str">
        <f>_xlfn.IFNA(VLOOKUP($BK38,Programma!$F$3:$L$1101,7,0),"")</f>
        <v/>
      </c>
      <c r="BR38" s="448" t="str">
        <f>_xlfn.IFNA(VLOOKUP($BK38,Programma!$F$3:$M$1101,8,0),"")</f>
        <v/>
      </c>
      <c r="BS38" s="448" t="str">
        <f>_xlfn.IFNA(VLOOKUP($BK38,Programma!$F$3:$N$1101,9,0),"")</f>
        <v/>
      </c>
      <c r="BT38" s="448" t="str">
        <f>_xlfn.IFNA(VLOOKUP($BK38,Programma!$F$3:$O$1101,10,0),"")</f>
        <v/>
      </c>
      <c r="BU38" s="448" t="str">
        <f>_xlfn.IFNA(VLOOKUP($BK38,Programma!$F$3:$P$1101,11,0),"")</f>
        <v/>
      </c>
      <c r="BV38" s="448" t="str">
        <f>_xlfn.IFNA(VLOOKUP($BK38,Programma!$F$3:$Q$1101,12,0),"")</f>
        <v/>
      </c>
      <c r="BW38" s="448" t="str">
        <f>_xlfn.IFNA(VLOOKUP($BK38,Programma!$F$3:$R$1101,13,0),"")</f>
        <v/>
      </c>
      <c r="BX38" s="448" t="str">
        <f>_xlfn.IFNA(VLOOKUP($BK38,Programma!$F$3:$S$1101,14,0),"")</f>
        <v/>
      </c>
      <c r="BY38" s="448" t="str">
        <f>_xlfn.IFNA(VLOOKUP($BK38,Programma!$F$3:$T$1101,15,0),"")</f>
        <v/>
      </c>
      <c r="BZ38" s="448" t="str">
        <f>_xlfn.IFNA(VLOOKUP($BK38,Programma!$F$3:$U$1101,16,0),"")</f>
        <v/>
      </c>
      <c r="CA38" s="448" t="str">
        <f>_xlfn.IFNA(VLOOKUP($BK38,Programma!$F$3:$V$1101,17,0),"")</f>
        <v/>
      </c>
      <c r="CB38" s="448" t="str">
        <f>_xlfn.IFNA(VLOOKUP($BK38,Programma!$F$3:$W$1101,18,0),"")</f>
        <v/>
      </c>
      <c r="CC38" s="448" t="str">
        <f>_xlfn.IFNA(VLOOKUP($BK38,Programma!$F$3:$X$1101,19,0),"")</f>
        <v/>
      </c>
      <c r="CD38" s="448" t="str">
        <f>_xlfn.IFNA(VLOOKUP($BK38,Programma!$F$3:$Y$1101,20,0),"")</f>
        <v/>
      </c>
      <c r="CE38" s="327"/>
      <c r="CF38" s="327"/>
      <c r="CG38" s="327"/>
      <c r="CH38" s="327"/>
      <c r="CI38" s="327"/>
      <c r="CJ38" s="327"/>
      <c r="CK38" s="327"/>
      <c r="CL38" s="327"/>
      <c r="CM38" s="327"/>
      <c r="CN38" s="327"/>
      <c r="CO38" s="327"/>
      <c r="CP38" s="327"/>
      <c r="CQ38" s="327"/>
      <c r="CR38" s="327"/>
      <c r="CS38" s="327"/>
      <c r="CT38" s="327"/>
      <c r="CU38" s="327"/>
      <c r="CV38" s="327"/>
      <c r="CW38" s="327"/>
      <c r="CX38" s="327"/>
      <c r="CY38" s="327"/>
      <c r="CZ38" s="327"/>
      <c r="DA38" s="327"/>
      <c r="DB38" s="327"/>
      <c r="DC38" s="327"/>
      <c r="DD38" s="327"/>
      <c r="DE38" s="327"/>
      <c r="DF38" s="327"/>
      <c r="DG38" s="327"/>
      <c r="DH38" s="327"/>
      <c r="DI38" s="327"/>
      <c r="DJ38" s="327"/>
      <c r="DK38" s="327"/>
      <c r="DL38" s="327"/>
      <c r="DM38" s="327"/>
      <c r="DN38" s="327"/>
      <c r="DO38" s="327"/>
      <c r="DP38" s="327"/>
      <c r="DQ38" s="327"/>
      <c r="DR38" s="327"/>
      <c r="DS38" s="327"/>
      <c r="DT38" s="327"/>
      <c r="DU38" s="327"/>
      <c r="DV38" s="327"/>
      <c r="DW38" s="327"/>
      <c r="DX38" s="327"/>
      <c r="DY38" s="327"/>
      <c r="DZ38" s="327"/>
      <c r="EA38" s="327"/>
      <c r="EB38" s="327"/>
      <c r="EC38" s="327"/>
      <c r="ED38" s="327"/>
      <c r="EE38" s="327"/>
      <c r="EF38" s="327"/>
      <c r="EG38" s="327"/>
      <c r="EH38" s="327"/>
      <c r="EI38" s="327"/>
      <c r="EJ38" s="327"/>
      <c r="EK38" s="327"/>
      <c r="EL38" s="327"/>
      <c r="EM38" s="327"/>
      <c r="EN38" s="327"/>
      <c r="EO38" s="327"/>
      <c r="EP38" s="327"/>
      <c r="EQ38" s="327"/>
      <c r="ER38" s="327"/>
      <c r="ES38" s="327"/>
      <c r="ET38" s="327"/>
      <c r="EU38" s="327"/>
      <c r="EV38" s="327"/>
      <c r="EW38" s="327"/>
      <c r="EX38" s="327"/>
      <c r="EY38" s="327"/>
      <c r="EZ38" s="327"/>
      <c r="FA38" s="327"/>
      <c r="FB38" s="327"/>
      <c r="FC38" s="327"/>
      <c r="FD38" s="327"/>
      <c r="FE38" s="327"/>
      <c r="FF38" s="327"/>
      <c r="FG38" s="327"/>
      <c r="FH38" s="327"/>
      <c r="FI38" s="327"/>
      <c r="FJ38" s="327"/>
      <c r="FK38" s="327"/>
      <c r="FL38" s="327"/>
      <c r="FM38" s="327"/>
      <c r="FN38" s="327"/>
      <c r="FO38" s="327"/>
      <c r="FP38" s="327"/>
      <c r="FQ38" s="327"/>
      <c r="FR38" s="327"/>
      <c r="FS38" s="327"/>
      <c r="FT38" s="327"/>
      <c r="FU38" s="327"/>
      <c r="FV38" s="327"/>
      <c r="FW38" s="327"/>
      <c r="FX38" s="327"/>
      <c r="FY38" s="327"/>
      <c r="FZ38" s="327"/>
      <c r="GA38" s="327"/>
      <c r="GB38" s="327"/>
      <c r="GC38" s="327"/>
      <c r="GD38" s="327"/>
      <c r="GE38" s="327"/>
      <c r="GF38" s="327"/>
      <c r="GG38" s="327"/>
      <c r="GH38" s="327"/>
      <c r="GI38" s="327"/>
      <c r="GJ38" s="327"/>
      <c r="GK38" s="327"/>
      <c r="GL38" s="327"/>
      <c r="GM38" s="327"/>
      <c r="GN38" s="327"/>
      <c r="GO38" s="327"/>
      <c r="GP38" s="327"/>
      <c r="GQ38" s="327"/>
      <c r="GR38" s="327"/>
      <c r="GS38" s="327"/>
      <c r="GT38" s="327"/>
      <c r="GU38" s="327"/>
      <c r="GV38" s="327"/>
      <c r="GW38" s="327"/>
      <c r="GX38" s="327"/>
      <c r="GY38" s="327"/>
      <c r="GZ38" s="327"/>
      <c r="HA38" s="327"/>
      <c r="HB38" s="327"/>
      <c r="HC38" s="327"/>
      <c r="HD38" s="327"/>
      <c r="HE38" s="327"/>
      <c r="HF38" s="327"/>
      <c r="HG38" s="327"/>
      <c r="HH38" s="327"/>
      <c r="HI38" s="327"/>
      <c r="HJ38" s="327"/>
      <c r="HK38" s="327"/>
      <c r="HL38" s="327"/>
      <c r="HM38" s="327"/>
      <c r="HN38" s="327"/>
      <c r="HO38" s="327"/>
      <c r="HP38" s="327"/>
      <c r="HQ38" s="327"/>
      <c r="HR38" s="327"/>
      <c r="HS38" s="327"/>
    </row>
    <row r="39" spans="1:227" ht="15" customHeight="1">
      <c r="A39" s="434">
        <v>3</v>
      </c>
      <c r="B39" s="435" t="str">
        <f>VLOOKUP(Ruimtestaat[[#This Row],[Code]],Locaties[[Code]:[Locatie]],2,FALSE)</f>
        <v>IKC De Saffier</v>
      </c>
      <c r="C39" s="435" t="str">
        <f>VLOOKUP(Ruimtestaat[[#This Row],[Code]],Locaties[[#All],[Code]:[Adres]],4,FALSE)</f>
        <v>Elektrablauw 5</v>
      </c>
      <c r="D39" s="435" t="str">
        <f>VLOOKUP(Ruimtestaat[[#This Row],[Code]],Locaties[[#All],[Code]:[Postcode]],5,FALSE)</f>
        <v>2718 JT</v>
      </c>
      <c r="E39" s="435" t="str">
        <f>VLOOKUP(Ruimtestaat[[#This Row],[Code]],Locaties[#All],6,FALSE)</f>
        <v>Zoetermeer</v>
      </c>
      <c r="F39" s="450" t="s">
        <v>1705</v>
      </c>
      <c r="G39" s="434" t="s">
        <v>1678</v>
      </c>
      <c r="H39" s="436" t="s">
        <v>1665</v>
      </c>
      <c r="I39" s="437" t="s">
        <v>1679</v>
      </c>
      <c r="J39" s="330">
        <v>8</v>
      </c>
      <c r="K39" s="450" t="str">
        <f>VLOOKUP(Ruimtestaat[[#This Row],[Ruimte code]],Ruimtegroepen[[#All],[Code]:[Ruimte omschrijving]],2,FALSE)</f>
        <v>Kinderopvang</v>
      </c>
      <c r="L39" s="434" t="s">
        <v>100</v>
      </c>
      <c r="M39" s="437" t="s">
        <v>1759</v>
      </c>
      <c r="N39" s="439"/>
      <c r="O39" s="439"/>
      <c r="P39" s="439"/>
      <c r="Q39" s="439">
        <v>56</v>
      </c>
      <c r="R39" s="440" t="str">
        <f>VLOOKUP(Ruimtestaat[[#This Row],[Ruimte code]],Ruimtegroepen[],4,FALSE)</f>
        <v>Le</v>
      </c>
      <c r="S39" s="434">
        <v>51</v>
      </c>
      <c r="T39" s="434" t="s">
        <v>20</v>
      </c>
      <c r="U39" s="434">
        <f>IF(S39&gt;0,IF(RIGHT(Ruimtestaat[[#This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39" s="434">
        <f>IF(U39&gt;0,VLOOKUP($J39,Ruimtegroepen[],3,FALSE)*VLOOKUP($L39,Vloersoorten[],3,FALSE)*VLOOKUP($T39,Frequenties[],3,FALSE)*VLOOKUP($A39,Locaties[],3,FALSE),0)</f>
        <v>0</v>
      </c>
      <c r="W39" s="434">
        <f>Ruimtestaat[[#This Row],[Uitvoeringen werkdagen]]*Ruimtestaat[[#This Row],[Oppervlak (netto)]]</f>
        <v>0</v>
      </c>
      <c r="X39" s="441">
        <f>IF(V39&gt;0,Ruimtestaat[[#This Row],[Prest. (m2 /jaar) werkdagen]]/Ruimtestaat[[#This Row],[Norm (m2/uur) werkdagen]],0)</f>
        <v>0</v>
      </c>
      <c r="Y39" s="442">
        <f>Ruimtestaat[[#This Row],[Uitvoeringen werkdagen]]*Ruimtestaat[[#This Row],[Gedeeltelijk]]</f>
        <v>0</v>
      </c>
      <c r="Z39" s="443" t="e">
        <f>IF(U39&gt;0,Ruimtestaat[[#This Row],[Prest. (m2 / jaar) werkdagen gedeeld]]/Ruimtestaat[[#This Row],[Norm (m2/uur) werkdagen]],0)</f>
        <v>#DIV/0!</v>
      </c>
      <c r="AA39" s="441" t="e">
        <f>Ruimtestaat[[#This Row],[uren / jaar werkdagen gedeeld]]*Tariefsopbouw!$E$35</f>
        <v>#DIV/0!</v>
      </c>
      <c r="AB39" s="441">
        <f>Ruimtestaat[[#This Row],[Uitvoeringen werkdagen]]*Ruimtestaat[[#This Row],[BSO]]</f>
        <v>11424</v>
      </c>
      <c r="AC39" s="443" t="e">
        <f>IF(U39&gt;0,Ruimtestaat[[#This Row],[Prest. (m2 / jaar) werkdagen BSO]]/Ruimtestaat[[#This Row],[Norm (m2/uur) werkdagen]],0)</f>
        <v>#DIV/0!</v>
      </c>
      <c r="AD39" s="443" t="e">
        <f>Ruimtestaat[[#This Row],[uren / jaar werkdagen BSO]]*Tariefsopbouw!$E$35</f>
        <v>#DIV/0!</v>
      </c>
      <c r="AE39" s="444">
        <f>Ruimtestaat[[#This Row],[uren / jaar werkdagen]]*Tariefsopbouw!$E$35</f>
        <v>0</v>
      </c>
      <c r="AF39" s="434"/>
      <c r="AG39" s="434">
        <f>IF(Ruimtestaat[[#This Row],[Frequentie weekend]]&gt;0,VALUE(LEFT(AF39,1))*S39,0)</f>
        <v>0</v>
      </c>
      <c r="AH39" s="445">
        <f>IF($AG39&gt;0,VLOOKUP($J39,Ruimtegroepen[],3,FALSE)*VLOOKUP($L39,Vloersoorten[],3,FALSE)*VLOOKUP($AF39,Frequenties[],3,FALSE)*VLOOKUP(Ruimtestaat[[#This Row],[Code]],Locaties[],3,FALSE),0)</f>
        <v>0</v>
      </c>
      <c r="AI39" s="445">
        <f>Ruimtestaat[[#This Row],[Uitvoeringen weekend]]*Ruimtestaat[[#This Row],[Oppervlak (netto)]]</f>
        <v>0</v>
      </c>
      <c r="AJ39" s="445">
        <f>IF(AH39&gt;0,Ruimtestaat[[#This Row],[Prest. (m2 /jaar) weekend]]/Ruimtestaat[[#This Row],[Norm (m2/uur) weekend]],0)</f>
        <v>0</v>
      </c>
      <c r="AK39" s="444">
        <f>Ruimtestaat[[#This Row],[uren / jaar weekend]]*Tariefsopbouw!$D$40</f>
        <v>0</v>
      </c>
      <c r="AL39" s="441">
        <f>Ruimtestaat[[#This Row],[Prest. (m2 /jaar) weekend]]+Ruimtestaat[[#This Row],[Prest. (m2 /jaar) werkdagen]]</f>
        <v>0</v>
      </c>
      <c r="AM39" s="441">
        <f>Ruimtestaat[[#This Row],[uren / jaar weekend]]+Ruimtestaat[[#This Row],[uren / jaar werkdagen]]</f>
        <v>0</v>
      </c>
      <c r="AN39" s="446">
        <f>Ruimtestaat[[#This Row],[kosten / jaar weekend]]+Ruimtestaat[[#This Row],[kosten / jaar werkdagen]]</f>
        <v>0</v>
      </c>
      <c r="AO39" s="446"/>
      <c r="AP39" s="447" t="str">
        <f>IF(Ruimtestaat[[#This Row],[Frequentie werkdagen]]="","",_xlfn.CONCAT(Ruimtestaat[[#This Row],[Ruimte code]],"-",Ruimtestaat[[#This Row],[Frequentie werkdagen]]," ",Ruimtestaat[[#This Row],[Vloer code]]))</f>
        <v>8-4w L</v>
      </c>
      <c r="AQ39" s="448" t="str">
        <f>_xlfn.IFNA(VLOOKUP($AP39,Programma!$F$3:$G$1101,2,0),"")</f>
        <v>_</v>
      </c>
      <c r="AR39" s="448" t="str">
        <f>_xlfn.IFNA(VLOOKUP($AP39,Programma!$F$3:$H$1101,3,0),"")</f>
        <v>_</v>
      </c>
      <c r="AS39" s="448" t="str">
        <f>_xlfn.IFNA(VLOOKUP($AP39,Programma!$F$3:$I$1101,4,0),"")</f>
        <v>3w</v>
      </c>
      <c r="AT39" s="448" t="str">
        <f>_xlfn.IFNA(VLOOKUP($AP39,Programma!$F$3:$J$1101,5,0),"")</f>
        <v>1w</v>
      </c>
      <c r="AU39" s="448" t="str">
        <f>_xlfn.IFNA(VLOOKUP($AP39,Programma!$F$3:$K$1101,6,0),"")</f>
        <v>_</v>
      </c>
      <c r="AV39" s="448" t="str">
        <f>_xlfn.IFNA(VLOOKUP($AP39,Programma!$F$3:$L$1101,7,0),"")</f>
        <v>_</v>
      </c>
      <c r="AW39" s="448" t="str">
        <f>_xlfn.IFNA(VLOOKUP($AP39,Programma!$F$3:$M$1101,8,0),"")</f>
        <v>_</v>
      </c>
      <c r="AX39" s="448" t="str">
        <f>_xlfn.IFNA(VLOOKUP($AP39,Programma!$F$3:$N$1101,9,0),"")</f>
        <v>_</v>
      </c>
      <c r="AY39" s="448" t="str">
        <f>_xlfn.IFNA(VLOOKUP($AP39,Programma!$F$3:$O$1101,10,0),"")</f>
        <v>4w</v>
      </c>
      <c r="AZ39" s="448" t="str">
        <f>_xlfn.IFNA(VLOOKUP($AP39,Programma!$F$3:$P$1101,11,0),"")</f>
        <v>4w</v>
      </c>
      <c r="BA39" s="448" t="str">
        <f>_xlfn.IFNA(VLOOKUP($AP39,Programma!$F$3:$Q$1101,12,0),"")</f>
        <v>1w</v>
      </c>
      <c r="BB39" s="448" t="str">
        <f>_xlfn.IFNA(VLOOKUP($AP39,Programma!$F$3:$R$1101,13,0),"")</f>
        <v>1w</v>
      </c>
      <c r="BC39" s="448" t="str">
        <f>_xlfn.IFNA(VLOOKUP($AP39,Programma!$F$3:$S$1101,14,0),"")</f>
        <v>1m</v>
      </c>
      <c r="BD39" s="448" t="str">
        <f>_xlfn.IFNA(VLOOKUP($AP39,Programma!$F$3:$T$1101,15,0),"")</f>
        <v>2j</v>
      </c>
      <c r="BE39" s="448" t="str">
        <f>_xlfn.IFNA(VLOOKUP($AP39,Programma!$F$3:$U$1101,16,0),"")</f>
        <v>1j</v>
      </c>
      <c r="BF39" s="448" t="str">
        <f>_xlfn.IFNA(VLOOKUP($AP39,Programma!$F$3:$V$1101,17,0),"")</f>
        <v>_</v>
      </c>
      <c r="BG39" s="448" t="str">
        <f>_xlfn.IFNA(VLOOKUP($AP39,Programma!$F$3:$W$1101,18,0),"")</f>
        <v>_</v>
      </c>
      <c r="BH39" s="448" t="str">
        <f>_xlfn.IFNA(VLOOKUP($AP39,Programma!$F$3:$X$1101,19,0),"")</f>
        <v>_</v>
      </c>
      <c r="BI39" s="448" t="str">
        <f>_xlfn.IFNA(VLOOKUP($AP39,Programma!$F$3:$Y$1101,20,0),"")</f>
        <v>_</v>
      </c>
      <c r="BJ39" s="449"/>
      <c r="BK39" s="447" t="str">
        <f>IF(Ruimtestaat[[#This Row],[Frequentie weekend]]="","",_xlfn.CONCAT(Ruimtestaat[[#This Row],[Ruimte code]],"-",Ruimtestaat[[#This Row],[Frequentie weekend]]," ",Ruimtestaat[[#This Row],[Vloer code]]))</f>
        <v/>
      </c>
      <c r="BL39" s="448" t="str">
        <f>_xlfn.IFNA(VLOOKUP($BK39,Programma!$F$3:$G$1101,2,0),"")</f>
        <v/>
      </c>
      <c r="BM39" s="448" t="str">
        <f>_xlfn.IFNA(VLOOKUP($BK39,Programma!$F$3:$H$1101,3,0),"")</f>
        <v/>
      </c>
      <c r="BN39" s="448" t="str">
        <f>_xlfn.IFNA(VLOOKUP($BK39,Programma!$F$3:$I$1101,4,0),"")</f>
        <v/>
      </c>
      <c r="BO39" s="448" t="str">
        <f>_xlfn.IFNA(VLOOKUP($BK39,Programma!$F$3:$J$1101,5,0),"")</f>
        <v/>
      </c>
      <c r="BP39" s="448" t="str">
        <f>_xlfn.IFNA(VLOOKUP($BK39,Programma!$F$3:$K$1101,6,0),"")</f>
        <v/>
      </c>
      <c r="BQ39" s="448" t="str">
        <f>_xlfn.IFNA(VLOOKUP($BK39,Programma!$F$3:$L$1101,7,0),"")</f>
        <v/>
      </c>
      <c r="BR39" s="448" t="str">
        <f>_xlfn.IFNA(VLOOKUP($BK39,Programma!$F$3:$M$1101,8,0),"")</f>
        <v/>
      </c>
      <c r="BS39" s="448" t="str">
        <f>_xlfn.IFNA(VLOOKUP($BK39,Programma!$F$3:$N$1101,9,0),"")</f>
        <v/>
      </c>
      <c r="BT39" s="448" t="str">
        <f>_xlfn.IFNA(VLOOKUP($BK39,Programma!$F$3:$O$1101,10,0),"")</f>
        <v/>
      </c>
      <c r="BU39" s="448" t="str">
        <f>_xlfn.IFNA(VLOOKUP($BK39,Programma!$F$3:$P$1101,11,0),"")</f>
        <v/>
      </c>
      <c r="BV39" s="448" t="str">
        <f>_xlfn.IFNA(VLOOKUP($BK39,Programma!$F$3:$Q$1101,12,0),"")</f>
        <v/>
      </c>
      <c r="BW39" s="448" t="str">
        <f>_xlfn.IFNA(VLOOKUP($BK39,Programma!$F$3:$R$1101,13,0),"")</f>
        <v/>
      </c>
      <c r="BX39" s="448" t="str">
        <f>_xlfn.IFNA(VLOOKUP($BK39,Programma!$F$3:$S$1101,14,0),"")</f>
        <v/>
      </c>
      <c r="BY39" s="448" t="str">
        <f>_xlfn.IFNA(VLOOKUP($BK39,Programma!$F$3:$T$1101,15,0),"")</f>
        <v/>
      </c>
      <c r="BZ39" s="448" t="str">
        <f>_xlfn.IFNA(VLOOKUP($BK39,Programma!$F$3:$U$1101,16,0),"")</f>
        <v/>
      </c>
      <c r="CA39" s="448" t="str">
        <f>_xlfn.IFNA(VLOOKUP($BK39,Programma!$F$3:$V$1101,17,0),"")</f>
        <v/>
      </c>
      <c r="CB39" s="448" t="str">
        <f>_xlfn.IFNA(VLOOKUP($BK39,Programma!$F$3:$W$1101,18,0),"")</f>
        <v/>
      </c>
      <c r="CC39" s="448" t="str">
        <f>_xlfn.IFNA(VLOOKUP($BK39,Programma!$F$3:$X$1101,19,0),"")</f>
        <v/>
      </c>
      <c r="CD39" s="448" t="str">
        <f>_xlfn.IFNA(VLOOKUP($BK39,Programma!$F$3:$Y$1101,20,0),"")</f>
        <v/>
      </c>
      <c r="CE39" s="327"/>
      <c r="CF39" s="327"/>
      <c r="CG39" s="327"/>
      <c r="CH39" s="327"/>
      <c r="CI39" s="327"/>
      <c r="CJ39" s="327"/>
      <c r="CK39" s="327"/>
      <c r="CL39" s="327"/>
      <c r="CM39" s="327"/>
      <c r="CN39" s="327"/>
      <c r="CO39" s="327"/>
      <c r="CP39" s="327"/>
      <c r="CQ39" s="327"/>
      <c r="CR39" s="327"/>
      <c r="CS39" s="327"/>
      <c r="CT39" s="327"/>
      <c r="CU39" s="327"/>
      <c r="CV39" s="327"/>
      <c r="CW39" s="327"/>
      <c r="CX39" s="327"/>
      <c r="CY39" s="327"/>
      <c r="CZ39" s="327"/>
      <c r="DA39" s="327"/>
      <c r="DB39" s="327"/>
      <c r="DC39" s="327"/>
      <c r="DD39" s="327"/>
      <c r="DE39" s="327"/>
      <c r="DF39" s="327"/>
      <c r="DG39" s="327"/>
      <c r="DH39" s="327"/>
      <c r="DI39" s="327"/>
      <c r="DJ39" s="327"/>
      <c r="DK39" s="327"/>
      <c r="DL39" s="327"/>
      <c r="DM39" s="327"/>
      <c r="DN39" s="327"/>
      <c r="DO39" s="327"/>
      <c r="DP39" s="327"/>
      <c r="DQ39" s="327"/>
      <c r="DR39" s="327"/>
      <c r="DS39" s="327"/>
      <c r="DT39" s="327"/>
      <c r="DU39" s="327"/>
      <c r="DV39" s="327"/>
      <c r="DW39" s="327"/>
      <c r="DX39" s="327"/>
      <c r="DY39" s="327"/>
      <c r="DZ39" s="327"/>
      <c r="EA39" s="327"/>
      <c r="EB39" s="327"/>
      <c r="EC39" s="327"/>
      <c r="ED39" s="327"/>
      <c r="EE39" s="327"/>
      <c r="EF39" s="327"/>
      <c r="EG39" s="327"/>
      <c r="EH39" s="327"/>
      <c r="EI39" s="327"/>
      <c r="EJ39" s="327"/>
      <c r="EK39" s="327"/>
      <c r="EL39" s="327"/>
      <c r="EM39" s="327"/>
      <c r="EN39" s="327"/>
      <c r="EO39" s="327"/>
      <c r="EP39" s="327"/>
      <c r="EQ39" s="327"/>
      <c r="ER39" s="327"/>
      <c r="ES39" s="327"/>
      <c r="ET39" s="327"/>
      <c r="EU39" s="327"/>
      <c r="EV39" s="327"/>
      <c r="EW39" s="327"/>
      <c r="EX39" s="327"/>
      <c r="EY39" s="327"/>
      <c r="EZ39" s="327"/>
      <c r="FA39" s="327"/>
      <c r="FB39" s="327"/>
      <c r="FC39" s="327"/>
      <c r="FD39" s="327"/>
      <c r="FE39" s="327"/>
      <c r="FF39" s="327"/>
      <c r="FG39" s="327"/>
      <c r="FH39" s="327"/>
      <c r="FI39" s="327"/>
      <c r="FJ39" s="327"/>
      <c r="FK39" s="327"/>
      <c r="FL39" s="327"/>
      <c r="FM39" s="327"/>
      <c r="FN39" s="327"/>
      <c r="FO39" s="327"/>
      <c r="FP39" s="327"/>
      <c r="FQ39" s="327"/>
      <c r="FR39" s="327"/>
      <c r="FS39" s="327"/>
      <c r="FT39" s="327"/>
      <c r="FU39" s="327"/>
      <c r="FV39" s="327"/>
      <c r="FW39" s="327"/>
      <c r="FX39" s="327"/>
      <c r="FY39" s="327"/>
      <c r="FZ39" s="327"/>
      <c r="GA39" s="327"/>
      <c r="GB39" s="327"/>
      <c r="GC39" s="327"/>
      <c r="GD39" s="327"/>
      <c r="GE39" s="327"/>
      <c r="GF39" s="327"/>
      <c r="GG39" s="327"/>
      <c r="GH39" s="327"/>
      <c r="GI39" s="327"/>
      <c r="GJ39" s="327"/>
      <c r="GK39" s="327"/>
      <c r="GL39" s="327"/>
      <c r="GM39" s="327"/>
      <c r="GN39" s="327"/>
      <c r="GO39" s="327"/>
      <c r="GP39" s="327"/>
      <c r="GQ39" s="327"/>
      <c r="GR39" s="327"/>
      <c r="GS39" s="327"/>
      <c r="GT39" s="327"/>
      <c r="GU39" s="327"/>
      <c r="GV39" s="327"/>
      <c r="GW39" s="327"/>
      <c r="GX39" s="327"/>
      <c r="GY39" s="327"/>
      <c r="GZ39" s="327"/>
      <c r="HA39" s="327"/>
      <c r="HB39" s="327"/>
      <c r="HC39" s="327"/>
      <c r="HD39" s="327"/>
      <c r="HE39" s="327"/>
      <c r="HF39" s="327"/>
      <c r="HG39" s="327"/>
      <c r="HH39" s="327"/>
      <c r="HI39" s="327"/>
      <c r="HJ39" s="327"/>
      <c r="HK39" s="327"/>
      <c r="HL39" s="327"/>
      <c r="HM39" s="327"/>
      <c r="HN39" s="327"/>
      <c r="HO39" s="327"/>
      <c r="HP39" s="327"/>
      <c r="HQ39" s="327"/>
      <c r="HR39" s="327"/>
      <c r="HS39" s="327"/>
    </row>
    <row r="40" spans="1:227" ht="15" customHeight="1">
      <c r="A40" s="434">
        <v>3</v>
      </c>
      <c r="B40" s="435" t="str">
        <f>VLOOKUP(Ruimtestaat[[#This Row],[Code]],Locaties[[Code]:[Locatie]],2,FALSE)</f>
        <v>IKC De Saffier</v>
      </c>
      <c r="C40" s="435" t="str">
        <f>VLOOKUP(Ruimtestaat[[#This Row],[Code]],Locaties[[#All],[Code]:[Adres]],4,FALSE)</f>
        <v>Elektrablauw 5</v>
      </c>
      <c r="D40" s="435" t="str">
        <f>VLOOKUP(Ruimtestaat[[#This Row],[Code]],Locaties[[#All],[Code]:[Postcode]],5,FALSE)</f>
        <v>2718 JT</v>
      </c>
      <c r="E40" s="435" t="str">
        <f>VLOOKUP(Ruimtestaat[[#This Row],[Code]],Locaties[#All],6,FALSE)</f>
        <v>Zoetermeer</v>
      </c>
      <c r="F40" s="434"/>
      <c r="G40" s="434" t="s">
        <v>1678</v>
      </c>
      <c r="H40" s="436" t="s">
        <v>1667</v>
      </c>
      <c r="I40" s="437" t="s">
        <v>1679</v>
      </c>
      <c r="J40" s="330">
        <v>16</v>
      </c>
      <c r="K40" s="450" t="str">
        <f>VLOOKUP(Ruimtestaat[[#This Row],[Ruimte code]],Ruimtegroepen[[#All],[Code]:[Ruimte omschrijving]],2,FALSE)</f>
        <v>Leslokalen</v>
      </c>
      <c r="L40" s="434" t="s">
        <v>100</v>
      </c>
      <c r="M40" s="437" t="s">
        <v>1759</v>
      </c>
      <c r="N40" s="439">
        <v>56</v>
      </c>
      <c r="O40" s="439"/>
      <c r="P40" s="439"/>
      <c r="Q40" s="439"/>
      <c r="R40" s="440" t="str">
        <f>VLOOKUP(Ruimtestaat[[#This Row],[Ruimte code]],Ruimtegroepen[],4,FALSE)</f>
        <v>Le</v>
      </c>
      <c r="S40" s="434">
        <v>40</v>
      </c>
      <c r="T40" s="434" t="s">
        <v>2</v>
      </c>
      <c r="U40" s="434">
        <f>IF(S40&gt;0,IF(RIGHT(Ruimtestaat[[#This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 s="434">
        <f>IF(U40&gt;0,VLOOKUP($J40,Ruimtegroepen[],3,FALSE)*VLOOKUP($L40,Vloersoorten[],3,FALSE)*VLOOKUP($T40,Frequenties[],3,FALSE)*VLOOKUP($A40,Locaties[],3,FALSE),0)</f>
        <v>0</v>
      </c>
      <c r="W40" s="434">
        <f>Ruimtestaat[[#This Row],[Uitvoeringen werkdagen]]*Ruimtestaat[[#This Row],[Oppervlak (netto)]]</f>
        <v>11200</v>
      </c>
      <c r="X40" s="441">
        <f>IF(V40&gt;0,Ruimtestaat[[#This Row],[Prest. (m2 /jaar) werkdagen]]/Ruimtestaat[[#This Row],[Norm (m2/uur) werkdagen]],0)</f>
        <v>0</v>
      </c>
      <c r="Y40" s="442">
        <f>Ruimtestaat[[#This Row],[Uitvoeringen werkdagen]]*Ruimtestaat[[#This Row],[Gedeeltelijk]]</f>
        <v>0</v>
      </c>
      <c r="Z40" s="443" t="e">
        <f>IF(U40&gt;0,Ruimtestaat[[#This Row],[Prest. (m2 / jaar) werkdagen gedeeld]]/Ruimtestaat[[#This Row],[Norm (m2/uur) werkdagen]],0)</f>
        <v>#DIV/0!</v>
      </c>
      <c r="AA40" s="441" t="e">
        <f>Ruimtestaat[[#This Row],[uren / jaar werkdagen gedeeld]]*Tariefsopbouw!$E$35</f>
        <v>#DIV/0!</v>
      </c>
      <c r="AB40" s="441">
        <f>Ruimtestaat[[#This Row],[Uitvoeringen werkdagen]]*Ruimtestaat[[#This Row],[BSO]]</f>
        <v>0</v>
      </c>
      <c r="AC40" s="443" t="e">
        <f>IF(U40&gt;0,Ruimtestaat[[#This Row],[Prest. (m2 / jaar) werkdagen BSO]]/Ruimtestaat[[#This Row],[Norm (m2/uur) werkdagen]],0)</f>
        <v>#DIV/0!</v>
      </c>
      <c r="AD40" s="443" t="e">
        <f>Ruimtestaat[[#This Row],[uren / jaar werkdagen BSO]]*Tariefsopbouw!$E$35</f>
        <v>#DIV/0!</v>
      </c>
      <c r="AE40" s="444">
        <f>Ruimtestaat[[#This Row],[uren / jaar werkdagen]]*Tariefsopbouw!$E$35</f>
        <v>0</v>
      </c>
      <c r="AF40" s="434"/>
      <c r="AG40" s="434">
        <f>IF(Ruimtestaat[[#This Row],[Frequentie weekend]]&gt;0,VALUE(LEFT(AF40,1))*S40,0)</f>
        <v>0</v>
      </c>
      <c r="AH40" s="445">
        <f>IF($AG40&gt;0,VLOOKUP($J40,Ruimtegroepen[],3,FALSE)*VLOOKUP($L40,Vloersoorten[],3,FALSE)*VLOOKUP($AF40,Frequenties[],3,FALSE)*VLOOKUP(Ruimtestaat[[#This Row],[Code]],Locaties[],3,FALSE),0)</f>
        <v>0</v>
      </c>
      <c r="AI40" s="445">
        <f>Ruimtestaat[[#This Row],[Uitvoeringen weekend]]*Ruimtestaat[[#This Row],[Oppervlak (netto)]]</f>
        <v>0</v>
      </c>
      <c r="AJ40" s="445">
        <f>IF(AH40&gt;0,Ruimtestaat[[#This Row],[Prest. (m2 /jaar) weekend]]/Ruimtestaat[[#This Row],[Norm (m2/uur) weekend]],0)</f>
        <v>0</v>
      </c>
      <c r="AK40" s="444">
        <f>Ruimtestaat[[#This Row],[uren / jaar weekend]]*Tariefsopbouw!$D$40</f>
        <v>0</v>
      </c>
      <c r="AL40" s="441">
        <f>Ruimtestaat[[#This Row],[Prest. (m2 /jaar) weekend]]+Ruimtestaat[[#This Row],[Prest. (m2 /jaar) werkdagen]]</f>
        <v>11200</v>
      </c>
      <c r="AM40" s="441">
        <f>Ruimtestaat[[#This Row],[uren / jaar weekend]]+Ruimtestaat[[#This Row],[uren / jaar werkdagen]]</f>
        <v>0</v>
      </c>
      <c r="AN40" s="446">
        <f>Ruimtestaat[[#This Row],[kosten / jaar weekend]]+Ruimtestaat[[#This Row],[kosten / jaar werkdagen]]</f>
        <v>0</v>
      </c>
      <c r="AO40" s="446"/>
      <c r="AP40" s="447" t="str">
        <f>IF(Ruimtestaat[[#This Row],[Frequentie werkdagen]]="","",_xlfn.CONCAT(Ruimtestaat[[#This Row],[Ruimte code]],"-",Ruimtestaat[[#This Row],[Frequentie werkdagen]]," ",Ruimtestaat[[#This Row],[Vloer code]]))</f>
        <v>16-5w L</v>
      </c>
      <c r="AQ40" s="448" t="str">
        <f>_xlfn.IFNA(VLOOKUP($AP40,Programma!$F$3:$G$1101,2,0),"")</f>
        <v>_</v>
      </c>
      <c r="AR40" s="448" t="str">
        <f>_xlfn.IFNA(VLOOKUP($AP40,Programma!$F$3:$H$1101,3,0),"")</f>
        <v>_</v>
      </c>
      <c r="AS40" s="448" t="str">
        <f>_xlfn.IFNA(VLOOKUP($AP40,Programma!$F$3:$I$1101,4,0),"")</f>
        <v>4w</v>
      </c>
      <c r="AT40" s="448" t="str">
        <f>_xlfn.IFNA(VLOOKUP($AP40,Programma!$F$3:$J$1101,5,0),"")</f>
        <v>1w</v>
      </c>
      <c r="AU40" s="448" t="str">
        <f>_xlfn.IFNA(VLOOKUP($AP40,Programma!$F$3:$K$1101,6,0),"")</f>
        <v>_</v>
      </c>
      <c r="AV40" s="448" t="str">
        <f>_xlfn.IFNA(VLOOKUP($AP40,Programma!$F$3:$L$1101,7,0),"")</f>
        <v>_</v>
      </c>
      <c r="AW40" s="448" t="str">
        <f>_xlfn.IFNA(VLOOKUP($AP40,Programma!$F$3:$M$1101,8,0),"")</f>
        <v>_</v>
      </c>
      <c r="AX40" s="448" t="str">
        <f>_xlfn.IFNA(VLOOKUP($AP40,Programma!$F$3:$N$1101,9,0),"")</f>
        <v>_</v>
      </c>
      <c r="AY40" s="448" t="str">
        <f>_xlfn.IFNA(VLOOKUP($AP40,Programma!$F$3:$O$1101,10,0),"")</f>
        <v>5w</v>
      </c>
      <c r="AZ40" s="448" t="str">
        <f>_xlfn.IFNA(VLOOKUP($AP40,Programma!$F$3:$P$1101,11,0),"")</f>
        <v>5w</v>
      </c>
      <c r="BA40" s="448" t="str">
        <f>_xlfn.IFNA(VLOOKUP($AP40,Programma!$F$3:$Q$1101,12,0),"")</f>
        <v>1w</v>
      </c>
      <c r="BB40" s="448" t="str">
        <f>_xlfn.IFNA(VLOOKUP($AP40,Programma!$F$3:$R$1101,13,0),"")</f>
        <v>1w</v>
      </c>
      <c r="BC40" s="448" t="str">
        <f>_xlfn.IFNA(VLOOKUP($AP40,Programma!$F$3:$S$1101,14,0),"")</f>
        <v>1m</v>
      </c>
      <c r="BD40" s="448" t="str">
        <f>_xlfn.IFNA(VLOOKUP($AP40,Programma!$F$3:$T$1101,15,0),"")</f>
        <v>2j</v>
      </c>
      <c r="BE40" s="448" t="str">
        <f>_xlfn.IFNA(VLOOKUP($AP40,Programma!$F$3:$U$1101,16,0),"")</f>
        <v>1j</v>
      </c>
      <c r="BF40" s="448" t="str">
        <f>_xlfn.IFNA(VLOOKUP($AP40,Programma!$F$3:$V$1101,17,0),"")</f>
        <v>_</v>
      </c>
      <c r="BG40" s="448" t="str">
        <f>_xlfn.IFNA(VLOOKUP($AP40,Programma!$F$3:$W$1101,18,0),"")</f>
        <v>_</v>
      </c>
      <c r="BH40" s="448" t="str">
        <f>_xlfn.IFNA(VLOOKUP($AP40,Programma!$F$3:$X$1101,19,0),"")</f>
        <v>_</v>
      </c>
      <c r="BI40" s="448" t="str">
        <f>_xlfn.IFNA(VLOOKUP($AP40,Programma!$F$3:$Y$1101,20,0),"")</f>
        <v>_</v>
      </c>
      <c r="BJ40" s="449"/>
      <c r="BK40" s="447" t="str">
        <f>IF(Ruimtestaat[[#This Row],[Frequentie weekend]]="","",_xlfn.CONCAT(Ruimtestaat[[#This Row],[Ruimte code]],"-",Ruimtestaat[[#This Row],[Frequentie weekend]]," ",Ruimtestaat[[#This Row],[Vloer code]]))</f>
        <v/>
      </c>
      <c r="BL40" s="448" t="str">
        <f>_xlfn.IFNA(VLOOKUP($BK40,Programma!$F$3:$G$1101,2,0),"")</f>
        <v/>
      </c>
      <c r="BM40" s="448" t="str">
        <f>_xlfn.IFNA(VLOOKUP($BK40,Programma!$F$3:$H$1101,3,0),"")</f>
        <v/>
      </c>
      <c r="BN40" s="448" t="str">
        <f>_xlfn.IFNA(VLOOKUP($BK40,Programma!$F$3:$I$1101,4,0),"")</f>
        <v/>
      </c>
      <c r="BO40" s="448" t="str">
        <f>_xlfn.IFNA(VLOOKUP($BK40,Programma!$F$3:$J$1101,5,0),"")</f>
        <v/>
      </c>
      <c r="BP40" s="448" t="str">
        <f>_xlfn.IFNA(VLOOKUP($BK40,Programma!$F$3:$K$1101,6,0),"")</f>
        <v/>
      </c>
      <c r="BQ40" s="448" t="str">
        <f>_xlfn.IFNA(VLOOKUP($BK40,Programma!$F$3:$L$1101,7,0),"")</f>
        <v/>
      </c>
      <c r="BR40" s="448" t="str">
        <f>_xlfn.IFNA(VLOOKUP($BK40,Programma!$F$3:$M$1101,8,0),"")</f>
        <v/>
      </c>
      <c r="BS40" s="448" t="str">
        <f>_xlfn.IFNA(VLOOKUP($BK40,Programma!$F$3:$N$1101,9,0),"")</f>
        <v/>
      </c>
      <c r="BT40" s="448" t="str">
        <f>_xlfn.IFNA(VLOOKUP($BK40,Programma!$F$3:$O$1101,10,0),"")</f>
        <v/>
      </c>
      <c r="BU40" s="448" t="str">
        <f>_xlfn.IFNA(VLOOKUP($BK40,Programma!$F$3:$P$1101,11,0),"")</f>
        <v/>
      </c>
      <c r="BV40" s="448" t="str">
        <f>_xlfn.IFNA(VLOOKUP($BK40,Programma!$F$3:$Q$1101,12,0),"")</f>
        <v/>
      </c>
      <c r="BW40" s="448" t="str">
        <f>_xlfn.IFNA(VLOOKUP($BK40,Programma!$F$3:$R$1101,13,0),"")</f>
        <v/>
      </c>
      <c r="BX40" s="448" t="str">
        <f>_xlfn.IFNA(VLOOKUP($BK40,Programma!$F$3:$S$1101,14,0),"")</f>
        <v/>
      </c>
      <c r="BY40" s="448" t="str">
        <f>_xlfn.IFNA(VLOOKUP($BK40,Programma!$F$3:$T$1101,15,0),"")</f>
        <v/>
      </c>
      <c r="BZ40" s="448" t="str">
        <f>_xlfn.IFNA(VLOOKUP($BK40,Programma!$F$3:$U$1101,16,0),"")</f>
        <v/>
      </c>
      <c r="CA40" s="448" t="str">
        <f>_xlfn.IFNA(VLOOKUP($BK40,Programma!$F$3:$V$1101,17,0),"")</f>
        <v/>
      </c>
      <c r="CB40" s="448" t="str">
        <f>_xlfn.IFNA(VLOOKUP($BK40,Programma!$F$3:$W$1101,18,0),"")</f>
        <v/>
      </c>
      <c r="CC40" s="448" t="str">
        <f>_xlfn.IFNA(VLOOKUP($BK40,Programma!$F$3:$X$1101,19,0),"")</f>
        <v/>
      </c>
      <c r="CD40" s="448" t="str">
        <f>_xlfn.IFNA(VLOOKUP($BK40,Programma!$F$3:$Y$1101,20,0),"")</f>
        <v/>
      </c>
      <c r="CE40" s="327"/>
      <c r="CF40" s="327"/>
      <c r="CG40" s="327"/>
      <c r="CH40" s="327"/>
      <c r="CI40" s="327"/>
      <c r="CJ40" s="327"/>
      <c r="CK40" s="327"/>
      <c r="CL40" s="327"/>
      <c r="CM40" s="327"/>
      <c r="CN40" s="327"/>
      <c r="CO40" s="327"/>
      <c r="CP40" s="327"/>
      <c r="CQ40" s="327"/>
      <c r="CR40" s="327"/>
      <c r="CS40" s="327"/>
      <c r="CT40" s="327"/>
      <c r="CU40" s="327"/>
      <c r="CV40" s="327"/>
      <c r="CW40" s="327"/>
      <c r="CX40" s="327"/>
      <c r="CY40" s="327"/>
      <c r="CZ40" s="327"/>
      <c r="DA40" s="327"/>
      <c r="DB40" s="327"/>
      <c r="DC40" s="327"/>
      <c r="DD40" s="327"/>
      <c r="DE40" s="327"/>
      <c r="DF40" s="327"/>
      <c r="DG40" s="327"/>
      <c r="DH40" s="327"/>
      <c r="DI40" s="327"/>
      <c r="DJ40" s="327"/>
      <c r="DK40" s="327"/>
      <c r="DL40" s="327"/>
      <c r="DM40" s="327"/>
      <c r="DN40" s="327"/>
      <c r="DO40" s="327"/>
      <c r="DP40" s="327"/>
      <c r="DQ40" s="327"/>
      <c r="DR40" s="327"/>
      <c r="DS40" s="327"/>
      <c r="DT40" s="327"/>
      <c r="DU40" s="327"/>
      <c r="DV40" s="327"/>
      <c r="DW40" s="327"/>
      <c r="DX40" s="327"/>
      <c r="DY40" s="327"/>
      <c r="DZ40" s="327"/>
      <c r="EA40" s="327"/>
      <c r="EB40" s="327"/>
      <c r="EC40" s="327"/>
      <c r="ED40" s="327"/>
      <c r="EE40" s="327"/>
      <c r="EF40" s="327"/>
      <c r="EG40" s="327"/>
      <c r="EH40" s="327"/>
      <c r="EI40" s="327"/>
      <c r="EJ40" s="327"/>
      <c r="EK40" s="327"/>
      <c r="EL40" s="327"/>
      <c r="EM40" s="327"/>
      <c r="EN40" s="327"/>
      <c r="EO40" s="327"/>
      <c r="EP40" s="327"/>
      <c r="EQ40" s="327"/>
      <c r="ER40" s="327"/>
      <c r="ES40" s="327"/>
      <c r="ET40" s="327"/>
      <c r="EU40" s="327"/>
      <c r="EV40" s="327"/>
      <c r="EW40" s="327"/>
      <c r="EX40" s="327"/>
      <c r="EY40" s="327"/>
      <c r="EZ40" s="327"/>
      <c r="FA40" s="327"/>
      <c r="FB40" s="327"/>
      <c r="FC40" s="327"/>
      <c r="FD40" s="327"/>
      <c r="FE40" s="327"/>
      <c r="FF40" s="327"/>
      <c r="FG40" s="327"/>
      <c r="FH40" s="327"/>
      <c r="FI40" s="327"/>
      <c r="FJ40" s="327"/>
      <c r="FK40" s="327"/>
      <c r="FL40" s="327"/>
      <c r="FM40" s="327"/>
      <c r="FN40" s="327"/>
      <c r="FO40" s="327"/>
      <c r="FP40" s="327"/>
      <c r="FQ40" s="327"/>
      <c r="FR40" s="327"/>
      <c r="FS40" s="327"/>
      <c r="FT40" s="327"/>
      <c r="FU40" s="327"/>
      <c r="FV40" s="327"/>
      <c r="FW40" s="327"/>
      <c r="FX40" s="327"/>
      <c r="FY40" s="327"/>
      <c r="FZ40" s="327"/>
      <c r="GA40" s="327"/>
      <c r="GB40" s="327"/>
      <c r="GC40" s="327"/>
      <c r="GD40" s="327"/>
      <c r="GE40" s="327"/>
      <c r="GF40" s="327"/>
      <c r="GG40" s="327"/>
      <c r="GH40" s="327"/>
      <c r="GI40" s="327"/>
      <c r="GJ40" s="327"/>
      <c r="GK40" s="327"/>
      <c r="GL40" s="327"/>
      <c r="GM40" s="327"/>
      <c r="GN40" s="327"/>
      <c r="GO40" s="327"/>
      <c r="GP40" s="327"/>
      <c r="GQ40" s="327"/>
      <c r="GR40" s="327"/>
      <c r="GS40" s="327"/>
      <c r="GT40" s="327"/>
      <c r="GU40" s="327"/>
      <c r="GV40" s="327"/>
      <c r="GW40" s="327"/>
      <c r="GX40" s="327"/>
      <c r="GY40" s="327"/>
      <c r="GZ40" s="327"/>
      <c r="HA40" s="327"/>
      <c r="HB40" s="327"/>
      <c r="HC40" s="327"/>
      <c r="HD40" s="327"/>
      <c r="HE40" s="327"/>
      <c r="HF40" s="327"/>
      <c r="HG40" s="327"/>
      <c r="HH40" s="327"/>
      <c r="HI40" s="327"/>
      <c r="HJ40" s="327"/>
      <c r="HK40" s="327"/>
      <c r="HL40" s="327"/>
      <c r="HM40" s="327"/>
      <c r="HN40" s="327"/>
      <c r="HO40" s="327"/>
      <c r="HP40" s="327"/>
      <c r="HQ40" s="327"/>
      <c r="HR40" s="327"/>
      <c r="HS40" s="327"/>
    </row>
    <row r="41" spans="1:227" ht="15" customHeight="1">
      <c r="A41" s="434">
        <v>3</v>
      </c>
      <c r="B41" s="435" t="str">
        <f>VLOOKUP(Ruimtestaat[[#This Row],[Code]],Locaties[[Code]:[Locatie]],2,FALSE)</f>
        <v>IKC De Saffier</v>
      </c>
      <c r="C41" s="435" t="str">
        <f>VLOOKUP(Ruimtestaat[[#This Row],[Code]],Locaties[[#All],[Code]:[Adres]],4,FALSE)</f>
        <v>Elektrablauw 5</v>
      </c>
      <c r="D41" s="435" t="str">
        <f>VLOOKUP(Ruimtestaat[[#This Row],[Code]],Locaties[[#All],[Code]:[Postcode]],5,FALSE)</f>
        <v>2718 JT</v>
      </c>
      <c r="E41" s="435" t="str">
        <f>VLOOKUP(Ruimtestaat[[#This Row],[Code]],Locaties[#All],6,FALSE)</f>
        <v>Zoetermeer</v>
      </c>
      <c r="F41" s="434"/>
      <c r="G41" s="434" t="s">
        <v>1678</v>
      </c>
      <c r="H41" s="436" t="s">
        <v>1668</v>
      </c>
      <c r="I41" s="437" t="s">
        <v>1679</v>
      </c>
      <c r="J41" s="330">
        <v>16</v>
      </c>
      <c r="K41" s="450" t="str">
        <f>VLOOKUP(Ruimtestaat[[#This Row],[Ruimte code]],Ruimtegroepen[[#All],[Code]:[Ruimte omschrijving]],2,FALSE)</f>
        <v>Leslokalen</v>
      </c>
      <c r="L41" s="434" t="s">
        <v>100</v>
      </c>
      <c r="M41" s="437" t="s">
        <v>1759</v>
      </c>
      <c r="N41" s="439">
        <v>56</v>
      </c>
      <c r="O41" s="439"/>
      <c r="P41" s="439"/>
      <c r="Q41" s="439"/>
      <c r="R41" s="440" t="str">
        <f>VLOOKUP(Ruimtestaat[[#This Row],[Ruimte code]],Ruimtegroepen[],4,FALSE)</f>
        <v>Le</v>
      </c>
      <c r="S41" s="434">
        <v>40</v>
      </c>
      <c r="T41" s="434" t="s">
        <v>2</v>
      </c>
      <c r="U41" s="434">
        <f>IF(S41&gt;0,IF(RIGHT(Ruimtestaat[[#This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 s="434">
        <f>IF(U41&gt;0,VLOOKUP($J41,Ruimtegroepen[],3,FALSE)*VLOOKUP($L41,Vloersoorten[],3,FALSE)*VLOOKUP($T41,Frequenties[],3,FALSE)*VLOOKUP($A41,Locaties[],3,FALSE),0)</f>
        <v>0</v>
      </c>
      <c r="W41" s="434">
        <f>Ruimtestaat[[#This Row],[Uitvoeringen werkdagen]]*Ruimtestaat[[#This Row],[Oppervlak (netto)]]</f>
        <v>11200</v>
      </c>
      <c r="X41" s="441">
        <f>IF(V41&gt;0,Ruimtestaat[[#This Row],[Prest. (m2 /jaar) werkdagen]]/Ruimtestaat[[#This Row],[Norm (m2/uur) werkdagen]],0)</f>
        <v>0</v>
      </c>
      <c r="Y41" s="442">
        <f>Ruimtestaat[[#This Row],[Uitvoeringen werkdagen]]*Ruimtestaat[[#This Row],[Gedeeltelijk]]</f>
        <v>0</v>
      </c>
      <c r="Z41" s="443" t="e">
        <f>IF(U41&gt;0,Ruimtestaat[[#This Row],[Prest. (m2 / jaar) werkdagen gedeeld]]/Ruimtestaat[[#This Row],[Norm (m2/uur) werkdagen]],0)</f>
        <v>#DIV/0!</v>
      </c>
      <c r="AA41" s="441" t="e">
        <f>Ruimtestaat[[#This Row],[uren / jaar werkdagen gedeeld]]*Tariefsopbouw!$E$35</f>
        <v>#DIV/0!</v>
      </c>
      <c r="AB41" s="441">
        <f>Ruimtestaat[[#This Row],[Uitvoeringen werkdagen]]*Ruimtestaat[[#This Row],[BSO]]</f>
        <v>0</v>
      </c>
      <c r="AC41" s="443" t="e">
        <f>IF(U41&gt;0,Ruimtestaat[[#This Row],[Prest. (m2 / jaar) werkdagen BSO]]/Ruimtestaat[[#This Row],[Norm (m2/uur) werkdagen]],0)</f>
        <v>#DIV/0!</v>
      </c>
      <c r="AD41" s="443" t="e">
        <f>Ruimtestaat[[#This Row],[uren / jaar werkdagen BSO]]*Tariefsopbouw!$E$35</f>
        <v>#DIV/0!</v>
      </c>
      <c r="AE41" s="444">
        <f>Ruimtestaat[[#This Row],[uren / jaar werkdagen]]*Tariefsopbouw!$E$35</f>
        <v>0</v>
      </c>
      <c r="AF41" s="434"/>
      <c r="AG41" s="434">
        <f>IF(Ruimtestaat[[#This Row],[Frequentie weekend]]&gt;0,VALUE(LEFT(AF41,1))*S41,0)</f>
        <v>0</v>
      </c>
      <c r="AH41" s="445">
        <f>IF($AG41&gt;0,VLOOKUP($J41,Ruimtegroepen[],3,FALSE)*VLOOKUP($L41,Vloersoorten[],3,FALSE)*VLOOKUP($AF41,Frequenties[],3,FALSE)*VLOOKUP(Ruimtestaat[[#This Row],[Code]],Locaties[],3,FALSE),0)</f>
        <v>0</v>
      </c>
      <c r="AI41" s="445">
        <f>Ruimtestaat[[#This Row],[Uitvoeringen weekend]]*Ruimtestaat[[#This Row],[Oppervlak (netto)]]</f>
        <v>0</v>
      </c>
      <c r="AJ41" s="445">
        <f>IF(AH41&gt;0,Ruimtestaat[[#This Row],[Prest. (m2 /jaar) weekend]]/Ruimtestaat[[#This Row],[Norm (m2/uur) weekend]],0)</f>
        <v>0</v>
      </c>
      <c r="AK41" s="444">
        <f>Ruimtestaat[[#This Row],[uren / jaar weekend]]*Tariefsopbouw!$D$40</f>
        <v>0</v>
      </c>
      <c r="AL41" s="441">
        <f>Ruimtestaat[[#This Row],[Prest. (m2 /jaar) weekend]]+Ruimtestaat[[#This Row],[Prest. (m2 /jaar) werkdagen]]</f>
        <v>11200</v>
      </c>
      <c r="AM41" s="441">
        <f>Ruimtestaat[[#This Row],[uren / jaar weekend]]+Ruimtestaat[[#This Row],[uren / jaar werkdagen]]</f>
        <v>0</v>
      </c>
      <c r="AN41" s="446">
        <f>Ruimtestaat[[#This Row],[kosten / jaar weekend]]+Ruimtestaat[[#This Row],[kosten / jaar werkdagen]]</f>
        <v>0</v>
      </c>
      <c r="AO41" s="446"/>
      <c r="AP41" s="447" t="str">
        <f>IF(Ruimtestaat[[#This Row],[Frequentie werkdagen]]="","",_xlfn.CONCAT(Ruimtestaat[[#This Row],[Ruimte code]],"-",Ruimtestaat[[#This Row],[Frequentie werkdagen]]," ",Ruimtestaat[[#This Row],[Vloer code]]))</f>
        <v>16-5w L</v>
      </c>
      <c r="AQ41" s="448" t="str">
        <f>_xlfn.IFNA(VLOOKUP($AP41,Programma!$F$3:$G$1101,2,0),"")</f>
        <v>_</v>
      </c>
      <c r="AR41" s="448" t="str">
        <f>_xlfn.IFNA(VLOOKUP($AP41,Programma!$F$3:$H$1101,3,0),"")</f>
        <v>_</v>
      </c>
      <c r="AS41" s="448" t="str">
        <f>_xlfn.IFNA(VLOOKUP($AP41,Programma!$F$3:$I$1101,4,0),"")</f>
        <v>4w</v>
      </c>
      <c r="AT41" s="448" t="str">
        <f>_xlfn.IFNA(VLOOKUP($AP41,Programma!$F$3:$J$1101,5,0),"")</f>
        <v>1w</v>
      </c>
      <c r="AU41" s="448" t="str">
        <f>_xlfn.IFNA(VLOOKUP($AP41,Programma!$F$3:$K$1101,6,0),"")</f>
        <v>_</v>
      </c>
      <c r="AV41" s="448" t="str">
        <f>_xlfn.IFNA(VLOOKUP($AP41,Programma!$F$3:$L$1101,7,0),"")</f>
        <v>_</v>
      </c>
      <c r="AW41" s="448" t="str">
        <f>_xlfn.IFNA(VLOOKUP($AP41,Programma!$F$3:$M$1101,8,0),"")</f>
        <v>_</v>
      </c>
      <c r="AX41" s="448" t="str">
        <f>_xlfn.IFNA(VLOOKUP($AP41,Programma!$F$3:$N$1101,9,0),"")</f>
        <v>_</v>
      </c>
      <c r="AY41" s="448" t="str">
        <f>_xlfn.IFNA(VLOOKUP($AP41,Programma!$F$3:$O$1101,10,0),"")</f>
        <v>5w</v>
      </c>
      <c r="AZ41" s="448" t="str">
        <f>_xlfn.IFNA(VLOOKUP($AP41,Programma!$F$3:$P$1101,11,0),"")</f>
        <v>5w</v>
      </c>
      <c r="BA41" s="448" t="str">
        <f>_xlfn.IFNA(VLOOKUP($AP41,Programma!$F$3:$Q$1101,12,0),"")</f>
        <v>1w</v>
      </c>
      <c r="BB41" s="448" t="str">
        <f>_xlfn.IFNA(VLOOKUP($AP41,Programma!$F$3:$R$1101,13,0),"")</f>
        <v>1w</v>
      </c>
      <c r="BC41" s="448" t="str">
        <f>_xlfn.IFNA(VLOOKUP($AP41,Programma!$F$3:$S$1101,14,0),"")</f>
        <v>1m</v>
      </c>
      <c r="BD41" s="448" t="str">
        <f>_xlfn.IFNA(VLOOKUP($AP41,Programma!$F$3:$T$1101,15,0),"")</f>
        <v>2j</v>
      </c>
      <c r="BE41" s="448" t="str">
        <f>_xlfn.IFNA(VLOOKUP($AP41,Programma!$F$3:$U$1101,16,0),"")</f>
        <v>1j</v>
      </c>
      <c r="BF41" s="448" t="str">
        <f>_xlfn.IFNA(VLOOKUP($AP41,Programma!$F$3:$V$1101,17,0),"")</f>
        <v>_</v>
      </c>
      <c r="BG41" s="448" t="str">
        <f>_xlfn.IFNA(VLOOKUP($AP41,Programma!$F$3:$W$1101,18,0),"")</f>
        <v>_</v>
      </c>
      <c r="BH41" s="448" t="str">
        <f>_xlfn.IFNA(VLOOKUP($AP41,Programma!$F$3:$X$1101,19,0),"")</f>
        <v>_</v>
      </c>
      <c r="BI41" s="448" t="str">
        <f>_xlfn.IFNA(VLOOKUP($AP41,Programma!$F$3:$Y$1101,20,0),"")</f>
        <v>_</v>
      </c>
      <c r="BJ41" s="449"/>
      <c r="BK41" s="447" t="str">
        <f>IF(Ruimtestaat[[#This Row],[Frequentie weekend]]="","",_xlfn.CONCAT(Ruimtestaat[[#This Row],[Ruimte code]],"-",Ruimtestaat[[#This Row],[Frequentie weekend]]," ",Ruimtestaat[[#This Row],[Vloer code]]))</f>
        <v/>
      </c>
      <c r="BL41" s="448" t="str">
        <f>_xlfn.IFNA(VLOOKUP($BK41,Programma!$F$3:$G$1101,2,0),"")</f>
        <v/>
      </c>
      <c r="BM41" s="448" t="str">
        <f>_xlfn.IFNA(VLOOKUP($BK41,Programma!$F$3:$H$1101,3,0),"")</f>
        <v/>
      </c>
      <c r="BN41" s="448" t="str">
        <f>_xlfn.IFNA(VLOOKUP($BK41,Programma!$F$3:$I$1101,4,0),"")</f>
        <v/>
      </c>
      <c r="BO41" s="448" t="str">
        <f>_xlfn.IFNA(VLOOKUP($BK41,Programma!$F$3:$J$1101,5,0),"")</f>
        <v/>
      </c>
      <c r="BP41" s="448" t="str">
        <f>_xlfn.IFNA(VLOOKUP($BK41,Programma!$F$3:$K$1101,6,0),"")</f>
        <v/>
      </c>
      <c r="BQ41" s="448" t="str">
        <f>_xlfn.IFNA(VLOOKUP($BK41,Programma!$F$3:$L$1101,7,0),"")</f>
        <v/>
      </c>
      <c r="BR41" s="448" t="str">
        <f>_xlfn.IFNA(VLOOKUP($BK41,Programma!$F$3:$M$1101,8,0),"")</f>
        <v/>
      </c>
      <c r="BS41" s="448" t="str">
        <f>_xlfn.IFNA(VLOOKUP($BK41,Programma!$F$3:$N$1101,9,0),"")</f>
        <v/>
      </c>
      <c r="BT41" s="448" t="str">
        <f>_xlfn.IFNA(VLOOKUP($BK41,Programma!$F$3:$O$1101,10,0),"")</f>
        <v/>
      </c>
      <c r="BU41" s="448" t="str">
        <f>_xlfn.IFNA(VLOOKUP($BK41,Programma!$F$3:$P$1101,11,0),"")</f>
        <v/>
      </c>
      <c r="BV41" s="448" t="str">
        <f>_xlfn.IFNA(VLOOKUP($BK41,Programma!$F$3:$Q$1101,12,0),"")</f>
        <v/>
      </c>
      <c r="BW41" s="448" t="str">
        <f>_xlfn.IFNA(VLOOKUP($BK41,Programma!$F$3:$R$1101,13,0),"")</f>
        <v/>
      </c>
      <c r="BX41" s="448" t="str">
        <f>_xlfn.IFNA(VLOOKUP($BK41,Programma!$F$3:$S$1101,14,0),"")</f>
        <v/>
      </c>
      <c r="BY41" s="448" t="str">
        <f>_xlfn.IFNA(VLOOKUP($BK41,Programma!$F$3:$T$1101,15,0),"")</f>
        <v/>
      </c>
      <c r="BZ41" s="448" t="str">
        <f>_xlfn.IFNA(VLOOKUP($BK41,Programma!$F$3:$U$1101,16,0),"")</f>
        <v/>
      </c>
      <c r="CA41" s="448" t="str">
        <f>_xlfn.IFNA(VLOOKUP($BK41,Programma!$F$3:$V$1101,17,0),"")</f>
        <v/>
      </c>
      <c r="CB41" s="448" t="str">
        <f>_xlfn.IFNA(VLOOKUP($BK41,Programma!$F$3:$W$1101,18,0),"")</f>
        <v/>
      </c>
      <c r="CC41" s="448" t="str">
        <f>_xlfn.IFNA(VLOOKUP($BK41,Programma!$F$3:$X$1101,19,0),"")</f>
        <v/>
      </c>
      <c r="CD41" s="448" t="str">
        <f>_xlfn.IFNA(VLOOKUP($BK41,Programma!$F$3:$Y$1101,20,0),"")</f>
        <v/>
      </c>
      <c r="CE41" s="327"/>
      <c r="CF41" s="327"/>
      <c r="CG41" s="327"/>
      <c r="CH41" s="327"/>
      <c r="CI41" s="327"/>
      <c r="CJ41" s="327"/>
      <c r="CK41" s="327"/>
      <c r="CL41" s="327"/>
      <c r="CM41" s="327"/>
      <c r="CN41" s="327"/>
      <c r="CO41" s="327"/>
      <c r="CP41" s="327"/>
      <c r="CQ41" s="327"/>
      <c r="CR41" s="327"/>
      <c r="CS41" s="327"/>
      <c r="CT41" s="327"/>
      <c r="CU41" s="327"/>
      <c r="CV41" s="327"/>
      <c r="CW41" s="327"/>
      <c r="CX41" s="327"/>
      <c r="CY41" s="327"/>
      <c r="CZ41" s="327"/>
      <c r="DA41" s="327"/>
      <c r="DB41" s="327"/>
      <c r="DC41" s="327"/>
      <c r="DD41" s="327"/>
      <c r="DE41" s="327"/>
      <c r="DF41" s="327"/>
      <c r="DG41" s="327"/>
      <c r="DH41" s="327"/>
      <c r="DI41" s="327"/>
      <c r="DJ41" s="327"/>
      <c r="DK41" s="327"/>
      <c r="DL41" s="327"/>
      <c r="DM41" s="327"/>
      <c r="DN41" s="327"/>
      <c r="DO41" s="327"/>
      <c r="DP41" s="327"/>
      <c r="DQ41" s="327"/>
      <c r="DR41" s="327"/>
      <c r="DS41" s="327"/>
      <c r="DT41" s="327"/>
      <c r="DU41" s="327"/>
      <c r="DV41" s="327"/>
      <c r="DW41" s="327"/>
      <c r="DX41" s="327"/>
      <c r="DY41" s="327"/>
      <c r="DZ41" s="327"/>
      <c r="EA41" s="327"/>
      <c r="EB41" s="327"/>
      <c r="EC41" s="327"/>
      <c r="ED41" s="327"/>
      <c r="EE41" s="327"/>
      <c r="EF41" s="327"/>
      <c r="EG41" s="327"/>
      <c r="EH41" s="327"/>
      <c r="EI41" s="327"/>
      <c r="EJ41" s="327"/>
      <c r="EK41" s="327"/>
      <c r="EL41" s="327"/>
      <c r="EM41" s="327"/>
      <c r="EN41" s="327"/>
      <c r="EO41" s="327"/>
      <c r="EP41" s="327"/>
      <c r="EQ41" s="327"/>
      <c r="ER41" s="327"/>
      <c r="ES41" s="327"/>
      <c r="ET41" s="327"/>
      <c r="EU41" s="327"/>
      <c r="EV41" s="327"/>
      <c r="EW41" s="327"/>
      <c r="EX41" s="327"/>
      <c r="EY41" s="327"/>
      <c r="EZ41" s="327"/>
      <c r="FA41" s="327"/>
      <c r="FB41" s="327"/>
      <c r="FC41" s="327"/>
      <c r="FD41" s="327"/>
      <c r="FE41" s="327"/>
      <c r="FF41" s="327"/>
      <c r="FG41" s="327"/>
      <c r="FH41" s="327"/>
      <c r="FI41" s="327"/>
      <c r="FJ41" s="327"/>
      <c r="FK41" s="327"/>
      <c r="FL41" s="327"/>
      <c r="FM41" s="327"/>
      <c r="FN41" s="327"/>
      <c r="FO41" s="327"/>
      <c r="FP41" s="327"/>
      <c r="FQ41" s="327"/>
      <c r="FR41" s="327"/>
      <c r="FS41" s="327"/>
      <c r="FT41" s="327"/>
      <c r="FU41" s="327"/>
      <c r="FV41" s="327"/>
      <c r="FW41" s="327"/>
      <c r="FX41" s="327"/>
      <c r="FY41" s="327"/>
      <c r="FZ41" s="327"/>
      <c r="GA41" s="327"/>
      <c r="GB41" s="327"/>
      <c r="GC41" s="327"/>
      <c r="GD41" s="327"/>
      <c r="GE41" s="327"/>
      <c r="GF41" s="327"/>
      <c r="GG41" s="327"/>
      <c r="GH41" s="327"/>
      <c r="GI41" s="327"/>
      <c r="GJ41" s="327"/>
      <c r="GK41" s="327"/>
      <c r="GL41" s="327"/>
      <c r="GM41" s="327"/>
      <c r="GN41" s="327"/>
      <c r="GO41" s="327"/>
      <c r="GP41" s="327"/>
      <c r="GQ41" s="327"/>
      <c r="GR41" s="327"/>
      <c r="GS41" s="327"/>
      <c r="GT41" s="327"/>
      <c r="GU41" s="327"/>
      <c r="GV41" s="327"/>
      <c r="GW41" s="327"/>
      <c r="GX41" s="327"/>
      <c r="GY41" s="327"/>
      <c r="GZ41" s="327"/>
      <c r="HA41" s="327"/>
      <c r="HB41" s="327"/>
      <c r="HC41" s="327"/>
      <c r="HD41" s="327"/>
      <c r="HE41" s="327"/>
      <c r="HF41" s="327"/>
      <c r="HG41" s="327"/>
      <c r="HH41" s="327"/>
      <c r="HI41" s="327"/>
      <c r="HJ41" s="327"/>
      <c r="HK41" s="327"/>
      <c r="HL41" s="327"/>
      <c r="HM41" s="327"/>
      <c r="HN41" s="327"/>
      <c r="HO41" s="327"/>
      <c r="HP41" s="327"/>
      <c r="HQ41" s="327"/>
      <c r="HR41" s="327"/>
      <c r="HS41" s="327"/>
    </row>
    <row r="42" spans="1:227" ht="15" customHeight="1">
      <c r="A42" s="434">
        <v>3</v>
      </c>
      <c r="B42" s="435" t="str">
        <f>VLOOKUP(Ruimtestaat[[#This Row],[Code]],Locaties[[Code]:[Locatie]],2,FALSE)</f>
        <v>IKC De Saffier</v>
      </c>
      <c r="C42" s="435" t="str">
        <f>VLOOKUP(Ruimtestaat[[#This Row],[Code]],Locaties[[#All],[Code]:[Adres]],4,FALSE)</f>
        <v>Elektrablauw 5</v>
      </c>
      <c r="D42" s="435" t="str">
        <f>VLOOKUP(Ruimtestaat[[#This Row],[Code]],Locaties[[#All],[Code]:[Postcode]],5,FALSE)</f>
        <v>2718 JT</v>
      </c>
      <c r="E42" s="435" t="str">
        <f>VLOOKUP(Ruimtestaat[[#This Row],[Code]],Locaties[#All],6,FALSE)</f>
        <v>Zoetermeer</v>
      </c>
      <c r="F42" s="434"/>
      <c r="G42" s="434" t="s">
        <v>1678</v>
      </c>
      <c r="H42" s="436" t="s">
        <v>1669</v>
      </c>
      <c r="I42" s="437" t="s">
        <v>1679</v>
      </c>
      <c r="J42" s="330">
        <v>16</v>
      </c>
      <c r="K42" s="450" t="str">
        <f>VLOOKUP(Ruimtestaat[[#This Row],[Ruimte code]],Ruimtegroepen[[#All],[Code]:[Ruimte omschrijving]],2,FALSE)</f>
        <v>Leslokalen</v>
      </c>
      <c r="L42" s="434" t="s">
        <v>100</v>
      </c>
      <c r="M42" s="437" t="s">
        <v>1759</v>
      </c>
      <c r="N42" s="439">
        <v>56</v>
      </c>
      <c r="O42" s="439"/>
      <c r="P42" s="439"/>
      <c r="Q42" s="439"/>
      <c r="R42" s="440" t="str">
        <f>VLOOKUP(Ruimtestaat[[#This Row],[Ruimte code]],Ruimtegroepen[],4,FALSE)</f>
        <v>Le</v>
      </c>
      <c r="S42" s="434">
        <v>40</v>
      </c>
      <c r="T42" s="434" t="s">
        <v>2</v>
      </c>
      <c r="U42" s="434">
        <f>IF(S42&gt;0,IF(RIGHT(Ruimtestaat[[#This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 s="434">
        <f>IF(U42&gt;0,VLOOKUP($J42,Ruimtegroepen[],3,FALSE)*VLOOKUP($L42,Vloersoorten[],3,FALSE)*VLOOKUP($T42,Frequenties[],3,FALSE)*VLOOKUP($A42,Locaties[],3,FALSE),0)</f>
        <v>0</v>
      </c>
      <c r="W42" s="434">
        <f>Ruimtestaat[[#This Row],[Uitvoeringen werkdagen]]*Ruimtestaat[[#This Row],[Oppervlak (netto)]]</f>
        <v>11200</v>
      </c>
      <c r="X42" s="441">
        <f>IF(V42&gt;0,Ruimtestaat[[#This Row],[Prest. (m2 /jaar) werkdagen]]/Ruimtestaat[[#This Row],[Norm (m2/uur) werkdagen]],0)</f>
        <v>0</v>
      </c>
      <c r="Y42" s="442">
        <f>Ruimtestaat[[#This Row],[Uitvoeringen werkdagen]]*Ruimtestaat[[#This Row],[Gedeeltelijk]]</f>
        <v>0</v>
      </c>
      <c r="Z42" s="443" t="e">
        <f>IF(U42&gt;0,Ruimtestaat[[#This Row],[Prest. (m2 / jaar) werkdagen gedeeld]]/Ruimtestaat[[#This Row],[Norm (m2/uur) werkdagen]],0)</f>
        <v>#DIV/0!</v>
      </c>
      <c r="AA42" s="441" t="e">
        <f>Ruimtestaat[[#This Row],[uren / jaar werkdagen gedeeld]]*Tariefsopbouw!$E$35</f>
        <v>#DIV/0!</v>
      </c>
      <c r="AB42" s="441">
        <f>Ruimtestaat[[#This Row],[Uitvoeringen werkdagen]]*Ruimtestaat[[#This Row],[BSO]]</f>
        <v>0</v>
      </c>
      <c r="AC42" s="443" t="e">
        <f>IF(U42&gt;0,Ruimtestaat[[#This Row],[Prest. (m2 / jaar) werkdagen BSO]]/Ruimtestaat[[#This Row],[Norm (m2/uur) werkdagen]],0)</f>
        <v>#DIV/0!</v>
      </c>
      <c r="AD42" s="443" t="e">
        <f>Ruimtestaat[[#This Row],[uren / jaar werkdagen BSO]]*Tariefsopbouw!$E$35</f>
        <v>#DIV/0!</v>
      </c>
      <c r="AE42" s="444">
        <f>Ruimtestaat[[#This Row],[uren / jaar werkdagen]]*Tariefsopbouw!$E$35</f>
        <v>0</v>
      </c>
      <c r="AF42" s="434"/>
      <c r="AG42" s="434">
        <f>IF(Ruimtestaat[[#This Row],[Frequentie weekend]]&gt;0,VALUE(LEFT(AF42,1))*S42,0)</f>
        <v>0</v>
      </c>
      <c r="AH42" s="445">
        <f>IF($AG42&gt;0,VLOOKUP($J42,Ruimtegroepen[],3,FALSE)*VLOOKUP($L42,Vloersoorten[],3,FALSE)*VLOOKUP($AF42,Frequenties[],3,FALSE)*VLOOKUP(Ruimtestaat[[#This Row],[Code]],Locaties[],3,FALSE),0)</f>
        <v>0</v>
      </c>
      <c r="AI42" s="445">
        <f>Ruimtestaat[[#This Row],[Uitvoeringen weekend]]*Ruimtestaat[[#This Row],[Oppervlak (netto)]]</f>
        <v>0</v>
      </c>
      <c r="AJ42" s="445">
        <f>IF(AH42&gt;0,Ruimtestaat[[#This Row],[Prest. (m2 /jaar) weekend]]/Ruimtestaat[[#This Row],[Norm (m2/uur) weekend]],0)</f>
        <v>0</v>
      </c>
      <c r="AK42" s="444">
        <f>Ruimtestaat[[#This Row],[uren / jaar weekend]]*Tariefsopbouw!$D$40</f>
        <v>0</v>
      </c>
      <c r="AL42" s="441">
        <f>Ruimtestaat[[#This Row],[Prest. (m2 /jaar) weekend]]+Ruimtestaat[[#This Row],[Prest. (m2 /jaar) werkdagen]]</f>
        <v>11200</v>
      </c>
      <c r="AM42" s="441">
        <f>Ruimtestaat[[#This Row],[uren / jaar weekend]]+Ruimtestaat[[#This Row],[uren / jaar werkdagen]]</f>
        <v>0</v>
      </c>
      <c r="AN42" s="446">
        <f>Ruimtestaat[[#This Row],[kosten / jaar weekend]]+Ruimtestaat[[#This Row],[kosten / jaar werkdagen]]</f>
        <v>0</v>
      </c>
      <c r="AO42" s="446"/>
      <c r="AP42" s="447" t="str">
        <f>IF(Ruimtestaat[[#This Row],[Frequentie werkdagen]]="","",_xlfn.CONCAT(Ruimtestaat[[#This Row],[Ruimte code]],"-",Ruimtestaat[[#This Row],[Frequentie werkdagen]]," ",Ruimtestaat[[#This Row],[Vloer code]]))</f>
        <v>16-5w L</v>
      </c>
      <c r="AQ42" s="448" t="str">
        <f>_xlfn.IFNA(VLOOKUP($AP42,Programma!$F$3:$G$1101,2,0),"")</f>
        <v>_</v>
      </c>
      <c r="AR42" s="448" t="str">
        <f>_xlfn.IFNA(VLOOKUP($AP42,Programma!$F$3:$H$1101,3,0),"")</f>
        <v>_</v>
      </c>
      <c r="AS42" s="448" t="str">
        <f>_xlfn.IFNA(VLOOKUP($AP42,Programma!$F$3:$I$1101,4,0),"")</f>
        <v>4w</v>
      </c>
      <c r="AT42" s="448" t="str">
        <f>_xlfn.IFNA(VLOOKUP($AP42,Programma!$F$3:$J$1101,5,0),"")</f>
        <v>1w</v>
      </c>
      <c r="AU42" s="448" t="str">
        <f>_xlfn.IFNA(VLOOKUP($AP42,Programma!$F$3:$K$1101,6,0),"")</f>
        <v>_</v>
      </c>
      <c r="AV42" s="448" t="str">
        <f>_xlfn.IFNA(VLOOKUP($AP42,Programma!$F$3:$L$1101,7,0),"")</f>
        <v>_</v>
      </c>
      <c r="AW42" s="448" t="str">
        <f>_xlfn.IFNA(VLOOKUP($AP42,Programma!$F$3:$M$1101,8,0),"")</f>
        <v>_</v>
      </c>
      <c r="AX42" s="448" t="str">
        <f>_xlfn.IFNA(VLOOKUP($AP42,Programma!$F$3:$N$1101,9,0),"")</f>
        <v>_</v>
      </c>
      <c r="AY42" s="448" t="str">
        <f>_xlfn.IFNA(VLOOKUP($AP42,Programma!$F$3:$O$1101,10,0),"")</f>
        <v>5w</v>
      </c>
      <c r="AZ42" s="448" t="str">
        <f>_xlfn.IFNA(VLOOKUP($AP42,Programma!$F$3:$P$1101,11,0),"")</f>
        <v>5w</v>
      </c>
      <c r="BA42" s="448" t="str">
        <f>_xlfn.IFNA(VLOOKUP($AP42,Programma!$F$3:$Q$1101,12,0),"")</f>
        <v>1w</v>
      </c>
      <c r="BB42" s="448" t="str">
        <f>_xlfn.IFNA(VLOOKUP($AP42,Programma!$F$3:$R$1101,13,0),"")</f>
        <v>1w</v>
      </c>
      <c r="BC42" s="448" t="str">
        <f>_xlfn.IFNA(VLOOKUP($AP42,Programma!$F$3:$S$1101,14,0),"")</f>
        <v>1m</v>
      </c>
      <c r="BD42" s="448" t="str">
        <f>_xlfn.IFNA(VLOOKUP($AP42,Programma!$F$3:$T$1101,15,0),"")</f>
        <v>2j</v>
      </c>
      <c r="BE42" s="448" t="str">
        <f>_xlfn.IFNA(VLOOKUP($AP42,Programma!$F$3:$U$1101,16,0),"")</f>
        <v>1j</v>
      </c>
      <c r="BF42" s="448" t="str">
        <f>_xlfn.IFNA(VLOOKUP($AP42,Programma!$F$3:$V$1101,17,0),"")</f>
        <v>_</v>
      </c>
      <c r="BG42" s="448" t="str">
        <f>_xlfn.IFNA(VLOOKUP($AP42,Programma!$F$3:$W$1101,18,0),"")</f>
        <v>_</v>
      </c>
      <c r="BH42" s="448" t="str">
        <f>_xlfn.IFNA(VLOOKUP($AP42,Programma!$F$3:$X$1101,19,0),"")</f>
        <v>_</v>
      </c>
      <c r="BI42" s="448" t="str">
        <f>_xlfn.IFNA(VLOOKUP($AP42,Programma!$F$3:$Y$1101,20,0),"")</f>
        <v>_</v>
      </c>
      <c r="BJ42" s="449"/>
      <c r="BK42" s="447" t="str">
        <f>IF(Ruimtestaat[[#This Row],[Frequentie weekend]]="","",_xlfn.CONCAT(Ruimtestaat[[#This Row],[Ruimte code]],"-",Ruimtestaat[[#This Row],[Frequentie weekend]]," ",Ruimtestaat[[#This Row],[Vloer code]]))</f>
        <v/>
      </c>
      <c r="BL42" s="448" t="str">
        <f>_xlfn.IFNA(VLOOKUP($BK42,Programma!$F$3:$G$1101,2,0),"")</f>
        <v/>
      </c>
      <c r="BM42" s="448" t="str">
        <f>_xlfn.IFNA(VLOOKUP($BK42,Programma!$F$3:$H$1101,3,0),"")</f>
        <v/>
      </c>
      <c r="BN42" s="448" t="str">
        <f>_xlfn.IFNA(VLOOKUP($BK42,Programma!$F$3:$I$1101,4,0),"")</f>
        <v/>
      </c>
      <c r="BO42" s="448" t="str">
        <f>_xlfn.IFNA(VLOOKUP($BK42,Programma!$F$3:$J$1101,5,0),"")</f>
        <v/>
      </c>
      <c r="BP42" s="448" t="str">
        <f>_xlfn.IFNA(VLOOKUP($BK42,Programma!$F$3:$K$1101,6,0),"")</f>
        <v/>
      </c>
      <c r="BQ42" s="448" t="str">
        <f>_xlfn.IFNA(VLOOKUP($BK42,Programma!$F$3:$L$1101,7,0),"")</f>
        <v/>
      </c>
      <c r="BR42" s="448" t="str">
        <f>_xlfn.IFNA(VLOOKUP($BK42,Programma!$F$3:$M$1101,8,0),"")</f>
        <v/>
      </c>
      <c r="BS42" s="448" t="str">
        <f>_xlfn.IFNA(VLOOKUP($BK42,Programma!$F$3:$N$1101,9,0),"")</f>
        <v/>
      </c>
      <c r="BT42" s="448" t="str">
        <f>_xlfn.IFNA(VLOOKUP($BK42,Programma!$F$3:$O$1101,10,0),"")</f>
        <v/>
      </c>
      <c r="BU42" s="448" t="str">
        <f>_xlfn.IFNA(VLOOKUP($BK42,Programma!$F$3:$P$1101,11,0),"")</f>
        <v/>
      </c>
      <c r="BV42" s="448" t="str">
        <f>_xlfn.IFNA(VLOOKUP($BK42,Programma!$F$3:$Q$1101,12,0),"")</f>
        <v/>
      </c>
      <c r="BW42" s="448" t="str">
        <f>_xlfn.IFNA(VLOOKUP($BK42,Programma!$F$3:$R$1101,13,0),"")</f>
        <v/>
      </c>
      <c r="BX42" s="448" t="str">
        <f>_xlfn.IFNA(VLOOKUP($BK42,Programma!$F$3:$S$1101,14,0),"")</f>
        <v/>
      </c>
      <c r="BY42" s="448" t="str">
        <f>_xlfn.IFNA(VLOOKUP($BK42,Programma!$F$3:$T$1101,15,0),"")</f>
        <v/>
      </c>
      <c r="BZ42" s="448" t="str">
        <f>_xlfn.IFNA(VLOOKUP($BK42,Programma!$F$3:$U$1101,16,0),"")</f>
        <v/>
      </c>
      <c r="CA42" s="448" t="str">
        <f>_xlfn.IFNA(VLOOKUP($BK42,Programma!$F$3:$V$1101,17,0),"")</f>
        <v/>
      </c>
      <c r="CB42" s="448" t="str">
        <f>_xlfn.IFNA(VLOOKUP($BK42,Programma!$F$3:$W$1101,18,0),"")</f>
        <v/>
      </c>
      <c r="CC42" s="448" t="str">
        <f>_xlfn.IFNA(VLOOKUP($BK42,Programma!$F$3:$X$1101,19,0),"")</f>
        <v/>
      </c>
      <c r="CD42" s="448" t="str">
        <f>_xlfn.IFNA(VLOOKUP($BK42,Programma!$F$3:$Y$1101,20,0),"")</f>
        <v/>
      </c>
      <c r="CE42" s="327"/>
      <c r="CF42" s="327"/>
      <c r="CG42" s="327"/>
      <c r="CH42" s="327"/>
      <c r="CI42" s="327"/>
      <c r="CJ42" s="327"/>
      <c r="CK42" s="327"/>
      <c r="CL42" s="327"/>
      <c r="CM42" s="327"/>
      <c r="CN42" s="327"/>
      <c r="CO42" s="327"/>
      <c r="CP42" s="327"/>
      <c r="CQ42" s="327"/>
      <c r="CR42" s="327"/>
      <c r="CS42" s="327"/>
      <c r="CT42" s="327"/>
      <c r="CU42" s="327"/>
      <c r="CV42" s="327"/>
      <c r="CW42" s="327"/>
      <c r="CX42" s="327"/>
      <c r="CY42" s="327"/>
      <c r="CZ42" s="327"/>
      <c r="DA42" s="327"/>
      <c r="DB42" s="327"/>
      <c r="DC42" s="327"/>
      <c r="DD42" s="327"/>
      <c r="DE42" s="327"/>
      <c r="DF42" s="327"/>
      <c r="DG42" s="327"/>
      <c r="DH42" s="327"/>
      <c r="DI42" s="327"/>
      <c r="DJ42" s="327"/>
      <c r="DK42" s="327"/>
      <c r="DL42" s="327"/>
      <c r="DM42" s="327"/>
      <c r="DN42" s="327"/>
      <c r="DO42" s="327"/>
      <c r="DP42" s="327"/>
      <c r="DQ42" s="327"/>
      <c r="DR42" s="327"/>
      <c r="DS42" s="327"/>
      <c r="DT42" s="327"/>
      <c r="DU42" s="327"/>
      <c r="DV42" s="327"/>
      <c r="DW42" s="327"/>
      <c r="DX42" s="327"/>
      <c r="DY42" s="327"/>
      <c r="DZ42" s="327"/>
      <c r="EA42" s="327"/>
      <c r="EB42" s="327"/>
      <c r="EC42" s="327"/>
      <c r="ED42" s="327"/>
      <c r="EE42" s="327"/>
      <c r="EF42" s="327"/>
      <c r="EG42" s="327"/>
      <c r="EH42" s="327"/>
      <c r="EI42" s="327"/>
      <c r="EJ42" s="327"/>
      <c r="EK42" s="327"/>
      <c r="EL42" s="327"/>
      <c r="EM42" s="327"/>
      <c r="EN42" s="327"/>
      <c r="EO42" s="327"/>
      <c r="EP42" s="327"/>
      <c r="EQ42" s="327"/>
      <c r="ER42" s="327"/>
      <c r="ES42" s="327"/>
      <c r="ET42" s="327"/>
      <c r="EU42" s="327"/>
      <c r="EV42" s="327"/>
      <c r="EW42" s="327"/>
      <c r="EX42" s="327"/>
      <c r="EY42" s="327"/>
      <c r="EZ42" s="327"/>
      <c r="FA42" s="327"/>
      <c r="FB42" s="327"/>
      <c r="FC42" s="327"/>
      <c r="FD42" s="327"/>
      <c r="FE42" s="327"/>
      <c r="FF42" s="327"/>
      <c r="FG42" s="327"/>
      <c r="FH42" s="327"/>
      <c r="FI42" s="327"/>
      <c r="FJ42" s="327"/>
      <c r="FK42" s="327"/>
      <c r="FL42" s="327"/>
      <c r="FM42" s="327"/>
      <c r="FN42" s="327"/>
      <c r="FO42" s="327"/>
      <c r="FP42" s="327"/>
      <c r="FQ42" s="327"/>
      <c r="FR42" s="327"/>
      <c r="FS42" s="327"/>
      <c r="FT42" s="327"/>
      <c r="FU42" s="327"/>
      <c r="FV42" s="327"/>
      <c r="FW42" s="327"/>
      <c r="FX42" s="327"/>
      <c r="FY42" s="327"/>
      <c r="FZ42" s="327"/>
      <c r="GA42" s="327"/>
      <c r="GB42" s="327"/>
      <c r="GC42" s="327"/>
      <c r="GD42" s="327"/>
      <c r="GE42" s="327"/>
      <c r="GF42" s="327"/>
      <c r="GG42" s="327"/>
      <c r="GH42" s="327"/>
      <c r="GI42" s="327"/>
      <c r="GJ42" s="327"/>
      <c r="GK42" s="327"/>
      <c r="GL42" s="327"/>
      <c r="GM42" s="327"/>
      <c r="GN42" s="327"/>
      <c r="GO42" s="327"/>
      <c r="GP42" s="327"/>
      <c r="GQ42" s="327"/>
      <c r="GR42" s="327"/>
      <c r="GS42" s="327"/>
      <c r="GT42" s="327"/>
      <c r="GU42" s="327"/>
      <c r="GV42" s="327"/>
      <c r="GW42" s="327"/>
      <c r="GX42" s="327"/>
      <c r="GY42" s="327"/>
      <c r="GZ42" s="327"/>
      <c r="HA42" s="327"/>
      <c r="HB42" s="327"/>
      <c r="HC42" s="327"/>
      <c r="HD42" s="327"/>
      <c r="HE42" s="327"/>
      <c r="HF42" s="327"/>
      <c r="HG42" s="327"/>
      <c r="HH42" s="327"/>
      <c r="HI42" s="327"/>
      <c r="HJ42" s="327"/>
      <c r="HK42" s="327"/>
      <c r="HL42" s="327"/>
      <c r="HM42" s="327"/>
      <c r="HN42" s="327"/>
      <c r="HO42" s="327"/>
      <c r="HP42" s="327"/>
      <c r="HQ42" s="327"/>
      <c r="HR42" s="327"/>
      <c r="HS42" s="327"/>
    </row>
    <row r="43" spans="1:227" ht="15" customHeight="1">
      <c r="A43" s="434">
        <v>3</v>
      </c>
      <c r="B43" s="435" t="str">
        <f>VLOOKUP(Ruimtestaat[[#This Row],[Code]],Locaties[[Code]:[Locatie]],2,FALSE)</f>
        <v>IKC De Saffier</v>
      </c>
      <c r="C43" s="435" t="str">
        <f>VLOOKUP(Ruimtestaat[[#This Row],[Code]],Locaties[[#All],[Code]:[Adres]],4,FALSE)</f>
        <v>Elektrablauw 5</v>
      </c>
      <c r="D43" s="435" t="str">
        <f>VLOOKUP(Ruimtestaat[[#This Row],[Code]],Locaties[[#All],[Code]:[Postcode]],5,FALSE)</f>
        <v>2718 JT</v>
      </c>
      <c r="E43" s="435" t="str">
        <f>VLOOKUP(Ruimtestaat[[#This Row],[Code]],Locaties[#All],6,FALSE)</f>
        <v>Zoetermeer</v>
      </c>
      <c r="F43" s="434"/>
      <c r="G43" s="434" t="s">
        <v>1678</v>
      </c>
      <c r="H43" s="436" t="s">
        <v>1670</v>
      </c>
      <c r="I43" s="437" t="s">
        <v>1679</v>
      </c>
      <c r="J43" s="330">
        <v>16</v>
      </c>
      <c r="K43" s="450" t="str">
        <f>VLOOKUP(Ruimtestaat[[#This Row],[Ruimte code]],Ruimtegroepen[[#All],[Code]:[Ruimte omschrijving]],2,FALSE)</f>
        <v>Leslokalen</v>
      </c>
      <c r="L43" s="434" t="s">
        <v>100</v>
      </c>
      <c r="M43" s="437" t="s">
        <v>1759</v>
      </c>
      <c r="N43" s="439">
        <v>55</v>
      </c>
      <c r="O43" s="439"/>
      <c r="P43" s="439"/>
      <c r="Q43" s="439"/>
      <c r="R43" s="440" t="str">
        <f>VLOOKUP(Ruimtestaat[[#This Row],[Ruimte code]],Ruimtegroepen[],4,FALSE)</f>
        <v>Le</v>
      </c>
      <c r="S43" s="434">
        <v>40</v>
      </c>
      <c r="T43" s="434" t="s">
        <v>2</v>
      </c>
      <c r="U43" s="434">
        <f>IF(S43&gt;0,IF(RIGHT(Ruimtestaat[[#This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 s="434">
        <f>IF(U43&gt;0,VLOOKUP($J43,Ruimtegroepen[],3,FALSE)*VLOOKUP($L43,Vloersoorten[],3,FALSE)*VLOOKUP($T43,Frequenties[],3,FALSE)*VLOOKUP($A43,Locaties[],3,FALSE),0)</f>
        <v>0</v>
      </c>
      <c r="W43" s="434">
        <f>Ruimtestaat[[#This Row],[Uitvoeringen werkdagen]]*Ruimtestaat[[#This Row],[Oppervlak (netto)]]</f>
        <v>11000</v>
      </c>
      <c r="X43" s="441">
        <f>IF(V43&gt;0,Ruimtestaat[[#This Row],[Prest. (m2 /jaar) werkdagen]]/Ruimtestaat[[#This Row],[Norm (m2/uur) werkdagen]],0)</f>
        <v>0</v>
      </c>
      <c r="Y43" s="442">
        <f>Ruimtestaat[[#This Row],[Uitvoeringen werkdagen]]*Ruimtestaat[[#This Row],[Gedeeltelijk]]</f>
        <v>0</v>
      </c>
      <c r="Z43" s="443" t="e">
        <f>IF(U43&gt;0,Ruimtestaat[[#This Row],[Prest. (m2 / jaar) werkdagen gedeeld]]/Ruimtestaat[[#This Row],[Norm (m2/uur) werkdagen]],0)</f>
        <v>#DIV/0!</v>
      </c>
      <c r="AA43" s="441" t="e">
        <f>Ruimtestaat[[#This Row],[uren / jaar werkdagen gedeeld]]*Tariefsopbouw!$E$35</f>
        <v>#DIV/0!</v>
      </c>
      <c r="AB43" s="441">
        <f>Ruimtestaat[[#This Row],[Uitvoeringen werkdagen]]*Ruimtestaat[[#This Row],[BSO]]</f>
        <v>0</v>
      </c>
      <c r="AC43" s="443" t="e">
        <f>IF(U43&gt;0,Ruimtestaat[[#This Row],[Prest. (m2 / jaar) werkdagen BSO]]/Ruimtestaat[[#This Row],[Norm (m2/uur) werkdagen]],0)</f>
        <v>#DIV/0!</v>
      </c>
      <c r="AD43" s="443" t="e">
        <f>Ruimtestaat[[#This Row],[uren / jaar werkdagen BSO]]*Tariefsopbouw!$E$35</f>
        <v>#DIV/0!</v>
      </c>
      <c r="AE43" s="444">
        <f>Ruimtestaat[[#This Row],[uren / jaar werkdagen]]*Tariefsopbouw!$E$35</f>
        <v>0</v>
      </c>
      <c r="AF43" s="434"/>
      <c r="AG43" s="434">
        <f>IF(Ruimtestaat[[#This Row],[Frequentie weekend]]&gt;0,VALUE(LEFT(AF43,1))*S43,0)</f>
        <v>0</v>
      </c>
      <c r="AH43" s="445">
        <f>IF($AG43&gt;0,VLOOKUP($J43,Ruimtegroepen[],3,FALSE)*VLOOKUP($L43,Vloersoorten[],3,FALSE)*VLOOKUP($AF43,Frequenties[],3,FALSE)*VLOOKUP(Ruimtestaat[[#This Row],[Code]],Locaties[],3,FALSE),0)</f>
        <v>0</v>
      </c>
      <c r="AI43" s="445">
        <f>Ruimtestaat[[#This Row],[Uitvoeringen weekend]]*Ruimtestaat[[#This Row],[Oppervlak (netto)]]</f>
        <v>0</v>
      </c>
      <c r="AJ43" s="445">
        <f>IF(AH43&gt;0,Ruimtestaat[[#This Row],[Prest. (m2 /jaar) weekend]]/Ruimtestaat[[#This Row],[Norm (m2/uur) weekend]],0)</f>
        <v>0</v>
      </c>
      <c r="AK43" s="444">
        <f>Ruimtestaat[[#This Row],[uren / jaar weekend]]*Tariefsopbouw!$D$40</f>
        <v>0</v>
      </c>
      <c r="AL43" s="441">
        <f>Ruimtestaat[[#This Row],[Prest. (m2 /jaar) weekend]]+Ruimtestaat[[#This Row],[Prest. (m2 /jaar) werkdagen]]</f>
        <v>11000</v>
      </c>
      <c r="AM43" s="441">
        <f>Ruimtestaat[[#This Row],[uren / jaar weekend]]+Ruimtestaat[[#This Row],[uren / jaar werkdagen]]</f>
        <v>0</v>
      </c>
      <c r="AN43" s="446">
        <f>Ruimtestaat[[#This Row],[kosten / jaar weekend]]+Ruimtestaat[[#This Row],[kosten / jaar werkdagen]]</f>
        <v>0</v>
      </c>
      <c r="AO43" s="446"/>
      <c r="AP43" s="447" t="str">
        <f>IF(Ruimtestaat[[#This Row],[Frequentie werkdagen]]="","",_xlfn.CONCAT(Ruimtestaat[[#This Row],[Ruimte code]],"-",Ruimtestaat[[#This Row],[Frequentie werkdagen]]," ",Ruimtestaat[[#This Row],[Vloer code]]))</f>
        <v>16-5w L</v>
      </c>
      <c r="AQ43" s="448" t="str">
        <f>_xlfn.IFNA(VLOOKUP($AP43,Programma!$F$3:$G$1101,2,0),"")</f>
        <v>_</v>
      </c>
      <c r="AR43" s="448" t="str">
        <f>_xlfn.IFNA(VLOOKUP($AP43,Programma!$F$3:$H$1101,3,0),"")</f>
        <v>_</v>
      </c>
      <c r="AS43" s="448" t="str">
        <f>_xlfn.IFNA(VLOOKUP($AP43,Programma!$F$3:$I$1101,4,0),"")</f>
        <v>4w</v>
      </c>
      <c r="AT43" s="448" t="str">
        <f>_xlfn.IFNA(VLOOKUP($AP43,Programma!$F$3:$J$1101,5,0),"")</f>
        <v>1w</v>
      </c>
      <c r="AU43" s="448" t="str">
        <f>_xlfn.IFNA(VLOOKUP($AP43,Programma!$F$3:$K$1101,6,0),"")</f>
        <v>_</v>
      </c>
      <c r="AV43" s="448" t="str">
        <f>_xlfn.IFNA(VLOOKUP($AP43,Programma!$F$3:$L$1101,7,0),"")</f>
        <v>_</v>
      </c>
      <c r="AW43" s="448" t="str">
        <f>_xlfn.IFNA(VLOOKUP($AP43,Programma!$F$3:$M$1101,8,0),"")</f>
        <v>_</v>
      </c>
      <c r="AX43" s="448" t="str">
        <f>_xlfn.IFNA(VLOOKUP($AP43,Programma!$F$3:$N$1101,9,0),"")</f>
        <v>_</v>
      </c>
      <c r="AY43" s="448" t="str">
        <f>_xlfn.IFNA(VLOOKUP($AP43,Programma!$F$3:$O$1101,10,0),"")</f>
        <v>5w</v>
      </c>
      <c r="AZ43" s="448" t="str">
        <f>_xlfn.IFNA(VLOOKUP($AP43,Programma!$F$3:$P$1101,11,0),"")</f>
        <v>5w</v>
      </c>
      <c r="BA43" s="448" t="str">
        <f>_xlfn.IFNA(VLOOKUP($AP43,Programma!$F$3:$Q$1101,12,0),"")</f>
        <v>1w</v>
      </c>
      <c r="BB43" s="448" t="str">
        <f>_xlfn.IFNA(VLOOKUP($AP43,Programma!$F$3:$R$1101,13,0),"")</f>
        <v>1w</v>
      </c>
      <c r="BC43" s="448" t="str">
        <f>_xlfn.IFNA(VLOOKUP($AP43,Programma!$F$3:$S$1101,14,0),"")</f>
        <v>1m</v>
      </c>
      <c r="BD43" s="448" t="str">
        <f>_xlfn.IFNA(VLOOKUP($AP43,Programma!$F$3:$T$1101,15,0),"")</f>
        <v>2j</v>
      </c>
      <c r="BE43" s="448" t="str">
        <f>_xlfn.IFNA(VLOOKUP($AP43,Programma!$F$3:$U$1101,16,0),"")</f>
        <v>1j</v>
      </c>
      <c r="BF43" s="448" t="str">
        <f>_xlfn.IFNA(VLOOKUP($AP43,Programma!$F$3:$V$1101,17,0),"")</f>
        <v>_</v>
      </c>
      <c r="BG43" s="448" t="str">
        <f>_xlfn.IFNA(VLOOKUP($AP43,Programma!$F$3:$W$1101,18,0),"")</f>
        <v>_</v>
      </c>
      <c r="BH43" s="448" t="str">
        <f>_xlfn.IFNA(VLOOKUP($AP43,Programma!$F$3:$X$1101,19,0),"")</f>
        <v>_</v>
      </c>
      <c r="BI43" s="448" t="str">
        <f>_xlfn.IFNA(VLOOKUP($AP43,Programma!$F$3:$Y$1101,20,0),"")</f>
        <v>_</v>
      </c>
      <c r="BJ43" s="449"/>
      <c r="BK43" s="447" t="str">
        <f>IF(Ruimtestaat[[#This Row],[Frequentie weekend]]="","",_xlfn.CONCAT(Ruimtestaat[[#This Row],[Ruimte code]],"-",Ruimtestaat[[#This Row],[Frequentie weekend]]," ",Ruimtestaat[[#This Row],[Vloer code]]))</f>
        <v/>
      </c>
      <c r="BL43" s="448" t="str">
        <f>_xlfn.IFNA(VLOOKUP($BK43,Programma!$F$3:$G$1101,2,0),"")</f>
        <v/>
      </c>
      <c r="BM43" s="448" t="str">
        <f>_xlfn.IFNA(VLOOKUP($BK43,Programma!$F$3:$H$1101,3,0),"")</f>
        <v/>
      </c>
      <c r="BN43" s="448" t="str">
        <f>_xlfn.IFNA(VLOOKUP($BK43,Programma!$F$3:$I$1101,4,0),"")</f>
        <v/>
      </c>
      <c r="BO43" s="448" t="str">
        <f>_xlfn.IFNA(VLOOKUP($BK43,Programma!$F$3:$J$1101,5,0),"")</f>
        <v/>
      </c>
      <c r="BP43" s="448" t="str">
        <f>_xlfn.IFNA(VLOOKUP($BK43,Programma!$F$3:$K$1101,6,0),"")</f>
        <v/>
      </c>
      <c r="BQ43" s="448" t="str">
        <f>_xlfn.IFNA(VLOOKUP($BK43,Programma!$F$3:$L$1101,7,0),"")</f>
        <v/>
      </c>
      <c r="BR43" s="448" t="str">
        <f>_xlfn.IFNA(VLOOKUP($BK43,Programma!$F$3:$M$1101,8,0),"")</f>
        <v/>
      </c>
      <c r="BS43" s="448" t="str">
        <f>_xlfn.IFNA(VLOOKUP($BK43,Programma!$F$3:$N$1101,9,0),"")</f>
        <v/>
      </c>
      <c r="BT43" s="448" t="str">
        <f>_xlfn.IFNA(VLOOKUP($BK43,Programma!$F$3:$O$1101,10,0),"")</f>
        <v/>
      </c>
      <c r="BU43" s="448" t="str">
        <f>_xlfn.IFNA(VLOOKUP($BK43,Programma!$F$3:$P$1101,11,0),"")</f>
        <v/>
      </c>
      <c r="BV43" s="448" t="str">
        <f>_xlfn.IFNA(VLOOKUP($BK43,Programma!$F$3:$Q$1101,12,0),"")</f>
        <v/>
      </c>
      <c r="BW43" s="448" t="str">
        <f>_xlfn.IFNA(VLOOKUP($BK43,Programma!$F$3:$R$1101,13,0),"")</f>
        <v/>
      </c>
      <c r="BX43" s="448" t="str">
        <f>_xlfn.IFNA(VLOOKUP($BK43,Programma!$F$3:$S$1101,14,0),"")</f>
        <v/>
      </c>
      <c r="BY43" s="448" t="str">
        <f>_xlfn.IFNA(VLOOKUP($BK43,Programma!$F$3:$T$1101,15,0),"")</f>
        <v/>
      </c>
      <c r="BZ43" s="448" t="str">
        <f>_xlfn.IFNA(VLOOKUP($BK43,Programma!$F$3:$U$1101,16,0),"")</f>
        <v/>
      </c>
      <c r="CA43" s="448" t="str">
        <f>_xlfn.IFNA(VLOOKUP($BK43,Programma!$F$3:$V$1101,17,0),"")</f>
        <v/>
      </c>
      <c r="CB43" s="448" t="str">
        <f>_xlfn.IFNA(VLOOKUP($BK43,Programma!$F$3:$W$1101,18,0),"")</f>
        <v/>
      </c>
      <c r="CC43" s="448" t="str">
        <f>_xlfn.IFNA(VLOOKUP($BK43,Programma!$F$3:$X$1101,19,0),"")</f>
        <v/>
      </c>
      <c r="CD43" s="448" t="str">
        <f>_xlfn.IFNA(VLOOKUP($BK43,Programma!$F$3:$Y$1101,20,0),"")</f>
        <v/>
      </c>
      <c r="CE43" s="327"/>
      <c r="CF43" s="327"/>
      <c r="CG43" s="327"/>
      <c r="CH43" s="327"/>
      <c r="CI43" s="327"/>
      <c r="CJ43" s="327"/>
      <c r="CK43" s="327"/>
      <c r="CL43" s="327"/>
      <c r="CM43" s="327"/>
      <c r="CN43" s="327"/>
      <c r="CO43" s="327"/>
      <c r="CP43" s="327"/>
      <c r="CQ43" s="327"/>
      <c r="CR43" s="327"/>
      <c r="CS43" s="327"/>
      <c r="CT43" s="327"/>
      <c r="CU43" s="327"/>
      <c r="CV43" s="327"/>
      <c r="CW43" s="327"/>
      <c r="CX43" s="327"/>
      <c r="CY43" s="327"/>
      <c r="CZ43" s="327"/>
      <c r="DA43" s="327"/>
      <c r="DB43" s="327"/>
      <c r="DC43" s="327"/>
      <c r="DD43" s="327"/>
      <c r="DE43" s="327"/>
      <c r="DF43" s="327"/>
      <c r="DG43" s="327"/>
      <c r="DH43" s="327"/>
      <c r="DI43" s="327"/>
      <c r="DJ43" s="327"/>
      <c r="DK43" s="327"/>
      <c r="DL43" s="327"/>
      <c r="DM43" s="327"/>
      <c r="DN43" s="327"/>
      <c r="DO43" s="327"/>
      <c r="DP43" s="327"/>
      <c r="DQ43" s="327"/>
      <c r="DR43" s="327"/>
      <c r="DS43" s="327"/>
      <c r="DT43" s="327"/>
      <c r="DU43" s="327"/>
      <c r="DV43" s="327"/>
      <c r="DW43" s="327"/>
      <c r="DX43" s="327"/>
      <c r="DY43" s="327"/>
      <c r="DZ43" s="327"/>
      <c r="EA43" s="327"/>
      <c r="EB43" s="327"/>
      <c r="EC43" s="327"/>
      <c r="ED43" s="327"/>
      <c r="EE43" s="327"/>
      <c r="EF43" s="327"/>
      <c r="EG43" s="327"/>
      <c r="EH43" s="327"/>
      <c r="EI43" s="327"/>
      <c r="EJ43" s="327"/>
      <c r="EK43" s="327"/>
      <c r="EL43" s="327"/>
      <c r="EM43" s="327"/>
      <c r="EN43" s="327"/>
      <c r="EO43" s="327"/>
      <c r="EP43" s="327"/>
      <c r="EQ43" s="327"/>
      <c r="ER43" s="327"/>
      <c r="ES43" s="327"/>
      <c r="ET43" s="327"/>
      <c r="EU43" s="327"/>
      <c r="EV43" s="327"/>
      <c r="EW43" s="327"/>
      <c r="EX43" s="327"/>
      <c r="EY43" s="327"/>
      <c r="EZ43" s="327"/>
      <c r="FA43" s="327"/>
      <c r="FB43" s="327"/>
      <c r="FC43" s="327"/>
      <c r="FD43" s="327"/>
      <c r="FE43" s="327"/>
      <c r="FF43" s="327"/>
      <c r="FG43" s="327"/>
      <c r="FH43" s="327"/>
      <c r="FI43" s="327"/>
      <c r="FJ43" s="327"/>
      <c r="FK43" s="327"/>
      <c r="FL43" s="327"/>
      <c r="FM43" s="327"/>
      <c r="FN43" s="327"/>
      <c r="FO43" s="327"/>
      <c r="FP43" s="327"/>
      <c r="FQ43" s="327"/>
      <c r="FR43" s="327"/>
      <c r="FS43" s="327"/>
      <c r="FT43" s="327"/>
      <c r="FU43" s="327"/>
      <c r="FV43" s="327"/>
      <c r="FW43" s="327"/>
      <c r="FX43" s="327"/>
      <c r="FY43" s="327"/>
      <c r="FZ43" s="327"/>
      <c r="GA43" s="327"/>
      <c r="GB43" s="327"/>
      <c r="GC43" s="327"/>
      <c r="GD43" s="327"/>
      <c r="GE43" s="327"/>
      <c r="GF43" s="327"/>
      <c r="GG43" s="327"/>
      <c r="GH43" s="327"/>
      <c r="GI43" s="327"/>
      <c r="GJ43" s="327"/>
      <c r="GK43" s="327"/>
      <c r="GL43" s="327"/>
      <c r="GM43" s="327"/>
      <c r="GN43" s="327"/>
      <c r="GO43" s="327"/>
      <c r="GP43" s="327"/>
      <c r="GQ43" s="327"/>
      <c r="GR43" s="327"/>
      <c r="GS43" s="327"/>
      <c r="GT43" s="327"/>
      <c r="GU43" s="327"/>
      <c r="GV43" s="327"/>
      <c r="GW43" s="327"/>
      <c r="GX43" s="327"/>
      <c r="GY43" s="327"/>
      <c r="GZ43" s="327"/>
      <c r="HA43" s="327"/>
      <c r="HB43" s="327"/>
      <c r="HC43" s="327"/>
      <c r="HD43" s="327"/>
      <c r="HE43" s="327"/>
      <c r="HF43" s="327"/>
      <c r="HG43" s="327"/>
      <c r="HH43" s="327"/>
      <c r="HI43" s="327"/>
      <c r="HJ43" s="327"/>
      <c r="HK43" s="327"/>
      <c r="HL43" s="327"/>
      <c r="HM43" s="327"/>
      <c r="HN43" s="327"/>
      <c r="HO43" s="327"/>
      <c r="HP43" s="327"/>
      <c r="HQ43" s="327"/>
      <c r="HR43" s="327"/>
      <c r="HS43" s="327"/>
    </row>
    <row r="44" spans="1:227" ht="15" customHeight="1">
      <c r="A44" s="434">
        <v>3</v>
      </c>
      <c r="B44" s="435" t="str">
        <f>VLOOKUP(Ruimtestaat[[#This Row],[Code]],Locaties[[Code]:[Locatie]],2,FALSE)</f>
        <v>IKC De Saffier</v>
      </c>
      <c r="C44" s="435" t="str">
        <f>VLOOKUP(Ruimtestaat[[#This Row],[Code]],Locaties[[#All],[Code]:[Adres]],4,FALSE)</f>
        <v>Elektrablauw 5</v>
      </c>
      <c r="D44" s="435" t="str">
        <f>VLOOKUP(Ruimtestaat[[#This Row],[Code]],Locaties[[#All],[Code]:[Postcode]],5,FALSE)</f>
        <v>2718 JT</v>
      </c>
      <c r="E44" s="435" t="str">
        <f>VLOOKUP(Ruimtestaat[[#This Row],[Code]],Locaties[#All],6,FALSE)</f>
        <v>Zoetermeer</v>
      </c>
      <c r="F44" s="434"/>
      <c r="G44" s="434" t="s">
        <v>1678</v>
      </c>
      <c r="H44" s="436" t="s">
        <v>1672</v>
      </c>
      <c r="I44" s="437" t="s">
        <v>1679</v>
      </c>
      <c r="J44" s="330">
        <v>16</v>
      </c>
      <c r="K44" s="450" t="str">
        <f>VLOOKUP(Ruimtestaat[[#This Row],[Ruimte code]],Ruimtegroepen[[#All],[Code]:[Ruimte omschrijving]],2,FALSE)</f>
        <v>Leslokalen</v>
      </c>
      <c r="L44" s="434" t="s">
        <v>100</v>
      </c>
      <c r="M44" s="437" t="s">
        <v>1759</v>
      </c>
      <c r="N44" s="439">
        <v>55</v>
      </c>
      <c r="O44" s="439"/>
      <c r="P44" s="439"/>
      <c r="Q44" s="439"/>
      <c r="R44" s="440" t="str">
        <f>VLOOKUP(Ruimtestaat[[#This Row],[Ruimte code]],Ruimtegroepen[],4,FALSE)</f>
        <v>Le</v>
      </c>
      <c r="S44" s="434">
        <v>40</v>
      </c>
      <c r="T44" s="434" t="s">
        <v>2</v>
      </c>
      <c r="U44" s="434">
        <f>IF(S44&gt;0,IF(RIGHT(Ruimtestaat[[#This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 s="434">
        <f>IF(U44&gt;0,VLOOKUP($J44,Ruimtegroepen[],3,FALSE)*VLOOKUP($L44,Vloersoorten[],3,FALSE)*VLOOKUP($T44,Frequenties[],3,FALSE)*VLOOKUP($A44,Locaties[],3,FALSE),0)</f>
        <v>0</v>
      </c>
      <c r="W44" s="434">
        <f>Ruimtestaat[[#This Row],[Uitvoeringen werkdagen]]*Ruimtestaat[[#This Row],[Oppervlak (netto)]]</f>
        <v>11000</v>
      </c>
      <c r="X44" s="441">
        <f>IF(V44&gt;0,Ruimtestaat[[#This Row],[Prest. (m2 /jaar) werkdagen]]/Ruimtestaat[[#This Row],[Norm (m2/uur) werkdagen]],0)</f>
        <v>0</v>
      </c>
      <c r="Y44" s="442">
        <f>Ruimtestaat[[#This Row],[Uitvoeringen werkdagen]]*Ruimtestaat[[#This Row],[Gedeeltelijk]]</f>
        <v>0</v>
      </c>
      <c r="Z44" s="443" t="e">
        <f>IF(U44&gt;0,Ruimtestaat[[#This Row],[Prest. (m2 / jaar) werkdagen gedeeld]]/Ruimtestaat[[#This Row],[Norm (m2/uur) werkdagen]],0)</f>
        <v>#DIV/0!</v>
      </c>
      <c r="AA44" s="441" t="e">
        <f>Ruimtestaat[[#This Row],[uren / jaar werkdagen gedeeld]]*Tariefsopbouw!$E$35</f>
        <v>#DIV/0!</v>
      </c>
      <c r="AB44" s="441">
        <f>Ruimtestaat[[#This Row],[Uitvoeringen werkdagen]]*Ruimtestaat[[#This Row],[BSO]]</f>
        <v>0</v>
      </c>
      <c r="AC44" s="443" t="e">
        <f>IF(U44&gt;0,Ruimtestaat[[#This Row],[Prest. (m2 / jaar) werkdagen BSO]]/Ruimtestaat[[#This Row],[Norm (m2/uur) werkdagen]],0)</f>
        <v>#DIV/0!</v>
      </c>
      <c r="AD44" s="443" t="e">
        <f>Ruimtestaat[[#This Row],[uren / jaar werkdagen BSO]]*Tariefsopbouw!$E$35</f>
        <v>#DIV/0!</v>
      </c>
      <c r="AE44" s="444">
        <f>Ruimtestaat[[#This Row],[uren / jaar werkdagen]]*Tariefsopbouw!$E$35</f>
        <v>0</v>
      </c>
      <c r="AF44" s="434"/>
      <c r="AG44" s="434">
        <f>IF(Ruimtestaat[[#This Row],[Frequentie weekend]]&gt;0,VALUE(LEFT(AF44,1))*S44,0)</f>
        <v>0</v>
      </c>
      <c r="AH44" s="445">
        <f>IF($AG44&gt;0,VLOOKUP($J44,Ruimtegroepen[],3,FALSE)*VLOOKUP($L44,Vloersoorten[],3,FALSE)*VLOOKUP($AF44,Frequenties[],3,FALSE)*VLOOKUP(Ruimtestaat[[#This Row],[Code]],Locaties[],3,FALSE),0)</f>
        <v>0</v>
      </c>
      <c r="AI44" s="445">
        <f>Ruimtestaat[[#This Row],[Uitvoeringen weekend]]*Ruimtestaat[[#This Row],[Oppervlak (netto)]]</f>
        <v>0</v>
      </c>
      <c r="AJ44" s="445">
        <f>IF(AH44&gt;0,Ruimtestaat[[#This Row],[Prest. (m2 /jaar) weekend]]/Ruimtestaat[[#This Row],[Norm (m2/uur) weekend]],0)</f>
        <v>0</v>
      </c>
      <c r="AK44" s="444">
        <f>Ruimtestaat[[#This Row],[uren / jaar weekend]]*Tariefsopbouw!$D$40</f>
        <v>0</v>
      </c>
      <c r="AL44" s="441">
        <f>Ruimtestaat[[#This Row],[Prest. (m2 /jaar) weekend]]+Ruimtestaat[[#This Row],[Prest. (m2 /jaar) werkdagen]]</f>
        <v>11000</v>
      </c>
      <c r="AM44" s="441">
        <f>Ruimtestaat[[#This Row],[uren / jaar weekend]]+Ruimtestaat[[#This Row],[uren / jaar werkdagen]]</f>
        <v>0</v>
      </c>
      <c r="AN44" s="446">
        <f>Ruimtestaat[[#This Row],[kosten / jaar weekend]]+Ruimtestaat[[#This Row],[kosten / jaar werkdagen]]</f>
        <v>0</v>
      </c>
      <c r="AO44" s="446"/>
      <c r="AP44" s="447" t="str">
        <f>IF(Ruimtestaat[[#This Row],[Frequentie werkdagen]]="","",_xlfn.CONCAT(Ruimtestaat[[#This Row],[Ruimte code]],"-",Ruimtestaat[[#This Row],[Frequentie werkdagen]]," ",Ruimtestaat[[#This Row],[Vloer code]]))</f>
        <v>16-5w L</v>
      </c>
      <c r="AQ44" s="448" t="str">
        <f>_xlfn.IFNA(VLOOKUP($AP44,Programma!$F$3:$G$1101,2,0),"")</f>
        <v>_</v>
      </c>
      <c r="AR44" s="448" t="str">
        <f>_xlfn.IFNA(VLOOKUP($AP44,Programma!$F$3:$H$1101,3,0),"")</f>
        <v>_</v>
      </c>
      <c r="AS44" s="448" t="str">
        <f>_xlfn.IFNA(VLOOKUP($AP44,Programma!$F$3:$I$1101,4,0),"")</f>
        <v>4w</v>
      </c>
      <c r="AT44" s="448" t="str">
        <f>_xlfn.IFNA(VLOOKUP($AP44,Programma!$F$3:$J$1101,5,0),"")</f>
        <v>1w</v>
      </c>
      <c r="AU44" s="448" t="str">
        <f>_xlfn.IFNA(VLOOKUP($AP44,Programma!$F$3:$K$1101,6,0),"")</f>
        <v>_</v>
      </c>
      <c r="AV44" s="448" t="str">
        <f>_xlfn.IFNA(VLOOKUP($AP44,Programma!$F$3:$L$1101,7,0),"")</f>
        <v>_</v>
      </c>
      <c r="AW44" s="448" t="str">
        <f>_xlfn.IFNA(VLOOKUP($AP44,Programma!$F$3:$M$1101,8,0),"")</f>
        <v>_</v>
      </c>
      <c r="AX44" s="448" t="str">
        <f>_xlfn.IFNA(VLOOKUP($AP44,Programma!$F$3:$N$1101,9,0),"")</f>
        <v>_</v>
      </c>
      <c r="AY44" s="448" t="str">
        <f>_xlfn.IFNA(VLOOKUP($AP44,Programma!$F$3:$O$1101,10,0),"")</f>
        <v>5w</v>
      </c>
      <c r="AZ44" s="448" t="str">
        <f>_xlfn.IFNA(VLOOKUP($AP44,Programma!$F$3:$P$1101,11,0),"")</f>
        <v>5w</v>
      </c>
      <c r="BA44" s="448" t="str">
        <f>_xlfn.IFNA(VLOOKUP($AP44,Programma!$F$3:$Q$1101,12,0),"")</f>
        <v>1w</v>
      </c>
      <c r="BB44" s="448" t="str">
        <f>_xlfn.IFNA(VLOOKUP($AP44,Programma!$F$3:$R$1101,13,0),"")</f>
        <v>1w</v>
      </c>
      <c r="BC44" s="448" t="str">
        <f>_xlfn.IFNA(VLOOKUP($AP44,Programma!$F$3:$S$1101,14,0),"")</f>
        <v>1m</v>
      </c>
      <c r="BD44" s="448" t="str">
        <f>_xlfn.IFNA(VLOOKUP($AP44,Programma!$F$3:$T$1101,15,0),"")</f>
        <v>2j</v>
      </c>
      <c r="BE44" s="448" t="str">
        <f>_xlfn.IFNA(VLOOKUP($AP44,Programma!$F$3:$U$1101,16,0),"")</f>
        <v>1j</v>
      </c>
      <c r="BF44" s="448" t="str">
        <f>_xlfn.IFNA(VLOOKUP($AP44,Programma!$F$3:$V$1101,17,0),"")</f>
        <v>_</v>
      </c>
      <c r="BG44" s="448" t="str">
        <f>_xlfn.IFNA(VLOOKUP($AP44,Programma!$F$3:$W$1101,18,0),"")</f>
        <v>_</v>
      </c>
      <c r="BH44" s="448" t="str">
        <f>_xlfn.IFNA(VLOOKUP($AP44,Programma!$F$3:$X$1101,19,0),"")</f>
        <v>_</v>
      </c>
      <c r="BI44" s="448" t="str">
        <f>_xlfn.IFNA(VLOOKUP($AP44,Programma!$F$3:$Y$1101,20,0),"")</f>
        <v>_</v>
      </c>
      <c r="BJ44" s="449"/>
      <c r="BK44" s="447" t="str">
        <f>IF(Ruimtestaat[[#This Row],[Frequentie weekend]]="","",_xlfn.CONCAT(Ruimtestaat[[#This Row],[Ruimte code]],"-",Ruimtestaat[[#This Row],[Frequentie weekend]]," ",Ruimtestaat[[#This Row],[Vloer code]]))</f>
        <v/>
      </c>
      <c r="BL44" s="448" t="str">
        <f>_xlfn.IFNA(VLOOKUP($BK44,Programma!$F$3:$G$1101,2,0),"")</f>
        <v/>
      </c>
      <c r="BM44" s="448" t="str">
        <f>_xlfn.IFNA(VLOOKUP($BK44,Programma!$F$3:$H$1101,3,0),"")</f>
        <v/>
      </c>
      <c r="BN44" s="448" t="str">
        <f>_xlfn.IFNA(VLOOKUP($BK44,Programma!$F$3:$I$1101,4,0),"")</f>
        <v/>
      </c>
      <c r="BO44" s="448" t="str">
        <f>_xlfn.IFNA(VLOOKUP($BK44,Programma!$F$3:$J$1101,5,0),"")</f>
        <v/>
      </c>
      <c r="BP44" s="448" t="str">
        <f>_xlfn.IFNA(VLOOKUP($BK44,Programma!$F$3:$K$1101,6,0),"")</f>
        <v/>
      </c>
      <c r="BQ44" s="448" t="str">
        <f>_xlfn.IFNA(VLOOKUP($BK44,Programma!$F$3:$L$1101,7,0),"")</f>
        <v/>
      </c>
      <c r="BR44" s="448" t="str">
        <f>_xlfn.IFNA(VLOOKUP($BK44,Programma!$F$3:$M$1101,8,0),"")</f>
        <v/>
      </c>
      <c r="BS44" s="448" t="str">
        <f>_xlfn.IFNA(VLOOKUP($BK44,Programma!$F$3:$N$1101,9,0),"")</f>
        <v/>
      </c>
      <c r="BT44" s="448" t="str">
        <f>_xlfn.IFNA(VLOOKUP($BK44,Programma!$F$3:$O$1101,10,0),"")</f>
        <v/>
      </c>
      <c r="BU44" s="448" t="str">
        <f>_xlfn.IFNA(VLOOKUP($BK44,Programma!$F$3:$P$1101,11,0),"")</f>
        <v/>
      </c>
      <c r="BV44" s="448" t="str">
        <f>_xlfn.IFNA(VLOOKUP($BK44,Programma!$F$3:$Q$1101,12,0),"")</f>
        <v/>
      </c>
      <c r="BW44" s="448" t="str">
        <f>_xlfn.IFNA(VLOOKUP($BK44,Programma!$F$3:$R$1101,13,0),"")</f>
        <v/>
      </c>
      <c r="BX44" s="448" t="str">
        <f>_xlfn.IFNA(VLOOKUP($BK44,Programma!$F$3:$S$1101,14,0),"")</f>
        <v/>
      </c>
      <c r="BY44" s="448" t="str">
        <f>_xlfn.IFNA(VLOOKUP($BK44,Programma!$F$3:$T$1101,15,0),"")</f>
        <v/>
      </c>
      <c r="BZ44" s="448" t="str">
        <f>_xlfn.IFNA(VLOOKUP($BK44,Programma!$F$3:$U$1101,16,0),"")</f>
        <v/>
      </c>
      <c r="CA44" s="448" t="str">
        <f>_xlfn.IFNA(VLOOKUP($BK44,Programma!$F$3:$V$1101,17,0),"")</f>
        <v/>
      </c>
      <c r="CB44" s="448" t="str">
        <f>_xlfn.IFNA(VLOOKUP($BK44,Programma!$F$3:$W$1101,18,0),"")</f>
        <v/>
      </c>
      <c r="CC44" s="448" t="str">
        <f>_xlfn.IFNA(VLOOKUP($BK44,Programma!$F$3:$X$1101,19,0),"")</f>
        <v/>
      </c>
      <c r="CD44" s="448" t="str">
        <f>_xlfn.IFNA(VLOOKUP($BK44,Programma!$F$3:$Y$1101,20,0),"")</f>
        <v/>
      </c>
      <c r="CE44" s="327"/>
      <c r="CF44" s="327"/>
      <c r="CG44" s="327"/>
      <c r="CH44" s="327"/>
      <c r="CI44" s="327"/>
      <c r="CJ44" s="327"/>
      <c r="CK44" s="327"/>
      <c r="CL44" s="327"/>
      <c r="CM44" s="327"/>
      <c r="CN44" s="327"/>
      <c r="CO44" s="327"/>
      <c r="CP44" s="327"/>
      <c r="CQ44" s="327"/>
      <c r="CR44" s="327"/>
      <c r="CS44" s="327"/>
      <c r="CT44" s="327"/>
      <c r="CU44" s="327"/>
      <c r="CV44" s="327"/>
      <c r="CW44" s="327"/>
      <c r="CX44" s="327"/>
      <c r="CY44" s="327"/>
      <c r="CZ44" s="327"/>
      <c r="DA44" s="327"/>
      <c r="DB44" s="327"/>
      <c r="DC44" s="327"/>
      <c r="DD44" s="327"/>
      <c r="DE44" s="327"/>
      <c r="DF44" s="327"/>
      <c r="DG44" s="327"/>
      <c r="DH44" s="327"/>
      <c r="DI44" s="327"/>
      <c r="DJ44" s="327"/>
      <c r="DK44" s="327"/>
      <c r="DL44" s="327"/>
      <c r="DM44" s="327"/>
      <c r="DN44" s="327"/>
      <c r="DO44" s="327"/>
      <c r="DP44" s="327"/>
      <c r="DQ44" s="327"/>
      <c r="DR44" s="327"/>
      <c r="DS44" s="327"/>
      <c r="DT44" s="327"/>
      <c r="DU44" s="327"/>
      <c r="DV44" s="327"/>
      <c r="DW44" s="327"/>
      <c r="DX44" s="327"/>
      <c r="DY44" s="327"/>
      <c r="DZ44" s="327"/>
      <c r="EA44" s="327"/>
      <c r="EB44" s="327"/>
      <c r="EC44" s="327"/>
      <c r="ED44" s="327"/>
      <c r="EE44" s="327"/>
      <c r="EF44" s="327"/>
      <c r="EG44" s="327"/>
      <c r="EH44" s="327"/>
      <c r="EI44" s="327"/>
      <c r="EJ44" s="327"/>
      <c r="EK44" s="327"/>
      <c r="EL44" s="327"/>
      <c r="EM44" s="327"/>
      <c r="EN44" s="327"/>
      <c r="EO44" s="327"/>
      <c r="EP44" s="327"/>
      <c r="EQ44" s="327"/>
      <c r="ER44" s="327"/>
      <c r="ES44" s="327"/>
      <c r="ET44" s="327"/>
      <c r="EU44" s="327"/>
      <c r="EV44" s="327"/>
      <c r="EW44" s="327"/>
      <c r="EX44" s="327"/>
      <c r="EY44" s="327"/>
      <c r="EZ44" s="327"/>
      <c r="FA44" s="327"/>
      <c r="FB44" s="327"/>
      <c r="FC44" s="327"/>
      <c r="FD44" s="327"/>
      <c r="FE44" s="327"/>
      <c r="FF44" s="327"/>
      <c r="FG44" s="327"/>
      <c r="FH44" s="327"/>
      <c r="FI44" s="327"/>
      <c r="FJ44" s="327"/>
      <c r="FK44" s="327"/>
      <c r="FL44" s="327"/>
      <c r="FM44" s="327"/>
      <c r="FN44" s="327"/>
      <c r="FO44" s="327"/>
      <c r="FP44" s="327"/>
      <c r="FQ44" s="327"/>
      <c r="FR44" s="327"/>
      <c r="FS44" s="327"/>
      <c r="FT44" s="327"/>
      <c r="FU44" s="327"/>
      <c r="FV44" s="327"/>
      <c r="FW44" s="327"/>
      <c r="FX44" s="327"/>
      <c r="FY44" s="327"/>
      <c r="FZ44" s="327"/>
      <c r="GA44" s="327"/>
      <c r="GB44" s="327"/>
      <c r="GC44" s="327"/>
      <c r="GD44" s="327"/>
      <c r="GE44" s="327"/>
      <c r="GF44" s="327"/>
      <c r="GG44" s="327"/>
      <c r="GH44" s="327"/>
      <c r="GI44" s="327"/>
      <c r="GJ44" s="327"/>
      <c r="GK44" s="327"/>
      <c r="GL44" s="327"/>
      <c r="GM44" s="327"/>
      <c r="GN44" s="327"/>
      <c r="GO44" s="327"/>
      <c r="GP44" s="327"/>
      <c r="GQ44" s="327"/>
      <c r="GR44" s="327"/>
      <c r="GS44" s="327"/>
      <c r="GT44" s="327"/>
      <c r="GU44" s="327"/>
      <c r="GV44" s="327"/>
      <c r="GW44" s="327"/>
      <c r="GX44" s="327"/>
      <c r="GY44" s="327"/>
      <c r="GZ44" s="327"/>
      <c r="HA44" s="327"/>
      <c r="HB44" s="327"/>
      <c r="HC44" s="327"/>
      <c r="HD44" s="327"/>
      <c r="HE44" s="327"/>
      <c r="HF44" s="327"/>
      <c r="HG44" s="327"/>
      <c r="HH44" s="327"/>
      <c r="HI44" s="327"/>
      <c r="HJ44" s="327"/>
      <c r="HK44" s="327"/>
      <c r="HL44" s="327"/>
      <c r="HM44" s="327"/>
      <c r="HN44" s="327"/>
      <c r="HO44" s="327"/>
      <c r="HP44" s="327"/>
      <c r="HQ44" s="327"/>
      <c r="HR44" s="327"/>
      <c r="HS44" s="327"/>
    </row>
    <row r="45" spans="1:227" ht="15" customHeight="1">
      <c r="A45" s="434">
        <v>3</v>
      </c>
      <c r="B45" s="435" t="str">
        <f>VLOOKUP(Ruimtestaat[[#This Row],[Code]],Locaties[[Code]:[Locatie]],2,FALSE)</f>
        <v>IKC De Saffier</v>
      </c>
      <c r="C45" s="435" t="str">
        <f>VLOOKUP(Ruimtestaat[[#This Row],[Code]],Locaties[[#All],[Code]:[Adres]],4,FALSE)</f>
        <v>Elektrablauw 5</v>
      </c>
      <c r="D45" s="435" t="str">
        <f>VLOOKUP(Ruimtestaat[[#This Row],[Code]],Locaties[[#All],[Code]:[Postcode]],5,FALSE)</f>
        <v>2718 JT</v>
      </c>
      <c r="E45" s="435" t="str">
        <f>VLOOKUP(Ruimtestaat[[#This Row],[Code]],Locaties[#All],6,FALSE)</f>
        <v>Zoetermeer</v>
      </c>
      <c r="F45" s="434"/>
      <c r="G45" s="434" t="s">
        <v>1678</v>
      </c>
      <c r="H45" s="436" t="s">
        <v>1674</v>
      </c>
      <c r="I45" s="437" t="s">
        <v>1700</v>
      </c>
      <c r="J45" s="330">
        <v>6</v>
      </c>
      <c r="K45" s="450" t="str">
        <f>VLOOKUP(Ruimtestaat[[#This Row],[Ruimte code]],Ruimtegroepen[[#All],[Code]:[Ruimte omschrijving]],2,FALSE)</f>
        <v>Gangen/hallen</v>
      </c>
      <c r="L45" s="434" t="s">
        <v>100</v>
      </c>
      <c r="M45" s="437" t="s">
        <v>1759</v>
      </c>
      <c r="N45" s="439">
        <v>156</v>
      </c>
      <c r="O45" s="439"/>
      <c r="P45" s="439"/>
      <c r="Q45" s="439"/>
      <c r="R45" s="440" t="str">
        <f>VLOOKUP(Ruimtestaat[[#This Row],[Ruimte code]],Ruimtegroepen[],4,FALSE)</f>
        <v>Ve</v>
      </c>
      <c r="S45" s="434">
        <v>41</v>
      </c>
      <c r="T45" s="434" t="s">
        <v>2</v>
      </c>
      <c r="U45" s="434">
        <f>IF(S45&gt;0,IF(RIGHT(Ruimtestaat[[#This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5" s="434">
        <f>IF(U45&gt;0,VLOOKUP($J45,Ruimtegroepen[],3,FALSE)*VLOOKUP($L45,Vloersoorten[],3,FALSE)*VLOOKUP($T45,Frequenties[],3,FALSE)*VLOOKUP($A45,Locaties[],3,FALSE),0)</f>
        <v>0</v>
      </c>
      <c r="W45" s="434">
        <f>Ruimtestaat[[#This Row],[Uitvoeringen werkdagen]]*Ruimtestaat[[#This Row],[Oppervlak (netto)]]</f>
        <v>31980</v>
      </c>
      <c r="X45" s="441">
        <f>IF(V45&gt;0,Ruimtestaat[[#This Row],[Prest. (m2 /jaar) werkdagen]]/Ruimtestaat[[#This Row],[Norm (m2/uur) werkdagen]],0)</f>
        <v>0</v>
      </c>
      <c r="Y45" s="442">
        <f>Ruimtestaat[[#This Row],[Uitvoeringen werkdagen]]*Ruimtestaat[[#This Row],[Gedeeltelijk]]</f>
        <v>0</v>
      </c>
      <c r="Z45" s="443" t="e">
        <f>IF(U45&gt;0,Ruimtestaat[[#This Row],[Prest. (m2 / jaar) werkdagen gedeeld]]/Ruimtestaat[[#This Row],[Norm (m2/uur) werkdagen]],0)</f>
        <v>#DIV/0!</v>
      </c>
      <c r="AA45" s="441" t="e">
        <f>Ruimtestaat[[#This Row],[uren / jaar werkdagen gedeeld]]*Tariefsopbouw!$E$35</f>
        <v>#DIV/0!</v>
      </c>
      <c r="AB45" s="441">
        <f>Ruimtestaat[[#This Row],[Uitvoeringen werkdagen]]*Ruimtestaat[[#This Row],[BSO]]</f>
        <v>0</v>
      </c>
      <c r="AC45" s="443" t="e">
        <f>IF(U45&gt;0,Ruimtestaat[[#This Row],[Prest. (m2 / jaar) werkdagen BSO]]/Ruimtestaat[[#This Row],[Norm (m2/uur) werkdagen]],0)</f>
        <v>#DIV/0!</v>
      </c>
      <c r="AD45" s="443" t="e">
        <f>Ruimtestaat[[#This Row],[uren / jaar werkdagen BSO]]*Tariefsopbouw!$E$35</f>
        <v>#DIV/0!</v>
      </c>
      <c r="AE45" s="444">
        <f>Ruimtestaat[[#This Row],[uren / jaar werkdagen]]*Tariefsopbouw!$E$35</f>
        <v>0</v>
      </c>
      <c r="AF45" s="434"/>
      <c r="AG45" s="434">
        <f>IF(Ruimtestaat[[#This Row],[Frequentie weekend]]&gt;0,VALUE(LEFT(AF45,1))*S45,0)</f>
        <v>0</v>
      </c>
      <c r="AH45" s="445">
        <f>IF($AG45&gt;0,VLOOKUP($J45,Ruimtegroepen[],3,FALSE)*VLOOKUP($L45,Vloersoorten[],3,FALSE)*VLOOKUP($AF45,Frequenties[],3,FALSE)*VLOOKUP(Ruimtestaat[[#This Row],[Code]],Locaties[],3,FALSE),0)</f>
        <v>0</v>
      </c>
      <c r="AI45" s="445">
        <f>Ruimtestaat[[#This Row],[Uitvoeringen weekend]]*Ruimtestaat[[#This Row],[Oppervlak (netto)]]</f>
        <v>0</v>
      </c>
      <c r="AJ45" s="445">
        <f>IF(AH45&gt;0,Ruimtestaat[[#This Row],[Prest. (m2 /jaar) weekend]]/Ruimtestaat[[#This Row],[Norm (m2/uur) weekend]],0)</f>
        <v>0</v>
      </c>
      <c r="AK45" s="444">
        <f>Ruimtestaat[[#This Row],[uren / jaar weekend]]*Tariefsopbouw!$D$40</f>
        <v>0</v>
      </c>
      <c r="AL45" s="441">
        <f>Ruimtestaat[[#This Row],[Prest. (m2 /jaar) weekend]]+Ruimtestaat[[#This Row],[Prest. (m2 /jaar) werkdagen]]</f>
        <v>31980</v>
      </c>
      <c r="AM45" s="441">
        <f>Ruimtestaat[[#This Row],[uren / jaar weekend]]+Ruimtestaat[[#This Row],[uren / jaar werkdagen]]</f>
        <v>0</v>
      </c>
      <c r="AN45" s="446">
        <f>Ruimtestaat[[#This Row],[kosten / jaar weekend]]+Ruimtestaat[[#This Row],[kosten / jaar werkdagen]]</f>
        <v>0</v>
      </c>
      <c r="AO45" s="446"/>
      <c r="AP45" s="447" t="str">
        <f>IF(Ruimtestaat[[#This Row],[Frequentie werkdagen]]="","",_xlfn.CONCAT(Ruimtestaat[[#This Row],[Ruimte code]],"-",Ruimtestaat[[#This Row],[Frequentie werkdagen]]," ",Ruimtestaat[[#This Row],[Vloer code]]))</f>
        <v>6-5w L</v>
      </c>
      <c r="AQ45" s="448" t="str">
        <f>_xlfn.IFNA(VLOOKUP($AP45,Programma!$F$3:$G$1101,2,0),"")</f>
        <v>_</v>
      </c>
      <c r="AR45" s="448" t="str">
        <f>_xlfn.IFNA(VLOOKUP($AP45,Programma!$F$3:$H$1101,3,0),"")</f>
        <v>_</v>
      </c>
      <c r="AS45" s="448" t="str">
        <f>_xlfn.IFNA(VLOOKUP($AP45,Programma!$F$3:$I$1101,4,0),"")</f>
        <v>_</v>
      </c>
      <c r="AT45" s="448" t="str">
        <f>_xlfn.IFNA(VLOOKUP($AP45,Programma!$F$3:$J$1101,5,0),"")</f>
        <v>5w</v>
      </c>
      <c r="AU45" s="448" t="str">
        <f>_xlfn.IFNA(VLOOKUP($AP45,Programma!$F$3:$K$1101,6,0),"")</f>
        <v>_</v>
      </c>
      <c r="AV45" s="448" t="str">
        <f>_xlfn.IFNA(VLOOKUP($AP45,Programma!$F$3:$L$1101,7,0),"")</f>
        <v>_</v>
      </c>
      <c r="AW45" s="448" t="str">
        <f>_xlfn.IFNA(VLOOKUP($AP45,Programma!$F$3:$M$1101,8,0),"")</f>
        <v>_</v>
      </c>
      <c r="AX45" s="448" t="str">
        <f>_xlfn.IFNA(VLOOKUP($AP45,Programma!$F$3:$N$1101,9,0),"")</f>
        <v>_</v>
      </c>
      <c r="AY45" s="448" t="str">
        <f>_xlfn.IFNA(VLOOKUP($AP45,Programma!$F$3:$O$1101,10,0),"")</f>
        <v>5w</v>
      </c>
      <c r="AZ45" s="448" t="str">
        <f>_xlfn.IFNA(VLOOKUP($AP45,Programma!$F$3:$P$1101,11,0),"")</f>
        <v>5w</v>
      </c>
      <c r="BA45" s="448" t="str">
        <f>_xlfn.IFNA(VLOOKUP($AP45,Programma!$F$3:$Q$1101,12,0),"")</f>
        <v>1w</v>
      </c>
      <c r="BB45" s="448" t="str">
        <f>_xlfn.IFNA(VLOOKUP($AP45,Programma!$F$3:$R$1101,13,0),"")</f>
        <v>1w</v>
      </c>
      <c r="BC45" s="448" t="str">
        <f>_xlfn.IFNA(VLOOKUP($AP45,Programma!$F$3:$S$1101,14,0),"")</f>
        <v>1m</v>
      </c>
      <c r="BD45" s="448" t="str">
        <f>_xlfn.IFNA(VLOOKUP($AP45,Programma!$F$3:$T$1101,15,0),"")</f>
        <v>2j</v>
      </c>
      <c r="BE45" s="448" t="str">
        <f>_xlfn.IFNA(VLOOKUP($AP45,Programma!$F$3:$U$1101,16,0),"")</f>
        <v>1j</v>
      </c>
      <c r="BF45" s="448" t="str">
        <f>_xlfn.IFNA(VLOOKUP($AP45,Programma!$F$3:$V$1101,17,0),"")</f>
        <v>_</v>
      </c>
      <c r="BG45" s="448" t="str">
        <f>_xlfn.IFNA(VLOOKUP($AP45,Programma!$F$3:$W$1101,18,0),"")</f>
        <v>_</v>
      </c>
      <c r="BH45" s="448" t="str">
        <f>_xlfn.IFNA(VLOOKUP($AP45,Programma!$F$3:$X$1101,19,0),"")</f>
        <v>_</v>
      </c>
      <c r="BI45" s="448" t="str">
        <f>_xlfn.IFNA(VLOOKUP($AP45,Programma!$F$3:$Y$1101,20,0),"")</f>
        <v>_</v>
      </c>
      <c r="BJ45" s="449"/>
      <c r="BK45" s="447" t="str">
        <f>IF(Ruimtestaat[[#This Row],[Frequentie weekend]]="","",_xlfn.CONCAT(Ruimtestaat[[#This Row],[Ruimte code]],"-",Ruimtestaat[[#This Row],[Frequentie weekend]]," ",Ruimtestaat[[#This Row],[Vloer code]]))</f>
        <v/>
      </c>
      <c r="BL45" s="448" t="str">
        <f>_xlfn.IFNA(VLOOKUP($BK45,Programma!$F$3:$G$1101,2,0),"")</f>
        <v/>
      </c>
      <c r="BM45" s="448" t="str">
        <f>_xlfn.IFNA(VLOOKUP($BK45,Programma!$F$3:$H$1101,3,0),"")</f>
        <v/>
      </c>
      <c r="BN45" s="448" t="str">
        <f>_xlfn.IFNA(VLOOKUP($BK45,Programma!$F$3:$I$1101,4,0),"")</f>
        <v/>
      </c>
      <c r="BO45" s="448" t="str">
        <f>_xlfn.IFNA(VLOOKUP($BK45,Programma!$F$3:$J$1101,5,0),"")</f>
        <v/>
      </c>
      <c r="BP45" s="448" t="str">
        <f>_xlfn.IFNA(VLOOKUP($BK45,Programma!$F$3:$K$1101,6,0),"")</f>
        <v/>
      </c>
      <c r="BQ45" s="448" t="str">
        <f>_xlfn.IFNA(VLOOKUP($BK45,Programma!$F$3:$L$1101,7,0),"")</f>
        <v/>
      </c>
      <c r="BR45" s="448" t="str">
        <f>_xlfn.IFNA(VLOOKUP($BK45,Programma!$F$3:$M$1101,8,0),"")</f>
        <v/>
      </c>
      <c r="BS45" s="448" t="str">
        <f>_xlfn.IFNA(VLOOKUP($BK45,Programma!$F$3:$N$1101,9,0),"")</f>
        <v/>
      </c>
      <c r="BT45" s="448" t="str">
        <f>_xlfn.IFNA(VLOOKUP($BK45,Programma!$F$3:$O$1101,10,0),"")</f>
        <v/>
      </c>
      <c r="BU45" s="448" t="str">
        <f>_xlfn.IFNA(VLOOKUP($BK45,Programma!$F$3:$P$1101,11,0),"")</f>
        <v/>
      </c>
      <c r="BV45" s="448" t="str">
        <f>_xlfn.IFNA(VLOOKUP($BK45,Programma!$F$3:$Q$1101,12,0),"")</f>
        <v/>
      </c>
      <c r="BW45" s="448" t="str">
        <f>_xlfn.IFNA(VLOOKUP($BK45,Programma!$F$3:$R$1101,13,0),"")</f>
        <v/>
      </c>
      <c r="BX45" s="448" t="str">
        <f>_xlfn.IFNA(VLOOKUP($BK45,Programma!$F$3:$S$1101,14,0),"")</f>
        <v/>
      </c>
      <c r="BY45" s="448" t="str">
        <f>_xlfn.IFNA(VLOOKUP($BK45,Programma!$F$3:$T$1101,15,0),"")</f>
        <v/>
      </c>
      <c r="BZ45" s="448" t="str">
        <f>_xlfn.IFNA(VLOOKUP($BK45,Programma!$F$3:$U$1101,16,0),"")</f>
        <v/>
      </c>
      <c r="CA45" s="448" t="str">
        <f>_xlfn.IFNA(VLOOKUP($BK45,Programma!$F$3:$V$1101,17,0),"")</f>
        <v/>
      </c>
      <c r="CB45" s="448" t="str">
        <f>_xlfn.IFNA(VLOOKUP($BK45,Programma!$F$3:$W$1101,18,0),"")</f>
        <v/>
      </c>
      <c r="CC45" s="448" t="str">
        <f>_xlfn.IFNA(VLOOKUP($BK45,Programma!$F$3:$X$1101,19,0),"")</f>
        <v/>
      </c>
      <c r="CD45" s="448" t="str">
        <f>_xlfn.IFNA(VLOOKUP($BK45,Programma!$F$3:$Y$1101,20,0),"")</f>
        <v/>
      </c>
      <c r="CE45" s="327"/>
      <c r="CF45" s="327"/>
      <c r="CG45" s="327"/>
      <c r="CH45" s="327"/>
      <c r="CI45" s="327"/>
      <c r="CJ45" s="327"/>
      <c r="CK45" s="327"/>
      <c r="CL45" s="327"/>
      <c r="CM45" s="327"/>
      <c r="CN45" s="327"/>
      <c r="CO45" s="327"/>
      <c r="CP45" s="327"/>
      <c r="CQ45" s="327"/>
      <c r="CR45" s="327"/>
      <c r="CS45" s="327"/>
      <c r="CT45" s="327"/>
      <c r="CU45" s="327"/>
      <c r="CV45" s="327"/>
      <c r="CW45" s="327"/>
      <c r="CX45" s="327"/>
      <c r="CY45" s="327"/>
      <c r="CZ45" s="327"/>
      <c r="DA45" s="327"/>
      <c r="DB45" s="327"/>
      <c r="DC45" s="327"/>
      <c r="DD45" s="327"/>
      <c r="DE45" s="327"/>
      <c r="DF45" s="327"/>
      <c r="DG45" s="327"/>
      <c r="DH45" s="327"/>
      <c r="DI45" s="327"/>
      <c r="DJ45" s="327"/>
      <c r="DK45" s="327"/>
      <c r="DL45" s="327"/>
      <c r="DM45" s="327"/>
      <c r="DN45" s="327"/>
      <c r="DO45" s="327"/>
      <c r="DP45" s="327"/>
      <c r="DQ45" s="327"/>
      <c r="DR45" s="327"/>
      <c r="DS45" s="327"/>
      <c r="DT45" s="327"/>
      <c r="DU45" s="327"/>
      <c r="DV45" s="327"/>
      <c r="DW45" s="327"/>
      <c r="DX45" s="327"/>
      <c r="DY45" s="327"/>
      <c r="DZ45" s="327"/>
      <c r="EA45" s="327"/>
      <c r="EB45" s="327"/>
      <c r="EC45" s="327"/>
      <c r="ED45" s="327"/>
      <c r="EE45" s="327"/>
      <c r="EF45" s="327"/>
      <c r="EG45" s="327"/>
      <c r="EH45" s="327"/>
      <c r="EI45" s="327"/>
      <c r="EJ45" s="327"/>
      <c r="EK45" s="327"/>
      <c r="EL45" s="327"/>
      <c r="EM45" s="327"/>
      <c r="EN45" s="327"/>
      <c r="EO45" s="327"/>
      <c r="EP45" s="327"/>
      <c r="EQ45" s="327"/>
      <c r="ER45" s="327"/>
      <c r="ES45" s="327"/>
      <c r="ET45" s="327"/>
      <c r="EU45" s="327"/>
      <c r="EV45" s="327"/>
      <c r="EW45" s="327"/>
      <c r="EX45" s="327"/>
      <c r="EY45" s="327"/>
      <c r="EZ45" s="327"/>
      <c r="FA45" s="327"/>
      <c r="FB45" s="327"/>
      <c r="FC45" s="327"/>
      <c r="FD45" s="327"/>
      <c r="FE45" s="327"/>
      <c r="FF45" s="327"/>
      <c r="FG45" s="327"/>
      <c r="FH45" s="327"/>
      <c r="FI45" s="327"/>
      <c r="FJ45" s="327"/>
      <c r="FK45" s="327"/>
      <c r="FL45" s="327"/>
      <c r="FM45" s="327"/>
      <c r="FN45" s="327"/>
      <c r="FO45" s="327"/>
      <c r="FP45" s="327"/>
      <c r="FQ45" s="327"/>
      <c r="FR45" s="327"/>
      <c r="FS45" s="327"/>
      <c r="FT45" s="327"/>
      <c r="FU45" s="327"/>
      <c r="FV45" s="327"/>
      <c r="FW45" s="327"/>
      <c r="FX45" s="327"/>
      <c r="FY45" s="327"/>
      <c r="FZ45" s="327"/>
      <c r="GA45" s="327"/>
      <c r="GB45" s="327"/>
      <c r="GC45" s="327"/>
      <c r="GD45" s="327"/>
      <c r="GE45" s="327"/>
      <c r="GF45" s="327"/>
      <c r="GG45" s="327"/>
      <c r="GH45" s="327"/>
      <c r="GI45" s="327"/>
      <c r="GJ45" s="327"/>
      <c r="GK45" s="327"/>
      <c r="GL45" s="327"/>
      <c r="GM45" s="327"/>
      <c r="GN45" s="327"/>
      <c r="GO45" s="327"/>
      <c r="GP45" s="327"/>
      <c r="GQ45" s="327"/>
      <c r="GR45" s="327"/>
      <c r="GS45" s="327"/>
      <c r="GT45" s="327"/>
      <c r="GU45" s="327"/>
      <c r="GV45" s="327"/>
      <c r="GW45" s="327"/>
      <c r="GX45" s="327"/>
      <c r="GY45" s="327"/>
      <c r="GZ45" s="327"/>
      <c r="HA45" s="327"/>
      <c r="HB45" s="327"/>
      <c r="HC45" s="327"/>
      <c r="HD45" s="327"/>
      <c r="HE45" s="327"/>
      <c r="HF45" s="327"/>
      <c r="HG45" s="327"/>
      <c r="HH45" s="327"/>
      <c r="HI45" s="327"/>
      <c r="HJ45" s="327"/>
      <c r="HK45" s="327"/>
      <c r="HL45" s="327"/>
      <c r="HM45" s="327"/>
      <c r="HN45" s="327"/>
      <c r="HO45" s="327"/>
      <c r="HP45" s="327"/>
      <c r="HQ45" s="327"/>
      <c r="HR45" s="327"/>
      <c r="HS45" s="327"/>
    </row>
    <row r="46" spans="1:227" ht="15" customHeight="1">
      <c r="A46" s="434">
        <v>3</v>
      </c>
      <c r="B46" s="435" t="str">
        <f>VLOOKUP(Ruimtestaat[[#This Row],[Code]],Locaties[[Code]:[Locatie]],2,FALSE)</f>
        <v>IKC De Saffier</v>
      </c>
      <c r="C46" s="435" t="str">
        <f>VLOOKUP(Ruimtestaat[[#This Row],[Code]],Locaties[[#All],[Code]:[Adres]],4,FALSE)</f>
        <v>Elektrablauw 5</v>
      </c>
      <c r="D46" s="435" t="str">
        <f>VLOOKUP(Ruimtestaat[[#This Row],[Code]],Locaties[[#All],[Code]:[Postcode]],5,FALSE)</f>
        <v>2718 JT</v>
      </c>
      <c r="E46" s="435" t="str">
        <f>VLOOKUP(Ruimtestaat[[#This Row],[Code]],Locaties[#All],6,FALSE)</f>
        <v>Zoetermeer</v>
      </c>
      <c r="F46" s="434"/>
      <c r="G46" s="434" t="s">
        <v>1678</v>
      </c>
      <c r="H46" s="436" t="s">
        <v>1680</v>
      </c>
      <c r="I46" s="437" t="s">
        <v>1666</v>
      </c>
      <c r="J46" s="330">
        <v>2</v>
      </c>
      <c r="K46" s="450" t="str">
        <f>VLOOKUP(Ruimtestaat[[#This Row],[Ruimte code]],Ruimtegroepen[[#All],[Code]:[Ruimte omschrijving]],2,FALSE)</f>
        <v>Kantoren</v>
      </c>
      <c r="L46" s="434" t="s">
        <v>99</v>
      </c>
      <c r="M46" s="437" t="s">
        <v>36</v>
      </c>
      <c r="N46" s="439">
        <v>62</v>
      </c>
      <c r="O46" s="439"/>
      <c r="P46" s="439"/>
      <c r="Q46" s="439"/>
      <c r="R46" s="440" t="str">
        <f>VLOOKUP(Ruimtestaat[[#This Row],[Ruimte code]],Ruimtegroepen[],4,FALSE)</f>
        <v>Bu</v>
      </c>
      <c r="S46" s="434">
        <v>41</v>
      </c>
      <c r="T46" s="434" t="s">
        <v>17</v>
      </c>
      <c r="U46" s="434">
        <f>IF(S46&gt;0,IF(RIGHT(Ruimtestaat[[#This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46" s="434">
        <f>IF(U46&gt;0,VLOOKUP($J46,Ruimtegroepen[],3,FALSE)*VLOOKUP($L46,Vloersoorten[],3,FALSE)*VLOOKUP($T46,Frequenties[],3,FALSE)*VLOOKUP($A46,Locaties[],3,FALSE),0)</f>
        <v>0</v>
      </c>
      <c r="W46" s="434">
        <f>Ruimtestaat[[#This Row],[Uitvoeringen werkdagen]]*Ruimtestaat[[#This Row],[Oppervlak (netto)]]</f>
        <v>5084</v>
      </c>
      <c r="X46" s="441">
        <f>IF(V46&gt;0,Ruimtestaat[[#This Row],[Prest. (m2 /jaar) werkdagen]]/Ruimtestaat[[#This Row],[Norm (m2/uur) werkdagen]],0)</f>
        <v>0</v>
      </c>
      <c r="Y46" s="442">
        <f>Ruimtestaat[[#This Row],[Uitvoeringen werkdagen]]*Ruimtestaat[[#This Row],[Gedeeltelijk]]</f>
        <v>0</v>
      </c>
      <c r="Z46" s="443" t="e">
        <f>IF(U46&gt;0,Ruimtestaat[[#This Row],[Prest. (m2 / jaar) werkdagen gedeeld]]/Ruimtestaat[[#This Row],[Norm (m2/uur) werkdagen]],0)</f>
        <v>#DIV/0!</v>
      </c>
      <c r="AA46" s="441" t="e">
        <f>Ruimtestaat[[#This Row],[uren / jaar werkdagen gedeeld]]*Tariefsopbouw!$E$35</f>
        <v>#DIV/0!</v>
      </c>
      <c r="AB46" s="441">
        <f>Ruimtestaat[[#This Row],[Uitvoeringen werkdagen]]*Ruimtestaat[[#This Row],[BSO]]</f>
        <v>0</v>
      </c>
      <c r="AC46" s="443" t="e">
        <f>IF(U46&gt;0,Ruimtestaat[[#This Row],[Prest. (m2 / jaar) werkdagen BSO]]/Ruimtestaat[[#This Row],[Norm (m2/uur) werkdagen]],0)</f>
        <v>#DIV/0!</v>
      </c>
      <c r="AD46" s="443" t="e">
        <f>Ruimtestaat[[#This Row],[uren / jaar werkdagen BSO]]*Tariefsopbouw!$E$35</f>
        <v>#DIV/0!</v>
      </c>
      <c r="AE46" s="444">
        <f>Ruimtestaat[[#This Row],[uren / jaar werkdagen]]*Tariefsopbouw!$E$35</f>
        <v>0</v>
      </c>
      <c r="AF46" s="434"/>
      <c r="AG46" s="434">
        <f>IF(Ruimtestaat[[#This Row],[Frequentie weekend]]&gt;0,VALUE(LEFT(AF46,1))*S46,0)</f>
        <v>0</v>
      </c>
      <c r="AH46" s="445">
        <f>IF($AG46&gt;0,VLOOKUP($J46,Ruimtegroepen[],3,FALSE)*VLOOKUP($L46,Vloersoorten[],3,FALSE)*VLOOKUP($AF46,Frequenties[],3,FALSE)*VLOOKUP(Ruimtestaat[[#This Row],[Code]],Locaties[],3,FALSE),0)</f>
        <v>0</v>
      </c>
      <c r="AI46" s="445">
        <f>Ruimtestaat[[#This Row],[Uitvoeringen weekend]]*Ruimtestaat[[#This Row],[Oppervlak (netto)]]</f>
        <v>0</v>
      </c>
      <c r="AJ46" s="445">
        <f>IF(AH46&gt;0,Ruimtestaat[[#This Row],[Prest. (m2 /jaar) weekend]]/Ruimtestaat[[#This Row],[Norm (m2/uur) weekend]],0)</f>
        <v>0</v>
      </c>
      <c r="AK46" s="444">
        <f>Ruimtestaat[[#This Row],[uren / jaar weekend]]*Tariefsopbouw!$D$40</f>
        <v>0</v>
      </c>
      <c r="AL46" s="441">
        <f>Ruimtestaat[[#This Row],[Prest. (m2 /jaar) weekend]]+Ruimtestaat[[#This Row],[Prest. (m2 /jaar) werkdagen]]</f>
        <v>5084</v>
      </c>
      <c r="AM46" s="441">
        <f>Ruimtestaat[[#This Row],[uren / jaar weekend]]+Ruimtestaat[[#This Row],[uren / jaar werkdagen]]</f>
        <v>0</v>
      </c>
      <c r="AN46" s="446">
        <f>Ruimtestaat[[#This Row],[kosten / jaar weekend]]+Ruimtestaat[[#This Row],[kosten / jaar werkdagen]]</f>
        <v>0</v>
      </c>
      <c r="AO46" s="446"/>
      <c r="AP46" s="447" t="str">
        <f>IF(Ruimtestaat[[#This Row],[Frequentie werkdagen]]="","",_xlfn.CONCAT(Ruimtestaat[[#This Row],[Ruimte code]],"-",Ruimtestaat[[#This Row],[Frequentie werkdagen]]," ",Ruimtestaat[[#This Row],[Vloer code]]))</f>
        <v>2-2w T</v>
      </c>
      <c r="AQ46" s="448" t="str">
        <f>_xlfn.IFNA(VLOOKUP($AP46,Programma!$F$3:$G$1101,2,0),"")</f>
        <v>1w</v>
      </c>
      <c r="AR46" s="448" t="str">
        <f>_xlfn.IFNA(VLOOKUP($AP46,Programma!$F$3:$H$1101,3,0),"")</f>
        <v>1w</v>
      </c>
      <c r="AS46" s="448" t="str">
        <f>_xlfn.IFNA(VLOOKUP($AP46,Programma!$F$3:$I$1101,4,0),"")</f>
        <v>_</v>
      </c>
      <c r="AT46" s="448" t="str">
        <f>_xlfn.IFNA(VLOOKUP($AP46,Programma!$F$3:$J$1101,5,0),"")</f>
        <v>_</v>
      </c>
      <c r="AU46" s="448" t="str">
        <f>_xlfn.IFNA(VLOOKUP($AP46,Programma!$F$3:$K$1101,6,0),"")</f>
        <v>_</v>
      </c>
      <c r="AV46" s="448" t="str">
        <f>_xlfn.IFNA(VLOOKUP($AP46,Programma!$F$3:$L$1101,7,0),"")</f>
        <v>_</v>
      </c>
      <c r="AW46" s="448" t="str">
        <f>_xlfn.IFNA(VLOOKUP($AP46,Programma!$F$3:$M$1101,8,0),"")</f>
        <v>_</v>
      </c>
      <c r="AX46" s="448" t="str">
        <f>_xlfn.IFNA(VLOOKUP($AP46,Programma!$F$3:$N$1101,9,0),"")</f>
        <v>_</v>
      </c>
      <c r="AY46" s="448" t="str">
        <f>_xlfn.IFNA(VLOOKUP($AP46,Programma!$F$3:$O$1101,10,0),"")</f>
        <v>2w</v>
      </c>
      <c r="AZ46" s="448" t="str">
        <f>_xlfn.IFNA(VLOOKUP($AP46,Programma!$F$3:$P$1101,11,0),"")</f>
        <v>2w</v>
      </c>
      <c r="BA46" s="448" t="str">
        <f>_xlfn.IFNA(VLOOKUP($AP46,Programma!$F$3:$Q$1101,12,0),"")</f>
        <v>1w</v>
      </c>
      <c r="BB46" s="448" t="str">
        <f>_xlfn.IFNA(VLOOKUP($AP46,Programma!$F$3:$R$1101,13,0),"")</f>
        <v>1w</v>
      </c>
      <c r="BC46" s="448" t="str">
        <f>_xlfn.IFNA(VLOOKUP($AP46,Programma!$F$3:$S$1101,14,0),"")</f>
        <v>1m</v>
      </c>
      <c r="BD46" s="448" t="str">
        <f>_xlfn.IFNA(VLOOKUP($AP46,Programma!$F$3:$T$1101,15,0),"")</f>
        <v>2j</v>
      </c>
      <c r="BE46" s="448" t="str">
        <f>_xlfn.IFNA(VLOOKUP($AP46,Programma!$F$3:$U$1101,16,0),"")</f>
        <v>1j</v>
      </c>
      <c r="BF46" s="448" t="str">
        <f>_xlfn.IFNA(VLOOKUP($AP46,Programma!$F$3:$V$1101,17,0),"")</f>
        <v>_</v>
      </c>
      <c r="BG46" s="448" t="str">
        <f>_xlfn.IFNA(VLOOKUP($AP46,Programma!$F$3:$W$1101,18,0),"")</f>
        <v>_</v>
      </c>
      <c r="BH46" s="448" t="str">
        <f>_xlfn.IFNA(VLOOKUP($AP46,Programma!$F$3:$X$1101,19,0),"")</f>
        <v>_</v>
      </c>
      <c r="BI46" s="448" t="str">
        <f>_xlfn.IFNA(VLOOKUP($AP46,Programma!$F$3:$Y$1101,20,0),"")</f>
        <v>_</v>
      </c>
      <c r="BJ46" s="449"/>
      <c r="BK46" s="447" t="str">
        <f>IF(Ruimtestaat[[#This Row],[Frequentie weekend]]="","",_xlfn.CONCAT(Ruimtestaat[[#This Row],[Ruimte code]],"-",Ruimtestaat[[#This Row],[Frequentie weekend]]," ",Ruimtestaat[[#This Row],[Vloer code]]))</f>
        <v/>
      </c>
      <c r="BL46" s="448" t="str">
        <f>_xlfn.IFNA(VLOOKUP($BK46,Programma!$F$3:$G$1101,2,0),"")</f>
        <v/>
      </c>
      <c r="BM46" s="448" t="str">
        <f>_xlfn.IFNA(VLOOKUP($BK46,Programma!$F$3:$H$1101,3,0),"")</f>
        <v/>
      </c>
      <c r="BN46" s="448" t="str">
        <f>_xlfn.IFNA(VLOOKUP($BK46,Programma!$F$3:$I$1101,4,0),"")</f>
        <v/>
      </c>
      <c r="BO46" s="448" t="str">
        <f>_xlfn.IFNA(VLOOKUP($BK46,Programma!$F$3:$J$1101,5,0),"")</f>
        <v/>
      </c>
      <c r="BP46" s="448" t="str">
        <f>_xlfn.IFNA(VLOOKUP($BK46,Programma!$F$3:$K$1101,6,0),"")</f>
        <v/>
      </c>
      <c r="BQ46" s="448" t="str">
        <f>_xlfn.IFNA(VLOOKUP($BK46,Programma!$F$3:$L$1101,7,0),"")</f>
        <v/>
      </c>
      <c r="BR46" s="448" t="str">
        <f>_xlfn.IFNA(VLOOKUP($BK46,Programma!$F$3:$M$1101,8,0),"")</f>
        <v/>
      </c>
      <c r="BS46" s="448" t="str">
        <f>_xlfn.IFNA(VLOOKUP($BK46,Programma!$F$3:$N$1101,9,0),"")</f>
        <v/>
      </c>
      <c r="BT46" s="448" t="str">
        <f>_xlfn.IFNA(VLOOKUP($BK46,Programma!$F$3:$O$1101,10,0),"")</f>
        <v/>
      </c>
      <c r="BU46" s="448" t="str">
        <f>_xlfn.IFNA(VLOOKUP($BK46,Programma!$F$3:$P$1101,11,0),"")</f>
        <v/>
      </c>
      <c r="BV46" s="448" t="str">
        <f>_xlfn.IFNA(VLOOKUP($BK46,Programma!$F$3:$Q$1101,12,0),"")</f>
        <v/>
      </c>
      <c r="BW46" s="448" t="str">
        <f>_xlfn.IFNA(VLOOKUP($BK46,Programma!$F$3:$R$1101,13,0),"")</f>
        <v/>
      </c>
      <c r="BX46" s="448" t="str">
        <f>_xlfn.IFNA(VLOOKUP($BK46,Programma!$F$3:$S$1101,14,0),"")</f>
        <v/>
      </c>
      <c r="BY46" s="448" t="str">
        <f>_xlfn.IFNA(VLOOKUP($BK46,Programma!$F$3:$T$1101,15,0),"")</f>
        <v/>
      </c>
      <c r="BZ46" s="448" t="str">
        <f>_xlfn.IFNA(VLOOKUP($BK46,Programma!$F$3:$U$1101,16,0),"")</f>
        <v/>
      </c>
      <c r="CA46" s="448" t="str">
        <f>_xlfn.IFNA(VLOOKUP($BK46,Programma!$F$3:$V$1101,17,0),"")</f>
        <v/>
      </c>
      <c r="CB46" s="448" t="str">
        <f>_xlfn.IFNA(VLOOKUP($BK46,Programma!$F$3:$W$1101,18,0),"")</f>
        <v/>
      </c>
      <c r="CC46" s="448" t="str">
        <f>_xlfn.IFNA(VLOOKUP($BK46,Programma!$F$3:$X$1101,19,0),"")</f>
        <v/>
      </c>
      <c r="CD46" s="448" t="str">
        <f>_xlfn.IFNA(VLOOKUP($BK46,Programma!$F$3:$Y$1101,20,0),"")</f>
        <v/>
      </c>
      <c r="CE46" s="327"/>
      <c r="CF46" s="327"/>
      <c r="CG46" s="327"/>
      <c r="CH46" s="327"/>
      <c r="CI46" s="327"/>
      <c r="CJ46" s="327"/>
      <c r="CK46" s="327"/>
      <c r="CL46" s="327"/>
      <c r="CM46" s="327"/>
      <c r="CN46" s="327"/>
      <c r="CO46" s="327"/>
      <c r="CP46" s="327"/>
      <c r="CQ46" s="327"/>
      <c r="CR46" s="327"/>
      <c r="CS46" s="327"/>
      <c r="CT46" s="327"/>
      <c r="CU46" s="327"/>
      <c r="CV46" s="327"/>
      <c r="CW46" s="327"/>
      <c r="CX46" s="327"/>
      <c r="CY46" s="327"/>
      <c r="CZ46" s="327"/>
      <c r="DA46" s="327"/>
      <c r="DB46" s="327"/>
      <c r="DC46" s="327"/>
      <c r="DD46" s="327"/>
      <c r="DE46" s="327"/>
      <c r="DF46" s="327"/>
      <c r="DG46" s="327"/>
      <c r="DH46" s="327"/>
      <c r="DI46" s="327"/>
      <c r="DJ46" s="327"/>
      <c r="DK46" s="327"/>
      <c r="DL46" s="327"/>
      <c r="DM46" s="327"/>
      <c r="DN46" s="327"/>
      <c r="DO46" s="327"/>
      <c r="DP46" s="327"/>
      <c r="DQ46" s="327"/>
      <c r="DR46" s="327"/>
      <c r="DS46" s="327"/>
      <c r="DT46" s="327"/>
      <c r="DU46" s="327"/>
      <c r="DV46" s="327"/>
      <c r="DW46" s="327"/>
      <c r="DX46" s="327"/>
      <c r="DY46" s="327"/>
      <c r="DZ46" s="327"/>
      <c r="EA46" s="327"/>
      <c r="EB46" s="327"/>
      <c r="EC46" s="327"/>
      <c r="ED46" s="327"/>
      <c r="EE46" s="327"/>
      <c r="EF46" s="327"/>
      <c r="EG46" s="327"/>
      <c r="EH46" s="327"/>
      <c r="EI46" s="327"/>
      <c r="EJ46" s="327"/>
      <c r="EK46" s="327"/>
      <c r="EL46" s="327"/>
      <c r="EM46" s="327"/>
      <c r="EN46" s="327"/>
      <c r="EO46" s="327"/>
      <c r="EP46" s="327"/>
      <c r="EQ46" s="327"/>
      <c r="ER46" s="327"/>
      <c r="ES46" s="327"/>
      <c r="ET46" s="327"/>
      <c r="EU46" s="327"/>
      <c r="EV46" s="327"/>
      <c r="EW46" s="327"/>
      <c r="EX46" s="327"/>
      <c r="EY46" s="327"/>
      <c r="EZ46" s="327"/>
      <c r="FA46" s="327"/>
      <c r="FB46" s="327"/>
      <c r="FC46" s="327"/>
      <c r="FD46" s="327"/>
      <c r="FE46" s="327"/>
      <c r="FF46" s="327"/>
      <c r="FG46" s="327"/>
      <c r="FH46" s="327"/>
      <c r="FI46" s="327"/>
      <c r="FJ46" s="327"/>
      <c r="FK46" s="327"/>
      <c r="FL46" s="327"/>
      <c r="FM46" s="327"/>
      <c r="FN46" s="327"/>
      <c r="FO46" s="327"/>
      <c r="FP46" s="327"/>
      <c r="FQ46" s="327"/>
      <c r="FR46" s="327"/>
      <c r="FS46" s="327"/>
      <c r="FT46" s="327"/>
      <c r="FU46" s="327"/>
      <c r="FV46" s="327"/>
      <c r="FW46" s="327"/>
      <c r="FX46" s="327"/>
      <c r="FY46" s="327"/>
      <c r="FZ46" s="327"/>
      <c r="GA46" s="327"/>
      <c r="GB46" s="327"/>
      <c r="GC46" s="327"/>
      <c r="GD46" s="327"/>
      <c r="GE46" s="327"/>
      <c r="GF46" s="327"/>
      <c r="GG46" s="327"/>
      <c r="GH46" s="327"/>
      <c r="GI46" s="327"/>
      <c r="GJ46" s="327"/>
      <c r="GK46" s="327"/>
      <c r="GL46" s="327"/>
      <c r="GM46" s="327"/>
      <c r="GN46" s="327"/>
      <c r="GO46" s="327"/>
      <c r="GP46" s="327"/>
      <c r="GQ46" s="327"/>
      <c r="GR46" s="327"/>
      <c r="GS46" s="327"/>
      <c r="GT46" s="327"/>
      <c r="GU46" s="327"/>
      <c r="GV46" s="327"/>
      <c r="GW46" s="327"/>
      <c r="GX46" s="327"/>
      <c r="GY46" s="327"/>
      <c r="GZ46" s="327"/>
      <c r="HA46" s="327"/>
      <c r="HB46" s="327"/>
      <c r="HC46" s="327"/>
      <c r="HD46" s="327"/>
      <c r="HE46" s="327"/>
      <c r="HF46" s="327"/>
      <c r="HG46" s="327"/>
      <c r="HH46" s="327"/>
      <c r="HI46" s="327"/>
      <c r="HJ46" s="327"/>
      <c r="HK46" s="327"/>
      <c r="HL46" s="327"/>
      <c r="HM46" s="327"/>
      <c r="HN46" s="327"/>
      <c r="HO46" s="327"/>
      <c r="HP46" s="327"/>
      <c r="HQ46" s="327"/>
      <c r="HR46" s="327"/>
      <c r="HS46" s="327"/>
    </row>
    <row r="47" spans="1:227" ht="15" customHeight="1">
      <c r="A47" s="434">
        <v>3</v>
      </c>
      <c r="B47" s="435" t="str">
        <f>VLOOKUP(Ruimtestaat[[#This Row],[Code]],Locaties[[Code]:[Locatie]],2,FALSE)</f>
        <v>IKC De Saffier</v>
      </c>
      <c r="C47" s="435" t="str">
        <f>VLOOKUP(Ruimtestaat[[#This Row],[Code]],Locaties[[#All],[Code]:[Adres]],4,FALSE)</f>
        <v>Elektrablauw 5</v>
      </c>
      <c r="D47" s="435" t="str">
        <f>VLOOKUP(Ruimtestaat[[#This Row],[Code]],Locaties[[#All],[Code]:[Postcode]],5,FALSE)</f>
        <v>2718 JT</v>
      </c>
      <c r="E47" s="435" t="str">
        <f>VLOOKUP(Ruimtestaat[[#This Row],[Code]],Locaties[#All],6,FALSE)</f>
        <v>Zoetermeer</v>
      </c>
      <c r="F47" s="434"/>
      <c r="G47" s="434" t="s">
        <v>1678</v>
      </c>
      <c r="H47" s="436" t="s">
        <v>1681</v>
      </c>
      <c r="I47" s="437" t="s">
        <v>1666</v>
      </c>
      <c r="J47" s="330">
        <v>2</v>
      </c>
      <c r="K47" s="450" t="str">
        <f>VLOOKUP(Ruimtestaat[[#This Row],[Ruimte code]],Ruimtegroepen[[#All],[Code]:[Ruimte omschrijving]],2,FALSE)</f>
        <v>Kantoren</v>
      </c>
      <c r="L47" s="434" t="s">
        <v>100</v>
      </c>
      <c r="M47" s="437" t="s">
        <v>1759</v>
      </c>
      <c r="N47" s="439">
        <v>3</v>
      </c>
      <c r="O47" s="439"/>
      <c r="P47" s="439"/>
      <c r="Q47" s="439"/>
      <c r="R47" s="440" t="str">
        <f>VLOOKUP(Ruimtestaat[[#This Row],[Ruimte code]],Ruimtegroepen[],4,FALSE)</f>
        <v>Bu</v>
      </c>
      <c r="S47" s="434">
        <v>41</v>
      </c>
      <c r="T47" s="434" t="s">
        <v>17</v>
      </c>
      <c r="U47" s="434">
        <f>IF(S47&gt;0,IF(RIGHT(Ruimtestaat[[#This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47" s="434">
        <f>IF(U47&gt;0,VLOOKUP($J47,Ruimtegroepen[],3,FALSE)*VLOOKUP($L47,Vloersoorten[],3,FALSE)*VLOOKUP($T47,Frequenties[],3,FALSE)*VLOOKUP($A47,Locaties[],3,FALSE),0)</f>
        <v>0</v>
      </c>
      <c r="W47" s="434">
        <f>Ruimtestaat[[#This Row],[Uitvoeringen werkdagen]]*Ruimtestaat[[#This Row],[Oppervlak (netto)]]</f>
        <v>246</v>
      </c>
      <c r="X47" s="441">
        <f>IF(V47&gt;0,Ruimtestaat[[#This Row],[Prest. (m2 /jaar) werkdagen]]/Ruimtestaat[[#This Row],[Norm (m2/uur) werkdagen]],0)</f>
        <v>0</v>
      </c>
      <c r="Y47" s="442">
        <f>Ruimtestaat[[#This Row],[Uitvoeringen werkdagen]]*Ruimtestaat[[#This Row],[Gedeeltelijk]]</f>
        <v>0</v>
      </c>
      <c r="Z47" s="443" t="e">
        <f>IF(U47&gt;0,Ruimtestaat[[#This Row],[Prest. (m2 / jaar) werkdagen gedeeld]]/Ruimtestaat[[#This Row],[Norm (m2/uur) werkdagen]],0)</f>
        <v>#DIV/0!</v>
      </c>
      <c r="AA47" s="441" t="e">
        <f>Ruimtestaat[[#This Row],[uren / jaar werkdagen gedeeld]]*Tariefsopbouw!$E$35</f>
        <v>#DIV/0!</v>
      </c>
      <c r="AB47" s="441">
        <f>Ruimtestaat[[#This Row],[Uitvoeringen werkdagen]]*Ruimtestaat[[#This Row],[BSO]]</f>
        <v>0</v>
      </c>
      <c r="AC47" s="443" t="e">
        <f>IF(U47&gt;0,Ruimtestaat[[#This Row],[Prest. (m2 / jaar) werkdagen BSO]]/Ruimtestaat[[#This Row],[Norm (m2/uur) werkdagen]],0)</f>
        <v>#DIV/0!</v>
      </c>
      <c r="AD47" s="443" t="e">
        <f>Ruimtestaat[[#This Row],[uren / jaar werkdagen BSO]]*Tariefsopbouw!$E$35</f>
        <v>#DIV/0!</v>
      </c>
      <c r="AE47" s="444">
        <f>Ruimtestaat[[#This Row],[uren / jaar werkdagen]]*Tariefsopbouw!$E$35</f>
        <v>0</v>
      </c>
      <c r="AF47" s="434"/>
      <c r="AG47" s="434">
        <f>IF(Ruimtestaat[[#This Row],[Frequentie weekend]]&gt;0,VALUE(LEFT(AF47,1))*S47,0)</f>
        <v>0</v>
      </c>
      <c r="AH47" s="445">
        <f>IF($AG47&gt;0,VLOOKUP($J47,Ruimtegroepen[],3,FALSE)*VLOOKUP($L47,Vloersoorten[],3,FALSE)*VLOOKUP($AF47,Frequenties[],3,FALSE)*VLOOKUP(Ruimtestaat[[#This Row],[Code]],Locaties[],3,FALSE),0)</f>
        <v>0</v>
      </c>
      <c r="AI47" s="445">
        <f>Ruimtestaat[[#This Row],[Uitvoeringen weekend]]*Ruimtestaat[[#This Row],[Oppervlak (netto)]]</f>
        <v>0</v>
      </c>
      <c r="AJ47" s="445">
        <f>IF(AH47&gt;0,Ruimtestaat[[#This Row],[Prest. (m2 /jaar) weekend]]/Ruimtestaat[[#This Row],[Norm (m2/uur) weekend]],0)</f>
        <v>0</v>
      </c>
      <c r="AK47" s="444">
        <f>Ruimtestaat[[#This Row],[uren / jaar weekend]]*Tariefsopbouw!$D$40</f>
        <v>0</v>
      </c>
      <c r="AL47" s="441">
        <f>Ruimtestaat[[#This Row],[Prest. (m2 /jaar) weekend]]+Ruimtestaat[[#This Row],[Prest. (m2 /jaar) werkdagen]]</f>
        <v>246</v>
      </c>
      <c r="AM47" s="441">
        <f>Ruimtestaat[[#This Row],[uren / jaar weekend]]+Ruimtestaat[[#This Row],[uren / jaar werkdagen]]</f>
        <v>0</v>
      </c>
      <c r="AN47" s="446">
        <f>Ruimtestaat[[#This Row],[kosten / jaar weekend]]+Ruimtestaat[[#This Row],[kosten / jaar werkdagen]]</f>
        <v>0</v>
      </c>
      <c r="AO47" s="446"/>
      <c r="AP47" s="447" t="str">
        <f>IF(Ruimtestaat[[#This Row],[Frequentie werkdagen]]="","",_xlfn.CONCAT(Ruimtestaat[[#This Row],[Ruimte code]],"-",Ruimtestaat[[#This Row],[Frequentie werkdagen]]," ",Ruimtestaat[[#This Row],[Vloer code]]))</f>
        <v>2-2w L</v>
      </c>
      <c r="AQ47" s="448" t="str">
        <f>_xlfn.IFNA(VLOOKUP($AP47,Programma!$F$3:$G$1101,2,0),"")</f>
        <v>_</v>
      </c>
      <c r="AR47" s="448" t="str">
        <f>_xlfn.IFNA(VLOOKUP($AP47,Programma!$F$3:$H$1101,3,0),"")</f>
        <v>_</v>
      </c>
      <c r="AS47" s="448" t="str">
        <f>_xlfn.IFNA(VLOOKUP($AP47,Programma!$F$3:$I$1101,4,0),"")</f>
        <v>1w</v>
      </c>
      <c r="AT47" s="448" t="str">
        <f>_xlfn.IFNA(VLOOKUP($AP47,Programma!$F$3:$J$1101,5,0),"")</f>
        <v>1w</v>
      </c>
      <c r="AU47" s="448" t="str">
        <f>_xlfn.IFNA(VLOOKUP($AP47,Programma!$F$3:$K$1101,6,0),"")</f>
        <v>_</v>
      </c>
      <c r="AV47" s="448" t="str">
        <f>_xlfn.IFNA(VLOOKUP($AP47,Programma!$F$3:$L$1101,7,0),"")</f>
        <v>_</v>
      </c>
      <c r="AW47" s="448" t="str">
        <f>_xlfn.IFNA(VLOOKUP($AP47,Programma!$F$3:$M$1101,8,0),"")</f>
        <v>_</v>
      </c>
      <c r="AX47" s="448" t="str">
        <f>_xlfn.IFNA(VLOOKUP($AP47,Programma!$F$3:$N$1101,9,0),"")</f>
        <v>_</v>
      </c>
      <c r="AY47" s="448" t="str">
        <f>_xlfn.IFNA(VLOOKUP($AP47,Programma!$F$3:$O$1101,10,0),"")</f>
        <v>2w</v>
      </c>
      <c r="AZ47" s="448" t="str">
        <f>_xlfn.IFNA(VLOOKUP($AP47,Programma!$F$3:$P$1101,11,0),"")</f>
        <v>2w</v>
      </c>
      <c r="BA47" s="448" t="str">
        <f>_xlfn.IFNA(VLOOKUP($AP47,Programma!$F$3:$Q$1101,12,0),"")</f>
        <v>1w</v>
      </c>
      <c r="BB47" s="448" t="str">
        <f>_xlfn.IFNA(VLOOKUP($AP47,Programma!$F$3:$R$1101,13,0),"")</f>
        <v>1w</v>
      </c>
      <c r="BC47" s="448" t="str">
        <f>_xlfn.IFNA(VLOOKUP($AP47,Programma!$F$3:$S$1101,14,0),"")</f>
        <v>1m</v>
      </c>
      <c r="BD47" s="448" t="str">
        <f>_xlfn.IFNA(VLOOKUP($AP47,Programma!$F$3:$T$1101,15,0),"")</f>
        <v>2j</v>
      </c>
      <c r="BE47" s="448" t="str">
        <f>_xlfn.IFNA(VLOOKUP($AP47,Programma!$F$3:$U$1101,16,0),"")</f>
        <v>1j</v>
      </c>
      <c r="BF47" s="448" t="str">
        <f>_xlfn.IFNA(VLOOKUP($AP47,Programma!$F$3:$V$1101,17,0),"")</f>
        <v>_</v>
      </c>
      <c r="BG47" s="448" t="str">
        <f>_xlfn.IFNA(VLOOKUP($AP47,Programma!$F$3:$W$1101,18,0),"")</f>
        <v>_</v>
      </c>
      <c r="BH47" s="448" t="str">
        <f>_xlfn.IFNA(VLOOKUP($AP47,Programma!$F$3:$X$1101,19,0),"")</f>
        <v>_</v>
      </c>
      <c r="BI47" s="448" t="str">
        <f>_xlfn.IFNA(VLOOKUP($AP47,Programma!$F$3:$Y$1101,20,0),"")</f>
        <v>_</v>
      </c>
      <c r="BJ47" s="449"/>
      <c r="BK47" s="447" t="str">
        <f>IF(Ruimtestaat[[#This Row],[Frequentie weekend]]="","",_xlfn.CONCAT(Ruimtestaat[[#This Row],[Ruimte code]],"-",Ruimtestaat[[#This Row],[Frequentie weekend]]," ",Ruimtestaat[[#This Row],[Vloer code]]))</f>
        <v/>
      </c>
      <c r="BL47" s="448" t="str">
        <f>_xlfn.IFNA(VLOOKUP($BK47,Programma!$F$3:$G$1101,2,0),"")</f>
        <v/>
      </c>
      <c r="BM47" s="448" t="str">
        <f>_xlfn.IFNA(VLOOKUP($BK47,Programma!$F$3:$H$1101,3,0),"")</f>
        <v/>
      </c>
      <c r="BN47" s="448" t="str">
        <f>_xlfn.IFNA(VLOOKUP($BK47,Programma!$F$3:$I$1101,4,0),"")</f>
        <v/>
      </c>
      <c r="BO47" s="448" t="str">
        <f>_xlfn.IFNA(VLOOKUP($BK47,Programma!$F$3:$J$1101,5,0),"")</f>
        <v/>
      </c>
      <c r="BP47" s="448" t="str">
        <f>_xlfn.IFNA(VLOOKUP($BK47,Programma!$F$3:$K$1101,6,0),"")</f>
        <v/>
      </c>
      <c r="BQ47" s="448" t="str">
        <f>_xlfn.IFNA(VLOOKUP($BK47,Programma!$F$3:$L$1101,7,0),"")</f>
        <v/>
      </c>
      <c r="BR47" s="448" t="str">
        <f>_xlfn.IFNA(VLOOKUP($BK47,Programma!$F$3:$M$1101,8,0),"")</f>
        <v/>
      </c>
      <c r="BS47" s="448" t="str">
        <f>_xlfn.IFNA(VLOOKUP($BK47,Programma!$F$3:$N$1101,9,0),"")</f>
        <v/>
      </c>
      <c r="BT47" s="448" t="str">
        <f>_xlfn.IFNA(VLOOKUP($BK47,Programma!$F$3:$O$1101,10,0),"")</f>
        <v/>
      </c>
      <c r="BU47" s="448" t="str">
        <f>_xlfn.IFNA(VLOOKUP($BK47,Programma!$F$3:$P$1101,11,0),"")</f>
        <v/>
      </c>
      <c r="BV47" s="448" t="str">
        <f>_xlfn.IFNA(VLOOKUP($BK47,Programma!$F$3:$Q$1101,12,0),"")</f>
        <v/>
      </c>
      <c r="BW47" s="448" t="str">
        <f>_xlfn.IFNA(VLOOKUP($BK47,Programma!$F$3:$R$1101,13,0),"")</f>
        <v/>
      </c>
      <c r="BX47" s="448" t="str">
        <f>_xlfn.IFNA(VLOOKUP($BK47,Programma!$F$3:$S$1101,14,0),"")</f>
        <v/>
      </c>
      <c r="BY47" s="448" t="str">
        <f>_xlfn.IFNA(VLOOKUP($BK47,Programma!$F$3:$T$1101,15,0),"")</f>
        <v/>
      </c>
      <c r="BZ47" s="448" t="str">
        <f>_xlfn.IFNA(VLOOKUP($BK47,Programma!$F$3:$U$1101,16,0),"")</f>
        <v/>
      </c>
      <c r="CA47" s="448" t="str">
        <f>_xlfn.IFNA(VLOOKUP($BK47,Programma!$F$3:$V$1101,17,0),"")</f>
        <v/>
      </c>
      <c r="CB47" s="448" t="str">
        <f>_xlfn.IFNA(VLOOKUP($BK47,Programma!$F$3:$W$1101,18,0),"")</f>
        <v/>
      </c>
      <c r="CC47" s="448" t="str">
        <f>_xlfn.IFNA(VLOOKUP($BK47,Programma!$F$3:$X$1101,19,0),"")</f>
        <v/>
      </c>
      <c r="CD47" s="448" t="str">
        <f>_xlfn.IFNA(VLOOKUP($BK47,Programma!$F$3:$Y$1101,20,0),"")</f>
        <v/>
      </c>
      <c r="CE47" s="327"/>
      <c r="CF47" s="327"/>
      <c r="CG47" s="327"/>
      <c r="CH47" s="327"/>
      <c r="CI47" s="327"/>
      <c r="CJ47" s="327"/>
      <c r="CK47" s="327"/>
      <c r="CL47" s="327"/>
      <c r="CM47" s="327"/>
      <c r="CN47" s="327"/>
      <c r="CO47" s="327"/>
      <c r="CP47" s="327"/>
      <c r="CQ47" s="327"/>
      <c r="CR47" s="327"/>
      <c r="CS47" s="327"/>
      <c r="CT47" s="327"/>
      <c r="CU47" s="327"/>
      <c r="CV47" s="327"/>
      <c r="CW47" s="327"/>
      <c r="CX47" s="327"/>
      <c r="CY47" s="327"/>
      <c r="CZ47" s="327"/>
      <c r="DA47" s="327"/>
      <c r="DB47" s="327"/>
      <c r="DC47" s="327"/>
      <c r="DD47" s="327"/>
      <c r="DE47" s="327"/>
      <c r="DF47" s="327"/>
      <c r="DG47" s="327"/>
      <c r="DH47" s="327"/>
      <c r="DI47" s="327"/>
      <c r="DJ47" s="327"/>
      <c r="DK47" s="327"/>
      <c r="DL47" s="327"/>
      <c r="DM47" s="327"/>
      <c r="DN47" s="327"/>
      <c r="DO47" s="327"/>
      <c r="DP47" s="327"/>
      <c r="DQ47" s="327"/>
      <c r="DR47" s="327"/>
      <c r="DS47" s="327"/>
      <c r="DT47" s="327"/>
      <c r="DU47" s="327"/>
      <c r="DV47" s="327"/>
      <c r="DW47" s="327"/>
      <c r="DX47" s="327"/>
      <c r="DY47" s="327"/>
      <c r="DZ47" s="327"/>
      <c r="EA47" s="327"/>
      <c r="EB47" s="327"/>
      <c r="EC47" s="327"/>
      <c r="ED47" s="327"/>
      <c r="EE47" s="327"/>
      <c r="EF47" s="327"/>
      <c r="EG47" s="327"/>
      <c r="EH47" s="327"/>
      <c r="EI47" s="327"/>
      <c r="EJ47" s="327"/>
      <c r="EK47" s="327"/>
      <c r="EL47" s="327"/>
      <c r="EM47" s="327"/>
      <c r="EN47" s="327"/>
      <c r="EO47" s="327"/>
      <c r="EP47" s="327"/>
      <c r="EQ47" s="327"/>
      <c r="ER47" s="327"/>
      <c r="ES47" s="327"/>
      <c r="ET47" s="327"/>
      <c r="EU47" s="327"/>
      <c r="EV47" s="327"/>
      <c r="EW47" s="327"/>
      <c r="EX47" s="327"/>
      <c r="EY47" s="327"/>
      <c r="EZ47" s="327"/>
      <c r="FA47" s="327"/>
      <c r="FB47" s="327"/>
      <c r="FC47" s="327"/>
      <c r="FD47" s="327"/>
      <c r="FE47" s="327"/>
      <c r="FF47" s="327"/>
      <c r="FG47" s="327"/>
      <c r="FH47" s="327"/>
      <c r="FI47" s="327"/>
      <c r="FJ47" s="327"/>
      <c r="FK47" s="327"/>
      <c r="FL47" s="327"/>
      <c r="FM47" s="327"/>
      <c r="FN47" s="327"/>
      <c r="FO47" s="327"/>
      <c r="FP47" s="327"/>
      <c r="FQ47" s="327"/>
      <c r="FR47" s="327"/>
      <c r="FS47" s="327"/>
      <c r="FT47" s="327"/>
      <c r="FU47" s="327"/>
      <c r="FV47" s="327"/>
      <c r="FW47" s="327"/>
      <c r="FX47" s="327"/>
      <c r="FY47" s="327"/>
      <c r="FZ47" s="327"/>
      <c r="GA47" s="327"/>
      <c r="GB47" s="327"/>
      <c r="GC47" s="327"/>
      <c r="GD47" s="327"/>
      <c r="GE47" s="327"/>
      <c r="GF47" s="327"/>
      <c r="GG47" s="327"/>
      <c r="GH47" s="327"/>
      <c r="GI47" s="327"/>
      <c r="GJ47" s="327"/>
      <c r="GK47" s="327"/>
      <c r="GL47" s="327"/>
      <c r="GM47" s="327"/>
      <c r="GN47" s="327"/>
      <c r="GO47" s="327"/>
      <c r="GP47" s="327"/>
      <c r="GQ47" s="327"/>
      <c r="GR47" s="327"/>
      <c r="GS47" s="327"/>
      <c r="GT47" s="327"/>
      <c r="GU47" s="327"/>
      <c r="GV47" s="327"/>
      <c r="GW47" s="327"/>
      <c r="GX47" s="327"/>
      <c r="GY47" s="327"/>
      <c r="GZ47" s="327"/>
      <c r="HA47" s="327"/>
      <c r="HB47" s="327"/>
      <c r="HC47" s="327"/>
      <c r="HD47" s="327"/>
      <c r="HE47" s="327"/>
      <c r="HF47" s="327"/>
      <c r="HG47" s="327"/>
      <c r="HH47" s="327"/>
      <c r="HI47" s="327"/>
      <c r="HJ47" s="327"/>
      <c r="HK47" s="327"/>
      <c r="HL47" s="327"/>
      <c r="HM47" s="327"/>
      <c r="HN47" s="327"/>
      <c r="HO47" s="327"/>
      <c r="HP47" s="327"/>
      <c r="HQ47" s="327"/>
      <c r="HR47" s="327"/>
      <c r="HS47" s="327"/>
    </row>
    <row r="48" spans="1:227" ht="15" customHeight="1">
      <c r="A48" s="434">
        <v>3</v>
      </c>
      <c r="B48" s="435" t="str">
        <f>VLOOKUP(Ruimtestaat[[#This Row],[Code]],Locaties[[Code]:[Locatie]],2,FALSE)</f>
        <v>IKC De Saffier</v>
      </c>
      <c r="C48" s="435" t="str">
        <f>VLOOKUP(Ruimtestaat[[#This Row],[Code]],Locaties[[#All],[Code]:[Adres]],4,FALSE)</f>
        <v>Elektrablauw 5</v>
      </c>
      <c r="D48" s="435" t="str">
        <f>VLOOKUP(Ruimtestaat[[#This Row],[Code]],Locaties[[#All],[Code]:[Postcode]],5,FALSE)</f>
        <v>2718 JT</v>
      </c>
      <c r="E48" s="435" t="str">
        <f>VLOOKUP(Ruimtestaat[[#This Row],[Code]],Locaties[#All],6,FALSE)</f>
        <v>Zoetermeer</v>
      </c>
      <c r="F48" s="450" t="s">
        <v>1705</v>
      </c>
      <c r="G48" s="434" t="s">
        <v>1678</v>
      </c>
      <c r="H48" s="436" t="s">
        <v>1682</v>
      </c>
      <c r="I48" s="437" t="s">
        <v>1673</v>
      </c>
      <c r="J48" s="330">
        <v>5</v>
      </c>
      <c r="K48" s="450" t="str">
        <f>VLOOKUP(Ruimtestaat[[#This Row],[Ruimte code]],Ruimtegroepen[[#All],[Code]:[Ruimte omschrijving]],2,FALSE)</f>
        <v>Sanitair</v>
      </c>
      <c r="L48" s="434" t="s">
        <v>102</v>
      </c>
      <c r="M48" s="437" t="s">
        <v>2105</v>
      </c>
      <c r="N48" s="439"/>
      <c r="O48" s="439"/>
      <c r="P48" s="439"/>
      <c r="Q48" s="439">
        <v>4</v>
      </c>
      <c r="R48" s="440" t="str">
        <f>VLOOKUP(Ruimtestaat[[#This Row],[Ruimte code]],Ruimtegroepen[],4,FALSE)</f>
        <v>Sa</v>
      </c>
      <c r="S48" s="434">
        <v>51</v>
      </c>
      <c r="T48" s="434" t="s">
        <v>20</v>
      </c>
      <c r="U48" s="434">
        <f>IF(S48&gt;0,IF(RIGHT(Ruimtestaat[[#This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48" s="434">
        <f>IF(U48&gt;0,VLOOKUP($J48,Ruimtegroepen[],3,FALSE)*VLOOKUP($L48,Vloersoorten[],3,FALSE)*VLOOKUP($T48,Frequenties[],3,FALSE)*VLOOKUP($A48,Locaties[],3,FALSE),0)</f>
        <v>0</v>
      </c>
      <c r="W48" s="434">
        <f>Ruimtestaat[[#This Row],[Uitvoeringen werkdagen]]*Ruimtestaat[[#This Row],[Oppervlak (netto)]]</f>
        <v>0</v>
      </c>
      <c r="X48" s="441">
        <f>IF(V48&gt;0,Ruimtestaat[[#This Row],[Prest. (m2 /jaar) werkdagen]]/Ruimtestaat[[#This Row],[Norm (m2/uur) werkdagen]],0)</f>
        <v>0</v>
      </c>
      <c r="Y48" s="442">
        <f>Ruimtestaat[[#This Row],[Uitvoeringen werkdagen]]*Ruimtestaat[[#This Row],[Gedeeltelijk]]</f>
        <v>0</v>
      </c>
      <c r="Z48" s="443" t="e">
        <f>IF(U48&gt;0,Ruimtestaat[[#This Row],[Prest. (m2 / jaar) werkdagen gedeeld]]/Ruimtestaat[[#This Row],[Norm (m2/uur) werkdagen]],0)</f>
        <v>#DIV/0!</v>
      </c>
      <c r="AA48" s="441" t="e">
        <f>Ruimtestaat[[#This Row],[uren / jaar werkdagen gedeeld]]*Tariefsopbouw!$E$35</f>
        <v>#DIV/0!</v>
      </c>
      <c r="AB48" s="441">
        <f>Ruimtestaat[[#This Row],[Uitvoeringen werkdagen]]*Ruimtestaat[[#This Row],[BSO]]</f>
        <v>816</v>
      </c>
      <c r="AC48" s="443" t="e">
        <f>IF(U48&gt;0,Ruimtestaat[[#This Row],[Prest. (m2 / jaar) werkdagen BSO]]/Ruimtestaat[[#This Row],[Norm (m2/uur) werkdagen]],0)</f>
        <v>#DIV/0!</v>
      </c>
      <c r="AD48" s="443" t="e">
        <f>Ruimtestaat[[#This Row],[uren / jaar werkdagen BSO]]*Tariefsopbouw!$E$35</f>
        <v>#DIV/0!</v>
      </c>
      <c r="AE48" s="444">
        <f>Ruimtestaat[[#This Row],[uren / jaar werkdagen]]*Tariefsopbouw!$E$35</f>
        <v>0</v>
      </c>
      <c r="AF48" s="434"/>
      <c r="AG48" s="434">
        <f>IF(Ruimtestaat[[#This Row],[Frequentie weekend]]&gt;0,VALUE(LEFT(AF48,1))*S48,0)</f>
        <v>0</v>
      </c>
      <c r="AH48" s="445">
        <f>IF($AG48&gt;0,VLOOKUP($J48,Ruimtegroepen[],3,FALSE)*VLOOKUP($L48,Vloersoorten[],3,FALSE)*VLOOKUP($AF48,Frequenties[],3,FALSE)*VLOOKUP(Ruimtestaat[[#This Row],[Code]],Locaties[],3,FALSE),0)</f>
        <v>0</v>
      </c>
      <c r="AI48" s="445">
        <f>Ruimtestaat[[#This Row],[Uitvoeringen weekend]]*Ruimtestaat[[#This Row],[Oppervlak (netto)]]</f>
        <v>0</v>
      </c>
      <c r="AJ48" s="445">
        <f>IF(AH48&gt;0,Ruimtestaat[[#This Row],[Prest. (m2 /jaar) weekend]]/Ruimtestaat[[#This Row],[Norm (m2/uur) weekend]],0)</f>
        <v>0</v>
      </c>
      <c r="AK48" s="444">
        <f>Ruimtestaat[[#This Row],[uren / jaar weekend]]*Tariefsopbouw!$D$40</f>
        <v>0</v>
      </c>
      <c r="AL48" s="441">
        <f>Ruimtestaat[[#This Row],[Prest. (m2 /jaar) weekend]]+Ruimtestaat[[#This Row],[Prest. (m2 /jaar) werkdagen]]</f>
        <v>0</v>
      </c>
      <c r="AM48" s="441">
        <f>Ruimtestaat[[#This Row],[uren / jaar weekend]]+Ruimtestaat[[#This Row],[uren / jaar werkdagen]]</f>
        <v>0</v>
      </c>
      <c r="AN48" s="446">
        <f>Ruimtestaat[[#This Row],[kosten / jaar weekend]]+Ruimtestaat[[#This Row],[kosten / jaar werkdagen]]</f>
        <v>0</v>
      </c>
      <c r="AO48" s="446"/>
      <c r="AP48" s="447" t="str">
        <f>IF(Ruimtestaat[[#This Row],[Frequentie werkdagen]]="","",_xlfn.CONCAT(Ruimtestaat[[#This Row],[Ruimte code]],"-",Ruimtestaat[[#This Row],[Frequentie werkdagen]]," ",Ruimtestaat[[#This Row],[Vloer code]]))</f>
        <v>5-4w P</v>
      </c>
      <c r="AQ48" s="448" t="str">
        <f>_xlfn.IFNA(VLOOKUP($AP48,Programma!$F$3:$G$1101,2,0),"")</f>
        <v>_</v>
      </c>
      <c r="AR48" s="448" t="str">
        <f>_xlfn.IFNA(VLOOKUP($AP48,Programma!$F$3:$H$1101,3,0),"")</f>
        <v>_</v>
      </c>
      <c r="AS48" s="448" t="str">
        <f>_xlfn.IFNA(VLOOKUP($AP48,Programma!$F$3:$I$1101,4,0),"")</f>
        <v>_</v>
      </c>
      <c r="AT48" s="448" t="str">
        <f>_xlfn.IFNA(VLOOKUP($AP48,Programma!$F$3:$J$1101,5,0),"")</f>
        <v>3w</v>
      </c>
      <c r="AU48" s="448" t="str">
        <f>_xlfn.IFNA(VLOOKUP($AP48,Programma!$F$3:$K$1101,6,0),"")</f>
        <v>1w</v>
      </c>
      <c r="AV48" s="448" t="str">
        <f>_xlfn.IFNA(VLOOKUP($AP48,Programma!$F$3:$L$1101,7,0),"")</f>
        <v>_</v>
      </c>
      <c r="AW48" s="448" t="str">
        <f>_xlfn.IFNA(VLOOKUP($AP48,Programma!$F$3:$M$1101,8,0),"")</f>
        <v>_</v>
      </c>
      <c r="AX48" s="448" t="str">
        <f>_xlfn.IFNA(VLOOKUP($AP48,Programma!$F$3:$N$1101,9,0),"")</f>
        <v>_</v>
      </c>
      <c r="AY48" s="448" t="str">
        <f>_xlfn.IFNA(VLOOKUP($AP48,Programma!$F$3:$O$1101,10,0),"")</f>
        <v>_</v>
      </c>
      <c r="AZ48" s="448" t="str">
        <f>_xlfn.IFNA(VLOOKUP($AP48,Programma!$F$3:$P$1101,11,0),"")</f>
        <v>_</v>
      </c>
      <c r="BA48" s="448" t="str">
        <f>_xlfn.IFNA(VLOOKUP($AP48,Programma!$F$3:$Q$1101,12,0),"")</f>
        <v>_</v>
      </c>
      <c r="BB48" s="448" t="str">
        <f>_xlfn.IFNA(VLOOKUP($AP48,Programma!$F$3:$R$1101,13,0),"")</f>
        <v>_</v>
      </c>
      <c r="BC48" s="448" t="str">
        <f>_xlfn.IFNA(VLOOKUP($AP48,Programma!$F$3:$S$1101,14,0),"")</f>
        <v>_</v>
      </c>
      <c r="BD48" s="448" t="str">
        <f>_xlfn.IFNA(VLOOKUP($AP48,Programma!$F$3:$T$1101,15,0),"")</f>
        <v>_</v>
      </c>
      <c r="BE48" s="448" t="str">
        <f>_xlfn.IFNA(VLOOKUP($AP48,Programma!$F$3:$U$1101,16,0),"")</f>
        <v>_</v>
      </c>
      <c r="BF48" s="448" t="str">
        <f>_xlfn.IFNA(VLOOKUP($AP48,Programma!$F$3:$V$1101,17,0),"")</f>
        <v>_</v>
      </c>
      <c r="BG48" s="448" t="str">
        <f>_xlfn.IFNA(VLOOKUP($AP48,Programma!$F$3:$W$1101,18,0),"")</f>
        <v>3w</v>
      </c>
      <c r="BH48" s="448" t="str">
        <f>_xlfn.IFNA(VLOOKUP($AP48,Programma!$F$3:$X$1101,19,0),"")</f>
        <v>1w</v>
      </c>
      <c r="BI48" s="448" t="str">
        <f>_xlfn.IFNA(VLOOKUP($AP48,Programma!$F$3:$Y$1101,20,0),"")</f>
        <v>_</v>
      </c>
      <c r="BJ48" s="449"/>
      <c r="BK48" s="447" t="str">
        <f>IF(Ruimtestaat[[#This Row],[Frequentie weekend]]="","",_xlfn.CONCAT(Ruimtestaat[[#This Row],[Ruimte code]],"-",Ruimtestaat[[#This Row],[Frequentie weekend]]," ",Ruimtestaat[[#This Row],[Vloer code]]))</f>
        <v/>
      </c>
      <c r="BL48" s="448" t="str">
        <f>_xlfn.IFNA(VLOOKUP($BK48,Programma!$F$3:$G$1101,2,0),"")</f>
        <v/>
      </c>
      <c r="BM48" s="448" t="str">
        <f>_xlfn.IFNA(VLOOKUP($BK48,Programma!$F$3:$H$1101,3,0),"")</f>
        <v/>
      </c>
      <c r="BN48" s="448" t="str">
        <f>_xlfn.IFNA(VLOOKUP($BK48,Programma!$F$3:$I$1101,4,0),"")</f>
        <v/>
      </c>
      <c r="BO48" s="448" t="str">
        <f>_xlfn.IFNA(VLOOKUP($BK48,Programma!$F$3:$J$1101,5,0),"")</f>
        <v/>
      </c>
      <c r="BP48" s="448" t="str">
        <f>_xlfn.IFNA(VLOOKUP($BK48,Programma!$F$3:$K$1101,6,0),"")</f>
        <v/>
      </c>
      <c r="BQ48" s="448" t="str">
        <f>_xlfn.IFNA(VLOOKUP($BK48,Programma!$F$3:$L$1101,7,0),"")</f>
        <v/>
      </c>
      <c r="BR48" s="448" t="str">
        <f>_xlfn.IFNA(VLOOKUP($BK48,Programma!$F$3:$M$1101,8,0),"")</f>
        <v/>
      </c>
      <c r="BS48" s="448" t="str">
        <f>_xlfn.IFNA(VLOOKUP($BK48,Programma!$F$3:$N$1101,9,0),"")</f>
        <v/>
      </c>
      <c r="BT48" s="448" t="str">
        <f>_xlfn.IFNA(VLOOKUP($BK48,Programma!$F$3:$O$1101,10,0),"")</f>
        <v/>
      </c>
      <c r="BU48" s="448" t="str">
        <f>_xlfn.IFNA(VLOOKUP($BK48,Programma!$F$3:$P$1101,11,0),"")</f>
        <v/>
      </c>
      <c r="BV48" s="448" t="str">
        <f>_xlfn.IFNA(VLOOKUP($BK48,Programma!$F$3:$Q$1101,12,0),"")</f>
        <v/>
      </c>
      <c r="BW48" s="448" t="str">
        <f>_xlfn.IFNA(VLOOKUP($BK48,Programma!$F$3:$R$1101,13,0),"")</f>
        <v/>
      </c>
      <c r="BX48" s="448" t="str">
        <f>_xlfn.IFNA(VLOOKUP($BK48,Programma!$F$3:$S$1101,14,0),"")</f>
        <v/>
      </c>
      <c r="BY48" s="448" t="str">
        <f>_xlfn.IFNA(VLOOKUP($BK48,Programma!$F$3:$T$1101,15,0),"")</f>
        <v/>
      </c>
      <c r="BZ48" s="448" t="str">
        <f>_xlfn.IFNA(VLOOKUP($BK48,Programma!$F$3:$U$1101,16,0),"")</f>
        <v/>
      </c>
      <c r="CA48" s="448" t="str">
        <f>_xlfn.IFNA(VLOOKUP($BK48,Programma!$F$3:$V$1101,17,0),"")</f>
        <v/>
      </c>
      <c r="CB48" s="448" t="str">
        <f>_xlfn.IFNA(VLOOKUP($BK48,Programma!$F$3:$W$1101,18,0),"")</f>
        <v/>
      </c>
      <c r="CC48" s="448" t="str">
        <f>_xlfn.IFNA(VLOOKUP($BK48,Programma!$F$3:$X$1101,19,0),"")</f>
        <v/>
      </c>
      <c r="CD48" s="448" t="str">
        <f>_xlfn.IFNA(VLOOKUP($BK48,Programma!$F$3:$Y$1101,20,0),"")</f>
        <v/>
      </c>
      <c r="CE48" s="327"/>
      <c r="CF48" s="327"/>
      <c r="CG48" s="327"/>
      <c r="CH48" s="327"/>
      <c r="CI48" s="327"/>
      <c r="CJ48" s="327"/>
      <c r="CK48" s="327"/>
      <c r="CL48" s="327"/>
      <c r="CM48" s="327"/>
      <c r="CN48" s="327"/>
      <c r="CO48" s="327"/>
      <c r="CP48" s="327"/>
      <c r="CQ48" s="327"/>
      <c r="CR48" s="327"/>
      <c r="CS48" s="327"/>
      <c r="CT48" s="327"/>
      <c r="CU48" s="327"/>
      <c r="CV48" s="327"/>
      <c r="CW48" s="327"/>
      <c r="CX48" s="327"/>
      <c r="CY48" s="327"/>
      <c r="CZ48" s="327"/>
      <c r="DA48" s="327"/>
      <c r="DB48" s="327"/>
      <c r="DC48" s="327"/>
      <c r="DD48" s="327"/>
      <c r="DE48" s="327"/>
      <c r="DF48" s="327"/>
      <c r="DG48" s="327"/>
      <c r="DH48" s="327"/>
      <c r="DI48" s="327"/>
      <c r="DJ48" s="327"/>
      <c r="DK48" s="327"/>
      <c r="DL48" s="327"/>
      <c r="DM48" s="327"/>
      <c r="DN48" s="327"/>
      <c r="DO48" s="327"/>
      <c r="DP48" s="327"/>
      <c r="DQ48" s="327"/>
      <c r="DR48" s="327"/>
      <c r="DS48" s="327"/>
      <c r="DT48" s="327"/>
      <c r="DU48" s="327"/>
      <c r="DV48" s="327"/>
      <c r="DW48" s="327"/>
      <c r="DX48" s="327"/>
      <c r="DY48" s="327"/>
      <c r="DZ48" s="327"/>
      <c r="EA48" s="327"/>
      <c r="EB48" s="327"/>
      <c r="EC48" s="327"/>
      <c r="ED48" s="327"/>
      <c r="EE48" s="327"/>
      <c r="EF48" s="327"/>
      <c r="EG48" s="327"/>
      <c r="EH48" s="327"/>
      <c r="EI48" s="327"/>
      <c r="EJ48" s="327"/>
      <c r="EK48" s="327"/>
      <c r="EL48" s="327"/>
      <c r="EM48" s="327"/>
      <c r="EN48" s="327"/>
      <c r="EO48" s="327"/>
      <c r="EP48" s="327"/>
      <c r="EQ48" s="327"/>
      <c r="ER48" s="327"/>
      <c r="ES48" s="327"/>
      <c r="ET48" s="327"/>
      <c r="EU48" s="327"/>
      <c r="EV48" s="327"/>
      <c r="EW48" s="327"/>
      <c r="EX48" s="327"/>
      <c r="EY48" s="327"/>
      <c r="EZ48" s="327"/>
      <c r="FA48" s="327"/>
      <c r="FB48" s="327"/>
      <c r="FC48" s="327"/>
      <c r="FD48" s="327"/>
      <c r="FE48" s="327"/>
      <c r="FF48" s="327"/>
      <c r="FG48" s="327"/>
      <c r="FH48" s="327"/>
      <c r="FI48" s="327"/>
      <c r="FJ48" s="327"/>
      <c r="FK48" s="327"/>
      <c r="FL48" s="327"/>
      <c r="FM48" s="327"/>
      <c r="FN48" s="327"/>
      <c r="FO48" s="327"/>
      <c r="FP48" s="327"/>
      <c r="FQ48" s="327"/>
      <c r="FR48" s="327"/>
      <c r="FS48" s="327"/>
      <c r="FT48" s="327"/>
      <c r="FU48" s="327"/>
      <c r="FV48" s="327"/>
      <c r="FW48" s="327"/>
      <c r="FX48" s="327"/>
      <c r="FY48" s="327"/>
      <c r="FZ48" s="327"/>
      <c r="GA48" s="327"/>
      <c r="GB48" s="327"/>
      <c r="GC48" s="327"/>
      <c r="GD48" s="327"/>
      <c r="GE48" s="327"/>
      <c r="GF48" s="327"/>
      <c r="GG48" s="327"/>
      <c r="GH48" s="327"/>
      <c r="GI48" s="327"/>
      <c r="GJ48" s="327"/>
      <c r="GK48" s="327"/>
      <c r="GL48" s="327"/>
      <c r="GM48" s="327"/>
      <c r="GN48" s="327"/>
      <c r="GO48" s="327"/>
      <c r="GP48" s="327"/>
      <c r="GQ48" s="327"/>
      <c r="GR48" s="327"/>
      <c r="GS48" s="327"/>
      <c r="GT48" s="327"/>
      <c r="GU48" s="327"/>
      <c r="GV48" s="327"/>
      <c r="GW48" s="327"/>
      <c r="GX48" s="327"/>
      <c r="GY48" s="327"/>
      <c r="GZ48" s="327"/>
      <c r="HA48" s="327"/>
      <c r="HB48" s="327"/>
      <c r="HC48" s="327"/>
      <c r="HD48" s="327"/>
      <c r="HE48" s="327"/>
      <c r="HF48" s="327"/>
      <c r="HG48" s="327"/>
      <c r="HH48" s="327"/>
      <c r="HI48" s="327"/>
      <c r="HJ48" s="327"/>
      <c r="HK48" s="327"/>
      <c r="HL48" s="327"/>
      <c r="HM48" s="327"/>
      <c r="HN48" s="327"/>
      <c r="HO48" s="327"/>
      <c r="HP48" s="327"/>
      <c r="HQ48" s="327"/>
      <c r="HR48" s="327"/>
      <c r="HS48" s="327"/>
    </row>
    <row r="49" spans="1:227" ht="15" customHeight="1">
      <c r="A49" s="434">
        <v>3</v>
      </c>
      <c r="B49" s="435" t="str">
        <f>VLOOKUP(Ruimtestaat[[#This Row],[Code]],Locaties[[Code]:[Locatie]],2,FALSE)</f>
        <v>IKC De Saffier</v>
      </c>
      <c r="C49" s="435" t="str">
        <f>VLOOKUP(Ruimtestaat[[#This Row],[Code]],Locaties[[#All],[Code]:[Adres]],4,FALSE)</f>
        <v>Elektrablauw 5</v>
      </c>
      <c r="D49" s="435" t="str">
        <f>VLOOKUP(Ruimtestaat[[#This Row],[Code]],Locaties[[#All],[Code]:[Postcode]],5,FALSE)</f>
        <v>2718 JT</v>
      </c>
      <c r="E49" s="435" t="str">
        <f>VLOOKUP(Ruimtestaat[[#This Row],[Code]],Locaties[#All],6,FALSE)</f>
        <v>Zoetermeer</v>
      </c>
      <c r="F49" s="450" t="s">
        <v>1705</v>
      </c>
      <c r="G49" s="434" t="s">
        <v>1678</v>
      </c>
      <c r="H49" s="436" t="s">
        <v>1701</v>
      </c>
      <c r="I49" s="437" t="s">
        <v>1673</v>
      </c>
      <c r="J49" s="330">
        <v>5</v>
      </c>
      <c r="K49" s="450" t="str">
        <f>VLOOKUP(Ruimtestaat[[#This Row],[Ruimte code]],Ruimtegroepen[[#All],[Code]:[Ruimte omschrijving]],2,FALSE)</f>
        <v>Sanitair</v>
      </c>
      <c r="L49" s="434" t="s">
        <v>102</v>
      </c>
      <c r="M49" s="437" t="s">
        <v>2105</v>
      </c>
      <c r="N49" s="439"/>
      <c r="O49" s="439"/>
      <c r="P49" s="439"/>
      <c r="Q49" s="439">
        <v>5</v>
      </c>
      <c r="R49" s="440" t="str">
        <f>VLOOKUP(Ruimtestaat[[#This Row],[Ruimte code]],Ruimtegroepen[],4,FALSE)</f>
        <v>Sa</v>
      </c>
      <c r="S49" s="434">
        <v>51</v>
      </c>
      <c r="T49" s="434" t="s">
        <v>20</v>
      </c>
      <c r="U49" s="434">
        <f>IF(S49&gt;0,IF(RIGHT(Ruimtestaat[[#This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49" s="434">
        <f>IF(U49&gt;0,VLOOKUP($J49,Ruimtegroepen[],3,FALSE)*VLOOKUP($L49,Vloersoorten[],3,FALSE)*VLOOKUP($T49,Frequenties[],3,FALSE)*VLOOKUP($A49,Locaties[],3,FALSE),0)</f>
        <v>0</v>
      </c>
      <c r="W49" s="434">
        <f>Ruimtestaat[[#This Row],[Uitvoeringen werkdagen]]*Ruimtestaat[[#This Row],[Oppervlak (netto)]]</f>
        <v>0</v>
      </c>
      <c r="X49" s="441">
        <f>IF(V49&gt;0,Ruimtestaat[[#This Row],[Prest. (m2 /jaar) werkdagen]]/Ruimtestaat[[#This Row],[Norm (m2/uur) werkdagen]],0)</f>
        <v>0</v>
      </c>
      <c r="Y49" s="442">
        <f>Ruimtestaat[[#This Row],[Uitvoeringen werkdagen]]*Ruimtestaat[[#This Row],[Gedeeltelijk]]</f>
        <v>0</v>
      </c>
      <c r="Z49" s="443" t="e">
        <f>IF(U49&gt;0,Ruimtestaat[[#This Row],[Prest. (m2 / jaar) werkdagen gedeeld]]/Ruimtestaat[[#This Row],[Norm (m2/uur) werkdagen]],0)</f>
        <v>#DIV/0!</v>
      </c>
      <c r="AA49" s="441" t="e">
        <f>Ruimtestaat[[#This Row],[uren / jaar werkdagen gedeeld]]*Tariefsopbouw!$E$35</f>
        <v>#DIV/0!</v>
      </c>
      <c r="AB49" s="441">
        <f>Ruimtestaat[[#This Row],[Uitvoeringen werkdagen]]*Ruimtestaat[[#This Row],[BSO]]</f>
        <v>1020</v>
      </c>
      <c r="AC49" s="443" t="e">
        <f>IF(U49&gt;0,Ruimtestaat[[#This Row],[Prest. (m2 / jaar) werkdagen BSO]]/Ruimtestaat[[#This Row],[Norm (m2/uur) werkdagen]],0)</f>
        <v>#DIV/0!</v>
      </c>
      <c r="AD49" s="443" t="e">
        <f>Ruimtestaat[[#This Row],[uren / jaar werkdagen BSO]]*Tariefsopbouw!$E$35</f>
        <v>#DIV/0!</v>
      </c>
      <c r="AE49" s="444">
        <f>Ruimtestaat[[#This Row],[uren / jaar werkdagen]]*Tariefsopbouw!$E$35</f>
        <v>0</v>
      </c>
      <c r="AF49" s="434"/>
      <c r="AG49" s="434">
        <f>IF(Ruimtestaat[[#This Row],[Frequentie weekend]]&gt;0,VALUE(LEFT(AF49,1))*S49,0)</f>
        <v>0</v>
      </c>
      <c r="AH49" s="445">
        <f>IF($AG49&gt;0,VLOOKUP($J49,Ruimtegroepen[],3,FALSE)*VLOOKUP($L49,Vloersoorten[],3,FALSE)*VLOOKUP($AF49,Frequenties[],3,FALSE)*VLOOKUP(Ruimtestaat[[#This Row],[Code]],Locaties[],3,FALSE),0)</f>
        <v>0</v>
      </c>
      <c r="AI49" s="445">
        <f>Ruimtestaat[[#This Row],[Uitvoeringen weekend]]*Ruimtestaat[[#This Row],[Oppervlak (netto)]]</f>
        <v>0</v>
      </c>
      <c r="AJ49" s="445">
        <f>IF(AH49&gt;0,Ruimtestaat[[#This Row],[Prest. (m2 /jaar) weekend]]/Ruimtestaat[[#This Row],[Norm (m2/uur) weekend]],0)</f>
        <v>0</v>
      </c>
      <c r="AK49" s="444">
        <f>Ruimtestaat[[#This Row],[uren / jaar weekend]]*Tariefsopbouw!$D$40</f>
        <v>0</v>
      </c>
      <c r="AL49" s="441">
        <f>Ruimtestaat[[#This Row],[Prest. (m2 /jaar) weekend]]+Ruimtestaat[[#This Row],[Prest. (m2 /jaar) werkdagen]]</f>
        <v>0</v>
      </c>
      <c r="AM49" s="441">
        <f>Ruimtestaat[[#This Row],[uren / jaar weekend]]+Ruimtestaat[[#This Row],[uren / jaar werkdagen]]</f>
        <v>0</v>
      </c>
      <c r="AN49" s="446">
        <f>Ruimtestaat[[#This Row],[kosten / jaar weekend]]+Ruimtestaat[[#This Row],[kosten / jaar werkdagen]]</f>
        <v>0</v>
      </c>
      <c r="AO49" s="446"/>
      <c r="AP49" s="447" t="str">
        <f>IF(Ruimtestaat[[#This Row],[Frequentie werkdagen]]="","",_xlfn.CONCAT(Ruimtestaat[[#This Row],[Ruimte code]],"-",Ruimtestaat[[#This Row],[Frequentie werkdagen]]," ",Ruimtestaat[[#This Row],[Vloer code]]))</f>
        <v>5-4w P</v>
      </c>
      <c r="AQ49" s="448" t="str">
        <f>_xlfn.IFNA(VLOOKUP($AP49,Programma!$F$3:$G$1101,2,0),"")</f>
        <v>_</v>
      </c>
      <c r="AR49" s="448" t="str">
        <f>_xlfn.IFNA(VLOOKUP($AP49,Programma!$F$3:$H$1101,3,0),"")</f>
        <v>_</v>
      </c>
      <c r="AS49" s="448" t="str">
        <f>_xlfn.IFNA(VLOOKUP($AP49,Programma!$F$3:$I$1101,4,0),"")</f>
        <v>_</v>
      </c>
      <c r="AT49" s="448" t="str">
        <f>_xlfn.IFNA(VLOOKUP($AP49,Programma!$F$3:$J$1101,5,0),"")</f>
        <v>3w</v>
      </c>
      <c r="AU49" s="448" t="str">
        <f>_xlfn.IFNA(VLOOKUP($AP49,Programma!$F$3:$K$1101,6,0),"")</f>
        <v>1w</v>
      </c>
      <c r="AV49" s="448" t="str">
        <f>_xlfn.IFNA(VLOOKUP($AP49,Programma!$F$3:$L$1101,7,0),"")</f>
        <v>_</v>
      </c>
      <c r="AW49" s="448" t="str">
        <f>_xlfn.IFNA(VLOOKUP($AP49,Programma!$F$3:$M$1101,8,0),"")</f>
        <v>_</v>
      </c>
      <c r="AX49" s="448" t="str">
        <f>_xlfn.IFNA(VLOOKUP($AP49,Programma!$F$3:$N$1101,9,0),"")</f>
        <v>_</v>
      </c>
      <c r="AY49" s="448" t="str">
        <f>_xlfn.IFNA(VLOOKUP($AP49,Programma!$F$3:$O$1101,10,0),"")</f>
        <v>_</v>
      </c>
      <c r="AZ49" s="448" t="str">
        <f>_xlfn.IFNA(VLOOKUP($AP49,Programma!$F$3:$P$1101,11,0),"")</f>
        <v>_</v>
      </c>
      <c r="BA49" s="448" t="str">
        <f>_xlfn.IFNA(VLOOKUP($AP49,Programma!$F$3:$Q$1101,12,0),"")</f>
        <v>_</v>
      </c>
      <c r="BB49" s="448" t="str">
        <f>_xlfn.IFNA(VLOOKUP($AP49,Programma!$F$3:$R$1101,13,0),"")</f>
        <v>_</v>
      </c>
      <c r="BC49" s="448" t="str">
        <f>_xlfn.IFNA(VLOOKUP($AP49,Programma!$F$3:$S$1101,14,0),"")</f>
        <v>_</v>
      </c>
      <c r="BD49" s="448" t="str">
        <f>_xlfn.IFNA(VLOOKUP($AP49,Programma!$F$3:$T$1101,15,0),"")</f>
        <v>_</v>
      </c>
      <c r="BE49" s="448" t="str">
        <f>_xlfn.IFNA(VLOOKUP($AP49,Programma!$F$3:$U$1101,16,0),"")</f>
        <v>_</v>
      </c>
      <c r="BF49" s="448" t="str">
        <f>_xlfn.IFNA(VLOOKUP($AP49,Programma!$F$3:$V$1101,17,0),"")</f>
        <v>_</v>
      </c>
      <c r="BG49" s="448" t="str">
        <f>_xlfn.IFNA(VLOOKUP($AP49,Programma!$F$3:$W$1101,18,0),"")</f>
        <v>3w</v>
      </c>
      <c r="BH49" s="448" t="str">
        <f>_xlfn.IFNA(VLOOKUP($AP49,Programma!$F$3:$X$1101,19,0),"")</f>
        <v>1w</v>
      </c>
      <c r="BI49" s="448" t="str">
        <f>_xlfn.IFNA(VLOOKUP($AP49,Programma!$F$3:$Y$1101,20,0),"")</f>
        <v>_</v>
      </c>
      <c r="BJ49" s="449"/>
      <c r="BK49" s="447" t="str">
        <f>IF(Ruimtestaat[[#This Row],[Frequentie weekend]]="","",_xlfn.CONCAT(Ruimtestaat[[#This Row],[Ruimte code]],"-",Ruimtestaat[[#This Row],[Frequentie weekend]]," ",Ruimtestaat[[#This Row],[Vloer code]]))</f>
        <v/>
      </c>
      <c r="BL49" s="448" t="str">
        <f>_xlfn.IFNA(VLOOKUP($BK49,Programma!$F$3:$G$1101,2,0),"")</f>
        <v/>
      </c>
      <c r="BM49" s="448" t="str">
        <f>_xlfn.IFNA(VLOOKUP($BK49,Programma!$F$3:$H$1101,3,0),"")</f>
        <v/>
      </c>
      <c r="BN49" s="448" t="str">
        <f>_xlfn.IFNA(VLOOKUP($BK49,Programma!$F$3:$I$1101,4,0),"")</f>
        <v/>
      </c>
      <c r="BO49" s="448" t="str">
        <f>_xlfn.IFNA(VLOOKUP($BK49,Programma!$F$3:$J$1101,5,0),"")</f>
        <v/>
      </c>
      <c r="BP49" s="448" t="str">
        <f>_xlfn.IFNA(VLOOKUP($BK49,Programma!$F$3:$K$1101,6,0),"")</f>
        <v/>
      </c>
      <c r="BQ49" s="448" t="str">
        <f>_xlfn.IFNA(VLOOKUP($BK49,Programma!$F$3:$L$1101,7,0),"")</f>
        <v/>
      </c>
      <c r="BR49" s="448" t="str">
        <f>_xlfn.IFNA(VLOOKUP($BK49,Programma!$F$3:$M$1101,8,0),"")</f>
        <v/>
      </c>
      <c r="BS49" s="448" t="str">
        <f>_xlfn.IFNA(VLOOKUP($BK49,Programma!$F$3:$N$1101,9,0),"")</f>
        <v/>
      </c>
      <c r="BT49" s="448" t="str">
        <f>_xlfn.IFNA(VLOOKUP($BK49,Programma!$F$3:$O$1101,10,0),"")</f>
        <v/>
      </c>
      <c r="BU49" s="448" t="str">
        <f>_xlfn.IFNA(VLOOKUP($BK49,Programma!$F$3:$P$1101,11,0),"")</f>
        <v/>
      </c>
      <c r="BV49" s="448" t="str">
        <f>_xlfn.IFNA(VLOOKUP($BK49,Programma!$F$3:$Q$1101,12,0),"")</f>
        <v/>
      </c>
      <c r="BW49" s="448" t="str">
        <f>_xlfn.IFNA(VLOOKUP($BK49,Programma!$F$3:$R$1101,13,0),"")</f>
        <v/>
      </c>
      <c r="BX49" s="448" t="str">
        <f>_xlfn.IFNA(VLOOKUP($BK49,Programma!$F$3:$S$1101,14,0),"")</f>
        <v/>
      </c>
      <c r="BY49" s="448" t="str">
        <f>_xlfn.IFNA(VLOOKUP($BK49,Programma!$F$3:$T$1101,15,0),"")</f>
        <v/>
      </c>
      <c r="BZ49" s="448" t="str">
        <f>_xlfn.IFNA(VLOOKUP($BK49,Programma!$F$3:$U$1101,16,0),"")</f>
        <v/>
      </c>
      <c r="CA49" s="448" t="str">
        <f>_xlfn.IFNA(VLOOKUP($BK49,Programma!$F$3:$V$1101,17,0),"")</f>
        <v/>
      </c>
      <c r="CB49" s="448" t="str">
        <f>_xlfn.IFNA(VLOOKUP($BK49,Programma!$F$3:$W$1101,18,0),"")</f>
        <v/>
      </c>
      <c r="CC49" s="448" t="str">
        <f>_xlfn.IFNA(VLOOKUP($BK49,Programma!$F$3:$X$1101,19,0),"")</f>
        <v/>
      </c>
      <c r="CD49" s="448" t="str">
        <f>_xlfn.IFNA(VLOOKUP($BK49,Programma!$F$3:$Y$1101,20,0),"")</f>
        <v/>
      </c>
      <c r="CE49" s="327"/>
      <c r="CF49" s="327"/>
      <c r="CG49" s="327"/>
      <c r="CH49" s="327"/>
      <c r="CI49" s="327"/>
      <c r="CJ49" s="327"/>
      <c r="CK49" s="327"/>
      <c r="CL49" s="327"/>
      <c r="CM49" s="327"/>
      <c r="CN49" s="327"/>
      <c r="CO49" s="327"/>
      <c r="CP49" s="327"/>
      <c r="CQ49" s="327"/>
      <c r="CR49" s="327"/>
      <c r="CS49" s="327"/>
      <c r="CT49" s="327"/>
      <c r="CU49" s="327"/>
      <c r="CV49" s="327"/>
      <c r="CW49" s="327"/>
      <c r="CX49" s="327"/>
      <c r="CY49" s="327"/>
      <c r="CZ49" s="327"/>
      <c r="DA49" s="327"/>
      <c r="DB49" s="327"/>
      <c r="DC49" s="327"/>
      <c r="DD49" s="327"/>
      <c r="DE49" s="327"/>
      <c r="DF49" s="327"/>
      <c r="DG49" s="327"/>
      <c r="DH49" s="327"/>
      <c r="DI49" s="327"/>
      <c r="DJ49" s="327"/>
      <c r="DK49" s="327"/>
      <c r="DL49" s="327"/>
      <c r="DM49" s="327"/>
      <c r="DN49" s="327"/>
      <c r="DO49" s="327"/>
      <c r="DP49" s="327"/>
      <c r="DQ49" s="327"/>
      <c r="DR49" s="327"/>
      <c r="DS49" s="327"/>
      <c r="DT49" s="327"/>
      <c r="DU49" s="327"/>
      <c r="DV49" s="327"/>
      <c r="DW49" s="327"/>
      <c r="DX49" s="327"/>
      <c r="DY49" s="327"/>
      <c r="DZ49" s="327"/>
      <c r="EA49" s="327"/>
      <c r="EB49" s="327"/>
      <c r="EC49" s="327"/>
      <c r="ED49" s="327"/>
      <c r="EE49" s="327"/>
      <c r="EF49" s="327"/>
      <c r="EG49" s="327"/>
      <c r="EH49" s="327"/>
      <c r="EI49" s="327"/>
      <c r="EJ49" s="327"/>
      <c r="EK49" s="327"/>
      <c r="EL49" s="327"/>
      <c r="EM49" s="327"/>
      <c r="EN49" s="327"/>
      <c r="EO49" s="327"/>
      <c r="EP49" s="327"/>
      <c r="EQ49" s="327"/>
      <c r="ER49" s="327"/>
      <c r="ES49" s="327"/>
      <c r="ET49" s="327"/>
      <c r="EU49" s="327"/>
      <c r="EV49" s="327"/>
      <c r="EW49" s="327"/>
      <c r="EX49" s="327"/>
      <c r="EY49" s="327"/>
      <c r="EZ49" s="327"/>
      <c r="FA49" s="327"/>
      <c r="FB49" s="327"/>
      <c r="FC49" s="327"/>
      <c r="FD49" s="327"/>
      <c r="FE49" s="327"/>
      <c r="FF49" s="327"/>
      <c r="FG49" s="327"/>
      <c r="FH49" s="327"/>
      <c r="FI49" s="327"/>
      <c r="FJ49" s="327"/>
      <c r="FK49" s="327"/>
      <c r="FL49" s="327"/>
      <c r="FM49" s="327"/>
      <c r="FN49" s="327"/>
      <c r="FO49" s="327"/>
      <c r="FP49" s="327"/>
      <c r="FQ49" s="327"/>
      <c r="FR49" s="327"/>
      <c r="FS49" s="327"/>
      <c r="FT49" s="327"/>
      <c r="FU49" s="327"/>
      <c r="FV49" s="327"/>
      <c r="FW49" s="327"/>
      <c r="FX49" s="327"/>
      <c r="FY49" s="327"/>
      <c r="FZ49" s="327"/>
      <c r="GA49" s="327"/>
      <c r="GB49" s="327"/>
      <c r="GC49" s="327"/>
      <c r="GD49" s="327"/>
      <c r="GE49" s="327"/>
      <c r="GF49" s="327"/>
      <c r="GG49" s="327"/>
      <c r="GH49" s="327"/>
      <c r="GI49" s="327"/>
      <c r="GJ49" s="327"/>
      <c r="GK49" s="327"/>
      <c r="GL49" s="327"/>
      <c r="GM49" s="327"/>
      <c r="GN49" s="327"/>
      <c r="GO49" s="327"/>
      <c r="GP49" s="327"/>
      <c r="GQ49" s="327"/>
      <c r="GR49" s="327"/>
      <c r="GS49" s="327"/>
      <c r="GT49" s="327"/>
      <c r="GU49" s="327"/>
      <c r="GV49" s="327"/>
      <c r="GW49" s="327"/>
      <c r="GX49" s="327"/>
      <c r="GY49" s="327"/>
      <c r="GZ49" s="327"/>
      <c r="HA49" s="327"/>
      <c r="HB49" s="327"/>
      <c r="HC49" s="327"/>
      <c r="HD49" s="327"/>
      <c r="HE49" s="327"/>
      <c r="HF49" s="327"/>
      <c r="HG49" s="327"/>
      <c r="HH49" s="327"/>
      <c r="HI49" s="327"/>
      <c r="HJ49" s="327"/>
      <c r="HK49" s="327"/>
      <c r="HL49" s="327"/>
      <c r="HM49" s="327"/>
      <c r="HN49" s="327"/>
      <c r="HO49" s="327"/>
      <c r="HP49" s="327"/>
      <c r="HQ49" s="327"/>
      <c r="HR49" s="327"/>
      <c r="HS49" s="327"/>
    </row>
    <row r="50" spans="1:227" ht="14.25" customHeight="1">
      <c r="A50" s="434">
        <v>3</v>
      </c>
      <c r="B50" s="435" t="str">
        <f>VLOOKUP(Ruimtestaat[[#This Row],[Code]],Locaties[[Code]:[Locatie]],2,FALSE)</f>
        <v>IKC De Saffier</v>
      </c>
      <c r="C50" s="435" t="str">
        <f>VLOOKUP(Ruimtestaat[[#This Row],[Code]],Locaties[[#All],[Code]:[Adres]],4,FALSE)</f>
        <v>Elektrablauw 5</v>
      </c>
      <c r="D50" s="435" t="str">
        <f>VLOOKUP(Ruimtestaat[[#This Row],[Code]],Locaties[[#All],[Code]:[Postcode]],5,FALSE)</f>
        <v>2718 JT</v>
      </c>
      <c r="E50" s="435" t="str">
        <f>VLOOKUP(Ruimtestaat[[#This Row],[Code]],Locaties[#All],6,FALSE)</f>
        <v>Zoetermeer</v>
      </c>
      <c r="F50" s="450" t="s">
        <v>1705</v>
      </c>
      <c r="G50" s="434" t="s">
        <v>1678</v>
      </c>
      <c r="H50" s="436" t="s">
        <v>1702</v>
      </c>
      <c r="I50" s="437" t="s">
        <v>1673</v>
      </c>
      <c r="J50" s="330">
        <v>5</v>
      </c>
      <c r="K50" s="450" t="str">
        <f>VLOOKUP(Ruimtestaat[[#This Row],[Ruimte code]],Ruimtegroepen[[#All],[Code]:[Ruimte omschrijving]],2,FALSE)</f>
        <v>Sanitair</v>
      </c>
      <c r="L50" s="434" t="s">
        <v>102</v>
      </c>
      <c r="M50" s="437" t="s">
        <v>2105</v>
      </c>
      <c r="N50" s="439"/>
      <c r="O50" s="439"/>
      <c r="P50" s="439"/>
      <c r="Q50" s="439">
        <v>5</v>
      </c>
      <c r="R50" s="440" t="str">
        <f>VLOOKUP(Ruimtestaat[[#This Row],[Ruimte code]],Ruimtegroepen[],4,FALSE)</f>
        <v>Sa</v>
      </c>
      <c r="S50" s="434">
        <v>51</v>
      </c>
      <c r="T50" s="434" t="s">
        <v>20</v>
      </c>
      <c r="U50" s="434">
        <f>IF(S50&gt;0,IF(RIGHT(Ruimtestaat[[#This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50" s="434">
        <f>IF(U50&gt;0,VLOOKUP($J50,Ruimtegroepen[],3,FALSE)*VLOOKUP($L50,Vloersoorten[],3,FALSE)*VLOOKUP($T50,Frequenties[],3,FALSE)*VLOOKUP($A50,Locaties[],3,FALSE),0)</f>
        <v>0</v>
      </c>
      <c r="W50" s="434">
        <f>Ruimtestaat[[#This Row],[Uitvoeringen werkdagen]]*Ruimtestaat[[#This Row],[Oppervlak (netto)]]</f>
        <v>0</v>
      </c>
      <c r="X50" s="441">
        <f>IF(V50&gt;0,Ruimtestaat[[#This Row],[Prest. (m2 /jaar) werkdagen]]/Ruimtestaat[[#This Row],[Norm (m2/uur) werkdagen]],0)</f>
        <v>0</v>
      </c>
      <c r="Y50" s="442">
        <f>Ruimtestaat[[#This Row],[Uitvoeringen werkdagen]]*Ruimtestaat[[#This Row],[Gedeeltelijk]]</f>
        <v>0</v>
      </c>
      <c r="Z50" s="443" t="e">
        <f>IF(U50&gt;0,Ruimtestaat[[#This Row],[Prest. (m2 / jaar) werkdagen gedeeld]]/Ruimtestaat[[#This Row],[Norm (m2/uur) werkdagen]],0)</f>
        <v>#DIV/0!</v>
      </c>
      <c r="AA50" s="441" t="e">
        <f>Ruimtestaat[[#This Row],[uren / jaar werkdagen gedeeld]]*Tariefsopbouw!$E$35</f>
        <v>#DIV/0!</v>
      </c>
      <c r="AB50" s="441">
        <f>Ruimtestaat[[#This Row],[Uitvoeringen werkdagen]]*Ruimtestaat[[#This Row],[BSO]]</f>
        <v>1020</v>
      </c>
      <c r="AC50" s="443" t="e">
        <f>IF(U50&gt;0,Ruimtestaat[[#This Row],[Prest. (m2 / jaar) werkdagen BSO]]/Ruimtestaat[[#This Row],[Norm (m2/uur) werkdagen]],0)</f>
        <v>#DIV/0!</v>
      </c>
      <c r="AD50" s="443" t="e">
        <f>Ruimtestaat[[#This Row],[uren / jaar werkdagen BSO]]*Tariefsopbouw!$E$35</f>
        <v>#DIV/0!</v>
      </c>
      <c r="AE50" s="444">
        <f>Ruimtestaat[[#This Row],[uren / jaar werkdagen]]*Tariefsopbouw!$E$35</f>
        <v>0</v>
      </c>
      <c r="AF50" s="434"/>
      <c r="AG50" s="434">
        <f>IF(Ruimtestaat[[#This Row],[Frequentie weekend]]&gt;0,VALUE(LEFT(AF50,1))*S50,0)</f>
        <v>0</v>
      </c>
      <c r="AH50" s="445">
        <f>IF($AG50&gt;0,VLOOKUP($J50,Ruimtegroepen[],3,FALSE)*VLOOKUP($L50,Vloersoorten[],3,FALSE)*VLOOKUP($AF50,Frequenties[],3,FALSE)*VLOOKUP(Ruimtestaat[[#This Row],[Code]],Locaties[],3,FALSE),0)</f>
        <v>0</v>
      </c>
      <c r="AI50" s="445">
        <f>Ruimtestaat[[#This Row],[Uitvoeringen weekend]]*Ruimtestaat[[#This Row],[Oppervlak (netto)]]</f>
        <v>0</v>
      </c>
      <c r="AJ50" s="445">
        <f>IF(AH50&gt;0,Ruimtestaat[[#This Row],[Prest. (m2 /jaar) weekend]]/Ruimtestaat[[#This Row],[Norm (m2/uur) weekend]],0)</f>
        <v>0</v>
      </c>
      <c r="AK50" s="444">
        <f>Ruimtestaat[[#This Row],[uren / jaar weekend]]*Tariefsopbouw!$D$40</f>
        <v>0</v>
      </c>
      <c r="AL50" s="441">
        <f>Ruimtestaat[[#This Row],[Prest. (m2 /jaar) weekend]]+Ruimtestaat[[#This Row],[Prest. (m2 /jaar) werkdagen]]</f>
        <v>0</v>
      </c>
      <c r="AM50" s="441">
        <f>Ruimtestaat[[#This Row],[uren / jaar weekend]]+Ruimtestaat[[#This Row],[uren / jaar werkdagen]]</f>
        <v>0</v>
      </c>
      <c r="AN50" s="446">
        <f>Ruimtestaat[[#This Row],[kosten / jaar weekend]]+Ruimtestaat[[#This Row],[kosten / jaar werkdagen]]</f>
        <v>0</v>
      </c>
      <c r="AO50" s="446"/>
      <c r="AP50" s="447" t="str">
        <f>IF(Ruimtestaat[[#This Row],[Frequentie werkdagen]]="","",_xlfn.CONCAT(Ruimtestaat[[#This Row],[Ruimte code]],"-",Ruimtestaat[[#This Row],[Frequentie werkdagen]]," ",Ruimtestaat[[#This Row],[Vloer code]]))</f>
        <v>5-4w P</v>
      </c>
      <c r="AQ50" s="448" t="str">
        <f>_xlfn.IFNA(VLOOKUP($AP50,Programma!$F$3:$G$1101,2,0),"")</f>
        <v>_</v>
      </c>
      <c r="AR50" s="448" t="str">
        <f>_xlfn.IFNA(VLOOKUP($AP50,Programma!$F$3:$H$1101,3,0),"")</f>
        <v>_</v>
      </c>
      <c r="AS50" s="448" t="str">
        <f>_xlfn.IFNA(VLOOKUP($AP50,Programma!$F$3:$I$1101,4,0),"")</f>
        <v>_</v>
      </c>
      <c r="AT50" s="448" t="str">
        <f>_xlfn.IFNA(VLOOKUP($AP50,Programma!$F$3:$J$1101,5,0),"")</f>
        <v>3w</v>
      </c>
      <c r="AU50" s="448" t="str">
        <f>_xlfn.IFNA(VLOOKUP($AP50,Programma!$F$3:$K$1101,6,0),"")</f>
        <v>1w</v>
      </c>
      <c r="AV50" s="448" t="str">
        <f>_xlfn.IFNA(VLOOKUP($AP50,Programma!$F$3:$L$1101,7,0),"")</f>
        <v>_</v>
      </c>
      <c r="AW50" s="448" t="str">
        <f>_xlfn.IFNA(VLOOKUP($AP50,Programma!$F$3:$M$1101,8,0),"")</f>
        <v>_</v>
      </c>
      <c r="AX50" s="448" t="str">
        <f>_xlfn.IFNA(VLOOKUP($AP50,Programma!$F$3:$N$1101,9,0),"")</f>
        <v>_</v>
      </c>
      <c r="AY50" s="448" t="str">
        <f>_xlfn.IFNA(VLOOKUP($AP50,Programma!$F$3:$O$1101,10,0),"")</f>
        <v>_</v>
      </c>
      <c r="AZ50" s="448" t="str">
        <f>_xlfn.IFNA(VLOOKUP($AP50,Programma!$F$3:$P$1101,11,0),"")</f>
        <v>_</v>
      </c>
      <c r="BA50" s="448" t="str">
        <f>_xlfn.IFNA(VLOOKUP($AP50,Programma!$F$3:$Q$1101,12,0),"")</f>
        <v>_</v>
      </c>
      <c r="BB50" s="448" t="str">
        <f>_xlfn.IFNA(VLOOKUP($AP50,Programma!$F$3:$R$1101,13,0),"")</f>
        <v>_</v>
      </c>
      <c r="BC50" s="448" t="str">
        <f>_xlfn.IFNA(VLOOKUP($AP50,Programma!$F$3:$S$1101,14,0),"")</f>
        <v>_</v>
      </c>
      <c r="BD50" s="448" t="str">
        <f>_xlfn.IFNA(VLOOKUP($AP50,Programma!$F$3:$T$1101,15,0),"")</f>
        <v>_</v>
      </c>
      <c r="BE50" s="448" t="str">
        <f>_xlfn.IFNA(VLOOKUP($AP50,Programma!$F$3:$U$1101,16,0),"")</f>
        <v>_</v>
      </c>
      <c r="BF50" s="448" t="str">
        <f>_xlfn.IFNA(VLOOKUP($AP50,Programma!$F$3:$V$1101,17,0),"")</f>
        <v>_</v>
      </c>
      <c r="BG50" s="448" t="str">
        <f>_xlfn.IFNA(VLOOKUP($AP50,Programma!$F$3:$W$1101,18,0),"")</f>
        <v>3w</v>
      </c>
      <c r="BH50" s="448" t="str">
        <f>_xlfn.IFNA(VLOOKUP($AP50,Programma!$F$3:$X$1101,19,0),"")</f>
        <v>1w</v>
      </c>
      <c r="BI50" s="448" t="str">
        <f>_xlfn.IFNA(VLOOKUP($AP50,Programma!$F$3:$Y$1101,20,0),"")</f>
        <v>_</v>
      </c>
      <c r="BJ50" s="449"/>
      <c r="BK50" s="447" t="str">
        <f>IF(Ruimtestaat[[#This Row],[Frequentie weekend]]="","",_xlfn.CONCAT(Ruimtestaat[[#This Row],[Ruimte code]],"-",Ruimtestaat[[#This Row],[Frequentie weekend]]," ",Ruimtestaat[[#This Row],[Vloer code]]))</f>
        <v/>
      </c>
      <c r="BL50" s="448" t="str">
        <f>_xlfn.IFNA(VLOOKUP($BK50,Programma!$F$3:$G$1101,2,0),"")</f>
        <v/>
      </c>
      <c r="BM50" s="448" t="str">
        <f>_xlfn.IFNA(VLOOKUP($BK50,Programma!$F$3:$H$1101,3,0),"")</f>
        <v/>
      </c>
      <c r="BN50" s="448" t="str">
        <f>_xlfn.IFNA(VLOOKUP($BK50,Programma!$F$3:$I$1101,4,0),"")</f>
        <v/>
      </c>
      <c r="BO50" s="448" t="str">
        <f>_xlfn.IFNA(VLOOKUP($BK50,Programma!$F$3:$J$1101,5,0),"")</f>
        <v/>
      </c>
      <c r="BP50" s="448" t="str">
        <f>_xlfn.IFNA(VLOOKUP($BK50,Programma!$F$3:$K$1101,6,0),"")</f>
        <v/>
      </c>
      <c r="BQ50" s="448" t="str">
        <f>_xlfn.IFNA(VLOOKUP($BK50,Programma!$F$3:$L$1101,7,0),"")</f>
        <v/>
      </c>
      <c r="BR50" s="448" t="str">
        <f>_xlfn.IFNA(VLOOKUP($BK50,Programma!$F$3:$M$1101,8,0),"")</f>
        <v/>
      </c>
      <c r="BS50" s="448" t="str">
        <f>_xlfn.IFNA(VLOOKUP($BK50,Programma!$F$3:$N$1101,9,0),"")</f>
        <v/>
      </c>
      <c r="BT50" s="448" t="str">
        <f>_xlfn.IFNA(VLOOKUP($BK50,Programma!$F$3:$O$1101,10,0),"")</f>
        <v/>
      </c>
      <c r="BU50" s="448" t="str">
        <f>_xlfn.IFNA(VLOOKUP($BK50,Programma!$F$3:$P$1101,11,0),"")</f>
        <v/>
      </c>
      <c r="BV50" s="448" t="str">
        <f>_xlfn.IFNA(VLOOKUP($BK50,Programma!$F$3:$Q$1101,12,0),"")</f>
        <v/>
      </c>
      <c r="BW50" s="448" t="str">
        <f>_xlfn.IFNA(VLOOKUP($BK50,Programma!$F$3:$R$1101,13,0),"")</f>
        <v/>
      </c>
      <c r="BX50" s="448" t="str">
        <f>_xlfn.IFNA(VLOOKUP($BK50,Programma!$F$3:$S$1101,14,0),"")</f>
        <v/>
      </c>
      <c r="BY50" s="448" t="str">
        <f>_xlfn.IFNA(VLOOKUP($BK50,Programma!$F$3:$T$1101,15,0),"")</f>
        <v/>
      </c>
      <c r="BZ50" s="448" t="str">
        <f>_xlfn.IFNA(VLOOKUP($BK50,Programma!$F$3:$U$1101,16,0),"")</f>
        <v/>
      </c>
      <c r="CA50" s="448" t="str">
        <f>_xlfn.IFNA(VLOOKUP($BK50,Programma!$F$3:$V$1101,17,0),"")</f>
        <v/>
      </c>
      <c r="CB50" s="448" t="str">
        <f>_xlfn.IFNA(VLOOKUP($BK50,Programma!$F$3:$W$1101,18,0),"")</f>
        <v/>
      </c>
      <c r="CC50" s="448" t="str">
        <f>_xlfn.IFNA(VLOOKUP($BK50,Programma!$F$3:$X$1101,19,0),"")</f>
        <v/>
      </c>
      <c r="CD50" s="448" t="str">
        <f>_xlfn.IFNA(VLOOKUP($BK50,Programma!$F$3:$Y$1101,20,0),"")</f>
        <v/>
      </c>
      <c r="CE50" s="327"/>
      <c r="CF50" s="327"/>
      <c r="CG50" s="327"/>
      <c r="CH50" s="327"/>
      <c r="CI50" s="327"/>
      <c r="CJ50" s="327"/>
      <c r="CK50" s="327"/>
      <c r="CL50" s="327"/>
      <c r="CM50" s="327"/>
      <c r="CN50" s="327"/>
      <c r="CO50" s="327"/>
      <c r="CP50" s="327"/>
      <c r="CQ50" s="327"/>
      <c r="CR50" s="327"/>
      <c r="CS50" s="327"/>
      <c r="CT50" s="327"/>
      <c r="CU50" s="327"/>
      <c r="CV50" s="327"/>
      <c r="CW50" s="327"/>
      <c r="CX50" s="327"/>
      <c r="CY50" s="327"/>
      <c r="CZ50" s="327"/>
      <c r="DA50" s="327"/>
      <c r="DB50" s="327"/>
      <c r="DC50" s="327"/>
      <c r="DD50" s="327"/>
      <c r="DE50" s="327"/>
      <c r="DF50" s="327"/>
      <c r="DG50" s="327"/>
      <c r="DH50" s="327"/>
      <c r="DI50" s="327"/>
      <c r="DJ50" s="327"/>
      <c r="DK50" s="327"/>
      <c r="DL50" s="327"/>
      <c r="DM50" s="327"/>
      <c r="DN50" s="327"/>
      <c r="DO50" s="327"/>
      <c r="DP50" s="327"/>
      <c r="DQ50" s="327"/>
      <c r="DR50" s="327"/>
      <c r="DS50" s="327"/>
      <c r="DT50" s="327"/>
      <c r="DU50" s="327"/>
      <c r="DV50" s="327"/>
      <c r="DW50" s="327"/>
      <c r="DX50" s="327"/>
      <c r="DY50" s="327"/>
      <c r="DZ50" s="327"/>
      <c r="EA50" s="327"/>
      <c r="EB50" s="327"/>
      <c r="EC50" s="327"/>
      <c r="ED50" s="327"/>
      <c r="EE50" s="327"/>
      <c r="EF50" s="327"/>
      <c r="EG50" s="327"/>
      <c r="EH50" s="327"/>
      <c r="EI50" s="327"/>
      <c r="EJ50" s="327"/>
      <c r="EK50" s="327"/>
      <c r="EL50" s="327"/>
      <c r="EM50" s="327"/>
      <c r="EN50" s="327"/>
      <c r="EO50" s="327"/>
      <c r="EP50" s="327"/>
      <c r="EQ50" s="327"/>
      <c r="ER50" s="327"/>
      <c r="ES50" s="327"/>
      <c r="ET50" s="327"/>
      <c r="EU50" s="327"/>
      <c r="EV50" s="327"/>
      <c r="EW50" s="327"/>
      <c r="EX50" s="327"/>
      <c r="EY50" s="327"/>
      <c r="EZ50" s="327"/>
      <c r="FA50" s="327"/>
      <c r="FB50" s="327"/>
      <c r="FC50" s="327"/>
      <c r="FD50" s="327"/>
      <c r="FE50" s="327"/>
      <c r="FF50" s="327"/>
      <c r="FG50" s="327"/>
      <c r="FH50" s="327"/>
      <c r="FI50" s="327"/>
      <c r="FJ50" s="327"/>
      <c r="FK50" s="327"/>
      <c r="FL50" s="327"/>
      <c r="FM50" s="327"/>
      <c r="FN50" s="327"/>
      <c r="FO50" s="327"/>
      <c r="FP50" s="327"/>
      <c r="FQ50" s="327"/>
      <c r="FR50" s="327"/>
      <c r="FS50" s="327"/>
      <c r="FT50" s="327"/>
      <c r="FU50" s="327"/>
      <c r="FV50" s="327"/>
      <c r="FW50" s="327"/>
      <c r="FX50" s="327"/>
      <c r="FY50" s="327"/>
      <c r="FZ50" s="327"/>
      <c r="GA50" s="327"/>
      <c r="GB50" s="327"/>
      <c r="GC50" s="327"/>
      <c r="GD50" s="327"/>
      <c r="GE50" s="327"/>
      <c r="GF50" s="327"/>
      <c r="GG50" s="327"/>
      <c r="GH50" s="327"/>
      <c r="GI50" s="327"/>
      <c r="GJ50" s="327"/>
      <c r="GK50" s="327"/>
      <c r="GL50" s="327"/>
      <c r="GM50" s="327"/>
      <c r="GN50" s="327"/>
      <c r="GO50" s="327"/>
      <c r="GP50" s="327"/>
      <c r="GQ50" s="327"/>
      <c r="GR50" s="327"/>
      <c r="GS50" s="327"/>
      <c r="GT50" s="327"/>
      <c r="GU50" s="327"/>
      <c r="GV50" s="327"/>
      <c r="GW50" s="327"/>
      <c r="GX50" s="327"/>
      <c r="GY50" s="327"/>
      <c r="GZ50" s="327"/>
      <c r="HA50" s="327"/>
      <c r="HB50" s="327"/>
      <c r="HC50" s="327"/>
      <c r="HD50" s="327"/>
      <c r="HE50" s="327"/>
      <c r="HF50" s="327"/>
      <c r="HG50" s="327"/>
      <c r="HH50" s="327"/>
      <c r="HI50" s="327"/>
      <c r="HJ50" s="327"/>
      <c r="HK50" s="327"/>
      <c r="HL50" s="327"/>
      <c r="HM50" s="327"/>
      <c r="HN50" s="327"/>
      <c r="HO50" s="327"/>
      <c r="HP50" s="327"/>
      <c r="HQ50" s="327"/>
      <c r="HR50" s="327"/>
      <c r="HS50" s="327"/>
    </row>
    <row r="51" spans="1:227" ht="15" customHeight="1">
      <c r="A51" s="434">
        <v>3</v>
      </c>
      <c r="B51" s="435" t="str">
        <f>VLOOKUP(Ruimtestaat[[#This Row],[Code]],Locaties[[Code]:[Locatie]],2,FALSE)</f>
        <v>IKC De Saffier</v>
      </c>
      <c r="C51" s="435" t="str">
        <f>VLOOKUP(Ruimtestaat[[#This Row],[Code]],Locaties[[#All],[Code]:[Adres]],4,FALSE)</f>
        <v>Elektrablauw 5</v>
      </c>
      <c r="D51" s="435" t="str">
        <f>VLOOKUP(Ruimtestaat[[#This Row],[Code]],Locaties[[#All],[Code]:[Postcode]],5,FALSE)</f>
        <v>2718 JT</v>
      </c>
      <c r="E51" s="435" t="str">
        <f>VLOOKUP(Ruimtestaat[[#This Row],[Code]],Locaties[#All],6,FALSE)</f>
        <v>Zoetermeer</v>
      </c>
      <c r="F51" s="434"/>
      <c r="G51" s="434" t="s">
        <v>1678</v>
      </c>
      <c r="H51" s="436" t="s">
        <v>1703</v>
      </c>
      <c r="I51" s="437" t="s">
        <v>1673</v>
      </c>
      <c r="J51" s="330">
        <v>5</v>
      </c>
      <c r="K51" s="450" t="str">
        <f>VLOOKUP(Ruimtestaat[[#This Row],[Ruimte code]],Ruimtegroepen[[#All],[Code]:[Ruimte omschrijving]],2,FALSE)</f>
        <v>Sanitair</v>
      </c>
      <c r="L51" s="434" t="s">
        <v>102</v>
      </c>
      <c r="M51" s="437" t="s">
        <v>2105</v>
      </c>
      <c r="N51" s="439">
        <v>5</v>
      </c>
      <c r="O51" s="439"/>
      <c r="P51" s="439"/>
      <c r="Q51" s="439"/>
      <c r="R51" s="440" t="str">
        <f>VLOOKUP(Ruimtestaat[[#This Row],[Ruimte code]],Ruimtegroepen[],4,FALSE)</f>
        <v>Sa</v>
      </c>
      <c r="S51" s="434">
        <v>41</v>
      </c>
      <c r="T51" s="434" t="s">
        <v>2</v>
      </c>
      <c r="U51" s="434">
        <f>IF(S51&gt;0,IF(RIGHT(Ruimtestaat[[#This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1" s="434">
        <f>IF(U51&gt;0,VLOOKUP($J51,Ruimtegroepen[],3,FALSE)*VLOOKUP($L51,Vloersoorten[],3,FALSE)*VLOOKUP($T51,Frequenties[],3,FALSE)*VLOOKUP($A51,Locaties[],3,FALSE),0)</f>
        <v>0</v>
      </c>
      <c r="W51" s="434">
        <f>Ruimtestaat[[#This Row],[Uitvoeringen werkdagen]]*Ruimtestaat[[#This Row],[Oppervlak (netto)]]</f>
        <v>1025</v>
      </c>
      <c r="X51" s="441">
        <f>IF(V51&gt;0,Ruimtestaat[[#This Row],[Prest. (m2 /jaar) werkdagen]]/Ruimtestaat[[#This Row],[Norm (m2/uur) werkdagen]],0)</f>
        <v>0</v>
      </c>
      <c r="Y51" s="442">
        <f>Ruimtestaat[[#This Row],[Uitvoeringen werkdagen]]*Ruimtestaat[[#This Row],[Gedeeltelijk]]</f>
        <v>0</v>
      </c>
      <c r="Z51" s="443" t="e">
        <f>IF(U51&gt;0,Ruimtestaat[[#This Row],[Prest. (m2 / jaar) werkdagen gedeeld]]/Ruimtestaat[[#This Row],[Norm (m2/uur) werkdagen]],0)</f>
        <v>#DIV/0!</v>
      </c>
      <c r="AA51" s="441" t="e">
        <f>Ruimtestaat[[#This Row],[uren / jaar werkdagen gedeeld]]*Tariefsopbouw!$E$35</f>
        <v>#DIV/0!</v>
      </c>
      <c r="AB51" s="441">
        <f>Ruimtestaat[[#This Row],[Uitvoeringen werkdagen]]*Ruimtestaat[[#This Row],[BSO]]</f>
        <v>0</v>
      </c>
      <c r="AC51" s="443" t="e">
        <f>IF(U51&gt;0,Ruimtestaat[[#This Row],[Prest. (m2 / jaar) werkdagen BSO]]/Ruimtestaat[[#This Row],[Norm (m2/uur) werkdagen]],0)</f>
        <v>#DIV/0!</v>
      </c>
      <c r="AD51" s="443" t="e">
        <f>Ruimtestaat[[#This Row],[uren / jaar werkdagen BSO]]*Tariefsopbouw!$E$35</f>
        <v>#DIV/0!</v>
      </c>
      <c r="AE51" s="444">
        <f>Ruimtestaat[[#This Row],[uren / jaar werkdagen]]*Tariefsopbouw!$E$35</f>
        <v>0</v>
      </c>
      <c r="AF51" s="434"/>
      <c r="AG51" s="434">
        <f>IF(Ruimtestaat[[#This Row],[Frequentie weekend]]&gt;0,VALUE(LEFT(AF51,1))*S51,0)</f>
        <v>0</v>
      </c>
      <c r="AH51" s="445">
        <f>IF($AG51&gt;0,VLOOKUP($J51,Ruimtegroepen[],3,FALSE)*VLOOKUP($L51,Vloersoorten[],3,FALSE)*VLOOKUP($AF51,Frequenties[],3,FALSE)*VLOOKUP(Ruimtestaat[[#This Row],[Code]],Locaties[],3,FALSE),0)</f>
        <v>0</v>
      </c>
      <c r="AI51" s="445">
        <f>Ruimtestaat[[#This Row],[Uitvoeringen weekend]]*Ruimtestaat[[#This Row],[Oppervlak (netto)]]</f>
        <v>0</v>
      </c>
      <c r="AJ51" s="445">
        <f>IF(AH51&gt;0,Ruimtestaat[[#This Row],[Prest. (m2 /jaar) weekend]]/Ruimtestaat[[#This Row],[Norm (m2/uur) weekend]],0)</f>
        <v>0</v>
      </c>
      <c r="AK51" s="444">
        <f>Ruimtestaat[[#This Row],[uren / jaar weekend]]*Tariefsopbouw!$D$40</f>
        <v>0</v>
      </c>
      <c r="AL51" s="441">
        <f>Ruimtestaat[[#This Row],[Prest. (m2 /jaar) weekend]]+Ruimtestaat[[#This Row],[Prest. (m2 /jaar) werkdagen]]</f>
        <v>1025</v>
      </c>
      <c r="AM51" s="441">
        <f>Ruimtestaat[[#This Row],[uren / jaar weekend]]+Ruimtestaat[[#This Row],[uren / jaar werkdagen]]</f>
        <v>0</v>
      </c>
      <c r="AN51" s="446">
        <f>Ruimtestaat[[#This Row],[kosten / jaar weekend]]+Ruimtestaat[[#This Row],[kosten / jaar werkdagen]]</f>
        <v>0</v>
      </c>
      <c r="AO51" s="446"/>
      <c r="AP51" s="447" t="str">
        <f>IF(Ruimtestaat[[#This Row],[Frequentie werkdagen]]="","",_xlfn.CONCAT(Ruimtestaat[[#This Row],[Ruimte code]],"-",Ruimtestaat[[#This Row],[Frequentie werkdagen]]," ",Ruimtestaat[[#This Row],[Vloer code]]))</f>
        <v>5-5w P</v>
      </c>
      <c r="AQ51" s="448" t="str">
        <f>_xlfn.IFNA(VLOOKUP($AP51,Programma!$F$3:$G$1101,2,0),"")</f>
        <v>_</v>
      </c>
      <c r="AR51" s="448" t="str">
        <f>_xlfn.IFNA(VLOOKUP($AP51,Programma!$F$3:$H$1101,3,0),"")</f>
        <v>_</v>
      </c>
      <c r="AS51" s="448" t="str">
        <f>_xlfn.IFNA(VLOOKUP($AP51,Programma!$F$3:$I$1101,4,0),"")</f>
        <v>_</v>
      </c>
      <c r="AT51" s="448" t="str">
        <f>_xlfn.IFNA(VLOOKUP($AP51,Programma!$F$3:$J$1101,5,0),"")</f>
        <v>4w</v>
      </c>
      <c r="AU51" s="448" t="str">
        <f>_xlfn.IFNA(VLOOKUP($AP51,Programma!$F$3:$K$1101,6,0),"")</f>
        <v>1w</v>
      </c>
      <c r="AV51" s="448" t="str">
        <f>_xlfn.IFNA(VLOOKUP($AP51,Programma!$F$3:$L$1101,7,0),"")</f>
        <v>_</v>
      </c>
      <c r="AW51" s="448" t="str">
        <f>_xlfn.IFNA(VLOOKUP($AP51,Programma!$F$3:$M$1101,8,0),"")</f>
        <v>_</v>
      </c>
      <c r="AX51" s="448" t="str">
        <f>_xlfn.IFNA(VLOOKUP($AP51,Programma!$F$3:$N$1101,9,0),"")</f>
        <v>_</v>
      </c>
      <c r="AY51" s="448" t="str">
        <f>_xlfn.IFNA(VLOOKUP($AP51,Programma!$F$3:$O$1101,10,0),"")</f>
        <v>_</v>
      </c>
      <c r="AZ51" s="448" t="str">
        <f>_xlfn.IFNA(VLOOKUP($AP51,Programma!$F$3:$P$1101,11,0),"")</f>
        <v>_</v>
      </c>
      <c r="BA51" s="448" t="str">
        <f>_xlfn.IFNA(VLOOKUP($AP51,Programma!$F$3:$Q$1101,12,0),"")</f>
        <v>_</v>
      </c>
      <c r="BB51" s="448" t="str">
        <f>_xlfn.IFNA(VLOOKUP($AP51,Programma!$F$3:$R$1101,13,0),"")</f>
        <v>_</v>
      </c>
      <c r="BC51" s="448" t="str">
        <f>_xlfn.IFNA(VLOOKUP($AP51,Programma!$F$3:$S$1101,14,0),"")</f>
        <v>_</v>
      </c>
      <c r="BD51" s="448" t="str">
        <f>_xlfn.IFNA(VLOOKUP($AP51,Programma!$F$3:$T$1101,15,0),"")</f>
        <v>_</v>
      </c>
      <c r="BE51" s="448" t="str">
        <f>_xlfn.IFNA(VLOOKUP($AP51,Programma!$F$3:$U$1101,16,0),"")</f>
        <v>_</v>
      </c>
      <c r="BF51" s="448" t="str">
        <f>_xlfn.IFNA(VLOOKUP($AP51,Programma!$F$3:$V$1101,17,0),"")</f>
        <v>_</v>
      </c>
      <c r="BG51" s="448" t="str">
        <f>_xlfn.IFNA(VLOOKUP($AP51,Programma!$F$3:$W$1101,18,0),"")</f>
        <v>4w</v>
      </c>
      <c r="BH51" s="448" t="str">
        <f>_xlfn.IFNA(VLOOKUP($AP51,Programma!$F$3:$X$1101,19,0),"")</f>
        <v>1w</v>
      </c>
      <c r="BI51" s="448" t="str">
        <f>_xlfn.IFNA(VLOOKUP($AP51,Programma!$F$3:$Y$1101,20,0),"")</f>
        <v>_</v>
      </c>
      <c r="BJ51" s="449"/>
      <c r="BK51" s="447" t="str">
        <f>IF(Ruimtestaat[[#This Row],[Frequentie weekend]]="","",_xlfn.CONCAT(Ruimtestaat[[#This Row],[Ruimte code]],"-",Ruimtestaat[[#This Row],[Frequentie weekend]]," ",Ruimtestaat[[#This Row],[Vloer code]]))</f>
        <v/>
      </c>
      <c r="BL51" s="448" t="str">
        <f>_xlfn.IFNA(VLOOKUP($BK51,Programma!$F$3:$G$1101,2,0),"")</f>
        <v/>
      </c>
      <c r="BM51" s="448" t="str">
        <f>_xlfn.IFNA(VLOOKUP($BK51,Programma!$F$3:$H$1101,3,0),"")</f>
        <v/>
      </c>
      <c r="BN51" s="448" t="str">
        <f>_xlfn.IFNA(VLOOKUP($BK51,Programma!$F$3:$I$1101,4,0),"")</f>
        <v/>
      </c>
      <c r="BO51" s="448" t="str">
        <f>_xlfn.IFNA(VLOOKUP($BK51,Programma!$F$3:$J$1101,5,0),"")</f>
        <v/>
      </c>
      <c r="BP51" s="448" t="str">
        <f>_xlfn.IFNA(VLOOKUP($BK51,Programma!$F$3:$K$1101,6,0),"")</f>
        <v/>
      </c>
      <c r="BQ51" s="448" t="str">
        <f>_xlfn.IFNA(VLOOKUP($BK51,Programma!$F$3:$L$1101,7,0),"")</f>
        <v/>
      </c>
      <c r="BR51" s="448" t="str">
        <f>_xlfn.IFNA(VLOOKUP($BK51,Programma!$F$3:$M$1101,8,0),"")</f>
        <v/>
      </c>
      <c r="BS51" s="448" t="str">
        <f>_xlfn.IFNA(VLOOKUP($BK51,Programma!$F$3:$N$1101,9,0),"")</f>
        <v/>
      </c>
      <c r="BT51" s="448" t="str">
        <f>_xlfn.IFNA(VLOOKUP($BK51,Programma!$F$3:$O$1101,10,0),"")</f>
        <v/>
      </c>
      <c r="BU51" s="448" t="str">
        <f>_xlfn.IFNA(VLOOKUP($BK51,Programma!$F$3:$P$1101,11,0),"")</f>
        <v/>
      </c>
      <c r="BV51" s="448" t="str">
        <f>_xlfn.IFNA(VLOOKUP($BK51,Programma!$F$3:$Q$1101,12,0),"")</f>
        <v/>
      </c>
      <c r="BW51" s="448" t="str">
        <f>_xlfn.IFNA(VLOOKUP($BK51,Programma!$F$3:$R$1101,13,0),"")</f>
        <v/>
      </c>
      <c r="BX51" s="448" t="str">
        <f>_xlfn.IFNA(VLOOKUP($BK51,Programma!$F$3:$S$1101,14,0),"")</f>
        <v/>
      </c>
      <c r="BY51" s="448" t="str">
        <f>_xlfn.IFNA(VLOOKUP($BK51,Programma!$F$3:$T$1101,15,0),"")</f>
        <v/>
      </c>
      <c r="BZ51" s="448" t="str">
        <f>_xlfn.IFNA(VLOOKUP($BK51,Programma!$F$3:$U$1101,16,0),"")</f>
        <v/>
      </c>
      <c r="CA51" s="448" t="str">
        <f>_xlfn.IFNA(VLOOKUP($BK51,Programma!$F$3:$V$1101,17,0),"")</f>
        <v/>
      </c>
      <c r="CB51" s="448" t="str">
        <f>_xlfn.IFNA(VLOOKUP($BK51,Programma!$F$3:$W$1101,18,0),"")</f>
        <v/>
      </c>
      <c r="CC51" s="448" t="str">
        <f>_xlfn.IFNA(VLOOKUP($BK51,Programma!$F$3:$X$1101,19,0),"")</f>
        <v/>
      </c>
      <c r="CD51" s="448" t="str">
        <f>_xlfn.IFNA(VLOOKUP($BK51,Programma!$F$3:$Y$1101,20,0),"")</f>
        <v/>
      </c>
      <c r="CE51" s="327"/>
      <c r="CF51" s="327"/>
      <c r="CG51" s="327"/>
      <c r="CH51" s="327"/>
      <c r="CI51" s="327"/>
      <c r="CJ51" s="327"/>
      <c r="CK51" s="327"/>
      <c r="CL51" s="327"/>
      <c r="CM51" s="327"/>
      <c r="CN51" s="327"/>
      <c r="CO51" s="327"/>
      <c r="CP51" s="327"/>
      <c r="CQ51" s="327"/>
      <c r="CR51" s="327"/>
      <c r="CS51" s="327"/>
      <c r="CT51" s="327"/>
      <c r="CU51" s="327"/>
      <c r="CV51" s="327"/>
      <c r="CW51" s="327"/>
      <c r="CX51" s="327"/>
      <c r="CY51" s="327"/>
      <c r="CZ51" s="327"/>
      <c r="DA51" s="327"/>
      <c r="DB51" s="327"/>
      <c r="DC51" s="327"/>
      <c r="DD51" s="327"/>
      <c r="DE51" s="327"/>
      <c r="DF51" s="327"/>
      <c r="DG51" s="327"/>
      <c r="DH51" s="327"/>
      <c r="DI51" s="327"/>
      <c r="DJ51" s="327"/>
      <c r="DK51" s="327"/>
      <c r="DL51" s="327"/>
      <c r="DM51" s="327"/>
      <c r="DN51" s="327"/>
      <c r="DO51" s="327"/>
      <c r="DP51" s="327"/>
      <c r="DQ51" s="327"/>
      <c r="DR51" s="327"/>
      <c r="DS51" s="327"/>
      <c r="DT51" s="327"/>
      <c r="DU51" s="327"/>
      <c r="DV51" s="327"/>
      <c r="DW51" s="327"/>
      <c r="DX51" s="327"/>
      <c r="DY51" s="327"/>
      <c r="DZ51" s="327"/>
      <c r="EA51" s="327"/>
      <c r="EB51" s="327"/>
      <c r="EC51" s="327"/>
      <c r="ED51" s="327"/>
      <c r="EE51" s="327"/>
      <c r="EF51" s="327"/>
      <c r="EG51" s="327"/>
      <c r="EH51" s="327"/>
      <c r="EI51" s="327"/>
      <c r="EJ51" s="327"/>
      <c r="EK51" s="327"/>
      <c r="EL51" s="327"/>
      <c r="EM51" s="327"/>
      <c r="EN51" s="327"/>
      <c r="EO51" s="327"/>
      <c r="EP51" s="327"/>
      <c r="EQ51" s="327"/>
      <c r="ER51" s="327"/>
      <c r="ES51" s="327"/>
      <c r="ET51" s="327"/>
      <c r="EU51" s="327"/>
      <c r="EV51" s="327"/>
      <c r="EW51" s="327"/>
      <c r="EX51" s="327"/>
      <c r="EY51" s="327"/>
      <c r="EZ51" s="327"/>
      <c r="FA51" s="327"/>
      <c r="FB51" s="327"/>
      <c r="FC51" s="327"/>
      <c r="FD51" s="327"/>
      <c r="FE51" s="327"/>
      <c r="FF51" s="327"/>
      <c r="FG51" s="327"/>
      <c r="FH51" s="327"/>
      <c r="FI51" s="327"/>
      <c r="FJ51" s="327"/>
      <c r="FK51" s="327"/>
      <c r="FL51" s="327"/>
      <c r="FM51" s="327"/>
      <c r="FN51" s="327"/>
      <c r="FO51" s="327"/>
      <c r="FP51" s="327"/>
      <c r="FQ51" s="327"/>
      <c r="FR51" s="327"/>
      <c r="FS51" s="327"/>
      <c r="FT51" s="327"/>
      <c r="FU51" s="327"/>
      <c r="FV51" s="327"/>
      <c r="FW51" s="327"/>
      <c r="FX51" s="327"/>
      <c r="FY51" s="327"/>
      <c r="FZ51" s="327"/>
      <c r="GA51" s="327"/>
      <c r="GB51" s="327"/>
      <c r="GC51" s="327"/>
      <c r="GD51" s="327"/>
      <c r="GE51" s="327"/>
      <c r="GF51" s="327"/>
      <c r="GG51" s="327"/>
      <c r="GH51" s="327"/>
      <c r="GI51" s="327"/>
      <c r="GJ51" s="327"/>
      <c r="GK51" s="327"/>
      <c r="GL51" s="327"/>
      <c r="GM51" s="327"/>
      <c r="GN51" s="327"/>
      <c r="GO51" s="327"/>
      <c r="GP51" s="327"/>
      <c r="GQ51" s="327"/>
      <c r="GR51" s="327"/>
      <c r="GS51" s="327"/>
      <c r="GT51" s="327"/>
      <c r="GU51" s="327"/>
      <c r="GV51" s="327"/>
      <c r="GW51" s="327"/>
      <c r="GX51" s="327"/>
      <c r="GY51" s="327"/>
      <c r="GZ51" s="327"/>
      <c r="HA51" s="327"/>
      <c r="HB51" s="327"/>
      <c r="HC51" s="327"/>
      <c r="HD51" s="327"/>
      <c r="HE51" s="327"/>
      <c r="HF51" s="327"/>
      <c r="HG51" s="327"/>
      <c r="HH51" s="327"/>
      <c r="HI51" s="327"/>
      <c r="HJ51" s="327"/>
      <c r="HK51" s="327"/>
      <c r="HL51" s="327"/>
      <c r="HM51" s="327"/>
      <c r="HN51" s="327"/>
      <c r="HO51" s="327"/>
      <c r="HP51" s="327"/>
      <c r="HQ51" s="327"/>
      <c r="HR51" s="327"/>
      <c r="HS51" s="327"/>
    </row>
    <row r="52" spans="1:227" ht="15" customHeight="1">
      <c r="A52" s="434">
        <v>3</v>
      </c>
      <c r="B52" s="435" t="str">
        <f>VLOOKUP(Ruimtestaat[[#This Row],[Code]],Locaties[[Code]:[Locatie]],2,FALSE)</f>
        <v>IKC De Saffier</v>
      </c>
      <c r="C52" s="435" t="str">
        <f>VLOOKUP(Ruimtestaat[[#This Row],[Code]],Locaties[[#All],[Code]:[Adres]],4,FALSE)</f>
        <v>Elektrablauw 5</v>
      </c>
      <c r="D52" s="435" t="str">
        <f>VLOOKUP(Ruimtestaat[[#This Row],[Code]],Locaties[[#All],[Code]:[Postcode]],5,FALSE)</f>
        <v>2718 JT</v>
      </c>
      <c r="E52" s="435" t="str">
        <f>VLOOKUP(Ruimtestaat[[#This Row],[Code]],Locaties[#All],6,FALSE)</f>
        <v>Zoetermeer</v>
      </c>
      <c r="F52" s="434"/>
      <c r="G52" s="434" t="s">
        <v>1678</v>
      </c>
      <c r="H52" s="436" t="s">
        <v>1704</v>
      </c>
      <c r="I52" s="437" t="s">
        <v>1673</v>
      </c>
      <c r="J52" s="330">
        <v>5</v>
      </c>
      <c r="K52" s="450" t="str">
        <f>VLOOKUP(Ruimtestaat[[#This Row],[Ruimte code]],Ruimtegroepen[[#All],[Code]:[Ruimte omschrijving]],2,FALSE)</f>
        <v>Sanitair</v>
      </c>
      <c r="L52" s="434" t="s">
        <v>102</v>
      </c>
      <c r="M52" s="437" t="s">
        <v>2105</v>
      </c>
      <c r="N52" s="439">
        <v>5</v>
      </c>
      <c r="O52" s="439"/>
      <c r="P52" s="439"/>
      <c r="Q52" s="439"/>
      <c r="R52" s="440" t="str">
        <f>VLOOKUP(Ruimtestaat[[#This Row],[Ruimte code]],Ruimtegroepen[],4,FALSE)</f>
        <v>Sa</v>
      </c>
      <c r="S52" s="434">
        <v>41</v>
      </c>
      <c r="T52" s="434" t="s">
        <v>2</v>
      </c>
      <c r="U52" s="434">
        <f>IF(S52&gt;0,IF(RIGHT(Ruimtestaat[[#This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2" s="434">
        <f>IF(U52&gt;0,VLOOKUP($J52,Ruimtegroepen[],3,FALSE)*VLOOKUP($L52,Vloersoorten[],3,FALSE)*VLOOKUP($T52,Frequenties[],3,FALSE)*VLOOKUP($A52,Locaties[],3,FALSE),0)</f>
        <v>0</v>
      </c>
      <c r="W52" s="434">
        <f>Ruimtestaat[[#This Row],[Uitvoeringen werkdagen]]*Ruimtestaat[[#This Row],[Oppervlak (netto)]]</f>
        <v>1025</v>
      </c>
      <c r="X52" s="441">
        <f>IF(V52&gt;0,Ruimtestaat[[#This Row],[Prest. (m2 /jaar) werkdagen]]/Ruimtestaat[[#This Row],[Norm (m2/uur) werkdagen]],0)</f>
        <v>0</v>
      </c>
      <c r="Y52" s="442">
        <f>Ruimtestaat[[#This Row],[Uitvoeringen werkdagen]]*Ruimtestaat[[#This Row],[Gedeeltelijk]]</f>
        <v>0</v>
      </c>
      <c r="Z52" s="443" t="e">
        <f>IF(U52&gt;0,Ruimtestaat[[#This Row],[Prest. (m2 / jaar) werkdagen gedeeld]]/Ruimtestaat[[#This Row],[Norm (m2/uur) werkdagen]],0)</f>
        <v>#DIV/0!</v>
      </c>
      <c r="AA52" s="441" t="e">
        <f>Ruimtestaat[[#This Row],[uren / jaar werkdagen gedeeld]]*Tariefsopbouw!$E$35</f>
        <v>#DIV/0!</v>
      </c>
      <c r="AB52" s="441">
        <f>Ruimtestaat[[#This Row],[Uitvoeringen werkdagen]]*Ruimtestaat[[#This Row],[BSO]]</f>
        <v>0</v>
      </c>
      <c r="AC52" s="443" t="e">
        <f>IF(U52&gt;0,Ruimtestaat[[#This Row],[Prest. (m2 / jaar) werkdagen BSO]]/Ruimtestaat[[#This Row],[Norm (m2/uur) werkdagen]],0)</f>
        <v>#DIV/0!</v>
      </c>
      <c r="AD52" s="443" t="e">
        <f>Ruimtestaat[[#This Row],[uren / jaar werkdagen BSO]]*Tariefsopbouw!$E$35</f>
        <v>#DIV/0!</v>
      </c>
      <c r="AE52" s="444">
        <f>Ruimtestaat[[#This Row],[uren / jaar werkdagen]]*Tariefsopbouw!$E$35</f>
        <v>0</v>
      </c>
      <c r="AF52" s="434"/>
      <c r="AG52" s="434">
        <f>IF(Ruimtestaat[[#This Row],[Frequentie weekend]]&gt;0,VALUE(LEFT(AF52,1))*S52,0)</f>
        <v>0</v>
      </c>
      <c r="AH52" s="445">
        <f>IF($AG52&gt;0,VLOOKUP($J52,Ruimtegroepen[],3,FALSE)*VLOOKUP($L52,Vloersoorten[],3,FALSE)*VLOOKUP($AF52,Frequenties[],3,FALSE)*VLOOKUP(Ruimtestaat[[#This Row],[Code]],Locaties[],3,FALSE),0)</f>
        <v>0</v>
      </c>
      <c r="AI52" s="445">
        <f>Ruimtestaat[[#This Row],[Uitvoeringen weekend]]*Ruimtestaat[[#This Row],[Oppervlak (netto)]]</f>
        <v>0</v>
      </c>
      <c r="AJ52" s="445">
        <f>IF(AH52&gt;0,Ruimtestaat[[#This Row],[Prest. (m2 /jaar) weekend]]/Ruimtestaat[[#This Row],[Norm (m2/uur) weekend]],0)</f>
        <v>0</v>
      </c>
      <c r="AK52" s="444">
        <f>Ruimtestaat[[#This Row],[uren / jaar weekend]]*Tariefsopbouw!$D$40</f>
        <v>0</v>
      </c>
      <c r="AL52" s="441">
        <f>Ruimtestaat[[#This Row],[Prest. (m2 /jaar) weekend]]+Ruimtestaat[[#This Row],[Prest. (m2 /jaar) werkdagen]]</f>
        <v>1025</v>
      </c>
      <c r="AM52" s="441">
        <f>Ruimtestaat[[#This Row],[uren / jaar weekend]]+Ruimtestaat[[#This Row],[uren / jaar werkdagen]]</f>
        <v>0</v>
      </c>
      <c r="AN52" s="446">
        <f>Ruimtestaat[[#This Row],[kosten / jaar weekend]]+Ruimtestaat[[#This Row],[kosten / jaar werkdagen]]</f>
        <v>0</v>
      </c>
      <c r="AO52" s="446"/>
      <c r="AP52" s="447" t="str">
        <f>IF(Ruimtestaat[[#This Row],[Frequentie werkdagen]]="","",_xlfn.CONCAT(Ruimtestaat[[#This Row],[Ruimte code]],"-",Ruimtestaat[[#This Row],[Frequentie werkdagen]]," ",Ruimtestaat[[#This Row],[Vloer code]]))</f>
        <v>5-5w P</v>
      </c>
      <c r="AQ52" s="448" t="str">
        <f>_xlfn.IFNA(VLOOKUP($AP52,Programma!$F$3:$G$1101,2,0),"")</f>
        <v>_</v>
      </c>
      <c r="AR52" s="448" t="str">
        <f>_xlfn.IFNA(VLOOKUP($AP52,Programma!$F$3:$H$1101,3,0),"")</f>
        <v>_</v>
      </c>
      <c r="AS52" s="448" t="str">
        <f>_xlfn.IFNA(VLOOKUP($AP52,Programma!$F$3:$I$1101,4,0),"")</f>
        <v>_</v>
      </c>
      <c r="AT52" s="448" t="str">
        <f>_xlfn.IFNA(VLOOKUP($AP52,Programma!$F$3:$J$1101,5,0),"")</f>
        <v>4w</v>
      </c>
      <c r="AU52" s="448" t="str">
        <f>_xlfn.IFNA(VLOOKUP($AP52,Programma!$F$3:$K$1101,6,0),"")</f>
        <v>1w</v>
      </c>
      <c r="AV52" s="448" t="str">
        <f>_xlfn.IFNA(VLOOKUP($AP52,Programma!$F$3:$L$1101,7,0),"")</f>
        <v>_</v>
      </c>
      <c r="AW52" s="448" t="str">
        <f>_xlfn.IFNA(VLOOKUP($AP52,Programma!$F$3:$M$1101,8,0),"")</f>
        <v>_</v>
      </c>
      <c r="AX52" s="448" t="str">
        <f>_xlfn.IFNA(VLOOKUP($AP52,Programma!$F$3:$N$1101,9,0),"")</f>
        <v>_</v>
      </c>
      <c r="AY52" s="448" t="str">
        <f>_xlfn.IFNA(VLOOKUP($AP52,Programma!$F$3:$O$1101,10,0),"")</f>
        <v>_</v>
      </c>
      <c r="AZ52" s="448" t="str">
        <f>_xlfn.IFNA(VLOOKUP($AP52,Programma!$F$3:$P$1101,11,0),"")</f>
        <v>_</v>
      </c>
      <c r="BA52" s="448" t="str">
        <f>_xlfn.IFNA(VLOOKUP($AP52,Programma!$F$3:$Q$1101,12,0),"")</f>
        <v>_</v>
      </c>
      <c r="BB52" s="448" t="str">
        <f>_xlfn.IFNA(VLOOKUP($AP52,Programma!$F$3:$R$1101,13,0),"")</f>
        <v>_</v>
      </c>
      <c r="BC52" s="448" t="str">
        <f>_xlfn.IFNA(VLOOKUP($AP52,Programma!$F$3:$S$1101,14,0),"")</f>
        <v>_</v>
      </c>
      <c r="BD52" s="448" t="str">
        <f>_xlfn.IFNA(VLOOKUP($AP52,Programma!$F$3:$T$1101,15,0),"")</f>
        <v>_</v>
      </c>
      <c r="BE52" s="448" t="str">
        <f>_xlfn.IFNA(VLOOKUP($AP52,Programma!$F$3:$U$1101,16,0),"")</f>
        <v>_</v>
      </c>
      <c r="BF52" s="448" t="str">
        <f>_xlfn.IFNA(VLOOKUP($AP52,Programma!$F$3:$V$1101,17,0),"")</f>
        <v>_</v>
      </c>
      <c r="BG52" s="448" t="str">
        <f>_xlfn.IFNA(VLOOKUP($AP52,Programma!$F$3:$W$1101,18,0),"")</f>
        <v>4w</v>
      </c>
      <c r="BH52" s="448" t="str">
        <f>_xlfn.IFNA(VLOOKUP($AP52,Programma!$F$3:$X$1101,19,0),"")</f>
        <v>1w</v>
      </c>
      <c r="BI52" s="448" t="str">
        <f>_xlfn.IFNA(VLOOKUP($AP52,Programma!$F$3:$Y$1101,20,0),"")</f>
        <v>_</v>
      </c>
      <c r="BJ52" s="449"/>
      <c r="BK52" s="447" t="str">
        <f>IF(Ruimtestaat[[#This Row],[Frequentie weekend]]="","",_xlfn.CONCAT(Ruimtestaat[[#This Row],[Ruimte code]],"-",Ruimtestaat[[#This Row],[Frequentie weekend]]," ",Ruimtestaat[[#This Row],[Vloer code]]))</f>
        <v/>
      </c>
      <c r="BL52" s="448" t="str">
        <f>_xlfn.IFNA(VLOOKUP($BK52,Programma!$F$3:$G$1101,2,0),"")</f>
        <v/>
      </c>
      <c r="BM52" s="448" t="str">
        <f>_xlfn.IFNA(VLOOKUP($BK52,Programma!$F$3:$H$1101,3,0),"")</f>
        <v/>
      </c>
      <c r="BN52" s="448" t="str">
        <f>_xlfn.IFNA(VLOOKUP($BK52,Programma!$F$3:$I$1101,4,0),"")</f>
        <v/>
      </c>
      <c r="BO52" s="448" t="str">
        <f>_xlfn.IFNA(VLOOKUP($BK52,Programma!$F$3:$J$1101,5,0),"")</f>
        <v/>
      </c>
      <c r="BP52" s="448" t="str">
        <f>_xlfn.IFNA(VLOOKUP($BK52,Programma!$F$3:$K$1101,6,0),"")</f>
        <v/>
      </c>
      <c r="BQ52" s="448" t="str">
        <f>_xlfn.IFNA(VLOOKUP($BK52,Programma!$F$3:$L$1101,7,0),"")</f>
        <v/>
      </c>
      <c r="BR52" s="448" t="str">
        <f>_xlfn.IFNA(VLOOKUP($BK52,Programma!$F$3:$M$1101,8,0),"")</f>
        <v/>
      </c>
      <c r="BS52" s="448" t="str">
        <f>_xlfn.IFNA(VLOOKUP($BK52,Programma!$F$3:$N$1101,9,0),"")</f>
        <v/>
      </c>
      <c r="BT52" s="448" t="str">
        <f>_xlfn.IFNA(VLOOKUP($BK52,Programma!$F$3:$O$1101,10,0),"")</f>
        <v/>
      </c>
      <c r="BU52" s="448" t="str">
        <f>_xlfn.IFNA(VLOOKUP($BK52,Programma!$F$3:$P$1101,11,0),"")</f>
        <v/>
      </c>
      <c r="BV52" s="448" t="str">
        <f>_xlfn.IFNA(VLOOKUP($BK52,Programma!$F$3:$Q$1101,12,0),"")</f>
        <v/>
      </c>
      <c r="BW52" s="448" t="str">
        <f>_xlfn.IFNA(VLOOKUP($BK52,Programma!$F$3:$R$1101,13,0),"")</f>
        <v/>
      </c>
      <c r="BX52" s="448" t="str">
        <f>_xlfn.IFNA(VLOOKUP($BK52,Programma!$F$3:$S$1101,14,0),"")</f>
        <v/>
      </c>
      <c r="BY52" s="448" t="str">
        <f>_xlfn.IFNA(VLOOKUP($BK52,Programma!$F$3:$T$1101,15,0),"")</f>
        <v/>
      </c>
      <c r="BZ52" s="448" t="str">
        <f>_xlfn.IFNA(VLOOKUP($BK52,Programma!$F$3:$U$1101,16,0),"")</f>
        <v/>
      </c>
      <c r="CA52" s="448" t="str">
        <f>_xlfn.IFNA(VLOOKUP($BK52,Programma!$F$3:$V$1101,17,0),"")</f>
        <v/>
      </c>
      <c r="CB52" s="448" t="str">
        <f>_xlfn.IFNA(VLOOKUP($BK52,Programma!$F$3:$W$1101,18,0),"")</f>
        <v/>
      </c>
      <c r="CC52" s="448" t="str">
        <f>_xlfn.IFNA(VLOOKUP($BK52,Programma!$F$3:$X$1101,19,0),"")</f>
        <v/>
      </c>
      <c r="CD52" s="448" t="str">
        <f>_xlfn.IFNA(VLOOKUP($BK52,Programma!$F$3:$Y$1101,20,0),"")</f>
        <v/>
      </c>
      <c r="CE52" s="327"/>
      <c r="CF52" s="327"/>
      <c r="CG52" s="327"/>
      <c r="CH52" s="327"/>
      <c r="CI52" s="327"/>
      <c r="CJ52" s="327"/>
      <c r="CK52" s="327"/>
      <c r="CL52" s="327"/>
      <c r="CM52" s="327"/>
      <c r="CN52" s="327"/>
      <c r="CO52" s="327"/>
      <c r="CP52" s="327"/>
      <c r="CQ52" s="327"/>
      <c r="CR52" s="327"/>
      <c r="CS52" s="327"/>
      <c r="CT52" s="327"/>
      <c r="CU52" s="327"/>
      <c r="CV52" s="327"/>
      <c r="CW52" s="327"/>
      <c r="CX52" s="327"/>
      <c r="CY52" s="327"/>
      <c r="CZ52" s="327"/>
      <c r="DA52" s="327"/>
      <c r="DB52" s="327"/>
      <c r="DC52" s="327"/>
      <c r="DD52" s="327"/>
      <c r="DE52" s="327"/>
      <c r="DF52" s="327"/>
      <c r="DG52" s="327"/>
      <c r="DH52" s="327"/>
      <c r="DI52" s="327"/>
      <c r="DJ52" s="327"/>
      <c r="DK52" s="327"/>
      <c r="DL52" s="327"/>
      <c r="DM52" s="327"/>
      <c r="DN52" s="327"/>
      <c r="DO52" s="327"/>
      <c r="DP52" s="327"/>
      <c r="DQ52" s="327"/>
      <c r="DR52" s="327"/>
      <c r="DS52" s="327"/>
      <c r="DT52" s="327"/>
      <c r="DU52" s="327"/>
      <c r="DV52" s="327"/>
      <c r="DW52" s="327"/>
      <c r="DX52" s="327"/>
      <c r="DY52" s="327"/>
      <c r="DZ52" s="327"/>
      <c r="EA52" s="327"/>
      <c r="EB52" s="327"/>
      <c r="EC52" s="327"/>
      <c r="ED52" s="327"/>
      <c r="EE52" s="327"/>
      <c r="EF52" s="327"/>
      <c r="EG52" s="327"/>
      <c r="EH52" s="327"/>
      <c r="EI52" s="327"/>
      <c r="EJ52" s="327"/>
      <c r="EK52" s="327"/>
      <c r="EL52" s="327"/>
      <c r="EM52" s="327"/>
      <c r="EN52" s="327"/>
      <c r="EO52" s="327"/>
      <c r="EP52" s="327"/>
      <c r="EQ52" s="327"/>
      <c r="ER52" s="327"/>
      <c r="ES52" s="327"/>
      <c r="ET52" s="327"/>
      <c r="EU52" s="327"/>
      <c r="EV52" s="327"/>
      <c r="EW52" s="327"/>
      <c r="EX52" s="327"/>
      <c r="EY52" s="327"/>
      <c r="EZ52" s="327"/>
      <c r="FA52" s="327"/>
      <c r="FB52" s="327"/>
      <c r="FC52" s="327"/>
      <c r="FD52" s="327"/>
      <c r="FE52" s="327"/>
      <c r="FF52" s="327"/>
      <c r="FG52" s="327"/>
      <c r="FH52" s="327"/>
      <c r="FI52" s="327"/>
      <c r="FJ52" s="327"/>
      <c r="FK52" s="327"/>
      <c r="FL52" s="327"/>
      <c r="FM52" s="327"/>
      <c r="FN52" s="327"/>
      <c r="FO52" s="327"/>
      <c r="FP52" s="327"/>
      <c r="FQ52" s="327"/>
      <c r="FR52" s="327"/>
      <c r="FS52" s="327"/>
      <c r="FT52" s="327"/>
      <c r="FU52" s="327"/>
      <c r="FV52" s="327"/>
      <c r="FW52" s="327"/>
      <c r="FX52" s="327"/>
      <c r="FY52" s="327"/>
      <c r="FZ52" s="327"/>
      <c r="GA52" s="327"/>
      <c r="GB52" s="327"/>
      <c r="GC52" s="327"/>
      <c r="GD52" s="327"/>
      <c r="GE52" s="327"/>
      <c r="GF52" s="327"/>
      <c r="GG52" s="327"/>
      <c r="GH52" s="327"/>
      <c r="GI52" s="327"/>
      <c r="GJ52" s="327"/>
      <c r="GK52" s="327"/>
      <c r="GL52" s="327"/>
      <c r="GM52" s="327"/>
      <c r="GN52" s="327"/>
      <c r="GO52" s="327"/>
      <c r="GP52" s="327"/>
      <c r="GQ52" s="327"/>
      <c r="GR52" s="327"/>
      <c r="GS52" s="327"/>
      <c r="GT52" s="327"/>
      <c r="GU52" s="327"/>
      <c r="GV52" s="327"/>
      <c r="GW52" s="327"/>
      <c r="GX52" s="327"/>
      <c r="GY52" s="327"/>
      <c r="GZ52" s="327"/>
      <c r="HA52" s="327"/>
      <c r="HB52" s="327"/>
      <c r="HC52" s="327"/>
      <c r="HD52" s="327"/>
      <c r="HE52" s="327"/>
      <c r="HF52" s="327"/>
      <c r="HG52" s="327"/>
      <c r="HH52" s="327"/>
      <c r="HI52" s="327"/>
      <c r="HJ52" s="327"/>
      <c r="HK52" s="327"/>
      <c r="HL52" s="327"/>
      <c r="HM52" s="327"/>
      <c r="HN52" s="327"/>
      <c r="HO52" s="327"/>
      <c r="HP52" s="327"/>
      <c r="HQ52" s="327"/>
      <c r="HR52" s="327"/>
      <c r="HS52" s="327"/>
    </row>
    <row r="53" spans="1:227" ht="15" customHeight="1">
      <c r="A53" s="434">
        <v>3</v>
      </c>
      <c r="B53" s="435" t="str">
        <f>VLOOKUP(Ruimtestaat[[#This Row],[Code]],Locaties[[Code]:[Locatie]],2,FALSE)</f>
        <v>IKC De Saffier</v>
      </c>
      <c r="C53" s="435" t="str">
        <f>VLOOKUP(Ruimtestaat[[#This Row],[Code]],Locaties[[#All],[Code]:[Adres]],4,FALSE)</f>
        <v>Elektrablauw 5</v>
      </c>
      <c r="D53" s="435" t="str">
        <f>VLOOKUP(Ruimtestaat[[#This Row],[Code]],Locaties[[#All],[Code]:[Postcode]],5,FALSE)</f>
        <v>2718 JT</v>
      </c>
      <c r="E53" s="435" t="str">
        <f>VLOOKUP(Ruimtestaat[[#This Row],[Code]],Locaties[#All],6,FALSE)</f>
        <v>Zoetermeer</v>
      </c>
      <c r="F53" s="434"/>
      <c r="G53" s="434" t="s">
        <v>1678</v>
      </c>
      <c r="H53" s="436" t="s">
        <v>1683</v>
      </c>
      <c r="I53" s="437" t="s">
        <v>121</v>
      </c>
      <c r="J53" s="434">
        <v>15</v>
      </c>
      <c r="K53" s="450" t="str">
        <f>VLOOKUP(Ruimtestaat[[#This Row],[Ruimte code]],Ruimtegroepen[[#All],[Code]:[Ruimte omschrijving]],2,FALSE)</f>
        <v>Keuken/pantry</v>
      </c>
      <c r="L53" s="434" t="s">
        <v>102</v>
      </c>
      <c r="M53" s="437" t="s">
        <v>2105</v>
      </c>
      <c r="N53" s="439">
        <v>10</v>
      </c>
      <c r="O53" s="439"/>
      <c r="P53" s="439"/>
      <c r="Q53" s="439"/>
      <c r="R53" s="440" t="str">
        <f>VLOOKUP(Ruimtestaat[[#This Row],[Ruimte code]],Ruimtegroepen[],4,FALSE)</f>
        <v>Ve</v>
      </c>
      <c r="S53" s="434">
        <v>41</v>
      </c>
      <c r="T53" s="434" t="s">
        <v>2</v>
      </c>
      <c r="U53" s="434">
        <f>IF(S53&gt;0,IF(RIGHT(Ruimtestaat[[#This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3" s="434">
        <f>IF(U53&gt;0,VLOOKUP($J53,Ruimtegroepen[],3,FALSE)*VLOOKUP($L53,Vloersoorten[],3,FALSE)*VLOOKUP($T53,Frequenties[],3,FALSE)*VLOOKUP($A53,Locaties[],3,FALSE),0)</f>
        <v>0</v>
      </c>
      <c r="W53" s="434">
        <f>Ruimtestaat[[#This Row],[Uitvoeringen werkdagen]]*Ruimtestaat[[#This Row],[Oppervlak (netto)]]</f>
        <v>2050</v>
      </c>
      <c r="X53" s="441">
        <f>IF(V53&gt;0,Ruimtestaat[[#This Row],[Prest. (m2 /jaar) werkdagen]]/Ruimtestaat[[#This Row],[Norm (m2/uur) werkdagen]],0)</f>
        <v>0</v>
      </c>
      <c r="Y53" s="442">
        <f>Ruimtestaat[[#This Row],[Uitvoeringen werkdagen]]*Ruimtestaat[[#This Row],[Gedeeltelijk]]</f>
        <v>0</v>
      </c>
      <c r="Z53" s="443" t="e">
        <f>IF(U53&gt;0,Ruimtestaat[[#This Row],[Prest. (m2 / jaar) werkdagen gedeeld]]/Ruimtestaat[[#This Row],[Norm (m2/uur) werkdagen]],0)</f>
        <v>#DIV/0!</v>
      </c>
      <c r="AA53" s="441" t="e">
        <f>Ruimtestaat[[#This Row],[uren / jaar werkdagen gedeeld]]*Tariefsopbouw!$E$35</f>
        <v>#DIV/0!</v>
      </c>
      <c r="AB53" s="441">
        <f>Ruimtestaat[[#This Row],[Uitvoeringen werkdagen]]*Ruimtestaat[[#This Row],[BSO]]</f>
        <v>0</v>
      </c>
      <c r="AC53" s="443" t="e">
        <f>IF(U53&gt;0,Ruimtestaat[[#This Row],[Prest. (m2 / jaar) werkdagen BSO]]/Ruimtestaat[[#This Row],[Norm (m2/uur) werkdagen]],0)</f>
        <v>#DIV/0!</v>
      </c>
      <c r="AD53" s="443" t="e">
        <f>Ruimtestaat[[#This Row],[uren / jaar werkdagen BSO]]*Tariefsopbouw!$E$35</f>
        <v>#DIV/0!</v>
      </c>
      <c r="AE53" s="444">
        <f>Ruimtestaat[[#This Row],[uren / jaar werkdagen]]*Tariefsopbouw!$E$35</f>
        <v>0</v>
      </c>
      <c r="AF53" s="434"/>
      <c r="AG53" s="434">
        <f>IF(Ruimtestaat[[#This Row],[Frequentie weekend]]&gt;0,VALUE(LEFT(AF53,1))*S53,0)</f>
        <v>0</v>
      </c>
      <c r="AH53" s="445">
        <f>IF($AG53&gt;0,VLOOKUP($J53,Ruimtegroepen[],3,FALSE)*VLOOKUP($L53,Vloersoorten[],3,FALSE)*VLOOKUP($AF53,Frequenties[],3,FALSE)*VLOOKUP(Ruimtestaat[[#This Row],[Code]],Locaties[],3,FALSE),0)</f>
        <v>0</v>
      </c>
      <c r="AI53" s="445">
        <f>Ruimtestaat[[#This Row],[Uitvoeringen weekend]]*Ruimtestaat[[#This Row],[Oppervlak (netto)]]</f>
        <v>0</v>
      </c>
      <c r="AJ53" s="445">
        <f>IF(AH53&gt;0,Ruimtestaat[[#This Row],[Prest. (m2 /jaar) weekend]]/Ruimtestaat[[#This Row],[Norm (m2/uur) weekend]],0)</f>
        <v>0</v>
      </c>
      <c r="AK53" s="444">
        <f>Ruimtestaat[[#This Row],[uren / jaar weekend]]*Tariefsopbouw!$D$40</f>
        <v>0</v>
      </c>
      <c r="AL53" s="441">
        <f>Ruimtestaat[[#This Row],[Prest. (m2 /jaar) weekend]]+Ruimtestaat[[#This Row],[Prest. (m2 /jaar) werkdagen]]</f>
        <v>2050</v>
      </c>
      <c r="AM53" s="441">
        <f>Ruimtestaat[[#This Row],[uren / jaar weekend]]+Ruimtestaat[[#This Row],[uren / jaar werkdagen]]</f>
        <v>0</v>
      </c>
      <c r="AN53" s="446">
        <f>Ruimtestaat[[#This Row],[kosten / jaar weekend]]+Ruimtestaat[[#This Row],[kosten / jaar werkdagen]]</f>
        <v>0</v>
      </c>
      <c r="AO53" s="446"/>
      <c r="AP53" s="447" t="str">
        <f>IF(Ruimtestaat[[#This Row],[Frequentie werkdagen]]="","",_xlfn.CONCAT(Ruimtestaat[[#This Row],[Ruimte code]],"-",Ruimtestaat[[#This Row],[Frequentie werkdagen]]," ",Ruimtestaat[[#This Row],[Vloer code]]))</f>
        <v>15-5w P</v>
      </c>
      <c r="AQ53" s="448" t="str">
        <f>_xlfn.IFNA(VLOOKUP($AP53,Programma!$F$3:$G$1101,2,0),"")</f>
        <v>_</v>
      </c>
      <c r="AR53" s="448" t="str">
        <f>_xlfn.IFNA(VLOOKUP($AP53,Programma!$F$3:$H$1101,3,0),"")</f>
        <v>_</v>
      </c>
      <c r="AS53" s="448" t="str">
        <f>_xlfn.IFNA(VLOOKUP($AP53,Programma!$F$3:$I$1101,4,0),"")</f>
        <v>5w</v>
      </c>
      <c r="AT53" s="448" t="str">
        <f>_xlfn.IFNA(VLOOKUP($AP53,Programma!$F$3:$J$1101,5,0),"")</f>
        <v>_</v>
      </c>
      <c r="AU53" s="448" t="str">
        <f>_xlfn.IFNA(VLOOKUP($AP53,Programma!$F$3:$K$1101,6,0),"")</f>
        <v>5w</v>
      </c>
      <c r="AV53" s="448" t="str">
        <f>_xlfn.IFNA(VLOOKUP($AP53,Programma!$F$3:$L$1101,7,0),"")</f>
        <v>_</v>
      </c>
      <c r="AW53" s="448" t="str">
        <f>_xlfn.IFNA(VLOOKUP($AP53,Programma!$F$3:$M$1101,8,0),"")</f>
        <v>_</v>
      </c>
      <c r="AX53" s="448" t="str">
        <f>_xlfn.IFNA(VLOOKUP($AP53,Programma!$F$3:$N$1101,9,0),"")</f>
        <v>_</v>
      </c>
      <c r="AY53" s="448" t="str">
        <f>_xlfn.IFNA(VLOOKUP($AP53,Programma!$F$3:$O$1101,10,0),"")</f>
        <v>5w</v>
      </c>
      <c r="AZ53" s="448" t="str">
        <f>_xlfn.IFNA(VLOOKUP($AP53,Programma!$F$3:$P$1101,11,0),"")</f>
        <v>5w</v>
      </c>
      <c r="BA53" s="448" t="str">
        <f>_xlfn.IFNA(VLOOKUP($AP53,Programma!$F$3:$Q$1101,12,0),"")</f>
        <v>1w</v>
      </c>
      <c r="BB53" s="448" t="str">
        <f>_xlfn.IFNA(VLOOKUP($AP53,Programma!$F$3:$R$1101,13,0),"")</f>
        <v>1w</v>
      </c>
      <c r="BC53" s="448" t="str">
        <f>_xlfn.IFNA(VLOOKUP($AP53,Programma!$F$3:$S$1101,14,0),"")</f>
        <v>1m</v>
      </c>
      <c r="BD53" s="448" t="str">
        <f>_xlfn.IFNA(VLOOKUP($AP53,Programma!$F$3:$T$1101,15,0),"")</f>
        <v>2j</v>
      </c>
      <c r="BE53" s="448" t="str">
        <f>_xlfn.IFNA(VLOOKUP($AP53,Programma!$F$3:$U$1101,16,0),"")</f>
        <v>1j</v>
      </c>
      <c r="BF53" s="448" t="str">
        <f>_xlfn.IFNA(VLOOKUP($AP53,Programma!$F$3:$V$1101,17,0),"")</f>
        <v>_</v>
      </c>
      <c r="BG53" s="448" t="str">
        <f>_xlfn.IFNA(VLOOKUP($AP53,Programma!$F$3:$W$1101,18,0),"")</f>
        <v>_</v>
      </c>
      <c r="BH53" s="448" t="str">
        <f>_xlfn.IFNA(VLOOKUP($AP53,Programma!$F$3:$X$1101,19,0),"")</f>
        <v>_</v>
      </c>
      <c r="BI53" s="448" t="str">
        <f>_xlfn.IFNA(VLOOKUP($AP53,Programma!$F$3:$Y$1101,20,0),"")</f>
        <v>_</v>
      </c>
      <c r="BJ53" s="449"/>
      <c r="BK53" s="447" t="str">
        <f>IF(Ruimtestaat[[#This Row],[Frequentie weekend]]="","",_xlfn.CONCAT(Ruimtestaat[[#This Row],[Ruimte code]],"-",Ruimtestaat[[#This Row],[Frequentie weekend]]," ",Ruimtestaat[[#This Row],[Vloer code]]))</f>
        <v/>
      </c>
      <c r="BL53" s="448" t="str">
        <f>_xlfn.IFNA(VLOOKUP($BK53,Programma!$F$3:$G$1101,2,0),"")</f>
        <v/>
      </c>
      <c r="BM53" s="448" t="str">
        <f>_xlfn.IFNA(VLOOKUP($BK53,Programma!$F$3:$H$1101,3,0),"")</f>
        <v/>
      </c>
      <c r="BN53" s="448" t="str">
        <f>_xlfn.IFNA(VLOOKUP($BK53,Programma!$F$3:$I$1101,4,0),"")</f>
        <v/>
      </c>
      <c r="BO53" s="448" t="str">
        <f>_xlfn.IFNA(VLOOKUP($BK53,Programma!$F$3:$J$1101,5,0),"")</f>
        <v/>
      </c>
      <c r="BP53" s="448" t="str">
        <f>_xlfn.IFNA(VLOOKUP($BK53,Programma!$F$3:$K$1101,6,0),"")</f>
        <v/>
      </c>
      <c r="BQ53" s="448" t="str">
        <f>_xlfn.IFNA(VLOOKUP($BK53,Programma!$F$3:$L$1101,7,0),"")</f>
        <v/>
      </c>
      <c r="BR53" s="448" t="str">
        <f>_xlfn.IFNA(VLOOKUP($BK53,Programma!$F$3:$M$1101,8,0),"")</f>
        <v/>
      </c>
      <c r="BS53" s="448" t="str">
        <f>_xlfn.IFNA(VLOOKUP($BK53,Programma!$F$3:$N$1101,9,0),"")</f>
        <v/>
      </c>
      <c r="BT53" s="448" t="str">
        <f>_xlfn.IFNA(VLOOKUP($BK53,Programma!$F$3:$O$1101,10,0),"")</f>
        <v/>
      </c>
      <c r="BU53" s="448" t="str">
        <f>_xlfn.IFNA(VLOOKUP($BK53,Programma!$F$3:$P$1101,11,0),"")</f>
        <v/>
      </c>
      <c r="BV53" s="448" t="str">
        <f>_xlfn.IFNA(VLOOKUP($BK53,Programma!$F$3:$Q$1101,12,0),"")</f>
        <v/>
      </c>
      <c r="BW53" s="448" t="str">
        <f>_xlfn.IFNA(VLOOKUP($BK53,Programma!$F$3:$R$1101,13,0),"")</f>
        <v/>
      </c>
      <c r="BX53" s="448" t="str">
        <f>_xlfn.IFNA(VLOOKUP($BK53,Programma!$F$3:$S$1101,14,0),"")</f>
        <v/>
      </c>
      <c r="BY53" s="448" t="str">
        <f>_xlfn.IFNA(VLOOKUP($BK53,Programma!$F$3:$T$1101,15,0),"")</f>
        <v/>
      </c>
      <c r="BZ53" s="448" t="str">
        <f>_xlfn.IFNA(VLOOKUP($BK53,Programma!$F$3:$U$1101,16,0),"")</f>
        <v/>
      </c>
      <c r="CA53" s="448" t="str">
        <f>_xlfn.IFNA(VLOOKUP($BK53,Programma!$F$3:$V$1101,17,0),"")</f>
        <v/>
      </c>
      <c r="CB53" s="448" t="str">
        <f>_xlfn.IFNA(VLOOKUP($BK53,Programma!$F$3:$W$1101,18,0),"")</f>
        <v/>
      </c>
      <c r="CC53" s="448" t="str">
        <f>_xlfn.IFNA(VLOOKUP($BK53,Programma!$F$3:$X$1101,19,0),"")</f>
        <v/>
      </c>
      <c r="CD53" s="448" t="str">
        <f>_xlfn.IFNA(VLOOKUP($BK53,Programma!$F$3:$Y$1101,20,0),"")</f>
        <v/>
      </c>
      <c r="CE53" s="327"/>
      <c r="CF53" s="327"/>
      <c r="CG53" s="327"/>
      <c r="CH53" s="327"/>
      <c r="CI53" s="327"/>
      <c r="CJ53" s="327"/>
      <c r="CK53" s="327"/>
      <c r="CL53" s="327"/>
      <c r="CM53" s="327"/>
      <c r="CN53" s="327"/>
      <c r="CO53" s="327"/>
      <c r="CP53" s="327"/>
      <c r="CQ53" s="327"/>
      <c r="CR53" s="327"/>
      <c r="CS53" s="327"/>
      <c r="CT53" s="327"/>
      <c r="CU53" s="327"/>
      <c r="CV53" s="327"/>
      <c r="CW53" s="327"/>
      <c r="CX53" s="327"/>
      <c r="CY53" s="327"/>
      <c r="CZ53" s="327"/>
      <c r="DA53" s="327"/>
      <c r="DB53" s="327"/>
      <c r="DC53" s="327"/>
      <c r="DD53" s="327"/>
      <c r="DE53" s="327"/>
      <c r="DF53" s="327"/>
      <c r="DG53" s="327"/>
      <c r="DH53" s="327"/>
      <c r="DI53" s="327"/>
      <c r="DJ53" s="327"/>
      <c r="DK53" s="327"/>
      <c r="DL53" s="327"/>
      <c r="DM53" s="327"/>
      <c r="DN53" s="327"/>
      <c r="DO53" s="327"/>
      <c r="DP53" s="327"/>
      <c r="DQ53" s="327"/>
      <c r="DR53" s="327"/>
      <c r="DS53" s="327"/>
      <c r="DT53" s="327"/>
      <c r="DU53" s="327"/>
      <c r="DV53" s="327"/>
      <c r="DW53" s="327"/>
      <c r="DX53" s="327"/>
      <c r="DY53" s="327"/>
      <c r="DZ53" s="327"/>
      <c r="EA53" s="327"/>
      <c r="EB53" s="327"/>
      <c r="EC53" s="327"/>
      <c r="ED53" s="327"/>
      <c r="EE53" s="327"/>
      <c r="EF53" s="327"/>
      <c r="EG53" s="327"/>
      <c r="EH53" s="327"/>
      <c r="EI53" s="327"/>
      <c r="EJ53" s="327"/>
      <c r="EK53" s="327"/>
      <c r="EL53" s="327"/>
      <c r="EM53" s="327"/>
      <c r="EN53" s="327"/>
      <c r="EO53" s="327"/>
      <c r="EP53" s="327"/>
      <c r="EQ53" s="327"/>
      <c r="ER53" s="327"/>
      <c r="ES53" s="327"/>
      <c r="ET53" s="327"/>
      <c r="EU53" s="327"/>
      <c r="EV53" s="327"/>
      <c r="EW53" s="327"/>
      <c r="EX53" s="327"/>
      <c r="EY53" s="327"/>
      <c r="EZ53" s="327"/>
      <c r="FA53" s="327"/>
      <c r="FB53" s="327"/>
      <c r="FC53" s="327"/>
      <c r="FD53" s="327"/>
      <c r="FE53" s="327"/>
      <c r="FF53" s="327"/>
      <c r="FG53" s="327"/>
      <c r="FH53" s="327"/>
      <c r="FI53" s="327"/>
      <c r="FJ53" s="327"/>
      <c r="FK53" s="327"/>
      <c r="FL53" s="327"/>
      <c r="FM53" s="327"/>
      <c r="FN53" s="327"/>
      <c r="FO53" s="327"/>
      <c r="FP53" s="327"/>
      <c r="FQ53" s="327"/>
      <c r="FR53" s="327"/>
      <c r="FS53" s="327"/>
      <c r="FT53" s="327"/>
      <c r="FU53" s="327"/>
      <c r="FV53" s="327"/>
      <c r="FW53" s="327"/>
      <c r="FX53" s="327"/>
      <c r="FY53" s="327"/>
      <c r="FZ53" s="327"/>
      <c r="GA53" s="327"/>
      <c r="GB53" s="327"/>
      <c r="GC53" s="327"/>
      <c r="GD53" s="327"/>
      <c r="GE53" s="327"/>
      <c r="GF53" s="327"/>
      <c r="GG53" s="327"/>
      <c r="GH53" s="327"/>
      <c r="GI53" s="327"/>
      <c r="GJ53" s="327"/>
      <c r="GK53" s="327"/>
      <c r="GL53" s="327"/>
      <c r="GM53" s="327"/>
      <c r="GN53" s="327"/>
      <c r="GO53" s="327"/>
      <c r="GP53" s="327"/>
      <c r="GQ53" s="327"/>
      <c r="GR53" s="327"/>
      <c r="GS53" s="327"/>
      <c r="GT53" s="327"/>
      <c r="GU53" s="327"/>
      <c r="GV53" s="327"/>
      <c r="GW53" s="327"/>
      <c r="GX53" s="327"/>
      <c r="GY53" s="327"/>
      <c r="GZ53" s="327"/>
      <c r="HA53" s="327"/>
      <c r="HB53" s="327"/>
      <c r="HC53" s="327"/>
      <c r="HD53" s="327"/>
      <c r="HE53" s="327"/>
      <c r="HF53" s="327"/>
      <c r="HG53" s="327"/>
      <c r="HH53" s="327"/>
      <c r="HI53" s="327"/>
      <c r="HJ53" s="327"/>
      <c r="HK53" s="327"/>
      <c r="HL53" s="327"/>
      <c r="HM53" s="327"/>
      <c r="HN53" s="327"/>
      <c r="HO53" s="327"/>
      <c r="HP53" s="327"/>
      <c r="HQ53" s="327"/>
      <c r="HR53" s="327"/>
      <c r="HS53" s="327"/>
    </row>
    <row r="54" spans="1:227" ht="15" customHeight="1">
      <c r="A54" s="434">
        <v>4</v>
      </c>
      <c r="B54" s="435" t="str">
        <f>VLOOKUP(Ruimtestaat[[#This Row],[Code]],Locaties[[Code]:[Locatie]],2,FALSE)</f>
        <v>IKC De Waterlelie</v>
      </c>
      <c r="C54" s="435" t="str">
        <f>VLOOKUP(Ruimtestaat[[#This Row],[Code]],Locaties[[#All],[Code]:[Adres]],4,FALSE)</f>
        <v>Goudenregenzoom 73</v>
      </c>
      <c r="D54" s="435" t="str">
        <f>VLOOKUP(Ruimtestaat[[#This Row],[Code]],Locaties[[#All],[Code]:[Postcode]],5,FALSE)</f>
        <v>2719 HE</v>
      </c>
      <c r="E54" s="435" t="str">
        <f>VLOOKUP(Ruimtestaat[[#This Row],[Code]],Locaties[#All],6,FALSE)</f>
        <v>Zoetermeer</v>
      </c>
      <c r="F54" s="434"/>
      <c r="G54" s="434" t="s">
        <v>1678</v>
      </c>
      <c r="H54" s="436" t="s">
        <v>1706</v>
      </c>
      <c r="I54" s="437" t="s">
        <v>38</v>
      </c>
      <c r="J54" s="330">
        <v>7</v>
      </c>
      <c r="K54" s="450" t="str">
        <f>VLOOKUP(Ruimtestaat[[#This Row],[Ruimte code]],Ruimtegroepen[[#All],[Code]:[Ruimte omschrijving]],2,FALSE)</f>
        <v>Entree</v>
      </c>
      <c r="L54" s="434" t="s">
        <v>99</v>
      </c>
      <c r="M54" s="437" t="s">
        <v>1758</v>
      </c>
      <c r="N54" s="439">
        <v>5.7</v>
      </c>
      <c r="O54" s="439"/>
      <c r="P54" s="439"/>
      <c r="Q54" s="439"/>
      <c r="R54" s="440" t="str">
        <f>VLOOKUP(Ruimtestaat[[#This Row],[Ruimte code]],Ruimtegroepen[],4,FALSE)</f>
        <v>Ve</v>
      </c>
      <c r="S54" s="434">
        <v>41</v>
      </c>
      <c r="T54" s="434" t="s">
        <v>2</v>
      </c>
      <c r="U54" s="434">
        <f>IF(S54&gt;0,IF(RIGHT(Ruimtestaat[[#This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4" s="434">
        <f>IF(U54&gt;0,VLOOKUP($J54,Ruimtegroepen[],3,FALSE)*VLOOKUP($L54,Vloersoorten[],3,FALSE)*VLOOKUP($T54,Frequenties[],3,FALSE)*VLOOKUP($A54,Locaties[],3,FALSE),0)</f>
        <v>0</v>
      </c>
      <c r="W54" s="434">
        <f>Ruimtestaat[[#This Row],[Uitvoeringen werkdagen]]*Ruimtestaat[[#This Row],[Oppervlak (netto)]]</f>
        <v>1168.5</v>
      </c>
      <c r="X54" s="441">
        <f>IF(V54&gt;0,Ruimtestaat[[#This Row],[Prest. (m2 /jaar) werkdagen]]/Ruimtestaat[[#This Row],[Norm (m2/uur) werkdagen]],0)</f>
        <v>0</v>
      </c>
      <c r="Y54" s="442">
        <f>Ruimtestaat[[#This Row],[Uitvoeringen werkdagen]]*Ruimtestaat[[#This Row],[Gedeeltelijk]]</f>
        <v>0</v>
      </c>
      <c r="Z54" s="443" t="e">
        <f>IF(U54&gt;0,Ruimtestaat[[#This Row],[Prest. (m2 / jaar) werkdagen gedeeld]]/Ruimtestaat[[#This Row],[Norm (m2/uur) werkdagen]],0)</f>
        <v>#DIV/0!</v>
      </c>
      <c r="AA54" s="441" t="e">
        <f>Ruimtestaat[[#This Row],[uren / jaar werkdagen gedeeld]]*Tariefsopbouw!$E$35</f>
        <v>#DIV/0!</v>
      </c>
      <c r="AB54" s="441">
        <f>Ruimtestaat[[#This Row],[Uitvoeringen werkdagen]]*Ruimtestaat[[#This Row],[BSO]]</f>
        <v>0</v>
      </c>
      <c r="AC54" s="443" t="e">
        <f>IF(U54&gt;0,Ruimtestaat[[#This Row],[Prest. (m2 / jaar) werkdagen BSO]]/Ruimtestaat[[#This Row],[Norm (m2/uur) werkdagen]],0)</f>
        <v>#DIV/0!</v>
      </c>
      <c r="AD54" s="443" t="e">
        <f>Ruimtestaat[[#This Row],[uren / jaar werkdagen BSO]]*Tariefsopbouw!$E$35</f>
        <v>#DIV/0!</v>
      </c>
      <c r="AE54" s="444">
        <f>Ruimtestaat[[#This Row],[uren / jaar werkdagen]]*Tariefsopbouw!$E$35</f>
        <v>0</v>
      </c>
      <c r="AF54" s="434"/>
      <c r="AG54" s="434">
        <f>IF(Ruimtestaat[[#This Row],[Frequentie weekend]]&gt;0,VALUE(LEFT(AF54,1))*S54,0)</f>
        <v>0</v>
      </c>
      <c r="AH54" s="445">
        <f>IF($AG54&gt;0,VLOOKUP($J54,Ruimtegroepen[],3,FALSE)*VLOOKUP($L54,Vloersoorten[],3,FALSE)*VLOOKUP($AF54,Frequenties[],3,FALSE)*VLOOKUP(Ruimtestaat[[#This Row],[Code]],Locaties[],3,FALSE),0)</f>
        <v>0</v>
      </c>
      <c r="AI54" s="445">
        <f>Ruimtestaat[[#This Row],[Uitvoeringen weekend]]*Ruimtestaat[[#This Row],[Oppervlak (netto)]]</f>
        <v>0</v>
      </c>
      <c r="AJ54" s="445">
        <f>IF(AH54&gt;0,Ruimtestaat[[#This Row],[Prest. (m2 /jaar) weekend]]/Ruimtestaat[[#This Row],[Norm (m2/uur) weekend]],0)</f>
        <v>0</v>
      </c>
      <c r="AK54" s="444">
        <f>Ruimtestaat[[#This Row],[uren / jaar weekend]]*Tariefsopbouw!$D$40</f>
        <v>0</v>
      </c>
      <c r="AL54" s="441">
        <f>Ruimtestaat[[#This Row],[Prest. (m2 /jaar) weekend]]+Ruimtestaat[[#This Row],[Prest. (m2 /jaar) werkdagen]]</f>
        <v>1168.5</v>
      </c>
      <c r="AM54" s="441">
        <f>Ruimtestaat[[#This Row],[uren / jaar weekend]]+Ruimtestaat[[#This Row],[uren / jaar werkdagen]]</f>
        <v>0</v>
      </c>
      <c r="AN54" s="446">
        <f>Ruimtestaat[[#This Row],[kosten / jaar weekend]]+Ruimtestaat[[#This Row],[kosten / jaar werkdagen]]</f>
        <v>0</v>
      </c>
      <c r="AO54" s="446"/>
      <c r="AP54" s="447" t="str">
        <f>IF(Ruimtestaat[[#This Row],[Frequentie werkdagen]]="","",_xlfn.CONCAT(Ruimtestaat[[#This Row],[Ruimte code]],"-",Ruimtestaat[[#This Row],[Frequentie werkdagen]]," ",Ruimtestaat[[#This Row],[Vloer code]]))</f>
        <v>7-5w T</v>
      </c>
      <c r="AQ54" s="448" t="str">
        <f>_xlfn.IFNA(VLOOKUP($AP54,Programma!$F$3:$G$1101,2,0),"")</f>
        <v>_</v>
      </c>
      <c r="AR54" s="448" t="str">
        <f>_xlfn.IFNA(VLOOKUP($AP54,Programma!$F$3:$H$1101,3,0),"")</f>
        <v>5w</v>
      </c>
      <c r="AS54" s="448" t="str">
        <f>_xlfn.IFNA(VLOOKUP($AP54,Programma!$F$3:$I$1101,4,0),"")</f>
        <v>_</v>
      </c>
      <c r="AT54" s="448" t="str">
        <f>_xlfn.IFNA(VLOOKUP($AP54,Programma!$F$3:$J$1101,5,0),"")</f>
        <v>_</v>
      </c>
      <c r="AU54" s="448" t="str">
        <f>_xlfn.IFNA(VLOOKUP($AP54,Programma!$F$3:$K$1101,6,0),"")</f>
        <v>_</v>
      </c>
      <c r="AV54" s="448" t="str">
        <f>_xlfn.IFNA(VLOOKUP($AP54,Programma!$F$3:$L$1101,7,0),"")</f>
        <v>_</v>
      </c>
      <c r="AW54" s="448" t="str">
        <f>_xlfn.IFNA(VLOOKUP($AP54,Programma!$F$3:$M$1101,8,0),"")</f>
        <v>_</v>
      </c>
      <c r="AX54" s="448" t="str">
        <f>_xlfn.IFNA(VLOOKUP($AP54,Programma!$F$3:$N$1101,9,0),"")</f>
        <v>_</v>
      </c>
      <c r="AY54" s="448" t="str">
        <f>_xlfn.IFNA(VLOOKUP($AP54,Programma!$F$3:$O$1101,10,0),"")</f>
        <v>5w</v>
      </c>
      <c r="AZ54" s="448" t="str">
        <f>_xlfn.IFNA(VLOOKUP($AP54,Programma!$F$3:$P$1101,11,0),"")</f>
        <v>5w</v>
      </c>
      <c r="BA54" s="448" t="str">
        <f>_xlfn.IFNA(VLOOKUP($AP54,Programma!$F$3:$Q$1101,12,0),"")</f>
        <v>1w</v>
      </c>
      <c r="BB54" s="448" t="str">
        <f>_xlfn.IFNA(VLOOKUP($AP54,Programma!$F$3:$R$1101,13,0),"")</f>
        <v>1w</v>
      </c>
      <c r="BC54" s="448" t="str">
        <f>_xlfn.IFNA(VLOOKUP($AP54,Programma!$F$3:$S$1101,14,0),"")</f>
        <v>1m</v>
      </c>
      <c r="BD54" s="448" t="str">
        <f>_xlfn.IFNA(VLOOKUP($AP54,Programma!$F$3:$T$1101,15,0),"")</f>
        <v>2j</v>
      </c>
      <c r="BE54" s="448" t="str">
        <f>_xlfn.IFNA(VLOOKUP($AP54,Programma!$F$3:$U$1101,16,0),"")</f>
        <v>1j</v>
      </c>
      <c r="BF54" s="448" t="str">
        <f>_xlfn.IFNA(VLOOKUP($AP54,Programma!$F$3:$V$1101,17,0),"")</f>
        <v>_</v>
      </c>
      <c r="BG54" s="448" t="str">
        <f>_xlfn.IFNA(VLOOKUP($AP54,Programma!$F$3:$W$1101,18,0),"")</f>
        <v>_</v>
      </c>
      <c r="BH54" s="448" t="str">
        <f>_xlfn.IFNA(VLOOKUP($AP54,Programma!$F$3:$X$1101,19,0),"")</f>
        <v>_</v>
      </c>
      <c r="BI54" s="448" t="str">
        <f>_xlfn.IFNA(VLOOKUP($AP54,Programma!$F$3:$Y$1101,20,0),"")</f>
        <v>_</v>
      </c>
      <c r="BJ54" s="449"/>
      <c r="BK54" s="447" t="str">
        <f>IF(Ruimtestaat[[#This Row],[Frequentie weekend]]="","",_xlfn.CONCAT(Ruimtestaat[[#This Row],[Ruimte code]],"-",Ruimtestaat[[#This Row],[Frequentie weekend]]," ",Ruimtestaat[[#This Row],[Vloer code]]))</f>
        <v/>
      </c>
      <c r="BL54" s="448" t="str">
        <f>_xlfn.IFNA(VLOOKUP($BK54,Programma!$F$3:$G$1101,2,0),"")</f>
        <v/>
      </c>
      <c r="BM54" s="448" t="str">
        <f>_xlfn.IFNA(VLOOKUP($BK54,Programma!$F$3:$H$1101,3,0),"")</f>
        <v/>
      </c>
      <c r="BN54" s="448" t="str">
        <f>_xlfn.IFNA(VLOOKUP($BK54,Programma!$F$3:$I$1101,4,0),"")</f>
        <v/>
      </c>
      <c r="BO54" s="448" t="str">
        <f>_xlfn.IFNA(VLOOKUP($BK54,Programma!$F$3:$J$1101,5,0),"")</f>
        <v/>
      </c>
      <c r="BP54" s="448" t="str">
        <f>_xlfn.IFNA(VLOOKUP($BK54,Programma!$F$3:$K$1101,6,0),"")</f>
        <v/>
      </c>
      <c r="BQ54" s="448" t="str">
        <f>_xlfn.IFNA(VLOOKUP($BK54,Programma!$F$3:$L$1101,7,0),"")</f>
        <v/>
      </c>
      <c r="BR54" s="448" t="str">
        <f>_xlfn.IFNA(VLOOKUP($BK54,Programma!$F$3:$M$1101,8,0),"")</f>
        <v/>
      </c>
      <c r="BS54" s="448" t="str">
        <f>_xlfn.IFNA(VLOOKUP($BK54,Programma!$F$3:$N$1101,9,0),"")</f>
        <v/>
      </c>
      <c r="BT54" s="448" t="str">
        <f>_xlfn.IFNA(VLOOKUP($BK54,Programma!$F$3:$O$1101,10,0),"")</f>
        <v/>
      </c>
      <c r="BU54" s="448" t="str">
        <f>_xlfn.IFNA(VLOOKUP($BK54,Programma!$F$3:$P$1101,11,0),"")</f>
        <v/>
      </c>
      <c r="BV54" s="448" t="str">
        <f>_xlfn.IFNA(VLOOKUP($BK54,Programma!$F$3:$Q$1101,12,0),"")</f>
        <v/>
      </c>
      <c r="BW54" s="448" t="str">
        <f>_xlfn.IFNA(VLOOKUP($BK54,Programma!$F$3:$R$1101,13,0),"")</f>
        <v/>
      </c>
      <c r="BX54" s="448" t="str">
        <f>_xlfn.IFNA(VLOOKUP($BK54,Programma!$F$3:$S$1101,14,0),"")</f>
        <v/>
      </c>
      <c r="BY54" s="448" t="str">
        <f>_xlfn.IFNA(VLOOKUP($BK54,Programma!$F$3:$T$1101,15,0),"")</f>
        <v/>
      </c>
      <c r="BZ54" s="448" t="str">
        <f>_xlfn.IFNA(VLOOKUP($BK54,Programma!$F$3:$U$1101,16,0),"")</f>
        <v/>
      </c>
      <c r="CA54" s="448" t="str">
        <f>_xlfn.IFNA(VLOOKUP($BK54,Programma!$F$3:$V$1101,17,0),"")</f>
        <v/>
      </c>
      <c r="CB54" s="448" t="str">
        <f>_xlfn.IFNA(VLOOKUP($BK54,Programma!$F$3:$W$1101,18,0),"")</f>
        <v/>
      </c>
      <c r="CC54" s="448" t="str">
        <f>_xlfn.IFNA(VLOOKUP($BK54,Programma!$F$3:$X$1101,19,0),"")</f>
        <v/>
      </c>
      <c r="CD54" s="448" t="str">
        <f>_xlfn.IFNA(VLOOKUP($BK54,Programma!$F$3:$Y$1101,20,0),"")</f>
        <v/>
      </c>
      <c r="CE54" s="327"/>
      <c r="CF54" s="327"/>
      <c r="CG54" s="327"/>
      <c r="CH54" s="327"/>
      <c r="CI54" s="327"/>
      <c r="CJ54" s="327"/>
      <c r="CK54" s="327"/>
      <c r="CL54" s="327"/>
      <c r="CM54" s="327"/>
      <c r="CN54" s="327"/>
      <c r="CO54" s="327"/>
      <c r="CP54" s="327"/>
      <c r="CQ54" s="327"/>
      <c r="CR54" s="327"/>
      <c r="CS54" s="327"/>
      <c r="CT54" s="327"/>
      <c r="CU54" s="327"/>
      <c r="CV54" s="327"/>
      <c r="CW54" s="327"/>
      <c r="CX54" s="327"/>
      <c r="CY54" s="327"/>
      <c r="CZ54" s="327"/>
      <c r="DA54" s="327"/>
      <c r="DB54" s="327"/>
      <c r="DC54" s="327"/>
      <c r="DD54" s="327"/>
      <c r="DE54" s="327"/>
      <c r="DF54" s="327"/>
      <c r="DG54" s="327"/>
      <c r="DH54" s="327"/>
      <c r="DI54" s="327"/>
      <c r="DJ54" s="327"/>
      <c r="DK54" s="327"/>
      <c r="DL54" s="327"/>
      <c r="DM54" s="327"/>
      <c r="DN54" s="327"/>
      <c r="DO54" s="327"/>
      <c r="DP54" s="327"/>
      <c r="DQ54" s="327"/>
      <c r="DR54" s="327"/>
      <c r="DS54" s="327"/>
      <c r="DT54" s="327"/>
      <c r="DU54" s="327"/>
      <c r="DV54" s="327"/>
      <c r="DW54" s="327"/>
      <c r="DX54" s="327"/>
      <c r="DY54" s="327"/>
      <c r="DZ54" s="327"/>
      <c r="EA54" s="327"/>
      <c r="EB54" s="327"/>
      <c r="EC54" s="327"/>
      <c r="ED54" s="327"/>
      <c r="EE54" s="327"/>
      <c r="EF54" s="327"/>
      <c r="EG54" s="327"/>
      <c r="EH54" s="327"/>
      <c r="EI54" s="327"/>
      <c r="EJ54" s="327"/>
      <c r="EK54" s="327"/>
      <c r="EL54" s="327"/>
      <c r="EM54" s="327"/>
      <c r="EN54" s="327"/>
      <c r="EO54" s="327"/>
      <c r="EP54" s="327"/>
      <c r="EQ54" s="327"/>
      <c r="ER54" s="327"/>
      <c r="ES54" s="327"/>
      <c r="ET54" s="327"/>
      <c r="EU54" s="327"/>
      <c r="EV54" s="327"/>
      <c r="EW54" s="327"/>
      <c r="EX54" s="327"/>
      <c r="EY54" s="327"/>
      <c r="EZ54" s="327"/>
      <c r="FA54" s="327"/>
      <c r="FB54" s="327"/>
      <c r="FC54" s="327"/>
      <c r="FD54" s="327"/>
      <c r="FE54" s="327"/>
      <c r="FF54" s="327"/>
      <c r="FG54" s="327"/>
      <c r="FH54" s="327"/>
      <c r="FI54" s="327"/>
      <c r="FJ54" s="327"/>
      <c r="FK54" s="327"/>
      <c r="FL54" s="327"/>
      <c r="FM54" s="327"/>
      <c r="FN54" s="327"/>
      <c r="FO54" s="327"/>
      <c r="FP54" s="327"/>
      <c r="FQ54" s="327"/>
      <c r="FR54" s="327"/>
      <c r="FS54" s="327"/>
      <c r="FT54" s="327"/>
      <c r="FU54" s="327"/>
      <c r="FV54" s="327"/>
      <c r="FW54" s="327"/>
      <c r="FX54" s="327"/>
      <c r="FY54" s="327"/>
      <c r="FZ54" s="327"/>
      <c r="GA54" s="327"/>
      <c r="GB54" s="327"/>
      <c r="GC54" s="327"/>
      <c r="GD54" s="327"/>
      <c r="GE54" s="327"/>
      <c r="GF54" s="327"/>
      <c r="GG54" s="327"/>
      <c r="GH54" s="327"/>
      <c r="GI54" s="327"/>
      <c r="GJ54" s="327"/>
      <c r="GK54" s="327"/>
      <c r="GL54" s="327"/>
      <c r="GM54" s="327"/>
      <c r="GN54" s="327"/>
      <c r="GO54" s="327"/>
      <c r="GP54" s="327"/>
      <c r="GQ54" s="327"/>
      <c r="GR54" s="327"/>
      <c r="GS54" s="327"/>
      <c r="GT54" s="327"/>
      <c r="GU54" s="327"/>
      <c r="GV54" s="327"/>
      <c r="GW54" s="327"/>
      <c r="GX54" s="327"/>
      <c r="GY54" s="327"/>
      <c r="GZ54" s="327"/>
      <c r="HA54" s="327"/>
      <c r="HB54" s="327"/>
      <c r="HC54" s="327"/>
      <c r="HD54" s="327"/>
      <c r="HE54" s="327"/>
      <c r="HF54" s="327"/>
      <c r="HG54" s="327"/>
      <c r="HH54" s="327"/>
      <c r="HI54" s="327"/>
      <c r="HJ54" s="327"/>
      <c r="HK54" s="327"/>
      <c r="HL54" s="327"/>
      <c r="HM54" s="327"/>
      <c r="HN54" s="327"/>
      <c r="HO54" s="327"/>
      <c r="HP54" s="327"/>
      <c r="HQ54" s="327"/>
      <c r="HR54" s="327"/>
      <c r="HS54" s="327"/>
    </row>
    <row r="55" spans="1:227" ht="15" customHeight="1">
      <c r="A55" s="434">
        <v>4</v>
      </c>
      <c r="B55" s="435" t="str">
        <f>VLOOKUP(Ruimtestaat[[#This Row],[Code]],Locaties[[Code]:[Locatie]],2,FALSE)</f>
        <v>IKC De Waterlelie</v>
      </c>
      <c r="C55" s="435" t="str">
        <f>VLOOKUP(Ruimtestaat[[#This Row],[Code]],Locaties[[#All],[Code]:[Adres]],4,FALSE)</f>
        <v>Goudenregenzoom 73</v>
      </c>
      <c r="D55" s="435" t="str">
        <f>VLOOKUP(Ruimtestaat[[#This Row],[Code]],Locaties[[#All],[Code]:[Postcode]],5,FALSE)</f>
        <v>2719 HE</v>
      </c>
      <c r="E55" s="435" t="str">
        <f>VLOOKUP(Ruimtestaat[[#This Row],[Code]],Locaties[#All],6,FALSE)</f>
        <v>Zoetermeer</v>
      </c>
      <c r="F55" s="450" t="s">
        <v>1705</v>
      </c>
      <c r="G55" s="434" t="s">
        <v>1678</v>
      </c>
      <c r="H55" s="436" t="s">
        <v>1707</v>
      </c>
      <c r="I55" s="437" t="s">
        <v>1708</v>
      </c>
      <c r="J55" s="330">
        <v>6</v>
      </c>
      <c r="K55" s="450" t="str">
        <f>VLOOKUP(Ruimtestaat[[#This Row],[Ruimte code]],Ruimtegroepen[[#All],[Code]:[Ruimte omschrijving]],2,FALSE)</f>
        <v>Gangen/hallen</v>
      </c>
      <c r="L55" s="434" t="s">
        <v>100</v>
      </c>
      <c r="M55" s="437" t="s">
        <v>1759</v>
      </c>
      <c r="N55" s="439"/>
      <c r="O55" s="439"/>
      <c r="P55" s="439"/>
      <c r="Q55" s="439">
        <v>52</v>
      </c>
      <c r="R55" s="440" t="str">
        <f>VLOOKUP(Ruimtestaat[[#This Row],[Ruimte code]],Ruimtegroepen[],4,FALSE)</f>
        <v>Ve</v>
      </c>
      <c r="S55" s="434">
        <v>51</v>
      </c>
      <c r="T55" s="434" t="s">
        <v>2</v>
      </c>
      <c r="U55" s="434">
        <f>IF(S55&gt;0,IF(RIGHT(Ruimtestaat[[#This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55" s="434">
        <f>IF(U55&gt;0,VLOOKUP($J55,Ruimtegroepen[],3,FALSE)*VLOOKUP($L55,Vloersoorten[],3,FALSE)*VLOOKUP($T55,Frequenties[],3,FALSE)*VLOOKUP($A55,Locaties[],3,FALSE),0)</f>
        <v>0</v>
      </c>
      <c r="W55" s="434">
        <f>Ruimtestaat[[#This Row],[Uitvoeringen werkdagen]]*Ruimtestaat[[#This Row],[Oppervlak (netto)]]</f>
        <v>0</v>
      </c>
      <c r="X55" s="441">
        <f>IF(V55&gt;0,Ruimtestaat[[#This Row],[Prest. (m2 /jaar) werkdagen]]/Ruimtestaat[[#This Row],[Norm (m2/uur) werkdagen]],0)</f>
        <v>0</v>
      </c>
      <c r="Y55" s="442">
        <f>Ruimtestaat[[#This Row],[Uitvoeringen werkdagen]]*Ruimtestaat[[#This Row],[Gedeeltelijk]]</f>
        <v>0</v>
      </c>
      <c r="Z55" s="443" t="e">
        <f>IF(U55&gt;0,Ruimtestaat[[#This Row],[Prest. (m2 / jaar) werkdagen gedeeld]]/Ruimtestaat[[#This Row],[Norm (m2/uur) werkdagen]],0)</f>
        <v>#DIV/0!</v>
      </c>
      <c r="AA55" s="441" t="e">
        <f>Ruimtestaat[[#This Row],[uren / jaar werkdagen gedeeld]]*Tariefsopbouw!$E$35</f>
        <v>#DIV/0!</v>
      </c>
      <c r="AB55" s="441">
        <f>Ruimtestaat[[#This Row],[Uitvoeringen werkdagen]]*Ruimtestaat[[#This Row],[BSO]]</f>
        <v>13260</v>
      </c>
      <c r="AC55" s="443" t="e">
        <f>IF(U55&gt;0,Ruimtestaat[[#This Row],[Prest. (m2 / jaar) werkdagen BSO]]/Ruimtestaat[[#This Row],[Norm (m2/uur) werkdagen]],0)</f>
        <v>#DIV/0!</v>
      </c>
      <c r="AD55" s="443" t="e">
        <f>Ruimtestaat[[#This Row],[uren / jaar werkdagen BSO]]*Tariefsopbouw!$E$35</f>
        <v>#DIV/0!</v>
      </c>
      <c r="AE55" s="444">
        <f>Ruimtestaat[[#This Row],[uren / jaar werkdagen]]*Tariefsopbouw!$E$35</f>
        <v>0</v>
      </c>
      <c r="AF55" s="434"/>
      <c r="AG55" s="434">
        <f>IF(Ruimtestaat[[#This Row],[Frequentie weekend]]&gt;0,VALUE(LEFT(AF55,1))*S55,0)</f>
        <v>0</v>
      </c>
      <c r="AH55" s="445">
        <f>IF($AG55&gt;0,VLOOKUP($J55,Ruimtegroepen[],3,FALSE)*VLOOKUP($L55,Vloersoorten[],3,FALSE)*VLOOKUP($AF55,Frequenties[],3,FALSE)*VLOOKUP(Ruimtestaat[[#This Row],[Code]],Locaties[],3,FALSE),0)</f>
        <v>0</v>
      </c>
      <c r="AI55" s="445">
        <f>Ruimtestaat[[#This Row],[Uitvoeringen weekend]]*Ruimtestaat[[#This Row],[Oppervlak (netto)]]</f>
        <v>0</v>
      </c>
      <c r="AJ55" s="445">
        <f>IF(AH55&gt;0,Ruimtestaat[[#This Row],[Prest. (m2 /jaar) weekend]]/Ruimtestaat[[#This Row],[Norm (m2/uur) weekend]],0)</f>
        <v>0</v>
      </c>
      <c r="AK55" s="444">
        <f>Ruimtestaat[[#This Row],[uren / jaar weekend]]*Tariefsopbouw!$D$40</f>
        <v>0</v>
      </c>
      <c r="AL55" s="441">
        <f>Ruimtestaat[[#This Row],[Prest. (m2 /jaar) weekend]]+Ruimtestaat[[#This Row],[Prest. (m2 /jaar) werkdagen]]</f>
        <v>0</v>
      </c>
      <c r="AM55" s="441">
        <f>Ruimtestaat[[#This Row],[uren / jaar weekend]]+Ruimtestaat[[#This Row],[uren / jaar werkdagen]]</f>
        <v>0</v>
      </c>
      <c r="AN55" s="446">
        <f>Ruimtestaat[[#This Row],[kosten / jaar weekend]]+Ruimtestaat[[#This Row],[kosten / jaar werkdagen]]</f>
        <v>0</v>
      </c>
      <c r="AO55" s="446"/>
      <c r="AP55" s="447" t="str">
        <f>IF(Ruimtestaat[[#This Row],[Frequentie werkdagen]]="","",_xlfn.CONCAT(Ruimtestaat[[#This Row],[Ruimte code]],"-",Ruimtestaat[[#This Row],[Frequentie werkdagen]]," ",Ruimtestaat[[#This Row],[Vloer code]]))</f>
        <v>6-5w L</v>
      </c>
      <c r="AQ55" s="448" t="str">
        <f>_xlfn.IFNA(VLOOKUP($AP55,Programma!$F$3:$G$1101,2,0),"")</f>
        <v>_</v>
      </c>
      <c r="AR55" s="448" t="str">
        <f>_xlfn.IFNA(VLOOKUP($AP55,Programma!$F$3:$H$1101,3,0),"")</f>
        <v>_</v>
      </c>
      <c r="AS55" s="448" t="str">
        <f>_xlfn.IFNA(VLOOKUP($AP55,Programma!$F$3:$I$1101,4,0),"")</f>
        <v>_</v>
      </c>
      <c r="AT55" s="448" t="str">
        <f>_xlfn.IFNA(VLOOKUP($AP55,Programma!$F$3:$J$1101,5,0),"")</f>
        <v>5w</v>
      </c>
      <c r="AU55" s="448" t="str">
        <f>_xlfn.IFNA(VLOOKUP($AP55,Programma!$F$3:$K$1101,6,0),"")</f>
        <v>_</v>
      </c>
      <c r="AV55" s="448" t="str">
        <f>_xlfn.IFNA(VLOOKUP($AP55,Programma!$F$3:$L$1101,7,0),"")</f>
        <v>_</v>
      </c>
      <c r="AW55" s="448" t="str">
        <f>_xlfn.IFNA(VLOOKUP($AP55,Programma!$F$3:$M$1101,8,0),"")</f>
        <v>_</v>
      </c>
      <c r="AX55" s="448" t="str">
        <f>_xlfn.IFNA(VLOOKUP($AP55,Programma!$F$3:$N$1101,9,0),"")</f>
        <v>_</v>
      </c>
      <c r="AY55" s="448" t="str">
        <f>_xlfn.IFNA(VLOOKUP($AP55,Programma!$F$3:$O$1101,10,0),"")</f>
        <v>5w</v>
      </c>
      <c r="AZ55" s="448" t="str">
        <f>_xlfn.IFNA(VLOOKUP($AP55,Programma!$F$3:$P$1101,11,0),"")</f>
        <v>5w</v>
      </c>
      <c r="BA55" s="448" t="str">
        <f>_xlfn.IFNA(VLOOKUP($AP55,Programma!$F$3:$Q$1101,12,0),"")</f>
        <v>1w</v>
      </c>
      <c r="BB55" s="448" t="str">
        <f>_xlfn.IFNA(VLOOKUP($AP55,Programma!$F$3:$R$1101,13,0),"")</f>
        <v>1w</v>
      </c>
      <c r="BC55" s="448" t="str">
        <f>_xlfn.IFNA(VLOOKUP($AP55,Programma!$F$3:$S$1101,14,0),"")</f>
        <v>1m</v>
      </c>
      <c r="BD55" s="448" t="str">
        <f>_xlfn.IFNA(VLOOKUP($AP55,Programma!$F$3:$T$1101,15,0),"")</f>
        <v>2j</v>
      </c>
      <c r="BE55" s="448" t="str">
        <f>_xlfn.IFNA(VLOOKUP($AP55,Programma!$F$3:$U$1101,16,0),"")</f>
        <v>1j</v>
      </c>
      <c r="BF55" s="448" t="str">
        <f>_xlfn.IFNA(VLOOKUP($AP55,Programma!$F$3:$V$1101,17,0),"")</f>
        <v>_</v>
      </c>
      <c r="BG55" s="448" t="str">
        <f>_xlfn.IFNA(VLOOKUP($AP55,Programma!$F$3:$W$1101,18,0),"")</f>
        <v>_</v>
      </c>
      <c r="BH55" s="448" t="str">
        <f>_xlfn.IFNA(VLOOKUP($AP55,Programma!$F$3:$X$1101,19,0),"")</f>
        <v>_</v>
      </c>
      <c r="BI55" s="448" t="str">
        <f>_xlfn.IFNA(VLOOKUP($AP55,Programma!$F$3:$Y$1101,20,0),"")</f>
        <v>_</v>
      </c>
      <c r="BJ55" s="449"/>
      <c r="BK55" s="447" t="str">
        <f>IF(Ruimtestaat[[#This Row],[Frequentie weekend]]="","",_xlfn.CONCAT(Ruimtestaat[[#This Row],[Ruimte code]],"-",Ruimtestaat[[#This Row],[Frequentie weekend]]," ",Ruimtestaat[[#This Row],[Vloer code]]))</f>
        <v/>
      </c>
      <c r="BL55" s="448" t="str">
        <f>_xlfn.IFNA(VLOOKUP($BK55,Programma!$F$3:$G$1101,2,0),"")</f>
        <v/>
      </c>
      <c r="BM55" s="448" t="str">
        <f>_xlfn.IFNA(VLOOKUP($BK55,Programma!$F$3:$H$1101,3,0),"")</f>
        <v/>
      </c>
      <c r="BN55" s="448" t="str">
        <f>_xlfn.IFNA(VLOOKUP($BK55,Programma!$F$3:$I$1101,4,0),"")</f>
        <v/>
      </c>
      <c r="BO55" s="448" t="str">
        <f>_xlfn.IFNA(VLOOKUP($BK55,Programma!$F$3:$J$1101,5,0),"")</f>
        <v/>
      </c>
      <c r="BP55" s="448" t="str">
        <f>_xlfn.IFNA(VLOOKUP($BK55,Programma!$F$3:$K$1101,6,0),"")</f>
        <v/>
      </c>
      <c r="BQ55" s="448" t="str">
        <f>_xlfn.IFNA(VLOOKUP($BK55,Programma!$F$3:$L$1101,7,0),"")</f>
        <v/>
      </c>
      <c r="BR55" s="448" t="str">
        <f>_xlfn.IFNA(VLOOKUP($BK55,Programma!$F$3:$M$1101,8,0),"")</f>
        <v/>
      </c>
      <c r="BS55" s="448" t="str">
        <f>_xlfn.IFNA(VLOOKUP($BK55,Programma!$F$3:$N$1101,9,0),"")</f>
        <v/>
      </c>
      <c r="BT55" s="448" t="str">
        <f>_xlfn.IFNA(VLOOKUP($BK55,Programma!$F$3:$O$1101,10,0),"")</f>
        <v/>
      </c>
      <c r="BU55" s="448" t="str">
        <f>_xlfn.IFNA(VLOOKUP($BK55,Programma!$F$3:$P$1101,11,0),"")</f>
        <v/>
      </c>
      <c r="BV55" s="448" t="str">
        <f>_xlfn.IFNA(VLOOKUP($BK55,Programma!$F$3:$Q$1101,12,0),"")</f>
        <v/>
      </c>
      <c r="BW55" s="448" t="str">
        <f>_xlfn.IFNA(VLOOKUP($BK55,Programma!$F$3:$R$1101,13,0),"")</f>
        <v/>
      </c>
      <c r="BX55" s="448" t="str">
        <f>_xlfn.IFNA(VLOOKUP($BK55,Programma!$F$3:$S$1101,14,0),"")</f>
        <v/>
      </c>
      <c r="BY55" s="448" t="str">
        <f>_xlfn.IFNA(VLOOKUP($BK55,Programma!$F$3:$T$1101,15,0),"")</f>
        <v/>
      </c>
      <c r="BZ55" s="448" t="str">
        <f>_xlfn.IFNA(VLOOKUP($BK55,Programma!$F$3:$U$1101,16,0),"")</f>
        <v/>
      </c>
      <c r="CA55" s="448" t="str">
        <f>_xlfn.IFNA(VLOOKUP($BK55,Programma!$F$3:$V$1101,17,0),"")</f>
        <v/>
      </c>
      <c r="CB55" s="448" t="str">
        <f>_xlfn.IFNA(VLOOKUP($BK55,Programma!$F$3:$W$1101,18,0),"")</f>
        <v/>
      </c>
      <c r="CC55" s="448" t="str">
        <f>_xlfn.IFNA(VLOOKUP($BK55,Programma!$F$3:$X$1101,19,0),"")</f>
        <v/>
      </c>
      <c r="CD55" s="448" t="str">
        <f>_xlfn.IFNA(VLOOKUP($BK55,Programma!$F$3:$Y$1101,20,0),"")</f>
        <v/>
      </c>
      <c r="CE55" s="327"/>
      <c r="CF55" s="327"/>
      <c r="CG55" s="327"/>
      <c r="CH55" s="327"/>
      <c r="CI55" s="327"/>
      <c r="CJ55" s="327"/>
      <c r="CK55" s="327"/>
      <c r="CL55" s="327"/>
      <c r="CM55" s="327"/>
      <c r="CN55" s="327"/>
      <c r="CO55" s="327"/>
      <c r="CP55" s="327"/>
      <c r="CQ55" s="327"/>
      <c r="CR55" s="327"/>
      <c r="CS55" s="327"/>
      <c r="CT55" s="327"/>
      <c r="CU55" s="327"/>
      <c r="CV55" s="327"/>
      <c r="CW55" s="327"/>
      <c r="CX55" s="327"/>
      <c r="CY55" s="327"/>
      <c r="CZ55" s="327"/>
      <c r="DA55" s="327"/>
      <c r="DB55" s="327"/>
      <c r="DC55" s="327"/>
      <c r="DD55" s="327"/>
      <c r="DE55" s="327"/>
      <c r="DF55" s="327"/>
      <c r="DG55" s="327"/>
      <c r="DH55" s="327"/>
      <c r="DI55" s="327"/>
      <c r="DJ55" s="327"/>
      <c r="DK55" s="327"/>
      <c r="DL55" s="327"/>
      <c r="DM55" s="327"/>
      <c r="DN55" s="327"/>
      <c r="DO55" s="327"/>
      <c r="DP55" s="327"/>
      <c r="DQ55" s="327"/>
      <c r="DR55" s="327"/>
      <c r="DS55" s="327"/>
      <c r="DT55" s="327"/>
      <c r="DU55" s="327"/>
      <c r="DV55" s="327"/>
      <c r="DW55" s="327"/>
      <c r="DX55" s="327"/>
      <c r="DY55" s="327"/>
      <c r="DZ55" s="327"/>
      <c r="EA55" s="327"/>
      <c r="EB55" s="327"/>
      <c r="EC55" s="327"/>
      <c r="ED55" s="327"/>
      <c r="EE55" s="327"/>
      <c r="EF55" s="327"/>
      <c r="EG55" s="327"/>
      <c r="EH55" s="327"/>
      <c r="EI55" s="327"/>
      <c r="EJ55" s="327"/>
      <c r="EK55" s="327"/>
      <c r="EL55" s="327"/>
      <c r="EM55" s="327"/>
      <c r="EN55" s="327"/>
      <c r="EO55" s="327"/>
      <c r="EP55" s="327"/>
      <c r="EQ55" s="327"/>
      <c r="ER55" s="327"/>
      <c r="ES55" s="327"/>
      <c r="ET55" s="327"/>
      <c r="EU55" s="327"/>
      <c r="EV55" s="327"/>
      <c r="EW55" s="327"/>
      <c r="EX55" s="327"/>
      <c r="EY55" s="327"/>
      <c r="EZ55" s="327"/>
      <c r="FA55" s="327"/>
      <c r="FB55" s="327"/>
      <c r="FC55" s="327"/>
      <c r="FD55" s="327"/>
      <c r="FE55" s="327"/>
      <c r="FF55" s="327"/>
      <c r="FG55" s="327"/>
      <c r="FH55" s="327"/>
      <c r="FI55" s="327"/>
      <c r="FJ55" s="327"/>
      <c r="FK55" s="327"/>
      <c r="FL55" s="327"/>
      <c r="FM55" s="327"/>
      <c r="FN55" s="327"/>
      <c r="FO55" s="327"/>
      <c r="FP55" s="327"/>
      <c r="FQ55" s="327"/>
      <c r="FR55" s="327"/>
      <c r="FS55" s="327"/>
      <c r="FT55" s="327"/>
      <c r="FU55" s="327"/>
      <c r="FV55" s="327"/>
      <c r="FW55" s="327"/>
      <c r="FX55" s="327"/>
      <c r="FY55" s="327"/>
      <c r="FZ55" s="327"/>
      <c r="GA55" s="327"/>
      <c r="GB55" s="327"/>
      <c r="GC55" s="327"/>
      <c r="GD55" s="327"/>
      <c r="GE55" s="327"/>
      <c r="GF55" s="327"/>
      <c r="GG55" s="327"/>
      <c r="GH55" s="327"/>
      <c r="GI55" s="327"/>
      <c r="GJ55" s="327"/>
      <c r="GK55" s="327"/>
      <c r="GL55" s="327"/>
      <c r="GM55" s="327"/>
      <c r="GN55" s="327"/>
      <c r="GO55" s="327"/>
      <c r="GP55" s="327"/>
      <c r="GQ55" s="327"/>
      <c r="GR55" s="327"/>
      <c r="GS55" s="327"/>
      <c r="GT55" s="327"/>
      <c r="GU55" s="327"/>
      <c r="GV55" s="327"/>
      <c r="GW55" s="327"/>
      <c r="GX55" s="327"/>
      <c r="GY55" s="327"/>
      <c r="GZ55" s="327"/>
      <c r="HA55" s="327"/>
      <c r="HB55" s="327"/>
      <c r="HC55" s="327"/>
      <c r="HD55" s="327"/>
      <c r="HE55" s="327"/>
      <c r="HF55" s="327"/>
      <c r="HG55" s="327"/>
      <c r="HH55" s="327"/>
      <c r="HI55" s="327"/>
      <c r="HJ55" s="327"/>
      <c r="HK55" s="327"/>
      <c r="HL55" s="327"/>
      <c r="HM55" s="327"/>
      <c r="HN55" s="327"/>
      <c r="HO55" s="327"/>
      <c r="HP55" s="327"/>
      <c r="HQ55" s="327"/>
      <c r="HR55" s="327"/>
      <c r="HS55" s="327"/>
    </row>
    <row r="56" spans="1:227" ht="15" customHeight="1">
      <c r="A56" s="434">
        <v>4</v>
      </c>
      <c r="B56" s="435" t="str">
        <f>VLOOKUP(Ruimtestaat[[#This Row],[Code]],Locaties[[Code]:[Locatie]],2,FALSE)</f>
        <v>IKC De Waterlelie</v>
      </c>
      <c r="C56" s="435" t="str">
        <f>VLOOKUP(Ruimtestaat[[#This Row],[Code]],Locaties[[#All],[Code]:[Adres]],4,FALSE)</f>
        <v>Goudenregenzoom 73</v>
      </c>
      <c r="D56" s="435" t="str">
        <f>VLOOKUP(Ruimtestaat[[#This Row],[Code]],Locaties[[#All],[Code]:[Postcode]],5,FALSE)</f>
        <v>2719 HE</v>
      </c>
      <c r="E56" s="435" t="str">
        <f>VLOOKUP(Ruimtestaat[[#This Row],[Code]],Locaties[#All],6,FALSE)</f>
        <v>Zoetermeer</v>
      </c>
      <c r="F56" s="434"/>
      <c r="G56" s="434" t="s">
        <v>1678</v>
      </c>
      <c r="H56" s="436" t="s">
        <v>1709</v>
      </c>
      <c r="I56" s="437" t="s">
        <v>1710</v>
      </c>
      <c r="J56" s="330">
        <v>16</v>
      </c>
      <c r="K56" s="450" t="str">
        <f>VLOOKUP(Ruimtestaat[[#This Row],[Ruimte code]],Ruimtegroepen[[#All],[Code]:[Ruimte omschrijving]],2,FALSE)</f>
        <v>Leslokalen</v>
      </c>
      <c r="L56" s="434" t="s">
        <v>100</v>
      </c>
      <c r="M56" s="437" t="s">
        <v>1759</v>
      </c>
      <c r="N56" s="439">
        <v>55</v>
      </c>
      <c r="O56" s="439"/>
      <c r="P56" s="439"/>
      <c r="Q56" s="439"/>
      <c r="R56" s="440" t="str">
        <f>VLOOKUP(Ruimtestaat[[#This Row],[Ruimte code]],Ruimtegroepen[],4,FALSE)</f>
        <v>Le</v>
      </c>
      <c r="S56" s="434">
        <v>40</v>
      </c>
      <c r="T56" s="434" t="s">
        <v>2</v>
      </c>
      <c r="U56" s="434">
        <f>IF(S56&gt;0,IF(RIGHT(Ruimtestaat[[#This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 s="434">
        <f>IF(U56&gt;0,VLOOKUP($J56,Ruimtegroepen[],3,FALSE)*VLOOKUP($L56,Vloersoorten[],3,FALSE)*VLOOKUP($T56,Frequenties[],3,FALSE)*VLOOKUP($A56,Locaties[],3,FALSE),0)</f>
        <v>0</v>
      </c>
      <c r="W56" s="434">
        <f>Ruimtestaat[[#This Row],[Uitvoeringen werkdagen]]*Ruimtestaat[[#This Row],[Oppervlak (netto)]]</f>
        <v>11000</v>
      </c>
      <c r="X56" s="441">
        <f>IF(V56&gt;0,Ruimtestaat[[#This Row],[Prest. (m2 /jaar) werkdagen]]/Ruimtestaat[[#This Row],[Norm (m2/uur) werkdagen]],0)</f>
        <v>0</v>
      </c>
      <c r="Y56" s="442">
        <f>Ruimtestaat[[#This Row],[Uitvoeringen werkdagen]]*Ruimtestaat[[#This Row],[Gedeeltelijk]]</f>
        <v>0</v>
      </c>
      <c r="Z56" s="443" t="e">
        <f>IF(U56&gt;0,Ruimtestaat[[#This Row],[Prest. (m2 / jaar) werkdagen gedeeld]]/Ruimtestaat[[#This Row],[Norm (m2/uur) werkdagen]],0)</f>
        <v>#DIV/0!</v>
      </c>
      <c r="AA56" s="441" t="e">
        <f>Ruimtestaat[[#This Row],[uren / jaar werkdagen gedeeld]]*Tariefsopbouw!$E$35</f>
        <v>#DIV/0!</v>
      </c>
      <c r="AB56" s="441">
        <f>Ruimtestaat[[#This Row],[Uitvoeringen werkdagen]]*Ruimtestaat[[#This Row],[BSO]]</f>
        <v>0</v>
      </c>
      <c r="AC56" s="443" t="e">
        <f>IF(U56&gt;0,Ruimtestaat[[#This Row],[Prest. (m2 / jaar) werkdagen BSO]]/Ruimtestaat[[#This Row],[Norm (m2/uur) werkdagen]],0)</f>
        <v>#DIV/0!</v>
      </c>
      <c r="AD56" s="443" t="e">
        <f>Ruimtestaat[[#This Row],[uren / jaar werkdagen BSO]]*Tariefsopbouw!$E$35</f>
        <v>#DIV/0!</v>
      </c>
      <c r="AE56" s="444">
        <f>Ruimtestaat[[#This Row],[uren / jaar werkdagen]]*Tariefsopbouw!$E$35</f>
        <v>0</v>
      </c>
      <c r="AF56" s="434"/>
      <c r="AG56" s="434">
        <f>IF(Ruimtestaat[[#This Row],[Frequentie weekend]]&gt;0,VALUE(LEFT(AF56,1))*S56,0)</f>
        <v>0</v>
      </c>
      <c r="AH56" s="445">
        <f>IF($AG56&gt;0,VLOOKUP($J56,Ruimtegroepen[],3,FALSE)*VLOOKUP($L56,Vloersoorten[],3,FALSE)*VLOOKUP($AF56,Frequenties[],3,FALSE)*VLOOKUP(Ruimtestaat[[#This Row],[Code]],Locaties[],3,FALSE),0)</f>
        <v>0</v>
      </c>
      <c r="AI56" s="445">
        <f>Ruimtestaat[[#This Row],[Uitvoeringen weekend]]*Ruimtestaat[[#This Row],[Oppervlak (netto)]]</f>
        <v>0</v>
      </c>
      <c r="AJ56" s="445">
        <f>IF(AH56&gt;0,Ruimtestaat[[#This Row],[Prest. (m2 /jaar) weekend]]/Ruimtestaat[[#This Row],[Norm (m2/uur) weekend]],0)</f>
        <v>0</v>
      </c>
      <c r="AK56" s="444">
        <f>Ruimtestaat[[#This Row],[uren / jaar weekend]]*Tariefsopbouw!$D$40</f>
        <v>0</v>
      </c>
      <c r="AL56" s="441">
        <f>Ruimtestaat[[#This Row],[Prest. (m2 /jaar) weekend]]+Ruimtestaat[[#This Row],[Prest. (m2 /jaar) werkdagen]]</f>
        <v>11000</v>
      </c>
      <c r="AM56" s="441">
        <f>Ruimtestaat[[#This Row],[uren / jaar weekend]]+Ruimtestaat[[#This Row],[uren / jaar werkdagen]]</f>
        <v>0</v>
      </c>
      <c r="AN56" s="446">
        <f>Ruimtestaat[[#This Row],[kosten / jaar weekend]]+Ruimtestaat[[#This Row],[kosten / jaar werkdagen]]</f>
        <v>0</v>
      </c>
      <c r="AO56" s="446"/>
      <c r="AP56" s="447" t="str">
        <f>IF(Ruimtestaat[[#This Row],[Frequentie werkdagen]]="","",_xlfn.CONCAT(Ruimtestaat[[#This Row],[Ruimte code]],"-",Ruimtestaat[[#This Row],[Frequentie werkdagen]]," ",Ruimtestaat[[#This Row],[Vloer code]]))</f>
        <v>16-5w L</v>
      </c>
      <c r="AQ56" s="448" t="str">
        <f>_xlfn.IFNA(VLOOKUP($AP56,Programma!$F$3:$G$1101,2,0),"")</f>
        <v>_</v>
      </c>
      <c r="AR56" s="448" t="str">
        <f>_xlfn.IFNA(VLOOKUP($AP56,Programma!$F$3:$H$1101,3,0),"")</f>
        <v>_</v>
      </c>
      <c r="AS56" s="448" t="str">
        <f>_xlfn.IFNA(VLOOKUP($AP56,Programma!$F$3:$I$1101,4,0),"")</f>
        <v>4w</v>
      </c>
      <c r="AT56" s="448" t="str">
        <f>_xlfn.IFNA(VLOOKUP($AP56,Programma!$F$3:$J$1101,5,0),"")</f>
        <v>1w</v>
      </c>
      <c r="AU56" s="448" t="str">
        <f>_xlfn.IFNA(VLOOKUP($AP56,Programma!$F$3:$K$1101,6,0),"")</f>
        <v>_</v>
      </c>
      <c r="AV56" s="448" t="str">
        <f>_xlfn.IFNA(VLOOKUP($AP56,Programma!$F$3:$L$1101,7,0),"")</f>
        <v>_</v>
      </c>
      <c r="AW56" s="448" t="str">
        <f>_xlfn.IFNA(VLOOKUP($AP56,Programma!$F$3:$M$1101,8,0),"")</f>
        <v>_</v>
      </c>
      <c r="AX56" s="448" t="str">
        <f>_xlfn.IFNA(VLOOKUP($AP56,Programma!$F$3:$N$1101,9,0),"")</f>
        <v>_</v>
      </c>
      <c r="AY56" s="448" t="str">
        <f>_xlfn.IFNA(VLOOKUP($AP56,Programma!$F$3:$O$1101,10,0),"")</f>
        <v>5w</v>
      </c>
      <c r="AZ56" s="448" t="str">
        <f>_xlfn.IFNA(VLOOKUP($AP56,Programma!$F$3:$P$1101,11,0),"")</f>
        <v>5w</v>
      </c>
      <c r="BA56" s="448" t="str">
        <f>_xlfn.IFNA(VLOOKUP($AP56,Programma!$F$3:$Q$1101,12,0),"")</f>
        <v>1w</v>
      </c>
      <c r="BB56" s="448" t="str">
        <f>_xlfn.IFNA(VLOOKUP($AP56,Programma!$F$3:$R$1101,13,0),"")</f>
        <v>1w</v>
      </c>
      <c r="BC56" s="448" t="str">
        <f>_xlfn.IFNA(VLOOKUP($AP56,Programma!$F$3:$S$1101,14,0),"")</f>
        <v>1m</v>
      </c>
      <c r="BD56" s="448" t="str">
        <f>_xlfn.IFNA(VLOOKUP($AP56,Programma!$F$3:$T$1101,15,0),"")</f>
        <v>2j</v>
      </c>
      <c r="BE56" s="448" t="str">
        <f>_xlfn.IFNA(VLOOKUP($AP56,Programma!$F$3:$U$1101,16,0),"")</f>
        <v>1j</v>
      </c>
      <c r="BF56" s="448" t="str">
        <f>_xlfn.IFNA(VLOOKUP($AP56,Programma!$F$3:$V$1101,17,0),"")</f>
        <v>_</v>
      </c>
      <c r="BG56" s="448" t="str">
        <f>_xlfn.IFNA(VLOOKUP($AP56,Programma!$F$3:$W$1101,18,0),"")</f>
        <v>_</v>
      </c>
      <c r="BH56" s="448" t="str">
        <f>_xlfn.IFNA(VLOOKUP($AP56,Programma!$F$3:$X$1101,19,0),"")</f>
        <v>_</v>
      </c>
      <c r="BI56" s="448" t="str">
        <f>_xlfn.IFNA(VLOOKUP($AP56,Programma!$F$3:$Y$1101,20,0),"")</f>
        <v>_</v>
      </c>
      <c r="BJ56" s="449"/>
      <c r="BK56" s="447" t="str">
        <f>IF(Ruimtestaat[[#This Row],[Frequentie weekend]]="","",_xlfn.CONCAT(Ruimtestaat[[#This Row],[Ruimte code]],"-",Ruimtestaat[[#This Row],[Frequentie weekend]]," ",Ruimtestaat[[#This Row],[Vloer code]]))</f>
        <v/>
      </c>
      <c r="BL56" s="448" t="str">
        <f>_xlfn.IFNA(VLOOKUP($BK56,Programma!$F$3:$G$1101,2,0),"")</f>
        <v/>
      </c>
      <c r="BM56" s="448" t="str">
        <f>_xlfn.IFNA(VLOOKUP($BK56,Programma!$F$3:$H$1101,3,0),"")</f>
        <v/>
      </c>
      <c r="BN56" s="448" t="str">
        <f>_xlfn.IFNA(VLOOKUP($BK56,Programma!$F$3:$I$1101,4,0),"")</f>
        <v/>
      </c>
      <c r="BO56" s="448" t="str">
        <f>_xlfn.IFNA(VLOOKUP($BK56,Programma!$F$3:$J$1101,5,0),"")</f>
        <v/>
      </c>
      <c r="BP56" s="448" t="str">
        <f>_xlfn.IFNA(VLOOKUP($BK56,Programma!$F$3:$K$1101,6,0),"")</f>
        <v/>
      </c>
      <c r="BQ56" s="448" t="str">
        <f>_xlfn.IFNA(VLOOKUP($BK56,Programma!$F$3:$L$1101,7,0),"")</f>
        <v/>
      </c>
      <c r="BR56" s="448" t="str">
        <f>_xlfn.IFNA(VLOOKUP($BK56,Programma!$F$3:$M$1101,8,0),"")</f>
        <v/>
      </c>
      <c r="BS56" s="448" t="str">
        <f>_xlfn.IFNA(VLOOKUP($BK56,Programma!$F$3:$N$1101,9,0),"")</f>
        <v/>
      </c>
      <c r="BT56" s="448" t="str">
        <f>_xlfn.IFNA(VLOOKUP($BK56,Programma!$F$3:$O$1101,10,0),"")</f>
        <v/>
      </c>
      <c r="BU56" s="448" t="str">
        <f>_xlfn.IFNA(VLOOKUP($BK56,Programma!$F$3:$P$1101,11,0),"")</f>
        <v/>
      </c>
      <c r="BV56" s="448" t="str">
        <f>_xlfn.IFNA(VLOOKUP($BK56,Programma!$F$3:$Q$1101,12,0),"")</f>
        <v/>
      </c>
      <c r="BW56" s="448" t="str">
        <f>_xlfn.IFNA(VLOOKUP($BK56,Programma!$F$3:$R$1101,13,0),"")</f>
        <v/>
      </c>
      <c r="BX56" s="448" t="str">
        <f>_xlfn.IFNA(VLOOKUP($BK56,Programma!$F$3:$S$1101,14,0),"")</f>
        <v/>
      </c>
      <c r="BY56" s="448" t="str">
        <f>_xlfn.IFNA(VLOOKUP($BK56,Programma!$F$3:$T$1101,15,0),"")</f>
        <v/>
      </c>
      <c r="BZ56" s="448" t="str">
        <f>_xlfn.IFNA(VLOOKUP($BK56,Programma!$F$3:$U$1101,16,0),"")</f>
        <v/>
      </c>
      <c r="CA56" s="448" t="str">
        <f>_xlfn.IFNA(VLOOKUP($BK56,Programma!$F$3:$V$1101,17,0),"")</f>
        <v/>
      </c>
      <c r="CB56" s="448" t="str">
        <f>_xlfn.IFNA(VLOOKUP($BK56,Programma!$F$3:$W$1101,18,0),"")</f>
        <v/>
      </c>
      <c r="CC56" s="448" t="str">
        <f>_xlfn.IFNA(VLOOKUP($BK56,Programma!$F$3:$X$1101,19,0),"")</f>
        <v/>
      </c>
      <c r="CD56" s="448" t="str">
        <f>_xlfn.IFNA(VLOOKUP($BK56,Programma!$F$3:$Y$1101,20,0),"")</f>
        <v/>
      </c>
      <c r="CE56" s="327"/>
      <c r="CF56" s="327"/>
      <c r="CG56" s="327"/>
      <c r="CH56" s="327"/>
      <c r="CI56" s="327"/>
      <c r="CJ56" s="327"/>
      <c r="CK56" s="327"/>
      <c r="CL56" s="327"/>
      <c r="CM56" s="327"/>
      <c r="CN56" s="327"/>
      <c r="CO56" s="327"/>
      <c r="CP56" s="327"/>
      <c r="CQ56" s="327"/>
      <c r="CR56" s="327"/>
      <c r="CS56" s="327"/>
      <c r="CT56" s="327"/>
      <c r="CU56" s="327"/>
      <c r="CV56" s="327"/>
      <c r="CW56" s="327"/>
      <c r="CX56" s="327"/>
      <c r="CY56" s="327"/>
      <c r="CZ56" s="327"/>
      <c r="DA56" s="327"/>
      <c r="DB56" s="327"/>
      <c r="DC56" s="327"/>
      <c r="DD56" s="327"/>
      <c r="DE56" s="327"/>
      <c r="DF56" s="327"/>
      <c r="DG56" s="327"/>
      <c r="DH56" s="327"/>
      <c r="DI56" s="327"/>
      <c r="DJ56" s="327"/>
      <c r="DK56" s="327"/>
      <c r="DL56" s="327"/>
      <c r="DM56" s="327"/>
      <c r="DN56" s="327"/>
      <c r="DO56" s="327"/>
      <c r="DP56" s="327"/>
      <c r="DQ56" s="327"/>
      <c r="DR56" s="327"/>
      <c r="DS56" s="327"/>
      <c r="DT56" s="327"/>
      <c r="DU56" s="327"/>
      <c r="DV56" s="327"/>
      <c r="DW56" s="327"/>
      <c r="DX56" s="327"/>
      <c r="DY56" s="327"/>
      <c r="DZ56" s="327"/>
      <c r="EA56" s="327"/>
      <c r="EB56" s="327"/>
      <c r="EC56" s="327"/>
      <c r="ED56" s="327"/>
      <c r="EE56" s="327"/>
      <c r="EF56" s="327"/>
      <c r="EG56" s="327"/>
      <c r="EH56" s="327"/>
      <c r="EI56" s="327"/>
      <c r="EJ56" s="327"/>
      <c r="EK56" s="327"/>
      <c r="EL56" s="327"/>
      <c r="EM56" s="327"/>
      <c r="EN56" s="327"/>
      <c r="EO56" s="327"/>
      <c r="EP56" s="327"/>
      <c r="EQ56" s="327"/>
      <c r="ER56" s="327"/>
      <c r="ES56" s="327"/>
      <c r="ET56" s="327"/>
      <c r="EU56" s="327"/>
      <c r="EV56" s="327"/>
      <c r="EW56" s="327"/>
      <c r="EX56" s="327"/>
      <c r="EY56" s="327"/>
      <c r="EZ56" s="327"/>
      <c r="FA56" s="327"/>
      <c r="FB56" s="327"/>
      <c r="FC56" s="327"/>
      <c r="FD56" s="327"/>
      <c r="FE56" s="327"/>
      <c r="FF56" s="327"/>
      <c r="FG56" s="327"/>
      <c r="FH56" s="327"/>
      <c r="FI56" s="327"/>
      <c r="FJ56" s="327"/>
      <c r="FK56" s="327"/>
      <c r="FL56" s="327"/>
      <c r="FM56" s="327"/>
      <c r="FN56" s="327"/>
      <c r="FO56" s="327"/>
      <c r="FP56" s="327"/>
      <c r="FQ56" s="327"/>
      <c r="FR56" s="327"/>
      <c r="FS56" s="327"/>
      <c r="FT56" s="327"/>
      <c r="FU56" s="327"/>
      <c r="FV56" s="327"/>
      <c r="FW56" s="327"/>
      <c r="FX56" s="327"/>
      <c r="FY56" s="327"/>
      <c r="FZ56" s="327"/>
      <c r="GA56" s="327"/>
      <c r="GB56" s="327"/>
      <c r="GC56" s="327"/>
      <c r="GD56" s="327"/>
      <c r="GE56" s="327"/>
      <c r="GF56" s="327"/>
      <c r="GG56" s="327"/>
      <c r="GH56" s="327"/>
      <c r="GI56" s="327"/>
      <c r="GJ56" s="327"/>
      <c r="GK56" s="327"/>
      <c r="GL56" s="327"/>
      <c r="GM56" s="327"/>
      <c r="GN56" s="327"/>
      <c r="GO56" s="327"/>
      <c r="GP56" s="327"/>
      <c r="GQ56" s="327"/>
      <c r="GR56" s="327"/>
      <c r="GS56" s="327"/>
      <c r="GT56" s="327"/>
      <c r="GU56" s="327"/>
      <c r="GV56" s="327"/>
      <c r="GW56" s="327"/>
      <c r="GX56" s="327"/>
      <c r="GY56" s="327"/>
      <c r="GZ56" s="327"/>
      <c r="HA56" s="327"/>
      <c r="HB56" s="327"/>
      <c r="HC56" s="327"/>
      <c r="HD56" s="327"/>
      <c r="HE56" s="327"/>
      <c r="HF56" s="327"/>
      <c r="HG56" s="327"/>
      <c r="HH56" s="327"/>
      <c r="HI56" s="327"/>
      <c r="HJ56" s="327"/>
      <c r="HK56" s="327"/>
      <c r="HL56" s="327"/>
      <c r="HM56" s="327"/>
      <c r="HN56" s="327"/>
      <c r="HO56" s="327"/>
      <c r="HP56" s="327"/>
      <c r="HQ56" s="327"/>
      <c r="HR56" s="327"/>
      <c r="HS56" s="327"/>
    </row>
    <row r="57" spans="1:227" ht="15" customHeight="1">
      <c r="A57" s="434">
        <v>4</v>
      </c>
      <c r="B57" s="435" t="str">
        <f>VLOOKUP(Ruimtestaat[[#This Row],[Code]],Locaties[[Code]:[Locatie]],2,FALSE)</f>
        <v>IKC De Waterlelie</v>
      </c>
      <c r="C57" s="435" t="str">
        <f>VLOOKUP(Ruimtestaat[[#This Row],[Code]],Locaties[[#All],[Code]:[Adres]],4,FALSE)</f>
        <v>Goudenregenzoom 73</v>
      </c>
      <c r="D57" s="435" t="str">
        <f>VLOOKUP(Ruimtestaat[[#This Row],[Code]],Locaties[[#All],[Code]:[Postcode]],5,FALSE)</f>
        <v>2719 HE</v>
      </c>
      <c r="E57" s="435" t="str">
        <f>VLOOKUP(Ruimtestaat[[#This Row],[Code]],Locaties[#All],6,FALSE)</f>
        <v>Zoetermeer</v>
      </c>
      <c r="F57" s="434"/>
      <c r="G57" s="434" t="s">
        <v>1678</v>
      </c>
      <c r="H57" s="436" t="s">
        <v>1711</v>
      </c>
      <c r="I57" s="437" t="s">
        <v>1712</v>
      </c>
      <c r="J57" s="330">
        <v>16</v>
      </c>
      <c r="K57" s="450" t="str">
        <f>VLOOKUP(Ruimtestaat[[#This Row],[Ruimte code]],Ruimtegroepen[[#All],[Code]:[Ruimte omschrijving]],2,FALSE)</f>
        <v>Leslokalen</v>
      </c>
      <c r="L57" s="434" t="s">
        <v>100</v>
      </c>
      <c r="M57" s="437" t="s">
        <v>1759</v>
      </c>
      <c r="N57" s="439">
        <v>59</v>
      </c>
      <c r="O57" s="439"/>
      <c r="P57" s="439"/>
      <c r="Q57" s="439"/>
      <c r="R57" s="440" t="str">
        <f>VLOOKUP(Ruimtestaat[[#This Row],[Ruimte code]],Ruimtegroepen[],4,FALSE)</f>
        <v>Le</v>
      </c>
      <c r="S57" s="434">
        <v>40</v>
      </c>
      <c r="T57" s="434" t="s">
        <v>2</v>
      </c>
      <c r="U57" s="434">
        <f>IF(S57&gt;0,IF(RIGHT(Ruimtestaat[[#This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 s="434">
        <f>IF(U57&gt;0,VLOOKUP($J57,Ruimtegroepen[],3,FALSE)*VLOOKUP($L57,Vloersoorten[],3,FALSE)*VLOOKUP($T57,Frequenties[],3,FALSE)*VLOOKUP($A57,Locaties[],3,FALSE),0)</f>
        <v>0</v>
      </c>
      <c r="W57" s="434">
        <f>Ruimtestaat[[#This Row],[Uitvoeringen werkdagen]]*Ruimtestaat[[#This Row],[Oppervlak (netto)]]</f>
        <v>11800</v>
      </c>
      <c r="X57" s="441">
        <f>IF(V57&gt;0,Ruimtestaat[[#This Row],[Prest. (m2 /jaar) werkdagen]]/Ruimtestaat[[#This Row],[Norm (m2/uur) werkdagen]],0)</f>
        <v>0</v>
      </c>
      <c r="Y57" s="442">
        <f>Ruimtestaat[[#This Row],[Uitvoeringen werkdagen]]*Ruimtestaat[[#This Row],[Gedeeltelijk]]</f>
        <v>0</v>
      </c>
      <c r="Z57" s="443" t="e">
        <f>IF(U57&gt;0,Ruimtestaat[[#This Row],[Prest. (m2 / jaar) werkdagen gedeeld]]/Ruimtestaat[[#This Row],[Norm (m2/uur) werkdagen]],0)</f>
        <v>#DIV/0!</v>
      </c>
      <c r="AA57" s="441" t="e">
        <f>Ruimtestaat[[#This Row],[uren / jaar werkdagen gedeeld]]*Tariefsopbouw!$E$35</f>
        <v>#DIV/0!</v>
      </c>
      <c r="AB57" s="441">
        <f>Ruimtestaat[[#This Row],[Uitvoeringen werkdagen]]*Ruimtestaat[[#This Row],[BSO]]</f>
        <v>0</v>
      </c>
      <c r="AC57" s="443" t="e">
        <f>IF(U57&gt;0,Ruimtestaat[[#This Row],[Prest. (m2 / jaar) werkdagen BSO]]/Ruimtestaat[[#This Row],[Norm (m2/uur) werkdagen]],0)</f>
        <v>#DIV/0!</v>
      </c>
      <c r="AD57" s="443" t="e">
        <f>Ruimtestaat[[#This Row],[uren / jaar werkdagen BSO]]*Tariefsopbouw!$E$35</f>
        <v>#DIV/0!</v>
      </c>
      <c r="AE57" s="444">
        <f>Ruimtestaat[[#This Row],[uren / jaar werkdagen]]*Tariefsopbouw!$E$35</f>
        <v>0</v>
      </c>
      <c r="AF57" s="434"/>
      <c r="AG57" s="434">
        <f>IF(Ruimtestaat[[#This Row],[Frequentie weekend]]&gt;0,VALUE(LEFT(AF57,1))*S57,0)</f>
        <v>0</v>
      </c>
      <c r="AH57" s="445">
        <f>IF($AG57&gt;0,VLOOKUP($J57,Ruimtegroepen[],3,FALSE)*VLOOKUP($L57,Vloersoorten[],3,FALSE)*VLOOKUP($AF57,Frequenties[],3,FALSE)*VLOOKUP(Ruimtestaat[[#This Row],[Code]],Locaties[],3,FALSE),0)</f>
        <v>0</v>
      </c>
      <c r="AI57" s="445">
        <f>Ruimtestaat[[#This Row],[Uitvoeringen weekend]]*Ruimtestaat[[#This Row],[Oppervlak (netto)]]</f>
        <v>0</v>
      </c>
      <c r="AJ57" s="445">
        <f>IF(AH57&gt;0,Ruimtestaat[[#This Row],[Prest. (m2 /jaar) weekend]]/Ruimtestaat[[#This Row],[Norm (m2/uur) weekend]],0)</f>
        <v>0</v>
      </c>
      <c r="AK57" s="444">
        <f>Ruimtestaat[[#This Row],[uren / jaar weekend]]*Tariefsopbouw!$D$40</f>
        <v>0</v>
      </c>
      <c r="AL57" s="441">
        <f>Ruimtestaat[[#This Row],[Prest. (m2 /jaar) weekend]]+Ruimtestaat[[#This Row],[Prest. (m2 /jaar) werkdagen]]</f>
        <v>11800</v>
      </c>
      <c r="AM57" s="441">
        <f>Ruimtestaat[[#This Row],[uren / jaar weekend]]+Ruimtestaat[[#This Row],[uren / jaar werkdagen]]</f>
        <v>0</v>
      </c>
      <c r="AN57" s="446">
        <f>Ruimtestaat[[#This Row],[kosten / jaar weekend]]+Ruimtestaat[[#This Row],[kosten / jaar werkdagen]]</f>
        <v>0</v>
      </c>
      <c r="AO57" s="446"/>
      <c r="AP57" s="447" t="str">
        <f>IF(Ruimtestaat[[#This Row],[Frequentie werkdagen]]="","",_xlfn.CONCAT(Ruimtestaat[[#This Row],[Ruimte code]],"-",Ruimtestaat[[#This Row],[Frequentie werkdagen]]," ",Ruimtestaat[[#This Row],[Vloer code]]))</f>
        <v>16-5w L</v>
      </c>
      <c r="AQ57" s="448" t="str">
        <f>_xlfn.IFNA(VLOOKUP($AP57,Programma!$F$3:$G$1101,2,0),"")</f>
        <v>_</v>
      </c>
      <c r="AR57" s="448" t="str">
        <f>_xlfn.IFNA(VLOOKUP($AP57,Programma!$F$3:$H$1101,3,0),"")</f>
        <v>_</v>
      </c>
      <c r="AS57" s="448" t="str">
        <f>_xlfn.IFNA(VLOOKUP($AP57,Programma!$F$3:$I$1101,4,0),"")</f>
        <v>4w</v>
      </c>
      <c r="AT57" s="448" t="str">
        <f>_xlfn.IFNA(VLOOKUP($AP57,Programma!$F$3:$J$1101,5,0),"")</f>
        <v>1w</v>
      </c>
      <c r="AU57" s="448" t="str">
        <f>_xlfn.IFNA(VLOOKUP($AP57,Programma!$F$3:$K$1101,6,0),"")</f>
        <v>_</v>
      </c>
      <c r="AV57" s="448" t="str">
        <f>_xlfn.IFNA(VLOOKUP($AP57,Programma!$F$3:$L$1101,7,0),"")</f>
        <v>_</v>
      </c>
      <c r="AW57" s="448" t="str">
        <f>_xlfn.IFNA(VLOOKUP($AP57,Programma!$F$3:$M$1101,8,0),"")</f>
        <v>_</v>
      </c>
      <c r="AX57" s="448" t="str">
        <f>_xlfn.IFNA(VLOOKUP($AP57,Programma!$F$3:$N$1101,9,0),"")</f>
        <v>_</v>
      </c>
      <c r="AY57" s="448" t="str">
        <f>_xlfn.IFNA(VLOOKUP($AP57,Programma!$F$3:$O$1101,10,0),"")</f>
        <v>5w</v>
      </c>
      <c r="AZ57" s="448" t="str">
        <f>_xlfn.IFNA(VLOOKUP($AP57,Programma!$F$3:$P$1101,11,0),"")</f>
        <v>5w</v>
      </c>
      <c r="BA57" s="448" t="str">
        <f>_xlfn.IFNA(VLOOKUP($AP57,Programma!$F$3:$Q$1101,12,0),"")</f>
        <v>1w</v>
      </c>
      <c r="BB57" s="448" t="str">
        <f>_xlfn.IFNA(VLOOKUP($AP57,Programma!$F$3:$R$1101,13,0),"")</f>
        <v>1w</v>
      </c>
      <c r="BC57" s="448" t="str">
        <f>_xlfn.IFNA(VLOOKUP($AP57,Programma!$F$3:$S$1101,14,0),"")</f>
        <v>1m</v>
      </c>
      <c r="BD57" s="448" t="str">
        <f>_xlfn.IFNA(VLOOKUP($AP57,Programma!$F$3:$T$1101,15,0),"")</f>
        <v>2j</v>
      </c>
      <c r="BE57" s="448" t="str">
        <f>_xlfn.IFNA(VLOOKUP($AP57,Programma!$F$3:$U$1101,16,0),"")</f>
        <v>1j</v>
      </c>
      <c r="BF57" s="448" t="str">
        <f>_xlfn.IFNA(VLOOKUP($AP57,Programma!$F$3:$V$1101,17,0),"")</f>
        <v>_</v>
      </c>
      <c r="BG57" s="448" t="str">
        <f>_xlfn.IFNA(VLOOKUP($AP57,Programma!$F$3:$W$1101,18,0),"")</f>
        <v>_</v>
      </c>
      <c r="BH57" s="448" t="str">
        <f>_xlfn.IFNA(VLOOKUP($AP57,Programma!$F$3:$X$1101,19,0),"")</f>
        <v>_</v>
      </c>
      <c r="BI57" s="448" t="str">
        <f>_xlfn.IFNA(VLOOKUP($AP57,Programma!$F$3:$Y$1101,20,0),"")</f>
        <v>_</v>
      </c>
      <c r="BJ57" s="449"/>
      <c r="BK57" s="447" t="str">
        <f>IF(Ruimtestaat[[#This Row],[Frequentie weekend]]="","",_xlfn.CONCAT(Ruimtestaat[[#This Row],[Ruimte code]],"-",Ruimtestaat[[#This Row],[Frequentie weekend]]," ",Ruimtestaat[[#This Row],[Vloer code]]))</f>
        <v/>
      </c>
      <c r="BL57" s="448" t="str">
        <f>_xlfn.IFNA(VLOOKUP($BK57,Programma!$F$3:$G$1101,2,0),"")</f>
        <v/>
      </c>
      <c r="BM57" s="448" t="str">
        <f>_xlfn.IFNA(VLOOKUP($BK57,Programma!$F$3:$H$1101,3,0),"")</f>
        <v/>
      </c>
      <c r="BN57" s="448" t="str">
        <f>_xlfn.IFNA(VLOOKUP($BK57,Programma!$F$3:$I$1101,4,0),"")</f>
        <v/>
      </c>
      <c r="BO57" s="448" t="str">
        <f>_xlfn.IFNA(VLOOKUP($BK57,Programma!$F$3:$J$1101,5,0),"")</f>
        <v/>
      </c>
      <c r="BP57" s="448" t="str">
        <f>_xlfn.IFNA(VLOOKUP($BK57,Programma!$F$3:$K$1101,6,0),"")</f>
        <v/>
      </c>
      <c r="BQ57" s="448" t="str">
        <f>_xlfn.IFNA(VLOOKUP($BK57,Programma!$F$3:$L$1101,7,0),"")</f>
        <v/>
      </c>
      <c r="BR57" s="448" t="str">
        <f>_xlfn.IFNA(VLOOKUP($BK57,Programma!$F$3:$M$1101,8,0),"")</f>
        <v/>
      </c>
      <c r="BS57" s="448" t="str">
        <f>_xlfn.IFNA(VLOOKUP($BK57,Programma!$F$3:$N$1101,9,0),"")</f>
        <v/>
      </c>
      <c r="BT57" s="448" t="str">
        <f>_xlfn.IFNA(VLOOKUP($BK57,Programma!$F$3:$O$1101,10,0),"")</f>
        <v/>
      </c>
      <c r="BU57" s="448" t="str">
        <f>_xlfn.IFNA(VLOOKUP($BK57,Programma!$F$3:$P$1101,11,0),"")</f>
        <v/>
      </c>
      <c r="BV57" s="448" t="str">
        <f>_xlfn.IFNA(VLOOKUP($BK57,Programma!$F$3:$Q$1101,12,0),"")</f>
        <v/>
      </c>
      <c r="BW57" s="448" t="str">
        <f>_xlfn.IFNA(VLOOKUP($BK57,Programma!$F$3:$R$1101,13,0),"")</f>
        <v/>
      </c>
      <c r="BX57" s="448" t="str">
        <f>_xlfn.IFNA(VLOOKUP($BK57,Programma!$F$3:$S$1101,14,0),"")</f>
        <v/>
      </c>
      <c r="BY57" s="448" t="str">
        <f>_xlfn.IFNA(VLOOKUP($BK57,Programma!$F$3:$T$1101,15,0),"")</f>
        <v/>
      </c>
      <c r="BZ57" s="448" t="str">
        <f>_xlfn.IFNA(VLOOKUP($BK57,Programma!$F$3:$U$1101,16,0),"")</f>
        <v/>
      </c>
      <c r="CA57" s="448" t="str">
        <f>_xlfn.IFNA(VLOOKUP($BK57,Programma!$F$3:$V$1101,17,0),"")</f>
        <v/>
      </c>
      <c r="CB57" s="448" t="str">
        <f>_xlfn.IFNA(VLOOKUP($BK57,Programma!$F$3:$W$1101,18,0),"")</f>
        <v/>
      </c>
      <c r="CC57" s="448" t="str">
        <f>_xlfn.IFNA(VLOOKUP($BK57,Programma!$F$3:$X$1101,19,0),"")</f>
        <v/>
      </c>
      <c r="CD57" s="448" t="str">
        <f>_xlfn.IFNA(VLOOKUP($BK57,Programma!$F$3:$Y$1101,20,0),"")</f>
        <v/>
      </c>
      <c r="CE57" s="327"/>
      <c r="CF57" s="327"/>
      <c r="CG57" s="327"/>
      <c r="CH57" s="327"/>
      <c r="CI57" s="327"/>
      <c r="CJ57" s="327"/>
      <c r="CK57" s="327"/>
      <c r="CL57" s="327"/>
      <c r="CM57" s="327"/>
      <c r="CN57" s="327"/>
      <c r="CO57" s="327"/>
      <c r="CP57" s="327"/>
      <c r="CQ57" s="327"/>
      <c r="CR57" s="327"/>
      <c r="CS57" s="327"/>
      <c r="CT57" s="327"/>
      <c r="CU57" s="327"/>
      <c r="CV57" s="327"/>
      <c r="CW57" s="327"/>
      <c r="CX57" s="327"/>
      <c r="CY57" s="327"/>
      <c r="CZ57" s="327"/>
      <c r="DA57" s="327"/>
      <c r="DB57" s="327"/>
      <c r="DC57" s="327"/>
      <c r="DD57" s="327"/>
      <c r="DE57" s="327"/>
      <c r="DF57" s="327"/>
      <c r="DG57" s="327"/>
      <c r="DH57" s="327"/>
      <c r="DI57" s="327"/>
      <c r="DJ57" s="327"/>
      <c r="DK57" s="327"/>
      <c r="DL57" s="327"/>
      <c r="DM57" s="327"/>
      <c r="DN57" s="327"/>
      <c r="DO57" s="327"/>
      <c r="DP57" s="327"/>
      <c r="DQ57" s="327"/>
      <c r="DR57" s="327"/>
      <c r="DS57" s="327"/>
      <c r="DT57" s="327"/>
      <c r="DU57" s="327"/>
      <c r="DV57" s="327"/>
      <c r="DW57" s="327"/>
      <c r="DX57" s="327"/>
      <c r="DY57" s="327"/>
      <c r="DZ57" s="327"/>
      <c r="EA57" s="327"/>
      <c r="EB57" s="327"/>
      <c r="EC57" s="327"/>
      <c r="ED57" s="327"/>
      <c r="EE57" s="327"/>
      <c r="EF57" s="327"/>
      <c r="EG57" s="327"/>
      <c r="EH57" s="327"/>
      <c r="EI57" s="327"/>
      <c r="EJ57" s="327"/>
      <c r="EK57" s="327"/>
      <c r="EL57" s="327"/>
      <c r="EM57" s="327"/>
      <c r="EN57" s="327"/>
      <c r="EO57" s="327"/>
      <c r="EP57" s="327"/>
      <c r="EQ57" s="327"/>
      <c r="ER57" s="327"/>
      <c r="ES57" s="327"/>
      <c r="ET57" s="327"/>
      <c r="EU57" s="327"/>
      <c r="EV57" s="327"/>
      <c r="EW57" s="327"/>
      <c r="EX57" s="327"/>
      <c r="EY57" s="327"/>
      <c r="EZ57" s="327"/>
      <c r="FA57" s="327"/>
      <c r="FB57" s="327"/>
      <c r="FC57" s="327"/>
      <c r="FD57" s="327"/>
      <c r="FE57" s="327"/>
      <c r="FF57" s="327"/>
      <c r="FG57" s="327"/>
      <c r="FH57" s="327"/>
      <c r="FI57" s="327"/>
      <c r="FJ57" s="327"/>
      <c r="FK57" s="327"/>
      <c r="FL57" s="327"/>
      <c r="FM57" s="327"/>
      <c r="FN57" s="327"/>
      <c r="FO57" s="327"/>
      <c r="FP57" s="327"/>
      <c r="FQ57" s="327"/>
      <c r="FR57" s="327"/>
      <c r="FS57" s="327"/>
      <c r="FT57" s="327"/>
      <c r="FU57" s="327"/>
      <c r="FV57" s="327"/>
      <c r="FW57" s="327"/>
      <c r="FX57" s="327"/>
      <c r="FY57" s="327"/>
      <c r="FZ57" s="327"/>
      <c r="GA57" s="327"/>
      <c r="GB57" s="327"/>
      <c r="GC57" s="327"/>
      <c r="GD57" s="327"/>
      <c r="GE57" s="327"/>
      <c r="GF57" s="327"/>
      <c r="GG57" s="327"/>
      <c r="GH57" s="327"/>
      <c r="GI57" s="327"/>
      <c r="GJ57" s="327"/>
      <c r="GK57" s="327"/>
      <c r="GL57" s="327"/>
      <c r="GM57" s="327"/>
      <c r="GN57" s="327"/>
      <c r="GO57" s="327"/>
      <c r="GP57" s="327"/>
      <c r="GQ57" s="327"/>
      <c r="GR57" s="327"/>
      <c r="GS57" s="327"/>
      <c r="GT57" s="327"/>
      <c r="GU57" s="327"/>
      <c r="GV57" s="327"/>
      <c r="GW57" s="327"/>
      <c r="GX57" s="327"/>
      <c r="GY57" s="327"/>
      <c r="GZ57" s="327"/>
      <c r="HA57" s="327"/>
      <c r="HB57" s="327"/>
      <c r="HC57" s="327"/>
      <c r="HD57" s="327"/>
      <c r="HE57" s="327"/>
      <c r="HF57" s="327"/>
      <c r="HG57" s="327"/>
      <c r="HH57" s="327"/>
      <c r="HI57" s="327"/>
      <c r="HJ57" s="327"/>
      <c r="HK57" s="327"/>
      <c r="HL57" s="327"/>
      <c r="HM57" s="327"/>
      <c r="HN57" s="327"/>
      <c r="HO57" s="327"/>
      <c r="HP57" s="327"/>
      <c r="HQ57" s="327"/>
      <c r="HR57" s="327"/>
      <c r="HS57" s="327"/>
    </row>
    <row r="58" spans="1:227" ht="15" customHeight="1">
      <c r="A58" s="434">
        <v>4</v>
      </c>
      <c r="B58" s="435" t="str">
        <f>VLOOKUP(Ruimtestaat[[#This Row],[Code]],Locaties[[Code]:[Locatie]],2,FALSE)</f>
        <v>IKC De Waterlelie</v>
      </c>
      <c r="C58" s="435" t="str">
        <f>VLOOKUP(Ruimtestaat[[#This Row],[Code]],Locaties[[#All],[Code]:[Adres]],4,FALSE)</f>
        <v>Goudenregenzoom 73</v>
      </c>
      <c r="D58" s="435" t="str">
        <f>VLOOKUP(Ruimtestaat[[#This Row],[Code]],Locaties[[#All],[Code]:[Postcode]],5,FALSE)</f>
        <v>2719 HE</v>
      </c>
      <c r="E58" s="435" t="str">
        <f>VLOOKUP(Ruimtestaat[[#This Row],[Code]],Locaties[#All],6,FALSE)</f>
        <v>Zoetermeer</v>
      </c>
      <c r="F58" s="434"/>
      <c r="G58" s="434" t="s">
        <v>1678</v>
      </c>
      <c r="H58" s="436" t="s">
        <v>1713</v>
      </c>
      <c r="I58" s="437" t="s">
        <v>1714</v>
      </c>
      <c r="J58" s="330">
        <v>16</v>
      </c>
      <c r="K58" s="450" t="str">
        <f>VLOOKUP(Ruimtestaat[[#This Row],[Ruimte code]],Ruimtegroepen[[#All],[Code]:[Ruimte omschrijving]],2,FALSE)</f>
        <v>Leslokalen</v>
      </c>
      <c r="L58" s="434" t="s">
        <v>100</v>
      </c>
      <c r="M58" s="437" t="s">
        <v>1759</v>
      </c>
      <c r="N58" s="439">
        <v>58</v>
      </c>
      <c r="O58" s="439"/>
      <c r="P58" s="439"/>
      <c r="Q58" s="439"/>
      <c r="R58" s="440" t="str">
        <f>VLOOKUP(Ruimtestaat[[#This Row],[Ruimte code]],Ruimtegroepen[],4,FALSE)</f>
        <v>Le</v>
      </c>
      <c r="S58" s="434">
        <v>40</v>
      </c>
      <c r="T58" s="434" t="s">
        <v>2</v>
      </c>
      <c r="U58" s="434">
        <f>IF(S58&gt;0,IF(RIGHT(Ruimtestaat[[#This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 s="434">
        <f>IF(U58&gt;0,VLOOKUP($J58,Ruimtegroepen[],3,FALSE)*VLOOKUP($L58,Vloersoorten[],3,FALSE)*VLOOKUP($T58,Frequenties[],3,FALSE)*VLOOKUP($A58,Locaties[],3,FALSE),0)</f>
        <v>0</v>
      </c>
      <c r="W58" s="434">
        <f>Ruimtestaat[[#This Row],[Uitvoeringen werkdagen]]*Ruimtestaat[[#This Row],[Oppervlak (netto)]]</f>
        <v>11600</v>
      </c>
      <c r="X58" s="441">
        <f>IF(V58&gt;0,Ruimtestaat[[#This Row],[Prest. (m2 /jaar) werkdagen]]/Ruimtestaat[[#This Row],[Norm (m2/uur) werkdagen]],0)</f>
        <v>0</v>
      </c>
      <c r="Y58" s="442">
        <f>Ruimtestaat[[#This Row],[Uitvoeringen werkdagen]]*Ruimtestaat[[#This Row],[Gedeeltelijk]]</f>
        <v>0</v>
      </c>
      <c r="Z58" s="443" t="e">
        <f>IF(U58&gt;0,Ruimtestaat[[#This Row],[Prest. (m2 / jaar) werkdagen gedeeld]]/Ruimtestaat[[#This Row],[Norm (m2/uur) werkdagen]],0)</f>
        <v>#DIV/0!</v>
      </c>
      <c r="AA58" s="441" t="e">
        <f>Ruimtestaat[[#This Row],[uren / jaar werkdagen gedeeld]]*Tariefsopbouw!$E$35</f>
        <v>#DIV/0!</v>
      </c>
      <c r="AB58" s="441">
        <f>Ruimtestaat[[#This Row],[Uitvoeringen werkdagen]]*Ruimtestaat[[#This Row],[BSO]]</f>
        <v>0</v>
      </c>
      <c r="AC58" s="443" t="e">
        <f>IF(U58&gt;0,Ruimtestaat[[#This Row],[Prest. (m2 / jaar) werkdagen BSO]]/Ruimtestaat[[#This Row],[Norm (m2/uur) werkdagen]],0)</f>
        <v>#DIV/0!</v>
      </c>
      <c r="AD58" s="443" t="e">
        <f>Ruimtestaat[[#This Row],[uren / jaar werkdagen BSO]]*Tariefsopbouw!$E$35</f>
        <v>#DIV/0!</v>
      </c>
      <c r="AE58" s="444">
        <f>Ruimtestaat[[#This Row],[uren / jaar werkdagen]]*Tariefsopbouw!$E$35</f>
        <v>0</v>
      </c>
      <c r="AF58" s="434"/>
      <c r="AG58" s="434">
        <f>IF(Ruimtestaat[[#This Row],[Frequentie weekend]]&gt;0,VALUE(LEFT(AF58,1))*S58,0)</f>
        <v>0</v>
      </c>
      <c r="AH58" s="445">
        <f>IF($AG58&gt;0,VLOOKUP($J58,Ruimtegroepen[],3,FALSE)*VLOOKUP($L58,Vloersoorten[],3,FALSE)*VLOOKUP($AF58,Frequenties[],3,FALSE)*VLOOKUP(Ruimtestaat[[#This Row],[Code]],Locaties[],3,FALSE),0)</f>
        <v>0</v>
      </c>
      <c r="AI58" s="445">
        <f>Ruimtestaat[[#This Row],[Uitvoeringen weekend]]*Ruimtestaat[[#This Row],[Oppervlak (netto)]]</f>
        <v>0</v>
      </c>
      <c r="AJ58" s="445">
        <f>IF(AH58&gt;0,Ruimtestaat[[#This Row],[Prest. (m2 /jaar) weekend]]/Ruimtestaat[[#This Row],[Norm (m2/uur) weekend]],0)</f>
        <v>0</v>
      </c>
      <c r="AK58" s="444">
        <f>Ruimtestaat[[#This Row],[uren / jaar weekend]]*Tariefsopbouw!$D$40</f>
        <v>0</v>
      </c>
      <c r="AL58" s="441">
        <f>Ruimtestaat[[#This Row],[Prest. (m2 /jaar) weekend]]+Ruimtestaat[[#This Row],[Prest. (m2 /jaar) werkdagen]]</f>
        <v>11600</v>
      </c>
      <c r="AM58" s="441">
        <f>Ruimtestaat[[#This Row],[uren / jaar weekend]]+Ruimtestaat[[#This Row],[uren / jaar werkdagen]]</f>
        <v>0</v>
      </c>
      <c r="AN58" s="446">
        <f>Ruimtestaat[[#This Row],[kosten / jaar weekend]]+Ruimtestaat[[#This Row],[kosten / jaar werkdagen]]</f>
        <v>0</v>
      </c>
      <c r="AO58" s="446"/>
      <c r="AP58" s="447" t="str">
        <f>IF(Ruimtestaat[[#This Row],[Frequentie werkdagen]]="","",_xlfn.CONCAT(Ruimtestaat[[#This Row],[Ruimte code]],"-",Ruimtestaat[[#This Row],[Frequentie werkdagen]]," ",Ruimtestaat[[#This Row],[Vloer code]]))</f>
        <v>16-5w L</v>
      </c>
      <c r="AQ58" s="448" t="str">
        <f>_xlfn.IFNA(VLOOKUP($AP58,Programma!$F$3:$G$1101,2,0),"")</f>
        <v>_</v>
      </c>
      <c r="AR58" s="448" t="str">
        <f>_xlfn.IFNA(VLOOKUP($AP58,Programma!$F$3:$H$1101,3,0),"")</f>
        <v>_</v>
      </c>
      <c r="AS58" s="448" t="str">
        <f>_xlfn.IFNA(VLOOKUP($AP58,Programma!$F$3:$I$1101,4,0),"")</f>
        <v>4w</v>
      </c>
      <c r="AT58" s="448" t="str">
        <f>_xlfn.IFNA(VLOOKUP($AP58,Programma!$F$3:$J$1101,5,0),"")</f>
        <v>1w</v>
      </c>
      <c r="AU58" s="448" t="str">
        <f>_xlfn.IFNA(VLOOKUP($AP58,Programma!$F$3:$K$1101,6,0),"")</f>
        <v>_</v>
      </c>
      <c r="AV58" s="448" t="str">
        <f>_xlfn.IFNA(VLOOKUP($AP58,Programma!$F$3:$L$1101,7,0),"")</f>
        <v>_</v>
      </c>
      <c r="AW58" s="448" t="str">
        <f>_xlfn.IFNA(VLOOKUP($AP58,Programma!$F$3:$M$1101,8,0),"")</f>
        <v>_</v>
      </c>
      <c r="AX58" s="448" t="str">
        <f>_xlfn.IFNA(VLOOKUP($AP58,Programma!$F$3:$N$1101,9,0),"")</f>
        <v>_</v>
      </c>
      <c r="AY58" s="448" t="str">
        <f>_xlfn.IFNA(VLOOKUP($AP58,Programma!$F$3:$O$1101,10,0),"")</f>
        <v>5w</v>
      </c>
      <c r="AZ58" s="448" t="str">
        <f>_xlfn.IFNA(VLOOKUP($AP58,Programma!$F$3:$P$1101,11,0),"")</f>
        <v>5w</v>
      </c>
      <c r="BA58" s="448" t="str">
        <f>_xlfn.IFNA(VLOOKUP($AP58,Programma!$F$3:$Q$1101,12,0),"")</f>
        <v>1w</v>
      </c>
      <c r="BB58" s="448" t="str">
        <f>_xlfn.IFNA(VLOOKUP($AP58,Programma!$F$3:$R$1101,13,0),"")</f>
        <v>1w</v>
      </c>
      <c r="BC58" s="448" t="str">
        <f>_xlfn.IFNA(VLOOKUP($AP58,Programma!$F$3:$S$1101,14,0),"")</f>
        <v>1m</v>
      </c>
      <c r="BD58" s="448" t="str">
        <f>_xlfn.IFNA(VLOOKUP($AP58,Programma!$F$3:$T$1101,15,0),"")</f>
        <v>2j</v>
      </c>
      <c r="BE58" s="448" t="str">
        <f>_xlfn.IFNA(VLOOKUP($AP58,Programma!$F$3:$U$1101,16,0),"")</f>
        <v>1j</v>
      </c>
      <c r="BF58" s="448" t="str">
        <f>_xlfn.IFNA(VLOOKUP($AP58,Programma!$F$3:$V$1101,17,0),"")</f>
        <v>_</v>
      </c>
      <c r="BG58" s="448" t="str">
        <f>_xlfn.IFNA(VLOOKUP($AP58,Programma!$F$3:$W$1101,18,0),"")</f>
        <v>_</v>
      </c>
      <c r="BH58" s="448" t="str">
        <f>_xlfn.IFNA(VLOOKUP($AP58,Programma!$F$3:$X$1101,19,0),"")</f>
        <v>_</v>
      </c>
      <c r="BI58" s="448" t="str">
        <f>_xlfn.IFNA(VLOOKUP($AP58,Programma!$F$3:$Y$1101,20,0),"")</f>
        <v>_</v>
      </c>
      <c r="BJ58" s="449"/>
      <c r="BK58" s="447" t="str">
        <f>IF(Ruimtestaat[[#This Row],[Frequentie weekend]]="","",_xlfn.CONCAT(Ruimtestaat[[#This Row],[Ruimte code]],"-",Ruimtestaat[[#This Row],[Frequentie weekend]]," ",Ruimtestaat[[#This Row],[Vloer code]]))</f>
        <v/>
      </c>
      <c r="BL58" s="448" t="str">
        <f>_xlfn.IFNA(VLOOKUP($BK58,Programma!$F$3:$G$1101,2,0),"")</f>
        <v/>
      </c>
      <c r="BM58" s="448" t="str">
        <f>_xlfn.IFNA(VLOOKUP($BK58,Programma!$F$3:$H$1101,3,0),"")</f>
        <v/>
      </c>
      <c r="BN58" s="448" t="str">
        <f>_xlfn.IFNA(VLOOKUP($BK58,Programma!$F$3:$I$1101,4,0),"")</f>
        <v/>
      </c>
      <c r="BO58" s="448" t="str">
        <f>_xlfn.IFNA(VLOOKUP($BK58,Programma!$F$3:$J$1101,5,0),"")</f>
        <v/>
      </c>
      <c r="BP58" s="448" t="str">
        <f>_xlfn.IFNA(VLOOKUP($BK58,Programma!$F$3:$K$1101,6,0),"")</f>
        <v/>
      </c>
      <c r="BQ58" s="448" t="str">
        <f>_xlfn.IFNA(VLOOKUP($BK58,Programma!$F$3:$L$1101,7,0),"")</f>
        <v/>
      </c>
      <c r="BR58" s="448" t="str">
        <f>_xlfn.IFNA(VLOOKUP($BK58,Programma!$F$3:$M$1101,8,0),"")</f>
        <v/>
      </c>
      <c r="BS58" s="448" t="str">
        <f>_xlfn.IFNA(VLOOKUP($BK58,Programma!$F$3:$N$1101,9,0),"")</f>
        <v/>
      </c>
      <c r="BT58" s="448" t="str">
        <f>_xlfn.IFNA(VLOOKUP($BK58,Programma!$F$3:$O$1101,10,0),"")</f>
        <v/>
      </c>
      <c r="BU58" s="448" t="str">
        <f>_xlfn.IFNA(VLOOKUP($BK58,Programma!$F$3:$P$1101,11,0),"")</f>
        <v/>
      </c>
      <c r="BV58" s="448" t="str">
        <f>_xlfn.IFNA(VLOOKUP($BK58,Programma!$F$3:$Q$1101,12,0),"")</f>
        <v/>
      </c>
      <c r="BW58" s="448" t="str">
        <f>_xlfn.IFNA(VLOOKUP($BK58,Programma!$F$3:$R$1101,13,0),"")</f>
        <v/>
      </c>
      <c r="BX58" s="448" t="str">
        <f>_xlfn.IFNA(VLOOKUP($BK58,Programma!$F$3:$S$1101,14,0),"")</f>
        <v/>
      </c>
      <c r="BY58" s="448" t="str">
        <f>_xlfn.IFNA(VLOOKUP($BK58,Programma!$F$3:$T$1101,15,0),"")</f>
        <v/>
      </c>
      <c r="BZ58" s="448" t="str">
        <f>_xlfn.IFNA(VLOOKUP($BK58,Programma!$F$3:$U$1101,16,0),"")</f>
        <v/>
      </c>
      <c r="CA58" s="448" t="str">
        <f>_xlfn.IFNA(VLOOKUP($BK58,Programma!$F$3:$V$1101,17,0),"")</f>
        <v/>
      </c>
      <c r="CB58" s="448" t="str">
        <f>_xlfn.IFNA(VLOOKUP($BK58,Programma!$F$3:$W$1101,18,0),"")</f>
        <v/>
      </c>
      <c r="CC58" s="448" t="str">
        <f>_xlfn.IFNA(VLOOKUP($BK58,Programma!$F$3:$X$1101,19,0),"")</f>
        <v/>
      </c>
      <c r="CD58" s="448" t="str">
        <f>_xlfn.IFNA(VLOOKUP($BK58,Programma!$F$3:$Y$1101,20,0),"")</f>
        <v/>
      </c>
      <c r="CE58" s="327"/>
      <c r="CF58" s="327"/>
      <c r="CG58" s="327"/>
      <c r="CH58" s="327"/>
      <c r="CI58" s="327"/>
      <c r="CJ58" s="327"/>
      <c r="CK58" s="327"/>
      <c r="CL58" s="327"/>
      <c r="CM58" s="327"/>
      <c r="CN58" s="327"/>
      <c r="CO58" s="327"/>
      <c r="CP58" s="327"/>
      <c r="CQ58" s="327"/>
      <c r="CR58" s="327"/>
      <c r="CS58" s="327"/>
      <c r="CT58" s="327"/>
      <c r="CU58" s="327"/>
      <c r="CV58" s="327"/>
      <c r="CW58" s="327"/>
      <c r="CX58" s="327"/>
      <c r="CY58" s="327"/>
      <c r="CZ58" s="327"/>
      <c r="DA58" s="327"/>
      <c r="DB58" s="327"/>
      <c r="DC58" s="327"/>
      <c r="DD58" s="327"/>
      <c r="DE58" s="327"/>
      <c r="DF58" s="327"/>
      <c r="DG58" s="327"/>
      <c r="DH58" s="327"/>
      <c r="DI58" s="327"/>
      <c r="DJ58" s="327"/>
      <c r="DK58" s="327"/>
      <c r="DL58" s="327"/>
      <c r="DM58" s="327"/>
      <c r="DN58" s="327"/>
      <c r="DO58" s="327"/>
      <c r="DP58" s="327"/>
      <c r="DQ58" s="327"/>
      <c r="DR58" s="327"/>
      <c r="DS58" s="327"/>
      <c r="DT58" s="327"/>
      <c r="DU58" s="327"/>
      <c r="DV58" s="327"/>
      <c r="DW58" s="327"/>
      <c r="DX58" s="327"/>
      <c r="DY58" s="327"/>
      <c r="DZ58" s="327"/>
      <c r="EA58" s="327"/>
      <c r="EB58" s="327"/>
      <c r="EC58" s="327"/>
      <c r="ED58" s="327"/>
      <c r="EE58" s="327"/>
      <c r="EF58" s="327"/>
      <c r="EG58" s="327"/>
      <c r="EH58" s="327"/>
      <c r="EI58" s="327"/>
      <c r="EJ58" s="327"/>
      <c r="EK58" s="327"/>
      <c r="EL58" s="327"/>
      <c r="EM58" s="327"/>
      <c r="EN58" s="327"/>
      <c r="EO58" s="327"/>
      <c r="EP58" s="327"/>
      <c r="EQ58" s="327"/>
      <c r="ER58" s="327"/>
      <c r="ES58" s="327"/>
      <c r="ET58" s="327"/>
      <c r="EU58" s="327"/>
      <c r="EV58" s="327"/>
      <c r="EW58" s="327"/>
      <c r="EX58" s="327"/>
      <c r="EY58" s="327"/>
      <c r="EZ58" s="327"/>
      <c r="FA58" s="327"/>
      <c r="FB58" s="327"/>
      <c r="FC58" s="327"/>
      <c r="FD58" s="327"/>
      <c r="FE58" s="327"/>
      <c r="FF58" s="327"/>
      <c r="FG58" s="327"/>
      <c r="FH58" s="327"/>
      <c r="FI58" s="327"/>
      <c r="FJ58" s="327"/>
      <c r="FK58" s="327"/>
      <c r="FL58" s="327"/>
      <c r="FM58" s="327"/>
      <c r="FN58" s="327"/>
      <c r="FO58" s="327"/>
      <c r="FP58" s="327"/>
      <c r="FQ58" s="327"/>
      <c r="FR58" s="327"/>
      <c r="FS58" s="327"/>
      <c r="FT58" s="327"/>
      <c r="FU58" s="327"/>
      <c r="FV58" s="327"/>
      <c r="FW58" s="327"/>
      <c r="FX58" s="327"/>
      <c r="FY58" s="327"/>
      <c r="FZ58" s="327"/>
      <c r="GA58" s="327"/>
      <c r="GB58" s="327"/>
      <c r="GC58" s="327"/>
      <c r="GD58" s="327"/>
      <c r="GE58" s="327"/>
      <c r="GF58" s="327"/>
      <c r="GG58" s="327"/>
      <c r="GH58" s="327"/>
      <c r="GI58" s="327"/>
      <c r="GJ58" s="327"/>
      <c r="GK58" s="327"/>
      <c r="GL58" s="327"/>
      <c r="GM58" s="327"/>
      <c r="GN58" s="327"/>
      <c r="GO58" s="327"/>
      <c r="GP58" s="327"/>
      <c r="GQ58" s="327"/>
      <c r="GR58" s="327"/>
      <c r="GS58" s="327"/>
      <c r="GT58" s="327"/>
      <c r="GU58" s="327"/>
      <c r="GV58" s="327"/>
      <c r="GW58" s="327"/>
      <c r="GX58" s="327"/>
      <c r="GY58" s="327"/>
      <c r="GZ58" s="327"/>
      <c r="HA58" s="327"/>
      <c r="HB58" s="327"/>
      <c r="HC58" s="327"/>
      <c r="HD58" s="327"/>
      <c r="HE58" s="327"/>
      <c r="HF58" s="327"/>
      <c r="HG58" s="327"/>
      <c r="HH58" s="327"/>
      <c r="HI58" s="327"/>
      <c r="HJ58" s="327"/>
      <c r="HK58" s="327"/>
      <c r="HL58" s="327"/>
      <c r="HM58" s="327"/>
      <c r="HN58" s="327"/>
      <c r="HO58" s="327"/>
      <c r="HP58" s="327"/>
      <c r="HQ58" s="327"/>
      <c r="HR58" s="327"/>
      <c r="HS58" s="327"/>
    </row>
    <row r="59" spans="1:227" ht="15" customHeight="1">
      <c r="A59" s="434">
        <v>4</v>
      </c>
      <c r="B59" s="435" t="str">
        <f>VLOOKUP(Ruimtestaat[[#This Row],[Code]],Locaties[[Code]:[Locatie]],2,FALSE)</f>
        <v>IKC De Waterlelie</v>
      </c>
      <c r="C59" s="435" t="str">
        <f>VLOOKUP(Ruimtestaat[[#This Row],[Code]],Locaties[[#All],[Code]:[Adres]],4,FALSE)</f>
        <v>Goudenregenzoom 73</v>
      </c>
      <c r="D59" s="435" t="str">
        <f>VLOOKUP(Ruimtestaat[[#This Row],[Code]],Locaties[[#All],[Code]:[Postcode]],5,FALSE)</f>
        <v>2719 HE</v>
      </c>
      <c r="E59" s="435" t="str">
        <f>VLOOKUP(Ruimtestaat[[#This Row],[Code]],Locaties[#All],6,FALSE)</f>
        <v>Zoetermeer</v>
      </c>
      <c r="F59" s="434"/>
      <c r="G59" s="434" t="s">
        <v>1678</v>
      </c>
      <c r="H59" s="436" t="s">
        <v>1715</v>
      </c>
      <c r="I59" s="437" t="s">
        <v>1716</v>
      </c>
      <c r="J59" s="330">
        <v>16</v>
      </c>
      <c r="K59" s="450" t="str">
        <f>VLOOKUP(Ruimtestaat[[#This Row],[Ruimte code]],Ruimtegroepen[[#All],[Code]:[Ruimte omschrijving]],2,FALSE)</f>
        <v>Leslokalen</v>
      </c>
      <c r="L59" s="434" t="s">
        <v>100</v>
      </c>
      <c r="M59" s="437" t="s">
        <v>1759</v>
      </c>
      <c r="N59" s="439">
        <v>60</v>
      </c>
      <c r="O59" s="439"/>
      <c r="P59" s="439"/>
      <c r="Q59" s="439"/>
      <c r="R59" s="440" t="str">
        <f>VLOOKUP(Ruimtestaat[[#This Row],[Ruimte code]],Ruimtegroepen[],4,FALSE)</f>
        <v>Le</v>
      </c>
      <c r="S59" s="434">
        <v>40</v>
      </c>
      <c r="T59" s="434" t="s">
        <v>2</v>
      </c>
      <c r="U59" s="434">
        <f>IF(S59&gt;0,IF(RIGHT(Ruimtestaat[[#This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 s="434">
        <f>IF(U59&gt;0,VLOOKUP($J59,Ruimtegroepen[],3,FALSE)*VLOOKUP($L59,Vloersoorten[],3,FALSE)*VLOOKUP($T59,Frequenties[],3,FALSE)*VLOOKUP($A59,Locaties[],3,FALSE),0)</f>
        <v>0</v>
      </c>
      <c r="W59" s="434">
        <f>Ruimtestaat[[#This Row],[Uitvoeringen werkdagen]]*Ruimtestaat[[#This Row],[Oppervlak (netto)]]</f>
        <v>12000</v>
      </c>
      <c r="X59" s="441">
        <f>IF(V59&gt;0,Ruimtestaat[[#This Row],[Prest. (m2 /jaar) werkdagen]]/Ruimtestaat[[#This Row],[Norm (m2/uur) werkdagen]],0)</f>
        <v>0</v>
      </c>
      <c r="Y59" s="442">
        <f>Ruimtestaat[[#This Row],[Uitvoeringen werkdagen]]*Ruimtestaat[[#This Row],[Gedeeltelijk]]</f>
        <v>0</v>
      </c>
      <c r="Z59" s="443" t="e">
        <f>IF(U59&gt;0,Ruimtestaat[[#This Row],[Prest. (m2 / jaar) werkdagen gedeeld]]/Ruimtestaat[[#This Row],[Norm (m2/uur) werkdagen]],0)</f>
        <v>#DIV/0!</v>
      </c>
      <c r="AA59" s="441" t="e">
        <f>Ruimtestaat[[#This Row],[uren / jaar werkdagen gedeeld]]*Tariefsopbouw!$E$35</f>
        <v>#DIV/0!</v>
      </c>
      <c r="AB59" s="441">
        <f>Ruimtestaat[[#This Row],[Uitvoeringen werkdagen]]*Ruimtestaat[[#This Row],[BSO]]</f>
        <v>0</v>
      </c>
      <c r="AC59" s="443" t="e">
        <f>IF(U59&gt;0,Ruimtestaat[[#This Row],[Prest. (m2 / jaar) werkdagen BSO]]/Ruimtestaat[[#This Row],[Norm (m2/uur) werkdagen]],0)</f>
        <v>#DIV/0!</v>
      </c>
      <c r="AD59" s="443" t="e">
        <f>Ruimtestaat[[#This Row],[uren / jaar werkdagen BSO]]*Tariefsopbouw!$E$35</f>
        <v>#DIV/0!</v>
      </c>
      <c r="AE59" s="444">
        <f>Ruimtestaat[[#This Row],[uren / jaar werkdagen]]*Tariefsopbouw!$E$35</f>
        <v>0</v>
      </c>
      <c r="AF59" s="434"/>
      <c r="AG59" s="434">
        <f>IF(Ruimtestaat[[#This Row],[Frequentie weekend]]&gt;0,VALUE(LEFT(AF59,1))*S59,0)</f>
        <v>0</v>
      </c>
      <c r="AH59" s="445">
        <f>IF($AG59&gt;0,VLOOKUP($J59,Ruimtegroepen[],3,FALSE)*VLOOKUP($L59,Vloersoorten[],3,FALSE)*VLOOKUP($AF59,Frequenties[],3,FALSE)*VLOOKUP(Ruimtestaat[[#This Row],[Code]],Locaties[],3,FALSE),0)</f>
        <v>0</v>
      </c>
      <c r="AI59" s="445">
        <f>Ruimtestaat[[#This Row],[Uitvoeringen weekend]]*Ruimtestaat[[#This Row],[Oppervlak (netto)]]</f>
        <v>0</v>
      </c>
      <c r="AJ59" s="445">
        <f>IF(AH59&gt;0,Ruimtestaat[[#This Row],[Prest. (m2 /jaar) weekend]]/Ruimtestaat[[#This Row],[Norm (m2/uur) weekend]],0)</f>
        <v>0</v>
      </c>
      <c r="AK59" s="444">
        <f>Ruimtestaat[[#This Row],[uren / jaar weekend]]*Tariefsopbouw!$D$40</f>
        <v>0</v>
      </c>
      <c r="AL59" s="441">
        <f>Ruimtestaat[[#This Row],[Prest. (m2 /jaar) weekend]]+Ruimtestaat[[#This Row],[Prest. (m2 /jaar) werkdagen]]</f>
        <v>12000</v>
      </c>
      <c r="AM59" s="441">
        <f>Ruimtestaat[[#This Row],[uren / jaar weekend]]+Ruimtestaat[[#This Row],[uren / jaar werkdagen]]</f>
        <v>0</v>
      </c>
      <c r="AN59" s="446">
        <f>Ruimtestaat[[#This Row],[kosten / jaar weekend]]+Ruimtestaat[[#This Row],[kosten / jaar werkdagen]]</f>
        <v>0</v>
      </c>
      <c r="AO59" s="446"/>
      <c r="AP59" s="447" t="str">
        <f>IF(Ruimtestaat[[#This Row],[Frequentie werkdagen]]="","",_xlfn.CONCAT(Ruimtestaat[[#This Row],[Ruimte code]],"-",Ruimtestaat[[#This Row],[Frequentie werkdagen]]," ",Ruimtestaat[[#This Row],[Vloer code]]))</f>
        <v>16-5w L</v>
      </c>
      <c r="AQ59" s="448" t="str">
        <f>_xlfn.IFNA(VLOOKUP($AP59,Programma!$F$3:$G$1101,2,0),"")</f>
        <v>_</v>
      </c>
      <c r="AR59" s="448" t="str">
        <f>_xlfn.IFNA(VLOOKUP($AP59,Programma!$F$3:$H$1101,3,0),"")</f>
        <v>_</v>
      </c>
      <c r="AS59" s="448" t="str">
        <f>_xlfn.IFNA(VLOOKUP($AP59,Programma!$F$3:$I$1101,4,0),"")</f>
        <v>4w</v>
      </c>
      <c r="AT59" s="448" t="str">
        <f>_xlfn.IFNA(VLOOKUP($AP59,Programma!$F$3:$J$1101,5,0),"")</f>
        <v>1w</v>
      </c>
      <c r="AU59" s="448" t="str">
        <f>_xlfn.IFNA(VLOOKUP($AP59,Programma!$F$3:$K$1101,6,0),"")</f>
        <v>_</v>
      </c>
      <c r="AV59" s="448" t="str">
        <f>_xlfn.IFNA(VLOOKUP($AP59,Programma!$F$3:$L$1101,7,0),"")</f>
        <v>_</v>
      </c>
      <c r="AW59" s="448" t="str">
        <f>_xlfn.IFNA(VLOOKUP($AP59,Programma!$F$3:$M$1101,8,0),"")</f>
        <v>_</v>
      </c>
      <c r="AX59" s="448" t="str">
        <f>_xlfn.IFNA(VLOOKUP($AP59,Programma!$F$3:$N$1101,9,0),"")</f>
        <v>_</v>
      </c>
      <c r="AY59" s="448" t="str">
        <f>_xlfn.IFNA(VLOOKUP($AP59,Programma!$F$3:$O$1101,10,0),"")</f>
        <v>5w</v>
      </c>
      <c r="AZ59" s="448" t="str">
        <f>_xlfn.IFNA(VLOOKUP($AP59,Programma!$F$3:$P$1101,11,0),"")</f>
        <v>5w</v>
      </c>
      <c r="BA59" s="448" t="str">
        <f>_xlfn.IFNA(VLOOKUP($AP59,Programma!$F$3:$Q$1101,12,0),"")</f>
        <v>1w</v>
      </c>
      <c r="BB59" s="448" t="str">
        <f>_xlfn.IFNA(VLOOKUP($AP59,Programma!$F$3:$R$1101,13,0),"")</f>
        <v>1w</v>
      </c>
      <c r="BC59" s="448" t="str">
        <f>_xlfn.IFNA(VLOOKUP($AP59,Programma!$F$3:$S$1101,14,0),"")</f>
        <v>1m</v>
      </c>
      <c r="BD59" s="448" t="str">
        <f>_xlfn.IFNA(VLOOKUP($AP59,Programma!$F$3:$T$1101,15,0),"")</f>
        <v>2j</v>
      </c>
      <c r="BE59" s="448" t="str">
        <f>_xlfn.IFNA(VLOOKUP($AP59,Programma!$F$3:$U$1101,16,0),"")</f>
        <v>1j</v>
      </c>
      <c r="BF59" s="448" t="str">
        <f>_xlfn.IFNA(VLOOKUP($AP59,Programma!$F$3:$V$1101,17,0),"")</f>
        <v>_</v>
      </c>
      <c r="BG59" s="448" t="str">
        <f>_xlfn.IFNA(VLOOKUP($AP59,Programma!$F$3:$W$1101,18,0),"")</f>
        <v>_</v>
      </c>
      <c r="BH59" s="448" t="str">
        <f>_xlfn.IFNA(VLOOKUP($AP59,Programma!$F$3:$X$1101,19,0),"")</f>
        <v>_</v>
      </c>
      <c r="BI59" s="448" t="str">
        <f>_xlfn.IFNA(VLOOKUP($AP59,Programma!$F$3:$Y$1101,20,0),"")</f>
        <v>_</v>
      </c>
      <c r="BJ59" s="449"/>
      <c r="BK59" s="447" t="str">
        <f>IF(Ruimtestaat[[#This Row],[Frequentie weekend]]="","",_xlfn.CONCAT(Ruimtestaat[[#This Row],[Ruimte code]],"-",Ruimtestaat[[#This Row],[Frequentie weekend]]," ",Ruimtestaat[[#This Row],[Vloer code]]))</f>
        <v/>
      </c>
      <c r="BL59" s="448" t="str">
        <f>_xlfn.IFNA(VLOOKUP($BK59,Programma!$F$3:$G$1101,2,0),"")</f>
        <v/>
      </c>
      <c r="BM59" s="448" t="str">
        <f>_xlfn.IFNA(VLOOKUP($BK59,Programma!$F$3:$H$1101,3,0),"")</f>
        <v/>
      </c>
      <c r="BN59" s="448" t="str">
        <f>_xlfn.IFNA(VLOOKUP($BK59,Programma!$F$3:$I$1101,4,0),"")</f>
        <v/>
      </c>
      <c r="BO59" s="448" t="str">
        <f>_xlfn.IFNA(VLOOKUP($BK59,Programma!$F$3:$J$1101,5,0),"")</f>
        <v/>
      </c>
      <c r="BP59" s="448" t="str">
        <f>_xlfn.IFNA(VLOOKUP($BK59,Programma!$F$3:$K$1101,6,0),"")</f>
        <v/>
      </c>
      <c r="BQ59" s="448" t="str">
        <f>_xlfn.IFNA(VLOOKUP($BK59,Programma!$F$3:$L$1101,7,0),"")</f>
        <v/>
      </c>
      <c r="BR59" s="448" t="str">
        <f>_xlfn.IFNA(VLOOKUP($BK59,Programma!$F$3:$M$1101,8,0),"")</f>
        <v/>
      </c>
      <c r="BS59" s="448" t="str">
        <f>_xlfn.IFNA(VLOOKUP($BK59,Programma!$F$3:$N$1101,9,0),"")</f>
        <v/>
      </c>
      <c r="BT59" s="448" t="str">
        <f>_xlfn.IFNA(VLOOKUP($BK59,Programma!$F$3:$O$1101,10,0),"")</f>
        <v/>
      </c>
      <c r="BU59" s="448" t="str">
        <f>_xlfn.IFNA(VLOOKUP($BK59,Programma!$F$3:$P$1101,11,0),"")</f>
        <v/>
      </c>
      <c r="BV59" s="448" t="str">
        <f>_xlfn.IFNA(VLOOKUP($BK59,Programma!$F$3:$Q$1101,12,0),"")</f>
        <v/>
      </c>
      <c r="BW59" s="448" t="str">
        <f>_xlfn.IFNA(VLOOKUP($BK59,Programma!$F$3:$R$1101,13,0),"")</f>
        <v/>
      </c>
      <c r="BX59" s="448" t="str">
        <f>_xlfn.IFNA(VLOOKUP($BK59,Programma!$F$3:$S$1101,14,0),"")</f>
        <v/>
      </c>
      <c r="BY59" s="448" t="str">
        <f>_xlfn.IFNA(VLOOKUP($BK59,Programma!$F$3:$T$1101,15,0),"")</f>
        <v/>
      </c>
      <c r="BZ59" s="448" t="str">
        <f>_xlfn.IFNA(VLOOKUP($BK59,Programma!$F$3:$U$1101,16,0),"")</f>
        <v/>
      </c>
      <c r="CA59" s="448" t="str">
        <f>_xlfn.IFNA(VLOOKUP($BK59,Programma!$F$3:$V$1101,17,0),"")</f>
        <v/>
      </c>
      <c r="CB59" s="448" t="str">
        <f>_xlfn.IFNA(VLOOKUP($BK59,Programma!$F$3:$W$1101,18,0),"")</f>
        <v/>
      </c>
      <c r="CC59" s="448" t="str">
        <f>_xlfn.IFNA(VLOOKUP($BK59,Programma!$F$3:$X$1101,19,0),"")</f>
        <v/>
      </c>
      <c r="CD59" s="448" t="str">
        <f>_xlfn.IFNA(VLOOKUP($BK59,Programma!$F$3:$Y$1101,20,0),"")</f>
        <v/>
      </c>
      <c r="CE59" s="327"/>
      <c r="CF59" s="327"/>
      <c r="CG59" s="327"/>
      <c r="CH59" s="327"/>
      <c r="CI59" s="327"/>
      <c r="CJ59" s="327"/>
      <c r="CK59" s="327"/>
      <c r="CL59" s="327"/>
      <c r="CM59" s="327"/>
      <c r="CN59" s="327"/>
      <c r="CO59" s="327"/>
      <c r="CP59" s="327"/>
      <c r="CQ59" s="327"/>
      <c r="CR59" s="327"/>
      <c r="CS59" s="327"/>
      <c r="CT59" s="327"/>
      <c r="CU59" s="327"/>
      <c r="CV59" s="327"/>
      <c r="CW59" s="327"/>
      <c r="CX59" s="327"/>
      <c r="CY59" s="327"/>
      <c r="CZ59" s="327"/>
      <c r="DA59" s="327"/>
      <c r="DB59" s="327"/>
      <c r="DC59" s="327"/>
      <c r="DD59" s="327"/>
      <c r="DE59" s="327"/>
      <c r="DF59" s="327"/>
      <c r="DG59" s="327"/>
      <c r="DH59" s="327"/>
      <c r="DI59" s="327"/>
      <c r="DJ59" s="327"/>
      <c r="DK59" s="327"/>
      <c r="DL59" s="327"/>
      <c r="DM59" s="327"/>
      <c r="DN59" s="327"/>
      <c r="DO59" s="327"/>
      <c r="DP59" s="327"/>
      <c r="DQ59" s="327"/>
      <c r="DR59" s="327"/>
      <c r="DS59" s="327"/>
      <c r="DT59" s="327"/>
      <c r="DU59" s="327"/>
      <c r="DV59" s="327"/>
      <c r="DW59" s="327"/>
      <c r="DX59" s="327"/>
      <c r="DY59" s="327"/>
      <c r="DZ59" s="327"/>
      <c r="EA59" s="327"/>
      <c r="EB59" s="327"/>
      <c r="EC59" s="327"/>
      <c r="ED59" s="327"/>
      <c r="EE59" s="327"/>
      <c r="EF59" s="327"/>
      <c r="EG59" s="327"/>
      <c r="EH59" s="327"/>
      <c r="EI59" s="327"/>
      <c r="EJ59" s="327"/>
      <c r="EK59" s="327"/>
      <c r="EL59" s="327"/>
      <c r="EM59" s="327"/>
      <c r="EN59" s="327"/>
      <c r="EO59" s="327"/>
      <c r="EP59" s="327"/>
      <c r="EQ59" s="327"/>
      <c r="ER59" s="327"/>
      <c r="ES59" s="327"/>
      <c r="ET59" s="327"/>
      <c r="EU59" s="327"/>
      <c r="EV59" s="327"/>
      <c r="EW59" s="327"/>
      <c r="EX59" s="327"/>
      <c r="EY59" s="327"/>
      <c r="EZ59" s="327"/>
      <c r="FA59" s="327"/>
      <c r="FB59" s="327"/>
      <c r="FC59" s="327"/>
      <c r="FD59" s="327"/>
      <c r="FE59" s="327"/>
      <c r="FF59" s="327"/>
      <c r="FG59" s="327"/>
      <c r="FH59" s="327"/>
      <c r="FI59" s="327"/>
      <c r="FJ59" s="327"/>
      <c r="FK59" s="327"/>
      <c r="FL59" s="327"/>
      <c r="FM59" s="327"/>
      <c r="FN59" s="327"/>
      <c r="FO59" s="327"/>
      <c r="FP59" s="327"/>
      <c r="FQ59" s="327"/>
      <c r="FR59" s="327"/>
      <c r="FS59" s="327"/>
      <c r="FT59" s="327"/>
      <c r="FU59" s="327"/>
      <c r="FV59" s="327"/>
      <c r="FW59" s="327"/>
      <c r="FX59" s="327"/>
      <c r="FY59" s="327"/>
      <c r="FZ59" s="327"/>
      <c r="GA59" s="327"/>
      <c r="GB59" s="327"/>
      <c r="GC59" s="327"/>
      <c r="GD59" s="327"/>
      <c r="GE59" s="327"/>
      <c r="GF59" s="327"/>
      <c r="GG59" s="327"/>
      <c r="GH59" s="327"/>
      <c r="GI59" s="327"/>
      <c r="GJ59" s="327"/>
      <c r="GK59" s="327"/>
      <c r="GL59" s="327"/>
      <c r="GM59" s="327"/>
      <c r="GN59" s="327"/>
      <c r="GO59" s="327"/>
      <c r="GP59" s="327"/>
      <c r="GQ59" s="327"/>
      <c r="GR59" s="327"/>
      <c r="GS59" s="327"/>
      <c r="GT59" s="327"/>
      <c r="GU59" s="327"/>
      <c r="GV59" s="327"/>
      <c r="GW59" s="327"/>
      <c r="GX59" s="327"/>
      <c r="GY59" s="327"/>
      <c r="GZ59" s="327"/>
      <c r="HA59" s="327"/>
      <c r="HB59" s="327"/>
      <c r="HC59" s="327"/>
      <c r="HD59" s="327"/>
      <c r="HE59" s="327"/>
      <c r="HF59" s="327"/>
      <c r="HG59" s="327"/>
      <c r="HH59" s="327"/>
      <c r="HI59" s="327"/>
      <c r="HJ59" s="327"/>
      <c r="HK59" s="327"/>
      <c r="HL59" s="327"/>
      <c r="HM59" s="327"/>
      <c r="HN59" s="327"/>
      <c r="HO59" s="327"/>
      <c r="HP59" s="327"/>
      <c r="HQ59" s="327"/>
      <c r="HR59" s="327"/>
      <c r="HS59" s="327"/>
    </row>
    <row r="60" spans="1:227" ht="15" customHeight="1">
      <c r="A60" s="434">
        <v>4</v>
      </c>
      <c r="B60" s="435" t="str">
        <f>VLOOKUP(Ruimtestaat[[#This Row],[Code]],Locaties[[Code]:[Locatie]],2,FALSE)</f>
        <v>IKC De Waterlelie</v>
      </c>
      <c r="C60" s="435" t="str">
        <f>VLOOKUP(Ruimtestaat[[#This Row],[Code]],Locaties[[#All],[Code]:[Adres]],4,FALSE)</f>
        <v>Goudenregenzoom 73</v>
      </c>
      <c r="D60" s="435" t="str">
        <f>VLOOKUP(Ruimtestaat[[#This Row],[Code]],Locaties[[#All],[Code]:[Postcode]],5,FALSE)</f>
        <v>2719 HE</v>
      </c>
      <c r="E60" s="435" t="str">
        <f>VLOOKUP(Ruimtestaat[[#This Row],[Code]],Locaties[#All],6,FALSE)</f>
        <v>Zoetermeer</v>
      </c>
      <c r="F60" s="450" t="s">
        <v>1705</v>
      </c>
      <c r="G60" s="434" t="s">
        <v>1678</v>
      </c>
      <c r="H60" s="436" t="s">
        <v>1717</v>
      </c>
      <c r="I60" s="437" t="s">
        <v>1718</v>
      </c>
      <c r="J60" s="330">
        <v>5</v>
      </c>
      <c r="K60" s="450" t="str">
        <f>VLOOKUP(Ruimtestaat[[#This Row],[Ruimte code]],Ruimtegroepen[[#All],[Code]:[Ruimte omschrijving]],2,FALSE)</f>
        <v>Sanitair</v>
      </c>
      <c r="L60" s="434" t="s">
        <v>100</v>
      </c>
      <c r="M60" s="437" t="s">
        <v>1759</v>
      </c>
      <c r="N60" s="439"/>
      <c r="O60" s="439"/>
      <c r="P60" s="439"/>
      <c r="Q60" s="439">
        <v>4.4000000000000004</v>
      </c>
      <c r="R60" s="440" t="str">
        <f>VLOOKUP(Ruimtestaat[[#This Row],[Ruimte code]],Ruimtegroepen[],4,FALSE)</f>
        <v>Sa</v>
      </c>
      <c r="S60" s="434">
        <v>51</v>
      </c>
      <c r="T60" s="434" t="s">
        <v>2</v>
      </c>
      <c r="U60" s="434">
        <f>IF(S60&gt;0,IF(RIGHT(Ruimtestaat[[#This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60" s="434">
        <f>IF(U60&gt;0,VLOOKUP($J60,Ruimtegroepen[],3,FALSE)*VLOOKUP($L60,Vloersoorten[],3,FALSE)*VLOOKUP($T60,Frequenties[],3,FALSE)*VLOOKUP($A60,Locaties[],3,FALSE),0)</f>
        <v>0</v>
      </c>
      <c r="W60" s="434">
        <f>Ruimtestaat[[#This Row],[Uitvoeringen werkdagen]]*Ruimtestaat[[#This Row],[Oppervlak (netto)]]</f>
        <v>0</v>
      </c>
      <c r="X60" s="441">
        <f>IF(V60&gt;0,Ruimtestaat[[#This Row],[Prest. (m2 /jaar) werkdagen]]/Ruimtestaat[[#This Row],[Norm (m2/uur) werkdagen]],0)</f>
        <v>0</v>
      </c>
      <c r="Y60" s="442">
        <f>Ruimtestaat[[#This Row],[Uitvoeringen werkdagen]]*Ruimtestaat[[#This Row],[Gedeeltelijk]]</f>
        <v>0</v>
      </c>
      <c r="Z60" s="443" t="e">
        <f>IF(U60&gt;0,Ruimtestaat[[#This Row],[Prest. (m2 / jaar) werkdagen gedeeld]]/Ruimtestaat[[#This Row],[Norm (m2/uur) werkdagen]],0)</f>
        <v>#DIV/0!</v>
      </c>
      <c r="AA60" s="441" t="e">
        <f>Ruimtestaat[[#This Row],[uren / jaar werkdagen gedeeld]]*Tariefsopbouw!$E$35</f>
        <v>#DIV/0!</v>
      </c>
      <c r="AB60" s="441">
        <f>Ruimtestaat[[#This Row],[Uitvoeringen werkdagen]]*Ruimtestaat[[#This Row],[BSO]]</f>
        <v>1122</v>
      </c>
      <c r="AC60" s="443" t="e">
        <f>IF(U60&gt;0,Ruimtestaat[[#This Row],[Prest. (m2 / jaar) werkdagen BSO]]/Ruimtestaat[[#This Row],[Norm (m2/uur) werkdagen]],0)</f>
        <v>#DIV/0!</v>
      </c>
      <c r="AD60" s="443" t="e">
        <f>Ruimtestaat[[#This Row],[uren / jaar werkdagen BSO]]*Tariefsopbouw!$E$35</f>
        <v>#DIV/0!</v>
      </c>
      <c r="AE60" s="444">
        <f>Ruimtestaat[[#This Row],[uren / jaar werkdagen]]*Tariefsopbouw!$E$35</f>
        <v>0</v>
      </c>
      <c r="AF60" s="434"/>
      <c r="AG60" s="434">
        <f>IF(Ruimtestaat[[#This Row],[Frequentie weekend]]&gt;0,VALUE(LEFT(AF60,1))*S60,0)</f>
        <v>0</v>
      </c>
      <c r="AH60" s="445">
        <f>IF($AG60&gt;0,VLOOKUP($J60,Ruimtegroepen[],3,FALSE)*VLOOKUP($L60,Vloersoorten[],3,FALSE)*VLOOKUP($AF60,Frequenties[],3,FALSE)*VLOOKUP(Ruimtestaat[[#This Row],[Code]],Locaties[],3,FALSE),0)</f>
        <v>0</v>
      </c>
      <c r="AI60" s="445">
        <f>Ruimtestaat[[#This Row],[Uitvoeringen weekend]]*Ruimtestaat[[#This Row],[Oppervlak (netto)]]</f>
        <v>0</v>
      </c>
      <c r="AJ60" s="445">
        <f>IF(AH60&gt;0,Ruimtestaat[[#This Row],[Prest. (m2 /jaar) weekend]]/Ruimtestaat[[#This Row],[Norm (m2/uur) weekend]],0)</f>
        <v>0</v>
      </c>
      <c r="AK60" s="444">
        <f>Ruimtestaat[[#This Row],[uren / jaar weekend]]*Tariefsopbouw!$D$40</f>
        <v>0</v>
      </c>
      <c r="AL60" s="441">
        <f>Ruimtestaat[[#This Row],[Prest. (m2 /jaar) weekend]]+Ruimtestaat[[#This Row],[Prest. (m2 /jaar) werkdagen]]</f>
        <v>0</v>
      </c>
      <c r="AM60" s="441">
        <f>Ruimtestaat[[#This Row],[uren / jaar weekend]]+Ruimtestaat[[#This Row],[uren / jaar werkdagen]]</f>
        <v>0</v>
      </c>
      <c r="AN60" s="446">
        <f>Ruimtestaat[[#This Row],[kosten / jaar weekend]]+Ruimtestaat[[#This Row],[kosten / jaar werkdagen]]</f>
        <v>0</v>
      </c>
      <c r="AO60" s="446"/>
      <c r="AP60" s="447" t="str">
        <f>IF(Ruimtestaat[[#This Row],[Frequentie werkdagen]]="","",_xlfn.CONCAT(Ruimtestaat[[#This Row],[Ruimte code]],"-",Ruimtestaat[[#This Row],[Frequentie werkdagen]]," ",Ruimtestaat[[#This Row],[Vloer code]]))</f>
        <v>5-5w L</v>
      </c>
      <c r="AQ60" s="448" t="str">
        <f>_xlfn.IFNA(VLOOKUP($AP60,Programma!$F$3:$G$1101,2,0),"")</f>
        <v>_</v>
      </c>
      <c r="AR60" s="448" t="str">
        <f>_xlfn.IFNA(VLOOKUP($AP60,Programma!$F$3:$H$1101,3,0),"")</f>
        <v>_</v>
      </c>
      <c r="AS60" s="448" t="str">
        <f>_xlfn.IFNA(VLOOKUP($AP60,Programma!$F$3:$I$1101,4,0),"")</f>
        <v>_</v>
      </c>
      <c r="AT60" s="448" t="str">
        <f>_xlfn.IFNA(VLOOKUP($AP60,Programma!$F$3:$J$1101,5,0),"")</f>
        <v>4w</v>
      </c>
      <c r="AU60" s="448" t="str">
        <f>_xlfn.IFNA(VLOOKUP($AP60,Programma!$F$3:$K$1101,6,0),"")</f>
        <v>1w</v>
      </c>
      <c r="AV60" s="448" t="str">
        <f>_xlfn.IFNA(VLOOKUP($AP60,Programma!$F$3:$L$1101,7,0),"")</f>
        <v>_</v>
      </c>
      <c r="AW60" s="448" t="str">
        <f>_xlfn.IFNA(VLOOKUP($AP60,Programma!$F$3:$M$1101,8,0),"")</f>
        <v>_</v>
      </c>
      <c r="AX60" s="448" t="str">
        <f>_xlfn.IFNA(VLOOKUP($AP60,Programma!$F$3:$N$1101,9,0),"")</f>
        <v>_</v>
      </c>
      <c r="AY60" s="448" t="str">
        <f>_xlfn.IFNA(VLOOKUP($AP60,Programma!$F$3:$O$1101,10,0),"")</f>
        <v>_</v>
      </c>
      <c r="AZ60" s="448" t="str">
        <f>_xlfn.IFNA(VLOOKUP($AP60,Programma!$F$3:$P$1101,11,0),"")</f>
        <v>_</v>
      </c>
      <c r="BA60" s="448" t="str">
        <f>_xlfn.IFNA(VLOOKUP($AP60,Programma!$F$3:$Q$1101,12,0),"")</f>
        <v>_</v>
      </c>
      <c r="BB60" s="448" t="str">
        <f>_xlfn.IFNA(VLOOKUP($AP60,Programma!$F$3:$R$1101,13,0),"")</f>
        <v>_</v>
      </c>
      <c r="BC60" s="448" t="str">
        <f>_xlfn.IFNA(VLOOKUP($AP60,Programma!$F$3:$S$1101,14,0),"")</f>
        <v>_</v>
      </c>
      <c r="BD60" s="448" t="str">
        <f>_xlfn.IFNA(VLOOKUP($AP60,Programma!$F$3:$T$1101,15,0),"")</f>
        <v>_</v>
      </c>
      <c r="BE60" s="448" t="str">
        <f>_xlfn.IFNA(VLOOKUP($AP60,Programma!$F$3:$U$1101,16,0),"")</f>
        <v>_</v>
      </c>
      <c r="BF60" s="448" t="str">
        <f>_xlfn.IFNA(VLOOKUP($AP60,Programma!$F$3:$V$1101,17,0),"")</f>
        <v>_</v>
      </c>
      <c r="BG60" s="448" t="str">
        <f>_xlfn.IFNA(VLOOKUP($AP60,Programma!$F$3:$W$1101,18,0),"")</f>
        <v>4w</v>
      </c>
      <c r="BH60" s="448" t="str">
        <f>_xlfn.IFNA(VLOOKUP($AP60,Programma!$F$3:$X$1101,19,0),"")</f>
        <v>1w</v>
      </c>
      <c r="BI60" s="448" t="str">
        <f>_xlfn.IFNA(VLOOKUP($AP60,Programma!$F$3:$Y$1101,20,0),"")</f>
        <v>_</v>
      </c>
      <c r="BJ60" s="449"/>
      <c r="BK60" s="447" t="str">
        <f>IF(Ruimtestaat[[#This Row],[Frequentie weekend]]="","",_xlfn.CONCAT(Ruimtestaat[[#This Row],[Ruimte code]],"-",Ruimtestaat[[#This Row],[Frequentie weekend]]," ",Ruimtestaat[[#This Row],[Vloer code]]))</f>
        <v/>
      </c>
      <c r="BL60" s="448" t="str">
        <f>_xlfn.IFNA(VLOOKUP($BK60,Programma!$F$3:$G$1101,2,0),"")</f>
        <v/>
      </c>
      <c r="BM60" s="448" t="str">
        <f>_xlfn.IFNA(VLOOKUP($BK60,Programma!$F$3:$H$1101,3,0),"")</f>
        <v/>
      </c>
      <c r="BN60" s="448" t="str">
        <f>_xlfn.IFNA(VLOOKUP($BK60,Programma!$F$3:$I$1101,4,0),"")</f>
        <v/>
      </c>
      <c r="BO60" s="448" t="str">
        <f>_xlfn.IFNA(VLOOKUP($BK60,Programma!$F$3:$J$1101,5,0),"")</f>
        <v/>
      </c>
      <c r="BP60" s="448" t="str">
        <f>_xlfn.IFNA(VLOOKUP($BK60,Programma!$F$3:$K$1101,6,0),"")</f>
        <v/>
      </c>
      <c r="BQ60" s="448" t="str">
        <f>_xlfn.IFNA(VLOOKUP($BK60,Programma!$F$3:$L$1101,7,0),"")</f>
        <v/>
      </c>
      <c r="BR60" s="448" t="str">
        <f>_xlfn.IFNA(VLOOKUP($BK60,Programma!$F$3:$M$1101,8,0),"")</f>
        <v/>
      </c>
      <c r="BS60" s="448" t="str">
        <f>_xlfn.IFNA(VLOOKUP($BK60,Programma!$F$3:$N$1101,9,0),"")</f>
        <v/>
      </c>
      <c r="BT60" s="448" t="str">
        <f>_xlfn.IFNA(VLOOKUP($BK60,Programma!$F$3:$O$1101,10,0),"")</f>
        <v/>
      </c>
      <c r="BU60" s="448" t="str">
        <f>_xlfn.IFNA(VLOOKUP($BK60,Programma!$F$3:$P$1101,11,0),"")</f>
        <v/>
      </c>
      <c r="BV60" s="448" t="str">
        <f>_xlfn.IFNA(VLOOKUP($BK60,Programma!$F$3:$Q$1101,12,0),"")</f>
        <v/>
      </c>
      <c r="BW60" s="448" t="str">
        <f>_xlfn.IFNA(VLOOKUP($BK60,Programma!$F$3:$R$1101,13,0),"")</f>
        <v/>
      </c>
      <c r="BX60" s="448" t="str">
        <f>_xlfn.IFNA(VLOOKUP($BK60,Programma!$F$3:$S$1101,14,0),"")</f>
        <v/>
      </c>
      <c r="BY60" s="448" t="str">
        <f>_xlfn.IFNA(VLOOKUP($BK60,Programma!$F$3:$T$1101,15,0),"")</f>
        <v/>
      </c>
      <c r="BZ60" s="448" t="str">
        <f>_xlfn.IFNA(VLOOKUP($BK60,Programma!$F$3:$U$1101,16,0),"")</f>
        <v/>
      </c>
      <c r="CA60" s="448" t="str">
        <f>_xlfn.IFNA(VLOOKUP($BK60,Programma!$F$3:$V$1101,17,0),"")</f>
        <v/>
      </c>
      <c r="CB60" s="448" t="str">
        <f>_xlfn.IFNA(VLOOKUP($BK60,Programma!$F$3:$W$1101,18,0),"")</f>
        <v/>
      </c>
      <c r="CC60" s="448" t="str">
        <f>_xlfn.IFNA(VLOOKUP($BK60,Programma!$F$3:$X$1101,19,0),"")</f>
        <v/>
      </c>
      <c r="CD60" s="448" t="str">
        <f>_xlfn.IFNA(VLOOKUP($BK60,Programma!$F$3:$Y$1101,20,0),"")</f>
        <v/>
      </c>
      <c r="CE60" s="327"/>
      <c r="CF60" s="327"/>
      <c r="CG60" s="327"/>
      <c r="CH60" s="327"/>
      <c r="CI60" s="327"/>
      <c r="CJ60" s="327"/>
      <c r="CK60" s="327"/>
      <c r="CL60" s="327"/>
      <c r="CM60" s="327"/>
      <c r="CN60" s="327"/>
      <c r="CO60" s="327"/>
      <c r="CP60" s="327"/>
      <c r="CQ60" s="327"/>
      <c r="CR60" s="327"/>
      <c r="CS60" s="327"/>
      <c r="CT60" s="327"/>
      <c r="CU60" s="327"/>
      <c r="CV60" s="327"/>
      <c r="CW60" s="327"/>
      <c r="CX60" s="327"/>
      <c r="CY60" s="327"/>
      <c r="CZ60" s="327"/>
      <c r="DA60" s="327"/>
      <c r="DB60" s="327"/>
      <c r="DC60" s="327"/>
      <c r="DD60" s="327"/>
      <c r="DE60" s="327"/>
      <c r="DF60" s="327"/>
      <c r="DG60" s="327"/>
      <c r="DH60" s="327"/>
      <c r="DI60" s="327"/>
      <c r="DJ60" s="327"/>
      <c r="DK60" s="327"/>
      <c r="DL60" s="327"/>
      <c r="DM60" s="327"/>
      <c r="DN60" s="327"/>
      <c r="DO60" s="327"/>
      <c r="DP60" s="327"/>
      <c r="DQ60" s="327"/>
      <c r="DR60" s="327"/>
      <c r="DS60" s="327"/>
      <c r="DT60" s="327"/>
      <c r="DU60" s="327"/>
      <c r="DV60" s="327"/>
      <c r="DW60" s="327"/>
      <c r="DX60" s="327"/>
      <c r="DY60" s="327"/>
      <c r="DZ60" s="327"/>
      <c r="EA60" s="327"/>
      <c r="EB60" s="327"/>
      <c r="EC60" s="327"/>
      <c r="ED60" s="327"/>
      <c r="EE60" s="327"/>
      <c r="EF60" s="327"/>
      <c r="EG60" s="327"/>
      <c r="EH60" s="327"/>
      <c r="EI60" s="327"/>
      <c r="EJ60" s="327"/>
      <c r="EK60" s="327"/>
      <c r="EL60" s="327"/>
      <c r="EM60" s="327"/>
      <c r="EN60" s="327"/>
      <c r="EO60" s="327"/>
      <c r="EP60" s="327"/>
      <c r="EQ60" s="327"/>
      <c r="ER60" s="327"/>
      <c r="ES60" s="327"/>
      <c r="ET60" s="327"/>
      <c r="EU60" s="327"/>
      <c r="EV60" s="327"/>
      <c r="EW60" s="327"/>
      <c r="EX60" s="327"/>
      <c r="EY60" s="327"/>
      <c r="EZ60" s="327"/>
      <c r="FA60" s="327"/>
      <c r="FB60" s="327"/>
      <c r="FC60" s="327"/>
      <c r="FD60" s="327"/>
      <c r="FE60" s="327"/>
      <c r="FF60" s="327"/>
      <c r="FG60" s="327"/>
      <c r="FH60" s="327"/>
      <c r="FI60" s="327"/>
      <c r="FJ60" s="327"/>
      <c r="FK60" s="327"/>
      <c r="FL60" s="327"/>
      <c r="FM60" s="327"/>
      <c r="FN60" s="327"/>
      <c r="FO60" s="327"/>
      <c r="FP60" s="327"/>
      <c r="FQ60" s="327"/>
      <c r="FR60" s="327"/>
      <c r="FS60" s="327"/>
      <c r="FT60" s="327"/>
      <c r="FU60" s="327"/>
      <c r="FV60" s="327"/>
      <c r="FW60" s="327"/>
      <c r="FX60" s="327"/>
      <c r="FY60" s="327"/>
      <c r="FZ60" s="327"/>
      <c r="GA60" s="327"/>
      <c r="GB60" s="327"/>
      <c r="GC60" s="327"/>
      <c r="GD60" s="327"/>
      <c r="GE60" s="327"/>
      <c r="GF60" s="327"/>
      <c r="GG60" s="327"/>
      <c r="GH60" s="327"/>
      <c r="GI60" s="327"/>
      <c r="GJ60" s="327"/>
      <c r="GK60" s="327"/>
      <c r="GL60" s="327"/>
      <c r="GM60" s="327"/>
      <c r="GN60" s="327"/>
      <c r="GO60" s="327"/>
      <c r="GP60" s="327"/>
      <c r="GQ60" s="327"/>
      <c r="GR60" s="327"/>
      <c r="GS60" s="327"/>
      <c r="GT60" s="327"/>
      <c r="GU60" s="327"/>
      <c r="GV60" s="327"/>
      <c r="GW60" s="327"/>
      <c r="GX60" s="327"/>
      <c r="GY60" s="327"/>
      <c r="GZ60" s="327"/>
      <c r="HA60" s="327"/>
      <c r="HB60" s="327"/>
      <c r="HC60" s="327"/>
      <c r="HD60" s="327"/>
      <c r="HE60" s="327"/>
      <c r="HF60" s="327"/>
      <c r="HG60" s="327"/>
      <c r="HH60" s="327"/>
      <c r="HI60" s="327"/>
      <c r="HJ60" s="327"/>
      <c r="HK60" s="327"/>
      <c r="HL60" s="327"/>
      <c r="HM60" s="327"/>
      <c r="HN60" s="327"/>
      <c r="HO60" s="327"/>
      <c r="HP60" s="327"/>
      <c r="HQ60" s="327"/>
      <c r="HR60" s="327"/>
      <c r="HS60" s="327"/>
    </row>
    <row r="61" spans="1:227" ht="15" customHeight="1">
      <c r="A61" s="434">
        <v>4</v>
      </c>
      <c r="B61" s="435" t="str">
        <f>VLOOKUP(Ruimtestaat[[#This Row],[Code]],Locaties[[Code]:[Locatie]],2,FALSE)</f>
        <v>IKC De Waterlelie</v>
      </c>
      <c r="C61" s="435" t="str">
        <f>VLOOKUP(Ruimtestaat[[#This Row],[Code]],Locaties[[#All],[Code]:[Adres]],4,FALSE)</f>
        <v>Goudenregenzoom 73</v>
      </c>
      <c r="D61" s="435" t="str">
        <f>VLOOKUP(Ruimtestaat[[#This Row],[Code]],Locaties[[#All],[Code]:[Postcode]],5,FALSE)</f>
        <v>2719 HE</v>
      </c>
      <c r="E61" s="435" t="str">
        <f>VLOOKUP(Ruimtestaat[[#This Row],[Code]],Locaties[#All],6,FALSE)</f>
        <v>Zoetermeer</v>
      </c>
      <c r="F61" s="450" t="s">
        <v>1705</v>
      </c>
      <c r="G61" s="434" t="s">
        <v>1678</v>
      </c>
      <c r="H61" s="436" t="s">
        <v>1719</v>
      </c>
      <c r="I61" s="437" t="s">
        <v>1720</v>
      </c>
      <c r="J61" s="330">
        <v>5</v>
      </c>
      <c r="K61" s="450" t="str">
        <f>VLOOKUP(Ruimtestaat[[#This Row],[Ruimte code]],Ruimtegroepen[[#All],[Code]:[Ruimte omschrijving]],2,FALSE)</f>
        <v>Sanitair</v>
      </c>
      <c r="L61" s="434" t="s">
        <v>100</v>
      </c>
      <c r="M61" s="437" t="s">
        <v>1759</v>
      </c>
      <c r="N61" s="439"/>
      <c r="O61" s="439"/>
      <c r="P61" s="439"/>
      <c r="Q61" s="439">
        <v>7.1</v>
      </c>
      <c r="R61" s="440" t="str">
        <f>VLOOKUP(Ruimtestaat[[#This Row],[Ruimte code]],Ruimtegroepen[],4,FALSE)</f>
        <v>Sa</v>
      </c>
      <c r="S61" s="434">
        <v>51</v>
      </c>
      <c r="T61" s="434" t="s">
        <v>2</v>
      </c>
      <c r="U61" s="434">
        <f>IF(S61&gt;0,IF(RIGHT(Ruimtestaat[[#This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61" s="434">
        <f>IF(U61&gt;0,VLOOKUP($J61,Ruimtegroepen[],3,FALSE)*VLOOKUP($L61,Vloersoorten[],3,FALSE)*VLOOKUP($T61,Frequenties[],3,FALSE)*VLOOKUP($A61,Locaties[],3,FALSE),0)</f>
        <v>0</v>
      </c>
      <c r="W61" s="434">
        <f>Ruimtestaat[[#This Row],[Uitvoeringen werkdagen]]*Ruimtestaat[[#This Row],[Oppervlak (netto)]]</f>
        <v>0</v>
      </c>
      <c r="X61" s="441">
        <f>IF(V61&gt;0,Ruimtestaat[[#This Row],[Prest. (m2 /jaar) werkdagen]]/Ruimtestaat[[#This Row],[Norm (m2/uur) werkdagen]],0)</f>
        <v>0</v>
      </c>
      <c r="Y61" s="442">
        <f>Ruimtestaat[[#This Row],[Uitvoeringen werkdagen]]*Ruimtestaat[[#This Row],[Gedeeltelijk]]</f>
        <v>0</v>
      </c>
      <c r="Z61" s="443" t="e">
        <f>IF(U61&gt;0,Ruimtestaat[[#This Row],[Prest. (m2 / jaar) werkdagen gedeeld]]/Ruimtestaat[[#This Row],[Norm (m2/uur) werkdagen]],0)</f>
        <v>#DIV/0!</v>
      </c>
      <c r="AA61" s="441" t="e">
        <f>Ruimtestaat[[#This Row],[uren / jaar werkdagen gedeeld]]*Tariefsopbouw!$E$35</f>
        <v>#DIV/0!</v>
      </c>
      <c r="AB61" s="441">
        <f>Ruimtestaat[[#This Row],[Uitvoeringen werkdagen]]*Ruimtestaat[[#This Row],[BSO]]</f>
        <v>1810.5</v>
      </c>
      <c r="AC61" s="443" t="e">
        <f>IF(U61&gt;0,Ruimtestaat[[#This Row],[Prest. (m2 / jaar) werkdagen BSO]]/Ruimtestaat[[#This Row],[Norm (m2/uur) werkdagen]],0)</f>
        <v>#DIV/0!</v>
      </c>
      <c r="AD61" s="443" t="e">
        <f>Ruimtestaat[[#This Row],[uren / jaar werkdagen BSO]]*Tariefsopbouw!$E$35</f>
        <v>#DIV/0!</v>
      </c>
      <c r="AE61" s="444">
        <f>Ruimtestaat[[#This Row],[uren / jaar werkdagen]]*Tariefsopbouw!$E$35</f>
        <v>0</v>
      </c>
      <c r="AF61" s="434"/>
      <c r="AG61" s="434">
        <f>IF(Ruimtestaat[[#This Row],[Frequentie weekend]]&gt;0,VALUE(LEFT(AF61,1))*S61,0)</f>
        <v>0</v>
      </c>
      <c r="AH61" s="445">
        <f>IF($AG61&gt;0,VLOOKUP($J61,Ruimtegroepen[],3,FALSE)*VLOOKUP($L61,Vloersoorten[],3,FALSE)*VLOOKUP($AF61,Frequenties[],3,FALSE)*VLOOKUP(Ruimtestaat[[#This Row],[Code]],Locaties[],3,FALSE),0)</f>
        <v>0</v>
      </c>
      <c r="AI61" s="445">
        <f>Ruimtestaat[[#This Row],[Uitvoeringen weekend]]*Ruimtestaat[[#This Row],[Oppervlak (netto)]]</f>
        <v>0</v>
      </c>
      <c r="AJ61" s="445">
        <f>IF(AH61&gt;0,Ruimtestaat[[#This Row],[Prest. (m2 /jaar) weekend]]/Ruimtestaat[[#This Row],[Norm (m2/uur) weekend]],0)</f>
        <v>0</v>
      </c>
      <c r="AK61" s="444">
        <f>Ruimtestaat[[#This Row],[uren / jaar weekend]]*Tariefsopbouw!$D$40</f>
        <v>0</v>
      </c>
      <c r="AL61" s="441">
        <f>Ruimtestaat[[#This Row],[Prest. (m2 /jaar) weekend]]+Ruimtestaat[[#This Row],[Prest. (m2 /jaar) werkdagen]]</f>
        <v>0</v>
      </c>
      <c r="AM61" s="441">
        <f>Ruimtestaat[[#This Row],[uren / jaar weekend]]+Ruimtestaat[[#This Row],[uren / jaar werkdagen]]</f>
        <v>0</v>
      </c>
      <c r="AN61" s="446">
        <f>Ruimtestaat[[#This Row],[kosten / jaar weekend]]+Ruimtestaat[[#This Row],[kosten / jaar werkdagen]]</f>
        <v>0</v>
      </c>
      <c r="AO61" s="446"/>
      <c r="AP61" s="447" t="str">
        <f>IF(Ruimtestaat[[#This Row],[Frequentie werkdagen]]="","",_xlfn.CONCAT(Ruimtestaat[[#This Row],[Ruimte code]],"-",Ruimtestaat[[#This Row],[Frequentie werkdagen]]," ",Ruimtestaat[[#This Row],[Vloer code]]))</f>
        <v>5-5w L</v>
      </c>
      <c r="AQ61" s="448" t="str">
        <f>_xlfn.IFNA(VLOOKUP($AP61,Programma!$F$3:$G$1101,2,0),"")</f>
        <v>_</v>
      </c>
      <c r="AR61" s="448" t="str">
        <f>_xlfn.IFNA(VLOOKUP($AP61,Programma!$F$3:$H$1101,3,0),"")</f>
        <v>_</v>
      </c>
      <c r="AS61" s="448" t="str">
        <f>_xlfn.IFNA(VLOOKUP($AP61,Programma!$F$3:$I$1101,4,0),"")</f>
        <v>_</v>
      </c>
      <c r="AT61" s="448" t="str">
        <f>_xlfn.IFNA(VLOOKUP($AP61,Programma!$F$3:$J$1101,5,0),"")</f>
        <v>4w</v>
      </c>
      <c r="AU61" s="448" t="str">
        <f>_xlfn.IFNA(VLOOKUP($AP61,Programma!$F$3:$K$1101,6,0),"")</f>
        <v>1w</v>
      </c>
      <c r="AV61" s="448" t="str">
        <f>_xlfn.IFNA(VLOOKUP($AP61,Programma!$F$3:$L$1101,7,0),"")</f>
        <v>_</v>
      </c>
      <c r="AW61" s="448" t="str">
        <f>_xlfn.IFNA(VLOOKUP($AP61,Programma!$F$3:$M$1101,8,0),"")</f>
        <v>_</v>
      </c>
      <c r="AX61" s="448" t="str">
        <f>_xlfn.IFNA(VLOOKUP($AP61,Programma!$F$3:$N$1101,9,0),"")</f>
        <v>_</v>
      </c>
      <c r="AY61" s="448" t="str">
        <f>_xlfn.IFNA(VLOOKUP($AP61,Programma!$F$3:$O$1101,10,0),"")</f>
        <v>_</v>
      </c>
      <c r="AZ61" s="448" t="str">
        <f>_xlfn.IFNA(VLOOKUP($AP61,Programma!$F$3:$P$1101,11,0),"")</f>
        <v>_</v>
      </c>
      <c r="BA61" s="448" t="str">
        <f>_xlfn.IFNA(VLOOKUP($AP61,Programma!$F$3:$Q$1101,12,0),"")</f>
        <v>_</v>
      </c>
      <c r="BB61" s="448" t="str">
        <f>_xlfn.IFNA(VLOOKUP($AP61,Programma!$F$3:$R$1101,13,0),"")</f>
        <v>_</v>
      </c>
      <c r="BC61" s="448" t="str">
        <f>_xlfn.IFNA(VLOOKUP($AP61,Programma!$F$3:$S$1101,14,0),"")</f>
        <v>_</v>
      </c>
      <c r="BD61" s="448" t="str">
        <f>_xlfn.IFNA(VLOOKUP($AP61,Programma!$F$3:$T$1101,15,0),"")</f>
        <v>_</v>
      </c>
      <c r="BE61" s="448" t="str">
        <f>_xlfn.IFNA(VLOOKUP($AP61,Programma!$F$3:$U$1101,16,0),"")</f>
        <v>_</v>
      </c>
      <c r="BF61" s="448" t="str">
        <f>_xlfn.IFNA(VLOOKUP($AP61,Programma!$F$3:$V$1101,17,0),"")</f>
        <v>_</v>
      </c>
      <c r="BG61" s="448" t="str">
        <f>_xlfn.IFNA(VLOOKUP($AP61,Programma!$F$3:$W$1101,18,0),"")</f>
        <v>4w</v>
      </c>
      <c r="BH61" s="448" t="str">
        <f>_xlfn.IFNA(VLOOKUP($AP61,Programma!$F$3:$X$1101,19,0),"")</f>
        <v>1w</v>
      </c>
      <c r="BI61" s="448" t="str">
        <f>_xlfn.IFNA(VLOOKUP($AP61,Programma!$F$3:$Y$1101,20,0),"")</f>
        <v>_</v>
      </c>
      <c r="BJ61" s="449"/>
      <c r="BK61" s="447" t="str">
        <f>IF(Ruimtestaat[[#This Row],[Frequentie weekend]]="","",_xlfn.CONCAT(Ruimtestaat[[#This Row],[Ruimte code]],"-",Ruimtestaat[[#This Row],[Frequentie weekend]]," ",Ruimtestaat[[#This Row],[Vloer code]]))</f>
        <v/>
      </c>
      <c r="BL61" s="448" t="str">
        <f>_xlfn.IFNA(VLOOKUP($BK61,Programma!$F$3:$G$1101,2,0),"")</f>
        <v/>
      </c>
      <c r="BM61" s="448" t="str">
        <f>_xlfn.IFNA(VLOOKUP($BK61,Programma!$F$3:$H$1101,3,0),"")</f>
        <v/>
      </c>
      <c r="BN61" s="448" t="str">
        <f>_xlfn.IFNA(VLOOKUP($BK61,Programma!$F$3:$I$1101,4,0),"")</f>
        <v/>
      </c>
      <c r="BO61" s="448" t="str">
        <f>_xlfn.IFNA(VLOOKUP($BK61,Programma!$F$3:$J$1101,5,0),"")</f>
        <v/>
      </c>
      <c r="BP61" s="448" t="str">
        <f>_xlfn.IFNA(VLOOKUP($BK61,Programma!$F$3:$K$1101,6,0),"")</f>
        <v/>
      </c>
      <c r="BQ61" s="448" t="str">
        <f>_xlfn.IFNA(VLOOKUP($BK61,Programma!$F$3:$L$1101,7,0),"")</f>
        <v/>
      </c>
      <c r="BR61" s="448" t="str">
        <f>_xlfn.IFNA(VLOOKUP($BK61,Programma!$F$3:$M$1101,8,0),"")</f>
        <v/>
      </c>
      <c r="BS61" s="448" t="str">
        <f>_xlfn.IFNA(VLOOKUP($BK61,Programma!$F$3:$N$1101,9,0),"")</f>
        <v/>
      </c>
      <c r="BT61" s="448" t="str">
        <f>_xlfn.IFNA(VLOOKUP($BK61,Programma!$F$3:$O$1101,10,0),"")</f>
        <v/>
      </c>
      <c r="BU61" s="448" t="str">
        <f>_xlfn.IFNA(VLOOKUP($BK61,Programma!$F$3:$P$1101,11,0),"")</f>
        <v/>
      </c>
      <c r="BV61" s="448" t="str">
        <f>_xlfn.IFNA(VLOOKUP($BK61,Programma!$F$3:$Q$1101,12,0),"")</f>
        <v/>
      </c>
      <c r="BW61" s="448" t="str">
        <f>_xlfn.IFNA(VLOOKUP($BK61,Programma!$F$3:$R$1101,13,0),"")</f>
        <v/>
      </c>
      <c r="BX61" s="448" t="str">
        <f>_xlfn.IFNA(VLOOKUP($BK61,Programma!$F$3:$S$1101,14,0),"")</f>
        <v/>
      </c>
      <c r="BY61" s="448" t="str">
        <f>_xlfn.IFNA(VLOOKUP($BK61,Programma!$F$3:$T$1101,15,0),"")</f>
        <v/>
      </c>
      <c r="BZ61" s="448" t="str">
        <f>_xlfn.IFNA(VLOOKUP($BK61,Programma!$F$3:$U$1101,16,0),"")</f>
        <v/>
      </c>
      <c r="CA61" s="448" t="str">
        <f>_xlfn.IFNA(VLOOKUP($BK61,Programma!$F$3:$V$1101,17,0),"")</f>
        <v/>
      </c>
      <c r="CB61" s="448" t="str">
        <f>_xlfn.IFNA(VLOOKUP($BK61,Programma!$F$3:$W$1101,18,0),"")</f>
        <v/>
      </c>
      <c r="CC61" s="448" t="str">
        <f>_xlfn.IFNA(VLOOKUP($BK61,Programma!$F$3:$X$1101,19,0),"")</f>
        <v/>
      </c>
      <c r="CD61" s="448" t="str">
        <f>_xlfn.IFNA(VLOOKUP($BK61,Programma!$F$3:$Y$1101,20,0),"")</f>
        <v/>
      </c>
      <c r="CE61" s="327"/>
      <c r="CF61" s="327"/>
      <c r="CG61" s="327"/>
      <c r="CH61" s="327"/>
      <c r="CI61" s="327"/>
      <c r="CJ61" s="327"/>
      <c r="CK61" s="327"/>
      <c r="CL61" s="327"/>
      <c r="CM61" s="327"/>
      <c r="CN61" s="327"/>
      <c r="CO61" s="327"/>
      <c r="CP61" s="327"/>
      <c r="CQ61" s="327"/>
      <c r="CR61" s="327"/>
      <c r="CS61" s="327"/>
      <c r="CT61" s="327"/>
      <c r="CU61" s="327"/>
      <c r="CV61" s="327"/>
      <c r="CW61" s="327"/>
      <c r="CX61" s="327"/>
      <c r="CY61" s="327"/>
      <c r="CZ61" s="327"/>
      <c r="DA61" s="327"/>
      <c r="DB61" s="327"/>
      <c r="DC61" s="327"/>
      <c r="DD61" s="327"/>
      <c r="DE61" s="327"/>
      <c r="DF61" s="327"/>
      <c r="DG61" s="327"/>
      <c r="DH61" s="327"/>
      <c r="DI61" s="327"/>
      <c r="DJ61" s="327"/>
      <c r="DK61" s="327"/>
      <c r="DL61" s="327"/>
      <c r="DM61" s="327"/>
      <c r="DN61" s="327"/>
      <c r="DO61" s="327"/>
      <c r="DP61" s="327"/>
      <c r="DQ61" s="327"/>
      <c r="DR61" s="327"/>
      <c r="DS61" s="327"/>
      <c r="DT61" s="327"/>
      <c r="DU61" s="327"/>
      <c r="DV61" s="327"/>
      <c r="DW61" s="327"/>
      <c r="DX61" s="327"/>
      <c r="DY61" s="327"/>
      <c r="DZ61" s="327"/>
      <c r="EA61" s="327"/>
      <c r="EB61" s="327"/>
      <c r="EC61" s="327"/>
      <c r="ED61" s="327"/>
      <c r="EE61" s="327"/>
      <c r="EF61" s="327"/>
      <c r="EG61" s="327"/>
      <c r="EH61" s="327"/>
      <c r="EI61" s="327"/>
      <c r="EJ61" s="327"/>
      <c r="EK61" s="327"/>
      <c r="EL61" s="327"/>
      <c r="EM61" s="327"/>
      <c r="EN61" s="327"/>
      <c r="EO61" s="327"/>
      <c r="EP61" s="327"/>
      <c r="EQ61" s="327"/>
      <c r="ER61" s="327"/>
      <c r="ES61" s="327"/>
      <c r="ET61" s="327"/>
      <c r="EU61" s="327"/>
      <c r="EV61" s="327"/>
      <c r="EW61" s="327"/>
      <c r="EX61" s="327"/>
      <c r="EY61" s="327"/>
      <c r="EZ61" s="327"/>
      <c r="FA61" s="327"/>
      <c r="FB61" s="327"/>
      <c r="FC61" s="327"/>
      <c r="FD61" s="327"/>
      <c r="FE61" s="327"/>
      <c r="FF61" s="327"/>
      <c r="FG61" s="327"/>
      <c r="FH61" s="327"/>
      <c r="FI61" s="327"/>
      <c r="FJ61" s="327"/>
      <c r="FK61" s="327"/>
      <c r="FL61" s="327"/>
      <c r="FM61" s="327"/>
      <c r="FN61" s="327"/>
      <c r="FO61" s="327"/>
      <c r="FP61" s="327"/>
      <c r="FQ61" s="327"/>
      <c r="FR61" s="327"/>
      <c r="FS61" s="327"/>
      <c r="FT61" s="327"/>
      <c r="FU61" s="327"/>
      <c r="FV61" s="327"/>
      <c r="FW61" s="327"/>
      <c r="FX61" s="327"/>
      <c r="FY61" s="327"/>
      <c r="FZ61" s="327"/>
      <c r="GA61" s="327"/>
      <c r="GB61" s="327"/>
      <c r="GC61" s="327"/>
      <c r="GD61" s="327"/>
      <c r="GE61" s="327"/>
      <c r="GF61" s="327"/>
      <c r="GG61" s="327"/>
      <c r="GH61" s="327"/>
      <c r="GI61" s="327"/>
      <c r="GJ61" s="327"/>
      <c r="GK61" s="327"/>
      <c r="GL61" s="327"/>
      <c r="GM61" s="327"/>
      <c r="GN61" s="327"/>
      <c r="GO61" s="327"/>
      <c r="GP61" s="327"/>
      <c r="GQ61" s="327"/>
      <c r="GR61" s="327"/>
      <c r="GS61" s="327"/>
      <c r="GT61" s="327"/>
      <c r="GU61" s="327"/>
      <c r="GV61" s="327"/>
      <c r="GW61" s="327"/>
      <c r="GX61" s="327"/>
      <c r="GY61" s="327"/>
      <c r="GZ61" s="327"/>
      <c r="HA61" s="327"/>
      <c r="HB61" s="327"/>
      <c r="HC61" s="327"/>
      <c r="HD61" s="327"/>
      <c r="HE61" s="327"/>
      <c r="HF61" s="327"/>
      <c r="HG61" s="327"/>
      <c r="HH61" s="327"/>
      <c r="HI61" s="327"/>
      <c r="HJ61" s="327"/>
      <c r="HK61" s="327"/>
      <c r="HL61" s="327"/>
      <c r="HM61" s="327"/>
      <c r="HN61" s="327"/>
      <c r="HO61" s="327"/>
      <c r="HP61" s="327"/>
      <c r="HQ61" s="327"/>
      <c r="HR61" s="327"/>
      <c r="HS61" s="327"/>
    </row>
    <row r="62" spans="1:227" ht="15" customHeight="1">
      <c r="A62" s="434">
        <v>4</v>
      </c>
      <c r="B62" s="435" t="str">
        <f>VLOOKUP(Ruimtestaat[[#This Row],[Code]],Locaties[[Code]:[Locatie]],2,FALSE)</f>
        <v>IKC De Waterlelie</v>
      </c>
      <c r="C62" s="435" t="str">
        <f>VLOOKUP(Ruimtestaat[[#This Row],[Code]],Locaties[[#All],[Code]:[Adres]],4,FALSE)</f>
        <v>Goudenregenzoom 73</v>
      </c>
      <c r="D62" s="435" t="str">
        <f>VLOOKUP(Ruimtestaat[[#This Row],[Code]],Locaties[[#All],[Code]:[Postcode]],5,FALSE)</f>
        <v>2719 HE</v>
      </c>
      <c r="E62" s="435" t="str">
        <f>VLOOKUP(Ruimtestaat[[#This Row],[Code]],Locaties[#All],6,FALSE)</f>
        <v>Zoetermeer</v>
      </c>
      <c r="F62" s="434"/>
      <c r="G62" s="434" t="s">
        <v>1678</v>
      </c>
      <c r="H62" s="436" t="s">
        <v>1721</v>
      </c>
      <c r="I62" s="437" t="s">
        <v>1720</v>
      </c>
      <c r="J62" s="330">
        <v>5</v>
      </c>
      <c r="K62" s="450" t="str">
        <f>VLOOKUP(Ruimtestaat[[#This Row],[Ruimte code]],Ruimtegroepen[[#All],[Code]:[Ruimte omschrijving]],2,FALSE)</f>
        <v>Sanitair</v>
      </c>
      <c r="L62" s="434" t="s">
        <v>100</v>
      </c>
      <c r="M62" s="437" t="s">
        <v>1759</v>
      </c>
      <c r="N62" s="439">
        <v>7.1</v>
      </c>
      <c r="O62" s="439"/>
      <c r="P62" s="439"/>
      <c r="Q62" s="439"/>
      <c r="R62" s="440" t="str">
        <f>VLOOKUP(Ruimtestaat[[#This Row],[Ruimte code]],Ruimtegroepen[],4,FALSE)</f>
        <v>Sa</v>
      </c>
      <c r="S62" s="434">
        <v>41</v>
      </c>
      <c r="T62" s="434" t="s">
        <v>2</v>
      </c>
      <c r="U62" s="434">
        <f>IF(S62&gt;0,IF(RIGHT(Ruimtestaat[[#This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2" s="434">
        <f>IF(U62&gt;0,VLOOKUP($J62,Ruimtegroepen[],3,FALSE)*VLOOKUP($L62,Vloersoorten[],3,FALSE)*VLOOKUP($T62,Frequenties[],3,FALSE)*VLOOKUP($A62,Locaties[],3,FALSE),0)</f>
        <v>0</v>
      </c>
      <c r="W62" s="434">
        <f>Ruimtestaat[[#This Row],[Uitvoeringen werkdagen]]*Ruimtestaat[[#This Row],[Oppervlak (netto)]]</f>
        <v>1455.5</v>
      </c>
      <c r="X62" s="441">
        <f>IF(V62&gt;0,Ruimtestaat[[#This Row],[Prest. (m2 /jaar) werkdagen]]/Ruimtestaat[[#This Row],[Norm (m2/uur) werkdagen]],0)</f>
        <v>0</v>
      </c>
      <c r="Y62" s="442">
        <f>Ruimtestaat[[#This Row],[Uitvoeringen werkdagen]]*Ruimtestaat[[#This Row],[Gedeeltelijk]]</f>
        <v>0</v>
      </c>
      <c r="Z62" s="443" t="e">
        <f>IF(U62&gt;0,Ruimtestaat[[#This Row],[Prest. (m2 / jaar) werkdagen gedeeld]]/Ruimtestaat[[#This Row],[Norm (m2/uur) werkdagen]],0)</f>
        <v>#DIV/0!</v>
      </c>
      <c r="AA62" s="441" t="e">
        <f>Ruimtestaat[[#This Row],[uren / jaar werkdagen gedeeld]]*Tariefsopbouw!$E$35</f>
        <v>#DIV/0!</v>
      </c>
      <c r="AB62" s="441">
        <f>Ruimtestaat[[#This Row],[Uitvoeringen werkdagen]]*Ruimtestaat[[#This Row],[BSO]]</f>
        <v>0</v>
      </c>
      <c r="AC62" s="443" t="e">
        <f>IF(U62&gt;0,Ruimtestaat[[#This Row],[Prest. (m2 / jaar) werkdagen BSO]]/Ruimtestaat[[#This Row],[Norm (m2/uur) werkdagen]],0)</f>
        <v>#DIV/0!</v>
      </c>
      <c r="AD62" s="443" t="e">
        <f>Ruimtestaat[[#This Row],[uren / jaar werkdagen BSO]]*Tariefsopbouw!$E$35</f>
        <v>#DIV/0!</v>
      </c>
      <c r="AE62" s="444">
        <f>Ruimtestaat[[#This Row],[uren / jaar werkdagen]]*Tariefsopbouw!$E$35</f>
        <v>0</v>
      </c>
      <c r="AF62" s="434"/>
      <c r="AG62" s="434">
        <f>IF(Ruimtestaat[[#This Row],[Frequentie weekend]]&gt;0,VALUE(LEFT(AF62,1))*S62,0)</f>
        <v>0</v>
      </c>
      <c r="AH62" s="445">
        <f>IF($AG62&gt;0,VLOOKUP($J62,Ruimtegroepen[],3,FALSE)*VLOOKUP($L62,Vloersoorten[],3,FALSE)*VLOOKUP($AF62,Frequenties[],3,FALSE)*VLOOKUP(Ruimtestaat[[#This Row],[Code]],Locaties[],3,FALSE),0)</f>
        <v>0</v>
      </c>
      <c r="AI62" s="445">
        <f>Ruimtestaat[[#This Row],[Uitvoeringen weekend]]*Ruimtestaat[[#This Row],[Oppervlak (netto)]]</f>
        <v>0</v>
      </c>
      <c r="AJ62" s="445">
        <f>IF(AH62&gt;0,Ruimtestaat[[#This Row],[Prest. (m2 /jaar) weekend]]/Ruimtestaat[[#This Row],[Norm (m2/uur) weekend]],0)</f>
        <v>0</v>
      </c>
      <c r="AK62" s="444">
        <f>Ruimtestaat[[#This Row],[uren / jaar weekend]]*Tariefsopbouw!$D$40</f>
        <v>0</v>
      </c>
      <c r="AL62" s="441">
        <f>Ruimtestaat[[#This Row],[Prest. (m2 /jaar) weekend]]+Ruimtestaat[[#This Row],[Prest. (m2 /jaar) werkdagen]]</f>
        <v>1455.5</v>
      </c>
      <c r="AM62" s="441">
        <f>Ruimtestaat[[#This Row],[uren / jaar weekend]]+Ruimtestaat[[#This Row],[uren / jaar werkdagen]]</f>
        <v>0</v>
      </c>
      <c r="AN62" s="446">
        <f>Ruimtestaat[[#This Row],[kosten / jaar weekend]]+Ruimtestaat[[#This Row],[kosten / jaar werkdagen]]</f>
        <v>0</v>
      </c>
      <c r="AO62" s="446"/>
      <c r="AP62" s="447" t="str">
        <f>IF(Ruimtestaat[[#This Row],[Frequentie werkdagen]]="","",_xlfn.CONCAT(Ruimtestaat[[#This Row],[Ruimte code]],"-",Ruimtestaat[[#This Row],[Frequentie werkdagen]]," ",Ruimtestaat[[#This Row],[Vloer code]]))</f>
        <v>5-5w L</v>
      </c>
      <c r="AQ62" s="448" t="str">
        <f>_xlfn.IFNA(VLOOKUP($AP62,Programma!$F$3:$G$1101,2,0),"")</f>
        <v>_</v>
      </c>
      <c r="AR62" s="448" t="str">
        <f>_xlfn.IFNA(VLOOKUP($AP62,Programma!$F$3:$H$1101,3,0),"")</f>
        <v>_</v>
      </c>
      <c r="AS62" s="448" t="str">
        <f>_xlfn.IFNA(VLOOKUP($AP62,Programma!$F$3:$I$1101,4,0),"")</f>
        <v>_</v>
      </c>
      <c r="AT62" s="448" t="str">
        <f>_xlfn.IFNA(VLOOKUP($AP62,Programma!$F$3:$J$1101,5,0),"")</f>
        <v>4w</v>
      </c>
      <c r="AU62" s="448" t="str">
        <f>_xlfn.IFNA(VLOOKUP($AP62,Programma!$F$3:$K$1101,6,0),"")</f>
        <v>1w</v>
      </c>
      <c r="AV62" s="448" t="str">
        <f>_xlfn.IFNA(VLOOKUP($AP62,Programma!$F$3:$L$1101,7,0),"")</f>
        <v>_</v>
      </c>
      <c r="AW62" s="448" t="str">
        <f>_xlfn.IFNA(VLOOKUP($AP62,Programma!$F$3:$M$1101,8,0),"")</f>
        <v>_</v>
      </c>
      <c r="AX62" s="448" t="str">
        <f>_xlfn.IFNA(VLOOKUP($AP62,Programma!$F$3:$N$1101,9,0),"")</f>
        <v>_</v>
      </c>
      <c r="AY62" s="448" t="str">
        <f>_xlfn.IFNA(VLOOKUP($AP62,Programma!$F$3:$O$1101,10,0),"")</f>
        <v>_</v>
      </c>
      <c r="AZ62" s="448" t="str">
        <f>_xlfn.IFNA(VLOOKUP($AP62,Programma!$F$3:$P$1101,11,0),"")</f>
        <v>_</v>
      </c>
      <c r="BA62" s="448" t="str">
        <f>_xlfn.IFNA(VLOOKUP($AP62,Programma!$F$3:$Q$1101,12,0),"")</f>
        <v>_</v>
      </c>
      <c r="BB62" s="448" t="str">
        <f>_xlfn.IFNA(VLOOKUP($AP62,Programma!$F$3:$R$1101,13,0),"")</f>
        <v>_</v>
      </c>
      <c r="BC62" s="448" t="str">
        <f>_xlfn.IFNA(VLOOKUP($AP62,Programma!$F$3:$S$1101,14,0),"")</f>
        <v>_</v>
      </c>
      <c r="BD62" s="448" t="str">
        <f>_xlfn.IFNA(VLOOKUP($AP62,Programma!$F$3:$T$1101,15,0),"")</f>
        <v>_</v>
      </c>
      <c r="BE62" s="448" t="str">
        <f>_xlfn.IFNA(VLOOKUP($AP62,Programma!$F$3:$U$1101,16,0),"")</f>
        <v>_</v>
      </c>
      <c r="BF62" s="448" t="str">
        <f>_xlfn.IFNA(VLOOKUP($AP62,Programma!$F$3:$V$1101,17,0),"")</f>
        <v>_</v>
      </c>
      <c r="BG62" s="448" t="str">
        <f>_xlfn.IFNA(VLOOKUP($AP62,Programma!$F$3:$W$1101,18,0),"")</f>
        <v>4w</v>
      </c>
      <c r="BH62" s="448" t="str">
        <f>_xlfn.IFNA(VLOOKUP($AP62,Programma!$F$3:$X$1101,19,0),"")</f>
        <v>1w</v>
      </c>
      <c r="BI62" s="448" t="str">
        <f>_xlfn.IFNA(VLOOKUP($AP62,Programma!$F$3:$Y$1101,20,0),"")</f>
        <v>_</v>
      </c>
      <c r="BJ62" s="449"/>
      <c r="BK62" s="447" t="str">
        <f>IF(Ruimtestaat[[#This Row],[Frequentie weekend]]="","",_xlfn.CONCAT(Ruimtestaat[[#This Row],[Ruimte code]],"-",Ruimtestaat[[#This Row],[Frequentie weekend]]," ",Ruimtestaat[[#This Row],[Vloer code]]))</f>
        <v/>
      </c>
      <c r="BL62" s="448" t="str">
        <f>_xlfn.IFNA(VLOOKUP($BK62,Programma!$F$3:$G$1101,2,0),"")</f>
        <v/>
      </c>
      <c r="BM62" s="448" t="str">
        <f>_xlfn.IFNA(VLOOKUP($BK62,Programma!$F$3:$H$1101,3,0),"")</f>
        <v/>
      </c>
      <c r="BN62" s="448" t="str">
        <f>_xlfn.IFNA(VLOOKUP($BK62,Programma!$F$3:$I$1101,4,0),"")</f>
        <v/>
      </c>
      <c r="BO62" s="448" t="str">
        <f>_xlfn.IFNA(VLOOKUP($BK62,Programma!$F$3:$J$1101,5,0),"")</f>
        <v/>
      </c>
      <c r="BP62" s="448" t="str">
        <f>_xlfn.IFNA(VLOOKUP($BK62,Programma!$F$3:$K$1101,6,0),"")</f>
        <v/>
      </c>
      <c r="BQ62" s="448" t="str">
        <f>_xlfn.IFNA(VLOOKUP($BK62,Programma!$F$3:$L$1101,7,0),"")</f>
        <v/>
      </c>
      <c r="BR62" s="448" t="str">
        <f>_xlfn.IFNA(VLOOKUP($BK62,Programma!$F$3:$M$1101,8,0),"")</f>
        <v/>
      </c>
      <c r="BS62" s="448" t="str">
        <f>_xlfn.IFNA(VLOOKUP($BK62,Programma!$F$3:$N$1101,9,0),"")</f>
        <v/>
      </c>
      <c r="BT62" s="448" t="str">
        <f>_xlfn.IFNA(VLOOKUP($BK62,Programma!$F$3:$O$1101,10,0),"")</f>
        <v/>
      </c>
      <c r="BU62" s="448" t="str">
        <f>_xlfn.IFNA(VLOOKUP($BK62,Programma!$F$3:$P$1101,11,0),"")</f>
        <v/>
      </c>
      <c r="BV62" s="448" t="str">
        <f>_xlfn.IFNA(VLOOKUP($BK62,Programma!$F$3:$Q$1101,12,0),"")</f>
        <v/>
      </c>
      <c r="BW62" s="448" t="str">
        <f>_xlfn.IFNA(VLOOKUP($BK62,Programma!$F$3:$R$1101,13,0),"")</f>
        <v/>
      </c>
      <c r="BX62" s="448" t="str">
        <f>_xlfn.IFNA(VLOOKUP($BK62,Programma!$F$3:$S$1101,14,0),"")</f>
        <v/>
      </c>
      <c r="BY62" s="448" t="str">
        <f>_xlfn.IFNA(VLOOKUP($BK62,Programma!$F$3:$T$1101,15,0),"")</f>
        <v/>
      </c>
      <c r="BZ62" s="448" t="str">
        <f>_xlfn.IFNA(VLOOKUP($BK62,Programma!$F$3:$U$1101,16,0),"")</f>
        <v/>
      </c>
      <c r="CA62" s="448" t="str">
        <f>_xlfn.IFNA(VLOOKUP($BK62,Programma!$F$3:$V$1101,17,0),"")</f>
        <v/>
      </c>
      <c r="CB62" s="448" t="str">
        <f>_xlfn.IFNA(VLOOKUP($BK62,Programma!$F$3:$W$1101,18,0),"")</f>
        <v/>
      </c>
      <c r="CC62" s="448" t="str">
        <f>_xlfn.IFNA(VLOOKUP($BK62,Programma!$F$3:$X$1101,19,0),"")</f>
        <v/>
      </c>
      <c r="CD62" s="448" t="str">
        <f>_xlfn.IFNA(VLOOKUP($BK62,Programma!$F$3:$Y$1101,20,0),"")</f>
        <v/>
      </c>
      <c r="CE62" s="327"/>
      <c r="CF62" s="327"/>
      <c r="CG62" s="327"/>
      <c r="CH62" s="327"/>
      <c r="CI62" s="327"/>
      <c r="CJ62" s="327"/>
      <c r="CK62" s="327"/>
      <c r="CL62" s="327"/>
      <c r="CM62" s="327"/>
      <c r="CN62" s="327"/>
      <c r="CO62" s="327"/>
      <c r="CP62" s="327"/>
      <c r="CQ62" s="327"/>
      <c r="CR62" s="327"/>
      <c r="CS62" s="327"/>
      <c r="CT62" s="327"/>
      <c r="CU62" s="327"/>
      <c r="CV62" s="327"/>
      <c r="CW62" s="327"/>
      <c r="CX62" s="327"/>
      <c r="CY62" s="327"/>
      <c r="CZ62" s="327"/>
      <c r="DA62" s="327"/>
      <c r="DB62" s="327"/>
      <c r="DC62" s="327"/>
      <c r="DD62" s="327"/>
      <c r="DE62" s="327"/>
      <c r="DF62" s="327"/>
      <c r="DG62" s="327"/>
      <c r="DH62" s="327"/>
      <c r="DI62" s="327"/>
      <c r="DJ62" s="327"/>
      <c r="DK62" s="327"/>
      <c r="DL62" s="327"/>
      <c r="DM62" s="327"/>
      <c r="DN62" s="327"/>
      <c r="DO62" s="327"/>
      <c r="DP62" s="327"/>
      <c r="DQ62" s="327"/>
      <c r="DR62" s="327"/>
      <c r="DS62" s="327"/>
      <c r="DT62" s="327"/>
      <c r="DU62" s="327"/>
      <c r="DV62" s="327"/>
      <c r="DW62" s="327"/>
      <c r="DX62" s="327"/>
      <c r="DY62" s="327"/>
      <c r="DZ62" s="327"/>
      <c r="EA62" s="327"/>
      <c r="EB62" s="327"/>
      <c r="EC62" s="327"/>
      <c r="ED62" s="327"/>
      <c r="EE62" s="327"/>
      <c r="EF62" s="327"/>
      <c r="EG62" s="327"/>
      <c r="EH62" s="327"/>
      <c r="EI62" s="327"/>
      <c r="EJ62" s="327"/>
      <c r="EK62" s="327"/>
      <c r="EL62" s="327"/>
      <c r="EM62" s="327"/>
      <c r="EN62" s="327"/>
      <c r="EO62" s="327"/>
      <c r="EP62" s="327"/>
      <c r="EQ62" s="327"/>
      <c r="ER62" s="327"/>
      <c r="ES62" s="327"/>
      <c r="ET62" s="327"/>
      <c r="EU62" s="327"/>
      <c r="EV62" s="327"/>
      <c r="EW62" s="327"/>
      <c r="EX62" s="327"/>
      <c r="EY62" s="327"/>
      <c r="EZ62" s="327"/>
      <c r="FA62" s="327"/>
      <c r="FB62" s="327"/>
      <c r="FC62" s="327"/>
      <c r="FD62" s="327"/>
      <c r="FE62" s="327"/>
      <c r="FF62" s="327"/>
      <c r="FG62" s="327"/>
      <c r="FH62" s="327"/>
      <c r="FI62" s="327"/>
      <c r="FJ62" s="327"/>
      <c r="FK62" s="327"/>
      <c r="FL62" s="327"/>
      <c r="FM62" s="327"/>
      <c r="FN62" s="327"/>
      <c r="FO62" s="327"/>
      <c r="FP62" s="327"/>
      <c r="FQ62" s="327"/>
      <c r="FR62" s="327"/>
      <c r="FS62" s="327"/>
      <c r="FT62" s="327"/>
      <c r="FU62" s="327"/>
      <c r="FV62" s="327"/>
      <c r="FW62" s="327"/>
      <c r="FX62" s="327"/>
      <c r="FY62" s="327"/>
      <c r="FZ62" s="327"/>
      <c r="GA62" s="327"/>
      <c r="GB62" s="327"/>
      <c r="GC62" s="327"/>
      <c r="GD62" s="327"/>
      <c r="GE62" s="327"/>
      <c r="GF62" s="327"/>
      <c r="GG62" s="327"/>
      <c r="GH62" s="327"/>
      <c r="GI62" s="327"/>
      <c r="GJ62" s="327"/>
      <c r="GK62" s="327"/>
      <c r="GL62" s="327"/>
      <c r="GM62" s="327"/>
      <c r="GN62" s="327"/>
      <c r="GO62" s="327"/>
      <c r="GP62" s="327"/>
      <c r="GQ62" s="327"/>
      <c r="GR62" s="327"/>
      <c r="GS62" s="327"/>
      <c r="GT62" s="327"/>
      <c r="GU62" s="327"/>
      <c r="GV62" s="327"/>
      <c r="GW62" s="327"/>
      <c r="GX62" s="327"/>
      <c r="GY62" s="327"/>
      <c r="GZ62" s="327"/>
      <c r="HA62" s="327"/>
      <c r="HB62" s="327"/>
      <c r="HC62" s="327"/>
      <c r="HD62" s="327"/>
      <c r="HE62" s="327"/>
      <c r="HF62" s="327"/>
      <c r="HG62" s="327"/>
      <c r="HH62" s="327"/>
      <c r="HI62" s="327"/>
      <c r="HJ62" s="327"/>
      <c r="HK62" s="327"/>
      <c r="HL62" s="327"/>
      <c r="HM62" s="327"/>
      <c r="HN62" s="327"/>
      <c r="HO62" s="327"/>
      <c r="HP62" s="327"/>
      <c r="HQ62" s="327"/>
      <c r="HR62" s="327"/>
      <c r="HS62" s="327"/>
    </row>
    <row r="63" spans="1:227" ht="15" customHeight="1">
      <c r="A63" s="434">
        <v>4</v>
      </c>
      <c r="B63" s="435" t="str">
        <f>VLOOKUP(Ruimtestaat[[#This Row],[Code]],Locaties[[Code]:[Locatie]],2,FALSE)</f>
        <v>IKC De Waterlelie</v>
      </c>
      <c r="C63" s="435" t="str">
        <f>VLOOKUP(Ruimtestaat[[#This Row],[Code]],Locaties[[#All],[Code]:[Adres]],4,FALSE)</f>
        <v>Goudenregenzoom 73</v>
      </c>
      <c r="D63" s="435" t="str">
        <f>VLOOKUP(Ruimtestaat[[#This Row],[Code]],Locaties[[#All],[Code]:[Postcode]],5,FALSE)</f>
        <v>2719 HE</v>
      </c>
      <c r="E63" s="435" t="str">
        <f>VLOOKUP(Ruimtestaat[[#This Row],[Code]],Locaties[#All],6,FALSE)</f>
        <v>Zoetermeer</v>
      </c>
      <c r="F63" s="434"/>
      <c r="G63" s="434" t="s">
        <v>1678</v>
      </c>
      <c r="H63" s="436" t="s">
        <v>1722</v>
      </c>
      <c r="I63" s="437" t="s">
        <v>1708</v>
      </c>
      <c r="J63" s="330">
        <v>6</v>
      </c>
      <c r="K63" s="450" t="str">
        <f>VLOOKUP(Ruimtestaat[[#This Row],[Ruimte code]],Ruimtegroepen[[#All],[Code]:[Ruimte omschrijving]],2,FALSE)</f>
        <v>Gangen/hallen</v>
      </c>
      <c r="L63" s="434" t="s">
        <v>100</v>
      </c>
      <c r="M63" s="437" t="s">
        <v>1759</v>
      </c>
      <c r="N63" s="439">
        <v>22</v>
      </c>
      <c r="O63" s="439"/>
      <c r="P63" s="439"/>
      <c r="Q63" s="439"/>
      <c r="R63" s="440" t="str">
        <f>VLOOKUP(Ruimtestaat[[#This Row],[Ruimte code]],Ruimtegroepen[],4,FALSE)</f>
        <v>Ve</v>
      </c>
      <c r="S63" s="434">
        <v>41</v>
      </c>
      <c r="T63" s="434" t="s">
        <v>2</v>
      </c>
      <c r="U63" s="434">
        <f>IF(S63&gt;0,IF(RIGHT(Ruimtestaat[[#This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3" s="434">
        <f>IF(U63&gt;0,VLOOKUP($J63,Ruimtegroepen[],3,FALSE)*VLOOKUP($L63,Vloersoorten[],3,FALSE)*VLOOKUP($T63,Frequenties[],3,FALSE)*VLOOKUP($A63,Locaties[],3,FALSE),0)</f>
        <v>0</v>
      </c>
      <c r="W63" s="434">
        <f>Ruimtestaat[[#This Row],[Uitvoeringen werkdagen]]*Ruimtestaat[[#This Row],[Oppervlak (netto)]]</f>
        <v>4510</v>
      </c>
      <c r="X63" s="441">
        <f>IF(V63&gt;0,Ruimtestaat[[#This Row],[Prest. (m2 /jaar) werkdagen]]/Ruimtestaat[[#This Row],[Norm (m2/uur) werkdagen]],0)</f>
        <v>0</v>
      </c>
      <c r="Y63" s="442">
        <f>Ruimtestaat[[#This Row],[Uitvoeringen werkdagen]]*Ruimtestaat[[#This Row],[Gedeeltelijk]]</f>
        <v>0</v>
      </c>
      <c r="Z63" s="443" t="e">
        <f>IF(U63&gt;0,Ruimtestaat[[#This Row],[Prest. (m2 / jaar) werkdagen gedeeld]]/Ruimtestaat[[#This Row],[Norm (m2/uur) werkdagen]],0)</f>
        <v>#DIV/0!</v>
      </c>
      <c r="AA63" s="441" t="e">
        <f>Ruimtestaat[[#This Row],[uren / jaar werkdagen gedeeld]]*Tariefsopbouw!$E$35</f>
        <v>#DIV/0!</v>
      </c>
      <c r="AB63" s="441">
        <f>Ruimtestaat[[#This Row],[Uitvoeringen werkdagen]]*Ruimtestaat[[#This Row],[BSO]]</f>
        <v>0</v>
      </c>
      <c r="AC63" s="443" t="e">
        <f>IF(U63&gt;0,Ruimtestaat[[#This Row],[Prest. (m2 / jaar) werkdagen BSO]]/Ruimtestaat[[#This Row],[Norm (m2/uur) werkdagen]],0)</f>
        <v>#DIV/0!</v>
      </c>
      <c r="AD63" s="443" t="e">
        <f>Ruimtestaat[[#This Row],[uren / jaar werkdagen BSO]]*Tariefsopbouw!$E$35</f>
        <v>#DIV/0!</v>
      </c>
      <c r="AE63" s="444">
        <f>Ruimtestaat[[#This Row],[uren / jaar werkdagen]]*Tariefsopbouw!$E$35</f>
        <v>0</v>
      </c>
      <c r="AF63" s="434"/>
      <c r="AG63" s="434">
        <f>IF(Ruimtestaat[[#This Row],[Frequentie weekend]]&gt;0,VALUE(LEFT(AF63,1))*S63,0)</f>
        <v>0</v>
      </c>
      <c r="AH63" s="445">
        <f>IF($AG63&gt;0,VLOOKUP($J63,Ruimtegroepen[],3,FALSE)*VLOOKUP($L63,Vloersoorten[],3,FALSE)*VLOOKUP($AF63,Frequenties[],3,FALSE)*VLOOKUP(Ruimtestaat[[#This Row],[Code]],Locaties[],3,FALSE),0)</f>
        <v>0</v>
      </c>
      <c r="AI63" s="445">
        <f>Ruimtestaat[[#This Row],[Uitvoeringen weekend]]*Ruimtestaat[[#This Row],[Oppervlak (netto)]]</f>
        <v>0</v>
      </c>
      <c r="AJ63" s="445">
        <f>IF(AH63&gt;0,Ruimtestaat[[#This Row],[Prest. (m2 /jaar) weekend]]/Ruimtestaat[[#This Row],[Norm (m2/uur) weekend]],0)</f>
        <v>0</v>
      </c>
      <c r="AK63" s="444">
        <f>Ruimtestaat[[#This Row],[uren / jaar weekend]]*Tariefsopbouw!$D$40</f>
        <v>0</v>
      </c>
      <c r="AL63" s="441">
        <f>Ruimtestaat[[#This Row],[Prest. (m2 /jaar) weekend]]+Ruimtestaat[[#This Row],[Prest. (m2 /jaar) werkdagen]]</f>
        <v>4510</v>
      </c>
      <c r="AM63" s="441">
        <f>Ruimtestaat[[#This Row],[uren / jaar weekend]]+Ruimtestaat[[#This Row],[uren / jaar werkdagen]]</f>
        <v>0</v>
      </c>
      <c r="AN63" s="446">
        <f>Ruimtestaat[[#This Row],[kosten / jaar weekend]]+Ruimtestaat[[#This Row],[kosten / jaar werkdagen]]</f>
        <v>0</v>
      </c>
      <c r="AO63" s="446"/>
      <c r="AP63" s="447" t="str">
        <f>IF(Ruimtestaat[[#This Row],[Frequentie werkdagen]]="","",_xlfn.CONCAT(Ruimtestaat[[#This Row],[Ruimte code]],"-",Ruimtestaat[[#This Row],[Frequentie werkdagen]]," ",Ruimtestaat[[#This Row],[Vloer code]]))</f>
        <v>6-5w L</v>
      </c>
      <c r="AQ63" s="448" t="str">
        <f>_xlfn.IFNA(VLOOKUP($AP63,Programma!$F$3:$G$1101,2,0),"")</f>
        <v>_</v>
      </c>
      <c r="AR63" s="448" t="str">
        <f>_xlfn.IFNA(VLOOKUP($AP63,Programma!$F$3:$H$1101,3,0),"")</f>
        <v>_</v>
      </c>
      <c r="AS63" s="448" t="str">
        <f>_xlfn.IFNA(VLOOKUP($AP63,Programma!$F$3:$I$1101,4,0),"")</f>
        <v>_</v>
      </c>
      <c r="AT63" s="448" t="str">
        <f>_xlfn.IFNA(VLOOKUP($AP63,Programma!$F$3:$J$1101,5,0),"")</f>
        <v>5w</v>
      </c>
      <c r="AU63" s="448" t="str">
        <f>_xlfn.IFNA(VLOOKUP($AP63,Programma!$F$3:$K$1101,6,0),"")</f>
        <v>_</v>
      </c>
      <c r="AV63" s="448" t="str">
        <f>_xlfn.IFNA(VLOOKUP($AP63,Programma!$F$3:$L$1101,7,0),"")</f>
        <v>_</v>
      </c>
      <c r="AW63" s="448" t="str">
        <f>_xlfn.IFNA(VLOOKUP($AP63,Programma!$F$3:$M$1101,8,0),"")</f>
        <v>_</v>
      </c>
      <c r="AX63" s="448" t="str">
        <f>_xlfn.IFNA(VLOOKUP($AP63,Programma!$F$3:$N$1101,9,0),"")</f>
        <v>_</v>
      </c>
      <c r="AY63" s="448" t="str">
        <f>_xlfn.IFNA(VLOOKUP($AP63,Programma!$F$3:$O$1101,10,0),"")</f>
        <v>5w</v>
      </c>
      <c r="AZ63" s="448" t="str">
        <f>_xlfn.IFNA(VLOOKUP($AP63,Programma!$F$3:$P$1101,11,0),"")</f>
        <v>5w</v>
      </c>
      <c r="BA63" s="448" t="str">
        <f>_xlfn.IFNA(VLOOKUP($AP63,Programma!$F$3:$Q$1101,12,0),"")</f>
        <v>1w</v>
      </c>
      <c r="BB63" s="448" t="str">
        <f>_xlfn.IFNA(VLOOKUP($AP63,Programma!$F$3:$R$1101,13,0),"")</f>
        <v>1w</v>
      </c>
      <c r="BC63" s="448" t="str">
        <f>_xlfn.IFNA(VLOOKUP($AP63,Programma!$F$3:$S$1101,14,0),"")</f>
        <v>1m</v>
      </c>
      <c r="BD63" s="448" t="str">
        <f>_xlfn.IFNA(VLOOKUP($AP63,Programma!$F$3:$T$1101,15,0),"")</f>
        <v>2j</v>
      </c>
      <c r="BE63" s="448" t="str">
        <f>_xlfn.IFNA(VLOOKUP($AP63,Programma!$F$3:$U$1101,16,0),"")</f>
        <v>1j</v>
      </c>
      <c r="BF63" s="448" t="str">
        <f>_xlfn.IFNA(VLOOKUP($AP63,Programma!$F$3:$V$1101,17,0),"")</f>
        <v>_</v>
      </c>
      <c r="BG63" s="448" t="str">
        <f>_xlfn.IFNA(VLOOKUP($AP63,Programma!$F$3:$W$1101,18,0),"")</f>
        <v>_</v>
      </c>
      <c r="BH63" s="448" t="str">
        <f>_xlfn.IFNA(VLOOKUP($AP63,Programma!$F$3:$X$1101,19,0),"")</f>
        <v>_</v>
      </c>
      <c r="BI63" s="448" t="str">
        <f>_xlfn.IFNA(VLOOKUP($AP63,Programma!$F$3:$Y$1101,20,0),"")</f>
        <v>_</v>
      </c>
      <c r="BJ63" s="449"/>
      <c r="BK63" s="447" t="str">
        <f>IF(Ruimtestaat[[#This Row],[Frequentie weekend]]="","",_xlfn.CONCAT(Ruimtestaat[[#This Row],[Ruimte code]],"-",Ruimtestaat[[#This Row],[Frequentie weekend]]," ",Ruimtestaat[[#This Row],[Vloer code]]))</f>
        <v/>
      </c>
      <c r="BL63" s="448" t="str">
        <f>_xlfn.IFNA(VLOOKUP($BK63,Programma!$F$3:$G$1101,2,0),"")</f>
        <v/>
      </c>
      <c r="BM63" s="448" t="str">
        <f>_xlfn.IFNA(VLOOKUP($BK63,Programma!$F$3:$H$1101,3,0),"")</f>
        <v/>
      </c>
      <c r="BN63" s="448" t="str">
        <f>_xlfn.IFNA(VLOOKUP($BK63,Programma!$F$3:$I$1101,4,0),"")</f>
        <v/>
      </c>
      <c r="BO63" s="448" t="str">
        <f>_xlfn.IFNA(VLOOKUP($BK63,Programma!$F$3:$J$1101,5,0),"")</f>
        <v/>
      </c>
      <c r="BP63" s="448" t="str">
        <f>_xlfn.IFNA(VLOOKUP($BK63,Programma!$F$3:$K$1101,6,0),"")</f>
        <v/>
      </c>
      <c r="BQ63" s="448" t="str">
        <f>_xlfn.IFNA(VLOOKUP($BK63,Programma!$F$3:$L$1101,7,0),"")</f>
        <v/>
      </c>
      <c r="BR63" s="448" t="str">
        <f>_xlfn.IFNA(VLOOKUP($BK63,Programma!$F$3:$M$1101,8,0),"")</f>
        <v/>
      </c>
      <c r="BS63" s="448" t="str">
        <f>_xlfn.IFNA(VLOOKUP($BK63,Programma!$F$3:$N$1101,9,0),"")</f>
        <v/>
      </c>
      <c r="BT63" s="448" t="str">
        <f>_xlfn.IFNA(VLOOKUP($BK63,Programma!$F$3:$O$1101,10,0),"")</f>
        <v/>
      </c>
      <c r="BU63" s="448" t="str">
        <f>_xlfn.IFNA(VLOOKUP($BK63,Programma!$F$3:$P$1101,11,0),"")</f>
        <v/>
      </c>
      <c r="BV63" s="448" t="str">
        <f>_xlfn.IFNA(VLOOKUP($BK63,Programma!$F$3:$Q$1101,12,0),"")</f>
        <v/>
      </c>
      <c r="BW63" s="448" t="str">
        <f>_xlfn.IFNA(VLOOKUP($BK63,Programma!$F$3:$R$1101,13,0),"")</f>
        <v/>
      </c>
      <c r="BX63" s="448" t="str">
        <f>_xlfn.IFNA(VLOOKUP($BK63,Programma!$F$3:$S$1101,14,0),"")</f>
        <v/>
      </c>
      <c r="BY63" s="448" t="str">
        <f>_xlfn.IFNA(VLOOKUP($BK63,Programma!$F$3:$T$1101,15,0),"")</f>
        <v/>
      </c>
      <c r="BZ63" s="448" t="str">
        <f>_xlfn.IFNA(VLOOKUP($BK63,Programma!$F$3:$U$1101,16,0),"")</f>
        <v/>
      </c>
      <c r="CA63" s="448" t="str">
        <f>_xlfn.IFNA(VLOOKUP($BK63,Programma!$F$3:$V$1101,17,0),"")</f>
        <v/>
      </c>
      <c r="CB63" s="448" t="str">
        <f>_xlfn.IFNA(VLOOKUP($BK63,Programma!$F$3:$W$1101,18,0),"")</f>
        <v/>
      </c>
      <c r="CC63" s="448" t="str">
        <f>_xlfn.IFNA(VLOOKUP($BK63,Programma!$F$3:$X$1101,19,0),"")</f>
        <v/>
      </c>
      <c r="CD63" s="448" t="str">
        <f>_xlfn.IFNA(VLOOKUP($BK63,Programma!$F$3:$Y$1101,20,0),"")</f>
        <v/>
      </c>
      <c r="CE63" s="327"/>
      <c r="CF63" s="327"/>
      <c r="CG63" s="327"/>
      <c r="CH63" s="327"/>
      <c r="CI63" s="327"/>
      <c r="CJ63" s="327"/>
      <c r="CK63" s="327"/>
      <c r="CL63" s="327"/>
      <c r="CM63" s="327"/>
      <c r="CN63" s="327"/>
      <c r="CO63" s="327"/>
      <c r="CP63" s="327"/>
      <c r="CQ63" s="327"/>
      <c r="CR63" s="327"/>
      <c r="CS63" s="327"/>
      <c r="CT63" s="327"/>
      <c r="CU63" s="327"/>
      <c r="CV63" s="327"/>
      <c r="CW63" s="327"/>
      <c r="CX63" s="327"/>
      <c r="CY63" s="327"/>
      <c r="CZ63" s="327"/>
      <c r="DA63" s="327"/>
      <c r="DB63" s="327"/>
      <c r="DC63" s="327"/>
      <c r="DD63" s="327"/>
      <c r="DE63" s="327"/>
      <c r="DF63" s="327"/>
      <c r="DG63" s="327"/>
      <c r="DH63" s="327"/>
      <c r="DI63" s="327"/>
      <c r="DJ63" s="327"/>
      <c r="DK63" s="327"/>
      <c r="DL63" s="327"/>
      <c r="DM63" s="327"/>
      <c r="DN63" s="327"/>
      <c r="DO63" s="327"/>
      <c r="DP63" s="327"/>
      <c r="DQ63" s="327"/>
      <c r="DR63" s="327"/>
      <c r="DS63" s="327"/>
      <c r="DT63" s="327"/>
      <c r="DU63" s="327"/>
      <c r="DV63" s="327"/>
      <c r="DW63" s="327"/>
      <c r="DX63" s="327"/>
      <c r="DY63" s="327"/>
      <c r="DZ63" s="327"/>
      <c r="EA63" s="327"/>
      <c r="EB63" s="327"/>
      <c r="EC63" s="327"/>
      <c r="ED63" s="327"/>
      <c r="EE63" s="327"/>
      <c r="EF63" s="327"/>
      <c r="EG63" s="327"/>
      <c r="EH63" s="327"/>
      <c r="EI63" s="327"/>
      <c r="EJ63" s="327"/>
      <c r="EK63" s="327"/>
      <c r="EL63" s="327"/>
      <c r="EM63" s="327"/>
      <c r="EN63" s="327"/>
      <c r="EO63" s="327"/>
      <c r="EP63" s="327"/>
      <c r="EQ63" s="327"/>
      <c r="ER63" s="327"/>
      <c r="ES63" s="327"/>
      <c r="ET63" s="327"/>
      <c r="EU63" s="327"/>
      <c r="EV63" s="327"/>
      <c r="EW63" s="327"/>
      <c r="EX63" s="327"/>
      <c r="EY63" s="327"/>
      <c r="EZ63" s="327"/>
      <c r="FA63" s="327"/>
      <c r="FB63" s="327"/>
      <c r="FC63" s="327"/>
      <c r="FD63" s="327"/>
      <c r="FE63" s="327"/>
      <c r="FF63" s="327"/>
      <c r="FG63" s="327"/>
      <c r="FH63" s="327"/>
      <c r="FI63" s="327"/>
      <c r="FJ63" s="327"/>
      <c r="FK63" s="327"/>
      <c r="FL63" s="327"/>
      <c r="FM63" s="327"/>
      <c r="FN63" s="327"/>
      <c r="FO63" s="327"/>
      <c r="FP63" s="327"/>
      <c r="FQ63" s="327"/>
      <c r="FR63" s="327"/>
      <c r="FS63" s="327"/>
      <c r="FT63" s="327"/>
      <c r="FU63" s="327"/>
      <c r="FV63" s="327"/>
      <c r="FW63" s="327"/>
      <c r="FX63" s="327"/>
      <c r="FY63" s="327"/>
      <c r="FZ63" s="327"/>
      <c r="GA63" s="327"/>
      <c r="GB63" s="327"/>
      <c r="GC63" s="327"/>
      <c r="GD63" s="327"/>
      <c r="GE63" s="327"/>
      <c r="GF63" s="327"/>
      <c r="GG63" s="327"/>
      <c r="GH63" s="327"/>
      <c r="GI63" s="327"/>
      <c r="GJ63" s="327"/>
      <c r="GK63" s="327"/>
      <c r="GL63" s="327"/>
      <c r="GM63" s="327"/>
      <c r="GN63" s="327"/>
      <c r="GO63" s="327"/>
      <c r="GP63" s="327"/>
      <c r="GQ63" s="327"/>
      <c r="GR63" s="327"/>
      <c r="GS63" s="327"/>
      <c r="GT63" s="327"/>
      <c r="GU63" s="327"/>
      <c r="GV63" s="327"/>
      <c r="GW63" s="327"/>
      <c r="GX63" s="327"/>
      <c r="GY63" s="327"/>
      <c r="GZ63" s="327"/>
      <c r="HA63" s="327"/>
      <c r="HB63" s="327"/>
      <c r="HC63" s="327"/>
      <c r="HD63" s="327"/>
      <c r="HE63" s="327"/>
      <c r="HF63" s="327"/>
      <c r="HG63" s="327"/>
      <c r="HH63" s="327"/>
      <c r="HI63" s="327"/>
      <c r="HJ63" s="327"/>
      <c r="HK63" s="327"/>
      <c r="HL63" s="327"/>
      <c r="HM63" s="327"/>
      <c r="HN63" s="327"/>
      <c r="HO63" s="327"/>
      <c r="HP63" s="327"/>
      <c r="HQ63" s="327"/>
      <c r="HR63" s="327"/>
      <c r="HS63" s="327"/>
    </row>
    <row r="64" spans="1:227" ht="15" customHeight="1">
      <c r="A64" s="434">
        <v>4</v>
      </c>
      <c r="B64" s="435" t="str">
        <f>VLOOKUP(Ruimtestaat[[#This Row],[Code]],Locaties[[Code]:[Locatie]],2,FALSE)</f>
        <v>IKC De Waterlelie</v>
      </c>
      <c r="C64" s="435" t="str">
        <f>VLOOKUP(Ruimtestaat[[#This Row],[Code]],Locaties[[#All],[Code]:[Adres]],4,FALSE)</f>
        <v>Goudenregenzoom 73</v>
      </c>
      <c r="D64" s="435" t="str">
        <f>VLOOKUP(Ruimtestaat[[#This Row],[Code]],Locaties[[#All],[Code]:[Postcode]],5,FALSE)</f>
        <v>2719 HE</v>
      </c>
      <c r="E64" s="435" t="str">
        <f>VLOOKUP(Ruimtestaat[[#This Row],[Code]],Locaties[#All],6,FALSE)</f>
        <v>Zoetermeer</v>
      </c>
      <c r="F64" s="434"/>
      <c r="G64" s="434" t="s">
        <v>1678</v>
      </c>
      <c r="H64" s="436" t="s">
        <v>1723</v>
      </c>
      <c r="I64" s="437" t="s">
        <v>1724</v>
      </c>
      <c r="J64" s="330">
        <v>20</v>
      </c>
      <c r="K64" s="450" t="str">
        <f>VLOOKUP(Ruimtestaat[[#This Row],[Ruimte code]],Ruimtegroepen[[#All],[Code]:[Ruimte omschrijving]],2,FALSE)</f>
        <v>Niet in Onderhoud</v>
      </c>
      <c r="L64" s="434" t="s">
        <v>100</v>
      </c>
      <c r="M64" s="437" t="s">
        <v>1759</v>
      </c>
      <c r="N64" s="439"/>
      <c r="O64" s="439"/>
      <c r="P64" s="439"/>
      <c r="Q64" s="439"/>
      <c r="R64" s="440">
        <f>VLOOKUP(Ruimtestaat[[#This Row],[Ruimte code]],Ruimtegroepen[],4,FALSE)</f>
        <v>0</v>
      </c>
      <c r="S64" s="434"/>
      <c r="T64" s="434"/>
      <c r="U64" s="434">
        <f>IF(S64&gt;0,IF(RIGHT(Ruimtestaat[[#This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 s="434">
        <f>IF(U64&gt;0,VLOOKUP($J64,Ruimtegroepen[],3,FALSE)*VLOOKUP($L64,Vloersoorten[],3,FALSE)*VLOOKUP($T64,Frequenties[],3,FALSE)*VLOOKUP($A64,Locaties[],3,FALSE),0)</f>
        <v>0</v>
      </c>
      <c r="W64" s="434">
        <f>Ruimtestaat[[#This Row],[Uitvoeringen werkdagen]]*Ruimtestaat[[#This Row],[Oppervlak (netto)]]</f>
        <v>0</v>
      </c>
      <c r="X64" s="441">
        <f>IF(V64&gt;0,Ruimtestaat[[#This Row],[Prest. (m2 /jaar) werkdagen]]/Ruimtestaat[[#This Row],[Norm (m2/uur) werkdagen]],0)</f>
        <v>0</v>
      </c>
      <c r="Y64" s="442">
        <f>Ruimtestaat[[#This Row],[Uitvoeringen werkdagen]]*Ruimtestaat[[#This Row],[Gedeeltelijk]]</f>
        <v>0</v>
      </c>
      <c r="Z64" s="443">
        <f>IF(U64&gt;0,Ruimtestaat[[#This Row],[Prest. (m2 / jaar) werkdagen gedeeld]]/Ruimtestaat[[#This Row],[Norm (m2/uur) werkdagen]],0)</f>
        <v>0</v>
      </c>
      <c r="AA64" s="441">
        <f>Ruimtestaat[[#This Row],[uren / jaar werkdagen gedeeld]]*Tariefsopbouw!$E$35</f>
        <v>0</v>
      </c>
      <c r="AB64" s="441">
        <f>Ruimtestaat[[#This Row],[Uitvoeringen werkdagen]]*Ruimtestaat[[#This Row],[BSO]]</f>
        <v>0</v>
      </c>
      <c r="AC64" s="443">
        <f>IF(U64&gt;0,Ruimtestaat[[#This Row],[Prest. (m2 / jaar) werkdagen BSO]]/Ruimtestaat[[#This Row],[Norm (m2/uur) werkdagen]],0)</f>
        <v>0</v>
      </c>
      <c r="AD64" s="443">
        <f>Ruimtestaat[[#This Row],[uren / jaar werkdagen BSO]]*Tariefsopbouw!$E$35</f>
        <v>0</v>
      </c>
      <c r="AE64" s="444">
        <f>Ruimtestaat[[#This Row],[uren / jaar werkdagen]]*Tariefsopbouw!$E$35</f>
        <v>0</v>
      </c>
      <c r="AF64" s="434"/>
      <c r="AG64" s="434">
        <f>IF(Ruimtestaat[[#This Row],[Frequentie weekend]]&gt;0,VALUE(LEFT(AF64,1))*S64,0)</f>
        <v>0</v>
      </c>
      <c r="AH64" s="445">
        <f>IF($AG64&gt;0,VLOOKUP($J64,Ruimtegroepen[],3,FALSE)*VLOOKUP($L64,Vloersoorten[],3,FALSE)*VLOOKUP($AF64,Frequenties[],3,FALSE)*VLOOKUP(Ruimtestaat[[#This Row],[Code]],Locaties[],3,FALSE),0)</f>
        <v>0</v>
      </c>
      <c r="AI64" s="445">
        <f>Ruimtestaat[[#This Row],[Uitvoeringen weekend]]*Ruimtestaat[[#This Row],[Oppervlak (netto)]]</f>
        <v>0</v>
      </c>
      <c r="AJ64" s="445">
        <f>IF(AH64&gt;0,Ruimtestaat[[#This Row],[Prest. (m2 /jaar) weekend]]/Ruimtestaat[[#This Row],[Norm (m2/uur) weekend]],0)</f>
        <v>0</v>
      </c>
      <c r="AK64" s="444">
        <f>Ruimtestaat[[#This Row],[uren / jaar weekend]]*Tariefsopbouw!$D$40</f>
        <v>0</v>
      </c>
      <c r="AL64" s="441">
        <f>Ruimtestaat[[#This Row],[Prest. (m2 /jaar) weekend]]+Ruimtestaat[[#This Row],[Prest. (m2 /jaar) werkdagen]]</f>
        <v>0</v>
      </c>
      <c r="AM64" s="441">
        <f>Ruimtestaat[[#This Row],[uren / jaar weekend]]+Ruimtestaat[[#This Row],[uren / jaar werkdagen]]</f>
        <v>0</v>
      </c>
      <c r="AN64" s="446">
        <f>Ruimtestaat[[#This Row],[kosten / jaar weekend]]+Ruimtestaat[[#This Row],[kosten / jaar werkdagen]]</f>
        <v>0</v>
      </c>
      <c r="AO64" s="446"/>
      <c r="AP64" s="447" t="str">
        <f>IF(Ruimtestaat[[#This Row],[Frequentie werkdagen]]="","",_xlfn.CONCAT(Ruimtestaat[[#This Row],[Ruimte code]],"-",Ruimtestaat[[#This Row],[Frequentie werkdagen]]," ",Ruimtestaat[[#This Row],[Vloer code]]))</f>
        <v/>
      </c>
      <c r="AQ64" s="448" t="str">
        <f>_xlfn.IFNA(VLOOKUP($AP64,Programma!$F$3:$G$1101,2,0),"")</f>
        <v/>
      </c>
      <c r="AR64" s="448" t="str">
        <f>_xlfn.IFNA(VLOOKUP($AP64,Programma!$F$3:$H$1101,3,0),"")</f>
        <v/>
      </c>
      <c r="AS64" s="448" t="str">
        <f>_xlfn.IFNA(VLOOKUP($AP64,Programma!$F$3:$I$1101,4,0),"")</f>
        <v/>
      </c>
      <c r="AT64" s="448" t="str">
        <f>_xlfn.IFNA(VLOOKUP($AP64,Programma!$F$3:$J$1101,5,0),"")</f>
        <v/>
      </c>
      <c r="AU64" s="448" t="str">
        <f>_xlfn.IFNA(VLOOKUP($AP64,Programma!$F$3:$K$1101,6,0),"")</f>
        <v/>
      </c>
      <c r="AV64" s="448" t="str">
        <f>_xlfn.IFNA(VLOOKUP($AP64,Programma!$F$3:$L$1101,7,0),"")</f>
        <v/>
      </c>
      <c r="AW64" s="448" t="str">
        <f>_xlfn.IFNA(VLOOKUP($AP64,Programma!$F$3:$M$1101,8,0),"")</f>
        <v/>
      </c>
      <c r="AX64" s="448" t="str">
        <f>_xlfn.IFNA(VLOOKUP($AP64,Programma!$F$3:$N$1101,9,0),"")</f>
        <v/>
      </c>
      <c r="AY64" s="448" t="str">
        <f>_xlfn.IFNA(VLOOKUP($AP64,Programma!$F$3:$O$1101,10,0),"")</f>
        <v/>
      </c>
      <c r="AZ64" s="448" t="str">
        <f>_xlfn.IFNA(VLOOKUP($AP64,Programma!$F$3:$P$1101,11,0),"")</f>
        <v/>
      </c>
      <c r="BA64" s="448" t="str">
        <f>_xlfn.IFNA(VLOOKUP($AP64,Programma!$F$3:$Q$1101,12,0),"")</f>
        <v/>
      </c>
      <c r="BB64" s="448" t="str">
        <f>_xlfn.IFNA(VLOOKUP($AP64,Programma!$F$3:$R$1101,13,0),"")</f>
        <v/>
      </c>
      <c r="BC64" s="448" t="str">
        <f>_xlfn.IFNA(VLOOKUP($AP64,Programma!$F$3:$S$1101,14,0),"")</f>
        <v/>
      </c>
      <c r="BD64" s="448" t="str">
        <f>_xlfn.IFNA(VLOOKUP($AP64,Programma!$F$3:$T$1101,15,0),"")</f>
        <v/>
      </c>
      <c r="BE64" s="448" t="str">
        <f>_xlfn.IFNA(VLOOKUP($AP64,Programma!$F$3:$U$1101,16,0),"")</f>
        <v/>
      </c>
      <c r="BF64" s="448" t="str">
        <f>_xlfn.IFNA(VLOOKUP($AP64,Programma!$F$3:$V$1101,17,0),"")</f>
        <v/>
      </c>
      <c r="BG64" s="448" t="str">
        <f>_xlfn.IFNA(VLOOKUP($AP64,Programma!$F$3:$W$1101,18,0),"")</f>
        <v/>
      </c>
      <c r="BH64" s="448" t="str">
        <f>_xlfn.IFNA(VLOOKUP($AP64,Programma!$F$3:$X$1101,19,0),"")</f>
        <v/>
      </c>
      <c r="BI64" s="448" t="str">
        <f>_xlfn.IFNA(VLOOKUP($AP64,Programma!$F$3:$Y$1101,20,0),"")</f>
        <v/>
      </c>
      <c r="BJ64" s="449"/>
      <c r="BK64" s="447" t="str">
        <f>IF(Ruimtestaat[[#This Row],[Frequentie weekend]]="","",_xlfn.CONCAT(Ruimtestaat[[#This Row],[Ruimte code]],"-",Ruimtestaat[[#This Row],[Frequentie weekend]]," ",Ruimtestaat[[#This Row],[Vloer code]]))</f>
        <v/>
      </c>
      <c r="BL64" s="448" t="str">
        <f>_xlfn.IFNA(VLOOKUP($BK64,Programma!$F$3:$G$1101,2,0),"")</f>
        <v/>
      </c>
      <c r="BM64" s="448" t="str">
        <f>_xlfn.IFNA(VLOOKUP($BK64,Programma!$F$3:$H$1101,3,0),"")</f>
        <v/>
      </c>
      <c r="BN64" s="448" t="str">
        <f>_xlfn.IFNA(VLOOKUP($BK64,Programma!$F$3:$I$1101,4,0),"")</f>
        <v/>
      </c>
      <c r="BO64" s="448" t="str">
        <f>_xlfn.IFNA(VLOOKUP($BK64,Programma!$F$3:$J$1101,5,0),"")</f>
        <v/>
      </c>
      <c r="BP64" s="448" t="str">
        <f>_xlfn.IFNA(VLOOKUP($BK64,Programma!$F$3:$K$1101,6,0),"")</f>
        <v/>
      </c>
      <c r="BQ64" s="448" t="str">
        <f>_xlfn.IFNA(VLOOKUP($BK64,Programma!$F$3:$L$1101,7,0),"")</f>
        <v/>
      </c>
      <c r="BR64" s="448" t="str">
        <f>_xlfn.IFNA(VLOOKUP($BK64,Programma!$F$3:$M$1101,8,0),"")</f>
        <v/>
      </c>
      <c r="BS64" s="448" t="str">
        <f>_xlfn.IFNA(VLOOKUP($BK64,Programma!$F$3:$N$1101,9,0),"")</f>
        <v/>
      </c>
      <c r="BT64" s="448" t="str">
        <f>_xlfn.IFNA(VLOOKUP($BK64,Programma!$F$3:$O$1101,10,0),"")</f>
        <v/>
      </c>
      <c r="BU64" s="448" t="str">
        <f>_xlfn.IFNA(VLOOKUP($BK64,Programma!$F$3:$P$1101,11,0),"")</f>
        <v/>
      </c>
      <c r="BV64" s="448" t="str">
        <f>_xlfn.IFNA(VLOOKUP($BK64,Programma!$F$3:$Q$1101,12,0),"")</f>
        <v/>
      </c>
      <c r="BW64" s="448" t="str">
        <f>_xlfn.IFNA(VLOOKUP($BK64,Programma!$F$3:$R$1101,13,0),"")</f>
        <v/>
      </c>
      <c r="BX64" s="448" t="str">
        <f>_xlfn.IFNA(VLOOKUP($BK64,Programma!$F$3:$S$1101,14,0),"")</f>
        <v/>
      </c>
      <c r="BY64" s="448" t="str">
        <f>_xlfn.IFNA(VLOOKUP($BK64,Programma!$F$3:$T$1101,15,0),"")</f>
        <v/>
      </c>
      <c r="BZ64" s="448" t="str">
        <f>_xlfn.IFNA(VLOOKUP($BK64,Programma!$F$3:$U$1101,16,0),"")</f>
        <v/>
      </c>
      <c r="CA64" s="448" t="str">
        <f>_xlfn.IFNA(VLOOKUP($BK64,Programma!$F$3:$V$1101,17,0),"")</f>
        <v/>
      </c>
      <c r="CB64" s="448" t="str">
        <f>_xlfn.IFNA(VLOOKUP($BK64,Programma!$F$3:$W$1101,18,0),"")</f>
        <v/>
      </c>
      <c r="CC64" s="448" t="str">
        <f>_xlfn.IFNA(VLOOKUP($BK64,Programma!$F$3:$X$1101,19,0),"")</f>
        <v/>
      </c>
      <c r="CD64" s="448" t="str">
        <f>_xlfn.IFNA(VLOOKUP($BK64,Programma!$F$3:$Y$1101,20,0),"")</f>
        <v/>
      </c>
      <c r="CE64" s="327"/>
      <c r="CF64" s="327"/>
      <c r="CG64" s="327"/>
      <c r="CH64" s="327"/>
      <c r="CI64" s="327"/>
      <c r="CJ64" s="327"/>
      <c r="CK64" s="327"/>
      <c r="CL64" s="327"/>
      <c r="CM64" s="327"/>
      <c r="CN64" s="327"/>
      <c r="CO64" s="327"/>
      <c r="CP64" s="327"/>
      <c r="CQ64" s="327"/>
      <c r="CR64" s="327"/>
      <c r="CS64" s="327"/>
      <c r="CT64" s="327"/>
      <c r="CU64" s="327"/>
      <c r="CV64" s="327"/>
      <c r="CW64" s="327"/>
      <c r="CX64" s="327"/>
      <c r="CY64" s="327"/>
      <c r="CZ64" s="327"/>
      <c r="DA64" s="327"/>
      <c r="DB64" s="327"/>
      <c r="DC64" s="327"/>
      <c r="DD64" s="327"/>
      <c r="DE64" s="327"/>
      <c r="DF64" s="327"/>
      <c r="DG64" s="327"/>
      <c r="DH64" s="327"/>
      <c r="DI64" s="327"/>
      <c r="DJ64" s="327"/>
      <c r="DK64" s="327"/>
      <c r="DL64" s="327"/>
      <c r="DM64" s="327"/>
      <c r="DN64" s="327"/>
      <c r="DO64" s="327"/>
      <c r="DP64" s="327"/>
      <c r="DQ64" s="327"/>
      <c r="DR64" s="327"/>
      <c r="DS64" s="327"/>
      <c r="DT64" s="327"/>
      <c r="DU64" s="327"/>
      <c r="DV64" s="327"/>
      <c r="DW64" s="327"/>
      <c r="DX64" s="327"/>
      <c r="DY64" s="327"/>
      <c r="DZ64" s="327"/>
      <c r="EA64" s="327"/>
      <c r="EB64" s="327"/>
      <c r="EC64" s="327"/>
      <c r="ED64" s="327"/>
      <c r="EE64" s="327"/>
      <c r="EF64" s="327"/>
      <c r="EG64" s="327"/>
      <c r="EH64" s="327"/>
      <c r="EI64" s="327"/>
      <c r="EJ64" s="327"/>
      <c r="EK64" s="327"/>
      <c r="EL64" s="327"/>
      <c r="EM64" s="327"/>
      <c r="EN64" s="327"/>
      <c r="EO64" s="327"/>
      <c r="EP64" s="327"/>
      <c r="EQ64" s="327"/>
      <c r="ER64" s="327"/>
      <c r="ES64" s="327"/>
      <c r="ET64" s="327"/>
      <c r="EU64" s="327"/>
      <c r="EV64" s="327"/>
      <c r="EW64" s="327"/>
      <c r="EX64" s="327"/>
      <c r="EY64" s="327"/>
      <c r="EZ64" s="327"/>
      <c r="FA64" s="327"/>
      <c r="FB64" s="327"/>
      <c r="FC64" s="327"/>
      <c r="FD64" s="327"/>
      <c r="FE64" s="327"/>
      <c r="FF64" s="327"/>
      <c r="FG64" s="327"/>
      <c r="FH64" s="327"/>
      <c r="FI64" s="327"/>
      <c r="FJ64" s="327"/>
      <c r="FK64" s="327"/>
      <c r="FL64" s="327"/>
      <c r="FM64" s="327"/>
      <c r="FN64" s="327"/>
      <c r="FO64" s="327"/>
      <c r="FP64" s="327"/>
      <c r="FQ64" s="327"/>
      <c r="FR64" s="327"/>
      <c r="FS64" s="327"/>
      <c r="FT64" s="327"/>
      <c r="FU64" s="327"/>
      <c r="FV64" s="327"/>
      <c r="FW64" s="327"/>
      <c r="FX64" s="327"/>
      <c r="FY64" s="327"/>
      <c r="FZ64" s="327"/>
      <c r="GA64" s="327"/>
      <c r="GB64" s="327"/>
      <c r="GC64" s="327"/>
      <c r="GD64" s="327"/>
      <c r="GE64" s="327"/>
      <c r="GF64" s="327"/>
      <c r="GG64" s="327"/>
      <c r="GH64" s="327"/>
      <c r="GI64" s="327"/>
      <c r="GJ64" s="327"/>
      <c r="GK64" s="327"/>
      <c r="GL64" s="327"/>
      <c r="GM64" s="327"/>
      <c r="GN64" s="327"/>
      <c r="GO64" s="327"/>
      <c r="GP64" s="327"/>
      <c r="GQ64" s="327"/>
      <c r="GR64" s="327"/>
      <c r="GS64" s="327"/>
      <c r="GT64" s="327"/>
      <c r="GU64" s="327"/>
      <c r="GV64" s="327"/>
      <c r="GW64" s="327"/>
      <c r="GX64" s="327"/>
      <c r="GY64" s="327"/>
      <c r="GZ64" s="327"/>
      <c r="HA64" s="327"/>
      <c r="HB64" s="327"/>
      <c r="HC64" s="327"/>
      <c r="HD64" s="327"/>
      <c r="HE64" s="327"/>
      <c r="HF64" s="327"/>
      <c r="HG64" s="327"/>
      <c r="HH64" s="327"/>
      <c r="HI64" s="327"/>
      <c r="HJ64" s="327"/>
      <c r="HK64" s="327"/>
      <c r="HL64" s="327"/>
      <c r="HM64" s="327"/>
      <c r="HN64" s="327"/>
      <c r="HO64" s="327"/>
      <c r="HP64" s="327"/>
      <c r="HQ64" s="327"/>
      <c r="HR64" s="327"/>
      <c r="HS64" s="327"/>
    </row>
    <row r="65" spans="1:227" ht="15" customHeight="1">
      <c r="A65" s="434">
        <v>4</v>
      </c>
      <c r="B65" s="435" t="str">
        <f>VLOOKUP(Ruimtestaat[[#This Row],[Code]],Locaties[[Code]:[Locatie]],2,FALSE)</f>
        <v>IKC De Waterlelie</v>
      </c>
      <c r="C65" s="435" t="str">
        <f>VLOOKUP(Ruimtestaat[[#This Row],[Code]],Locaties[[#All],[Code]:[Adres]],4,FALSE)</f>
        <v>Goudenregenzoom 73</v>
      </c>
      <c r="D65" s="435" t="str">
        <f>VLOOKUP(Ruimtestaat[[#This Row],[Code]],Locaties[[#All],[Code]:[Postcode]],5,FALSE)</f>
        <v>2719 HE</v>
      </c>
      <c r="E65" s="435" t="str">
        <f>VLOOKUP(Ruimtestaat[[#This Row],[Code]],Locaties[#All],6,FALSE)</f>
        <v>Zoetermeer</v>
      </c>
      <c r="F65" s="450" t="s">
        <v>1705</v>
      </c>
      <c r="G65" s="434" t="s">
        <v>1678</v>
      </c>
      <c r="H65" s="436" t="s">
        <v>1725</v>
      </c>
      <c r="I65" s="437" t="s">
        <v>1726</v>
      </c>
      <c r="J65" s="330">
        <v>8</v>
      </c>
      <c r="K65" s="450" t="str">
        <f>VLOOKUP(Ruimtestaat[[#This Row],[Ruimte code]],Ruimtegroepen[[#All],[Code]:[Ruimte omschrijving]],2,FALSE)</f>
        <v>Kinderopvang</v>
      </c>
      <c r="L65" s="434" t="s">
        <v>100</v>
      </c>
      <c r="M65" s="437" t="s">
        <v>1759</v>
      </c>
      <c r="N65" s="439"/>
      <c r="O65" s="439"/>
      <c r="P65" s="439"/>
      <c r="Q65" s="439">
        <v>81</v>
      </c>
      <c r="R65" s="440" t="str">
        <f>VLOOKUP(Ruimtestaat[[#This Row],[Ruimte code]],Ruimtegroepen[],4,FALSE)</f>
        <v>Le</v>
      </c>
      <c r="S65" s="434">
        <v>51</v>
      </c>
      <c r="T65" s="434" t="s">
        <v>20</v>
      </c>
      <c r="U65" s="434">
        <f>IF(S65&gt;0,IF(RIGHT(Ruimtestaat[[#This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65" s="434">
        <f>IF(U65&gt;0,VLOOKUP($J65,Ruimtegroepen[],3,FALSE)*VLOOKUP($L65,Vloersoorten[],3,FALSE)*VLOOKUP($T65,Frequenties[],3,FALSE)*VLOOKUP($A65,Locaties[],3,FALSE),0)</f>
        <v>0</v>
      </c>
      <c r="W65" s="434">
        <f>Ruimtestaat[[#This Row],[Uitvoeringen werkdagen]]*Ruimtestaat[[#This Row],[Oppervlak (netto)]]</f>
        <v>0</v>
      </c>
      <c r="X65" s="441">
        <f>IF(V65&gt;0,Ruimtestaat[[#This Row],[Prest. (m2 /jaar) werkdagen]]/Ruimtestaat[[#This Row],[Norm (m2/uur) werkdagen]],0)</f>
        <v>0</v>
      </c>
      <c r="Y65" s="442">
        <f>Ruimtestaat[[#This Row],[Uitvoeringen werkdagen]]*Ruimtestaat[[#This Row],[Gedeeltelijk]]</f>
        <v>0</v>
      </c>
      <c r="Z65" s="443" t="e">
        <f>IF(U65&gt;0,Ruimtestaat[[#This Row],[Prest. (m2 / jaar) werkdagen gedeeld]]/Ruimtestaat[[#This Row],[Norm (m2/uur) werkdagen]],0)</f>
        <v>#DIV/0!</v>
      </c>
      <c r="AA65" s="441" t="e">
        <f>Ruimtestaat[[#This Row],[uren / jaar werkdagen gedeeld]]*Tariefsopbouw!$E$35</f>
        <v>#DIV/0!</v>
      </c>
      <c r="AB65" s="441">
        <f>Ruimtestaat[[#This Row],[Uitvoeringen werkdagen]]*Ruimtestaat[[#This Row],[BSO]]</f>
        <v>16524</v>
      </c>
      <c r="AC65" s="443" t="e">
        <f>IF(U65&gt;0,Ruimtestaat[[#This Row],[Prest. (m2 / jaar) werkdagen BSO]]/Ruimtestaat[[#This Row],[Norm (m2/uur) werkdagen]],0)</f>
        <v>#DIV/0!</v>
      </c>
      <c r="AD65" s="443" t="e">
        <f>Ruimtestaat[[#This Row],[uren / jaar werkdagen BSO]]*Tariefsopbouw!$E$35</f>
        <v>#DIV/0!</v>
      </c>
      <c r="AE65" s="444">
        <f>Ruimtestaat[[#This Row],[uren / jaar werkdagen]]*Tariefsopbouw!$E$35</f>
        <v>0</v>
      </c>
      <c r="AF65" s="434"/>
      <c r="AG65" s="434">
        <f>IF(Ruimtestaat[[#This Row],[Frequentie weekend]]&gt;0,VALUE(LEFT(AF65,1))*S65,0)</f>
        <v>0</v>
      </c>
      <c r="AH65" s="445">
        <f>IF($AG65&gt;0,VLOOKUP($J65,Ruimtegroepen[],3,FALSE)*VLOOKUP($L65,Vloersoorten[],3,FALSE)*VLOOKUP($AF65,Frequenties[],3,FALSE)*VLOOKUP(Ruimtestaat[[#This Row],[Code]],Locaties[],3,FALSE),0)</f>
        <v>0</v>
      </c>
      <c r="AI65" s="445">
        <f>Ruimtestaat[[#This Row],[Uitvoeringen weekend]]*Ruimtestaat[[#This Row],[Oppervlak (netto)]]</f>
        <v>0</v>
      </c>
      <c r="AJ65" s="445">
        <f>IF(AH65&gt;0,Ruimtestaat[[#This Row],[Prest. (m2 /jaar) weekend]]/Ruimtestaat[[#This Row],[Norm (m2/uur) weekend]],0)</f>
        <v>0</v>
      </c>
      <c r="AK65" s="444">
        <f>Ruimtestaat[[#This Row],[uren / jaar weekend]]*Tariefsopbouw!$D$40</f>
        <v>0</v>
      </c>
      <c r="AL65" s="441">
        <f>Ruimtestaat[[#This Row],[Prest. (m2 /jaar) weekend]]+Ruimtestaat[[#This Row],[Prest. (m2 /jaar) werkdagen]]</f>
        <v>0</v>
      </c>
      <c r="AM65" s="441">
        <f>Ruimtestaat[[#This Row],[uren / jaar weekend]]+Ruimtestaat[[#This Row],[uren / jaar werkdagen]]</f>
        <v>0</v>
      </c>
      <c r="AN65" s="446">
        <f>Ruimtestaat[[#This Row],[kosten / jaar weekend]]+Ruimtestaat[[#This Row],[kosten / jaar werkdagen]]</f>
        <v>0</v>
      </c>
      <c r="AO65" s="446"/>
      <c r="AP65" s="447" t="str">
        <f>IF(Ruimtestaat[[#This Row],[Frequentie werkdagen]]="","",_xlfn.CONCAT(Ruimtestaat[[#This Row],[Ruimte code]],"-",Ruimtestaat[[#This Row],[Frequentie werkdagen]]," ",Ruimtestaat[[#This Row],[Vloer code]]))</f>
        <v>8-4w L</v>
      </c>
      <c r="AQ65" s="448" t="str">
        <f>_xlfn.IFNA(VLOOKUP($AP65,Programma!$F$3:$G$1101,2,0),"")</f>
        <v>_</v>
      </c>
      <c r="AR65" s="448" t="str">
        <f>_xlfn.IFNA(VLOOKUP($AP65,Programma!$F$3:$H$1101,3,0),"")</f>
        <v>_</v>
      </c>
      <c r="AS65" s="448" t="str">
        <f>_xlfn.IFNA(VLOOKUP($AP65,Programma!$F$3:$I$1101,4,0),"")</f>
        <v>3w</v>
      </c>
      <c r="AT65" s="448" t="str">
        <f>_xlfn.IFNA(VLOOKUP($AP65,Programma!$F$3:$J$1101,5,0),"")</f>
        <v>1w</v>
      </c>
      <c r="AU65" s="448" t="str">
        <f>_xlfn.IFNA(VLOOKUP($AP65,Programma!$F$3:$K$1101,6,0),"")</f>
        <v>_</v>
      </c>
      <c r="AV65" s="448" t="str">
        <f>_xlfn.IFNA(VLOOKUP($AP65,Programma!$F$3:$L$1101,7,0),"")</f>
        <v>_</v>
      </c>
      <c r="AW65" s="448" t="str">
        <f>_xlfn.IFNA(VLOOKUP($AP65,Programma!$F$3:$M$1101,8,0),"")</f>
        <v>_</v>
      </c>
      <c r="AX65" s="448" t="str">
        <f>_xlfn.IFNA(VLOOKUP($AP65,Programma!$F$3:$N$1101,9,0),"")</f>
        <v>_</v>
      </c>
      <c r="AY65" s="448" t="str">
        <f>_xlfn.IFNA(VLOOKUP($AP65,Programma!$F$3:$O$1101,10,0),"")</f>
        <v>4w</v>
      </c>
      <c r="AZ65" s="448" t="str">
        <f>_xlfn.IFNA(VLOOKUP($AP65,Programma!$F$3:$P$1101,11,0),"")</f>
        <v>4w</v>
      </c>
      <c r="BA65" s="448" t="str">
        <f>_xlfn.IFNA(VLOOKUP($AP65,Programma!$F$3:$Q$1101,12,0),"")</f>
        <v>1w</v>
      </c>
      <c r="BB65" s="448" t="str">
        <f>_xlfn.IFNA(VLOOKUP($AP65,Programma!$F$3:$R$1101,13,0),"")</f>
        <v>1w</v>
      </c>
      <c r="BC65" s="448" t="str">
        <f>_xlfn.IFNA(VLOOKUP($AP65,Programma!$F$3:$S$1101,14,0),"")</f>
        <v>1m</v>
      </c>
      <c r="BD65" s="448" t="str">
        <f>_xlfn.IFNA(VLOOKUP($AP65,Programma!$F$3:$T$1101,15,0),"")</f>
        <v>2j</v>
      </c>
      <c r="BE65" s="448" t="str">
        <f>_xlfn.IFNA(VLOOKUP($AP65,Programma!$F$3:$U$1101,16,0),"")</f>
        <v>1j</v>
      </c>
      <c r="BF65" s="448" t="str">
        <f>_xlfn.IFNA(VLOOKUP($AP65,Programma!$F$3:$V$1101,17,0),"")</f>
        <v>_</v>
      </c>
      <c r="BG65" s="448" t="str">
        <f>_xlfn.IFNA(VLOOKUP($AP65,Programma!$F$3:$W$1101,18,0),"")</f>
        <v>_</v>
      </c>
      <c r="BH65" s="448" t="str">
        <f>_xlfn.IFNA(VLOOKUP($AP65,Programma!$F$3:$X$1101,19,0),"")</f>
        <v>_</v>
      </c>
      <c r="BI65" s="448" t="str">
        <f>_xlfn.IFNA(VLOOKUP($AP65,Programma!$F$3:$Y$1101,20,0),"")</f>
        <v>_</v>
      </c>
      <c r="BJ65" s="449"/>
      <c r="BK65" s="447" t="str">
        <f>IF(Ruimtestaat[[#This Row],[Frequentie weekend]]="","",_xlfn.CONCAT(Ruimtestaat[[#This Row],[Ruimte code]],"-",Ruimtestaat[[#This Row],[Frequentie weekend]]," ",Ruimtestaat[[#This Row],[Vloer code]]))</f>
        <v/>
      </c>
      <c r="BL65" s="448" t="str">
        <f>_xlfn.IFNA(VLOOKUP($BK65,Programma!$F$3:$G$1101,2,0),"")</f>
        <v/>
      </c>
      <c r="BM65" s="448" t="str">
        <f>_xlfn.IFNA(VLOOKUP($BK65,Programma!$F$3:$H$1101,3,0),"")</f>
        <v/>
      </c>
      <c r="BN65" s="448" t="str">
        <f>_xlfn.IFNA(VLOOKUP($BK65,Programma!$F$3:$I$1101,4,0),"")</f>
        <v/>
      </c>
      <c r="BO65" s="448" t="str">
        <f>_xlfn.IFNA(VLOOKUP($BK65,Programma!$F$3:$J$1101,5,0),"")</f>
        <v/>
      </c>
      <c r="BP65" s="448" t="str">
        <f>_xlfn.IFNA(VLOOKUP($BK65,Programma!$F$3:$K$1101,6,0),"")</f>
        <v/>
      </c>
      <c r="BQ65" s="448" t="str">
        <f>_xlfn.IFNA(VLOOKUP($BK65,Programma!$F$3:$L$1101,7,0),"")</f>
        <v/>
      </c>
      <c r="BR65" s="448" t="str">
        <f>_xlfn.IFNA(VLOOKUP($BK65,Programma!$F$3:$M$1101,8,0),"")</f>
        <v/>
      </c>
      <c r="BS65" s="448" t="str">
        <f>_xlfn.IFNA(VLOOKUP($BK65,Programma!$F$3:$N$1101,9,0),"")</f>
        <v/>
      </c>
      <c r="BT65" s="448" t="str">
        <f>_xlfn.IFNA(VLOOKUP($BK65,Programma!$F$3:$O$1101,10,0),"")</f>
        <v/>
      </c>
      <c r="BU65" s="448" t="str">
        <f>_xlfn.IFNA(VLOOKUP($BK65,Programma!$F$3:$P$1101,11,0),"")</f>
        <v/>
      </c>
      <c r="BV65" s="448" t="str">
        <f>_xlfn.IFNA(VLOOKUP($BK65,Programma!$F$3:$Q$1101,12,0),"")</f>
        <v/>
      </c>
      <c r="BW65" s="448" t="str">
        <f>_xlfn.IFNA(VLOOKUP($BK65,Programma!$F$3:$R$1101,13,0),"")</f>
        <v/>
      </c>
      <c r="BX65" s="448" t="str">
        <f>_xlfn.IFNA(VLOOKUP($BK65,Programma!$F$3:$S$1101,14,0),"")</f>
        <v/>
      </c>
      <c r="BY65" s="448" t="str">
        <f>_xlfn.IFNA(VLOOKUP($BK65,Programma!$F$3:$T$1101,15,0),"")</f>
        <v/>
      </c>
      <c r="BZ65" s="448" t="str">
        <f>_xlfn.IFNA(VLOOKUP($BK65,Programma!$F$3:$U$1101,16,0),"")</f>
        <v/>
      </c>
      <c r="CA65" s="448" t="str">
        <f>_xlfn.IFNA(VLOOKUP($BK65,Programma!$F$3:$V$1101,17,0),"")</f>
        <v/>
      </c>
      <c r="CB65" s="448" t="str">
        <f>_xlfn.IFNA(VLOOKUP($BK65,Programma!$F$3:$W$1101,18,0),"")</f>
        <v/>
      </c>
      <c r="CC65" s="448" t="str">
        <f>_xlfn.IFNA(VLOOKUP($BK65,Programma!$F$3:$X$1101,19,0),"")</f>
        <v/>
      </c>
      <c r="CD65" s="448" t="str">
        <f>_xlfn.IFNA(VLOOKUP($BK65,Programma!$F$3:$Y$1101,20,0),"")</f>
        <v/>
      </c>
      <c r="CE65" s="327"/>
      <c r="CF65" s="327"/>
      <c r="CG65" s="327"/>
      <c r="CH65" s="327"/>
      <c r="CI65" s="327"/>
      <c r="CJ65" s="327"/>
      <c r="CK65" s="327"/>
      <c r="CL65" s="327"/>
      <c r="CM65" s="327"/>
      <c r="CN65" s="327"/>
      <c r="CO65" s="327"/>
      <c r="CP65" s="327"/>
      <c r="CQ65" s="327"/>
      <c r="CR65" s="327"/>
      <c r="CS65" s="327"/>
      <c r="CT65" s="327"/>
      <c r="CU65" s="327"/>
      <c r="CV65" s="327"/>
      <c r="CW65" s="327"/>
      <c r="CX65" s="327"/>
      <c r="CY65" s="327"/>
      <c r="CZ65" s="327"/>
      <c r="DA65" s="327"/>
      <c r="DB65" s="327"/>
      <c r="DC65" s="327"/>
      <c r="DD65" s="327"/>
      <c r="DE65" s="327"/>
      <c r="DF65" s="327"/>
      <c r="DG65" s="327"/>
      <c r="DH65" s="327"/>
      <c r="DI65" s="327"/>
      <c r="DJ65" s="327"/>
      <c r="DK65" s="327"/>
      <c r="DL65" s="327"/>
      <c r="DM65" s="327"/>
      <c r="DN65" s="327"/>
      <c r="DO65" s="327"/>
      <c r="DP65" s="327"/>
      <c r="DQ65" s="327"/>
      <c r="DR65" s="327"/>
      <c r="DS65" s="327"/>
      <c r="DT65" s="327"/>
      <c r="DU65" s="327"/>
      <c r="DV65" s="327"/>
      <c r="DW65" s="327"/>
      <c r="DX65" s="327"/>
      <c r="DY65" s="327"/>
      <c r="DZ65" s="327"/>
      <c r="EA65" s="327"/>
      <c r="EB65" s="327"/>
      <c r="EC65" s="327"/>
      <c r="ED65" s="327"/>
      <c r="EE65" s="327"/>
      <c r="EF65" s="327"/>
      <c r="EG65" s="327"/>
      <c r="EH65" s="327"/>
      <c r="EI65" s="327"/>
      <c r="EJ65" s="327"/>
      <c r="EK65" s="327"/>
      <c r="EL65" s="327"/>
      <c r="EM65" s="327"/>
      <c r="EN65" s="327"/>
      <c r="EO65" s="327"/>
      <c r="EP65" s="327"/>
      <c r="EQ65" s="327"/>
      <c r="ER65" s="327"/>
      <c r="ES65" s="327"/>
      <c r="ET65" s="327"/>
      <c r="EU65" s="327"/>
      <c r="EV65" s="327"/>
      <c r="EW65" s="327"/>
      <c r="EX65" s="327"/>
      <c r="EY65" s="327"/>
      <c r="EZ65" s="327"/>
      <c r="FA65" s="327"/>
      <c r="FB65" s="327"/>
      <c r="FC65" s="327"/>
      <c r="FD65" s="327"/>
      <c r="FE65" s="327"/>
      <c r="FF65" s="327"/>
      <c r="FG65" s="327"/>
      <c r="FH65" s="327"/>
      <c r="FI65" s="327"/>
      <c r="FJ65" s="327"/>
      <c r="FK65" s="327"/>
      <c r="FL65" s="327"/>
      <c r="FM65" s="327"/>
      <c r="FN65" s="327"/>
      <c r="FO65" s="327"/>
      <c r="FP65" s="327"/>
      <c r="FQ65" s="327"/>
      <c r="FR65" s="327"/>
      <c r="FS65" s="327"/>
      <c r="FT65" s="327"/>
      <c r="FU65" s="327"/>
      <c r="FV65" s="327"/>
      <c r="FW65" s="327"/>
      <c r="FX65" s="327"/>
      <c r="FY65" s="327"/>
      <c r="FZ65" s="327"/>
      <c r="GA65" s="327"/>
      <c r="GB65" s="327"/>
      <c r="GC65" s="327"/>
      <c r="GD65" s="327"/>
      <c r="GE65" s="327"/>
      <c r="GF65" s="327"/>
      <c r="GG65" s="327"/>
      <c r="GH65" s="327"/>
      <c r="GI65" s="327"/>
      <c r="GJ65" s="327"/>
      <c r="GK65" s="327"/>
      <c r="GL65" s="327"/>
      <c r="GM65" s="327"/>
      <c r="GN65" s="327"/>
      <c r="GO65" s="327"/>
      <c r="GP65" s="327"/>
      <c r="GQ65" s="327"/>
      <c r="GR65" s="327"/>
      <c r="GS65" s="327"/>
      <c r="GT65" s="327"/>
      <c r="GU65" s="327"/>
      <c r="GV65" s="327"/>
      <c r="GW65" s="327"/>
      <c r="GX65" s="327"/>
      <c r="GY65" s="327"/>
      <c r="GZ65" s="327"/>
      <c r="HA65" s="327"/>
      <c r="HB65" s="327"/>
      <c r="HC65" s="327"/>
      <c r="HD65" s="327"/>
      <c r="HE65" s="327"/>
      <c r="HF65" s="327"/>
      <c r="HG65" s="327"/>
      <c r="HH65" s="327"/>
      <c r="HI65" s="327"/>
      <c r="HJ65" s="327"/>
      <c r="HK65" s="327"/>
      <c r="HL65" s="327"/>
      <c r="HM65" s="327"/>
      <c r="HN65" s="327"/>
      <c r="HO65" s="327"/>
      <c r="HP65" s="327"/>
      <c r="HQ65" s="327"/>
      <c r="HR65" s="327"/>
      <c r="HS65" s="327"/>
    </row>
    <row r="66" spans="1:227" ht="15" customHeight="1">
      <c r="A66" s="434">
        <v>4</v>
      </c>
      <c r="B66" s="435" t="str">
        <f>VLOOKUP(Ruimtestaat[[#This Row],[Code]],Locaties[[Code]:[Locatie]],2,FALSE)</f>
        <v>IKC De Waterlelie</v>
      </c>
      <c r="C66" s="435" t="str">
        <f>VLOOKUP(Ruimtestaat[[#This Row],[Code]],Locaties[[#All],[Code]:[Adres]],4,FALSE)</f>
        <v>Goudenregenzoom 73</v>
      </c>
      <c r="D66" s="435" t="str">
        <f>VLOOKUP(Ruimtestaat[[#This Row],[Code]],Locaties[[#All],[Code]:[Postcode]],5,FALSE)</f>
        <v>2719 HE</v>
      </c>
      <c r="E66" s="435" t="str">
        <f>VLOOKUP(Ruimtestaat[[#This Row],[Code]],Locaties[#All],6,FALSE)</f>
        <v>Zoetermeer</v>
      </c>
      <c r="F66" s="434"/>
      <c r="G66" s="434" t="s">
        <v>1678</v>
      </c>
      <c r="H66" s="436" t="s">
        <v>1667</v>
      </c>
      <c r="I66" s="437" t="s">
        <v>1270</v>
      </c>
      <c r="J66" s="330">
        <v>20</v>
      </c>
      <c r="K66" s="450" t="str">
        <f>VLOOKUP(Ruimtestaat[[#This Row],[Ruimte code]],Ruimtegroepen[[#All],[Code]:[Ruimte omschrijving]],2,FALSE)</f>
        <v>Niet in Onderhoud</v>
      </c>
      <c r="L66" s="434" t="s">
        <v>100</v>
      </c>
      <c r="M66" s="437" t="s">
        <v>1759</v>
      </c>
      <c r="N66" s="439"/>
      <c r="O66" s="439"/>
      <c r="P66" s="439"/>
      <c r="Q66" s="439"/>
      <c r="R66" s="440">
        <f>VLOOKUP(Ruimtestaat[[#This Row],[Ruimte code]],Ruimtegroepen[],4,FALSE)</f>
        <v>0</v>
      </c>
      <c r="S66" s="434"/>
      <c r="T66" s="434"/>
      <c r="U66" s="434">
        <f>IF(S66&gt;0,IF(RIGHT(Ruimtestaat[[#This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 s="434">
        <f>IF(U66&gt;0,VLOOKUP($J66,Ruimtegroepen[],3,FALSE)*VLOOKUP($L66,Vloersoorten[],3,FALSE)*VLOOKUP($T66,Frequenties[],3,FALSE)*VLOOKUP($A66,Locaties[],3,FALSE),0)</f>
        <v>0</v>
      </c>
      <c r="W66" s="434">
        <f>Ruimtestaat[[#This Row],[Uitvoeringen werkdagen]]*Ruimtestaat[[#This Row],[Oppervlak (netto)]]</f>
        <v>0</v>
      </c>
      <c r="X66" s="441">
        <f>IF(V66&gt;0,Ruimtestaat[[#This Row],[Prest. (m2 /jaar) werkdagen]]/Ruimtestaat[[#This Row],[Norm (m2/uur) werkdagen]],0)</f>
        <v>0</v>
      </c>
      <c r="Y66" s="442">
        <f>Ruimtestaat[[#This Row],[Uitvoeringen werkdagen]]*Ruimtestaat[[#This Row],[Gedeeltelijk]]</f>
        <v>0</v>
      </c>
      <c r="Z66" s="443">
        <f>IF(U66&gt;0,Ruimtestaat[[#This Row],[Prest. (m2 / jaar) werkdagen gedeeld]]/Ruimtestaat[[#This Row],[Norm (m2/uur) werkdagen]],0)</f>
        <v>0</v>
      </c>
      <c r="AA66" s="441">
        <f>Ruimtestaat[[#This Row],[uren / jaar werkdagen gedeeld]]*Tariefsopbouw!$E$35</f>
        <v>0</v>
      </c>
      <c r="AB66" s="441">
        <f>Ruimtestaat[[#This Row],[Uitvoeringen werkdagen]]*Ruimtestaat[[#This Row],[BSO]]</f>
        <v>0</v>
      </c>
      <c r="AC66" s="443">
        <f>IF(U66&gt;0,Ruimtestaat[[#This Row],[Prest. (m2 / jaar) werkdagen BSO]]/Ruimtestaat[[#This Row],[Norm (m2/uur) werkdagen]],0)</f>
        <v>0</v>
      </c>
      <c r="AD66" s="443">
        <f>Ruimtestaat[[#This Row],[uren / jaar werkdagen BSO]]*Tariefsopbouw!$E$35</f>
        <v>0</v>
      </c>
      <c r="AE66" s="444">
        <f>Ruimtestaat[[#This Row],[uren / jaar werkdagen]]*Tariefsopbouw!$E$35</f>
        <v>0</v>
      </c>
      <c r="AF66" s="434"/>
      <c r="AG66" s="434">
        <f>IF(Ruimtestaat[[#This Row],[Frequentie weekend]]&gt;0,VALUE(LEFT(AF66,1))*S66,0)</f>
        <v>0</v>
      </c>
      <c r="AH66" s="445">
        <f>IF($AG66&gt;0,VLOOKUP($J66,Ruimtegroepen[],3,FALSE)*VLOOKUP($L66,Vloersoorten[],3,FALSE)*VLOOKUP($AF66,Frequenties[],3,FALSE)*VLOOKUP(Ruimtestaat[[#This Row],[Code]],Locaties[],3,FALSE),0)</f>
        <v>0</v>
      </c>
      <c r="AI66" s="445">
        <f>Ruimtestaat[[#This Row],[Uitvoeringen weekend]]*Ruimtestaat[[#This Row],[Oppervlak (netto)]]</f>
        <v>0</v>
      </c>
      <c r="AJ66" s="445">
        <f>IF(AH66&gt;0,Ruimtestaat[[#This Row],[Prest. (m2 /jaar) weekend]]/Ruimtestaat[[#This Row],[Norm (m2/uur) weekend]],0)</f>
        <v>0</v>
      </c>
      <c r="AK66" s="444">
        <f>Ruimtestaat[[#This Row],[uren / jaar weekend]]*Tariefsopbouw!$D$40</f>
        <v>0</v>
      </c>
      <c r="AL66" s="441">
        <f>Ruimtestaat[[#This Row],[Prest. (m2 /jaar) weekend]]+Ruimtestaat[[#This Row],[Prest. (m2 /jaar) werkdagen]]</f>
        <v>0</v>
      </c>
      <c r="AM66" s="441">
        <f>Ruimtestaat[[#This Row],[uren / jaar weekend]]+Ruimtestaat[[#This Row],[uren / jaar werkdagen]]</f>
        <v>0</v>
      </c>
      <c r="AN66" s="446">
        <f>Ruimtestaat[[#This Row],[kosten / jaar weekend]]+Ruimtestaat[[#This Row],[kosten / jaar werkdagen]]</f>
        <v>0</v>
      </c>
      <c r="AO66" s="446"/>
      <c r="AP66" s="447" t="str">
        <f>IF(Ruimtestaat[[#This Row],[Frequentie werkdagen]]="","",_xlfn.CONCAT(Ruimtestaat[[#This Row],[Ruimte code]],"-",Ruimtestaat[[#This Row],[Frequentie werkdagen]]," ",Ruimtestaat[[#This Row],[Vloer code]]))</f>
        <v/>
      </c>
      <c r="AQ66" s="448" t="str">
        <f>_xlfn.IFNA(VLOOKUP($AP66,Programma!$F$3:$G$1101,2,0),"")</f>
        <v/>
      </c>
      <c r="AR66" s="448" t="str">
        <f>_xlfn.IFNA(VLOOKUP($AP66,Programma!$F$3:$H$1101,3,0),"")</f>
        <v/>
      </c>
      <c r="AS66" s="448" t="str">
        <f>_xlfn.IFNA(VLOOKUP($AP66,Programma!$F$3:$I$1101,4,0),"")</f>
        <v/>
      </c>
      <c r="AT66" s="448" t="str">
        <f>_xlfn.IFNA(VLOOKUP($AP66,Programma!$F$3:$J$1101,5,0),"")</f>
        <v/>
      </c>
      <c r="AU66" s="448" t="str">
        <f>_xlfn.IFNA(VLOOKUP($AP66,Programma!$F$3:$K$1101,6,0),"")</f>
        <v/>
      </c>
      <c r="AV66" s="448" t="str">
        <f>_xlfn.IFNA(VLOOKUP($AP66,Programma!$F$3:$L$1101,7,0),"")</f>
        <v/>
      </c>
      <c r="AW66" s="448" t="str">
        <f>_xlfn.IFNA(VLOOKUP($AP66,Programma!$F$3:$M$1101,8,0),"")</f>
        <v/>
      </c>
      <c r="AX66" s="448" t="str">
        <f>_xlfn.IFNA(VLOOKUP($AP66,Programma!$F$3:$N$1101,9,0),"")</f>
        <v/>
      </c>
      <c r="AY66" s="448" t="str">
        <f>_xlfn.IFNA(VLOOKUP($AP66,Programma!$F$3:$O$1101,10,0),"")</f>
        <v/>
      </c>
      <c r="AZ66" s="448" t="str">
        <f>_xlfn.IFNA(VLOOKUP($AP66,Programma!$F$3:$P$1101,11,0),"")</f>
        <v/>
      </c>
      <c r="BA66" s="448" t="str">
        <f>_xlfn.IFNA(VLOOKUP($AP66,Programma!$F$3:$Q$1101,12,0),"")</f>
        <v/>
      </c>
      <c r="BB66" s="448" t="str">
        <f>_xlfn.IFNA(VLOOKUP($AP66,Programma!$F$3:$R$1101,13,0),"")</f>
        <v/>
      </c>
      <c r="BC66" s="448" t="str">
        <f>_xlfn.IFNA(VLOOKUP($AP66,Programma!$F$3:$S$1101,14,0),"")</f>
        <v/>
      </c>
      <c r="BD66" s="448" t="str">
        <f>_xlfn.IFNA(VLOOKUP($AP66,Programma!$F$3:$T$1101,15,0),"")</f>
        <v/>
      </c>
      <c r="BE66" s="448" t="str">
        <f>_xlfn.IFNA(VLOOKUP($AP66,Programma!$F$3:$U$1101,16,0),"")</f>
        <v/>
      </c>
      <c r="BF66" s="448" t="str">
        <f>_xlfn.IFNA(VLOOKUP($AP66,Programma!$F$3:$V$1101,17,0),"")</f>
        <v/>
      </c>
      <c r="BG66" s="448" t="str">
        <f>_xlfn.IFNA(VLOOKUP($AP66,Programma!$F$3:$W$1101,18,0),"")</f>
        <v/>
      </c>
      <c r="BH66" s="448" t="str">
        <f>_xlfn.IFNA(VLOOKUP($AP66,Programma!$F$3:$X$1101,19,0),"")</f>
        <v/>
      </c>
      <c r="BI66" s="448" t="str">
        <f>_xlfn.IFNA(VLOOKUP($AP66,Programma!$F$3:$Y$1101,20,0),"")</f>
        <v/>
      </c>
      <c r="BJ66" s="449"/>
      <c r="BK66" s="447" t="str">
        <f>IF(Ruimtestaat[[#This Row],[Frequentie weekend]]="","",_xlfn.CONCAT(Ruimtestaat[[#This Row],[Ruimte code]],"-",Ruimtestaat[[#This Row],[Frequentie weekend]]," ",Ruimtestaat[[#This Row],[Vloer code]]))</f>
        <v/>
      </c>
      <c r="BL66" s="448" t="str">
        <f>_xlfn.IFNA(VLOOKUP($BK66,Programma!$F$3:$G$1101,2,0),"")</f>
        <v/>
      </c>
      <c r="BM66" s="448" t="str">
        <f>_xlfn.IFNA(VLOOKUP($BK66,Programma!$F$3:$H$1101,3,0),"")</f>
        <v/>
      </c>
      <c r="BN66" s="448" t="str">
        <f>_xlfn.IFNA(VLOOKUP($BK66,Programma!$F$3:$I$1101,4,0),"")</f>
        <v/>
      </c>
      <c r="BO66" s="448" t="str">
        <f>_xlfn.IFNA(VLOOKUP($BK66,Programma!$F$3:$J$1101,5,0),"")</f>
        <v/>
      </c>
      <c r="BP66" s="448" t="str">
        <f>_xlfn.IFNA(VLOOKUP($BK66,Programma!$F$3:$K$1101,6,0),"")</f>
        <v/>
      </c>
      <c r="BQ66" s="448" t="str">
        <f>_xlfn.IFNA(VLOOKUP($BK66,Programma!$F$3:$L$1101,7,0),"")</f>
        <v/>
      </c>
      <c r="BR66" s="448" t="str">
        <f>_xlfn.IFNA(VLOOKUP($BK66,Programma!$F$3:$M$1101,8,0),"")</f>
        <v/>
      </c>
      <c r="BS66" s="448" t="str">
        <f>_xlfn.IFNA(VLOOKUP($BK66,Programma!$F$3:$N$1101,9,0),"")</f>
        <v/>
      </c>
      <c r="BT66" s="448" t="str">
        <f>_xlfn.IFNA(VLOOKUP($BK66,Programma!$F$3:$O$1101,10,0),"")</f>
        <v/>
      </c>
      <c r="BU66" s="448" t="str">
        <f>_xlfn.IFNA(VLOOKUP($BK66,Programma!$F$3:$P$1101,11,0),"")</f>
        <v/>
      </c>
      <c r="BV66" s="448" t="str">
        <f>_xlfn.IFNA(VLOOKUP($BK66,Programma!$F$3:$Q$1101,12,0),"")</f>
        <v/>
      </c>
      <c r="BW66" s="448" t="str">
        <f>_xlfn.IFNA(VLOOKUP($BK66,Programma!$F$3:$R$1101,13,0),"")</f>
        <v/>
      </c>
      <c r="BX66" s="448" t="str">
        <f>_xlfn.IFNA(VLOOKUP($BK66,Programma!$F$3:$S$1101,14,0),"")</f>
        <v/>
      </c>
      <c r="BY66" s="448" t="str">
        <f>_xlfn.IFNA(VLOOKUP($BK66,Programma!$F$3:$T$1101,15,0),"")</f>
        <v/>
      </c>
      <c r="BZ66" s="448" t="str">
        <f>_xlfn.IFNA(VLOOKUP($BK66,Programma!$F$3:$U$1101,16,0),"")</f>
        <v/>
      </c>
      <c r="CA66" s="448" t="str">
        <f>_xlfn.IFNA(VLOOKUP($BK66,Programma!$F$3:$V$1101,17,0),"")</f>
        <v/>
      </c>
      <c r="CB66" s="448" t="str">
        <f>_xlfn.IFNA(VLOOKUP($BK66,Programma!$F$3:$W$1101,18,0),"")</f>
        <v/>
      </c>
      <c r="CC66" s="448" t="str">
        <f>_xlfn.IFNA(VLOOKUP($BK66,Programma!$F$3:$X$1101,19,0),"")</f>
        <v/>
      </c>
      <c r="CD66" s="448" t="str">
        <f>_xlfn.IFNA(VLOOKUP($BK66,Programma!$F$3:$Y$1101,20,0),"")</f>
        <v/>
      </c>
      <c r="CE66" s="327"/>
      <c r="CF66" s="327"/>
      <c r="CG66" s="327"/>
      <c r="CH66" s="327"/>
      <c r="CI66" s="327"/>
      <c r="CJ66" s="327"/>
      <c r="CK66" s="327"/>
      <c r="CL66" s="327"/>
      <c r="CM66" s="327"/>
      <c r="CN66" s="327"/>
      <c r="CO66" s="327"/>
      <c r="CP66" s="327"/>
      <c r="CQ66" s="327"/>
      <c r="CR66" s="327"/>
      <c r="CS66" s="327"/>
      <c r="CT66" s="327"/>
      <c r="CU66" s="327"/>
      <c r="CV66" s="327"/>
      <c r="CW66" s="327"/>
      <c r="CX66" s="327"/>
      <c r="CY66" s="327"/>
      <c r="CZ66" s="327"/>
      <c r="DA66" s="327"/>
      <c r="DB66" s="327"/>
      <c r="DC66" s="327"/>
      <c r="DD66" s="327"/>
      <c r="DE66" s="327"/>
      <c r="DF66" s="327"/>
      <c r="DG66" s="327"/>
      <c r="DH66" s="327"/>
      <c r="DI66" s="327"/>
      <c r="DJ66" s="327"/>
      <c r="DK66" s="327"/>
      <c r="DL66" s="327"/>
      <c r="DM66" s="327"/>
      <c r="DN66" s="327"/>
      <c r="DO66" s="327"/>
      <c r="DP66" s="327"/>
      <c r="DQ66" s="327"/>
      <c r="DR66" s="327"/>
      <c r="DS66" s="327"/>
      <c r="DT66" s="327"/>
      <c r="DU66" s="327"/>
      <c r="DV66" s="327"/>
      <c r="DW66" s="327"/>
      <c r="DX66" s="327"/>
      <c r="DY66" s="327"/>
      <c r="DZ66" s="327"/>
      <c r="EA66" s="327"/>
      <c r="EB66" s="327"/>
      <c r="EC66" s="327"/>
      <c r="ED66" s="327"/>
      <c r="EE66" s="327"/>
      <c r="EF66" s="327"/>
      <c r="EG66" s="327"/>
      <c r="EH66" s="327"/>
      <c r="EI66" s="327"/>
      <c r="EJ66" s="327"/>
      <c r="EK66" s="327"/>
      <c r="EL66" s="327"/>
      <c r="EM66" s="327"/>
      <c r="EN66" s="327"/>
      <c r="EO66" s="327"/>
      <c r="EP66" s="327"/>
      <c r="EQ66" s="327"/>
      <c r="ER66" s="327"/>
      <c r="ES66" s="327"/>
      <c r="ET66" s="327"/>
      <c r="EU66" s="327"/>
      <c r="EV66" s="327"/>
      <c r="EW66" s="327"/>
      <c r="EX66" s="327"/>
      <c r="EY66" s="327"/>
      <c r="EZ66" s="327"/>
      <c r="FA66" s="327"/>
      <c r="FB66" s="327"/>
      <c r="FC66" s="327"/>
      <c r="FD66" s="327"/>
      <c r="FE66" s="327"/>
      <c r="FF66" s="327"/>
      <c r="FG66" s="327"/>
      <c r="FH66" s="327"/>
      <c r="FI66" s="327"/>
      <c r="FJ66" s="327"/>
      <c r="FK66" s="327"/>
      <c r="FL66" s="327"/>
      <c r="FM66" s="327"/>
      <c r="FN66" s="327"/>
      <c r="FO66" s="327"/>
      <c r="FP66" s="327"/>
      <c r="FQ66" s="327"/>
      <c r="FR66" s="327"/>
      <c r="FS66" s="327"/>
      <c r="FT66" s="327"/>
      <c r="FU66" s="327"/>
      <c r="FV66" s="327"/>
      <c r="FW66" s="327"/>
      <c r="FX66" s="327"/>
      <c r="FY66" s="327"/>
      <c r="FZ66" s="327"/>
      <c r="GA66" s="327"/>
      <c r="GB66" s="327"/>
      <c r="GC66" s="327"/>
      <c r="GD66" s="327"/>
      <c r="GE66" s="327"/>
      <c r="GF66" s="327"/>
      <c r="GG66" s="327"/>
      <c r="GH66" s="327"/>
      <c r="GI66" s="327"/>
      <c r="GJ66" s="327"/>
      <c r="GK66" s="327"/>
      <c r="GL66" s="327"/>
      <c r="GM66" s="327"/>
      <c r="GN66" s="327"/>
      <c r="GO66" s="327"/>
      <c r="GP66" s="327"/>
      <c r="GQ66" s="327"/>
      <c r="GR66" s="327"/>
      <c r="GS66" s="327"/>
      <c r="GT66" s="327"/>
      <c r="GU66" s="327"/>
      <c r="GV66" s="327"/>
      <c r="GW66" s="327"/>
      <c r="GX66" s="327"/>
      <c r="GY66" s="327"/>
      <c r="GZ66" s="327"/>
      <c r="HA66" s="327"/>
      <c r="HB66" s="327"/>
      <c r="HC66" s="327"/>
      <c r="HD66" s="327"/>
      <c r="HE66" s="327"/>
      <c r="HF66" s="327"/>
      <c r="HG66" s="327"/>
      <c r="HH66" s="327"/>
      <c r="HI66" s="327"/>
      <c r="HJ66" s="327"/>
      <c r="HK66" s="327"/>
      <c r="HL66" s="327"/>
      <c r="HM66" s="327"/>
      <c r="HN66" s="327"/>
      <c r="HO66" s="327"/>
      <c r="HP66" s="327"/>
      <c r="HQ66" s="327"/>
      <c r="HR66" s="327"/>
      <c r="HS66" s="327"/>
    </row>
    <row r="67" spans="1:227" ht="15" customHeight="1">
      <c r="A67" s="434">
        <v>4</v>
      </c>
      <c r="B67" s="435" t="str">
        <f>VLOOKUP(Ruimtestaat[[#This Row],[Code]],Locaties[[Code]:[Locatie]],2,FALSE)</f>
        <v>IKC De Waterlelie</v>
      </c>
      <c r="C67" s="435" t="str">
        <f>VLOOKUP(Ruimtestaat[[#This Row],[Code]],Locaties[[#All],[Code]:[Adres]],4,FALSE)</f>
        <v>Goudenregenzoom 73</v>
      </c>
      <c r="D67" s="435" t="str">
        <f>VLOOKUP(Ruimtestaat[[#This Row],[Code]],Locaties[[#All],[Code]:[Postcode]],5,FALSE)</f>
        <v>2719 HE</v>
      </c>
      <c r="E67" s="435" t="str">
        <f>VLOOKUP(Ruimtestaat[[#This Row],[Code]],Locaties[#All],6,FALSE)</f>
        <v>Zoetermeer</v>
      </c>
      <c r="F67" s="434"/>
      <c r="G67" s="434" t="s">
        <v>1678</v>
      </c>
      <c r="H67" s="436" t="s">
        <v>1727</v>
      </c>
      <c r="I67" s="437" t="s">
        <v>1724</v>
      </c>
      <c r="J67" s="330">
        <v>20</v>
      </c>
      <c r="K67" s="450" t="str">
        <f>VLOOKUP(Ruimtestaat[[#This Row],[Ruimte code]],Ruimtegroepen[[#All],[Code]:[Ruimte omschrijving]],2,FALSE)</f>
        <v>Niet in Onderhoud</v>
      </c>
      <c r="L67" s="434" t="s">
        <v>100</v>
      </c>
      <c r="M67" s="437" t="s">
        <v>1759</v>
      </c>
      <c r="N67" s="439"/>
      <c r="O67" s="439"/>
      <c r="P67" s="439"/>
      <c r="Q67" s="439"/>
      <c r="R67" s="440">
        <f>VLOOKUP(Ruimtestaat[[#This Row],[Ruimte code]],Ruimtegroepen[],4,FALSE)</f>
        <v>0</v>
      </c>
      <c r="S67" s="434"/>
      <c r="T67" s="434"/>
      <c r="U67" s="434">
        <f>IF(S67&gt;0,IF(RIGHT(Ruimtestaat[[#This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 s="434">
        <f>IF(U67&gt;0,VLOOKUP($J67,Ruimtegroepen[],3,FALSE)*VLOOKUP($L67,Vloersoorten[],3,FALSE)*VLOOKUP($T67,Frequenties[],3,FALSE)*VLOOKUP($A67,Locaties[],3,FALSE),0)</f>
        <v>0</v>
      </c>
      <c r="W67" s="434">
        <f>Ruimtestaat[[#This Row],[Uitvoeringen werkdagen]]*Ruimtestaat[[#This Row],[Oppervlak (netto)]]</f>
        <v>0</v>
      </c>
      <c r="X67" s="441">
        <f>IF(V67&gt;0,Ruimtestaat[[#This Row],[Prest. (m2 /jaar) werkdagen]]/Ruimtestaat[[#This Row],[Norm (m2/uur) werkdagen]],0)</f>
        <v>0</v>
      </c>
      <c r="Y67" s="442">
        <f>Ruimtestaat[[#This Row],[Uitvoeringen werkdagen]]*Ruimtestaat[[#This Row],[Gedeeltelijk]]</f>
        <v>0</v>
      </c>
      <c r="Z67" s="443">
        <f>IF(U67&gt;0,Ruimtestaat[[#This Row],[Prest. (m2 / jaar) werkdagen gedeeld]]/Ruimtestaat[[#This Row],[Norm (m2/uur) werkdagen]],0)</f>
        <v>0</v>
      </c>
      <c r="AA67" s="441">
        <f>Ruimtestaat[[#This Row],[uren / jaar werkdagen gedeeld]]*Tariefsopbouw!$E$35</f>
        <v>0</v>
      </c>
      <c r="AB67" s="441">
        <f>Ruimtestaat[[#This Row],[Uitvoeringen werkdagen]]*Ruimtestaat[[#This Row],[BSO]]</f>
        <v>0</v>
      </c>
      <c r="AC67" s="443">
        <f>IF(U67&gt;0,Ruimtestaat[[#This Row],[Prest. (m2 / jaar) werkdagen BSO]]/Ruimtestaat[[#This Row],[Norm (m2/uur) werkdagen]],0)</f>
        <v>0</v>
      </c>
      <c r="AD67" s="443">
        <f>Ruimtestaat[[#This Row],[uren / jaar werkdagen BSO]]*Tariefsopbouw!$E$35</f>
        <v>0</v>
      </c>
      <c r="AE67" s="444">
        <f>Ruimtestaat[[#This Row],[uren / jaar werkdagen]]*Tariefsopbouw!$E$35</f>
        <v>0</v>
      </c>
      <c r="AF67" s="434"/>
      <c r="AG67" s="434">
        <f>IF(Ruimtestaat[[#This Row],[Frequentie weekend]]&gt;0,VALUE(LEFT(AF67,1))*S67,0)</f>
        <v>0</v>
      </c>
      <c r="AH67" s="445">
        <f>IF($AG67&gt;0,VLOOKUP($J67,Ruimtegroepen[],3,FALSE)*VLOOKUP($L67,Vloersoorten[],3,FALSE)*VLOOKUP($AF67,Frequenties[],3,FALSE)*VLOOKUP(Ruimtestaat[[#This Row],[Code]],Locaties[],3,FALSE),0)</f>
        <v>0</v>
      </c>
      <c r="AI67" s="445">
        <f>Ruimtestaat[[#This Row],[Uitvoeringen weekend]]*Ruimtestaat[[#This Row],[Oppervlak (netto)]]</f>
        <v>0</v>
      </c>
      <c r="AJ67" s="445">
        <f>IF(AH67&gt;0,Ruimtestaat[[#This Row],[Prest. (m2 /jaar) weekend]]/Ruimtestaat[[#This Row],[Norm (m2/uur) weekend]],0)</f>
        <v>0</v>
      </c>
      <c r="AK67" s="444">
        <f>Ruimtestaat[[#This Row],[uren / jaar weekend]]*Tariefsopbouw!$D$40</f>
        <v>0</v>
      </c>
      <c r="AL67" s="441">
        <f>Ruimtestaat[[#This Row],[Prest. (m2 /jaar) weekend]]+Ruimtestaat[[#This Row],[Prest. (m2 /jaar) werkdagen]]</f>
        <v>0</v>
      </c>
      <c r="AM67" s="441">
        <f>Ruimtestaat[[#This Row],[uren / jaar weekend]]+Ruimtestaat[[#This Row],[uren / jaar werkdagen]]</f>
        <v>0</v>
      </c>
      <c r="AN67" s="446">
        <f>Ruimtestaat[[#This Row],[kosten / jaar weekend]]+Ruimtestaat[[#This Row],[kosten / jaar werkdagen]]</f>
        <v>0</v>
      </c>
      <c r="AO67" s="446"/>
      <c r="AP67" s="447" t="str">
        <f>IF(Ruimtestaat[[#This Row],[Frequentie werkdagen]]="","",_xlfn.CONCAT(Ruimtestaat[[#This Row],[Ruimte code]],"-",Ruimtestaat[[#This Row],[Frequentie werkdagen]]," ",Ruimtestaat[[#This Row],[Vloer code]]))</f>
        <v/>
      </c>
      <c r="AQ67" s="448" t="str">
        <f>_xlfn.IFNA(VLOOKUP($AP67,Programma!$F$3:$G$1101,2,0),"")</f>
        <v/>
      </c>
      <c r="AR67" s="448" t="str">
        <f>_xlfn.IFNA(VLOOKUP($AP67,Programma!$F$3:$H$1101,3,0),"")</f>
        <v/>
      </c>
      <c r="AS67" s="448" t="str">
        <f>_xlfn.IFNA(VLOOKUP($AP67,Programma!$F$3:$I$1101,4,0),"")</f>
        <v/>
      </c>
      <c r="AT67" s="448" t="str">
        <f>_xlfn.IFNA(VLOOKUP($AP67,Programma!$F$3:$J$1101,5,0),"")</f>
        <v/>
      </c>
      <c r="AU67" s="448" t="str">
        <f>_xlfn.IFNA(VLOOKUP($AP67,Programma!$F$3:$K$1101,6,0),"")</f>
        <v/>
      </c>
      <c r="AV67" s="448" t="str">
        <f>_xlfn.IFNA(VLOOKUP($AP67,Programma!$F$3:$L$1101,7,0),"")</f>
        <v/>
      </c>
      <c r="AW67" s="448" t="str">
        <f>_xlfn.IFNA(VLOOKUP($AP67,Programma!$F$3:$M$1101,8,0),"")</f>
        <v/>
      </c>
      <c r="AX67" s="448" t="str">
        <f>_xlfn.IFNA(VLOOKUP($AP67,Programma!$F$3:$N$1101,9,0),"")</f>
        <v/>
      </c>
      <c r="AY67" s="448" t="str">
        <f>_xlfn.IFNA(VLOOKUP($AP67,Programma!$F$3:$O$1101,10,0),"")</f>
        <v/>
      </c>
      <c r="AZ67" s="448" t="str">
        <f>_xlfn.IFNA(VLOOKUP($AP67,Programma!$F$3:$P$1101,11,0),"")</f>
        <v/>
      </c>
      <c r="BA67" s="448" t="str">
        <f>_xlfn.IFNA(VLOOKUP($AP67,Programma!$F$3:$Q$1101,12,0),"")</f>
        <v/>
      </c>
      <c r="BB67" s="448" t="str">
        <f>_xlfn.IFNA(VLOOKUP($AP67,Programma!$F$3:$R$1101,13,0),"")</f>
        <v/>
      </c>
      <c r="BC67" s="448" t="str">
        <f>_xlfn.IFNA(VLOOKUP($AP67,Programma!$F$3:$S$1101,14,0),"")</f>
        <v/>
      </c>
      <c r="BD67" s="448" t="str">
        <f>_xlfn.IFNA(VLOOKUP($AP67,Programma!$F$3:$T$1101,15,0),"")</f>
        <v/>
      </c>
      <c r="BE67" s="448" t="str">
        <f>_xlfn.IFNA(VLOOKUP($AP67,Programma!$F$3:$U$1101,16,0),"")</f>
        <v/>
      </c>
      <c r="BF67" s="448" t="str">
        <f>_xlfn.IFNA(VLOOKUP($AP67,Programma!$F$3:$V$1101,17,0),"")</f>
        <v/>
      </c>
      <c r="BG67" s="448" t="str">
        <f>_xlfn.IFNA(VLOOKUP($AP67,Programma!$F$3:$W$1101,18,0),"")</f>
        <v/>
      </c>
      <c r="BH67" s="448" t="str">
        <f>_xlfn.IFNA(VLOOKUP($AP67,Programma!$F$3:$X$1101,19,0),"")</f>
        <v/>
      </c>
      <c r="BI67" s="448" t="str">
        <f>_xlfn.IFNA(VLOOKUP($AP67,Programma!$F$3:$Y$1101,20,0),"")</f>
        <v/>
      </c>
      <c r="BJ67" s="449"/>
      <c r="BK67" s="447" t="str">
        <f>IF(Ruimtestaat[[#This Row],[Frequentie weekend]]="","",_xlfn.CONCAT(Ruimtestaat[[#This Row],[Ruimte code]],"-",Ruimtestaat[[#This Row],[Frequentie weekend]]," ",Ruimtestaat[[#This Row],[Vloer code]]))</f>
        <v/>
      </c>
      <c r="BL67" s="448" t="str">
        <f>_xlfn.IFNA(VLOOKUP($BK67,Programma!$F$3:$G$1101,2,0),"")</f>
        <v/>
      </c>
      <c r="BM67" s="448" t="str">
        <f>_xlfn.IFNA(VLOOKUP($BK67,Programma!$F$3:$H$1101,3,0),"")</f>
        <v/>
      </c>
      <c r="BN67" s="448" t="str">
        <f>_xlfn.IFNA(VLOOKUP($BK67,Programma!$F$3:$I$1101,4,0),"")</f>
        <v/>
      </c>
      <c r="BO67" s="448" t="str">
        <f>_xlfn.IFNA(VLOOKUP($BK67,Programma!$F$3:$J$1101,5,0),"")</f>
        <v/>
      </c>
      <c r="BP67" s="448" t="str">
        <f>_xlfn.IFNA(VLOOKUP($BK67,Programma!$F$3:$K$1101,6,0),"")</f>
        <v/>
      </c>
      <c r="BQ67" s="448" t="str">
        <f>_xlfn.IFNA(VLOOKUP($BK67,Programma!$F$3:$L$1101,7,0),"")</f>
        <v/>
      </c>
      <c r="BR67" s="448" t="str">
        <f>_xlfn.IFNA(VLOOKUP($BK67,Programma!$F$3:$M$1101,8,0),"")</f>
        <v/>
      </c>
      <c r="BS67" s="448" t="str">
        <f>_xlfn.IFNA(VLOOKUP($BK67,Programma!$F$3:$N$1101,9,0),"")</f>
        <v/>
      </c>
      <c r="BT67" s="448" t="str">
        <f>_xlfn.IFNA(VLOOKUP($BK67,Programma!$F$3:$O$1101,10,0),"")</f>
        <v/>
      </c>
      <c r="BU67" s="448" t="str">
        <f>_xlfn.IFNA(VLOOKUP($BK67,Programma!$F$3:$P$1101,11,0),"")</f>
        <v/>
      </c>
      <c r="BV67" s="448" t="str">
        <f>_xlfn.IFNA(VLOOKUP($BK67,Programma!$F$3:$Q$1101,12,0),"")</f>
        <v/>
      </c>
      <c r="BW67" s="448" t="str">
        <f>_xlfn.IFNA(VLOOKUP($BK67,Programma!$F$3:$R$1101,13,0),"")</f>
        <v/>
      </c>
      <c r="BX67" s="448" t="str">
        <f>_xlfn.IFNA(VLOOKUP($BK67,Programma!$F$3:$S$1101,14,0),"")</f>
        <v/>
      </c>
      <c r="BY67" s="448" t="str">
        <f>_xlfn.IFNA(VLOOKUP($BK67,Programma!$F$3:$T$1101,15,0),"")</f>
        <v/>
      </c>
      <c r="BZ67" s="448" t="str">
        <f>_xlfn.IFNA(VLOOKUP($BK67,Programma!$F$3:$U$1101,16,0),"")</f>
        <v/>
      </c>
      <c r="CA67" s="448" t="str">
        <f>_xlfn.IFNA(VLOOKUP($BK67,Programma!$F$3:$V$1101,17,0),"")</f>
        <v/>
      </c>
      <c r="CB67" s="448" t="str">
        <f>_xlfn.IFNA(VLOOKUP($BK67,Programma!$F$3:$W$1101,18,0),"")</f>
        <v/>
      </c>
      <c r="CC67" s="448" t="str">
        <f>_xlfn.IFNA(VLOOKUP($BK67,Programma!$F$3:$X$1101,19,0),"")</f>
        <v/>
      </c>
      <c r="CD67" s="448" t="str">
        <f>_xlfn.IFNA(VLOOKUP($BK67,Programma!$F$3:$Y$1101,20,0),"")</f>
        <v/>
      </c>
      <c r="CE67" s="327"/>
      <c r="CF67" s="327"/>
      <c r="CG67" s="327"/>
      <c r="CH67" s="327"/>
      <c r="CI67" s="327"/>
      <c r="CJ67" s="327"/>
      <c r="CK67" s="327"/>
      <c r="CL67" s="327"/>
      <c r="CM67" s="327"/>
      <c r="CN67" s="327"/>
      <c r="CO67" s="327"/>
      <c r="CP67" s="327"/>
      <c r="CQ67" s="327"/>
      <c r="CR67" s="327"/>
      <c r="CS67" s="327"/>
      <c r="CT67" s="327"/>
      <c r="CU67" s="327"/>
      <c r="CV67" s="327"/>
      <c r="CW67" s="327"/>
      <c r="CX67" s="327"/>
      <c r="CY67" s="327"/>
      <c r="CZ67" s="327"/>
      <c r="DA67" s="327"/>
      <c r="DB67" s="327"/>
      <c r="DC67" s="327"/>
      <c r="DD67" s="327"/>
      <c r="DE67" s="327"/>
      <c r="DF67" s="327"/>
      <c r="DG67" s="327"/>
      <c r="DH67" s="327"/>
      <c r="DI67" s="327"/>
      <c r="DJ67" s="327"/>
      <c r="DK67" s="327"/>
      <c r="DL67" s="327"/>
      <c r="DM67" s="327"/>
      <c r="DN67" s="327"/>
      <c r="DO67" s="327"/>
      <c r="DP67" s="327"/>
      <c r="DQ67" s="327"/>
      <c r="DR67" s="327"/>
      <c r="DS67" s="327"/>
      <c r="DT67" s="327"/>
      <c r="DU67" s="327"/>
      <c r="DV67" s="327"/>
      <c r="DW67" s="327"/>
      <c r="DX67" s="327"/>
      <c r="DY67" s="327"/>
      <c r="DZ67" s="327"/>
      <c r="EA67" s="327"/>
      <c r="EB67" s="327"/>
      <c r="EC67" s="327"/>
      <c r="ED67" s="327"/>
      <c r="EE67" s="327"/>
      <c r="EF67" s="327"/>
      <c r="EG67" s="327"/>
      <c r="EH67" s="327"/>
      <c r="EI67" s="327"/>
      <c r="EJ67" s="327"/>
      <c r="EK67" s="327"/>
      <c r="EL67" s="327"/>
      <c r="EM67" s="327"/>
      <c r="EN67" s="327"/>
      <c r="EO67" s="327"/>
      <c r="EP67" s="327"/>
      <c r="EQ67" s="327"/>
      <c r="ER67" s="327"/>
      <c r="ES67" s="327"/>
      <c r="ET67" s="327"/>
      <c r="EU67" s="327"/>
      <c r="EV67" s="327"/>
      <c r="EW67" s="327"/>
      <c r="EX67" s="327"/>
      <c r="EY67" s="327"/>
      <c r="EZ67" s="327"/>
      <c r="FA67" s="327"/>
      <c r="FB67" s="327"/>
      <c r="FC67" s="327"/>
      <c r="FD67" s="327"/>
      <c r="FE67" s="327"/>
      <c r="FF67" s="327"/>
      <c r="FG67" s="327"/>
      <c r="FH67" s="327"/>
      <c r="FI67" s="327"/>
      <c r="FJ67" s="327"/>
      <c r="FK67" s="327"/>
      <c r="FL67" s="327"/>
      <c r="FM67" s="327"/>
      <c r="FN67" s="327"/>
      <c r="FO67" s="327"/>
      <c r="FP67" s="327"/>
      <c r="FQ67" s="327"/>
      <c r="FR67" s="327"/>
      <c r="FS67" s="327"/>
      <c r="FT67" s="327"/>
      <c r="FU67" s="327"/>
      <c r="FV67" s="327"/>
      <c r="FW67" s="327"/>
      <c r="FX67" s="327"/>
      <c r="FY67" s="327"/>
      <c r="FZ67" s="327"/>
      <c r="GA67" s="327"/>
      <c r="GB67" s="327"/>
      <c r="GC67" s="327"/>
      <c r="GD67" s="327"/>
      <c r="GE67" s="327"/>
      <c r="GF67" s="327"/>
      <c r="GG67" s="327"/>
      <c r="GH67" s="327"/>
      <c r="GI67" s="327"/>
      <c r="GJ67" s="327"/>
      <c r="GK67" s="327"/>
      <c r="GL67" s="327"/>
      <c r="GM67" s="327"/>
      <c r="GN67" s="327"/>
      <c r="GO67" s="327"/>
      <c r="GP67" s="327"/>
      <c r="GQ67" s="327"/>
      <c r="GR67" s="327"/>
      <c r="GS67" s="327"/>
      <c r="GT67" s="327"/>
      <c r="GU67" s="327"/>
      <c r="GV67" s="327"/>
      <c r="GW67" s="327"/>
      <c r="GX67" s="327"/>
      <c r="GY67" s="327"/>
      <c r="GZ67" s="327"/>
      <c r="HA67" s="327"/>
      <c r="HB67" s="327"/>
      <c r="HC67" s="327"/>
      <c r="HD67" s="327"/>
      <c r="HE67" s="327"/>
      <c r="HF67" s="327"/>
      <c r="HG67" s="327"/>
      <c r="HH67" s="327"/>
      <c r="HI67" s="327"/>
      <c r="HJ67" s="327"/>
      <c r="HK67" s="327"/>
      <c r="HL67" s="327"/>
      <c r="HM67" s="327"/>
      <c r="HN67" s="327"/>
      <c r="HO67" s="327"/>
      <c r="HP67" s="327"/>
      <c r="HQ67" s="327"/>
      <c r="HR67" s="327"/>
      <c r="HS67" s="327"/>
    </row>
    <row r="68" spans="1:227" ht="15" customHeight="1">
      <c r="A68" s="434">
        <v>4</v>
      </c>
      <c r="B68" s="435" t="str">
        <f>VLOOKUP(Ruimtestaat[[#This Row],[Code]],Locaties[[Code]:[Locatie]],2,FALSE)</f>
        <v>IKC De Waterlelie</v>
      </c>
      <c r="C68" s="435" t="str">
        <f>VLOOKUP(Ruimtestaat[[#This Row],[Code]],Locaties[[#All],[Code]:[Adres]],4,FALSE)</f>
        <v>Goudenregenzoom 73</v>
      </c>
      <c r="D68" s="435" t="str">
        <f>VLOOKUP(Ruimtestaat[[#This Row],[Code]],Locaties[[#All],[Code]:[Postcode]],5,FALSE)</f>
        <v>2719 HE</v>
      </c>
      <c r="E68" s="435" t="str">
        <f>VLOOKUP(Ruimtestaat[[#This Row],[Code]],Locaties[#All],6,FALSE)</f>
        <v>Zoetermeer</v>
      </c>
      <c r="F68" s="434"/>
      <c r="G68" s="434" t="s">
        <v>1678</v>
      </c>
      <c r="H68" s="436" t="s">
        <v>1728</v>
      </c>
      <c r="I68" s="437" t="s">
        <v>1729</v>
      </c>
      <c r="J68" s="330">
        <v>16</v>
      </c>
      <c r="K68" s="450" t="str">
        <f>VLOOKUP(Ruimtestaat[[#This Row],[Ruimte code]],Ruimtegroepen[[#All],[Code]:[Ruimte omschrijving]],2,FALSE)</f>
        <v>Leslokalen</v>
      </c>
      <c r="L68" s="434" t="s">
        <v>100</v>
      </c>
      <c r="M68" s="437" t="s">
        <v>1759</v>
      </c>
      <c r="N68" s="439">
        <v>60</v>
      </c>
      <c r="O68" s="439"/>
      <c r="P68" s="439"/>
      <c r="Q68" s="439"/>
      <c r="R68" s="440" t="str">
        <f>VLOOKUP(Ruimtestaat[[#This Row],[Ruimte code]],Ruimtegroepen[],4,FALSE)</f>
        <v>Le</v>
      </c>
      <c r="S68" s="434">
        <v>40</v>
      </c>
      <c r="T68" s="434" t="s">
        <v>2</v>
      </c>
      <c r="U68" s="434">
        <f>IF(S68&gt;0,IF(RIGHT(Ruimtestaat[[#This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 s="434">
        <f>IF(U68&gt;0,VLOOKUP($J68,Ruimtegroepen[],3,FALSE)*VLOOKUP($L68,Vloersoorten[],3,FALSE)*VLOOKUP($T68,Frequenties[],3,FALSE)*VLOOKUP($A68,Locaties[],3,FALSE),0)</f>
        <v>0</v>
      </c>
      <c r="W68" s="434">
        <f>Ruimtestaat[[#This Row],[Uitvoeringen werkdagen]]*Ruimtestaat[[#This Row],[Oppervlak (netto)]]</f>
        <v>12000</v>
      </c>
      <c r="X68" s="441">
        <f>IF(V68&gt;0,Ruimtestaat[[#This Row],[Prest. (m2 /jaar) werkdagen]]/Ruimtestaat[[#This Row],[Norm (m2/uur) werkdagen]],0)</f>
        <v>0</v>
      </c>
      <c r="Y68" s="442">
        <f>Ruimtestaat[[#This Row],[Uitvoeringen werkdagen]]*Ruimtestaat[[#This Row],[Gedeeltelijk]]</f>
        <v>0</v>
      </c>
      <c r="Z68" s="443" t="e">
        <f>IF(U68&gt;0,Ruimtestaat[[#This Row],[Prest. (m2 / jaar) werkdagen gedeeld]]/Ruimtestaat[[#This Row],[Norm (m2/uur) werkdagen]],0)</f>
        <v>#DIV/0!</v>
      </c>
      <c r="AA68" s="441" t="e">
        <f>Ruimtestaat[[#This Row],[uren / jaar werkdagen gedeeld]]*Tariefsopbouw!$E$35</f>
        <v>#DIV/0!</v>
      </c>
      <c r="AB68" s="441">
        <f>Ruimtestaat[[#This Row],[Uitvoeringen werkdagen]]*Ruimtestaat[[#This Row],[BSO]]</f>
        <v>0</v>
      </c>
      <c r="AC68" s="443" t="e">
        <f>IF(U68&gt;0,Ruimtestaat[[#This Row],[Prest. (m2 / jaar) werkdagen BSO]]/Ruimtestaat[[#This Row],[Norm (m2/uur) werkdagen]],0)</f>
        <v>#DIV/0!</v>
      </c>
      <c r="AD68" s="443" t="e">
        <f>Ruimtestaat[[#This Row],[uren / jaar werkdagen BSO]]*Tariefsopbouw!$E$35</f>
        <v>#DIV/0!</v>
      </c>
      <c r="AE68" s="444">
        <f>Ruimtestaat[[#This Row],[uren / jaar werkdagen]]*Tariefsopbouw!$E$35</f>
        <v>0</v>
      </c>
      <c r="AF68" s="434"/>
      <c r="AG68" s="434">
        <f>IF(Ruimtestaat[[#This Row],[Frequentie weekend]]&gt;0,VALUE(LEFT(AF68,1))*S68,0)</f>
        <v>0</v>
      </c>
      <c r="AH68" s="445">
        <f>IF($AG68&gt;0,VLOOKUP($J68,Ruimtegroepen[],3,FALSE)*VLOOKUP($L68,Vloersoorten[],3,FALSE)*VLOOKUP($AF68,Frequenties[],3,FALSE)*VLOOKUP(Ruimtestaat[[#This Row],[Code]],Locaties[],3,FALSE),0)</f>
        <v>0</v>
      </c>
      <c r="AI68" s="445">
        <f>Ruimtestaat[[#This Row],[Uitvoeringen weekend]]*Ruimtestaat[[#This Row],[Oppervlak (netto)]]</f>
        <v>0</v>
      </c>
      <c r="AJ68" s="445">
        <f>IF(AH68&gt;0,Ruimtestaat[[#This Row],[Prest. (m2 /jaar) weekend]]/Ruimtestaat[[#This Row],[Norm (m2/uur) weekend]],0)</f>
        <v>0</v>
      </c>
      <c r="AK68" s="444">
        <f>Ruimtestaat[[#This Row],[uren / jaar weekend]]*Tariefsopbouw!$D$40</f>
        <v>0</v>
      </c>
      <c r="AL68" s="441">
        <f>Ruimtestaat[[#This Row],[Prest. (m2 /jaar) weekend]]+Ruimtestaat[[#This Row],[Prest. (m2 /jaar) werkdagen]]</f>
        <v>12000</v>
      </c>
      <c r="AM68" s="441">
        <f>Ruimtestaat[[#This Row],[uren / jaar weekend]]+Ruimtestaat[[#This Row],[uren / jaar werkdagen]]</f>
        <v>0</v>
      </c>
      <c r="AN68" s="446">
        <f>Ruimtestaat[[#This Row],[kosten / jaar weekend]]+Ruimtestaat[[#This Row],[kosten / jaar werkdagen]]</f>
        <v>0</v>
      </c>
      <c r="AO68" s="446"/>
      <c r="AP68" s="447" t="str">
        <f>IF(Ruimtestaat[[#This Row],[Frequentie werkdagen]]="","",_xlfn.CONCAT(Ruimtestaat[[#This Row],[Ruimte code]],"-",Ruimtestaat[[#This Row],[Frequentie werkdagen]]," ",Ruimtestaat[[#This Row],[Vloer code]]))</f>
        <v>16-5w L</v>
      </c>
      <c r="AQ68" s="448" t="str">
        <f>_xlfn.IFNA(VLOOKUP($AP68,Programma!$F$3:$G$1101,2,0),"")</f>
        <v>_</v>
      </c>
      <c r="AR68" s="448" t="str">
        <f>_xlfn.IFNA(VLOOKUP($AP68,Programma!$F$3:$H$1101,3,0),"")</f>
        <v>_</v>
      </c>
      <c r="AS68" s="448" t="str">
        <f>_xlfn.IFNA(VLOOKUP($AP68,Programma!$F$3:$I$1101,4,0),"")</f>
        <v>4w</v>
      </c>
      <c r="AT68" s="448" t="str">
        <f>_xlfn.IFNA(VLOOKUP($AP68,Programma!$F$3:$J$1101,5,0),"")</f>
        <v>1w</v>
      </c>
      <c r="AU68" s="448" t="str">
        <f>_xlfn.IFNA(VLOOKUP($AP68,Programma!$F$3:$K$1101,6,0),"")</f>
        <v>_</v>
      </c>
      <c r="AV68" s="448" t="str">
        <f>_xlfn.IFNA(VLOOKUP($AP68,Programma!$F$3:$L$1101,7,0),"")</f>
        <v>_</v>
      </c>
      <c r="AW68" s="448" t="str">
        <f>_xlfn.IFNA(VLOOKUP($AP68,Programma!$F$3:$M$1101,8,0),"")</f>
        <v>_</v>
      </c>
      <c r="AX68" s="448" t="str">
        <f>_xlfn.IFNA(VLOOKUP($AP68,Programma!$F$3:$N$1101,9,0),"")</f>
        <v>_</v>
      </c>
      <c r="AY68" s="448" t="str">
        <f>_xlfn.IFNA(VLOOKUP($AP68,Programma!$F$3:$O$1101,10,0),"")</f>
        <v>5w</v>
      </c>
      <c r="AZ68" s="448" t="str">
        <f>_xlfn.IFNA(VLOOKUP($AP68,Programma!$F$3:$P$1101,11,0),"")</f>
        <v>5w</v>
      </c>
      <c r="BA68" s="448" t="str">
        <f>_xlfn.IFNA(VLOOKUP($AP68,Programma!$F$3:$Q$1101,12,0),"")</f>
        <v>1w</v>
      </c>
      <c r="BB68" s="448" t="str">
        <f>_xlfn.IFNA(VLOOKUP($AP68,Programma!$F$3:$R$1101,13,0),"")</f>
        <v>1w</v>
      </c>
      <c r="BC68" s="448" t="str">
        <f>_xlfn.IFNA(VLOOKUP($AP68,Programma!$F$3:$S$1101,14,0),"")</f>
        <v>1m</v>
      </c>
      <c r="BD68" s="448" t="str">
        <f>_xlfn.IFNA(VLOOKUP($AP68,Programma!$F$3:$T$1101,15,0),"")</f>
        <v>2j</v>
      </c>
      <c r="BE68" s="448" t="str">
        <f>_xlfn.IFNA(VLOOKUP($AP68,Programma!$F$3:$U$1101,16,0),"")</f>
        <v>1j</v>
      </c>
      <c r="BF68" s="448" t="str">
        <f>_xlfn.IFNA(VLOOKUP($AP68,Programma!$F$3:$V$1101,17,0),"")</f>
        <v>_</v>
      </c>
      <c r="BG68" s="448" t="str">
        <f>_xlfn.IFNA(VLOOKUP($AP68,Programma!$F$3:$W$1101,18,0),"")</f>
        <v>_</v>
      </c>
      <c r="BH68" s="448" t="str">
        <f>_xlfn.IFNA(VLOOKUP($AP68,Programma!$F$3:$X$1101,19,0),"")</f>
        <v>_</v>
      </c>
      <c r="BI68" s="448" t="str">
        <f>_xlfn.IFNA(VLOOKUP($AP68,Programma!$F$3:$Y$1101,20,0),"")</f>
        <v>_</v>
      </c>
      <c r="BJ68" s="449"/>
      <c r="BK68" s="447" t="str">
        <f>IF(Ruimtestaat[[#This Row],[Frequentie weekend]]="","",_xlfn.CONCAT(Ruimtestaat[[#This Row],[Ruimte code]],"-",Ruimtestaat[[#This Row],[Frequentie weekend]]," ",Ruimtestaat[[#This Row],[Vloer code]]))</f>
        <v/>
      </c>
      <c r="BL68" s="448" t="str">
        <f>_xlfn.IFNA(VLOOKUP($BK68,Programma!$F$3:$G$1101,2,0),"")</f>
        <v/>
      </c>
      <c r="BM68" s="448" t="str">
        <f>_xlfn.IFNA(VLOOKUP($BK68,Programma!$F$3:$H$1101,3,0),"")</f>
        <v/>
      </c>
      <c r="BN68" s="448" t="str">
        <f>_xlfn.IFNA(VLOOKUP($BK68,Programma!$F$3:$I$1101,4,0),"")</f>
        <v/>
      </c>
      <c r="BO68" s="448" t="str">
        <f>_xlfn.IFNA(VLOOKUP($BK68,Programma!$F$3:$J$1101,5,0),"")</f>
        <v/>
      </c>
      <c r="BP68" s="448" t="str">
        <f>_xlfn.IFNA(VLOOKUP($BK68,Programma!$F$3:$K$1101,6,0),"")</f>
        <v/>
      </c>
      <c r="BQ68" s="448" t="str">
        <f>_xlfn.IFNA(VLOOKUP($BK68,Programma!$F$3:$L$1101,7,0),"")</f>
        <v/>
      </c>
      <c r="BR68" s="448" t="str">
        <f>_xlfn.IFNA(VLOOKUP($BK68,Programma!$F$3:$M$1101,8,0),"")</f>
        <v/>
      </c>
      <c r="BS68" s="448" t="str">
        <f>_xlfn.IFNA(VLOOKUP($BK68,Programma!$F$3:$N$1101,9,0),"")</f>
        <v/>
      </c>
      <c r="BT68" s="448" t="str">
        <f>_xlfn.IFNA(VLOOKUP($BK68,Programma!$F$3:$O$1101,10,0),"")</f>
        <v/>
      </c>
      <c r="BU68" s="448" t="str">
        <f>_xlfn.IFNA(VLOOKUP($BK68,Programma!$F$3:$P$1101,11,0),"")</f>
        <v/>
      </c>
      <c r="BV68" s="448" t="str">
        <f>_xlfn.IFNA(VLOOKUP($BK68,Programma!$F$3:$Q$1101,12,0),"")</f>
        <v/>
      </c>
      <c r="BW68" s="448" t="str">
        <f>_xlfn.IFNA(VLOOKUP($BK68,Programma!$F$3:$R$1101,13,0),"")</f>
        <v/>
      </c>
      <c r="BX68" s="448" t="str">
        <f>_xlfn.IFNA(VLOOKUP($BK68,Programma!$F$3:$S$1101,14,0),"")</f>
        <v/>
      </c>
      <c r="BY68" s="448" t="str">
        <f>_xlfn.IFNA(VLOOKUP($BK68,Programma!$F$3:$T$1101,15,0),"")</f>
        <v/>
      </c>
      <c r="BZ68" s="448" t="str">
        <f>_xlfn.IFNA(VLOOKUP($BK68,Programma!$F$3:$U$1101,16,0),"")</f>
        <v/>
      </c>
      <c r="CA68" s="448" t="str">
        <f>_xlfn.IFNA(VLOOKUP($BK68,Programma!$F$3:$V$1101,17,0),"")</f>
        <v/>
      </c>
      <c r="CB68" s="448" t="str">
        <f>_xlfn.IFNA(VLOOKUP($BK68,Programma!$F$3:$W$1101,18,0),"")</f>
        <v/>
      </c>
      <c r="CC68" s="448" t="str">
        <f>_xlfn.IFNA(VLOOKUP($BK68,Programma!$F$3:$X$1101,19,0),"")</f>
        <v/>
      </c>
      <c r="CD68" s="448" t="str">
        <f>_xlfn.IFNA(VLOOKUP($BK68,Programma!$F$3:$Y$1101,20,0),"")</f>
        <v/>
      </c>
      <c r="CE68" s="327"/>
      <c r="CF68" s="327"/>
      <c r="CG68" s="327"/>
      <c r="CH68" s="327"/>
      <c r="CI68" s="327"/>
      <c r="CJ68" s="327"/>
      <c r="CK68" s="327"/>
      <c r="CL68" s="327"/>
      <c r="CM68" s="327"/>
      <c r="CN68" s="327"/>
      <c r="CO68" s="327"/>
      <c r="CP68" s="327"/>
      <c r="CQ68" s="327"/>
      <c r="CR68" s="327"/>
      <c r="CS68" s="327"/>
      <c r="CT68" s="327"/>
      <c r="CU68" s="327"/>
      <c r="CV68" s="327"/>
      <c r="CW68" s="327"/>
      <c r="CX68" s="327"/>
      <c r="CY68" s="327"/>
      <c r="CZ68" s="327"/>
      <c r="DA68" s="327"/>
      <c r="DB68" s="327"/>
      <c r="DC68" s="327"/>
      <c r="DD68" s="327"/>
      <c r="DE68" s="327"/>
      <c r="DF68" s="327"/>
      <c r="DG68" s="327"/>
      <c r="DH68" s="327"/>
      <c r="DI68" s="327"/>
      <c r="DJ68" s="327"/>
      <c r="DK68" s="327"/>
      <c r="DL68" s="327"/>
      <c r="DM68" s="327"/>
      <c r="DN68" s="327"/>
      <c r="DO68" s="327"/>
      <c r="DP68" s="327"/>
      <c r="DQ68" s="327"/>
      <c r="DR68" s="327"/>
      <c r="DS68" s="327"/>
      <c r="DT68" s="327"/>
      <c r="DU68" s="327"/>
      <c r="DV68" s="327"/>
      <c r="DW68" s="327"/>
      <c r="DX68" s="327"/>
      <c r="DY68" s="327"/>
      <c r="DZ68" s="327"/>
      <c r="EA68" s="327"/>
      <c r="EB68" s="327"/>
      <c r="EC68" s="327"/>
      <c r="ED68" s="327"/>
      <c r="EE68" s="327"/>
      <c r="EF68" s="327"/>
      <c r="EG68" s="327"/>
      <c r="EH68" s="327"/>
      <c r="EI68" s="327"/>
      <c r="EJ68" s="327"/>
      <c r="EK68" s="327"/>
      <c r="EL68" s="327"/>
      <c r="EM68" s="327"/>
      <c r="EN68" s="327"/>
      <c r="EO68" s="327"/>
      <c r="EP68" s="327"/>
      <c r="EQ68" s="327"/>
      <c r="ER68" s="327"/>
      <c r="ES68" s="327"/>
      <c r="ET68" s="327"/>
      <c r="EU68" s="327"/>
      <c r="EV68" s="327"/>
      <c r="EW68" s="327"/>
      <c r="EX68" s="327"/>
      <c r="EY68" s="327"/>
      <c r="EZ68" s="327"/>
      <c r="FA68" s="327"/>
      <c r="FB68" s="327"/>
      <c r="FC68" s="327"/>
      <c r="FD68" s="327"/>
      <c r="FE68" s="327"/>
      <c r="FF68" s="327"/>
      <c r="FG68" s="327"/>
      <c r="FH68" s="327"/>
      <c r="FI68" s="327"/>
      <c r="FJ68" s="327"/>
      <c r="FK68" s="327"/>
      <c r="FL68" s="327"/>
      <c r="FM68" s="327"/>
      <c r="FN68" s="327"/>
      <c r="FO68" s="327"/>
      <c r="FP68" s="327"/>
      <c r="FQ68" s="327"/>
      <c r="FR68" s="327"/>
      <c r="FS68" s="327"/>
      <c r="FT68" s="327"/>
      <c r="FU68" s="327"/>
      <c r="FV68" s="327"/>
      <c r="FW68" s="327"/>
      <c r="FX68" s="327"/>
      <c r="FY68" s="327"/>
      <c r="FZ68" s="327"/>
      <c r="GA68" s="327"/>
      <c r="GB68" s="327"/>
      <c r="GC68" s="327"/>
      <c r="GD68" s="327"/>
      <c r="GE68" s="327"/>
      <c r="GF68" s="327"/>
      <c r="GG68" s="327"/>
      <c r="GH68" s="327"/>
      <c r="GI68" s="327"/>
      <c r="GJ68" s="327"/>
      <c r="GK68" s="327"/>
      <c r="GL68" s="327"/>
      <c r="GM68" s="327"/>
      <c r="GN68" s="327"/>
      <c r="GO68" s="327"/>
      <c r="GP68" s="327"/>
      <c r="GQ68" s="327"/>
      <c r="GR68" s="327"/>
      <c r="GS68" s="327"/>
      <c r="GT68" s="327"/>
      <c r="GU68" s="327"/>
      <c r="GV68" s="327"/>
      <c r="GW68" s="327"/>
      <c r="GX68" s="327"/>
      <c r="GY68" s="327"/>
      <c r="GZ68" s="327"/>
      <c r="HA68" s="327"/>
      <c r="HB68" s="327"/>
      <c r="HC68" s="327"/>
      <c r="HD68" s="327"/>
      <c r="HE68" s="327"/>
      <c r="HF68" s="327"/>
      <c r="HG68" s="327"/>
      <c r="HH68" s="327"/>
      <c r="HI68" s="327"/>
      <c r="HJ68" s="327"/>
      <c r="HK68" s="327"/>
      <c r="HL68" s="327"/>
      <c r="HM68" s="327"/>
      <c r="HN68" s="327"/>
      <c r="HO68" s="327"/>
      <c r="HP68" s="327"/>
      <c r="HQ68" s="327"/>
      <c r="HR68" s="327"/>
      <c r="HS68" s="327"/>
    </row>
    <row r="69" spans="1:227" ht="15" customHeight="1">
      <c r="A69" s="434">
        <v>4</v>
      </c>
      <c r="B69" s="435" t="str">
        <f>VLOOKUP(Ruimtestaat[[#This Row],[Code]],Locaties[[Code]:[Locatie]],2,FALSE)</f>
        <v>IKC De Waterlelie</v>
      </c>
      <c r="C69" s="435" t="str">
        <f>VLOOKUP(Ruimtestaat[[#This Row],[Code]],Locaties[[#All],[Code]:[Adres]],4,FALSE)</f>
        <v>Goudenregenzoom 73</v>
      </c>
      <c r="D69" s="435" t="str">
        <f>VLOOKUP(Ruimtestaat[[#This Row],[Code]],Locaties[[#All],[Code]:[Postcode]],5,FALSE)</f>
        <v>2719 HE</v>
      </c>
      <c r="E69" s="435" t="str">
        <f>VLOOKUP(Ruimtestaat[[#This Row],[Code]],Locaties[#All],6,FALSE)</f>
        <v>Zoetermeer</v>
      </c>
      <c r="F69" s="434"/>
      <c r="G69" s="434" t="s">
        <v>1678</v>
      </c>
      <c r="H69" s="436" t="s">
        <v>1730</v>
      </c>
      <c r="I69" s="437" t="s">
        <v>1731</v>
      </c>
      <c r="J69" s="330">
        <v>16</v>
      </c>
      <c r="K69" s="450" t="str">
        <f>VLOOKUP(Ruimtestaat[[#This Row],[Ruimte code]],Ruimtegroepen[[#All],[Code]:[Ruimte omschrijving]],2,FALSE)</f>
        <v>Leslokalen</v>
      </c>
      <c r="L69" s="434" t="s">
        <v>100</v>
      </c>
      <c r="M69" s="437" t="s">
        <v>1759</v>
      </c>
      <c r="N69" s="439">
        <v>58</v>
      </c>
      <c r="O69" s="439"/>
      <c r="P69" s="439"/>
      <c r="Q69" s="439"/>
      <c r="R69" s="440" t="str">
        <f>VLOOKUP(Ruimtestaat[[#This Row],[Ruimte code]],Ruimtegroepen[],4,FALSE)</f>
        <v>Le</v>
      </c>
      <c r="S69" s="434">
        <v>40</v>
      </c>
      <c r="T69" s="434" t="s">
        <v>2</v>
      </c>
      <c r="U69" s="434">
        <f>IF(S69&gt;0,IF(RIGHT(Ruimtestaat[[#This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 s="434">
        <f>IF(U69&gt;0,VLOOKUP($J69,Ruimtegroepen[],3,FALSE)*VLOOKUP($L69,Vloersoorten[],3,FALSE)*VLOOKUP($T69,Frequenties[],3,FALSE)*VLOOKUP($A69,Locaties[],3,FALSE),0)</f>
        <v>0</v>
      </c>
      <c r="W69" s="434">
        <f>Ruimtestaat[[#This Row],[Uitvoeringen werkdagen]]*Ruimtestaat[[#This Row],[Oppervlak (netto)]]</f>
        <v>11600</v>
      </c>
      <c r="X69" s="441">
        <f>IF(V69&gt;0,Ruimtestaat[[#This Row],[Prest. (m2 /jaar) werkdagen]]/Ruimtestaat[[#This Row],[Norm (m2/uur) werkdagen]],0)</f>
        <v>0</v>
      </c>
      <c r="Y69" s="442">
        <f>Ruimtestaat[[#This Row],[Uitvoeringen werkdagen]]*Ruimtestaat[[#This Row],[Gedeeltelijk]]</f>
        <v>0</v>
      </c>
      <c r="Z69" s="443" t="e">
        <f>IF(U69&gt;0,Ruimtestaat[[#This Row],[Prest. (m2 / jaar) werkdagen gedeeld]]/Ruimtestaat[[#This Row],[Norm (m2/uur) werkdagen]],0)</f>
        <v>#DIV/0!</v>
      </c>
      <c r="AA69" s="441" t="e">
        <f>Ruimtestaat[[#This Row],[uren / jaar werkdagen gedeeld]]*Tariefsopbouw!$E$35</f>
        <v>#DIV/0!</v>
      </c>
      <c r="AB69" s="441">
        <f>Ruimtestaat[[#This Row],[Uitvoeringen werkdagen]]*Ruimtestaat[[#This Row],[BSO]]</f>
        <v>0</v>
      </c>
      <c r="AC69" s="443" t="e">
        <f>IF(U69&gt;0,Ruimtestaat[[#This Row],[Prest. (m2 / jaar) werkdagen BSO]]/Ruimtestaat[[#This Row],[Norm (m2/uur) werkdagen]],0)</f>
        <v>#DIV/0!</v>
      </c>
      <c r="AD69" s="443" t="e">
        <f>Ruimtestaat[[#This Row],[uren / jaar werkdagen BSO]]*Tariefsopbouw!$E$35</f>
        <v>#DIV/0!</v>
      </c>
      <c r="AE69" s="444">
        <f>Ruimtestaat[[#This Row],[uren / jaar werkdagen]]*Tariefsopbouw!$E$35</f>
        <v>0</v>
      </c>
      <c r="AF69" s="434"/>
      <c r="AG69" s="434">
        <f>IF(Ruimtestaat[[#This Row],[Frequentie weekend]]&gt;0,VALUE(LEFT(AF69,1))*S69,0)</f>
        <v>0</v>
      </c>
      <c r="AH69" s="445">
        <f>IF($AG69&gt;0,VLOOKUP($J69,Ruimtegroepen[],3,FALSE)*VLOOKUP($L69,Vloersoorten[],3,FALSE)*VLOOKUP($AF69,Frequenties[],3,FALSE)*VLOOKUP(Ruimtestaat[[#This Row],[Code]],Locaties[],3,FALSE),0)</f>
        <v>0</v>
      </c>
      <c r="AI69" s="445">
        <f>Ruimtestaat[[#This Row],[Uitvoeringen weekend]]*Ruimtestaat[[#This Row],[Oppervlak (netto)]]</f>
        <v>0</v>
      </c>
      <c r="AJ69" s="445">
        <f>IF(AH69&gt;0,Ruimtestaat[[#This Row],[Prest. (m2 /jaar) weekend]]/Ruimtestaat[[#This Row],[Norm (m2/uur) weekend]],0)</f>
        <v>0</v>
      </c>
      <c r="AK69" s="444">
        <f>Ruimtestaat[[#This Row],[uren / jaar weekend]]*Tariefsopbouw!$D$40</f>
        <v>0</v>
      </c>
      <c r="AL69" s="441">
        <f>Ruimtestaat[[#This Row],[Prest. (m2 /jaar) weekend]]+Ruimtestaat[[#This Row],[Prest. (m2 /jaar) werkdagen]]</f>
        <v>11600</v>
      </c>
      <c r="AM69" s="441">
        <f>Ruimtestaat[[#This Row],[uren / jaar weekend]]+Ruimtestaat[[#This Row],[uren / jaar werkdagen]]</f>
        <v>0</v>
      </c>
      <c r="AN69" s="446">
        <f>Ruimtestaat[[#This Row],[kosten / jaar weekend]]+Ruimtestaat[[#This Row],[kosten / jaar werkdagen]]</f>
        <v>0</v>
      </c>
      <c r="AO69" s="446"/>
      <c r="AP69" s="447" t="str">
        <f>IF(Ruimtestaat[[#This Row],[Frequentie werkdagen]]="","",_xlfn.CONCAT(Ruimtestaat[[#This Row],[Ruimte code]],"-",Ruimtestaat[[#This Row],[Frequentie werkdagen]]," ",Ruimtestaat[[#This Row],[Vloer code]]))</f>
        <v>16-5w L</v>
      </c>
      <c r="AQ69" s="448" t="str">
        <f>_xlfn.IFNA(VLOOKUP($AP69,Programma!$F$3:$G$1101,2,0),"")</f>
        <v>_</v>
      </c>
      <c r="AR69" s="448" t="str">
        <f>_xlfn.IFNA(VLOOKUP($AP69,Programma!$F$3:$H$1101,3,0),"")</f>
        <v>_</v>
      </c>
      <c r="AS69" s="448" t="str">
        <f>_xlfn.IFNA(VLOOKUP($AP69,Programma!$F$3:$I$1101,4,0),"")</f>
        <v>4w</v>
      </c>
      <c r="AT69" s="448" t="str">
        <f>_xlfn.IFNA(VLOOKUP($AP69,Programma!$F$3:$J$1101,5,0),"")</f>
        <v>1w</v>
      </c>
      <c r="AU69" s="448" t="str">
        <f>_xlfn.IFNA(VLOOKUP($AP69,Programma!$F$3:$K$1101,6,0),"")</f>
        <v>_</v>
      </c>
      <c r="AV69" s="448" t="str">
        <f>_xlfn.IFNA(VLOOKUP($AP69,Programma!$F$3:$L$1101,7,0),"")</f>
        <v>_</v>
      </c>
      <c r="AW69" s="448" t="str">
        <f>_xlfn.IFNA(VLOOKUP($AP69,Programma!$F$3:$M$1101,8,0),"")</f>
        <v>_</v>
      </c>
      <c r="AX69" s="448" t="str">
        <f>_xlfn.IFNA(VLOOKUP($AP69,Programma!$F$3:$N$1101,9,0),"")</f>
        <v>_</v>
      </c>
      <c r="AY69" s="448" t="str">
        <f>_xlfn.IFNA(VLOOKUP($AP69,Programma!$F$3:$O$1101,10,0),"")</f>
        <v>5w</v>
      </c>
      <c r="AZ69" s="448" t="str">
        <f>_xlfn.IFNA(VLOOKUP($AP69,Programma!$F$3:$P$1101,11,0),"")</f>
        <v>5w</v>
      </c>
      <c r="BA69" s="448" t="str">
        <f>_xlfn.IFNA(VLOOKUP($AP69,Programma!$F$3:$Q$1101,12,0),"")</f>
        <v>1w</v>
      </c>
      <c r="BB69" s="448" t="str">
        <f>_xlfn.IFNA(VLOOKUP($AP69,Programma!$F$3:$R$1101,13,0),"")</f>
        <v>1w</v>
      </c>
      <c r="BC69" s="448" t="str">
        <f>_xlfn.IFNA(VLOOKUP($AP69,Programma!$F$3:$S$1101,14,0),"")</f>
        <v>1m</v>
      </c>
      <c r="BD69" s="448" t="str">
        <f>_xlfn.IFNA(VLOOKUP($AP69,Programma!$F$3:$T$1101,15,0),"")</f>
        <v>2j</v>
      </c>
      <c r="BE69" s="448" t="str">
        <f>_xlfn.IFNA(VLOOKUP($AP69,Programma!$F$3:$U$1101,16,0),"")</f>
        <v>1j</v>
      </c>
      <c r="BF69" s="448" t="str">
        <f>_xlfn.IFNA(VLOOKUP($AP69,Programma!$F$3:$V$1101,17,0),"")</f>
        <v>_</v>
      </c>
      <c r="BG69" s="448" t="str">
        <f>_xlfn.IFNA(VLOOKUP($AP69,Programma!$F$3:$W$1101,18,0),"")</f>
        <v>_</v>
      </c>
      <c r="BH69" s="448" t="str">
        <f>_xlfn.IFNA(VLOOKUP($AP69,Programma!$F$3:$X$1101,19,0),"")</f>
        <v>_</v>
      </c>
      <c r="BI69" s="448" t="str">
        <f>_xlfn.IFNA(VLOOKUP($AP69,Programma!$F$3:$Y$1101,20,0),"")</f>
        <v>_</v>
      </c>
      <c r="BJ69" s="449"/>
      <c r="BK69" s="447" t="str">
        <f>IF(Ruimtestaat[[#This Row],[Frequentie weekend]]="","",_xlfn.CONCAT(Ruimtestaat[[#This Row],[Ruimte code]],"-",Ruimtestaat[[#This Row],[Frequentie weekend]]," ",Ruimtestaat[[#This Row],[Vloer code]]))</f>
        <v/>
      </c>
      <c r="BL69" s="448" t="str">
        <f>_xlfn.IFNA(VLOOKUP($BK69,Programma!$F$3:$G$1101,2,0),"")</f>
        <v/>
      </c>
      <c r="BM69" s="448" t="str">
        <f>_xlfn.IFNA(VLOOKUP($BK69,Programma!$F$3:$H$1101,3,0),"")</f>
        <v/>
      </c>
      <c r="BN69" s="448" t="str">
        <f>_xlfn.IFNA(VLOOKUP($BK69,Programma!$F$3:$I$1101,4,0),"")</f>
        <v/>
      </c>
      <c r="BO69" s="448" t="str">
        <f>_xlfn.IFNA(VLOOKUP($BK69,Programma!$F$3:$J$1101,5,0),"")</f>
        <v/>
      </c>
      <c r="BP69" s="448" t="str">
        <f>_xlfn.IFNA(VLOOKUP($BK69,Programma!$F$3:$K$1101,6,0),"")</f>
        <v/>
      </c>
      <c r="BQ69" s="448" t="str">
        <f>_xlfn.IFNA(VLOOKUP($BK69,Programma!$F$3:$L$1101,7,0),"")</f>
        <v/>
      </c>
      <c r="BR69" s="448" t="str">
        <f>_xlfn.IFNA(VLOOKUP($BK69,Programma!$F$3:$M$1101,8,0),"")</f>
        <v/>
      </c>
      <c r="BS69" s="448" t="str">
        <f>_xlfn.IFNA(VLOOKUP($BK69,Programma!$F$3:$N$1101,9,0),"")</f>
        <v/>
      </c>
      <c r="BT69" s="448" t="str">
        <f>_xlfn.IFNA(VLOOKUP($BK69,Programma!$F$3:$O$1101,10,0),"")</f>
        <v/>
      </c>
      <c r="BU69" s="448" t="str">
        <f>_xlfn.IFNA(VLOOKUP($BK69,Programma!$F$3:$P$1101,11,0),"")</f>
        <v/>
      </c>
      <c r="BV69" s="448" t="str">
        <f>_xlfn.IFNA(VLOOKUP($BK69,Programma!$F$3:$Q$1101,12,0),"")</f>
        <v/>
      </c>
      <c r="BW69" s="448" t="str">
        <f>_xlfn.IFNA(VLOOKUP($BK69,Programma!$F$3:$R$1101,13,0),"")</f>
        <v/>
      </c>
      <c r="BX69" s="448" t="str">
        <f>_xlfn.IFNA(VLOOKUP($BK69,Programma!$F$3:$S$1101,14,0),"")</f>
        <v/>
      </c>
      <c r="BY69" s="448" t="str">
        <f>_xlfn.IFNA(VLOOKUP($BK69,Programma!$F$3:$T$1101,15,0),"")</f>
        <v/>
      </c>
      <c r="BZ69" s="448" t="str">
        <f>_xlfn.IFNA(VLOOKUP($BK69,Programma!$F$3:$U$1101,16,0),"")</f>
        <v/>
      </c>
      <c r="CA69" s="448" t="str">
        <f>_xlfn.IFNA(VLOOKUP($BK69,Programma!$F$3:$V$1101,17,0),"")</f>
        <v/>
      </c>
      <c r="CB69" s="448" t="str">
        <f>_xlfn.IFNA(VLOOKUP($BK69,Programma!$F$3:$W$1101,18,0),"")</f>
        <v/>
      </c>
      <c r="CC69" s="448" t="str">
        <f>_xlfn.IFNA(VLOOKUP($BK69,Programma!$F$3:$X$1101,19,0),"")</f>
        <v/>
      </c>
      <c r="CD69" s="448" t="str">
        <f>_xlfn.IFNA(VLOOKUP($BK69,Programma!$F$3:$Y$1101,20,0),"")</f>
        <v/>
      </c>
      <c r="CE69" s="327"/>
      <c r="CF69" s="327"/>
      <c r="CG69" s="327"/>
      <c r="CH69" s="327"/>
      <c r="CI69" s="327"/>
      <c r="CJ69" s="327"/>
      <c r="CK69" s="327"/>
      <c r="CL69" s="327"/>
      <c r="CM69" s="327"/>
      <c r="CN69" s="327"/>
      <c r="CO69" s="327"/>
      <c r="CP69" s="327"/>
      <c r="CQ69" s="327"/>
      <c r="CR69" s="327"/>
      <c r="CS69" s="327"/>
      <c r="CT69" s="327"/>
      <c r="CU69" s="327"/>
      <c r="CV69" s="327"/>
      <c r="CW69" s="327"/>
      <c r="CX69" s="327"/>
      <c r="CY69" s="327"/>
      <c r="CZ69" s="327"/>
      <c r="DA69" s="327"/>
      <c r="DB69" s="327"/>
      <c r="DC69" s="327"/>
      <c r="DD69" s="327"/>
      <c r="DE69" s="327"/>
      <c r="DF69" s="327"/>
      <c r="DG69" s="327"/>
      <c r="DH69" s="327"/>
      <c r="DI69" s="327"/>
      <c r="DJ69" s="327"/>
      <c r="DK69" s="327"/>
      <c r="DL69" s="327"/>
      <c r="DM69" s="327"/>
      <c r="DN69" s="327"/>
      <c r="DO69" s="327"/>
      <c r="DP69" s="327"/>
      <c r="DQ69" s="327"/>
      <c r="DR69" s="327"/>
      <c r="DS69" s="327"/>
      <c r="DT69" s="327"/>
      <c r="DU69" s="327"/>
      <c r="DV69" s="327"/>
      <c r="DW69" s="327"/>
      <c r="DX69" s="327"/>
      <c r="DY69" s="327"/>
      <c r="DZ69" s="327"/>
      <c r="EA69" s="327"/>
      <c r="EB69" s="327"/>
      <c r="EC69" s="327"/>
      <c r="ED69" s="327"/>
      <c r="EE69" s="327"/>
      <c r="EF69" s="327"/>
      <c r="EG69" s="327"/>
      <c r="EH69" s="327"/>
      <c r="EI69" s="327"/>
      <c r="EJ69" s="327"/>
      <c r="EK69" s="327"/>
      <c r="EL69" s="327"/>
      <c r="EM69" s="327"/>
      <c r="EN69" s="327"/>
      <c r="EO69" s="327"/>
      <c r="EP69" s="327"/>
      <c r="EQ69" s="327"/>
      <c r="ER69" s="327"/>
      <c r="ES69" s="327"/>
      <c r="ET69" s="327"/>
      <c r="EU69" s="327"/>
      <c r="EV69" s="327"/>
      <c r="EW69" s="327"/>
      <c r="EX69" s="327"/>
      <c r="EY69" s="327"/>
      <c r="EZ69" s="327"/>
      <c r="FA69" s="327"/>
      <c r="FB69" s="327"/>
      <c r="FC69" s="327"/>
      <c r="FD69" s="327"/>
      <c r="FE69" s="327"/>
      <c r="FF69" s="327"/>
      <c r="FG69" s="327"/>
      <c r="FH69" s="327"/>
      <c r="FI69" s="327"/>
      <c r="FJ69" s="327"/>
      <c r="FK69" s="327"/>
      <c r="FL69" s="327"/>
      <c r="FM69" s="327"/>
      <c r="FN69" s="327"/>
      <c r="FO69" s="327"/>
      <c r="FP69" s="327"/>
      <c r="FQ69" s="327"/>
      <c r="FR69" s="327"/>
      <c r="FS69" s="327"/>
      <c r="FT69" s="327"/>
      <c r="FU69" s="327"/>
      <c r="FV69" s="327"/>
      <c r="FW69" s="327"/>
      <c r="FX69" s="327"/>
      <c r="FY69" s="327"/>
      <c r="FZ69" s="327"/>
      <c r="GA69" s="327"/>
      <c r="GB69" s="327"/>
      <c r="GC69" s="327"/>
      <c r="GD69" s="327"/>
      <c r="GE69" s="327"/>
      <c r="GF69" s="327"/>
      <c r="GG69" s="327"/>
      <c r="GH69" s="327"/>
      <c r="GI69" s="327"/>
      <c r="GJ69" s="327"/>
      <c r="GK69" s="327"/>
      <c r="GL69" s="327"/>
      <c r="GM69" s="327"/>
      <c r="GN69" s="327"/>
      <c r="GO69" s="327"/>
      <c r="GP69" s="327"/>
      <c r="GQ69" s="327"/>
      <c r="GR69" s="327"/>
      <c r="GS69" s="327"/>
      <c r="GT69" s="327"/>
      <c r="GU69" s="327"/>
      <c r="GV69" s="327"/>
      <c r="GW69" s="327"/>
      <c r="GX69" s="327"/>
      <c r="GY69" s="327"/>
      <c r="GZ69" s="327"/>
      <c r="HA69" s="327"/>
      <c r="HB69" s="327"/>
      <c r="HC69" s="327"/>
      <c r="HD69" s="327"/>
      <c r="HE69" s="327"/>
      <c r="HF69" s="327"/>
      <c r="HG69" s="327"/>
      <c r="HH69" s="327"/>
      <c r="HI69" s="327"/>
      <c r="HJ69" s="327"/>
      <c r="HK69" s="327"/>
      <c r="HL69" s="327"/>
      <c r="HM69" s="327"/>
      <c r="HN69" s="327"/>
      <c r="HO69" s="327"/>
      <c r="HP69" s="327"/>
      <c r="HQ69" s="327"/>
      <c r="HR69" s="327"/>
      <c r="HS69" s="327"/>
    </row>
    <row r="70" spans="1:227" ht="15" customHeight="1">
      <c r="A70" s="434">
        <v>4</v>
      </c>
      <c r="B70" s="435" t="str">
        <f>VLOOKUP(Ruimtestaat[[#This Row],[Code]],Locaties[[Code]:[Locatie]],2,FALSE)</f>
        <v>IKC De Waterlelie</v>
      </c>
      <c r="C70" s="435" t="str">
        <f>VLOOKUP(Ruimtestaat[[#This Row],[Code]],Locaties[[#All],[Code]:[Adres]],4,FALSE)</f>
        <v>Goudenregenzoom 73</v>
      </c>
      <c r="D70" s="435" t="str">
        <f>VLOOKUP(Ruimtestaat[[#This Row],[Code]],Locaties[[#All],[Code]:[Postcode]],5,FALSE)</f>
        <v>2719 HE</v>
      </c>
      <c r="E70" s="435" t="str">
        <f>VLOOKUP(Ruimtestaat[[#This Row],[Code]],Locaties[#All],6,FALSE)</f>
        <v>Zoetermeer</v>
      </c>
      <c r="F70" s="434"/>
      <c r="G70" s="434" t="s">
        <v>1678</v>
      </c>
      <c r="H70" s="436" t="s">
        <v>1732</v>
      </c>
      <c r="I70" s="437" t="s">
        <v>1733</v>
      </c>
      <c r="J70" s="330">
        <v>16</v>
      </c>
      <c r="K70" s="450" t="str">
        <f>VLOOKUP(Ruimtestaat[[#This Row],[Ruimte code]],Ruimtegroepen[[#All],[Code]:[Ruimte omschrijving]],2,FALSE)</f>
        <v>Leslokalen</v>
      </c>
      <c r="L70" s="434" t="s">
        <v>100</v>
      </c>
      <c r="M70" s="437" t="s">
        <v>1759</v>
      </c>
      <c r="N70" s="439">
        <v>55</v>
      </c>
      <c r="O70" s="439"/>
      <c r="P70" s="439"/>
      <c r="Q70" s="439"/>
      <c r="R70" s="440" t="str">
        <f>VLOOKUP(Ruimtestaat[[#This Row],[Ruimte code]],Ruimtegroepen[],4,FALSE)</f>
        <v>Le</v>
      </c>
      <c r="S70" s="434">
        <v>40</v>
      </c>
      <c r="T70" s="434" t="s">
        <v>2</v>
      </c>
      <c r="U70" s="434">
        <f>IF(S70&gt;0,IF(RIGHT(Ruimtestaat[[#This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0" s="434">
        <f>IF(U70&gt;0,VLOOKUP($J70,Ruimtegroepen[],3,FALSE)*VLOOKUP($L70,Vloersoorten[],3,FALSE)*VLOOKUP($T70,Frequenties[],3,FALSE)*VLOOKUP($A70,Locaties[],3,FALSE),0)</f>
        <v>0</v>
      </c>
      <c r="W70" s="434">
        <f>Ruimtestaat[[#This Row],[Uitvoeringen werkdagen]]*Ruimtestaat[[#This Row],[Oppervlak (netto)]]</f>
        <v>11000</v>
      </c>
      <c r="X70" s="441">
        <f>IF(V70&gt;0,Ruimtestaat[[#This Row],[Prest. (m2 /jaar) werkdagen]]/Ruimtestaat[[#This Row],[Norm (m2/uur) werkdagen]],0)</f>
        <v>0</v>
      </c>
      <c r="Y70" s="442">
        <f>Ruimtestaat[[#This Row],[Uitvoeringen werkdagen]]*Ruimtestaat[[#This Row],[Gedeeltelijk]]</f>
        <v>0</v>
      </c>
      <c r="Z70" s="443" t="e">
        <f>IF(U70&gt;0,Ruimtestaat[[#This Row],[Prest. (m2 / jaar) werkdagen gedeeld]]/Ruimtestaat[[#This Row],[Norm (m2/uur) werkdagen]],0)</f>
        <v>#DIV/0!</v>
      </c>
      <c r="AA70" s="441" t="e">
        <f>Ruimtestaat[[#This Row],[uren / jaar werkdagen gedeeld]]*Tariefsopbouw!$E$35</f>
        <v>#DIV/0!</v>
      </c>
      <c r="AB70" s="441">
        <f>Ruimtestaat[[#This Row],[Uitvoeringen werkdagen]]*Ruimtestaat[[#This Row],[BSO]]</f>
        <v>0</v>
      </c>
      <c r="AC70" s="443" t="e">
        <f>IF(U70&gt;0,Ruimtestaat[[#This Row],[Prest. (m2 / jaar) werkdagen BSO]]/Ruimtestaat[[#This Row],[Norm (m2/uur) werkdagen]],0)</f>
        <v>#DIV/0!</v>
      </c>
      <c r="AD70" s="443" t="e">
        <f>Ruimtestaat[[#This Row],[uren / jaar werkdagen BSO]]*Tariefsopbouw!$E$35</f>
        <v>#DIV/0!</v>
      </c>
      <c r="AE70" s="444">
        <f>Ruimtestaat[[#This Row],[uren / jaar werkdagen]]*Tariefsopbouw!$E$35</f>
        <v>0</v>
      </c>
      <c r="AF70" s="434"/>
      <c r="AG70" s="434">
        <f>IF(Ruimtestaat[[#This Row],[Frequentie weekend]]&gt;0,VALUE(LEFT(AF70,1))*S70,0)</f>
        <v>0</v>
      </c>
      <c r="AH70" s="445">
        <f>IF($AG70&gt;0,VLOOKUP($J70,Ruimtegroepen[],3,FALSE)*VLOOKUP($L70,Vloersoorten[],3,FALSE)*VLOOKUP($AF70,Frequenties[],3,FALSE)*VLOOKUP(Ruimtestaat[[#This Row],[Code]],Locaties[],3,FALSE),0)</f>
        <v>0</v>
      </c>
      <c r="AI70" s="445">
        <f>Ruimtestaat[[#This Row],[Uitvoeringen weekend]]*Ruimtestaat[[#This Row],[Oppervlak (netto)]]</f>
        <v>0</v>
      </c>
      <c r="AJ70" s="445">
        <f>IF(AH70&gt;0,Ruimtestaat[[#This Row],[Prest. (m2 /jaar) weekend]]/Ruimtestaat[[#This Row],[Norm (m2/uur) weekend]],0)</f>
        <v>0</v>
      </c>
      <c r="AK70" s="444">
        <f>Ruimtestaat[[#This Row],[uren / jaar weekend]]*Tariefsopbouw!$D$40</f>
        <v>0</v>
      </c>
      <c r="AL70" s="441">
        <f>Ruimtestaat[[#This Row],[Prest. (m2 /jaar) weekend]]+Ruimtestaat[[#This Row],[Prest. (m2 /jaar) werkdagen]]</f>
        <v>11000</v>
      </c>
      <c r="AM70" s="441">
        <f>Ruimtestaat[[#This Row],[uren / jaar weekend]]+Ruimtestaat[[#This Row],[uren / jaar werkdagen]]</f>
        <v>0</v>
      </c>
      <c r="AN70" s="446">
        <f>Ruimtestaat[[#This Row],[kosten / jaar weekend]]+Ruimtestaat[[#This Row],[kosten / jaar werkdagen]]</f>
        <v>0</v>
      </c>
      <c r="AO70" s="446"/>
      <c r="AP70" s="447" t="str">
        <f>IF(Ruimtestaat[[#This Row],[Frequentie werkdagen]]="","",_xlfn.CONCAT(Ruimtestaat[[#This Row],[Ruimte code]],"-",Ruimtestaat[[#This Row],[Frequentie werkdagen]]," ",Ruimtestaat[[#This Row],[Vloer code]]))</f>
        <v>16-5w L</v>
      </c>
      <c r="AQ70" s="448" t="str">
        <f>_xlfn.IFNA(VLOOKUP($AP70,Programma!$F$3:$G$1101,2,0),"")</f>
        <v>_</v>
      </c>
      <c r="AR70" s="448" t="str">
        <f>_xlfn.IFNA(VLOOKUP($AP70,Programma!$F$3:$H$1101,3,0),"")</f>
        <v>_</v>
      </c>
      <c r="AS70" s="448" t="str">
        <f>_xlfn.IFNA(VLOOKUP($AP70,Programma!$F$3:$I$1101,4,0),"")</f>
        <v>4w</v>
      </c>
      <c r="AT70" s="448" t="str">
        <f>_xlfn.IFNA(VLOOKUP($AP70,Programma!$F$3:$J$1101,5,0),"")</f>
        <v>1w</v>
      </c>
      <c r="AU70" s="448" t="str">
        <f>_xlfn.IFNA(VLOOKUP($AP70,Programma!$F$3:$K$1101,6,0),"")</f>
        <v>_</v>
      </c>
      <c r="AV70" s="448" t="str">
        <f>_xlfn.IFNA(VLOOKUP($AP70,Programma!$F$3:$L$1101,7,0),"")</f>
        <v>_</v>
      </c>
      <c r="AW70" s="448" t="str">
        <f>_xlfn.IFNA(VLOOKUP($AP70,Programma!$F$3:$M$1101,8,0),"")</f>
        <v>_</v>
      </c>
      <c r="AX70" s="448" t="str">
        <f>_xlfn.IFNA(VLOOKUP($AP70,Programma!$F$3:$N$1101,9,0),"")</f>
        <v>_</v>
      </c>
      <c r="AY70" s="448" t="str">
        <f>_xlfn.IFNA(VLOOKUP($AP70,Programma!$F$3:$O$1101,10,0),"")</f>
        <v>5w</v>
      </c>
      <c r="AZ70" s="448" t="str">
        <f>_xlfn.IFNA(VLOOKUP($AP70,Programma!$F$3:$P$1101,11,0),"")</f>
        <v>5w</v>
      </c>
      <c r="BA70" s="448" t="str">
        <f>_xlfn.IFNA(VLOOKUP($AP70,Programma!$F$3:$Q$1101,12,0),"")</f>
        <v>1w</v>
      </c>
      <c r="BB70" s="448" t="str">
        <f>_xlfn.IFNA(VLOOKUP($AP70,Programma!$F$3:$R$1101,13,0),"")</f>
        <v>1w</v>
      </c>
      <c r="BC70" s="448" t="str">
        <f>_xlfn.IFNA(VLOOKUP($AP70,Programma!$F$3:$S$1101,14,0),"")</f>
        <v>1m</v>
      </c>
      <c r="BD70" s="448" t="str">
        <f>_xlfn.IFNA(VLOOKUP($AP70,Programma!$F$3:$T$1101,15,0),"")</f>
        <v>2j</v>
      </c>
      <c r="BE70" s="448" t="str">
        <f>_xlfn.IFNA(VLOOKUP($AP70,Programma!$F$3:$U$1101,16,0),"")</f>
        <v>1j</v>
      </c>
      <c r="BF70" s="448" t="str">
        <f>_xlfn.IFNA(VLOOKUP($AP70,Programma!$F$3:$V$1101,17,0),"")</f>
        <v>_</v>
      </c>
      <c r="BG70" s="448" t="str">
        <f>_xlfn.IFNA(VLOOKUP($AP70,Programma!$F$3:$W$1101,18,0),"")</f>
        <v>_</v>
      </c>
      <c r="BH70" s="448" t="str">
        <f>_xlfn.IFNA(VLOOKUP($AP70,Programma!$F$3:$X$1101,19,0),"")</f>
        <v>_</v>
      </c>
      <c r="BI70" s="448" t="str">
        <f>_xlfn.IFNA(VLOOKUP($AP70,Programma!$F$3:$Y$1101,20,0),"")</f>
        <v>_</v>
      </c>
      <c r="BJ70" s="449"/>
      <c r="BK70" s="447" t="str">
        <f>IF(Ruimtestaat[[#This Row],[Frequentie weekend]]="","",_xlfn.CONCAT(Ruimtestaat[[#This Row],[Ruimte code]],"-",Ruimtestaat[[#This Row],[Frequentie weekend]]," ",Ruimtestaat[[#This Row],[Vloer code]]))</f>
        <v/>
      </c>
      <c r="BL70" s="448" t="str">
        <f>_xlfn.IFNA(VLOOKUP($BK70,Programma!$F$3:$G$1101,2,0),"")</f>
        <v/>
      </c>
      <c r="BM70" s="448" t="str">
        <f>_xlfn.IFNA(VLOOKUP($BK70,Programma!$F$3:$H$1101,3,0),"")</f>
        <v/>
      </c>
      <c r="BN70" s="448" t="str">
        <f>_xlfn.IFNA(VLOOKUP($BK70,Programma!$F$3:$I$1101,4,0),"")</f>
        <v/>
      </c>
      <c r="BO70" s="448" t="str">
        <f>_xlfn.IFNA(VLOOKUP($BK70,Programma!$F$3:$J$1101,5,0),"")</f>
        <v/>
      </c>
      <c r="BP70" s="448" t="str">
        <f>_xlfn.IFNA(VLOOKUP($BK70,Programma!$F$3:$K$1101,6,0),"")</f>
        <v/>
      </c>
      <c r="BQ70" s="448" t="str">
        <f>_xlfn.IFNA(VLOOKUP($BK70,Programma!$F$3:$L$1101,7,0),"")</f>
        <v/>
      </c>
      <c r="BR70" s="448" t="str">
        <f>_xlfn.IFNA(VLOOKUP($BK70,Programma!$F$3:$M$1101,8,0),"")</f>
        <v/>
      </c>
      <c r="BS70" s="448" t="str">
        <f>_xlfn.IFNA(VLOOKUP($BK70,Programma!$F$3:$N$1101,9,0),"")</f>
        <v/>
      </c>
      <c r="BT70" s="448" t="str">
        <f>_xlfn.IFNA(VLOOKUP($BK70,Programma!$F$3:$O$1101,10,0),"")</f>
        <v/>
      </c>
      <c r="BU70" s="448" t="str">
        <f>_xlfn.IFNA(VLOOKUP($BK70,Programma!$F$3:$P$1101,11,0),"")</f>
        <v/>
      </c>
      <c r="BV70" s="448" t="str">
        <f>_xlfn.IFNA(VLOOKUP($BK70,Programma!$F$3:$Q$1101,12,0),"")</f>
        <v/>
      </c>
      <c r="BW70" s="448" t="str">
        <f>_xlfn.IFNA(VLOOKUP($BK70,Programma!$F$3:$R$1101,13,0),"")</f>
        <v/>
      </c>
      <c r="BX70" s="448" t="str">
        <f>_xlfn.IFNA(VLOOKUP($BK70,Programma!$F$3:$S$1101,14,0),"")</f>
        <v/>
      </c>
      <c r="BY70" s="448" t="str">
        <f>_xlfn.IFNA(VLOOKUP($BK70,Programma!$F$3:$T$1101,15,0),"")</f>
        <v/>
      </c>
      <c r="BZ70" s="448" t="str">
        <f>_xlfn.IFNA(VLOOKUP($BK70,Programma!$F$3:$U$1101,16,0),"")</f>
        <v/>
      </c>
      <c r="CA70" s="448" t="str">
        <f>_xlfn.IFNA(VLOOKUP($BK70,Programma!$F$3:$V$1101,17,0),"")</f>
        <v/>
      </c>
      <c r="CB70" s="448" t="str">
        <f>_xlfn.IFNA(VLOOKUP($BK70,Programma!$F$3:$W$1101,18,0),"")</f>
        <v/>
      </c>
      <c r="CC70" s="448" t="str">
        <f>_xlfn.IFNA(VLOOKUP($BK70,Programma!$F$3:$X$1101,19,0),"")</f>
        <v/>
      </c>
      <c r="CD70" s="448" t="str">
        <f>_xlfn.IFNA(VLOOKUP($BK70,Programma!$F$3:$Y$1101,20,0),"")</f>
        <v/>
      </c>
      <c r="CE70" s="327"/>
      <c r="CF70" s="327"/>
      <c r="CG70" s="327"/>
      <c r="CH70" s="327"/>
      <c r="CI70" s="327"/>
      <c r="CJ70" s="327"/>
      <c r="CK70" s="327"/>
      <c r="CL70" s="327"/>
      <c r="CM70" s="327"/>
      <c r="CN70" s="327"/>
      <c r="CO70" s="327"/>
      <c r="CP70" s="327"/>
      <c r="CQ70" s="327"/>
      <c r="CR70" s="327"/>
      <c r="CS70" s="327"/>
      <c r="CT70" s="327"/>
      <c r="CU70" s="327"/>
      <c r="CV70" s="327"/>
      <c r="CW70" s="327"/>
      <c r="CX70" s="327"/>
      <c r="CY70" s="327"/>
      <c r="CZ70" s="327"/>
      <c r="DA70" s="327"/>
      <c r="DB70" s="327"/>
      <c r="DC70" s="327"/>
      <c r="DD70" s="327"/>
      <c r="DE70" s="327"/>
      <c r="DF70" s="327"/>
      <c r="DG70" s="327"/>
      <c r="DH70" s="327"/>
      <c r="DI70" s="327"/>
      <c r="DJ70" s="327"/>
      <c r="DK70" s="327"/>
      <c r="DL70" s="327"/>
      <c r="DM70" s="327"/>
      <c r="DN70" s="327"/>
      <c r="DO70" s="327"/>
      <c r="DP70" s="327"/>
      <c r="DQ70" s="327"/>
      <c r="DR70" s="327"/>
      <c r="DS70" s="327"/>
      <c r="DT70" s="327"/>
      <c r="DU70" s="327"/>
      <c r="DV70" s="327"/>
      <c r="DW70" s="327"/>
      <c r="DX70" s="327"/>
      <c r="DY70" s="327"/>
      <c r="DZ70" s="327"/>
      <c r="EA70" s="327"/>
      <c r="EB70" s="327"/>
      <c r="EC70" s="327"/>
      <c r="ED70" s="327"/>
      <c r="EE70" s="327"/>
      <c r="EF70" s="327"/>
      <c r="EG70" s="327"/>
      <c r="EH70" s="327"/>
      <c r="EI70" s="327"/>
      <c r="EJ70" s="327"/>
      <c r="EK70" s="327"/>
      <c r="EL70" s="327"/>
      <c r="EM70" s="327"/>
      <c r="EN70" s="327"/>
      <c r="EO70" s="327"/>
      <c r="EP70" s="327"/>
      <c r="EQ70" s="327"/>
      <c r="ER70" s="327"/>
      <c r="ES70" s="327"/>
      <c r="ET70" s="327"/>
      <c r="EU70" s="327"/>
      <c r="EV70" s="327"/>
      <c r="EW70" s="327"/>
      <c r="EX70" s="327"/>
      <c r="EY70" s="327"/>
      <c r="EZ70" s="327"/>
      <c r="FA70" s="327"/>
      <c r="FB70" s="327"/>
      <c r="FC70" s="327"/>
      <c r="FD70" s="327"/>
      <c r="FE70" s="327"/>
      <c r="FF70" s="327"/>
      <c r="FG70" s="327"/>
      <c r="FH70" s="327"/>
      <c r="FI70" s="327"/>
      <c r="FJ70" s="327"/>
      <c r="FK70" s="327"/>
      <c r="FL70" s="327"/>
      <c r="FM70" s="327"/>
      <c r="FN70" s="327"/>
      <c r="FO70" s="327"/>
      <c r="FP70" s="327"/>
      <c r="FQ70" s="327"/>
      <c r="FR70" s="327"/>
      <c r="FS70" s="327"/>
      <c r="FT70" s="327"/>
      <c r="FU70" s="327"/>
      <c r="FV70" s="327"/>
      <c r="FW70" s="327"/>
      <c r="FX70" s="327"/>
      <c r="FY70" s="327"/>
      <c r="FZ70" s="327"/>
      <c r="GA70" s="327"/>
      <c r="GB70" s="327"/>
      <c r="GC70" s="327"/>
      <c r="GD70" s="327"/>
      <c r="GE70" s="327"/>
      <c r="GF70" s="327"/>
      <c r="GG70" s="327"/>
      <c r="GH70" s="327"/>
      <c r="GI70" s="327"/>
      <c r="GJ70" s="327"/>
      <c r="GK70" s="327"/>
      <c r="GL70" s="327"/>
      <c r="GM70" s="327"/>
      <c r="GN70" s="327"/>
      <c r="GO70" s="327"/>
      <c r="GP70" s="327"/>
      <c r="GQ70" s="327"/>
      <c r="GR70" s="327"/>
      <c r="GS70" s="327"/>
      <c r="GT70" s="327"/>
      <c r="GU70" s="327"/>
      <c r="GV70" s="327"/>
      <c r="GW70" s="327"/>
      <c r="GX70" s="327"/>
      <c r="GY70" s="327"/>
      <c r="GZ70" s="327"/>
      <c r="HA70" s="327"/>
      <c r="HB70" s="327"/>
      <c r="HC70" s="327"/>
      <c r="HD70" s="327"/>
      <c r="HE70" s="327"/>
      <c r="HF70" s="327"/>
      <c r="HG70" s="327"/>
      <c r="HH70" s="327"/>
      <c r="HI70" s="327"/>
      <c r="HJ70" s="327"/>
      <c r="HK70" s="327"/>
      <c r="HL70" s="327"/>
      <c r="HM70" s="327"/>
      <c r="HN70" s="327"/>
      <c r="HO70" s="327"/>
      <c r="HP70" s="327"/>
      <c r="HQ70" s="327"/>
      <c r="HR70" s="327"/>
      <c r="HS70" s="327"/>
    </row>
    <row r="71" spans="1:227" ht="15" customHeight="1">
      <c r="A71" s="434">
        <v>4</v>
      </c>
      <c r="B71" s="435" t="str">
        <f>VLOOKUP(Ruimtestaat[[#This Row],[Code]],Locaties[[Code]:[Locatie]],2,FALSE)</f>
        <v>IKC De Waterlelie</v>
      </c>
      <c r="C71" s="435" t="str">
        <f>VLOOKUP(Ruimtestaat[[#This Row],[Code]],Locaties[[#All],[Code]:[Adres]],4,FALSE)</f>
        <v>Goudenregenzoom 73</v>
      </c>
      <c r="D71" s="435" t="str">
        <f>VLOOKUP(Ruimtestaat[[#This Row],[Code]],Locaties[[#All],[Code]:[Postcode]],5,FALSE)</f>
        <v>2719 HE</v>
      </c>
      <c r="E71" s="435" t="str">
        <f>VLOOKUP(Ruimtestaat[[#This Row],[Code]],Locaties[#All],6,FALSE)</f>
        <v>Zoetermeer</v>
      </c>
      <c r="F71" s="450" t="s">
        <v>1705</v>
      </c>
      <c r="G71" s="434" t="s">
        <v>1678</v>
      </c>
      <c r="H71" s="436" t="s">
        <v>1734</v>
      </c>
      <c r="I71" s="437" t="s">
        <v>1735</v>
      </c>
      <c r="J71" s="330">
        <v>8</v>
      </c>
      <c r="K71" s="450" t="str">
        <f>VLOOKUP(Ruimtestaat[[#This Row],[Ruimte code]],Ruimtegroepen[[#All],[Code]:[Ruimte omschrijving]],2,FALSE)</f>
        <v>Kinderopvang</v>
      </c>
      <c r="L71" s="434" t="s">
        <v>100</v>
      </c>
      <c r="M71" s="437" t="s">
        <v>1759</v>
      </c>
      <c r="N71" s="439"/>
      <c r="O71" s="439"/>
      <c r="P71" s="439"/>
      <c r="Q71" s="439">
        <v>59</v>
      </c>
      <c r="R71" s="440" t="str">
        <f>VLOOKUP(Ruimtestaat[[#This Row],[Ruimte code]],Ruimtegroepen[],4,FALSE)</f>
        <v>Le</v>
      </c>
      <c r="S71" s="434">
        <v>51</v>
      </c>
      <c r="T71" s="434" t="s">
        <v>20</v>
      </c>
      <c r="U71" s="434">
        <f>IF(S71&gt;0,IF(RIGHT(Ruimtestaat[[#This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71" s="434">
        <f>IF(U71&gt;0,VLOOKUP($J71,Ruimtegroepen[],3,FALSE)*VLOOKUP($L71,Vloersoorten[],3,FALSE)*VLOOKUP($T71,Frequenties[],3,FALSE)*VLOOKUP($A71,Locaties[],3,FALSE),0)</f>
        <v>0</v>
      </c>
      <c r="W71" s="434">
        <f>Ruimtestaat[[#This Row],[Uitvoeringen werkdagen]]*Ruimtestaat[[#This Row],[Oppervlak (netto)]]</f>
        <v>0</v>
      </c>
      <c r="X71" s="441">
        <f>IF(V71&gt;0,Ruimtestaat[[#This Row],[Prest. (m2 /jaar) werkdagen]]/Ruimtestaat[[#This Row],[Norm (m2/uur) werkdagen]],0)</f>
        <v>0</v>
      </c>
      <c r="Y71" s="442">
        <f>Ruimtestaat[[#This Row],[Uitvoeringen werkdagen]]*Ruimtestaat[[#This Row],[Gedeeltelijk]]</f>
        <v>0</v>
      </c>
      <c r="Z71" s="443" t="e">
        <f>IF(U71&gt;0,Ruimtestaat[[#This Row],[Prest. (m2 / jaar) werkdagen gedeeld]]/Ruimtestaat[[#This Row],[Norm (m2/uur) werkdagen]],0)</f>
        <v>#DIV/0!</v>
      </c>
      <c r="AA71" s="441" t="e">
        <f>Ruimtestaat[[#This Row],[uren / jaar werkdagen gedeeld]]*Tariefsopbouw!$E$35</f>
        <v>#DIV/0!</v>
      </c>
      <c r="AB71" s="441">
        <f>Ruimtestaat[[#This Row],[Uitvoeringen werkdagen]]*Ruimtestaat[[#This Row],[BSO]]</f>
        <v>12036</v>
      </c>
      <c r="AC71" s="443" t="e">
        <f>IF(U71&gt;0,Ruimtestaat[[#This Row],[Prest. (m2 / jaar) werkdagen BSO]]/Ruimtestaat[[#This Row],[Norm (m2/uur) werkdagen]],0)</f>
        <v>#DIV/0!</v>
      </c>
      <c r="AD71" s="443" t="e">
        <f>Ruimtestaat[[#This Row],[uren / jaar werkdagen BSO]]*Tariefsopbouw!$E$35</f>
        <v>#DIV/0!</v>
      </c>
      <c r="AE71" s="444">
        <f>Ruimtestaat[[#This Row],[uren / jaar werkdagen]]*Tariefsopbouw!$E$35</f>
        <v>0</v>
      </c>
      <c r="AF71" s="434"/>
      <c r="AG71" s="434">
        <f>IF(Ruimtestaat[[#This Row],[Frequentie weekend]]&gt;0,VALUE(LEFT(AF71,1))*S71,0)</f>
        <v>0</v>
      </c>
      <c r="AH71" s="445">
        <f>IF($AG71&gt;0,VLOOKUP($J71,Ruimtegroepen[],3,FALSE)*VLOOKUP($L71,Vloersoorten[],3,FALSE)*VLOOKUP($AF71,Frequenties[],3,FALSE)*VLOOKUP(Ruimtestaat[[#This Row],[Code]],Locaties[],3,FALSE),0)</f>
        <v>0</v>
      </c>
      <c r="AI71" s="445">
        <f>Ruimtestaat[[#This Row],[Uitvoeringen weekend]]*Ruimtestaat[[#This Row],[Oppervlak (netto)]]</f>
        <v>0</v>
      </c>
      <c r="AJ71" s="445">
        <f>IF(AH71&gt;0,Ruimtestaat[[#This Row],[Prest. (m2 /jaar) weekend]]/Ruimtestaat[[#This Row],[Norm (m2/uur) weekend]],0)</f>
        <v>0</v>
      </c>
      <c r="AK71" s="444">
        <f>Ruimtestaat[[#This Row],[uren / jaar weekend]]*Tariefsopbouw!$D$40</f>
        <v>0</v>
      </c>
      <c r="AL71" s="441">
        <f>Ruimtestaat[[#This Row],[Prest. (m2 /jaar) weekend]]+Ruimtestaat[[#This Row],[Prest. (m2 /jaar) werkdagen]]</f>
        <v>0</v>
      </c>
      <c r="AM71" s="441">
        <f>Ruimtestaat[[#This Row],[uren / jaar weekend]]+Ruimtestaat[[#This Row],[uren / jaar werkdagen]]</f>
        <v>0</v>
      </c>
      <c r="AN71" s="446">
        <f>Ruimtestaat[[#This Row],[kosten / jaar weekend]]+Ruimtestaat[[#This Row],[kosten / jaar werkdagen]]</f>
        <v>0</v>
      </c>
      <c r="AO71" s="446"/>
      <c r="AP71" s="447" t="str">
        <f>IF(Ruimtestaat[[#This Row],[Frequentie werkdagen]]="","",_xlfn.CONCAT(Ruimtestaat[[#This Row],[Ruimte code]],"-",Ruimtestaat[[#This Row],[Frequentie werkdagen]]," ",Ruimtestaat[[#This Row],[Vloer code]]))</f>
        <v>8-4w L</v>
      </c>
      <c r="AQ71" s="448" t="str">
        <f>_xlfn.IFNA(VLOOKUP($AP71,Programma!$F$3:$G$1101,2,0),"")</f>
        <v>_</v>
      </c>
      <c r="AR71" s="448" t="str">
        <f>_xlfn.IFNA(VLOOKUP($AP71,Programma!$F$3:$H$1101,3,0),"")</f>
        <v>_</v>
      </c>
      <c r="AS71" s="448" t="str">
        <f>_xlfn.IFNA(VLOOKUP($AP71,Programma!$F$3:$I$1101,4,0),"")</f>
        <v>3w</v>
      </c>
      <c r="AT71" s="448" t="str">
        <f>_xlfn.IFNA(VLOOKUP($AP71,Programma!$F$3:$J$1101,5,0),"")</f>
        <v>1w</v>
      </c>
      <c r="AU71" s="448" t="str">
        <f>_xlfn.IFNA(VLOOKUP($AP71,Programma!$F$3:$K$1101,6,0),"")</f>
        <v>_</v>
      </c>
      <c r="AV71" s="448" t="str">
        <f>_xlfn.IFNA(VLOOKUP($AP71,Programma!$F$3:$L$1101,7,0),"")</f>
        <v>_</v>
      </c>
      <c r="AW71" s="448" t="str">
        <f>_xlfn.IFNA(VLOOKUP($AP71,Programma!$F$3:$M$1101,8,0),"")</f>
        <v>_</v>
      </c>
      <c r="AX71" s="448" t="str">
        <f>_xlfn.IFNA(VLOOKUP($AP71,Programma!$F$3:$N$1101,9,0),"")</f>
        <v>_</v>
      </c>
      <c r="AY71" s="448" t="str">
        <f>_xlfn.IFNA(VLOOKUP($AP71,Programma!$F$3:$O$1101,10,0),"")</f>
        <v>4w</v>
      </c>
      <c r="AZ71" s="448" t="str">
        <f>_xlfn.IFNA(VLOOKUP($AP71,Programma!$F$3:$P$1101,11,0),"")</f>
        <v>4w</v>
      </c>
      <c r="BA71" s="448" t="str">
        <f>_xlfn.IFNA(VLOOKUP($AP71,Programma!$F$3:$Q$1101,12,0),"")</f>
        <v>1w</v>
      </c>
      <c r="BB71" s="448" t="str">
        <f>_xlfn.IFNA(VLOOKUP($AP71,Programma!$F$3:$R$1101,13,0),"")</f>
        <v>1w</v>
      </c>
      <c r="BC71" s="448" t="str">
        <f>_xlfn.IFNA(VLOOKUP($AP71,Programma!$F$3:$S$1101,14,0),"")</f>
        <v>1m</v>
      </c>
      <c r="BD71" s="448" t="str">
        <f>_xlfn.IFNA(VLOOKUP($AP71,Programma!$F$3:$T$1101,15,0),"")</f>
        <v>2j</v>
      </c>
      <c r="BE71" s="448" t="str">
        <f>_xlfn.IFNA(VLOOKUP($AP71,Programma!$F$3:$U$1101,16,0),"")</f>
        <v>1j</v>
      </c>
      <c r="BF71" s="448" t="str">
        <f>_xlfn.IFNA(VLOOKUP($AP71,Programma!$F$3:$V$1101,17,0),"")</f>
        <v>_</v>
      </c>
      <c r="BG71" s="448" t="str">
        <f>_xlfn.IFNA(VLOOKUP($AP71,Programma!$F$3:$W$1101,18,0),"")</f>
        <v>_</v>
      </c>
      <c r="BH71" s="448" t="str">
        <f>_xlfn.IFNA(VLOOKUP($AP71,Programma!$F$3:$X$1101,19,0),"")</f>
        <v>_</v>
      </c>
      <c r="BI71" s="448" t="str">
        <f>_xlfn.IFNA(VLOOKUP($AP71,Programma!$F$3:$Y$1101,20,0),"")</f>
        <v>_</v>
      </c>
      <c r="BJ71" s="449"/>
      <c r="BK71" s="447" t="str">
        <f>IF(Ruimtestaat[[#This Row],[Frequentie weekend]]="","",_xlfn.CONCAT(Ruimtestaat[[#This Row],[Ruimte code]],"-",Ruimtestaat[[#This Row],[Frequentie weekend]]," ",Ruimtestaat[[#This Row],[Vloer code]]))</f>
        <v/>
      </c>
      <c r="BL71" s="448" t="str">
        <f>_xlfn.IFNA(VLOOKUP($BK71,Programma!$F$3:$G$1101,2,0),"")</f>
        <v/>
      </c>
      <c r="BM71" s="448" t="str">
        <f>_xlfn.IFNA(VLOOKUP($BK71,Programma!$F$3:$H$1101,3,0),"")</f>
        <v/>
      </c>
      <c r="BN71" s="448" t="str">
        <f>_xlfn.IFNA(VLOOKUP($BK71,Programma!$F$3:$I$1101,4,0),"")</f>
        <v/>
      </c>
      <c r="BO71" s="448" t="str">
        <f>_xlfn.IFNA(VLOOKUP($BK71,Programma!$F$3:$J$1101,5,0),"")</f>
        <v/>
      </c>
      <c r="BP71" s="448" t="str">
        <f>_xlfn.IFNA(VLOOKUP($BK71,Programma!$F$3:$K$1101,6,0),"")</f>
        <v/>
      </c>
      <c r="BQ71" s="448" t="str">
        <f>_xlfn.IFNA(VLOOKUP($BK71,Programma!$F$3:$L$1101,7,0),"")</f>
        <v/>
      </c>
      <c r="BR71" s="448" t="str">
        <f>_xlfn.IFNA(VLOOKUP($BK71,Programma!$F$3:$M$1101,8,0),"")</f>
        <v/>
      </c>
      <c r="BS71" s="448" t="str">
        <f>_xlfn.IFNA(VLOOKUP($BK71,Programma!$F$3:$N$1101,9,0),"")</f>
        <v/>
      </c>
      <c r="BT71" s="448" t="str">
        <f>_xlfn.IFNA(VLOOKUP($BK71,Programma!$F$3:$O$1101,10,0),"")</f>
        <v/>
      </c>
      <c r="BU71" s="448" t="str">
        <f>_xlfn.IFNA(VLOOKUP($BK71,Programma!$F$3:$P$1101,11,0),"")</f>
        <v/>
      </c>
      <c r="BV71" s="448" t="str">
        <f>_xlfn.IFNA(VLOOKUP($BK71,Programma!$F$3:$Q$1101,12,0),"")</f>
        <v/>
      </c>
      <c r="BW71" s="448" t="str">
        <f>_xlfn.IFNA(VLOOKUP($BK71,Programma!$F$3:$R$1101,13,0),"")</f>
        <v/>
      </c>
      <c r="BX71" s="448" t="str">
        <f>_xlfn.IFNA(VLOOKUP($BK71,Programma!$F$3:$S$1101,14,0),"")</f>
        <v/>
      </c>
      <c r="BY71" s="448" t="str">
        <f>_xlfn.IFNA(VLOOKUP($BK71,Programma!$F$3:$T$1101,15,0),"")</f>
        <v/>
      </c>
      <c r="BZ71" s="448" t="str">
        <f>_xlfn.IFNA(VLOOKUP($BK71,Programma!$F$3:$U$1101,16,0),"")</f>
        <v/>
      </c>
      <c r="CA71" s="448" t="str">
        <f>_xlfn.IFNA(VLOOKUP($BK71,Programma!$F$3:$V$1101,17,0),"")</f>
        <v/>
      </c>
      <c r="CB71" s="448" t="str">
        <f>_xlfn.IFNA(VLOOKUP($BK71,Programma!$F$3:$W$1101,18,0),"")</f>
        <v/>
      </c>
      <c r="CC71" s="448" t="str">
        <f>_xlfn.IFNA(VLOOKUP($BK71,Programma!$F$3:$X$1101,19,0),"")</f>
        <v/>
      </c>
      <c r="CD71" s="448" t="str">
        <f>_xlfn.IFNA(VLOOKUP($BK71,Programma!$F$3:$Y$1101,20,0),"")</f>
        <v/>
      </c>
      <c r="CE71" s="327"/>
      <c r="CF71" s="327"/>
      <c r="CG71" s="327"/>
      <c r="CH71" s="327"/>
      <c r="CI71" s="327"/>
      <c r="CJ71" s="327"/>
      <c r="CK71" s="327"/>
      <c r="CL71" s="327"/>
      <c r="CM71" s="327"/>
      <c r="CN71" s="327"/>
      <c r="CO71" s="327"/>
      <c r="CP71" s="327"/>
      <c r="CQ71" s="327"/>
      <c r="CR71" s="327"/>
      <c r="CS71" s="327"/>
      <c r="CT71" s="327"/>
      <c r="CU71" s="327"/>
      <c r="CV71" s="327"/>
      <c r="CW71" s="327"/>
      <c r="CX71" s="327"/>
      <c r="CY71" s="327"/>
      <c r="CZ71" s="327"/>
      <c r="DA71" s="327"/>
      <c r="DB71" s="327"/>
      <c r="DC71" s="327"/>
      <c r="DD71" s="327"/>
      <c r="DE71" s="327"/>
      <c r="DF71" s="327"/>
      <c r="DG71" s="327"/>
      <c r="DH71" s="327"/>
      <c r="DI71" s="327"/>
      <c r="DJ71" s="327"/>
      <c r="DK71" s="327"/>
      <c r="DL71" s="327"/>
      <c r="DM71" s="327"/>
      <c r="DN71" s="327"/>
      <c r="DO71" s="327"/>
      <c r="DP71" s="327"/>
      <c r="DQ71" s="327"/>
      <c r="DR71" s="327"/>
      <c r="DS71" s="327"/>
      <c r="DT71" s="327"/>
      <c r="DU71" s="327"/>
      <c r="DV71" s="327"/>
      <c r="DW71" s="327"/>
      <c r="DX71" s="327"/>
      <c r="DY71" s="327"/>
      <c r="DZ71" s="327"/>
      <c r="EA71" s="327"/>
      <c r="EB71" s="327"/>
      <c r="EC71" s="327"/>
      <c r="ED71" s="327"/>
      <c r="EE71" s="327"/>
      <c r="EF71" s="327"/>
      <c r="EG71" s="327"/>
      <c r="EH71" s="327"/>
      <c r="EI71" s="327"/>
      <c r="EJ71" s="327"/>
      <c r="EK71" s="327"/>
      <c r="EL71" s="327"/>
      <c r="EM71" s="327"/>
      <c r="EN71" s="327"/>
      <c r="EO71" s="327"/>
      <c r="EP71" s="327"/>
      <c r="EQ71" s="327"/>
      <c r="ER71" s="327"/>
      <c r="ES71" s="327"/>
      <c r="ET71" s="327"/>
      <c r="EU71" s="327"/>
      <c r="EV71" s="327"/>
      <c r="EW71" s="327"/>
      <c r="EX71" s="327"/>
      <c r="EY71" s="327"/>
      <c r="EZ71" s="327"/>
      <c r="FA71" s="327"/>
      <c r="FB71" s="327"/>
      <c r="FC71" s="327"/>
      <c r="FD71" s="327"/>
      <c r="FE71" s="327"/>
      <c r="FF71" s="327"/>
      <c r="FG71" s="327"/>
      <c r="FH71" s="327"/>
      <c r="FI71" s="327"/>
      <c r="FJ71" s="327"/>
      <c r="FK71" s="327"/>
      <c r="FL71" s="327"/>
      <c r="FM71" s="327"/>
      <c r="FN71" s="327"/>
      <c r="FO71" s="327"/>
      <c r="FP71" s="327"/>
      <c r="FQ71" s="327"/>
      <c r="FR71" s="327"/>
      <c r="FS71" s="327"/>
      <c r="FT71" s="327"/>
      <c r="FU71" s="327"/>
      <c r="FV71" s="327"/>
      <c r="FW71" s="327"/>
      <c r="FX71" s="327"/>
      <c r="FY71" s="327"/>
      <c r="FZ71" s="327"/>
      <c r="GA71" s="327"/>
      <c r="GB71" s="327"/>
      <c r="GC71" s="327"/>
      <c r="GD71" s="327"/>
      <c r="GE71" s="327"/>
      <c r="GF71" s="327"/>
      <c r="GG71" s="327"/>
      <c r="GH71" s="327"/>
      <c r="GI71" s="327"/>
      <c r="GJ71" s="327"/>
      <c r="GK71" s="327"/>
      <c r="GL71" s="327"/>
      <c r="GM71" s="327"/>
      <c r="GN71" s="327"/>
      <c r="GO71" s="327"/>
      <c r="GP71" s="327"/>
      <c r="GQ71" s="327"/>
      <c r="GR71" s="327"/>
      <c r="GS71" s="327"/>
      <c r="GT71" s="327"/>
      <c r="GU71" s="327"/>
      <c r="GV71" s="327"/>
      <c r="GW71" s="327"/>
      <c r="GX71" s="327"/>
      <c r="GY71" s="327"/>
      <c r="GZ71" s="327"/>
      <c r="HA71" s="327"/>
      <c r="HB71" s="327"/>
      <c r="HC71" s="327"/>
      <c r="HD71" s="327"/>
      <c r="HE71" s="327"/>
      <c r="HF71" s="327"/>
      <c r="HG71" s="327"/>
      <c r="HH71" s="327"/>
      <c r="HI71" s="327"/>
      <c r="HJ71" s="327"/>
      <c r="HK71" s="327"/>
      <c r="HL71" s="327"/>
      <c r="HM71" s="327"/>
      <c r="HN71" s="327"/>
      <c r="HO71" s="327"/>
      <c r="HP71" s="327"/>
      <c r="HQ71" s="327"/>
      <c r="HR71" s="327"/>
      <c r="HS71" s="327"/>
    </row>
    <row r="72" spans="1:227" ht="15" customHeight="1">
      <c r="A72" s="434">
        <v>4</v>
      </c>
      <c r="B72" s="435" t="str">
        <f>VLOOKUP(Ruimtestaat[[#This Row],[Code]],Locaties[[Code]:[Locatie]],2,FALSE)</f>
        <v>IKC De Waterlelie</v>
      </c>
      <c r="C72" s="435" t="str">
        <f>VLOOKUP(Ruimtestaat[[#This Row],[Code]],Locaties[[#All],[Code]:[Adres]],4,FALSE)</f>
        <v>Goudenregenzoom 73</v>
      </c>
      <c r="D72" s="435" t="str">
        <f>VLOOKUP(Ruimtestaat[[#This Row],[Code]],Locaties[[#All],[Code]:[Postcode]],5,FALSE)</f>
        <v>2719 HE</v>
      </c>
      <c r="E72" s="435" t="str">
        <f>VLOOKUP(Ruimtestaat[[#This Row],[Code]],Locaties[#All],6,FALSE)</f>
        <v>Zoetermeer</v>
      </c>
      <c r="F72" s="450" t="s">
        <v>1705</v>
      </c>
      <c r="G72" s="434" t="s">
        <v>1678</v>
      </c>
      <c r="H72" s="436" t="s">
        <v>1736</v>
      </c>
      <c r="I72" s="437" t="s">
        <v>1708</v>
      </c>
      <c r="J72" s="330">
        <v>6</v>
      </c>
      <c r="K72" s="450" t="str">
        <f>VLOOKUP(Ruimtestaat[[#This Row],[Ruimte code]],Ruimtegroepen[[#All],[Code]:[Ruimte omschrijving]],2,FALSE)</f>
        <v>Gangen/hallen</v>
      </c>
      <c r="L72" s="434" t="s">
        <v>100</v>
      </c>
      <c r="M72" s="437" t="s">
        <v>1759</v>
      </c>
      <c r="N72" s="439"/>
      <c r="O72" s="439"/>
      <c r="P72" s="439"/>
      <c r="Q72" s="439">
        <v>80</v>
      </c>
      <c r="R72" s="440" t="str">
        <f>VLOOKUP(Ruimtestaat[[#This Row],[Ruimte code]],Ruimtegroepen[],4,FALSE)</f>
        <v>Ve</v>
      </c>
      <c r="S72" s="434">
        <v>51</v>
      </c>
      <c r="T72" s="434" t="s">
        <v>2</v>
      </c>
      <c r="U72" s="434">
        <f>IF(S72&gt;0,IF(RIGHT(Ruimtestaat[[#This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72" s="434">
        <f>IF(U72&gt;0,VLOOKUP($J72,Ruimtegroepen[],3,FALSE)*VLOOKUP($L72,Vloersoorten[],3,FALSE)*VLOOKUP($T72,Frequenties[],3,FALSE)*VLOOKUP($A72,Locaties[],3,FALSE),0)</f>
        <v>0</v>
      </c>
      <c r="W72" s="434">
        <f>Ruimtestaat[[#This Row],[Uitvoeringen werkdagen]]*Ruimtestaat[[#This Row],[Oppervlak (netto)]]</f>
        <v>0</v>
      </c>
      <c r="X72" s="441">
        <f>IF(V72&gt;0,Ruimtestaat[[#This Row],[Prest. (m2 /jaar) werkdagen]]/Ruimtestaat[[#This Row],[Norm (m2/uur) werkdagen]],0)</f>
        <v>0</v>
      </c>
      <c r="Y72" s="442">
        <f>Ruimtestaat[[#This Row],[Uitvoeringen werkdagen]]*Ruimtestaat[[#This Row],[Gedeeltelijk]]</f>
        <v>0</v>
      </c>
      <c r="Z72" s="443" t="e">
        <f>IF(U72&gt;0,Ruimtestaat[[#This Row],[Prest. (m2 / jaar) werkdagen gedeeld]]/Ruimtestaat[[#This Row],[Norm (m2/uur) werkdagen]],0)</f>
        <v>#DIV/0!</v>
      </c>
      <c r="AA72" s="441" t="e">
        <f>Ruimtestaat[[#This Row],[uren / jaar werkdagen gedeeld]]*Tariefsopbouw!$E$35</f>
        <v>#DIV/0!</v>
      </c>
      <c r="AB72" s="441">
        <f>Ruimtestaat[[#This Row],[Uitvoeringen werkdagen]]*Ruimtestaat[[#This Row],[BSO]]</f>
        <v>20400</v>
      </c>
      <c r="AC72" s="443" t="e">
        <f>IF(U72&gt;0,Ruimtestaat[[#This Row],[Prest. (m2 / jaar) werkdagen BSO]]/Ruimtestaat[[#This Row],[Norm (m2/uur) werkdagen]],0)</f>
        <v>#DIV/0!</v>
      </c>
      <c r="AD72" s="443" t="e">
        <f>Ruimtestaat[[#This Row],[uren / jaar werkdagen BSO]]*Tariefsopbouw!$E$35</f>
        <v>#DIV/0!</v>
      </c>
      <c r="AE72" s="444">
        <f>Ruimtestaat[[#This Row],[uren / jaar werkdagen]]*Tariefsopbouw!$E$35</f>
        <v>0</v>
      </c>
      <c r="AF72" s="434"/>
      <c r="AG72" s="434">
        <f>IF(Ruimtestaat[[#This Row],[Frequentie weekend]]&gt;0,VALUE(LEFT(AF72,1))*S72,0)</f>
        <v>0</v>
      </c>
      <c r="AH72" s="445">
        <f>IF($AG72&gt;0,VLOOKUP($J72,Ruimtegroepen[],3,FALSE)*VLOOKUP($L72,Vloersoorten[],3,FALSE)*VLOOKUP($AF72,Frequenties[],3,FALSE)*VLOOKUP(Ruimtestaat[[#This Row],[Code]],Locaties[],3,FALSE),0)</f>
        <v>0</v>
      </c>
      <c r="AI72" s="445">
        <f>Ruimtestaat[[#This Row],[Uitvoeringen weekend]]*Ruimtestaat[[#This Row],[Oppervlak (netto)]]</f>
        <v>0</v>
      </c>
      <c r="AJ72" s="445">
        <f>IF(AH72&gt;0,Ruimtestaat[[#This Row],[Prest. (m2 /jaar) weekend]]/Ruimtestaat[[#This Row],[Norm (m2/uur) weekend]],0)</f>
        <v>0</v>
      </c>
      <c r="AK72" s="444">
        <f>Ruimtestaat[[#This Row],[uren / jaar weekend]]*Tariefsopbouw!$D$40</f>
        <v>0</v>
      </c>
      <c r="AL72" s="441">
        <f>Ruimtestaat[[#This Row],[Prest. (m2 /jaar) weekend]]+Ruimtestaat[[#This Row],[Prest. (m2 /jaar) werkdagen]]</f>
        <v>0</v>
      </c>
      <c r="AM72" s="441">
        <f>Ruimtestaat[[#This Row],[uren / jaar weekend]]+Ruimtestaat[[#This Row],[uren / jaar werkdagen]]</f>
        <v>0</v>
      </c>
      <c r="AN72" s="446">
        <f>Ruimtestaat[[#This Row],[kosten / jaar weekend]]+Ruimtestaat[[#This Row],[kosten / jaar werkdagen]]</f>
        <v>0</v>
      </c>
      <c r="AO72" s="446"/>
      <c r="AP72" s="447" t="str">
        <f>IF(Ruimtestaat[[#This Row],[Frequentie werkdagen]]="","",_xlfn.CONCAT(Ruimtestaat[[#This Row],[Ruimte code]],"-",Ruimtestaat[[#This Row],[Frequentie werkdagen]]," ",Ruimtestaat[[#This Row],[Vloer code]]))</f>
        <v>6-5w L</v>
      </c>
      <c r="AQ72" s="448" t="str">
        <f>_xlfn.IFNA(VLOOKUP($AP72,Programma!$F$3:$G$1101,2,0),"")</f>
        <v>_</v>
      </c>
      <c r="AR72" s="448" t="str">
        <f>_xlfn.IFNA(VLOOKUP($AP72,Programma!$F$3:$H$1101,3,0),"")</f>
        <v>_</v>
      </c>
      <c r="AS72" s="448" t="str">
        <f>_xlfn.IFNA(VLOOKUP($AP72,Programma!$F$3:$I$1101,4,0),"")</f>
        <v>_</v>
      </c>
      <c r="AT72" s="448" t="str">
        <f>_xlfn.IFNA(VLOOKUP($AP72,Programma!$F$3:$J$1101,5,0),"")</f>
        <v>5w</v>
      </c>
      <c r="AU72" s="448" t="str">
        <f>_xlfn.IFNA(VLOOKUP($AP72,Programma!$F$3:$K$1101,6,0),"")</f>
        <v>_</v>
      </c>
      <c r="AV72" s="448" t="str">
        <f>_xlfn.IFNA(VLOOKUP($AP72,Programma!$F$3:$L$1101,7,0),"")</f>
        <v>_</v>
      </c>
      <c r="AW72" s="448" t="str">
        <f>_xlfn.IFNA(VLOOKUP($AP72,Programma!$F$3:$M$1101,8,0),"")</f>
        <v>_</v>
      </c>
      <c r="AX72" s="448" t="str">
        <f>_xlfn.IFNA(VLOOKUP($AP72,Programma!$F$3:$N$1101,9,0),"")</f>
        <v>_</v>
      </c>
      <c r="AY72" s="448" t="str">
        <f>_xlfn.IFNA(VLOOKUP($AP72,Programma!$F$3:$O$1101,10,0),"")</f>
        <v>5w</v>
      </c>
      <c r="AZ72" s="448" t="str">
        <f>_xlfn.IFNA(VLOOKUP($AP72,Programma!$F$3:$P$1101,11,0),"")</f>
        <v>5w</v>
      </c>
      <c r="BA72" s="448" t="str">
        <f>_xlfn.IFNA(VLOOKUP($AP72,Programma!$F$3:$Q$1101,12,0),"")</f>
        <v>1w</v>
      </c>
      <c r="BB72" s="448" t="str">
        <f>_xlfn.IFNA(VLOOKUP($AP72,Programma!$F$3:$R$1101,13,0),"")</f>
        <v>1w</v>
      </c>
      <c r="BC72" s="448" t="str">
        <f>_xlfn.IFNA(VLOOKUP($AP72,Programma!$F$3:$S$1101,14,0),"")</f>
        <v>1m</v>
      </c>
      <c r="BD72" s="448" t="str">
        <f>_xlfn.IFNA(VLOOKUP($AP72,Programma!$F$3:$T$1101,15,0),"")</f>
        <v>2j</v>
      </c>
      <c r="BE72" s="448" t="str">
        <f>_xlfn.IFNA(VLOOKUP($AP72,Programma!$F$3:$U$1101,16,0),"")</f>
        <v>1j</v>
      </c>
      <c r="BF72" s="448" t="str">
        <f>_xlfn.IFNA(VLOOKUP($AP72,Programma!$F$3:$V$1101,17,0),"")</f>
        <v>_</v>
      </c>
      <c r="BG72" s="448" t="str">
        <f>_xlfn.IFNA(VLOOKUP($AP72,Programma!$F$3:$W$1101,18,0),"")</f>
        <v>_</v>
      </c>
      <c r="BH72" s="448" t="str">
        <f>_xlfn.IFNA(VLOOKUP($AP72,Programma!$F$3:$X$1101,19,0),"")</f>
        <v>_</v>
      </c>
      <c r="BI72" s="448" t="str">
        <f>_xlfn.IFNA(VLOOKUP($AP72,Programma!$F$3:$Y$1101,20,0),"")</f>
        <v>_</v>
      </c>
      <c r="BJ72" s="449"/>
      <c r="BK72" s="447" t="str">
        <f>IF(Ruimtestaat[[#This Row],[Frequentie weekend]]="","",_xlfn.CONCAT(Ruimtestaat[[#This Row],[Ruimte code]],"-",Ruimtestaat[[#This Row],[Frequentie weekend]]," ",Ruimtestaat[[#This Row],[Vloer code]]))</f>
        <v/>
      </c>
      <c r="BL72" s="448" t="str">
        <f>_xlfn.IFNA(VLOOKUP($BK72,Programma!$F$3:$G$1101,2,0),"")</f>
        <v/>
      </c>
      <c r="BM72" s="448" t="str">
        <f>_xlfn.IFNA(VLOOKUP($BK72,Programma!$F$3:$H$1101,3,0),"")</f>
        <v/>
      </c>
      <c r="BN72" s="448" t="str">
        <f>_xlfn.IFNA(VLOOKUP($BK72,Programma!$F$3:$I$1101,4,0),"")</f>
        <v/>
      </c>
      <c r="BO72" s="448" t="str">
        <f>_xlfn.IFNA(VLOOKUP($BK72,Programma!$F$3:$J$1101,5,0),"")</f>
        <v/>
      </c>
      <c r="BP72" s="448" t="str">
        <f>_xlfn.IFNA(VLOOKUP($BK72,Programma!$F$3:$K$1101,6,0),"")</f>
        <v/>
      </c>
      <c r="BQ72" s="448" t="str">
        <f>_xlfn.IFNA(VLOOKUP($BK72,Programma!$F$3:$L$1101,7,0),"")</f>
        <v/>
      </c>
      <c r="BR72" s="448" t="str">
        <f>_xlfn.IFNA(VLOOKUP($BK72,Programma!$F$3:$M$1101,8,0),"")</f>
        <v/>
      </c>
      <c r="BS72" s="448" t="str">
        <f>_xlfn.IFNA(VLOOKUP($BK72,Programma!$F$3:$N$1101,9,0),"")</f>
        <v/>
      </c>
      <c r="BT72" s="448" t="str">
        <f>_xlfn.IFNA(VLOOKUP($BK72,Programma!$F$3:$O$1101,10,0),"")</f>
        <v/>
      </c>
      <c r="BU72" s="448" t="str">
        <f>_xlfn.IFNA(VLOOKUP($BK72,Programma!$F$3:$P$1101,11,0),"")</f>
        <v/>
      </c>
      <c r="BV72" s="448" t="str">
        <f>_xlfn.IFNA(VLOOKUP($BK72,Programma!$F$3:$Q$1101,12,0),"")</f>
        <v/>
      </c>
      <c r="BW72" s="448" t="str">
        <f>_xlfn.IFNA(VLOOKUP($BK72,Programma!$F$3:$R$1101,13,0),"")</f>
        <v/>
      </c>
      <c r="BX72" s="448" t="str">
        <f>_xlfn.IFNA(VLOOKUP($BK72,Programma!$F$3:$S$1101,14,0),"")</f>
        <v/>
      </c>
      <c r="BY72" s="448" t="str">
        <f>_xlfn.IFNA(VLOOKUP($BK72,Programma!$F$3:$T$1101,15,0),"")</f>
        <v/>
      </c>
      <c r="BZ72" s="448" t="str">
        <f>_xlfn.IFNA(VLOOKUP($BK72,Programma!$F$3:$U$1101,16,0),"")</f>
        <v/>
      </c>
      <c r="CA72" s="448" t="str">
        <f>_xlfn.IFNA(VLOOKUP($BK72,Programma!$F$3:$V$1101,17,0),"")</f>
        <v/>
      </c>
      <c r="CB72" s="448" t="str">
        <f>_xlfn.IFNA(VLOOKUP($BK72,Programma!$F$3:$W$1101,18,0),"")</f>
        <v/>
      </c>
      <c r="CC72" s="448" t="str">
        <f>_xlfn.IFNA(VLOOKUP($BK72,Programma!$F$3:$X$1101,19,0),"")</f>
        <v/>
      </c>
      <c r="CD72" s="448" t="str">
        <f>_xlfn.IFNA(VLOOKUP($BK72,Programma!$F$3:$Y$1101,20,0),"")</f>
        <v/>
      </c>
      <c r="CE72" s="327"/>
      <c r="CF72" s="327"/>
      <c r="CG72" s="327"/>
      <c r="CH72" s="327"/>
      <c r="CI72" s="327"/>
      <c r="CJ72" s="327"/>
      <c r="CK72" s="327"/>
      <c r="CL72" s="327"/>
      <c r="CM72" s="327"/>
      <c r="CN72" s="327"/>
      <c r="CO72" s="327"/>
      <c r="CP72" s="327"/>
      <c r="CQ72" s="327"/>
      <c r="CR72" s="327"/>
      <c r="CS72" s="327"/>
      <c r="CT72" s="327"/>
      <c r="CU72" s="327"/>
      <c r="CV72" s="327"/>
      <c r="CW72" s="327"/>
      <c r="CX72" s="327"/>
      <c r="CY72" s="327"/>
      <c r="CZ72" s="327"/>
      <c r="DA72" s="327"/>
      <c r="DB72" s="327"/>
      <c r="DC72" s="327"/>
      <c r="DD72" s="327"/>
      <c r="DE72" s="327"/>
      <c r="DF72" s="327"/>
      <c r="DG72" s="327"/>
      <c r="DH72" s="327"/>
      <c r="DI72" s="327"/>
      <c r="DJ72" s="327"/>
      <c r="DK72" s="327"/>
      <c r="DL72" s="327"/>
      <c r="DM72" s="327"/>
      <c r="DN72" s="327"/>
      <c r="DO72" s="327"/>
      <c r="DP72" s="327"/>
      <c r="DQ72" s="327"/>
      <c r="DR72" s="327"/>
      <c r="DS72" s="327"/>
      <c r="DT72" s="327"/>
      <c r="DU72" s="327"/>
      <c r="DV72" s="327"/>
      <c r="DW72" s="327"/>
      <c r="DX72" s="327"/>
      <c r="DY72" s="327"/>
      <c r="DZ72" s="327"/>
      <c r="EA72" s="327"/>
      <c r="EB72" s="327"/>
      <c r="EC72" s="327"/>
      <c r="ED72" s="327"/>
      <c r="EE72" s="327"/>
      <c r="EF72" s="327"/>
      <c r="EG72" s="327"/>
      <c r="EH72" s="327"/>
      <c r="EI72" s="327"/>
      <c r="EJ72" s="327"/>
      <c r="EK72" s="327"/>
      <c r="EL72" s="327"/>
      <c r="EM72" s="327"/>
      <c r="EN72" s="327"/>
      <c r="EO72" s="327"/>
      <c r="EP72" s="327"/>
      <c r="EQ72" s="327"/>
      <c r="ER72" s="327"/>
      <c r="ES72" s="327"/>
      <c r="ET72" s="327"/>
      <c r="EU72" s="327"/>
      <c r="EV72" s="327"/>
      <c r="EW72" s="327"/>
      <c r="EX72" s="327"/>
      <c r="EY72" s="327"/>
      <c r="EZ72" s="327"/>
      <c r="FA72" s="327"/>
      <c r="FB72" s="327"/>
      <c r="FC72" s="327"/>
      <c r="FD72" s="327"/>
      <c r="FE72" s="327"/>
      <c r="FF72" s="327"/>
      <c r="FG72" s="327"/>
      <c r="FH72" s="327"/>
      <c r="FI72" s="327"/>
      <c r="FJ72" s="327"/>
      <c r="FK72" s="327"/>
      <c r="FL72" s="327"/>
      <c r="FM72" s="327"/>
      <c r="FN72" s="327"/>
      <c r="FO72" s="327"/>
      <c r="FP72" s="327"/>
      <c r="FQ72" s="327"/>
      <c r="FR72" s="327"/>
      <c r="FS72" s="327"/>
      <c r="FT72" s="327"/>
      <c r="FU72" s="327"/>
      <c r="FV72" s="327"/>
      <c r="FW72" s="327"/>
      <c r="FX72" s="327"/>
      <c r="FY72" s="327"/>
      <c r="FZ72" s="327"/>
      <c r="GA72" s="327"/>
      <c r="GB72" s="327"/>
      <c r="GC72" s="327"/>
      <c r="GD72" s="327"/>
      <c r="GE72" s="327"/>
      <c r="GF72" s="327"/>
      <c r="GG72" s="327"/>
      <c r="GH72" s="327"/>
      <c r="GI72" s="327"/>
      <c r="GJ72" s="327"/>
      <c r="GK72" s="327"/>
      <c r="GL72" s="327"/>
      <c r="GM72" s="327"/>
      <c r="GN72" s="327"/>
      <c r="GO72" s="327"/>
      <c r="GP72" s="327"/>
      <c r="GQ72" s="327"/>
      <c r="GR72" s="327"/>
      <c r="GS72" s="327"/>
      <c r="GT72" s="327"/>
      <c r="GU72" s="327"/>
      <c r="GV72" s="327"/>
      <c r="GW72" s="327"/>
      <c r="GX72" s="327"/>
      <c r="GY72" s="327"/>
      <c r="GZ72" s="327"/>
      <c r="HA72" s="327"/>
      <c r="HB72" s="327"/>
      <c r="HC72" s="327"/>
      <c r="HD72" s="327"/>
      <c r="HE72" s="327"/>
      <c r="HF72" s="327"/>
      <c r="HG72" s="327"/>
      <c r="HH72" s="327"/>
      <c r="HI72" s="327"/>
      <c r="HJ72" s="327"/>
      <c r="HK72" s="327"/>
      <c r="HL72" s="327"/>
      <c r="HM72" s="327"/>
      <c r="HN72" s="327"/>
      <c r="HO72" s="327"/>
      <c r="HP72" s="327"/>
      <c r="HQ72" s="327"/>
      <c r="HR72" s="327"/>
      <c r="HS72" s="327"/>
    </row>
    <row r="73" spans="1:227" ht="15" customHeight="1">
      <c r="A73" s="434">
        <v>4</v>
      </c>
      <c r="B73" s="435" t="str">
        <f>VLOOKUP(Ruimtestaat[[#This Row],[Code]],Locaties[[Code]:[Locatie]],2,FALSE)</f>
        <v>IKC De Waterlelie</v>
      </c>
      <c r="C73" s="435" t="str">
        <f>VLOOKUP(Ruimtestaat[[#This Row],[Code]],Locaties[[#All],[Code]:[Adres]],4,FALSE)</f>
        <v>Goudenregenzoom 73</v>
      </c>
      <c r="D73" s="435" t="str">
        <f>VLOOKUP(Ruimtestaat[[#This Row],[Code]],Locaties[[#All],[Code]:[Postcode]],5,FALSE)</f>
        <v>2719 HE</v>
      </c>
      <c r="E73" s="435" t="str">
        <f>VLOOKUP(Ruimtestaat[[#This Row],[Code]],Locaties[#All],6,FALSE)</f>
        <v>Zoetermeer</v>
      </c>
      <c r="F73" s="434"/>
      <c r="G73" s="434" t="s">
        <v>1678</v>
      </c>
      <c r="H73" s="436" t="s">
        <v>1737</v>
      </c>
      <c r="I73" s="437" t="s">
        <v>1720</v>
      </c>
      <c r="J73" s="330">
        <v>5</v>
      </c>
      <c r="K73" s="450" t="str">
        <f>VLOOKUP(Ruimtestaat[[#This Row],[Ruimte code]],Ruimtegroepen[[#All],[Code]:[Ruimte omschrijving]],2,FALSE)</f>
        <v>Sanitair</v>
      </c>
      <c r="L73" s="434" t="s">
        <v>100</v>
      </c>
      <c r="M73" s="437" t="s">
        <v>1759</v>
      </c>
      <c r="N73" s="439">
        <v>7.1</v>
      </c>
      <c r="O73" s="439"/>
      <c r="P73" s="439"/>
      <c r="Q73" s="439"/>
      <c r="R73" s="440" t="str">
        <f>VLOOKUP(Ruimtestaat[[#This Row],[Ruimte code]],Ruimtegroepen[],4,FALSE)</f>
        <v>Sa</v>
      </c>
      <c r="S73" s="434">
        <v>41</v>
      </c>
      <c r="T73" s="434" t="s">
        <v>2</v>
      </c>
      <c r="U73" s="434">
        <f>IF(S73&gt;0,IF(RIGHT(Ruimtestaat[[#This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3" s="434">
        <f>IF(U73&gt;0,VLOOKUP($J73,Ruimtegroepen[],3,FALSE)*VLOOKUP($L73,Vloersoorten[],3,FALSE)*VLOOKUP($T73,Frequenties[],3,FALSE)*VLOOKUP($A73,Locaties[],3,FALSE),0)</f>
        <v>0</v>
      </c>
      <c r="W73" s="434">
        <f>Ruimtestaat[[#This Row],[Uitvoeringen werkdagen]]*Ruimtestaat[[#This Row],[Oppervlak (netto)]]</f>
        <v>1455.5</v>
      </c>
      <c r="X73" s="441">
        <f>IF(V73&gt;0,Ruimtestaat[[#This Row],[Prest. (m2 /jaar) werkdagen]]/Ruimtestaat[[#This Row],[Norm (m2/uur) werkdagen]],0)</f>
        <v>0</v>
      </c>
      <c r="Y73" s="442">
        <f>Ruimtestaat[[#This Row],[Uitvoeringen werkdagen]]*Ruimtestaat[[#This Row],[Gedeeltelijk]]</f>
        <v>0</v>
      </c>
      <c r="Z73" s="443" t="e">
        <f>IF(U73&gt;0,Ruimtestaat[[#This Row],[Prest. (m2 / jaar) werkdagen gedeeld]]/Ruimtestaat[[#This Row],[Norm (m2/uur) werkdagen]],0)</f>
        <v>#DIV/0!</v>
      </c>
      <c r="AA73" s="441" t="e">
        <f>Ruimtestaat[[#This Row],[uren / jaar werkdagen gedeeld]]*Tariefsopbouw!$E$35</f>
        <v>#DIV/0!</v>
      </c>
      <c r="AB73" s="441">
        <f>Ruimtestaat[[#This Row],[Uitvoeringen werkdagen]]*Ruimtestaat[[#This Row],[BSO]]</f>
        <v>0</v>
      </c>
      <c r="AC73" s="443" t="e">
        <f>IF(U73&gt;0,Ruimtestaat[[#This Row],[Prest. (m2 / jaar) werkdagen BSO]]/Ruimtestaat[[#This Row],[Norm (m2/uur) werkdagen]],0)</f>
        <v>#DIV/0!</v>
      </c>
      <c r="AD73" s="443" t="e">
        <f>Ruimtestaat[[#This Row],[uren / jaar werkdagen BSO]]*Tariefsopbouw!$E$35</f>
        <v>#DIV/0!</v>
      </c>
      <c r="AE73" s="444">
        <f>Ruimtestaat[[#This Row],[uren / jaar werkdagen]]*Tariefsopbouw!$E$35</f>
        <v>0</v>
      </c>
      <c r="AF73" s="434"/>
      <c r="AG73" s="434">
        <f>IF(Ruimtestaat[[#This Row],[Frequentie weekend]]&gt;0,VALUE(LEFT(AF73,1))*S73,0)</f>
        <v>0</v>
      </c>
      <c r="AH73" s="445">
        <f>IF($AG73&gt;0,VLOOKUP($J73,Ruimtegroepen[],3,FALSE)*VLOOKUP($L73,Vloersoorten[],3,FALSE)*VLOOKUP($AF73,Frequenties[],3,FALSE)*VLOOKUP(Ruimtestaat[[#This Row],[Code]],Locaties[],3,FALSE),0)</f>
        <v>0</v>
      </c>
      <c r="AI73" s="445">
        <f>Ruimtestaat[[#This Row],[Uitvoeringen weekend]]*Ruimtestaat[[#This Row],[Oppervlak (netto)]]</f>
        <v>0</v>
      </c>
      <c r="AJ73" s="445">
        <f>IF(AH73&gt;0,Ruimtestaat[[#This Row],[Prest. (m2 /jaar) weekend]]/Ruimtestaat[[#This Row],[Norm (m2/uur) weekend]],0)</f>
        <v>0</v>
      </c>
      <c r="AK73" s="444">
        <f>Ruimtestaat[[#This Row],[uren / jaar weekend]]*Tariefsopbouw!$D$40</f>
        <v>0</v>
      </c>
      <c r="AL73" s="441">
        <f>Ruimtestaat[[#This Row],[Prest. (m2 /jaar) weekend]]+Ruimtestaat[[#This Row],[Prest. (m2 /jaar) werkdagen]]</f>
        <v>1455.5</v>
      </c>
      <c r="AM73" s="441">
        <f>Ruimtestaat[[#This Row],[uren / jaar weekend]]+Ruimtestaat[[#This Row],[uren / jaar werkdagen]]</f>
        <v>0</v>
      </c>
      <c r="AN73" s="446">
        <f>Ruimtestaat[[#This Row],[kosten / jaar weekend]]+Ruimtestaat[[#This Row],[kosten / jaar werkdagen]]</f>
        <v>0</v>
      </c>
      <c r="AO73" s="446"/>
      <c r="AP73" s="447" t="str">
        <f>IF(Ruimtestaat[[#This Row],[Frequentie werkdagen]]="","",_xlfn.CONCAT(Ruimtestaat[[#This Row],[Ruimte code]],"-",Ruimtestaat[[#This Row],[Frequentie werkdagen]]," ",Ruimtestaat[[#This Row],[Vloer code]]))</f>
        <v>5-5w L</v>
      </c>
      <c r="AQ73" s="448" t="str">
        <f>_xlfn.IFNA(VLOOKUP($AP73,Programma!$F$3:$G$1101,2,0),"")</f>
        <v>_</v>
      </c>
      <c r="AR73" s="448" t="str">
        <f>_xlfn.IFNA(VLOOKUP($AP73,Programma!$F$3:$H$1101,3,0),"")</f>
        <v>_</v>
      </c>
      <c r="AS73" s="448" t="str">
        <f>_xlfn.IFNA(VLOOKUP($AP73,Programma!$F$3:$I$1101,4,0),"")</f>
        <v>_</v>
      </c>
      <c r="AT73" s="448" t="str">
        <f>_xlfn.IFNA(VLOOKUP($AP73,Programma!$F$3:$J$1101,5,0),"")</f>
        <v>4w</v>
      </c>
      <c r="AU73" s="448" t="str">
        <f>_xlfn.IFNA(VLOOKUP($AP73,Programma!$F$3:$K$1101,6,0),"")</f>
        <v>1w</v>
      </c>
      <c r="AV73" s="448" t="str">
        <f>_xlfn.IFNA(VLOOKUP($AP73,Programma!$F$3:$L$1101,7,0),"")</f>
        <v>_</v>
      </c>
      <c r="AW73" s="448" t="str">
        <f>_xlfn.IFNA(VLOOKUP($AP73,Programma!$F$3:$M$1101,8,0),"")</f>
        <v>_</v>
      </c>
      <c r="AX73" s="448" t="str">
        <f>_xlfn.IFNA(VLOOKUP($AP73,Programma!$F$3:$N$1101,9,0),"")</f>
        <v>_</v>
      </c>
      <c r="AY73" s="448" t="str">
        <f>_xlfn.IFNA(VLOOKUP($AP73,Programma!$F$3:$O$1101,10,0),"")</f>
        <v>_</v>
      </c>
      <c r="AZ73" s="448" t="str">
        <f>_xlfn.IFNA(VLOOKUP($AP73,Programma!$F$3:$P$1101,11,0),"")</f>
        <v>_</v>
      </c>
      <c r="BA73" s="448" t="str">
        <f>_xlfn.IFNA(VLOOKUP($AP73,Programma!$F$3:$Q$1101,12,0),"")</f>
        <v>_</v>
      </c>
      <c r="BB73" s="448" t="str">
        <f>_xlfn.IFNA(VLOOKUP($AP73,Programma!$F$3:$R$1101,13,0),"")</f>
        <v>_</v>
      </c>
      <c r="BC73" s="448" t="str">
        <f>_xlfn.IFNA(VLOOKUP($AP73,Programma!$F$3:$S$1101,14,0),"")</f>
        <v>_</v>
      </c>
      <c r="BD73" s="448" t="str">
        <f>_xlfn.IFNA(VLOOKUP($AP73,Programma!$F$3:$T$1101,15,0),"")</f>
        <v>_</v>
      </c>
      <c r="BE73" s="448" t="str">
        <f>_xlfn.IFNA(VLOOKUP($AP73,Programma!$F$3:$U$1101,16,0),"")</f>
        <v>_</v>
      </c>
      <c r="BF73" s="448" t="str">
        <f>_xlfn.IFNA(VLOOKUP($AP73,Programma!$F$3:$V$1101,17,0),"")</f>
        <v>_</v>
      </c>
      <c r="BG73" s="448" t="str">
        <f>_xlfn.IFNA(VLOOKUP($AP73,Programma!$F$3:$W$1101,18,0),"")</f>
        <v>4w</v>
      </c>
      <c r="BH73" s="448" t="str">
        <f>_xlfn.IFNA(VLOOKUP($AP73,Programma!$F$3:$X$1101,19,0),"")</f>
        <v>1w</v>
      </c>
      <c r="BI73" s="448" t="str">
        <f>_xlfn.IFNA(VLOOKUP($AP73,Programma!$F$3:$Y$1101,20,0),"")</f>
        <v>_</v>
      </c>
      <c r="BJ73" s="449"/>
      <c r="BK73" s="447" t="str">
        <f>IF(Ruimtestaat[[#This Row],[Frequentie weekend]]="","",_xlfn.CONCAT(Ruimtestaat[[#This Row],[Ruimte code]],"-",Ruimtestaat[[#This Row],[Frequentie weekend]]," ",Ruimtestaat[[#This Row],[Vloer code]]))</f>
        <v/>
      </c>
      <c r="BL73" s="448" t="str">
        <f>_xlfn.IFNA(VLOOKUP($BK73,Programma!$F$3:$G$1101,2,0),"")</f>
        <v/>
      </c>
      <c r="BM73" s="448" t="str">
        <f>_xlfn.IFNA(VLOOKUP($BK73,Programma!$F$3:$H$1101,3,0),"")</f>
        <v/>
      </c>
      <c r="BN73" s="448" t="str">
        <f>_xlfn.IFNA(VLOOKUP($BK73,Programma!$F$3:$I$1101,4,0),"")</f>
        <v/>
      </c>
      <c r="BO73" s="448" t="str">
        <f>_xlfn.IFNA(VLOOKUP($BK73,Programma!$F$3:$J$1101,5,0),"")</f>
        <v/>
      </c>
      <c r="BP73" s="448" t="str">
        <f>_xlfn.IFNA(VLOOKUP($BK73,Programma!$F$3:$K$1101,6,0),"")</f>
        <v/>
      </c>
      <c r="BQ73" s="448" t="str">
        <f>_xlfn.IFNA(VLOOKUP($BK73,Programma!$F$3:$L$1101,7,0),"")</f>
        <v/>
      </c>
      <c r="BR73" s="448" t="str">
        <f>_xlfn.IFNA(VLOOKUP($BK73,Programma!$F$3:$M$1101,8,0),"")</f>
        <v/>
      </c>
      <c r="BS73" s="448" t="str">
        <f>_xlfn.IFNA(VLOOKUP($BK73,Programma!$F$3:$N$1101,9,0),"")</f>
        <v/>
      </c>
      <c r="BT73" s="448" t="str">
        <f>_xlfn.IFNA(VLOOKUP($BK73,Programma!$F$3:$O$1101,10,0),"")</f>
        <v/>
      </c>
      <c r="BU73" s="448" t="str">
        <f>_xlfn.IFNA(VLOOKUP($BK73,Programma!$F$3:$P$1101,11,0),"")</f>
        <v/>
      </c>
      <c r="BV73" s="448" t="str">
        <f>_xlfn.IFNA(VLOOKUP($BK73,Programma!$F$3:$Q$1101,12,0),"")</f>
        <v/>
      </c>
      <c r="BW73" s="448" t="str">
        <f>_xlfn.IFNA(VLOOKUP($BK73,Programma!$F$3:$R$1101,13,0),"")</f>
        <v/>
      </c>
      <c r="BX73" s="448" t="str">
        <f>_xlfn.IFNA(VLOOKUP($BK73,Programma!$F$3:$S$1101,14,0),"")</f>
        <v/>
      </c>
      <c r="BY73" s="448" t="str">
        <f>_xlfn.IFNA(VLOOKUP($BK73,Programma!$F$3:$T$1101,15,0),"")</f>
        <v/>
      </c>
      <c r="BZ73" s="448" t="str">
        <f>_xlfn.IFNA(VLOOKUP($BK73,Programma!$F$3:$U$1101,16,0),"")</f>
        <v/>
      </c>
      <c r="CA73" s="448" t="str">
        <f>_xlfn.IFNA(VLOOKUP($BK73,Programma!$F$3:$V$1101,17,0),"")</f>
        <v/>
      </c>
      <c r="CB73" s="448" t="str">
        <f>_xlfn.IFNA(VLOOKUP($BK73,Programma!$F$3:$W$1101,18,0),"")</f>
        <v/>
      </c>
      <c r="CC73" s="448" t="str">
        <f>_xlfn.IFNA(VLOOKUP($BK73,Programma!$F$3:$X$1101,19,0),"")</f>
        <v/>
      </c>
      <c r="CD73" s="448" t="str">
        <f>_xlfn.IFNA(VLOOKUP($BK73,Programma!$F$3:$Y$1101,20,0),"")</f>
        <v/>
      </c>
      <c r="CE73" s="327"/>
      <c r="CF73" s="327"/>
      <c r="CG73" s="327"/>
      <c r="CH73" s="327"/>
      <c r="CI73" s="327"/>
      <c r="CJ73" s="327"/>
      <c r="CK73" s="327"/>
      <c r="CL73" s="327"/>
      <c r="CM73" s="327"/>
      <c r="CN73" s="327"/>
      <c r="CO73" s="327"/>
      <c r="CP73" s="327"/>
      <c r="CQ73" s="327"/>
      <c r="CR73" s="327"/>
      <c r="CS73" s="327"/>
      <c r="CT73" s="327"/>
      <c r="CU73" s="327"/>
      <c r="CV73" s="327"/>
      <c r="CW73" s="327"/>
      <c r="CX73" s="327"/>
      <c r="CY73" s="327"/>
      <c r="CZ73" s="327"/>
      <c r="DA73" s="327"/>
      <c r="DB73" s="327"/>
      <c r="DC73" s="327"/>
      <c r="DD73" s="327"/>
      <c r="DE73" s="327"/>
      <c r="DF73" s="327"/>
      <c r="DG73" s="327"/>
      <c r="DH73" s="327"/>
      <c r="DI73" s="327"/>
      <c r="DJ73" s="327"/>
      <c r="DK73" s="327"/>
      <c r="DL73" s="327"/>
      <c r="DM73" s="327"/>
      <c r="DN73" s="327"/>
      <c r="DO73" s="327"/>
      <c r="DP73" s="327"/>
      <c r="DQ73" s="327"/>
      <c r="DR73" s="327"/>
      <c r="DS73" s="327"/>
      <c r="DT73" s="327"/>
      <c r="DU73" s="327"/>
      <c r="DV73" s="327"/>
      <c r="DW73" s="327"/>
      <c r="DX73" s="327"/>
      <c r="DY73" s="327"/>
      <c r="DZ73" s="327"/>
      <c r="EA73" s="327"/>
      <c r="EB73" s="327"/>
      <c r="EC73" s="327"/>
      <c r="ED73" s="327"/>
      <c r="EE73" s="327"/>
      <c r="EF73" s="327"/>
      <c r="EG73" s="327"/>
      <c r="EH73" s="327"/>
      <c r="EI73" s="327"/>
      <c r="EJ73" s="327"/>
      <c r="EK73" s="327"/>
      <c r="EL73" s="327"/>
      <c r="EM73" s="327"/>
      <c r="EN73" s="327"/>
      <c r="EO73" s="327"/>
      <c r="EP73" s="327"/>
      <c r="EQ73" s="327"/>
      <c r="ER73" s="327"/>
      <c r="ES73" s="327"/>
      <c r="ET73" s="327"/>
      <c r="EU73" s="327"/>
      <c r="EV73" s="327"/>
      <c r="EW73" s="327"/>
      <c r="EX73" s="327"/>
      <c r="EY73" s="327"/>
      <c r="EZ73" s="327"/>
      <c r="FA73" s="327"/>
      <c r="FB73" s="327"/>
      <c r="FC73" s="327"/>
      <c r="FD73" s="327"/>
      <c r="FE73" s="327"/>
      <c r="FF73" s="327"/>
      <c r="FG73" s="327"/>
      <c r="FH73" s="327"/>
      <c r="FI73" s="327"/>
      <c r="FJ73" s="327"/>
      <c r="FK73" s="327"/>
      <c r="FL73" s="327"/>
      <c r="FM73" s="327"/>
      <c r="FN73" s="327"/>
      <c r="FO73" s="327"/>
      <c r="FP73" s="327"/>
      <c r="FQ73" s="327"/>
      <c r="FR73" s="327"/>
      <c r="FS73" s="327"/>
      <c r="FT73" s="327"/>
      <c r="FU73" s="327"/>
      <c r="FV73" s="327"/>
      <c r="FW73" s="327"/>
      <c r="FX73" s="327"/>
      <c r="FY73" s="327"/>
      <c r="FZ73" s="327"/>
      <c r="GA73" s="327"/>
      <c r="GB73" s="327"/>
      <c r="GC73" s="327"/>
      <c r="GD73" s="327"/>
      <c r="GE73" s="327"/>
      <c r="GF73" s="327"/>
      <c r="GG73" s="327"/>
      <c r="GH73" s="327"/>
      <c r="GI73" s="327"/>
      <c r="GJ73" s="327"/>
      <c r="GK73" s="327"/>
      <c r="GL73" s="327"/>
      <c r="GM73" s="327"/>
      <c r="GN73" s="327"/>
      <c r="GO73" s="327"/>
      <c r="GP73" s="327"/>
      <c r="GQ73" s="327"/>
      <c r="GR73" s="327"/>
      <c r="GS73" s="327"/>
      <c r="GT73" s="327"/>
      <c r="GU73" s="327"/>
      <c r="GV73" s="327"/>
      <c r="GW73" s="327"/>
      <c r="GX73" s="327"/>
      <c r="GY73" s="327"/>
      <c r="GZ73" s="327"/>
      <c r="HA73" s="327"/>
      <c r="HB73" s="327"/>
      <c r="HC73" s="327"/>
      <c r="HD73" s="327"/>
      <c r="HE73" s="327"/>
      <c r="HF73" s="327"/>
      <c r="HG73" s="327"/>
      <c r="HH73" s="327"/>
      <c r="HI73" s="327"/>
      <c r="HJ73" s="327"/>
      <c r="HK73" s="327"/>
      <c r="HL73" s="327"/>
      <c r="HM73" s="327"/>
      <c r="HN73" s="327"/>
      <c r="HO73" s="327"/>
      <c r="HP73" s="327"/>
      <c r="HQ73" s="327"/>
      <c r="HR73" s="327"/>
      <c r="HS73" s="327"/>
    </row>
    <row r="74" spans="1:227" ht="15" customHeight="1">
      <c r="A74" s="434">
        <v>4</v>
      </c>
      <c r="B74" s="435" t="str">
        <f>VLOOKUP(Ruimtestaat[[#This Row],[Code]],Locaties[[Code]:[Locatie]],2,FALSE)</f>
        <v>IKC De Waterlelie</v>
      </c>
      <c r="C74" s="435" t="str">
        <f>VLOOKUP(Ruimtestaat[[#This Row],[Code]],Locaties[[#All],[Code]:[Adres]],4,FALSE)</f>
        <v>Goudenregenzoom 73</v>
      </c>
      <c r="D74" s="435" t="str">
        <f>VLOOKUP(Ruimtestaat[[#This Row],[Code]],Locaties[[#All],[Code]:[Postcode]],5,FALSE)</f>
        <v>2719 HE</v>
      </c>
      <c r="E74" s="435" t="str">
        <f>VLOOKUP(Ruimtestaat[[#This Row],[Code]],Locaties[#All],6,FALSE)</f>
        <v>Zoetermeer</v>
      </c>
      <c r="F74" s="450" t="s">
        <v>1705</v>
      </c>
      <c r="G74" s="434" t="s">
        <v>1678</v>
      </c>
      <c r="H74" s="436" t="s">
        <v>1738</v>
      </c>
      <c r="I74" s="437" t="s">
        <v>1720</v>
      </c>
      <c r="J74" s="330">
        <v>5</v>
      </c>
      <c r="K74" s="450" t="str">
        <f>VLOOKUP(Ruimtestaat[[#This Row],[Ruimte code]],Ruimtegroepen[[#All],[Code]:[Ruimte omschrijving]],2,FALSE)</f>
        <v>Sanitair</v>
      </c>
      <c r="L74" s="434" t="s">
        <v>100</v>
      </c>
      <c r="M74" s="437" t="s">
        <v>1759</v>
      </c>
      <c r="N74" s="439"/>
      <c r="O74" s="439"/>
      <c r="P74" s="439"/>
      <c r="Q74" s="439">
        <v>7.1</v>
      </c>
      <c r="R74" s="440" t="str">
        <f>VLOOKUP(Ruimtestaat[[#This Row],[Ruimte code]],Ruimtegroepen[],4,FALSE)</f>
        <v>Sa</v>
      </c>
      <c r="S74" s="434">
        <v>51</v>
      </c>
      <c r="T74" s="434" t="s">
        <v>2</v>
      </c>
      <c r="U74" s="434">
        <f>IF(S74&gt;0,IF(RIGHT(Ruimtestaat[[#This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74" s="434">
        <f>IF(U74&gt;0,VLOOKUP($J74,Ruimtegroepen[],3,FALSE)*VLOOKUP($L74,Vloersoorten[],3,FALSE)*VLOOKUP($T74,Frequenties[],3,FALSE)*VLOOKUP($A74,Locaties[],3,FALSE),0)</f>
        <v>0</v>
      </c>
      <c r="W74" s="434">
        <f>Ruimtestaat[[#This Row],[Uitvoeringen werkdagen]]*Ruimtestaat[[#This Row],[Oppervlak (netto)]]</f>
        <v>0</v>
      </c>
      <c r="X74" s="441">
        <f>IF(V74&gt;0,Ruimtestaat[[#This Row],[Prest. (m2 /jaar) werkdagen]]/Ruimtestaat[[#This Row],[Norm (m2/uur) werkdagen]],0)</f>
        <v>0</v>
      </c>
      <c r="Y74" s="442">
        <f>Ruimtestaat[[#This Row],[Uitvoeringen werkdagen]]*Ruimtestaat[[#This Row],[Gedeeltelijk]]</f>
        <v>0</v>
      </c>
      <c r="Z74" s="443" t="e">
        <f>IF(U74&gt;0,Ruimtestaat[[#This Row],[Prest. (m2 / jaar) werkdagen gedeeld]]/Ruimtestaat[[#This Row],[Norm (m2/uur) werkdagen]],0)</f>
        <v>#DIV/0!</v>
      </c>
      <c r="AA74" s="441" t="e">
        <f>Ruimtestaat[[#This Row],[uren / jaar werkdagen gedeeld]]*Tariefsopbouw!$E$35</f>
        <v>#DIV/0!</v>
      </c>
      <c r="AB74" s="441">
        <f>Ruimtestaat[[#This Row],[Uitvoeringen werkdagen]]*Ruimtestaat[[#This Row],[BSO]]</f>
        <v>1810.5</v>
      </c>
      <c r="AC74" s="443" t="e">
        <f>IF(U74&gt;0,Ruimtestaat[[#This Row],[Prest. (m2 / jaar) werkdagen BSO]]/Ruimtestaat[[#This Row],[Norm (m2/uur) werkdagen]],0)</f>
        <v>#DIV/0!</v>
      </c>
      <c r="AD74" s="443" t="e">
        <f>Ruimtestaat[[#This Row],[uren / jaar werkdagen BSO]]*Tariefsopbouw!$E$35</f>
        <v>#DIV/0!</v>
      </c>
      <c r="AE74" s="444">
        <f>Ruimtestaat[[#This Row],[uren / jaar werkdagen]]*Tariefsopbouw!$E$35</f>
        <v>0</v>
      </c>
      <c r="AF74" s="434"/>
      <c r="AG74" s="434">
        <f>IF(Ruimtestaat[[#This Row],[Frequentie weekend]]&gt;0,VALUE(LEFT(AF74,1))*S74,0)</f>
        <v>0</v>
      </c>
      <c r="AH74" s="445">
        <f>IF($AG74&gt;0,VLOOKUP($J74,Ruimtegroepen[],3,FALSE)*VLOOKUP($L74,Vloersoorten[],3,FALSE)*VLOOKUP($AF74,Frequenties[],3,FALSE)*VLOOKUP(Ruimtestaat[[#This Row],[Code]],Locaties[],3,FALSE),0)</f>
        <v>0</v>
      </c>
      <c r="AI74" s="445">
        <f>Ruimtestaat[[#This Row],[Uitvoeringen weekend]]*Ruimtestaat[[#This Row],[Oppervlak (netto)]]</f>
        <v>0</v>
      </c>
      <c r="AJ74" s="445">
        <f>IF(AH74&gt;0,Ruimtestaat[[#This Row],[Prest. (m2 /jaar) weekend]]/Ruimtestaat[[#This Row],[Norm (m2/uur) weekend]],0)</f>
        <v>0</v>
      </c>
      <c r="AK74" s="444">
        <f>Ruimtestaat[[#This Row],[uren / jaar weekend]]*Tariefsopbouw!$D$40</f>
        <v>0</v>
      </c>
      <c r="AL74" s="441">
        <f>Ruimtestaat[[#This Row],[Prest. (m2 /jaar) weekend]]+Ruimtestaat[[#This Row],[Prest. (m2 /jaar) werkdagen]]</f>
        <v>0</v>
      </c>
      <c r="AM74" s="441">
        <f>Ruimtestaat[[#This Row],[uren / jaar weekend]]+Ruimtestaat[[#This Row],[uren / jaar werkdagen]]</f>
        <v>0</v>
      </c>
      <c r="AN74" s="446">
        <f>Ruimtestaat[[#This Row],[kosten / jaar weekend]]+Ruimtestaat[[#This Row],[kosten / jaar werkdagen]]</f>
        <v>0</v>
      </c>
      <c r="AO74" s="446"/>
      <c r="AP74" s="447" t="str">
        <f>IF(Ruimtestaat[[#This Row],[Frequentie werkdagen]]="","",_xlfn.CONCAT(Ruimtestaat[[#This Row],[Ruimte code]],"-",Ruimtestaat[[#This Row],[Frequentie werkdagen]]," ",Ruimtestaat[[#This Row],[Vloer code]]))</f>
        <v>5-5w L</v>
      </c>
      <c r="AQ74" s="448" t="str">
        <f>_xlfn.IFNA(VLOOKUP($AP74,Programma!$F$3:$G$1101,2,0),"")</f>
        <v>_</v>
      </c>
      <c r="AR74" s="448" t="str">
        <f>_xlfn.IFNA(VLOOKUP($AP74,Programma!$F$3:$H$1101,3,0),"")</f>
        <v>_</v>
      </c>
      <c r="AS74" s="448" t="str">
        <f>_xlfn.IFNA(VLOOKUP($AP74,Programma!$F$3:$I$1101,4,0),"")</f>
        <v>_</v>
      </c>
      <c r="AT74" s="448" t="str">
        <f>_xlfn.IFNA(VLOOKUP($AP74,Programma!$F$3:$J$1101,5,0),"")</f>
        <v>4w</v>
      </c>
      <c r="AU74" s="448" t="str">
        <f>_xlfn.IFNA(VLOOKUP($AP74,Programma!$F$3:$K$1101,6,0),"")</f>
        <v>1w</v>
      </c>
      <c r="AV74" s="448" t="str">
        <f>_xlfn.IFNA(VLOOKUP($AP74,Programma!$F$3:$L$1101,7,0),"")</f>
        <v>_</v>
      </c>
      <c r="AW74" s="448" t="str">
        <f>_xlfn.IFNA(VLOOKUP($AP74,Programma!$F$3:$M$1101,8,0),"")</f>
        <v>_</v>
      </c>
      <c r="AX74" s="448" t="str">
        <f>_xlfn.IFNA(VLOOKUP($AP74,Programma!$F$3:$N$1101,9,0),"")</f>
        <v>_</v>
      </c>
      <c r="AY74" s="448" t="str">
        <f>_xlfn.IFNA(VLOOKUP($AP74,Programma!$F$3:$O$1101,10,0),"")</f>
        <v>_</v>
      </c>
      <c r="AZ74" s="448" t="str">
        <f>_xlfn.IFNA(VLOOKUP($AP74,Programma!$F$3:$P$1101,11,0),"")</f>
        <v>_</v>
      </c>
      <c r="BA74" s="448" t="str">
        <f>_xlfn.IFNA(VLOOKUP($AP74,Programma!$F$3:$Q$1101,12,0),"")</f>
        <v>_</v>
      </c>
      <c r="BB74" s="448" t="str">
        <f>_xlfn.IFNA(VLOOKUP($AP74,Programma!$F$3:$R$1101,13,0),"")</f>
        <v>_</v>
      </c>
      <c r="BC74" s="448" t="str">
        <f>_xlfn.IFNA(VLOOKUP($AP74,Programma!$F$3:$S$1101,14,0),"")</f>
        <v>_</v>
      </c>
      <c r="BD74" s="448" t="str">
        <f>_xlfn.IFNA(VLOOKUP($AP74,Programma!$F$3:$T$1101,15,0),"")</f>
        <v>_</v>
      </c>
      <c r="BE74" s="448" t="str">
        <f>_xlfn.IFNA(VLOOKUP($AP74,Programma!$F$3:$U$1101,16,0),"")</f>
        <v>_</v>
      </c>
      <c r="BF74" s="448" t="str">
        <f>_xlfn.IFNA(VLOOKUP($AP74,Programma!$F$3:$V$1101,17,0),"")</f>
        <v>_</v>
      </c>
      <c r="BG74" s="448" t="str">
        <f>_xlfn.IFNA(VLOOKUP($AP74,Programma!$F$3:$W$1101,18,0),"")</f>
        <v>4w</v>
      </c>
      <c r="BH74" s="448" t="str">
        <f>_xlfn.IFNA(VLOOKUP($AP74,Programma!$F$3:$X$1101,19,0),"")</f>
        <v>1w</v>
      </c>
      <c r="BI74" s="448" t="str">
        <f>_xlfn.IFNA(VLOOKUP($AP74,Programma!$F$3:$Y$1101,20,0),"")</f>
        <v>_</v>
      </c>
      <c r="BJ74" s="449"/>
      <c r="BK74" s="447" t="str">
        <f>IF(Ruimtestaat[[#This Row],[Frequentie weekend]]="","",_xlfn.CONCAT(Ruimtestaat[[#This Row],[Ruimte code]],"-",Ruimtestaat[[#This Row],[Frequentie weekend]]," ",Ruimtestaat[[#This Row],[Vloer code]]))</f>
        <v/>
      </c>
      <c r="BL74" s="448" t="str">
        <f>_xlfn.IFNA(VLOOKUP($BK74,Programma!$F$3:$G$1101,2,0),"")</f>
        <v/>
      </c>
      <c r="BM74" s="448" t="str">
        <f>_xlfn.IFNA(VLOOKUP($BK74,Programma!$F$3:$H$1101,3,0),"")</f>
        <v/>
      </c>
      <c r="BN74" s="448" t="str">
        <f>_xlfn.IFNA(VLOOKUP($BK74,Programma!$F$3:$I$1101,4,0),"")</f>
        <v/>
      </c>
      <c r="BO74" s="448" t="str">
        <f>_xlfn.IFNA(VLOOKUP($BK74,Programma!$F$3:$J$1101,5,0),"")</f>
        <v/>
      </c>
      <c r="BP74" s="448" t="str">
        <f>_xlfn.IFNA(VLOOKUP($BK74,Programma!$F$3:$K$1101,6,0),"")</f>
        <v/>
      </c>
      <c r="BQ74" s="448" t="str">
        <f>_xlfn.IFNA(VLOOKUP($BK74,Programma!$F$3:$L$1101,7,0),"")</f>
        <v/>
      </c>
      <c r="BR74" s="448" t="str">
        <f>_xlfn.IFNA(VLOOKUP($BK74,Programma!$F$3:$M$1101,8,0),"")</f>
        <v/>
      </c>
      <c r="BS74" s="448" t="str">
        <f>_xlfn.IFNA(VLOOKUP($BK74,Programma!$F$3:$N$1101,9,0),"")</f>
        <v/>
      </c>
      <c r="BT74" s="448" t="str">
        <f>_xlfn.IFNA(VLOOKUP($BK74,Programma!$F$3:$O$1101,10,0),"")</f>
        <v/>
      </c>
      <c r="BU74" s="448" t="str">
        <f>_xlfn.IFNA(VLOOKUP($BK74,Programma!$F$3:$P$1101,11,0),"")</f>
        <v/>
      </c>
      <c r="BV74" s="448" t="str">
        <f>_xlfn.IFNA(VLOOKUP($BK74,Programma!$F$3:$Q$1101,12,0),"")</f>
        <v/>
      </c>
      <c r="BW74" s="448" t="str">
        <f>_xlfn.IFNA(VLOOKUP($BK74,Programma!$F$3:$R$1101,13,0),"")</f>
        <v/>
      </c>
      <c r="BX74" s="448" t="str">
        <f>_xlfn.IFNA(VLOOKUP($BK74,Programma!$F$3:$S$1101,14,0),"")</f>
        <v/>
      </c>
      <c r="BY74" s="448" t="str">
        <f>_xlfn.IFNA(VLOOKUP($BK74,Programma!$F$3:$T$1101,15,0),"")</f>
        <v/>
      </c>
      <c r="BZ74" s="448" t="str">
        <f>_xlfn.IFNA(VLOOKUP($BK74,Programma!$F$3:$U$1101,16,0),"")</f>
        <v/>
      </c>
      <c r="CA74" s="448" t="str">
        <f>_xlfn.IFNA(VLOOKUP($BK74,Programma!$F$3:$V$1101,17,0),"")</f>
        <v/>
      </c>
      <c r="CB74" s="448" t="str">
        <f>_xlfn.IFNA(VLOOKUP($BK74,Programma!$F$3:$W$1101,18,0),"")</f>
        <v/>
      </c>
      <c r="CC74" s="448" t="str">
        <f>_xlfn.IFNA(VLOOKUP($BK74,Programma!$F$3:$X$1101,19,0),"")</f>
        <v/>
      </c>
      <c r="CD74" s="448" t="str">
        <f>_xlfn.IFNA(VLOOKUP($BK74,Programma!$F$3:$Y$1101,20,0),"")</f>
        <v/>
      </c>
      <c r="CE74" s="327"/>
      <c r="CF74" s="327"/>
      <c r="CG74" s="327"/>
      <c r="CH74" s="327"/>
      <c r="CI74" s="327"/>
      <c r="CJ74" s="327"/>
      <c r="CK74" s="327"/>
      <c r="CL74" s="327"/>
      <c r="CM74" s="327"/>
      <c r="CN74" s="327"/>
      <c r="CO74" s="327"/>
      <c r="CP74" s="327"/>
      <c r="CQ74" s="327"/>
      <c r="CR74" s="327"/>
      <c r="CS74" s="327"/>
      <c r="CT74" s="327"/>
      <c r="CU74" s="327"/>
      <c r="CV74" s="327"/>
      <c r="CW74" s="327"/>
      <c r="CX74" s="327"/>
      <c r="CY74" s="327"/>
      <c r="CZ74" s="327"/>
      <c r="DA74" s="327"/>
      <c r="DB74" s="327"/>
      <c r="DC74" s="327"/>
      <c r="DD74" s="327"/>
      <c r="DE74" s="327"/>
      <c r="DF74" s="327"/>
      <c r="DG74" s="327"/>
      <c r="DH74" s="327"/>
      <c r="DI74" s="327"/>
      <c r="DJ74" s="327"/>
      <c r="DK74" s="327"/>
      <c r="DL74" s="327"/>
      <c r="DM74" s="327"/>
      <c r="DN74" s="327"/>
      <c r="DO74" s="327"/>
      <c r="DP74" s="327"/>
      <c r="DQ74" s="327"/>
      <c r="DR74" s="327"/>
      <c r="DS74" s="327"/>
      <c r="DT74" s="327"/>
      <c r="DU74" s="327"/>
      <c r="DV74" s="327"/>
      <c r="DW74" s="327"/>
      <c r="DX74" s="327"/>
      <c r="DY74" s="327"/>
      <c r="DZ74" s="327"/>
      <c r="EA74" s="327"/>
      <c r="EB74" s="327"/>
      <c r="EC74" s="327"/>
      <c r="ED74" s="327"/>
      <c r="EE74" s="327"/>
      <c r="EF74" s="327"/>
      <c r="EG74" s="327"/>
      <c r="EH74" s="327"/>
      <c r="EI74" s="327"/>
      <c r="EJ74" s="327"/>
      <c r="EK74" s="327"/>
      <c r="EL74" s="327"/>
      <c r="EM74" s="327"/>
      <c r="EN74" s="327"/>
      <c r="EO74" s="327"/>
      <c r="EP74" s="327"/>
      <c r="EQ74" s="327"/>
      <c r="ER74" s="327"/>
      <c r="ES74" s="327"/>
      <c r="ET74" s="327"/>
      <c r="EU74" s="327"/>
      <c r="EV74" s="327"/>
      <c r="EW74" s="327"/>
      <c r="EX74" s="327"/>
      <c r="EY74" s="327"/>
      <c r="EZ74" s="327"/>
      <c r="FA74" s="327"/>
      <c r="FB74" s="327"/>
      <c r="FC74" s="327"/>
      <c r="FD74" s="327"/>
      <c r="FE74" s="327"/>
      <c r="FF74" s="327"/>
      <c r="FG74" s="327"/>
      <c r="FH74" s="327"/>
      <c r="FI74" s="327"/>
      <c r="FJ74" s="327"/>
      <c r="FK74" s="327"/>
      <c r="FL74" s="327"/>
      <c r="FM74" s="327"/>
      <c r="FN74" s="327"/>
      <c r="FO74" s="327"/>
      <c r="FP74" s="327"/>
      <c r="FQ74" s="327"/>
      <c r="FR74" s="327"/>
      <c r="FS74" s="327"/>
      <c r="FT74" s="327"/>
      <c r="FU74" s="327"/>
      <c r="FV74" s="327"/>
      <c r="FW74" s="327"/>
      <c r="FX74" s="327"/>
      <c r="FY74" s="327"/>
      <c r="FZ74" s="327"/>
      <c r="GA74" s="327"/>
      <c r="GB74" s="327"/>
      <c r="GC74" s="327"/>
      <c r="GD74" s="327"/>
      <c r="GE74" s="327"/>
      <c r="GF74" s="327"/>
      <c r="GG74" s="327"/>
      <c r="GH74" s="327"/>
      <c r="GI74" s="327"/>
      <c r="GJ74" s="327"/>
      <c r="GK74" s="327"/>
      <c r="GL74" s="327"/>
      <c r="GM74" s="327"/>
      <c r="GN74" s="327"/>
      <c r="GO74" s="327"/>
      <c r="GP74" s="327"/>
      <c r="GQ74" s="327"/>
      <c r="GR74" s="327"/>
      <c r="GS74" s="327"/>
      <c r="GT74" s="327"/>
      <c r="GU74" s="327"/>
      <c r="GV74" s="327"/>
      <c r="GW74" s="327"/>
      <c r="GX74" s="327"/>
      <c r="GY74" s="327"/>
      <c r="GZ74" s="327"/>
      <c r="HA74" s="327"/>
      <c r="HB74" s="327"/>
      <c r="HC74" s="327"/>
      <c r="HD74" s="327"/>
      <c r="HE74" s="327"/>
      <c r="HF74" s="327"/>
      <c r="HG74" s="327"/>
      <c r="HH74" s="327"/>
      <c r="HI74" s="327"/>
      <c r="HJ74" s="327"/>
      <c r="HK74" s="327"/>
      <c r="HL74" s="327"/>
      <c r="HM74" s="327"/>
      <c r="HN74" s="327"/>
      <c r="HO74" s="327"/>
      <c r="HP74" s="327"/>
      <c r="HQ74" s="327"/>
      <c r="HR74" s="327"/>
      <c r="HS74" s="327"/>
    </row>
    <row r="75" spans="1:227" ht="15" customHeight="1">
      <c r="A75" s="434">
        <v>4</v>
      </c>
      <c r="B75" s="435" t="str">
        <f>VLOOKUP(Ruimtestaat[[#This Row],[Code]],Locaties[[Code]:[Locatie]],2,FALSE)</f>
        <v>IKC De Waterlelie</v>
      </c>
      <c r="C75" s="435" t="str">
        <f>VLOOKUP(Ruimtestaat[[#This Row],[Code]],Locaties[[#All],[Code]:[Adres]],4,FALSE)</f>
        <v>Goudenregenzoom 73</v>
      </c>
      <c r="D75" s="435" t="str">
        <f>VLOOKUP(Ruimtestaat[[#This Row],[Code]],Locaties[[#All],[Code]:[Postcode]],5,FALSE)</f>
        <v>2719 HE</v>
      </c>
      <c r="E75" s="435" t="str">
        <f>VLOOKUP(Ruimtestaat[[#This Row],[Code]],Locaties[#All],6,FALSE)</f>
        <v>Zoetermeer</v>
      </c>
      <c r="F75" s="434"/>
      <c r="G75" s="434" t="s">
        <v>1678</v>
      </c>
      <c r="H75" s="436" t="s">
        <v>1739</v>
      </c>
      <c r="I75" s="437" t="s">
        <v>1724</v>
      </c>
      <c r="J75" s="330">
        <v>20</v>
      </c>
      <c r="K75" s="450" t="str">
        <f>VLOOKUP(Ruimtestaat[[#This Row],[Ruimte code]],Ruimtegroepen[[#All],[Code]:[Ruimte omschrijving]],2,FALSE)</f>
        <v>Niet in Onderhoud</v>
      </c>
      <c r="L75" s="434" t="s">
        <v>100</v>
      </c>
      <c r="M75" s="437" t="s">
        <v>1759</v>
      </c>
      <c r="N75" s="439"/>
      <c r="O75" s="439"/>
      <c r="P75" s="439"/>
      <c r="Q75" s="439"/>
      <c r="R75" s="440">
        <f>VLOOKUP(Ruimtestaat[[#This Row],[Ruimte code]],Ruimtegroepen[],4,FALSE)</f>
        <v>0</v>
      </c>
      <c r="S75" s="434"/>
      <c r="T75" s="434"/>
      <c r="U75" s="434">
        <f>IF(S75&gt;0,IF(RIGHT(Ruimtestaat[[#This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 s="434">
        <f>IF(U75&gt;0,VLOOKUP($J75,Ruimtegroepen[],3,FALSE)*VLOOKUP($L75,Vloersoorten[],3,FALSE)*VLOOKUP($T75,Frequenties[],3,FALSE)*VLOOKUP($A75,Locaties[],3,FALSE),0)</f>
        <v>0</v>
      </c>
      <c r="W75" s="434">
        <f>Ruimtestaat[[#This Row],[Uitvoeringen werkdagen]]*Ruimtestaat[[#This Row],[Oppervlak (netto)]]</f>
        <v>0</v>
      </c>
      <c r="X75" s="441">
        <f>IF(V75&gt;0,Ruimtestaat[[#This Row],[Prest. (m2 /jaar) werkdagen]]/Ruimtestaat[[#This Row],[Norm (m2/uur) werkdagen]],0)</f>
        <v>0</v>
      </c>
      <c r="Y75" s="442">
        <f>Ruimtestaat[[#This Row],[Uitvoeringen werkdagen]]*Ruimtestaat[[#This Row],[Gedeeltelijk]]</f>
        <v>0</v>
      </c>
      <c r="Z75" s="443">
        <f>IF(U75&gt;0,Ruimtestaat[[#This Row],[Prest. (m2 / jaar) werkdagen gedeeld]]/Ruimtestaat[[#This Row],[Norm (m2/uur) werkdagen]],0)</f>
        <v>0</v>
      </c>
      <c r="AA75" s="441">
        <f>Ruimtestaat[[#This Row],[uren / jaar werkdagen gedeeld]]*Tariefsopbouw!$E$35</f>
        <v>0</v>
      </c>
      <c r="AB75" s="441">
        <f>Ruimtestaat[[#This Row],[Uitvoeringen werkdagen]]*Ruimtestaat[[#This Row],[BSO]]</f>
        <v>0</v>
      </c>
      <c r="AC75" s="443">
        <f>IF(U75&gt;0,Ruimtestaat[[#This Row],[Prest. (m2 / jaar) werkdagen BSO]]/Ruimtestaat[[#This Row],[Norm (m2/uur) werkdagen]],0)</f>
        <v>0</v>
      </c>
      <c r="AD75" s="443">
        <f>Ruimtestaat[[#This Row],[uren / jaar werkdagen BSO]]*Tariefsopbouw!$E$35</f>
        <v>0</v>
      </c>
      <c r="AE75" s="444">
        <f>Ruimtestaat[[#This Row],[uren / jaar werkdagen]]*Tariefsopbouw!$E$35</f>
        <v>0</v>
      </c>
      <c r="AF75" s="434"/>
      <c r="AG75" s="434">
        <f>IF(Ruimtestaat[[#This Row],[Frequentie weekend]]&gt;0,VALUE(LEFT(AF75,1))*S75,0)</f>
        <v>0</v>
      </c>
      <c r="AH75" s="445">
        <f>IF($AG75&gt;0,VLOOKUP($J75,Ruimtegroepen[],3,FALSE)*VLOOKUP($L75,Vloersoorten[],3,FALSE)*VLOOKUP($AF75,Frequenties[],3,FALSE)*VLOOKUP(Ruimtestaat[[#This Row],[Code]],Locaties[],3,FALSE),0)</f>
        <v>0</v>
      </c>
      <c r="AI75" s="445">
        <f>Ruimtestaat[[#This Row],[Uitvoeringen weekend]]*Ruimtestaat[[#This Row],[Oppervlak (netto)]]</f>
        <v>0</v>
      </c>
      <c r="AJ75" s="445">
        <f>IF(AH75&gt;0,Ruimtestaat[[#This Row],[Prest. (m2 /jaar) weekend]]/Ruimtestaat[[#This Row],[Norm (m2/uur) weekend]],0)</f>
        <v>0</v>
      </c>
      <c r="AK75" s="444">
        <f>Ruimtestaat[[#This Row],[uren / jaar weekend]]*Tariefsopbouw!$D$40</f>
        <v>0</v>
      </c>
      <c r="AL75" s="441">
        <f>Ruimtestaat[[#This Row],[Prest. (m2 /jaar) weekend]]+Ruimtestaat[[#This Row],[Prest. (m2 /jaar) werkdagen]]</f>
        <v>0</v>
      </c>
      <c r="AM75" s="441">
        <f>Ruimtestaat[[#This Row],[uren / jaar weekend]]+Ruimtestaat[[#This Row],[uren / jaar werkdagen]]</f>
        <v>0</v>
      </c>
      <c r="AN75" s="446">
        <f>Ruimtestaat[[#This Row],[kosten / jaar weekend]]+Ruimtestaat[[#This Row],[kosten / jaar werkdagen]]</f>
        <v>0</v>
      </c>
      <c r="AO75" s="446"/>
      <c r="AP75" s="447" t="str">
        <f>IF(Ruimtestaat[[#This Row],[Frequentie werkdagen]]="","",_xlfn.CONCAT(Ruimtestaat[[#This Row],[Ruimte code]],"-",Ruimtestaat[[#This Row],[Frequentie werkdagen]]," ",Ruimtestaat[[#This Row],[Vloer code]]))</f>
        <v/>
      </c>
      <c r="AQ75" s="448" t="str">
        <f>_xlfn.IFNA(VLOOKUP($AP75,Programma!$F$3:$G$1101,2,0),"")</f>
        <v/>
      </c>
      <c r="AR75" s="448" t="str">
        <f>_xlfn.IFNA(VLOOKUP($AP75,Programma!$F$3:$H$1101,3,0),"")</f>
        <v/>
      </c>
      <c r="AS75" s="448" t="str">
        <f>_xlfn.IFNA(VLOOKUP($AP75,Programma!$F$3:$I$1101,4,0),"")</f>
        <v/>
      </c>
      <c r="AT75" s="448" t="str">
        <f>_xlfn.IFNA(VLOOKUP($AP75,Programma!$F$3:$J$1101,5,0),"")</f>
        <v/>
      </c>
      <c r="AU75" s="448" t="str">
        <f>_xlfn.IFNA(VLOOKUP($AP75,Programma!$F$3:$K$1101,6,0),"")</f>
        <v/>
      </c>
      <c r="AV75" s="448" t="str">
        <f>_xlfn.IFNA(VLOOKUP($AP75,Programma!$F$3:$L$1101,7,0),"")</f>
        <v/>
      </c>
      <c r="AW75" s="448" t="str">
        <f>_xlfn.IFNA(VLOOKUP($AP75,Programma!$F$3:$M$1101,8,0),"")</f>
        <v/>
      </c>
      <c r="AX75" s="448" t="str">
        <f>_xlfn.IFNA(VLOOKUP($AP75,Programma!$F$3:$N$1101,9,0),"")</f>
        <v/>
      </c>
      <c r="AY75" s="448" t="str">
        <f>_xlfn.IFNA(VLOOKUP($AP75,Programma!$F$3:$O$1101,10,0),"")</f>
        <v/>
      </c>
      <c r="AZ75" s="448" t="str">
        <f>_xlfn.IFNA(VLOOKUP($AP75,Programma!$F$3:$P$1101,11,0),"")</f>
        <v/>
      </c>
      <c r="BA75" s="448" t="str">
        <f>_xlfn.IFNA(VLOOKUP($AP75,Programma!$F$3:$Q$1101,12,0),"")</f>
        <v/>
      </c>
      <c r="BB75" s="448" t="str">
        <f>_xlfn.IFNA(VLOOKUP($AP75,Programma!$F$3:$R$1101,13,0),"")</f>
        <v/>
      </c>
      <c r="BC75" s="448" t="str">
        <f>_xlfn.IFNA(VLOOKUP($AP75,Programma!$F$3:$S$1101,14,0),"")</f>
        <v/>
      </c>
      <c r="BD75" s="448" t="str">
        <f>_xlfn.IFNA(VLOOKUP($AP75,Programma!$F$3:$T$1101,15,0),"")</f>
        <v/>
      </c>
      <c r="BE75" s="448" t="str">
        <f>_xlfn.IFNA(VLOOKUP($AP75,Programma!$F$3:$U$1101,16,0),"")</f>
        <v/>
      </c>
      <c r="BF75" s="448" t="str">
        <f>_xlfn.IFNA(VLOOKUP($AP75,Programma!$F$3:$V$1101,17,0),"")</f>
        <v/>
      </c>
      <c r="BG75" s="448" t="str">
        <f>_xlfn.IFNA(VLOOKUP($AP75,Programma!$F$3:$W$1101,18,0),"")</f>
        <v/>
      </c>
      <c r="BH75" s="448" t="str">
        <f>_xlfn.IFNA(VLOOKUP($AP75,Programma!$F$3:$X$1101,19,0),"")</f>
        <v/>
      </c>
      <c r="BI75" s="448" t="str">
        <f>_xlfn.IFNA(VLOOKUP($AP75,Programma!$F$3:$Y$1101,20,0),"")</f>
        <v/>
      </c>
      <c r="BJ75" s="449"/>
      <c r="BK75" s="447" t="str">
        <f>IF(Ruimtestaat[[#This Row],[Frequentie weekend]]="","",_xlfn.CONCAT(Ruimtestaat[[#This Row],[Ruimte code]],"-",Ruimtestaat[[#This Row],[Frequentie weekend]]," ",Ruimtestaat[[#This Row],[Vloer code]]))</f>
        <v/>
      </c>
      <c r="BL75" s="448" t="str">
        <f>_xlfn.IFNA(VLOOKUP($BK75,Programma!$F$3:$G$1101,2,0),"")</f>
        <v/>
      </c>
      <c r="BM75" s="448" t="str">
        <f>_xlfn.IFNA(VLOOKUP($BK75,Programma!$F$3:$H$1101,3,0),"")</f>
        <v/>
      </c>
      <c r="BN75" s="448" t="str">
        <f>_xlfn.IFNA(VLOOKUP($BK75,Programma!$F$3:$I$1101,4,0),"")</f>
        <v/>
      </c>
      <c r="BO75" s="448" t="str">
        <f>_xlfn.IFNA(VLOOKUP($BK75,Programma!$F$3:$J$1101,5,0),"")</f>
        <v/>
      </c>
      <c r="BP75" s="448" t="str">
        <f>_xlfn.IFNA(VLOOKUP($BK75,Programma!$F$3:$K$1101,6,0),"")</f>
        <v/>
      </c>
      <c r="BQ75" s="448" t="str">
        <f>_xlfn.IFNA(VLOOKUP($BK75,Programma!$F$3:$L$1101,7,0),"")</f>
        <v/>
      </c>
      <c r="BR75" s="448" t="str">
        <f>_xlfn.IFNA(VLOOKUP($BK75,Programma!$F$3:$M$1101,8,0),"")</f>
        <v/>
      </c>
      <c r="BS75" s="448" t="str">
        <f>_xlfn.IFNA(VLOOKUP($BK75,Programma!$F$3:$N$1101,9,0),"")</f>
        <v/>
      </c>
      <c r="BT75" s="448" t="str">
        <f>_xlfn.IFNA(VLOOKUP($BK75,Programma!$F$3:$O$1101,10,0),"")</f>
        <v/>
      </c>
      <c r="BU75" s="448" t="str">
        <f>_xlfn.IFNA(VLOOKUP($BK75,Programma!$F$3:$P$1101,11,0),"")</f>
        <v/>
      </c>
      <c r="BV75" s="448" t="str">
        <f>_xlfn.IFNA(VLOOKUP($BK75,Programma!$F$3:$Q$1101,12,0),"")</f>
        <v/>
      </c>
      <c r="BW75" s="448" t="str">
        <f>_xlfn.IFNA(VLOOKUP($BK75,Programma!$F$3:$R$1101,13,0),"")</f>
        <v/>
      </c>
      <c r="BX75" s="448" t="str">
        <f>_xlfn.IFNA(VLOOKUP($BK75,Programma!$F$3:$S$1101,14,0),"")</f>
        <v/>
      </c>
      <c r="BY75" s="448" t="str">
        <f>_xlfn.IFNA(VLOOKUP($BK75,Programma!$F$3:$T$1101,15,0),"")</f>
        <v/>
      </c>
      <c r="BZ75" s="448" t="str">
        <f>_xlfn.IFNA(VLOOKUP($BK75,Programma!$F$3:$U$1101,16,0),"")</f>
        <v/>
      </c>
      <c r="CA75" s="448" t="str">
        <f>_xlfn.IFNA(VLOOKUP($BK75,Programma!$F$3:$V$1101,17,0),"")</f>
        <v/>
      </c>
      <c r="CB75" s="448" t="str">
        <f>_xlfn.IFNA(VLOOKUP($BK75,Programma!$F$3:$W$1101,18,0),"")</f>
        <v/>
      </c>
      <c r="CC75" s="448" t="str">
        <f>_xlfn.IFNA(VLOOKUP($BK75,Programma!$F$3:$X$1101,19,0),"")</f>
        <v/>
      </c>
      <c r="CD75" s="448" t="str">
        <f>_xlfn.IFNA(VLOOKUP($BK75,Programma!$F$3:$Y$1101,20,0),"")</f>
        <v/>
      </c>
      <c r="CE75" s="327"/>
      <c r="CF75" s="327"/>
      <c r="CG75" s="327"/>
      <c r="CH75" s="327"/>
      <c r="CI75" s="327"/>
      <c r="CJ75" s="327"/>
      <c r="CK75" s="327"/>
      <c r="CL75" s="327"/>
      <c r="CM75" s="327"/>
      <c r="CN75" s="327"/>
      <c r="CO75" s="327"/>
      <c r="CP75" s="327"/>
      <c r="CQ75" s="327"/>
      <c r="CR75" s="327"/>
      <c r="CS75" s="327"/>
      <c r="CT75" s="327"/>
      <c r="CU75" s="327"/>
      <c r="CV75" s="327"/>
      <c r="CW75" s="327"/>
      <c r="CX75" s="327"/>
      <c r="CY75" s="327"/>
      <c r="CZ75" s="327"/>
      <c r="DA75" s="327"/>
      <c r="DB75" s="327"/>
      <c r="DC75" s="327"/>
      <c r="DD75" s="327"/>
      <c r="DE75" s="327"/>
      <c r="DF75" s="327"/>
      <c r="DG75" s="327"/>
      <c r="DH75" s="327"/>
      <c r="DI75" s="327"/>
      <c r="DJ75" s="327"/>
      <c r="DK75" s="327"/>
      <c r="DL75" s="327"/>
      <c r="DM75" s="327"/>
      <c r="DN75" s="327"/>
      <c r="DO75" s="327"/>
      <c r="DP75" s="327"/>
      <c r="DQ75" s="327"/>
      <c r="DR75" s="327"/>
      <c r="DS75" s="327"/>
      <c r="DT75" s="327"/>
      <c r="DU75" s="327"/>
      <c r="DV75" s="327"/>
      <c r="DW75" s="327"/>
      <c r="DX75" s="327"/>
      <c r="DY75" s="327"/>
      <c r="DZ75" s="327"/>
      <c r="EA75" s="327"/>
      <c r="EB75" s="327"/>
      <c r="EC75" s="327"/>
      <c r="ED75" s="327"/>
      <c r="EE75" s="327"/>
      <c r="EF75" s="327"/>
      <c r="EG75" s="327"/>
      <c r="EH75" s="327"/>
      <c r="EI75" s="327"/>
      <c r="EJ75" s="327"/>
      <c r="EK75" s="327"/>
      <c r="EL75" s="327"/>
      <c r="EM75" s="327"/>
      <c r="EN75" s="327"/>
      <c r="EO75" s="327"/>
      <c r="EP75" s="327"/>
      <c r="EQ75" s="327"/>
      <c r="ER75" s="327"/>
      <c r="ES75" s="327"/>
      <c r="ET75" s="327"/>
      <c r="EU75" s="327"/>
      <c r="EV75" s="327"/>
      <c r="EW75" s="327"/>
      <c r="EX75" s="327"/>
      <c r="EY75" s="327"/>
      <c r="EZ75" s="327"/>
      <c r="FA75" s="327"/>
      <c r="FB75" s="327"/>
      <c r="FC75" s="327"/>
      <c r="FD75" s="327"/>
      <c r="FE75" s="327"/>
      <c r="FF75" s="327"/>
      <c r="FG75" s="327"/>
      <c r="FH75" s="327"/>
      <c r="FI75" s="327"/>
      <c r="FJ75" s="327"/>
      <c r="FK75" s="327"/>
      <c r="FL75" s="327"/>
      <c r="FM75" s="327"/>
      <c r="FN75" s="327"/>
      <c r="FO75" s="327"/>
      <c r="FP75" s="327"/>
      <c r="FQ75" s="327"/>
      <c r="FR75" s="327"/>
      <c r="FS75" s="327"/>
      <c r="FT75" s="327"/>
      <c r="FU75" s="327"/>
      <c r="FV75" s="327"/>
      <c r="FW75" s="327"/>
      <c r="FX75" s="327"/>
      <c r="FY75" s="327"/>
      <c r="FZ75" s="327"/>
      <c r="GA75" s="327"/>
      <c r="GB75" s="327"/>
      <c r="GC75" s="327"/>
      <c r="GD75" s="327"/>
      <c r="GE75" s="327"/>
      <c r="GF75" s="327"/>
      <c r="GG75" s="327"/>
      <c r="GH75" s="327"/>
      <c r="GI75" s="327"/>
      <c r="GJ75" s="327"/>
      <c r="GK75" s="327"/>
      <c r="GL75" s="327"/>
      <c r="GM75" s="327"/>
      <c r="GN75" s="327"/>
      <c r="GO75" s="327"/>
      <c r="GP75" s="327"/>
      <c r="GQ75" s="327"/>
      <c r="GR75" s="327"/>
      <c r="GS75" s="327"/>
      <c r="GT75" s="327"/>
      <c r="GU75" s="327"/>
      <c r="GV75" s="327"/>
      <c r="GW75" s="327"/>
      <c r="GX75" s="327"/>
      <c r="GY75" s="327"/>
      <c r="GZ75" s="327"/>
      <c r="HA75" s="327"/>
      <c r="HB75" s="327"/>
      <c r="HC75" s="327"/>
      <c r="HD75" s="327"/>
      <c r="HE75" s="327"/>
      <c r="HF75" s="327"/>
      <c r="HG75" s="327"/>
      <c r="HH75" s="327"/>
      <c r="HI75" s="327"/>
      <c r="HJ75" s="327"/>
      <c r="HK75" s="327"/>
      <c r="HL75" s="327"/>
      <c r="HM75" s="327"/>
      <c r="HN75" s="327"/>
      <c r="HO75" s="327"/>
      <c r="HP75" s="327"/>
      <c r="HQ75" s="327"/>
      <c r="HR75" s="327"/>
      <c r="HS75" s="327"/>
    </row>
    <row r="76" spans="1:227" ht="15" customHeight="1">
      <c r="A76" s="434">
        <v>4</v>
      </c>
      <c r="B76" s="435" t="str">
        <f>VLOOKUP(Ruimtestaat[[#This Row],[Code]],Locaties[[Code]:[Locatie]],2,FALSE)</f>
        <v>IKC De Waterlelie</v>
      </c>
      <c r="C76" s="435" t="str">
        <f>VLOOKUP(Ruimtestaat[[#This Row],[Code]],Locaties[[#All],[Code]:[Adres]],4,FALSE)</f>
        <v>Goudenregenzoom 73</v>
      </c>
      <c r="D76" s="435" t="str">
        <f>VLOOKUP(Ruimtestaat[[#This Row],[Code]],Locaties[[#All],[Code]:[Postcode]],5,FALSE)</f>
        <v>2719 HE</v>
      </c>
      <c r="E76" s="435" t="str">
        <f>VLOOKUP(Ruimtestaat[[#This Row],[Code]],Locaties[#All],6,FALSE)</f>
        <v>Zoetermeer</v>
      </c>
      <c r="F76" s="434"/>
      <c r="G76" s="434" t="s">
        <v>1678</v>
      </c>
      <c r="H76" s="436" t="s">
        <v>1740</v>
      </c>
      <c r="I76" s="437" t="s">
        <v>1724</v>
      </c>
      <c r="J76" s="330">
        <v>20</v>
      </c>
      <c r="K76" s="450" t="str">
        <f>VLOOKUP(Ruimtestaat[[#This Row],[Ruimte code]],Ruimtegroepen[[#All],[Code]:[Ruimte omschrijving]],2,FALSE)</f>
        <v>Niet in Onderhoud</v>
      </c>
      <c r="L76" s="434" t="s">
        <v>100</v>
      </c>
      <c r="M76" s="437" t="s">
        <v>1759</v>
      </c>
      <c r="N76" s="439"/>
      <c r="O76" s="439"/>
      <c r="P76" s="439"/>
      <c r="Q76" s="439"/>
      <c r="R76" s="440">
        <f>VLOOKUP(Ruimtestaat[[#This Row],[Ruimte code]],Ruimtegroepen[],4,FALSE)</f>
        <v>0</v>
      </c>
      <c r="S76" s="434"/>
      <c r="T76" s="434"/>
      <c r="U76" s="434">
        <f>IF(S76&gt;0,IF(RIGHT(Ruimtestaat[[#This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6" s="434">
        <f>IF(U76&gt;0,VLOOKUP($J76,Ruimtegroepen[],3,FALSE)*VLOOKUP($L76,Vloersoorten[],3,FALSE)*VLOOKUP($T76,Frequenties[],3,FALSE)*VLOOKUP($A76,Locaties[],3,FALSE),0)</f>
        <v>0</v>
      </c>
      <c r="W76" s="434">
        <f>Ruimtestaat[[#This Row],[Uitvoeringen werkdagen]]*Ruimtestaat[[#This Row],[Oppervlak (netto)]]</f>
        <v>0</v>
      </c>
      <c r="X76" s="441">
        <f>IF(V76&gt;0,Ruimtestaat[[#This Row],[Prest. (m2 /jaar) werkdagen]]/Ruimtestaat[[#This Row],[Norm (m2/uur) werkdagen]],0)</f>
        <v>0</v>
      </c>
      <c r="Y76" s="442">
        <f>Ruimtestaat[[#This Row],[Uitvoeringen werkdagen]]*Ruimtestaat[[#This Row],[Gedeeltelijk]]</f>
        <v>0</v>
      </c>
      <c r="Z76" s="443">
        <f>IF(U76&gt;0,Ruimtestaat[[#This Row],[Prest. (m2 / jaar) werkdagen gedeeld]]/Ruimtestaat[[#This Row],[Norm (m2/uur) werkdagen]],0)</f>
        <v>0</v>
      </c>
      <c r="AA76" s="441">
        <f>Ruimtestaat[[#This Row],[uren / jaar werkdagen gedeeld]]*Tariefsopbouw!$E$35</f>
        <v>0</v>
      </c>
      <c r="AB76" s="441">
        <f>Ruimtestaat[[#This Row],[Uitvoeringen werkdagen]]*Ruimtestaat[[#This Row],[BSO]]</f>
        <v>0</v>
      </c>
      <c r="AC76" s="443">
        <f>IF(U76&gt;0,Ruimtestaat[[#This Row],[Prest. (m2 / jaar) werkdagen BSO]]/Ruimtestaat[[#This Row],[Norm (m2/uur) werkdagen]],0)</f>
        <v>0</v>
      </c>
      <c r="AD76" s="443">
        <f>Ruimtestaat[[#This Row],[uren / jaar werkdagen BSO]]*Tariefsopbouw!$E$35</f>
        <v>0</v>
      </c>
      <c r="AE76" s="444">
        <f>Ruimtestaat[[#This Row],[uren / jaar werkdagen]]*Tariefsopbouw!$E$35</f>
        <v>0</v>
      </c>
      <c r="AF76" s="434"/>
      <c r="AG76" s="434">
        <f>IF(Ruimtestaat[[#This Row],[Frequentie weekend]]&gt;0,VALUE(LEFT(AF76,1))*S76,0)</f>
        <v>0</v>
      </c>
      <c r="AH76" s="445">
        <f>IF($AG76&gt;0,VLOOKUP($J76,Ruimtegroepen[],3,FALSE)*VLOOKUP($L76,Vloersoorten[],3,FALSE)*VLOOKUP($AF76,Frequenties[],3,FALSE)*VLOOKUP(Ruimtestaat[[#This Row],[Code]],Locaties[],3,FALSE),0)</f>
        <v>0</v>
      </c>
      <c r="AI76" s="445">
        <f>Ruimtestaat[[#This Row],[Uitvoeringen weekend]]*Ruimtestaat[[#This Row],[Oppervlak (netto)]]</f>
        <v>0</v>
      </c>
      <c r="AJ76" s="445">
        <f>IF(AH76&gt;0,Ruimtestaat[[#This Row],[Prest. (m2 /jaar) weekend]]/Ruimtestaat[[#This Row],[Norm (m2/uur) weekend]],0)</f>
        <v>0</v>
      </c>
      <c r="AK76" s="444">
        <f>Ruimtestaat[[#This Row],[uren / jaar weekend]]*Tariefsopbouw!$D$40</f>
        <v>0</v>
      </c>
      <c r="AL76" s="441">
        <f>Ruimtestaat[[#This Row],[Prest. (m2 /jaar) weekend]]+Ruimtestaat[[#This Row],[Prest. (m2 /jaar) werkdagen]]</f>
        <v>0</v>
      </c>
      <c r="AM76" s="441">
        <f>Ruimtestaat[[#This Row],[uren / jaar weekend]]+Ruimtestaat[[#This Row],[uren / jaar werkdagen]]</f>
        <v>0</v>
      </c>
      <c r="AN76" s="446">
        <f>Ruimtestaat[[#This Row],[kosten / jaar weekend]]+Ruimtestaat[[#This Row],[kosten / jaar werkdagen]]</f>
        <v>0</v>
      </c>
      <c r="AO76" s="446"/>
      <c r="AP76" s="447" t="str">
        <f>IF(Ruimtestaat[[#This Row],[Frequentie werkdagen]]="","",_xlfn.CONCAT(Ruimtestaat[[#This Row],[Ruimte code]],"-",Ruimtestaat[[#This Row],[Frequentie werkdagen]]," ",Ruimtestaat[[#This Row],[Vloer code]]))</f>
        <v/>
      </c>
      <c r="AQ76" s="448" t="str">
        <f>_xlfn.IFNA(VLOOKUP($AP76,Programma!$F$3:$G$1101,2,0),"")</f>
        <v/>
      </c>
      <c r="AR76" s="448" t="str">
        <f>_xlfn.IFNA(VLOOKUP($AP76,Programma!$F$3:$H$1101,3,0),"")</f>
        <v/>
      </c>
      <c r="AS76" s="448" t="str">
        <f>_xlfn.IFNA(VLOOKUP($AP76,Programma!$F$3:$I$1101,4,0),"")</f>
        <v/>
      </c>
      <c r="AT76" s="448" t="str">
        <f>_xlfn.IFNA(VLOOKUP($AP76,Programma!$F$3:$J$1101,5,0),"")</f>
        <v/>
      </c>
      <c r="AU76" s="448" t="str">
        <f>_xlfn.IFNA(VLOOKUP($AP76,Programma!$F$3:$K$1101,6,0),"")</f>
        <v/>
      </c>
      <c r="AV76" s="448" t="str">
        <f>_xlfn.IFNA(VLOOKUP($AP76,Programma!$F$3:$L$1101,7,0),"")</f>
        <v/>
      </c>
      <c r="AW76" s="448" t="str">
        <f>_xlfn.IFNA(VLOOKUP($AP76,Programma!$F$3:$M$1101,8,0),"")</f>
        <v/>
      </c>
      <c r="AX76" s="448" t="str">
        <f>_xlfn.IFNA(VLOOKUP($AP76,Programma!$F$3:$N$1101,9,0),"")</f>
        <v/>
      </c>
      <c r="AY76" s="448" t="str">
        <f>_xlfn.IFNA(VLOOKUP($AP76,Programma!$F$3:$O$1101,10,0),"")</f>
        <v/>
      </c>
      <c r="AZ76" s="448" t="str">
        <f>_xlfn.IFNA(VLOOKUP($AP76,Programma!$F$3:$P$1101,11,0),"")</f>
        <v/>
      </c>
      <c r="BA76" s="448" t="str">
        <f>_xlfn.IFNA(VLOOKUP($AP76,Programma!$F$3:$Q$1101,12,0),"")</f>
        <v/>
      </c>
      <c r="BB76" s="448" t="str">
        <f>_xlfn.IFNA(VLOOKUP($AP76,Programma!$F$3:$R$1101,13,0),"")</f>
        <v/>
      </c>
      <c r="BC76" s="448" t="str">
        <f>_xlfn.IFNA(VLOOKUP($AP76,Programma!$F$3:$S$1101,14,0),"")</f>
        <v/>
      </c>
      <c r="BD76" s="448" t="str">
        <f>_xlfn.IFNA(VLOOKUP($AP76,Programma!$F$3:$T$1101,15,0),"")</f>
        <v/>
      </c>
      <c r="BE76" s="448" t="str">
        <f>_xlfn.IFNA(VLOOKUP($AP76,Programma!$F$3:$U$1101,16,0),"")</f>
        <v/>
      </c>
      <c r="BF76" s="448" t="str">
        <f>_xlfn.IFNA(VLOOKUP($AP76,Programma!$F$3:$V$1101,17,0),"")</f>
        <v/>
      </c>
      <c r="BG76" s="448" t="str">
        <f>_xlfn.IFNA(VLOOKUP($AP76,Programma!$F$3:$W$1101,18,0),"")</f>
        <v/>
      </c>
      <c r="BH76" s="448" t="str">
        <f>_xlfn.IFNA(VLOOKUP($AP76,Programma!$F$3:$X$1101,19,0),"")</f>
        <v/>
      </c>
      <c r="BI76" s="448" t="str">
        <f>_xlfn.IFNA(VLOOKUP($AP76,Programma!$F$3:$Y$1101,20,0),"")</f>
        <v/>
      </c>
      <c r="BJ76" s="449"/>
      <c r="BK76" s="447" t="str">
        <f>IF(Ruimtestaat[[#This Row],[Frequentie weekend]]="","",_xlfn.CONCAT(Ruimtestaat[[#This Row],[Ruimte code]],"-",Ruimtestaat[[#This Row],[Frequentie weekend]]," ",Ruimtestaat[[#This Row],[Vloer code]]))</f>
        <v/>
      </c>
      <c r="BL76" s="448" t="str">
        <f>_xlfn.IFNA(VLOOKUP($BK76,Programma!$F$3:$G$1101,2,0),"")</f>
        <v/>
      </c>
      <c r="BM76" s="448" t="str">
        <f>_xlfn.IFNA(VLOOKUP($BK76,Programma!$F$3:$H$1101,3,0),"")</f>
        <v/>
      </c>
      <c r="BN76" s="448" t="str">
        <f>_xlfn.IFNA(VLOOKUP($BK76,Programma!$F$3:$I$1101,4,0),"")</f>
        <v/>
      </c>
      <c r="BO76" s="448" t="str">
        <f>_xlfn.IFNA(VLOOKUP($BK76,Programma!$F$3:$J$1101,5,0),"")</f>
        <v/>
      </c>
      <c r="BP76" s="448" t="str">
        <f>_xlfn.IFNA(VLOOKUP($BK76,Programma!$F$3:$K$1101,6,0),"")</f>
        <v/>
      </c>
      <c r="BQ76" s="448" t="str">
        <f>_xlfn.IFNA(VLOOKUP($BK76,Programma!$F$3:$L$1101,7,0),"")</f>
        <v/>
      </c>
      <c r="BR76" s="448" t="str">
        <f>_xlfn.IFNA(VLOOKUP($BK76,Programma!$F$3:$M$1101,8,0),"")</f>
        <v/>
      </c>
      <c r="BS76" s="448" t="str">
        <f>_xlfn.IFNA(VLOOKUP($BK76,Programma!$F$3:$N$1101,9,0),"")</f>
        <v/>
      </c>
      <c r="BT76" s="448" t="str">
        <f>_xlfn.IFNA(VLOOKUP($BK76,Programma!$F$3:$O$1101,10,0),"")</f>
        <v/>
      </c>
      <c r="BU76" s="448" t="str">
        <f>_xlfn.IFNA(VLOOKUP($BK76,Programma!$F$3:$P$1101,11,0),"")</f>
        <v/>
      </c>
      <c r="BV76" s="448" t="str">
        <f>_xlfn.IFNA(VLOOKUP($BK76,Programma!$F$3:$Q$1101,12,0),"")</f>
        <v/>
      </c>
      <c r="BW76" s="448" t="str">
        <f>_xlfn.IFNA(VLOOKUP($BK76,Programma!$F$3:$R$1101,13,0),"")</f>
        <v/>
      </c>
      <c r="BX76" s="448" t="str">
        <f>_xlfn.IFNA(VLOOKUP($BK76,Programma!$F$3:$S$1101,14,0),"")</f>
        <v/>
      </c>
      <c r="BY76" s="448" t="str">
        <f>_xlfn.IFNA(VLOOKUP($BK76,Programma!$F$3:$T$1101,15,0),"")</f>
        <v/>
      </c>
      <c r="BZ76" s="448" t="str">
        <f>_xlfn.IFNA(VLOOKUP($BK76,Programma!$F$3:$U$1101,16,0),"")</f>
        <v/>
      </c>
      <c r="CA76" s="448" t="str">
        <f>_xlfn.IFNA(VLOOKUP($BK76,Programma!$F$3:$V$1101,17,0),"")</f>
        <v/>
      </c>
      <c r="CB76" s="448" t="str">
        <f>_xlfn.IFNA(VLOOKUP($BK76,Programma!$F$3:$W$1101,18,0),"")</f>
        <v/>
      </c>
      <c r="CC76" s="448" t="str">
        <f>_xlfn.IFNA(VLOOKUP($BK76,Programma!$F$3:$X$1101,19,0),"")</f>
        <v/>
      </c>
      <c r="CD76" s="448" t="str">
        <f>_xlfn.IFNA(VLOOKUP($BK76,Programma!$F$3:$Y$1101,20,0),"")</f>
        <v/>
      </c>
      <c r="CE76" s="327"/>
      <c r="CF76" s="327"/>
      <c r="CG76" s="327"/>
      <c r="CH76" s="327"/>
      <c r="CI76" s="327"/>
      <c r="CJ76" s="327"/>
      <c r="CK76" s="327"/>
      <c r="CL76" s="327"/>
      <c r="CM76" s="327"/>
      <c r="CN76" s="327"/>
      <c r="CO76" s="327"/>
      <c r="CP76" s="327"/>
      <c r="CQ76" s="327"/>
      <c r="CR76" s="327"/>
      <c r="CS76" s="327"/>
      <c r="CT76" s="327"/>
      <c r="CU76" s="327"/>
      <c r="CV76" s="327"/>
      <c r="CW76" s="327"/>
      <c r="CX76" s="327"/>
      <c r="CY76" s="327"/>
      <c r="CZ76" s="327"/>
      <c r="DA76" s="327"/>
      <c r="DB76" s="327"/>
      <c r="DC76" s="327"/>
      <c r="DD76" s="327"/>
      <c r="DE76" s="327"/>
      <c r="DF76" s="327"/>
      <c r="DG76" s="327"/>
      <c r="DH76" s="327"/>
      <c r="DI76" s="327"/>
      <c r="DJ76" s="327"/>
      <c r="DK76" s="327"/>
      <c r="DL76" s="327"/>
      <c r="DM76" s="327"/>
      <c r="DN76" s="327"/>
      <c r="DO76" s="327"/>
      <c r="DP76" s="327"/>
      <c r="DQ76" s="327"/>
      <c r="DR76" s="327"/>
      <c r="DS76" s="327"/>
      <c r="DT76" s="327"/>
      <c r="DU76" s="327"/>
      <c r="DV76" s="327"/>
      <c r="DW76" s="327"/>
      <c r="DX76" s="327"/>
      <c r="DY76" s="327"/>
      <c r="DZ76" s="327"/>
      <c r="EA76" s="327"/>
      <c r="EB76" s="327"/>
      <c r="EC76" s="327"/>
      <c r="ED76" s="327"/>
      <c r="EE76" s="327"/>
      <c r="EF76" s="327"/>
      <c r="EG76" s="327"/>
      <c r="EH76" s="327"/>
      <c r="EI76" s="327"/>
      <c r="EJ76" s="327"/>
      <c r="EK76" s="327"/>
      <c r="EL76" s="327"/>
      <c r="EM76" s="327"/>
      <c r="EN76" s="327"/>
      <c r="EO76" s="327"/>
      <c r="EP76" s="327"/>
      <c r="EQ76" s="327"/>
      <c r="ER76" s="327"/>
      <c r="ES76" s="327"/>
      <c r="ET76" s="327"/>
      <c r="EU76" s="327"/>
      <c r="EV76" s="327"/>
      <c r="EW76" s="327"/>
      <c r="EX76" s="327"/>
      <c r="EY76" s="327"/>
      <c r="EZ76" s="327"/>
      <c r="FA76" s="327"/>
      <c r="FB76" s="327"/>
      <c r="FC76" s="327"/>
      <c r="FD76" s="327"/>
      <c r="FE76" s="327"/>
      <c r="FF76" s="327"/>
      <c r="FG76" s="327"/>
      <c r="FH76" s="327"/>
      <c r="FI76" s="327"/>
      <c r="FJ76" s="327"/>
      <c r="FK76" s="327"/>
      <c r="FL76" s="327"/>
      <c r="FM76" s="327"/>
      <c r="FN76" s="327"/>
      <c r="FO76" s="327"/>
      <c r="FP76" s="327"/>
      <c r="FQ76" s="327"/>
      <c r="FR76" s="327"/>
      <c r="FS76" s="327"/>
      <c r="FT76" s="327"/>
      <c r="FU76" s="327"/>
      <c r="FV76" s="327"/>
      <c r="FW76" s="327"/>
      <c r="FX76" s="327"/>
      <c r="FY76" s="327"/>
      <c r="FZ76" s="327"/>
      <c r="GA76" s="327"/>
      <c r="GB76" s="327"/>
      <c r="GC76" s="327"/>
      <c r="GD76" s="327"/>
      <c r="GE76" s="327"/>
      <c r="GF76" s="327"/>
      <c r="GG76" s="327"/>
      <c r="GH76" s="327"/>
      <c r="GI76" s="327"/>
      <c r="GJ76" s="327"/>
      <c r="GK76" s="327"/>
      <c r="GL76" s="327"/>
      <c r="GM76" s="327"/>
      <c r="GN76" s="327"/>
      <c r="GO76" s="327"/>
      <c r="GP76" s="327"/>
      <c r="GQ76" s="327"/>
      <c r="GR76" s="327"/>
      <c r="GS76" s="327"/>
      <c r="GT76" s="327"/>
      <c r="GU76" s="327"/>
      <c r="GV76" s="327"/>
      <c r="GW76" s="327"/>
      <c r="GX76" s="327"/>
      <c r="GY76" s="327"/>
      <c r="GZ76" s="327"/>
      <c r="HA76" s="327"/>
      <c r="HB76" s="327"/>
      <c r="HC76" s="327"/>
      <c r="HD76" s="327"/>
      <c r="HE76" s="327"/>
      <c r="HF76" s="327"/>
      <c r="HG76" s="327"/>
      <c r="HH76" s="327"/>
      <c r="HI76" s="327"/>
      <c r="HJ76" s="327"/>
      <c r="HK76" s="327"/>
      <c r="HL76" s="327"/>
      <c r="HM76" s="327"/>
      <c r="HN76" s="327"/>
      <c r="HO76" s="327"/>
      <c r="HP76" s="327"/>
      <c r="HQ76" s="327"/>
      <c r="HR76" s="327"/>
      <c r="HS76" s="327"/>
    </row>
    <row r="77" spans="1:227" ht="15" customHeight="1">
      <c r="A77" s="434">
        <v>4</v>
      </c>
      <c r="B77" s="435" t="str">
        <f>VLOOKUP(Ruimtestaat[[#This Row],[Code]],Locaties[[Code]:[Locatie]],2,FALSE)</f>
        <v>IKC De Waterlelie</v>
      </c>
      <c r="C77" s="435" t="str">
        <f>VLOOKUP(Ruimtestaat[[#This Row],[Code]],Locaties[[#All],[Code]:[Adres]],4,FALSE)</f>
        <v>Goudenregenzoom 73</v>
      </c>
      <c r="D77" s="435" t="str">
        <f>VLOOKUP(Ruimtestaat[[#This Row],[Code]],Locaties[[#All],[Code]:[Postcode]],5,FALSE)</f>
        <v>2719 HE</v>
      </c>
      <c r="E77" s="435" t="str">
        <f>VLOOKUP(Ruimtestaat[[#This Row],[Code]],Locaties[#All],6,FALSE)</f>
        <v>Zoetermeer</v>
      </c>
      <c r="F77" s="434"/>
      <c r="G77" s="434" t="s">
        <v>1678</v>
      </c>
      <c r="H77" s="436" t="s">
        <v>1741</v>
      </c>
      <c r="I77" s="437" t="s">
        <v>1742</v>
      </c>
      <c r="J77" s="330">
        <v>6</v>
      </c>
      <c r="K77" s="450" t="str">
        <f>VLOOKUP(Ruimtestaat[[#This Row],[Ruimte code]],Ruimtegroepen[[#All],[Code]:[Ruimte omschrijving]],2,FALSE)</f>
        <v>Gangen/hallen</v>
      </c>
      <c r="L77" s="434" t="s">
        <v>100</v>
      </c>
      <c r="M77" s="437" t="s">
        <v>1759</v>
      </c>
      <c r="N77" s="439">
        <v>20</v>
      </c>
      <c r="O77" s="439"/>
      <c r="P77" s="439"/>
      <c r="Q77" s="439"/>
      <c r="R77" s="440" t="str">
        <f>VLOOKUP(Ruimtestaat[[#This Row],[Ruimte code]],Ruimtegroepen[],4,FALSE)</f>
        <v>Ve</v>
      </c>
      <c r="S77" s="434">
        <v>41</v>
      </c>
      <c r="T77" s="434" t="s">
        <v>2</v>
      </c>
      <c r="U77" s="434">
        <f>IF(S77&gt;0,IF(RIGHT(Ruimtestaat[[#This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7" s="434">
        <f>IF(U77&gt;0,VLOOKUP($J77,Ruimtegroepen[],3,FALSE)*VLOOKUP($L77,Vloersoorten[],3,FALSE)*VLOOKUP($T77,Frequenties[],3,FALSE)*VLOOKUP($A77,Locaties[],3,FALSE),0)</f>
        <v>0</v>
      </c>
      <c r="W77" s="434">
        <f>Ruimtestaat[[#This Row],[Uitvoeringen werkdagen]]*Ruimtestaat[[#This Row],[Oppervlak (netto)]]</f>
        <v>4100</v>
      </c>
      <c r="X77" s="441">
        <f>IF(V77&gt;0,Ruimtestaat[[#This Row],[Prest. (m2 /jaar) werkdagen]]/Ruimtestaat[[#This Row],[Norm (m2/uur) werkdagen]],0)</f>
        <v>0</v>
      </c>
      <c r="Y77" s="442">
        <f>Ruimtestaat[[#This Row],[Uitvoeringen werkdagen]]*Ruimtestaat[[#This Row],[Gedeeltelijk]]</f>
        <v>0</v>
      </c>
      <c r="Z77" s="443" t="e">
        <f>IF(U77&gt;0,Ruimtestaat[[#This Row],[Prest. (m2 / jaar) werkdagen gedeeld]]/Ruimtestaat[[#This Row],[Norm (m2/uur) werkdagen]],0)</f>
        <v>#DIV/0!</v>
      </c>
      <c r="AA77" s="441" t="e">
        <f>Ruimtestaat[[#This Row],[uren / jaar werkdagen gedeeld]]*Tariefsopbouw!$E$35</f>
        <v>#DIV/0!</v>
      </c>
      <c r="AB77" s="441">
        <f>Ruimtestaat[[#This Row],[Uitvoeringen werkdagen]]*Ruimtestaat[[#This Row],[BSO]]</f>
        <v>0</v>
      </c>
      <c r="AC77" s="443" t="e">
        <f>IF(U77&gt;0,Ruimtestaat[[#This Row],[Prest. (m2 / jaar) werkdagen BSO]]/Ruimtestaat[[#This Row],[Norm (m2/uur) werkdagen]],0)</f>
        <v>#DIV/0!</v>
      </c>
      <c r="AD77" s="443" t="e">
        <f>Ruimtestaat[[#This Row],[uren / jaar werkdagen BSO]]*Tariefsopbouw!$E$35</f>
        <v>#DIV/0!</v>
      </c>
      <c r="AE77" s="444">
        <f>Ruimtestaat[[#This Row],[uren / jaar werkdagen]]*Tariefsopbouw!$E$35</f>
        <v>0</v>
      </c>
      <c r="AF77" s="434"/>
      <c r="AG77" s="434">
        <f>IF(Ruimtestaat[[#This Row],[Frequentie weekend]]&gt;0,VALUE(LEFT(AF77,1))*S77,0)</f>
        <v>0</v>
      </c>
      <c r="AH77" s="445">
        <f>IF($AG77&gt;0,VLOOKUP($J77,Ruimtegroepen[],3,FALSE)*VLOOKUP($L77,Vloersoorten[],3,FALSE)*VLOOKUP($AF77,Frequenties[],3,FALSE)*VLOOKUP(Ruimtestaat[[#This Row],[Code]],Locaties[],3,FALSE),0)</f>
        <v>0</v>
      </c>
      <c r="AI77" s="445">
        <f>Ruimtestaat[[#This Row],[Uitvoeringen weekend]]*Ruimtestaat[[#This Row],[Oppervlak (netto)]]</f>
        <v>0</v>
      </c>
      <c r="AJ77" s="445">
        <f>IF(AH77&gt;0,Ruimtestaat[[#This Row],[Prest. (m2 /jaar) weekend]]/Ruimtestaat[[#This Row],[Norm (m2/uur) weekend]],0)</f>
        <v>0</v>
      </c>
      <c r="AK77" s="444">
        <f>Ruimtestaat[[#This Row],[uren / jaar weekend]]*Tariefsopbouw!$D$40</f>
        <v>0</v>
      </c>
      <c r="AL77" s="441">
        <f>Ruimtestaat[[#This Row],[Prest. (m2 /jaar) weekend]]+Ruimtestaat[[#This Row],[Prest. (m2 /jaar) werkdagen]]</f>
        <v>4100</v>
      </c>
      <c r="AM77" s="441">
        <f>Ruimtestaat[[#This Row],[uren / jaar weekend]]+Ruimtestaat[[#This Row],[uren / jaar werkdagen]]</f>
        <v>0</v>
      </c>
      <c r="AN77" s="446">
        <f>Ruimtestaat[[#This Row],[kosten / jaar weekend]]+Ruimtestaat[[#This Row],[kosten / jaar werkdagen]]</f>
        <v>0</v>
      </c>
      <c r="AO77" s="446"/>
      <c r="AP77" s="447" t="str">
        <f>IF(Ruimtestaat[[#This Row],[Frequentie werkdagen]]="","",_xlfn.CONCAT(Ruimtestaat[[#This Row],[Ruimte code]],"-",Ruimtestaat[[#This Row],[Frequentie werkdagen]]," ",Ruimtestaat[[#This Row],[Vloer code]]))</f>
        <v>6-5w L</v>
      </c>
      <c r="AQ77" s="448" t="str">
        <f>_xlfn.IFNA(VLOOKUP($AP77,Programma!$F$3:$G$1101,2,0),"")</f>
        <v>_</v>
      </c>
      <c r="AR77" s="448" t="str">
        <f>_xlfn.IFNA(VLOOKUP($AP77,Programma!$F$3:$H$1101,3,0),"")</f>
        <v>_</v>
      </c>
      <c r="AS77" s="448" t="str">
        <f>_xlfn.IFNA(VLOOKUP($AP77,Programma!$F$3:$I$1101,4,0),"")</f>
        <v>_</v>
      </c>
      <c r="AT77" s="448" t="str">
        <f>_xlfn.IFNA(VLOOKUP($AP77,Programma!$F$3:$J$1101,5,0),"")</f>
        <v>5w</v>
      </c>
      <c r="AU77" s="448" t="str">
        <f>_xlfn.IFNA(VLOOKUP($AP77,Programma!$F$3:$K$1101,6,0),"")</f>
        <v>_</v>
      </c>
      <c r="AV77" s="448" t="str">
        <f>_xlfn.IFNA(VLOOKUP($AP77,Programma!$F$3:$L$1101,7,0),"")</f>
        <v>_</v>
      </c>
      <c r="AW77" s="448" t="str">
        <f>_xlfn.IFNA(VLOOKUP($AP77,Programma!$F$3:$M$1101,8,0),"")</f>
        <v>_</v>
      </c>
      <c r="AX77" s="448" t="str">
        <f>_xlfn.IFNA(VLOOKUP($AP77,Programma!$F$3:$N$1101,9,0),"")</f>
        <v>_</v>
      </c>
      <c r="AY77" s="448" t="str">
        <f>_xlfn.IFNA(VLOOKUP($AP77,Programma!$F$3:$O$1101,10,0),"")</f>
        <v>5w</v>
      </c>
      <c r="AZ77" s="448" t="str">
        <f>_xlfn.IFNA(VLOOKUP($AP77,Programma!$F$3:$P$1101,11,0),"")</f>
        <v>5w</v>
      </c>
      <c r="BA77" s="448" t="str">
        <f>_xlfn.IFNA(VLOOKUP($AP77,Programma!$F$3:$Q$1101,12,0),"")</f>
        <v>1w</v>
      </c>
      <c r="BB77" s="448" t="str">
        <f>_xlfn.IFNA(VLOOKUP($AP77,Programma!$F$3:$R$1101,13,0),"")</f>
        <v>1w</v>
      </c>
      <c r="BC77" s="448" t="str">
        <f>_xlfn.IFNA(VLOOKUP($AP77,Programma!$F$3:$S$1101,14,0),"")</f>
        <v>1m</v>
      </c>
      <c r="BD77" s="448" t="str">
        <f>_xlfn.IFNA(VLOOKUP($AP77,Programma!$F$3:$T$1101,15,0),"")</f>
        <v>2j</v>
      </c>
      <c r="BE77" s="448" t="str">
        <f>_xlfn.IFNA(VLOOKUP($AP77,Programma!$F$3:$U$1101,16,0),"")</f>
        <v>1j</v>
      </c>
      <c r="BF77" s="448" t="str">
        <f>_xlfn.IFNA(VLOOKUP($AP77,Programma!$F$3:$V$1101,17,0),"")</f>
        <v>_</v>
      </c>
      <c r="BG77" s="448" t="str">
        <f>_xlfn.IFNA(VLOOKUP($AP77,Programma!$F$3:$W$1101,18,0),"")</f>
        <v>_</v>
      </c>
      <c r="BH77" s="448" t="str">
        <f>_xlfn.IFNA(VLOOKUP($AP77,Programma!$F$3:$X$1101,19,0),"")</f>
        <v>_</v>
      </c>
      <c r="BI77" s="448" t="str">
        <f>_xlfn.IFNA(VLOOKUP($AP77,Programma!$F$3:$Y$1101,20,0),"")</f>
        <v>_</v>
      </c>
      <c r="BJ77" s="449"/>
      <c r="BK77" s="447" t="str">
        <f>IF(Ruimtestaat[[#This Row],[Frequentie weekend]]="","",_xlfn.CONCAT(Ruimtestaat[[#This Row],[Ruimte code]],"-",Ruimtestaat[[#This Row],[Frequentie weekend]]," ",Ruimtestaat[[#This Row],[Vloer code]]))</f>
        <v/>
      </c>
      <c r="BL77" s="448" t="str">
        <f>_xlfn.IFNA(VLOOKUP($BK77,Programma!$F$3:$G$1101,2,0),"")</f>
        <v/>
      </c>
      <c r="BM77" s="448" t="str">
        <f>_xlfn.IFNA(VLOOKUP($BK77,Programma!$F$3:$H$1101,3,0),"")</f>
        <v/>
      </c>
      <c r="BN77" s="448" t="str">
        <f>_xlfn.IFNA(VLOOKUP($BK77,Programma!$F$3:$I$1101,4,0),"")</f>
        <v/>
      </c>
      <c r="BO77" s="448" t="str">
        <f>_xlfn.IFNA(VLOOKUP($BK77,Programma!$F$3:$J$1101,5,0),"")</f>
        <v/>
      </c>
      <c r="BP77" s="448" t="str">
        <f>_xlfn.IFNA(VLOOKUP($BK77,Programma!$F$3:$K$1101,6,0),"")</f>
        <v/>
      </c>
      <c r="BQ77" s="448" t="str">
        <f>_xlfn.IFNA(VLOOKUP($BK77,Programma!$F$3:$L$1101,7,0),"")</f>
        <v/>
      </c>
      <c r="BR77" s="448" t="str">
        <f>_xlfn.IFNA(VLOOKUP($BK77,Programma!$F$3:$M$1101,8,0),"")</f>
        <v/>
      </c>
      <c r="BS77" s="448" t="str">
        <f>_xlfn.IFNA(VLOOKUP($BK77,Programma!$F$3:$N$1101,9,0),"")</f>
        <v/>
      </c>
      <c r="BT77" s="448" t="str">
        <f>_xlfn.IFNA(VLOOKUP($BK77,Programma!$F$3:$O$1101,10,0),"")</f>
        <v/>
      </c>
      <c r="BU77" s="448" t="str">
        <f>_xlfn.IFNA(VLOOKUP($BK77,Programma!$F$3:$P$1101,11,0),"")</f>
        <v/>
      </c>
      <c r="BV77" s="448" t="str">
        <f>_xlfn.IFNA(VLOOKUP($BK77,Programma!$F$3:$Q$1101,12,0),"")</f>
        <v/>
      </c>
      <c r="BW77" s="448" t="str">
        <f>_xlfn.IFNA(VLOOKUP($BK77,Programma!$F$3:$R$1101,13,0),"")</f>
        <v/>
      </c>
      <c r="BX77" s="448" t="str">
        <f>_xlfn.IFNA(VLOOKUP($BK77,Programma!$F$3:$S$1101,14,0),"")</f>
        <v/>
      </c>
      <c r="BY77" s="448" t="str">
        <f>_xlfn.IFNA(VLOOKUP($BK77,Programma!$F$3:$T$1101,15,0),"")</f>
        <v/>
      </c>
      <c r="BZ77" s="448" t="str">
        <f>_xlfn.IFNA(VLOOKUP($BK77,Programma!$F$3:$U$1101,16,0),"")</f>
        <v/>
      </c>
      <c r="CA77" s="448" t="str">
        <f>_xlfn.IFNA(VLOOKUP($BK77,Programma!$F$3:$V$1101,17,0),"")</f>
        <v/>
      </c>
      <c r="CB77" s="448" t="str">
        <f>_xlfn.IFNA(VLOOKUP($BK77,Programma!$F$3:$W$1101,18,0),"")</f>
        <v/>
      </c>
      <c r="CC77" s="448" t="str">
        <f>_xlfn.IFNA(VLOOKUP($BK77,Programma!$F$3:$X$1101,19,0),"")</f>
        <v/>
      </c>
      <c r="CD77" s="448" t="str">
        <f>_xlfn.IFNA(VLOOKUP($BK77,Programma!$F$3:$Y$1101,20,0),"")</f>
        <v/>
      </c>
      <c r="CE77" s="327"/>
      <c r="CF77" s="327"/>
      <c r="CG77" s="327"/>
      <c r="CH77" s="327"/>
      <c r="CI77" s="327"/>
      <c r="CJ77" s="327"/>
      <c r="CK77" s="327"/>
      <c r="CL77" s="327"/>
      <c r="CM77" s="327"/>
      <c r="CN77" s="327"/>
      <c r="CO77" s="327"/>
      <c r="CP77" s="327"/>
      <c r="CQ77" s="327"/>
      <c r="CR77" s="327"/>
      <c r="CS77" s="327"/>
      <c r="CT77" s="327"/>
      <c r="CU77" s="327"/>
      <c r="CV77" s="327"/>
      <c r="CW77" s="327"/>
      <c r="CX77" s="327"/>
      <c r="CY77" s="327"/>
      <c r="CZ77" s="327"/>
      <c r="DA77" s="327"/>
      <c r="DB77" s="327"/>
      <c r="DC77" s="327"/>
      <c r="DD77" s="327"/>
      <c r="DE77" s="327"/>
      <c r="DF77" s="327"/>
      <c r="DG77" s="327"/>
      <c r="DH77" s="327"/>
      <c r="DI77" s="327"/>
      <c r="DJ77" s="327"/>
      <c r="DK77" s="327"/>
      <c r="DL77" s="327"/>
      <c r="DM77" s="327"/>
      <c r="DN77" s="327"/>
      <c r="DO77" s="327"/>
      <c r="DP77" s="327"/>
      <c r="DQ77" s="327"/>
      <c r="DR77" s="327"/>
      <c r="DS77" s="327"/>
      <c r="DT77" s="327"/>
      <c r="DU77" s="327"/>
      <c r="DV77" s="327"/>
      <c r="DW77" s="327"/>
      <c r="DX77" s="327"/>
      <c r="DY77" s="327"/>
      <c r="DZ77" s="327"/>
      <c r="EA77" s="327"/>
      <c r="EB77" s="327"/>
      <c r="EC77" s="327"/>
      <c r="ED77" s="327"/>
      <c r="EE77" s="327"/>
      <c r="EF77" s="327"/>
      <c r="EG77" s="327"/>
      <c r="EH77" s="327"/>
      <c r="EI77" s="327"/>
      <c r="EJ77" s="327"/>
      <c r="EK77" s="327"/>
      <c r="EL77" s="327"/>
      <c r="EM77" s="327"/>
      <c r="EN77" s="327"/>
      <c r="EO77" s="327"/>
      <c r="EP77" s="327"/>
      <c r="EQ77" s="327"/>
      <c r="ER77" s="327"/>
      <c r="ES77" s="327"/>
      <c r="ET77" s="327"/>
      <c r="EU77" s="327"/>
      <c r="EV77" s="327"/>
      <c r="EW77" s="327"/>
      <c r="EX77" s="327"/>
      <c r="EY77" s="327"/>
      <c r="EZ77" s="327"/>
      <c r="FA77" s="327"/>
      <c r="FB77" s="327"/>
      <c r="FC77" s="327"/>
      <c r="FD77" s="327"/>
      <c r="FE77" s="327"/>
      <c r="FF77" s="327"/>
      <c r="FG77" s="327"/>
      <c r="FH77" s="327"/>
      <c r="FI77" s="327"/>
      <c r="FJ77" s="327"/>
      <c r="FK77" s="327"/>
      <c r="FL77" s="327"/>
      <c r="FM77" s="327"/>
      <c r="FN77" s="327"/>
      <c r="FO77" s="327"/>
      <c r="FP77" s="327"/>
      <c r="FQ77" s="327"/>
      <c r="FR77" s="327"/>
      <c r="FS77" s="327"/>
      <c r="FT77" s="327"/>
      <c r="FU77" s="327"/>
      <c r="FV77" s="327"/>
      <c r="FW77" s="327"/>
      <c r="FX77" s="327"/>
      <c r="FY77" s="327"/>
      <c r="FZ77" s="327"/>
      <c r="GA77" s="327"/>
      <c r="GB77" s="327"/>
      <c r="GC77" s="327"/>
      <c r="GD77" s="327"/>
      <c r="GE77" s="327"/>
      <c r="GF77" s="327"/>
      <c r="GG77" s="327"/>
      <c r="GH77" s="327"/>
      <c r="GI77" s="327"/>
      <c r="GJ77" s="327"/>
      <c r="GK77" s="327"/>
      <c r="GL77" s="327"/>
      <c r="GM77" s="327"/>
      <c r="GN77" s="327"/>
      <c r="GO77" s="327"/>
      <c r="GP77" s="327"/>
      <c r="GQ77" s="327"/>
      <c r="GR77" s="327"/>
      <c r="GS77" s="327"/>
      <c r="GT77" s="327"/>
      <c r="GU77" s="327"/>
      <c r="GV77" s="327"/>
      <c r="GW77" s="327"/>
      <c r="GX77" s="327"/>
      <c r="GY77" s="327"/>
      <c r="GZ77" s="327"/>
      <c r="HA77" s="327"/>
      <c r="HB77" s="327"/>
      <c r="HC77" s="327"/>
      <c r="HD77" s="327"/>
      <c r="HE77" s="327"/>
      <c r="HF77" s="327"/>
      <c r="HG77" s="327"/>
      <c r="HH77" s="327"/>
      <c r="HI77" s="327"/>
      <c r="HJ77" s="327"/>
      <c r="HK77" s="327"/>
      <c r="HL77" s="327"/>
      <c r="HM77" s="327"/>
      <c r="HN77" s="327"/>
      <c r="HO77" s="327"/>
      <c r="HP77" s="327"/>
      <c r="HQ77" s="327"/>
      <c r="HR77" s="327"/>
      <c r="HS77" s="327"/>
    </row>
    <row r="78" spans="1:227" ht="15" customHeight="1">
      <c r="A78" s="434">
        <v>4</v>
      </c>
      <c r="B78" s="435" t="str">
        <f>VLOOKUP(Ruimtestaat[[#This Row],[Code]],Locaties[[Code]:[Locatie]],2,FALSE)</f>
        <v>IKC De Waterlelie</v>
      </c>
      <c r="C78" s="435" t="str">
        <f>VLOOKUP(Ruimtestaat[[#This Row],[Code]],Locaties[[#All],[Code]:[Adres]],4,FALSE)</f>
        <v>Goudenregenzoom 73</v>
      </c>
      <c r="D78" s="435" t="str">
        <f>VLOOKUP(Ruimtestaat[[#This Row],[Code]],Locaties[[#All],[Code]:[Postcode]],5,FALSE)</f>
        <v>2719 HE</v>
      </c>
      <c r="E78" s="435" t="str">
        <f>VLOOKUP(Ruimtestaat[[#This Row],[Code]],Locaties[#All],6,FALSE)</f>
        <v>Zoetermeer</v>
      </c>
      <c r="F78" s="434"/>
      <c r="G78" s="434" t="s">
        <v>1678</v>
      </c>
      <c r="H78" s="436" t="s">
        <v>1743</v>
      </c>
      <c r="I78" s="437" t="s">
        <v>1724</v>
      </c>
      <c r="J78" s="330">
        <v>20</v>
      </c>
      <c r="K78" s="450" t="str">
        <f>VLOOKUP(Ruimtestaat[[#This Row],[Ruimte code]],Ruimtegroepen[[#All],[Code]:[Ruimte omschrijving]],2,FALSE)</f>
        <v>Niet in Onderhoud</v>
      </c>
      <c r="L78" s="434" t="s">
        <v>100</v>
      </c>
      <c r="M78" s="437" t="s">
        <v>1759</v>
      </c>
      <c r="N78" s="439"/>
      <c r="O78" s="439"/>
      <c r="P78" s="439"/>
      <c r="Q78" s="439"/>
      <c r="R78" s="440">
        <f>VLOOKUP(Ruimtestaat[[#This Row],[Ruimte code]],Ruimtegroepen[],4,FALSE)</f>
        <v>0</v>
      </c>
      <c r="S78" s="434"/>
      <c r="T78" s="434"/>
      <c r="U78" s="434">
        <f>IF(S78&gt;0,IF(RIGHT(Ruimtestaat[[#This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8" s="434">
        <f>IF(U78&gt;0,VLOOKUP($J78,Ruimtegroepen[],3,FALSE)*VLOOKUP($L78,Vloersoorten[],3,FALSE)*VLOOKUP($T78,Frequenties[],3,FALSE)*VLOOKUP($A78,Locaties[],3,FALSE),0)</f>
        <v>0</v>
      </c>
      <c r="W78" s="434">
        <f>Ruimtestaat[[#This Row],[Uitvoeringen werkdagen]]*Ruimtestaat[[#This Row],[Oppervlak (netto)]]</f>
        <v>0</v>
      </c>
      <c r="X78" s="441">
        <f>IF(V78&gt;0,Ruimtestaat[[#This Row],[Prest. (m2 /jaar) werkdagen]]/Ruimtestaat[[#This Row],[Norm (m2/uur) werkdagen]],0)</f>
        <v>0</v>
      </c>
      <c r="Y78" s="442">
        <f>Ruimtestaat[[#This Row],[Uitvoeringen werkdagen]]*Ruimtestaat[[#This Row],[Gedeeltelijk]]</f>
        <v>0</v>
      </c>
      <c r="Z78" s="443">
        <f>IF(U78&gt;0,Ruimtestaat[[#This Row],[Prest. (m2 / jaar) werkdagen gedeeld]]/Ruimtestaat[[#This Row],[Norm (m2/uur) werkdagen]],0)</f>
        <v>0</v>
      </c>
      <c r="AA78" s="441">
        <f>Ruimtestaat[[#This Row],[uren / jaar werkdagen gedeeld]]*Tariefsopbouw!$E$35</f>
        <v>0</v>
      </c>
      <c r="AB78" s="441">
        <f>Ruimtestaat[[#This Row],[Uitvoeringen werkdagen]]*Ruimtestaat[[#This Row],[BSO]]</f>
        <v>0</v>
      </c>
      <c r="AC78" s="443">
        <f>IF(U78&gt;0,Ruimtestaat[[#This Row],[Prest. (m2 / jaar) werkdagen BSO]]/Ruimtestaat[[#This Row],[Norm (m2/uur) werkdagen]],0)</f>
        <v>0</v>
      </c>
      <c r="AD78" s="443">
        <f>Ruimtestaat[[#This Row],[uren / jaar werkdagen BSO]]*Tariefsopbouw!$E$35</f>
        <v>0</v>
      </c>
      <c r="AE78" s="444">
        <f>Ruimtestaat[[#This Row],[uren / jaar werkdagen]]*Tariefsopbouw!$E$35</f>
        <v>0</v>
      </c>
      <c r="AF78" s="434"/>
      <c r="AG78" s="434">
        <f>IF(Ruimtestaat[[#This Row],[Frequentie weekend]]&gt;0,VALUE(LEFT(AF78,1))*S78,0)</f>
        <v>0</v>
      </c>
      <c r="AH78" s="445">
        <f>IF($AG78&gt;0,VLOOKUP($J78,Ruimtegroepen[],3,FALSE)*VLOOKUP($L78,Vloersoorten[],3,FALSE)*VLOOKUP($AF78,Frequenties[],3,FALSE)*VLOOKUP(Ruimtestaat[[#This Row],[Code]],Locaties[],3,FALSE),0)</f>
        <v>0</v>
      </c>
      <c r="AI78" s="445">
        <f>Ruimtestaat[[#This Row],[Uitvoeringen weekend]]*Ruimtestaat[[#This Row],[Oppervlak (netto)]]</f>
        <v>0</v>
      </c>
      <c r="AJ78" s="445">
        <f>IF(AH78&gt;0,Ruimtestaat[[#This Row],[Prest. (m2 /jaar) weekend]]/Ruimtestaat[[#This Row],[Norm (m2/uur) weekend]],0)</f>
        <v>0</v>
      </c>
      <c r="AK78" s="444">
        <f>Ruimtestaat[[#This Row],[uren / jaar weekend]]*Tariefsopbouw!$D$40</f>
        <v>0</v>
      </c>
      <c r="AL78" s="441">
        <f>Ruimtestaat[[#This Row],[Prest. (m2 /jaar) weekend]]+Ruimtestaat[[#This Row],[Prest. (m2 /jaar) werkdagen]]</f>
        <v>0</v>
      </c>
      <c r="AM78" s="441">
        <f>Ruimtestaat[[#This Row],[uren / jaar weekend]]+Ruimtestaat[[#This Row],[uren / jaar werkdagen]]</f>
        <v>0</v>
      </c>
      <c r="AN78" s="446">
        <f>Ruimtestaat[[#This Row],[kosten / jaar weekend]]+Ruimtestaat[[#This Row],[kosten / jaar werkdagen]]</f>
        <v>0</v>
      </c>
      <c r="AO78" s="446"/>
      <c r="AP78" s="447" t="str">
        <f>IF(Ruimtestaat[[#This Row],[Frequentie werkdagen]]="","",_xlfn.CONCAT(Ruimtestaat[[#This Row],[Ruimte code]],"-",Ruimtestaat[[#This Row],[Frequentie werkdagen]]," ",Ruimtestaat[[#This Row],[Vloer code]]))</f>
        <v/>
      </c>
      <c r="AQ78" s="448" t="str">
        <f>_xlfn.IFNA(VLOOKUP($AP78,Programma!$F$3:$G$1101,2,0),"")</f>
        <v/>
      </c>
      <c r="AR78" s="448" t="str">
        <f>_xlfn.IFNA(VLOOKUP($AP78,Programma!$F$3:$H$1101,3,0),"")</f>
        <v/>
      </c>
      <c r="AS78" s="448" t="str">
        <f>_xlfn.IFNA(VLOOKUP($AP78,Programma!$F$3:$I$1101,4,0),"")</f>
        <v/>
      </c>
      <c r="AT78" s="448" t="str">
        <f>_xlfn.IFNA(VLOOKUP($AP78,Programma!$F$3:$J$1101,5,0),"")</f>
        <v/>
      </c>
      <c r="AU78" s="448" t="str">
        <f>_xlfn.IFNA(VLOOKUP($AP78,Programma!$F$3:$K$1101,6,0),"")</f>
        <v/>
      </c>
      <c r="AV78" s="448" t="str">
        <f>_xlfn.IFNA(VLOOKUP($AP78,Programma!$F$3:$L$1101,7,0),"")</f>
        <v/>
      </c>
      <c r="AW78" s="448" t="str">
        <f>_xlfn.IFNA(VLOOKUP($AP78,Programma!$F$3:$M$1101,8,0),"")</f>
        <v/>
      </c>
      <c r="AX78" s="448" t="str">
        <f>_xlfn.IFNA(VLOOKUP($AP78,Programma!$F$3:$N$1101,9,0),"")</f>
        <v/>
      </c>
      <c r="AY78" s="448" t="str">
        <f>_xlfn.IFNA(VLOOKUP($AP78,Programma!$F$3:$O$1101,10,0),"")</f>
        <v/>
      </c>
      <c r="AZ78" s="448" t="str">
        <f>_xlfn.IFNA(VLOOKUP($AP78,Programma!$F$3:$P$1101,11,0),"")</f>
        <v/>
      </c>
      <c r="BA78" s="448" t="str">
        <f>_xlfn.IFNA(VLOOKUP($AP78,Programma!$F$3:$Q$1101,12,0),"")</f>
        <v/>
      </c>
      <c r="BB78" s="448" t="str">
        <f>_xlfn.IFNA(VLOOKUP($AP78,Programma!$F$3:$R$1101,13,0),"")</f>
        <v/>
      </c>
      <c r="BC78" s="448" t="str">
        <f>_xlfn.IFNA(VLOOKUP($AP78,Programma!$F$3:$S$1101,14,0),"")</f>
        <v/>
      </c>
      <c r="BD78" s="448" t="str">
        <f>_xlfn.IFNA(VLOOKUP($AP78,Programma!$F$3:$T$1101,15,0),"")</f>
        <v/>
      </c>
      <c r="BE78" s="448" t="str">
        <f>_xlfn.IFNA(VLOOKUP($AP78,Programma!$F$3:$U$1101,16,0),"")</f>
        <v/>
      </c>
      <c r="BF78" s="448" t="str">
        <f>_xlfn.IFNA(VLOOKUP($AP78,Programma!$F$3:$V$1101,17,0),"")</f>
        <v/>
      </c>
      <c r="BG78" s="448" t="str">
        <f>_xlfn.IFNA(VLOOKUP($AP78,Programma!$F$3:$W$1101,18,0),"")</f>
        <v/>
      </c>
      <c r="BH78" s="448" t="str">
        <f>_xlfn.IFNA(VLOOKUP($AP78,Programma!$F$3:$X$1101,19,0),"")</f>
        <v/>
      </c>
      <c r="BI78" s="448" t="str">
        <f>_xlfn.IFNA(VLOOKUP($AP78,Programma!$F$3:$Y$1101,20,0),"")</f>
        <v/>
      </c>
      <c r="BJ78" s="449"/>
      <c r="BK78" s="447" t="str">
        <f>IF(Ruimtestaat[[#This Row],[Frequentie weekend]]="","",_xlfn.CONCAT(Ruimtestaat[[#This Row],[Ruimte code]],"-",Ruimtestaat[[#This Row],[Frequentie weekend]]," ",Ruimtestaat[[#This Row],[Vloer code]]))</f>
        <v/>
      </c>
      <c r="BL78" s="448" t="str">
        <f>_xlfn.IFNA(VLOOKUP($BK78,Programma!$F$3:$G$1101,2,0),"")</f>
        <v/>
      </c>
      <c r="BM78" s="448" t="str">
        <f>_xlfn.IFNA(VLOOKUP($BK78,Programma!$F$3:$H$1101,3,0),"")</f>
        <v/>
      </c>
      <c r="BN78" s="448" t="str">
        <f>_xlfn.IFNA(VLOOKUP($BK78,Programma!$F$3:$I$1101,4,0),"")</f>
        <v/>
      </c>
      <c r="BO78" s="448" t="str">
        <f>_xlfn.IFNA(VLOOKUP($BK78,Programma!$F$3:$J$1101,5,0),"")</f>
        <v/>
      </c>
      <c r="BP78" s="448" t="str">
        <f>_xlfn.IFNA(VLOOKUP($BK78,Programma!$F$3:$K$1101,6,0),"")</f>
        <v/>
      </c>
      <c r="BQ78" s="448" t="str">
        <f>_xlfn.IFNA(VLOOKUP($BK78,Programma!$F$3:$L$1101,7,0),"")</f>
        <v/>
      </c>
      <c r="BR78" s="448" t="str">
        <f>_xlfn.IFNA(VLOOKUP($BK78,Programma!$F$3:$M$1101,8,0),"")</f>
        <v/>
      </c>
      <c r="BS78" s="448" t="str">
        <f>_xlfn.IFNA(VLOOKUP($BK78,Programma!$F$3:$N$1101,9,0),"")</f>
        <v/>
      </c>
      <c r="BT78" s="448" t="str">
        <f>_xlfn.IFNA(VLOOKUP($BK78,Programma!$F$3:$O$1101,10,0),"")</f>
        <v/>
      </c>
      <c r="BU78" s="448" t="str">
        <f>_xlfn.IFNA(VLOOKUP($BK78,Programma!$F$3:$P$1101,11,0),"")</f>
        <v/>
      </c>
      <c r="BV78" s="448" t="str">
        <f>_xlfn.IFNA(VLOOKUP($BK78,Programma!$F$3:$Q$1101,12,0),"")</f>
        <v/>
      </c>
      <c r="BW78" s="448" t="str">
        <f>_xlfn.IFNA(VLOOKUP($BK78,Programma!$F$3:$R$1101,13,0),"")</f>
        <v/>
      </c>
      <c r="BX78" s="448" t="str">
        <f>_xlfn.IFNA(VLOOKUP($BK78,Programma!$F$3:$S$1101,14,0),"")</f>
        <v/>
      </c>
      <c r="BY78" s="448" t="str">
        <f>_xlfn.IFNA(VLOOKUP($BK78,Programma!$F$3:$T$1101,15,0),"")</f>
        <v/>
      </c>
      <c r="BZ78" s="448" t="str">
        <f>_xlfn.IFNA(VLOOKUP($BK78,Programma!$F$3:$U$1101,16,0),"")</f>
        <v/>
      </c>
      <c r="CA78" s="448" t="str">
        <f>_xlfn.IFNA(VLOOKUP($BK78,Programma!$F$3:$V$1101,17,0),"")</f>
        <v/>
      </c>
      <c r="CB78" s="448" t="str">
        <f>_xlfn.IFNA(VLOOKUP($BK78,Programma!$F$3:$W$1101,18,0),"")</f>
        <v/>
      </c>
      <c r="CC78" s="448" t="str">
        <f>_xlfn.IFNA(VLOOKUP($BK78,Programma!$F$3:$X$1101,19,0),"")</f>
        <v/>
      </c>
      <c r="CD78" s="448" t="str">
        <f>_xlfn.IFNA(VLOOKUP($BK78,Programma!$F$3:$Y$1101,20,0),"")</f>
        <v/>
      </c>
      <c r="CE78" s="327"/>
      <c r="CF78" s="327"/>
      <c r="CG78" s="327"/>
      <c r="CH78" s="327"/>
      <c r="CI78" s="327"/>
      <c r="CJ78" s="327"/>
      <c r="CK78" s="327"/>
      <c r="CL78" s="327"/>
      <c r="CM78" s="327"/>
      <c r="CN78" s="327"/>
      <c r="CO78" s="327"/>
      <c r="CP78" s="327"/>
      <c r="CQ78" s="327"/>
      <c r="CR78" s="327"/>
      <c r="CS78" s="327"/>
      <c r="CT78" s="327"/>
      <c r="CU78" s="327"/>
      <c r="CV78" s="327"/>
      <c r="CW78" s="327"/>
      <c r="CX78" s="327"/>
      <c r="CY78" s="327"/>
      <c r="CZ78" s="327"/>
      <c r="DA78" s="327"/>
      <c r="DB78" s="327"/>
      <c r="DC78" s="327"/>
      <c r="DD78" s="327"/>
      <c r="DE78" s="327"/>
      <c r="DF78" s="327"/>
      <c r="DG78" s="327"/>
      <c r="DH78" s="327"/>
      <c r="DI78" s="327"/>
      <c r="DJ78" s="327"/>
      <c r="DK78" s="327"/>
      <c r="DL78" s="327"/>
      <c r="DM78" s="327"/>
      <c r="DN78" s="327"/>
      <c r="DO78" s="327"/>
      <c r="DP78" s="327"/>
      <c r="DQ78" s="327"/>
      <c r="DR78" s="327"/>
      <c r="DS78" s="327"/>
      <c r="DT78" s="327"/>
      <c r="DU78" s="327"/>
      <c r="DV78" s="327"/>
      <c r="DW78" s="327"/>
      <c r="DX78" s="327"/>
      <c r="DY78" s="327"/>
      <c r="DZ78" s="327"/>
      <c r="EA78" s="327"/>
      <c r="EB78" s="327"/>
      <c r="EC78" s="327"/>
      <c r="ED78" s="327"/>
      <c r="EE78" s="327"/>
      <c r="EF78" s="327"/>
      <c r="EG78" s="327"/>
      <c r="EH78" s="327"/>
      <c r="EI78" s="327"/>
      <c r="EJ78" s="327"/>
      <c r="EK78" s="327"/>
      <c r="EL78" s="327"/>
      <c r="EM78" s="327"/>
      <c r="EN78" s="327"/>
      <c r="EO78" s="327"/>
      <c r="EP78" s="327"/>
      <c r="EQ78" s="327"/>
      <c r="ER78" s="327"/>
      <c r="ES78" s="327"/>
      <c r="ET78" s="327"/>
      <c r="EU78" s="327"/>
      <c r="EV78" s="327"/>
      <c r="EW78" s="327"/>
      <c r="EX78" s="327"/>
      <c r="EY78" s="327"/>
      <c r="EZ78" s="327"/>
      <c r="FA78" s="327"/>
      <c r="FB78" s="327"/>
      <c r="FC78" s="327"/>
      <c r="FD78" s="327"/>
      <c r="FE78" s="327"/>
      <c r="FF78" s="327"/>
      <c r="FG78" s="327"/>
      <c r="FH78" s="327"/>
      <c r="FI78" s="327"/>
      <c r="FJ78" s="327"/>
      <c r="FK78" s="327"/>
      <c r="FL78" s="327"/>
      <c r="FM78" s="327"/>
      <c r="FN78" s="327"/>
      <c r="FO78" s="327"/>
      <c r="FP78" s="327"/>
      <c r="FQ78" s="327"/>
      <c r="FR78" s="327"/>
      <c r="FS78" s="327"/>
      <c r="FT78" s="327"/>
      <c r="FU78" s="327"/>
      <c r="FV78" s="327"/>
      <c r="FW78" s="327"/>
      <c r="FX78" s="327"/>
      <c r="FY78" s="327"/>
      <c r="FZ78" s="327"/>
      <c r="GA78" s="327"/>
      <c r="GB78" s="327"/>
      <c r="GC78" s="327"/>
      <c r="GD78" s="327"/>
      <c r="GE78" s="327"/>
      <c r="GF78" s="327"/>
      <c r="GG78" s="327"/>
      <c r="GH78" s="327"/>
      <c r="GI78" s="327"/>
      <c r="GJ78" s="327"/>
      <c r="GK78" s="327"/>
      <c r="GL78" s="327"/>
      <c r="GM78" s="327"/>
      <c r="GN78" s="327"/>
      <c r="GO78" s="327"/>
      <c r="GP78" s="327"/>
      <c r="GQ78" s="327"/>
      <c r="GR78" s="327"/>
      <c r="GS78" s="327"/>
      <c r="GT78" s="327"/>
      <c r="GU78" s="327"/>
      <c r="GV78" s="327"/>
      <c r="GW78" s="327"/>
      <c r="GX78" s="327"/>
      <c r="GY78" s="327"/>
      <c r="GZ78" s="327"/>
      <c r="HA78" s="327"/>
      <c r="HB78" s="327"/>
      <c r="HC78" s="327"/>
      <c r="HD78" s="327"/>
      <c r="HE78" s="327"/>
      <c r="HF78" s="327"/>
      <c r="HG78" s="327"/>
      <c r="HH78" s="327"/>
      <c r="HI78" s="327"/>
      <c r="HJ78" s="327"/>
      <c r="HK78" s="327"/>
      <c r="HL78" s="327"/>
      <c r="HM78" s="327"/>
      <c r="HN78" s="327"/>
      <c r="HO78" s="327"/>
      <c r="HP78" s="327"/>
      <c r="HQ78" s="327"/>
      <c r="HR78" s="327"/>
      <c r="HS78" s="327"/>
    </row>
    <row r="79" spans="1:227" ht="15" customHeight="1">
      <c r="A79" s="434">
        <v>4</v>
      </c>
      <c r="B79" s="435" t="str">
        <f>VLOOKUP(Ruimtestaat[[#This Row],[Code]],Locaties[[Code]:[Locatie]],2,FALSE)</f>
        <v>IKC De Waterlelie</v>
      </c>
      <c r="C79" s="435" t="str">
        <f>VLOOKUP(Ruimtestaat[[#This Row],[Code]],Locaties[[#All],[Code]:[Adres]],4,FALSE)</f>
        <v>Goudenregenzoom 73</v>
      </c>
      <c r="D79" s="435" t="str">
        <f>VLOOKUP(Ruimtestaat[[#This Row],[Code]],Locaties[[#All],[Code]:[Postcode]],5,FALSE)</f>
        <v>2719 HE</v>
      </c>
      <c r="E79" s="435" t="str">
        <f>VLOOKUP(Ruimtestaat[[#This Row],[Code]],Locaties[#All],6,FALSE)</f>
        <v>Zoetermeer</v>
      </c>
      <c r="F79" s="450" t="s">
        <v>1705</v>
      </c>
      <c r="G79" s="434" t="s">
        <v>1678</v>
      </c>
      <c r="H79" s="436" t="s">
        <v>1744</v>
      </c>
      <c r="I79" s="437" t="s">
        <v>1745</v>
      </c>
      <c r="J79" s="330">
        <v>12</v>
      </c>
      <c r="K79" s="450" t="str">
        <f>VLOOKUP(Ruimtestaat[[#This Row],[Ruimte code]],Ruimtegroepen[[#All],[Code]:[Ruimte omschrijving]],2,FALSE)</f>
        <v>Kantine/Aula</v>
      </c>
      <c r="L79" s="434" t="s">
        <v>100</v>
      </c>
      <c r="M79" s="437" t="s">
        <v>1759</v>
      </c>
      <c r="N79" s="439"/>
      <c r="O79" s="439"/>
      <c r="P79" s="439"/>
      <c r="Q79" s="439">
        <v>84</v>
      </c>
      <c r="R79" s="440" t="str">
        <f>VLOOKUP(Ruimtestaat[[#This Row],[Ruimte code]],Ruimtegroepen[],4,FALSE)</f>
        <v>Ve</v>
      </c>
      <c r="S79" s="434">
        <v>51</v>
      </c>
      <c r="T79" s="434" t="s">
        <v>2</v>
      </c>
      <c r="U79" s="434">
        <f>IF(S79&gt;0,IF(RIGHT(Ruimtestaat[[#This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79" s="434">
        <f>IF(U79&gt;0,VLOOKUP($J79,Ruimtegroepen[],3,FALSE)*VLOOKUP($L79,Vloersoorten[],3,FALSE)*VLOOKUP($T79,Frequenties[],3,FALSE)*VLOOKUP($A79,Locaties[],3,FALSE),0)</f>
        <v>0</v>
      </c>
      <c r="W79" s="434">
        <f>Ruimtestaat[[#This Row],[Uitvoeringen werkdagen]]*Ruimtestaat[[#This Row],[Oppervlak (netto)]]</f>
        <v>0</v>
      </c>
      <c r="X79" s="441">
        <f>IF(V79&gt;0,Ruimtestaat[[#This Row],[Prest. (m2 /jaar) werkdagen]]/Ruimtestaat[[#This Row],[Norm (m2/uur) werkdagen]],0)</f>
        <v>0</v>
      </c>
      <c r="Y79" s="442">
        <f>Ruimtestaat[[#This Row],[Uitvoeringen werkdagen]]*Ruimtestaat[[#This Row],[Gedeeltelijk]]</f>
        <v>0</v>
      </c>
      <c r="Z79" s="443" t="e">
        <f>IF(U79&gt;0,Ruimtestaat[[#This Row],[Prest. (m2 / jaar) werkdagen gedeeld]]/Ruimtestaat[[#This Row],[Norm (m2/uur) werkdagen]],0)</f>
        <v>#DIV/0!</v>
      </c>
      <c r="AA79" s="441" t="e">
        <f>Ruimtestaat[[#This Row],[uren / jaar werkdagen gedeeld]]*Tariefsopbouw!$E$35</f>
        <v>#DIV/0!</v>
      </c>
      <c r="AB79" s="441">
        <f>Ruimtestaat[[#This Row],[Uitvoeringen werkdagen]]*Ruimtestaat[[#This Row],[BSO]]</f>
        <v>21420</v>
      </c>
      <c r="AC79" s="443" t="e">
        <f>IF(U79&gt;0,Ruimtestaat[[#This Row],[Prest. (m2 / jaar) werkdagen BSO]]/Ruimtestaat[[#This Row],[Norm (m2/uur) werkdagen]],0)</f>
        <v>#DIV/0!</v>
      </c>
      <c r="AD79" s="443" t="e">
        <f>Ruimtestaat[[#This Row],[uren / jaar werkdagen BSO]]*Tariefsopbouw!$E$35</f>
        <v>#DIV/0!</v>
      </c>
      <c r="AE79" s="444">
        <f>Ruimtestaat[[#This Row],[uren / jaar werkdagen]]*Tariefsopbouw!$E$35</f>
        <v>0</v>
      </c>
      <c r="AF79" s="434"/>
      <c r="AG79" s="434">
        <f>IF(Ruimtestaat[[#This Row],[Frequentie weekend]]&gt;0,VALUE(LEFT(AF79,1))*S79,0)</f>
        <v>0</v>
      </c>
      <c r="AH79" s="445">
        <f>IF($AG79&gt;0,VLOOKUP($J79,Ruimtegroepen[],3,FALSE)*VLOOKUP($L79,Vloersoorten[],3,FALSE)*VLOOKUP($AF79,Frequenties[],3,FALSE)*VLOOKUP(Ruimtestaat[[#This Row],[Code]],Locaties[],3,FALSE),0)</f>
        <v>0</v>
      </c>
      <c r="AI79" s="445">
        <f>Ruimtestaat[[#This Row],[Uitvoeringen weekend]]*Ruimtestaat[[#This Row],[Oppervlak (netto)]]</f>
        <v>0</v>
      </c>
      <c r="AJ79" s="445">
        <f>IF(AH79&gt;0,Ruimtestaat[[#This Row],[Prest. (m2 /jaar) weekend]]/Ruimtestaat[[#This Row],[Norm (m2/uur) weekend]],0)</f>
        <v>0</v>
      </c>
      <c r="AK79" s="444">
        <f>Ruimtestaat[[#This Row],[uren / jaar weekend]]*Tariefsopbouw!$D$40</f>
        <v>0</v>
      </c>
      <c r="AL79" s="441">
        <f>Ruimtestaat[[#This Row],[Prest. (m2 /jaar) weekend]]+Ruimtestaat[[#This Row],[Prest. (m2 /jaar) werkdagen]]</f>
        <v>0</v>
      </c>
      <c r="AM79" s="441">
        <f>Ruimtestaat[[#This Row],[uren / jaar weekend]]+Ruimtestaat[[#This Row],[uren / jaar werkdagen]]</f>
        <v>0</v>
      </c>
      <c r="AN79" s="446">
        <f>Ruimtestaat[[#This Row],[kosten / jaar weekend]]+Ruimtestaat[[#This Row],[kosten / jaar werkdagen]]</f>
        <v>0</v>
      </c>
      <c r="AO79" s="446"/>
      <c r="AP79" s="447" t="str">
        <f>IF(Ruimtestaat[[#This Row],[Frequentie werkdagen]]="","",_xlfn.CONCAT(Ruimtestaat[[#This Row],[Ruimte code]],"-",Ruimtestaat[[#This Row],[Frequentie werkdagen]]," ",Ruimtestaat[[#This Row],[Vloer code]]))</f>
        <v>12-5w L</v>
      </c>
      <c r="AQ79" s="448" t="str">
        <f>_xlfn.IFNA(VLOOKUP($AP79,Programma!$F$3:$G$1101,2,0),"")</f>
        <v>_</v>
      </c>
      <c r="AR79" s="448" t="str">
        <f>_xlfn.IFNA(VLOOKUP($AP79,Programma!$F$3:$H$1101,3,0),"")</f>
        <v>_</v>
      </c>
      <c r="AS79" s="448" t="str">
        <f>_xlfn.IFNA(VLOOKUP($AP79,Programma!$F$3:$I$1101,4,0),"")</f>
        <v>_</v>
      </c>
      <c r="AT79" s="448" t="str">
        <f>_xlfn.IFNA(VLOOKUP($AP79,Programma!$F$3:$J$1101,5,0),"")</f>
        <v>5w</v>
      </c>
      <c r="AU79" s="448" t="str">
        <f>_xlfn.IFNA(VLOOKUP($AP79,Programma!$F$3:$K$1101,6,0),"")</f>
        <v>_</v>
      </c>
      <c r="AV79" s="448" t="str">
        <f>_xlfn.IFNA(VLOOKUP($AP79,Programma!$F$3:$L$1101,7,0),"")</f>
        <v>_</v>
      </c>
      <c r="AW79" s="448" t="str">
        <f>_xlfn.IFNA(VLOOKUP($AP79,Programma!$F$3:$M$1101,8,0),"")</f>
        <v>_</v>
      </c>
      <c r="AX79" s="448" t="str">
        <f>_xlfn.IFNA(VLOOKUP($AP79,Programma!$F$3:$N$1101,9,0),"")</f>
        <v>_</v>
      </c>
      <c r="AY79" s="448" t="str">
        <f>_xlfn.IFNA(VLOOKUP($AP79,Programma!$F$3:$O$1101,10,0),"")</f>
        <v>5w</v>
      </c>
      <c r="AZ79" s="448" t="str">
        <f>_xlfn.IFNA(VLOOKUP($AP79,Programma!$F$3:$P$1101,11,0),"")</f>
        <v>5w</v>
      </c>
      <c r="BA79" s="448" t="str">
        <f>_xlfn.IFNA(VLOOKUP($AP79,Programma!$F$3:$Q$1101,12,0),"")</f>
        <v>1w</v>
      </c>
      <c r="BB79" s="448" t="str">
        <f>_xlfn.IFNA(VLOOKUP($AP79,Programma!$F$3:$R$1101,13,0),"")</f>
        <v>1w</v>
      </c>
      <c r="BC79" s="448" t="str">
        <f>_xlfn.IFNA(VLOOKUP($AP79,Programma!$F$3:$S$1101,14,0),"")</f>
        <v>1m</v>
      </c>
      <c r="BD79" s="448" t="str">
        <f>_xlfn.IFNA(VLOOKUP($AP79,Programma!$F$3:$T$1101,15,0),"")</f>
        <v>2j</v>
      </c>
      <c r="BE79" s="448" t="str">
        <f>_xlfn.IFNA(VLOOKUP($AP79,Programma!$F$3:$U$1101,16,0),"")</f>
        <v>1j</v>
      </c>
      <c r="BF79" s="448" t="str">
        <f>_xlfn.IFNA(VLOOKUP($AP79,Programma!$F$3:$V$1101,17,0),"")</f>
        <v>_</v>
      </c>
      <c r="BG79" s="448" t="str">
        <f>_xlfn.IFNA(VLOOKUP($AP79,Programma!$F$3:$W$1101,18,0),"")</f>
        <v>_</v>
      </c>
      <c r="BH79" s="448" t="str">
        <f>_xlfn.IFNA(VLOOKUP($AP79,Programma!$F$3:$X$1101,19,0),"")</f>
        <v>_</v>
      </c>
      <c r="BI79" s="448" t="str">
        <f>_xlfn.IFNA(VLOOKUP($AP79,Programma!$F$3:$Y$1101,20,0),"")</f>
        <v>_</v>
      </c>
      <c r="BJ79" s="449"/>
      <c r="BK79" s="447" t="str">
        <f>IF(Ruimtestaat[[#This Row],[Frequentie weekend]]="","",_xlfn.CONCAT(Ruimtestaat[[#This Row],[Ruimte code]],"-",Ruimtestaat[[#This Row],[Frequentie weekend]]," ",Ruimtestaat[[#This Row],[Vloer code]]))</f>
        <v/>
      </c>
      <c r="BL79" s="448" t="str">
        <f>_xlfn.IFNA(VLOOKUP($BK79,Programma!$F$3:$G$1101,2,0),"")</f>
        <v/>
      </c>
      <c r="BM79" s="448" t="str">
        <f>_xlfn.IFNA(VLOOKUP($BK79,Programma!$F$3:$H$1101,3,0),"")</f>
        <v/>
      </c>
      <c r="BN79" s="448" t="str">
        <f>_xlfn.IFNA(VLOOKUP($BK79,Programma!$F$3:$I$1101,4,0),"")</f>
        <v/>
      </c>
      <c r="BO79" s="448" t="str">
        <f>_xlfn.IFNA(VLOOKUP($BK79,Programma!$F$3:$J$1101,5,0),"")</f>
        <v/>
      </c>
      <c r="BP79" s="448" t="str">
        <f>_xlfn.IFNA(VLOOKUP($BK79,Programma!$F$3:$K$1101,6,0),"")</f>
        <v/>
      </c>
      <c r="BQ79" s="448" t="str">
        <f>_xlfn.IFNA(VLOOKUP($BK79,Programma!$F$3:$L$1101,7,0),"")</f>
        <v/>
      </c>
      <c r="BR79" s="448" t="str">
        <f>_xlfn.IFNA(VLOOKUP($BK79,Programma!$F$3:$M$1101,8,0),"")</f>
        <v/>
      </c>
      <c r="BS79" s="448" t="str">
        <f>_xlfn.IFNA(VLOOKUP($BK79,Programma!$F$3:$N$1101,9,0),"")</f>
        <v/>
      </c>
      <c r="BT79" s="448" t="str">
        <f>_xlfn.IFNA(VLOOKUP($BK79,Programma!$F$3:$O$1101,10,0),"")</f>
        <v/>
      </c>
      <c r="BU79" s="448" t="str">
        <f>_xlfn.IFNA(VLOOKUP($BK79,Programma!$F$3:$P$1101,11,0),"")</f>
        <v/>
      </c>
      <c r="BV79" s="448" t="str">
        <f>_xlfn.IFNA(VLOOKUP($BK79,Programma!$F$3:$Q$1101,12,0),"")</f>
        <v/>
      </c>
      <c r="BW79" s="448" t="str">
        <f>_xlfn.IFNA(VLOOKUP($BK79,Programma!$F$3:$R$1101,13,0),"")</f>
        <v/>
      </c>
      <c r="BX79" s="448" t="str">
        <f>_xlfn.IFNA(VLOOKUP($BK79,Programma!$F$3:$S$1101,14,0),"")</f>
        <v/>
      </c>
      <c r="BY79" s="448" t="str">
        <f>_xlfn.IFNA(VLOOKUP($BK79,Programma!$F$3:$T$1101,15,0),"")</f>
        <v/>
      </c>
      <c r="BZ79" s="448" t="str">
        <f>_xlfn.IFNA(VLOOKUP($BK79,Programma!$F$3:$U$1101,16,0),"")</f>
        <v/>
      </c>
      <c r="CA79" s="448" t="str">
        <f>_xlfn.IFNA(VLOOKUP($BK79,Programma!$F$3:$V$1101,17,0),"")</f>
        <v/>
      </c>
      <c r="CB79" s="448" t="str">
        <f>_xlfn.IFNA(VLOOKUP($BK79,Programma!$F$3:$W$1101,18,0),"")</f>
        <v/>
      </c>
      <c r="CC79" s="448" t="str">
        <f>_xlfn.IFNA(VLOOKUP($BK79,Programma!$F$3:$X$1101,19,0),"")</f>
        <v/>
      </c>
      <c r="CD79" s="448" t="str">
        <f>_xlfn.IFNA(VLOOKUP($BK79,Programma!$F$3:$Y$1101,20,0),"")</f>
        <v/>
      </c>
      <c r="CE79" s="327"/>
      <c r="CF79" s="327"/>
      <c r="CG79" s="327"/>
      <c r="CH79" s="327"/>
      <c r="CI79" s="327"/>
      <c r="CJ79" s="327"/>
      <c r="CK79" s="327"/>
      <c r="CL79" s="327"/>
      <c r="CM79" s="327"/>
      <c r="CN79" s="327"/>
      <c r="CO79" s="327"/>
      <c r="CP79" s="327"/>
      <c r="CQ79" s="327"/>
      <c r="CR79" s="327"/>
      <c r="CS79" s="327"/>
      <c r="CT79" s="327"/>
      <c r="CU79" s="327"/>
      <c r="CV79" s="327"/>
      <c r="CW79" s="327"/>
      <c r="CX79" s="327"/>
      <c r="CY79" s="327"/>
      <c r="CZ79" s="327"/>
      <c r="DA79" s="327"/>
      <c r="DB79" s="327"/>
      <c r="DC79" s="327"/>
      <c r="DD79" s="327"/>
      <c r="DE79" s="327"/>
      <c r="DF79" s="327"/>
      <c r="DG79" s="327"/>
      <c r="DH79" s="327"/>
      <c r="DI79" s="327"/>
      <c r="DJ79" s="327"/>
      <c r="DK79" s="327"/>
      <c r="DL79" s="327"/>
      <c r="DM79" s="327"/>
      <c r="DN79" s="327"/>
      <c r="DO79" s="327"/>
      <c r="DP79" s="327"/>
      <c r="DQ79" s="327"/>
      <c r="DR79" s="327"/>
      <c r="DS79" s="327"/>
      <c r="DT79" s="327"/>
      <c r="DU79" s="327"/>
      <c r="DV79" s="327"/>
      <c r="DW79" s="327"/>
      <c r="DX79" s="327"/>
      <c r="DY79" s="327"/>
      <c r="DZ79" s="327"/>
      <c r="EA79" s="327"/>
      <c r="EB79" s="327"/>
      <c r="EC79" s="327"/>
      <c r="ED79" s="327"/>
      <c r="EE79" s="327"/>
      <c r="EF79" s="327"/>
      <c r="EG79" s="327"/>
      <c r="EH79" s="327"/>
      <c r="EI79" s="327"/>
      <c r="EJ79" s="327"/>
      <c r="EK79" s="327"/>
      <c r="EL79" s="327"/>
      <c r="EM79" s="327"/>
      <c r="EN79" s="327"/>
      <c r="EO79" s="327"/>
      <c r="EP79" s="327"/>
      <c r="EQ79" s="327"/>
      <c r="ER79" s="327"/>
      <c r="ES79" s="327"/>
      <c r="ET79" s="327"/>
      <c r="EU79" s="327"/>
      <c r="EV79" s="327"/>
      <c r="EW79" s="327"/>
      <c r="EX79" s="327"/>
      <c r="EY79" s="327"/>
      <c r="EZ79" s="327"/>
      <c r="FA79" s="327"/>
      <c r="FB79" s="327"/>
      <c r="FC79" s="327"/>
      <c r="FD79" s="327"/>
      <c r="FE79" s="327"/>
      <c r="FF79" s="327"/>
      <c r="FG79" s="327"/>
      <c r="FH79" s="327"/>
      <c r="FI79" s="327"/>
      <c r="FJ79" s="327"/>
      <c r="FK79" s="327"/>
      <c r="FL79" s="327"/>
      <c r="FM79" s="327"/>
      <c r="FN79" s="327"/>
      <c r="FO79" s="327"/>
      <c r="FP79" s="327"/>
      <c r="FQ79" s="327"/>
      <c r="FR79" s="327"/>
      <c r="FS79" s="327"/>
      <c r="FT79" s="327"/>
      <c r="FU79" s="327"/>
      <c r="FV79" s="327"/>
      <c r="FW79" s="327"/>
      <c r="FX79" s="327"/>
      <c r="FY79" s="327"/>
      <c r="FZ79" s="327"/>
      <c r="GA79" s="327"/>
      <c r="GB79" s="327"/>
      <c r="GC79" s="327"/>
      <c r="GD79" s="327"/>
      <c r="GE79" s="327"/>
      <c r="GF79" s="327"/>
      <c r="GG79" s="327"/>
      <c r="GH79" s="327"/>
      <c r="GI79" s="327"/>
      <c r="GJ79" s="327"/>
      <c r="GK79" s="327"/>
      <c r="GL79" s="327"/>
      <c r="GM79" s="327"/>
      <c r="GN79" s="327"/>
      <c r="GO79" s="327"/>
      <c r="GP79" s="327"/>
      <c r="GQ79" s="327"/>
      <c r="GR79" s="327"/>
      <c r="GS79" s="327"/>
      <c r="GT79" s="327"/>
      <c r="GU79" s="327"/>
      <c r="GV79" s="327"/>
      <c r="GW79" s="327"/>
      <c r="GX79" s="327"/>
      <c r="GY79" s="327"/>
      <c r="GZ79" s="327"/>
      <c r="HA79" s="327"/>
      <c r="HB79" s="327"/>
      <c r="HC79" s="327"/>
      <c r="HD79" s="327"/>
      <c r="HE79" s="327"/>
      <c r="HF79" s="327"/>
      <c r="HG79" s="327"/>
      <c r="HH79" s="327"/>
      <c r="HI79" s="327"/>
      <c r="HJ79" s="327"/>
      <c r="HK79" s="327"/>
      <c r="HL79" s="327"/>
      <c r="HM79" s="327"/>
      <c r="HN79" s="327"/>
      <c r="HO79" s="327"/>
      <c r="HP79" s="327"/>
      <c r="HQ79" s="327"/>
      <c r="HR79" s="327"/>
      <c r="HS79" s="327"/>
    </row>
    <row r="80" spans="1:227" ht="15" customHeight="1">
      <c r="A80" s="434">
        <v>4</v>
      </c>
      <c r="B80" s="435" t="str">
        <f>VLOOKUP(Ruimtestaat[[#This Row],[Code]],Locaties[[Code]:[Locatie]],2,FALSE)</f>
        <v>IKC De Waterlelie</v>
      </c>
      <c r="C80" s="435" t="str">
        <f>VLOOKUP(Ruimtestaat[[#This Row],[Code]],Locaties[[#All],[Code]:[Adres]],4,FALSE)</f>
        <v>Goudenregenzoom 73</v>
      </c>
      <c r="D80" s="435" t="str">
        <f>VLOOKUP(Ruimtestaat[[#This Row],[Code]],Locaties[[#All],[Code]:[Postcode]],5,FALSE)</f>
        <v>2719 HE</v>
      </c>
      <c r="E80" s="435" t="str">
        <f>VLOOKUP(Ruimtestaat[[#This Row],[Code]],Locaties[#All],6,FALSE)</f>
        <v>Zoetermeer</v>
      </c>
      <c r="F80" s="450" t="s">
        <v>1705</v>
      </c>
      <c r="G80" s="434" t="s">
        <v>1678</v>
      </c>
      <c r="H80" s="436" t="s">
        <v>1746</v>
      </c>
      <c r="I80" s="437" t="s">
        <v>1747</v>
      </c>
      <c r="J80" s="434">
        <v>7</v>
      </c>
      <c r="K80" s="450" t="str">
        <f>VLOOKUP(Ruimtestaat[[#This Row],[Ruimte code]],Ruimtegroepen[[#All],[Code]:[Ruimte omschrijving]],2,FALSE)</f>
        <v>Entree</v>
      </c>
      <c r="L80" s="434" t="s">
        <v>99</v>
      </c>
      <c r="M80" s="437" t="s">
        <v>1758</v>
      </c>
      <c r="N80" s="439"/>
      <c r="O80" s="439"/>
      <c r="P80" s="439"/>
      <c r="Q80" s="439">
        <v>5.7</v>
      </c>
      <c r="R80" s="440" t="str">
        <f>VLOOKUP(Ruimtestaat[[#This Row],[Ruimte code]],Ruimtegroepen[],4,FALSE)</f>
        <v>Ve</v>
      </c>
      <c r="S80" s="434">
        <v>51</v>
      </c>
      <c r="T80" s="434" t="s">
        <v>20</v>
      </c>
      <c r="U80" s="434">
        <f>IF(S80&gt;0,IF(RIGHT(Ruimtestaat[[#This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80" s="434">
        <f>IF(U80&gt;0,VLOOKUP($J80,Ruimtegroepen[],3,FALSE)*VLOOKUP($L80,Vloersoorten[],3,FALSE)*VLOOKUP($T80,Frequenties[],3,FALSE)*VLOOKUP($A80,Locaties[],3,FALSE),0)</f>
        <v>0</v>
      </c>
      <c r="W80" s="434">
        <f>Ruimtestaat[[#This Row],[Uitvoeringen werkdagen]]*Ruimtestaat[[#This Row],[Oppervlak (netto)]]</f>
        <v>0</v>
      </c>
      <c r="X80" s="441">
        <f>IF(V80&gt;0,Ruimtestaat[[#This Row],[Prest. (m2 /jaar) werkdagen]]/Ruimtestaat[[#This Row],[Norm (m2/uur) werkdagen]],0)</f>
        <v>0</v>
      </c>
      <c r="Y80" s="442">
        <f>Ruimtestaat[[#This Row],[Uitvoeringen werkdagen]]*Ruimtestaat[[#This Row],[Gedeeltelijk]]</f>
        <v>0</v>
      </c>
      <c r="Z80" s="443" t="e">
        <f>IF(U80&gt;0,Ruimtestaat[[#This Row],[Prest. (m2 / jaar) werkdagen gedeeld]]/Ruimtestaat[[#This Row],[Norm (m2/uur) werkdagen]],0)</f>
        <v>#DIV/0!</v>
      </c>
      <c r="AA80" s="441" t="e">
        <f>Ruimtestaat[[#This Row],[uren / jaar werkdagen gedeeld]]*Tariefsopbouw!$E$35</f>
        <v>#DIV/0!</v>
      </c>
      <c r="AB80" s="441">
        <f>Ruimtestaat[[#This Row],[Uitvoeringen werkdagen]]*Ruimtestaat[[#This Row],[BSO]]</f>
        <v>1162.8</v>
      </c>
      <c r="AC80" s="443" t="e">
        <f>IF(U80&gt;0,Ruimtestaat[[#This Row],[Prest. (m2 / jaar) werkdagen BSO]]/Ruimtestaat[[#This Row],[Norm (m2/uur) werkdagen]],0)</f>
        <v>#DIV/0!</v>
      </c>
      <c r="AD80" s="443" t="e">
        <f>Ruimtestaat[[#This Row],[uren / jaar werkdagen BSO]]*Tariefsopbouw!$E$35</f>
        <v>#DIV/0!</v>
      </c>
      <c r="AE80" s="444">
        <f>Ruimtestaat[[#This Row],[uren / jaar werkdagen]]*Tariefsopbouw!$E$35</f>
        <v>0</v>
      </c>
      <c r="AF80" s="434"/>
      <c r="AG80" s="434">
        <f>IF(Ruimtestaat[[#This Row],[Frequentie weekend]]&gt;0,VALUE(LEFT(AF80,1))*S80,0)</f>
        <v>0</v>
      </c>
      <c r="AH80" s="445">
        <f>IF($AG80&gt;0,VLOOKUP($J80,Ruimtegroepen[],3,FALSE)*VLOOKUP($L80,Vloersoorten[],3,FALSE)*VLOOKUP($AF80,Frequenties[],3,FALSE)*VLOOKUP(Ruimtestaat[[#This Row],[Code]],Locaties[],3,FALSE),0)</f>
        <v>0</v>
      </c>
      <c r="AI80" s="445">
        <f>Ruimtestaat[[#This Row],[Uitvoeringen weekend]]*Ruimtestaat[[#This Row],[Oppervlak (netto)]]</f>
        <v>0</v>
      </c>
      <c r="AJ80" s="445">
        <f>IF(AH80&gt;0,Ruimtestaat[[#This Row],[Prest. (m2 /jaar) weekend]]/Ruimtestaat[[#This Row],[Norm (m2/uur) weekend]],0)</f>
        <v>0</v>
      </c>
      <c r="AK80" s="444">
        <f>Ruimtestaat[[#This Row],[uren / jaar weekend]]*Tariefsopbouw!$D$40</f>
        <v>0</v>
      </c>
      <c r="AL80" s="441">
        <f>Ruimtestaat[[#This Row],[Prest. (m2 /jaar) weekend]]+Ruimtestaat[[#This Row],[Prest. (m2 /jaar) werkdagen]]</f>
        <v>0</v>
      </c>
      <c r="AM80" s="441">
        <f>Ruimtestaat[[#This Row],[uren / jaar weekend]]+Ruimtestaat[[#This Row],[uren / jaar werkdagen]]</f>
        <v>0</v>
      </c>
      <c r="AN80" s="446">
        <f>Ruimtestaat[[#This Row],[kosten / jaar weekend]]+Ruimtestaat[[#This Row],[kosten / jaar werkdagen]]</f>
        <v>0</v>
      </c>
      <c r="AO80" s="446"/>
      <c r="AP80" s="447" t="str">
        <f>IF(Ruimtestaat[[#This Row],[Frequentie werkdagen]]="","",_xlfn.CONCAT(Ruimtestaat[[#This Row],[Ruimte code]],"-",Ruimtestaat[[#This Row],[Frequentie werkdagen]]," ",Ruimtestaat[[#This Row],[Vloer code]]))</f>
        <v>7-4w T</v>
      </c>
      <c r="AQ80" s="448" t="str">
        <f>_xlfn.IFNA(VLOOKUP($AP80,Programma!$F$3:$G$1101,2,0),"")</f>
        <v>_</v>
      </c>
      <c r="AR80" s="448" t="str">
        <f>_xlfn.IFNA(VLOOKUP($AP80,Programma!$F$3:$H$1101,3,0),"")</f>
        <v>4w</v>
      </c>
      <c r="AS80" s="448" t="str">
        <f>_xlfn.IFNA(VLOOKUP($AP80,Programma!$F$3:$I$1101,4,0),"")</f>
        <v>_</v>
      </c>
      <c r="AT80" s="448" t="str">
        <f>_xlfn.IFNA(VLOOKUP($AP80,Programma!$F$3:$J$1101,5,0),"")</f>
        <v>_</v>
      </c>
      <c r="AU80" s="448" t="str">
        <f>_xlfn.IFNA(VLOOKUP($AP80,Programma!$F$3:$K$1101,6,0),"")</f>
        <v>_</v>
      </c>
      <c r="AV80" s="448" t="str">
        <f>_xlfn.IFNA(VLOOKUP($AP80,Programma!$F$3:$L$1101,7,0),"")</f>
        <v>_</v>
      </c>
      <c r="AW80" s="448" t="str">
        <f>_xlfn.IFNA(VLOOKUP($AP80,Programma!$F$3:$M$1101,8,0),"")</f>
        <v>_</v>
      </c>
      <c r="AX80" s="448" t="str">
        <f>_xlfn.IFNA(VLOOKUP($AP80,Programma!$F$3:$N$1101,9,0),"")</f>
        <v>_</v>
      </c>
      <c r="AY80" s="448" t="str">
        <f>_xlfn.IFNA(VLOOKUP($AP80,Programma!$F$3:$O$1101,10,0),"")</f>
        <v>4w</v>
      </c>
      <c r="AZ80" s="448" t="str">
        <f>_xlfn.IFNA(VLOOKUP($AP80,Programma!$F$3:$P$1101,11,0),"")</f>
        <v>4w</v>
      </c>
      <c r="BA80" s="448" t="str">
        <f>_xlfn.IFNA(VLOOKUP($AP80,Programma!$F$3:$Q$1101,12,0),"")</f>
        <v>1w</v>
      </c>
      <c r="BB80" s="448" t="str">
        <f>_xlfn.IFNA(VLOOKUP($AP80,Programma!$F$3:$R$1101,13,0),"")</f>
        <v>1w</v>
      </c>
      <c r="BC80" s="448" t="str">
        <f>_xlfn.IFNA(VLOOKUP($AP80,Programma!$F$3:$S$1101,14,0),"")</f>
        <v>1m</v>
      </c>
      <c r="BD80" s="448" t="str">
        <f>_xlfn.IFNA(VLOOKUP($AP80,Programma!$F$3:$T$1101,15,0),"")</f>
        <v>2j</v>
      </c>
      <c r="BE80" s="448" t="str">
        <f>_xlfn.IFNA(VLOOKUP($AP80,Programma!$F$3:$U$1101,16,0),"")</f>
        <v>1j</v>
      </c>
      <c r="BF80" s="448" t="str">
        <f>_xlfn.IFNA(VLOOKUP($AP80,Programma!$F$3:$V$1101,17,0),"")</f>
        <v>_</v>
      </c>
      <c r="BG80" s="448" t="str">
        <f>_xlfn.IFNA(VLOOKUP($AP80,Programma!$F$3:$W$1101,18,0),"")</f>
        <v>_</v>
      </c>
      <c r="BH80" s="448" t="str">
        <f>_xlfn.IFNA(VLOOKUP($AP80,Programma!$F$3:$X$1101,19,0),"")</f>
        <v>_</v>
      </c>
      <c r="BI80" s="448" t="str">
        <f>_xlfn.IFNA(VLOOKUP($AP80,Programma!$F$3:$Y$1101,20,0),"")</f>
        <v>_</v>
      </c>
      <c r="BJ80" s="449"/>
      <c r="BK80" s="447" t="str">
        <f>IF(Ruimtestaat[[#This Row],[Frequentie weekend]]="","",_xlfn.CONCAT(Ruimtestaat[[#This Row],[Ruimte code]],"-",Ruimtestaat[[#This Row],[Frequentie weekend]]," ",Ruimtestaat[[#This Row],[Vloer code]]))</f>
        <v/>
      </c>
      <c r="BL80" s="448" t="str">
        <f>_xlfn.IFNA(VLOOKUP($BK80,Programma!$F$3:$G$1101,2,0),"")</f>
        <v/>
      </c>
      <c r="BM80" s="448" t="str">
        <f>_xlfn.IFNA(VLOOKUP($BK80,Programma!$F$3:$H$1101,3,0),"")</f>
        <v/>
      </c>
      <c r="BN80" s="448" t="str">
        <f>_xlfn.IFNA(VLOOKUP($BK80,Programma!$F$3:$I$1101,4,0),"")</f>
        <v/>
      </c>
      <c r="BO80" s="448" t="str">
        <f>_xlfn.IFNA(VLOOKUP($BK80,Programma!$F$3:$J$1101,5,0),"")</f>
        <v/>
      </c>
      <c r="BP80" s="448" t="str">
        <f>_xlfn.IFNA(VLOOKUP($BK80,Programma!$F$3:$K$1101,6,0),"")</f>
        <v/>
      </c>
      <c r="BQ80" s="448" t="str">
        <f>_xlfn.IFNA(VLOOKUP($BK80,Programma!$F$3:$L$1101,7,0),"")</f>
        <v/>
      </c>
      <c r="BR80" s="448" t="str">
        <f>_xlfn.IFNA(VLOOKUP($BK80,Programma!$F$3:$M$1101,8,0),"")</f>
        <v/>
      </c>
      <c r="BS80" s="448" t="str">
        <f>_xlfn.IFNA(VLOOKUP($BK80,Programma!$F$3:$N$1101,9,0),"")</f>
        <v/>
      </c>
      <c r="BT80" s="448" t="str">
        <f>_xlfn.IFNA(VLOOKUP($BK80,Programma!$F$3:$O$1101,10,0),"")</f>
        <v/>
      </c>
      <c r="BU80" s="448" t="str">
        <f>_xlfn.IFNA(VLOOKUP($BK80,Programma!$F$3:$P$1101,11,0),"")</f>
        <v/>
      </c>
      <c r="BV80" s="448" t="str">
        <f>_xlfn.IFNA(VLOOKUP($BK80,Programma!$F$3:$Q$1101,12,0),"")</f>
        <v/>
      </c>
      <c r="BW80" s="448" t="str">
        <f>_xlfn.IFNA(VLOOKUP($BK80,Programma!$F$3:$R$1101,13,0),"")</f>
        <v/>
      </c>
      <c r="BX80" s="448" t="str">
        <f>_xlfn.IFNA(VLOOKUP($BK80,Programma!$F$3:$S$1101,14,0),"")</f>
        <v/>
      </c>
      <c r="BY80" s="448" t="str">
        <f>_xlfn.IFNA(VLOOKUP($BK80,Programma!$F$3:$T$1101,15,0),"")</f>
        <v/>
      </c>
      <c r="BZ80" s="448" t="str">
        <f>_xlfn.IFNA(VLOOKUP($BK80,Programma!$F$3:$U$1101,16,0),"")</f>
        <v/>
      </c>
      <c r="CA80" s="448" t="str">
        <f>_xlfn.IFNA(VLOOKUP($BK80,Programma!$F$3:$V$1101,17,0),"")</f>
        <v/>
      </c>
      <c r="CB80" s="448" t="str">
        <f>_xlfn.IFNA(VLOOKUP($BK80,Programma!$F$3:$W$1101,18,0),"")</f>
        <v/>
      </c>
      <c r="CC80" s="448" t="str">
        <f>_xlfn.IFNA(VLOOKUP($BK80,Programma!$F$3:$X$1101,19,0),"")</f>
        <v/>
      </c>
      <c r="CD80" s="448" t="str">
        <f>_xlfn.IFNA(VLOOKUP($BK80,Programma!$F$3:$Y$1101,20,0),"")</f>
        <v/>
      </c>
      <c r="CE80" s="327"/>
      <c r="CF80" s="327"/>
      <c r="CG80" s="327"/>
      <c r="CH80" s="327"/>
      <c r="CI80" s="327"/>
      <c r="CJ80" s="327"/>
      <c r="CK80" s="327"/>
      <c r="CL80" s="327"/>
      <c r="CM80" s="327"/>
      <c r="CN80" s="327"/>
      <c r="CO80" s="327"/>
      <c r="CP80" s="327"/>
      <c r="CQ80" s="327"/>
      <c r="CR80" s="327"/>
      <c r="CS80" s="327"/>
      <c r="CT80" s="327"/>
      <c r="CU80" s="327"/>
      <c r="CV80" s="327"/>
      <c r="CW80" s="327"/>
      <c r="CX80" s="327"/>
      <c r="CY80" s="327"/>
      <c r="CZ80" s="327"/>
      <c r="DA80" s="327"/>
      <c r="DB80" s="327"/>
      <c r="DC80" s="327"/>
      <c r="DD80" s="327"/>
      <c r="DE80" s="327"/>
      <c r="DF80" s="327"/>
      <c r="DG80" s="327"/>
      <c r="DH80" s="327"/>
      <c r="DI80" s="327"/>
      <c r="DJ80" s="327"/>
      <c r="DK80" s="327"/>
      <c r="DL80" s="327"/>
      <c r="DM80" s="327"/>
      <c r="DN80" s="327"/>
      <c r="DO80" s="327"/>
      <c r="DP80" s="327"/>
      <c r="DQ80" s="327"/>
      <c r="DR80" s="327"/>
      <c r="DS80" s="327"/>
      <c r="DT80" s="327"/>
      <c r="DU80" s="327"/>
      <c r="DV80" s="327"/>
      <c r="DW80" s="327"/>
      <c r="DX80" s="327"/>
      <c r="DY80" s="327"/>
      <c r="DZ80" s="327"/>
      <c r="EA80" s="327"/>
      <c r="EB80" s="327"/>
      <c r="EC80" s="327"/>
      <c r="ED80" s="327"/>
      <c r="EE80" s="327"/>
      <c r="EF80" s="327"/>
      <c r="EG80" s="327"/>
      <c r="EH80" s="327"/>
      <c r="EI80" s="327"/>
      <c r="EJ80" s="327"/>
      <c r="EK80" s="327"/>
      <c r="EL80" s="327"/>
      <c r="EM80" s="327"/>
      <c r="EN80" s="327"/>
      <c r="EO80" s="327"/>
      <c r="EP80" s="327"/>
      <c r="EQ80" s="327"/>
      <c r="ER80" s="327"/>
      <c r="ES80" s="327"/>
      <c r="ET80" s="327"/>
      <c r="EU80" s="327"/>
      <c r="EV80" s="327"/>
      <c r="EW80" s="327"/>
      <c r="EX80" s="327"/>
      <c r="EY80" s="327"/>
      <c r="EZ80" s="327"/>
      <c r="FA80" s="327"/>
      <c r="FB80" s="327"/>
      <c r="FC80" s="327"/>
      <c r="FD80" s="327"/>
      <c r="FE80" s="327"/>
      <c r="FF80" s="327"/>
      <c r="FG80" s="327"/>
      <c r="FH80" s="327"/>
      <c r="FI80" s="327"/>
      <c r="FJ80" s="327"/>
      <c r="FK80" s="327"/>
      <c r="FL80" s="327"/>
      <c r="FM80" s="327"/>
      <c r="FN80" s="327"/>
      <c r="FO80" s="327"/>
      <c r="FP80" s="327"/>
      <c r="FQ80" s="327"/>
      <c r="FR80" s="327"/>
      <c r="FS80" s="327"/>
      <c r="FT80" s="327"/>
      <c r="FU80" s="327"/>
      <c r="FV80" s="327"/>
      <c r="FW80" s="327"/>
      <c r="FX80" s="327"/>
      <c r="FY80" s="327"/>
      <c r="FZ80" s="327"/>
      <c r="GA80" s="327"/>
      <c r="GB80" s="327"/>
      <c r="GC80" s="327"/>
      <c r="GD80" s="327"/>
      <c r="GE80" s="327"/>
      <c r="GF80" s="327"/>
      <c r="GG80" s="327"/>
      <c r="GH80" s="327"/>
      <c r="GI80" s="327"/>
      <c r="GJ80" s="327"/>
      <c r="GK80" s="327"/>
      <c r="GL80" s="327"/>
      <c r="GM80" s="327"/>
      <c r="GN80" s="327"/>
      <c r="GO80" s="327"/>
      <c r="GP80" s="327"/>
      <c r="GQ80" s="327"/>
      <c r="GR80" s="327"/>
      <c r="GS80" s="327"/>
      <c r="GT80" s="327"/>
      <c r="GU80" s="327"/>
      <c r="GV80" s="327"/>
      <c r="GW80" s="327"/>
      <c r="GX80" s="327"/>
      <c r="GY80" s="327"/>
      <c r="GZ80" s="327"/>
      <c r="HA80" s="327"/>
      <c r="HB80" s="327"/>
      <c r="HC80" s="327"/>
      <c r="HD80" s="327"/>
      <c r="HE80" s="327"/>
      <c r="HF80" s="327"/>
      <c r="HG80" s="327"/>
      <c r="HH80" s="327"/>
      <c r="HI80" s="327"/>
      <c r="HJ80" s="327"/>
      <c r="HK80" s="327"/>
      <c r="HL80" s="327"/>
      <c r="HM80" s="327"/>
      <c r="HN80" s="327"/>
      <c r="HO80" s="327"/>
      <c r="HP80" s="327"/>
      <c r="HQ80" s="327"/>
      <c r="HR80" s="327"/>
      <c r="HS80" s="327"/>
    </row>
    <row r="81" spans="1:227" ht="15" customHeight="1">
      <c r="A81" s="434">
        <v>4</v>
      </c>
      <c r="B81" s="435" t="str">
        <f>VLOOKUP(Ruimtestaat[[#This Row],[Code]],Locaties[[Code]:[Locatie]],2,FALSE)</f>
        <v>IKC De Waterlelie</v>
      </c>
      <c r="C81" s="435" t="str">
        <f>VLOOKUP(Ruimtestaat[[#This Row],[Code]],Locaties[[#All],[Code]:[Adres]],4,FALSE)</f>
        <v>Goudenregenzoom 73</v>
      </c>
      <c r="D81" s="435" t="str">
        <f>VLOOKUP(Ruimtestaat[[#This Row],[Code]],Locaties[[#All],[Code]:[Postcode]],5,FALSE)</f>
        <v>2719 HE</v>
      </c>
      <c r="E81" s="435" t="str">
        <f>VLOOKUP(Ruimtestaat[[#This Row],[Code]],Locaties[#All],6,FALSE)</f>
        <v>Zoetermeer</v>
      </c>
      <c r="F81" s="450" t="s">
        <v>1705</v>
      </c>
      <c r="G81" s="434" t="s">
        <v>1678</v>
      </c>
      <c r="H81" s="436" t="s">
        <v>1748</v>
      </c>
      <c r="I81" s="437" t="s">
        <v>1749</v>
      </c>
      <c r="J81" s="434">
        <v>2</v>
      </c>
      <c r="K81" s="450" t="str">
        <f>VLOOKUP(Ruimtestaat[[#This Row],[Ruimte code]],Ruimtegroepen[[#All],[Code]:[Ruimte omschrijving]],2,FALSE)</f>
        <v>Kantoren</v>
      </c>
      <c r="L81" s="434" t="s">
        <v>100</v>
      </c>
      <c r="M81" s="437" t="s">
        <v>1759</v>
      </c>
      <c r="N81" s="439"/>
      <c r="O81" s="439"/>
      <c r="P81" s="439"/>
      <c r="Q81" s="439">
        <v>22</v>
      </c>
      <c r="R81" s="440" t="str">
        <f>VLOOKUP(Ruimtestaat[[#This Row],[Ruimte code]],Ruimtegroepen[],4,FALSE)</f>
        <v>Bu</v>
      </c>
      <c r="S81" s="434">
        <v>51</v>
      </c>
      <c r="T81" s="434" t="s">
        <v>17</v>
      </c>
      <c r="U81" s="434">
        <f>IF(S81&gt;0,IF(RIGHT(Ruimtestaat[[#This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V81" s="434">
        <f>IF(U81&gt;0,VLOOKUP($J81,Ruimtegroepen[],3,FALSE)*VLOOKUP($L81,Vloersoorten[],3,FALSE)*VLOOKUP($T81,Frequenties[],3,FALSE)*VLOOKUP($A81,Locaties[],3,FALSE),0)</f>
        <v>0</v>
      </c>
      <c r="W81" s="434">
        <f>Ruimtestaat[[#This Row],[Uitvoeringen werkdagen]]*Ruimtestaat[[#This Row],[Oppervlak (netto)]]</f>
        <v>0</v>
      </c>
      <c r="X81" s="441">
        <f>IF(V81&gt;0,Ruimtestaat[[#This Row],[Prest. (m2 /jaar) werkdagen]]/Ruimtestaat[[#This Row],[Norm (m2/uur) werkdagen]],0)</f>
        <v>0</v>
      </c>
      <c r="Y81" s="442">
        <f>Ruimtestaat[[#This Row],[Uitvoeringen werkdagen]]*Ruimtestaat[[#This Row],[Gedeeltelijk]]</f>
        <v>0</v>
      </c>
      <c r="Z81" s="443" t="e">
        <f>IF(U81&gt;0,Ruimtestaat[[#This Row],[Prest. (m2 / jaar) werkdagen gedeeld]]/Ruimtestaat[[#This Row],[Norm (m2/uur) werkdagen]],0)</f>
        <v>#DIV/0!</v>
      </c>
      <c r="AA81" s="441" t="e">
        <f>Ruimtestaat[[#This Row],[uren / jaar werkdagen gedeeld]]*Tariefsopbouw!$E$35</f>
        <v>#DIV/0!</v>
      </c>
      <c r="AB81" s="441">
        <f>Ruimtestaat[[#This Row],[Uitvoeringen werkdagen]]*Ruimtestaat[[#This Row],[BSO]]</f>
        <v>2244</v>
      </c>
      <c r="AC81" s="443" t="e">
        <f>IF(U81&gt;0,Ruimtestaat[[#This Row],[Prest. (m2 / jaar) werkdagen BSO]]/Ruimtestaat[[#This Row],[Norm (m2/uur) werkdagen]],0)</f>
        <v>#DIV/0!</v>
      </c>
      <c r="AD81" s="443" t="e">
        <f>Ruimtestaat[[#This Row],[uren / jaar werkdagen BSO]]*Tariefsopbouw!$E$35</f>
        <v>#DIV/0!</v>
      </c>
      <c r="AE81" s="444">
        <f>Ruimtestaat[[#This Row],[uren / jaar werkdagen]]*Tariefsopbouw!$E$35</f>
        <v>0</v>
      </c>
      <c r="AF81" s="434"/>
      <c r="AG81" s="434">
        <f>IF(Ruimtestaat[[#This Row],[Frequentie weekend]]&gt;0,VALUE(LEFT(AF81,1))*S81,0)</f>
        <v>0</v>
      </c>
      <c r="AH81" s="445">
        <f>IF($AG81&gt;0,VLOOKUP($J81,Ruimtegroepen[],3,FALSE)*VLOOKUP($L81,Vloersoorten[],3,FALSE)*VLOOKUP($AF81,Frequenties[],3,FALSE)*VLOOKUP(Ruimtestaat[[#This Row],[Code]],Locaties[],3,FALSE),0)</f>
        <v>0</v>
      </c>
      <c r="AI81" s="445">
        <f>Ruimtestaat[[#This Row],[Uitvoeringen weekend]]*Ruimtestaat[[#This Row],[Oppervlak (netto)]]</f>
        <v>0</v>
      </c>
      <c r="AJ81" s="445">
        <f>IF(AH81&gt;0,Ruimtestaat[[#This Row],[Prest. (m2 /jaar) weekend]]/Ruimtestaat[[#This Row],[Norm (m2/uur) weekend]],0)</f>
        <v>0</v>
      </c>
      <c r="AK81" s="444">
        <f>Ruimtestaat[[#This Row],[uren / jaar weekend]]*Tariefsopbouw!$D$40</f>
        <v>0</v>
      </c>
      <c r="AL81" s="441">
        <f>Ruimtestaat[[#This Row],[Prest. (m2 /jaar) weekend]]+Ruimtestaat[[#This Row],[Prest. (m2 /jaar) werkdagen]]</f>
        <v>0</v>
      </c>
      <c r="AM81" s="441">
        <f>Ruimtestaat[[#This Row],[uren / jaar weekend]]+Ruimtestaat[[#This Row],[uren / jaar werkdagen]]</f>
        <v>0</v>
      </c>
      <c r="AN81" s="446">
        <f>Ruimtestaat[[#This Row],[kosten / jaar weekend]]+Ruimtestaat[[#This Row],[kosten / jaar werkdagen]]</f>
        <v>0</v>
      </c>
      <c r="AO81" s="446"/>
      <c r="AP81" s="447" t="str">
        <f>IF(Ruimtestaat[[#This Row],[Frequentie werkdagen]]="","",_xlfn.CONCAT(Ruimtestaat[[#This Row],[Ruimte code]],"-",Ruimtestaat[[#This Row],[Frequentie werkdagen]]," ",Ruimtestaat[[#This Row],[Vloer code]]))</f>
        <v>2-2w L</v>
      </c>
      <c r="AQ81" s="448" t="str">
        <f>_xlfn.IFNA(VLOOKUP($AP81,Programma!$F$3:$G$1101,2,0),"")</f>
        <v>_</v>
      </c>
      <c r="AR81" s="448" t="str">
        <f>_xlfn.IFNA(VLOOKUP($AP81,Programma!$F$3:$H$1101,3,0),"")</f>
        <v>_</v>
      </c>
      <c r="AS81" s="448" t="str">
        <f>_xlfn.IFNA(VLOOKUP($AP81,Programma!$F$3:$I$1101,4,0),"")</f>
        <v>1w</v>
      </c>
      <c r="AT81" s="448" t="str">
        <f>_xlfn.IFNA(VLOOKUP($AP81,Programma!$F$3:$J$1101,5,0),"")</f>
        <v>1w</v>
      </c>
      <c r="AU81" s="448" t="str">
        <f>_xlfn.IFNA(VLOOKUP($AP81,Programma!$F$3:$K$1101,6,0),"")</f>
        <v>_</v>
      </c>
      <c r="AV81" s="448" t="str">
        <f>_xlfn.IFNA(VLOOKUP($AP81,Programma!$F$3:$L$1101,7,0),"")</f>
        <v>_</v>
      </c>
      <c r="AW81" s="448" t="str">
        <f>_xlfn.IFNA(VLOOKUP($AP81,Programma!$F$3:$M$1101,8,0),"")</f>
        <v>_</v>
      </c>
      <c r="AX81" s="448" t="str">
        <f>_xlfn.IFNA(VLOOKUP($AP81,Programma!$F$3:$N$1101,9,0),"")</f>
        <v>_</v>
      </c>
      <c r="AY81" s="448" t="str">
        <f>_xlfn.IFNA(VLOOKUP($AP81,Programma!$F$3:$O$1101,10,0),"")</f>
        <v>2w</v>
      </c>
      <c r="AZ81" s="448" t="str">
        <f>_xlfn.IFNA(VLOOKUP($AP81,Programma!$F$3:$P$1101,11,0),"")</f>
        <v>2w</v>
      </c>
      <c r="BA81" s="448" t="str">
        <f>_xlfn.IFNA(VLOOKUP($AP81,Programma!$F$3:$Q$1101,12,0),"")</f>
        <v>1w</v>
      </c>
      <c r="BB81" s="448" t="str">
        <f>_xlfn.IFNA(VLOOKUP($AP81,Programma!$F$3:$R$1101,13,0),"")</f>
        <v>1w</v>
      </c>
      <c r="BC81" s="448" t="str">
        <f>_xlfn.IFNA(VLOOKUP($AP81,Programma!$F$3:$S$1101,14,0),"")</f>
        <v>1m</v>
      </c>
      <c r="BD81" s="448" t="str">
        <f>_xlfn.IFNA(VLOOKUP($AP81,Programma!$F$3:$T$1101,15,0),"")</f>
        <v>2j</v>
      </c>
      <c r="BE81" s="448" t="str">
        <f>_xlfn.IFNA(VLOOKUP($AP81,Programma!$F$3:$U$1101,16,0),"")</f>
        <v>1j</v>
      </c>
      <c r="BF81" s="448" t="str">
        <f>_xlfn.IFNA(VLOOKUP($AP81,Programma!$F$3:$V$1101,17,0),"")</f>
        <v>_</v>
      </c>
      <c r="BG81" s="448" t="str">
        <f>_xlfn.IFNA(VLOOKUP($AP81,Programma!$F$3:$W$1101,18,0),"")</f>
        <v>_</v>
      </c>
      <c r="BH81" s="448" t="str">
        <f>_xlfn.IFNA(VLOOKUP($AP81,Programma!$F$3:$X$1101,19,0),"")</f>
        <v>_</v>
      </c>
      <c r="BI81" s="448" t="str">
        <f>_xlfn.IFNA(VLOOKUP($AP81,Programma!$F$3:$Y$1101,20,0),"")</f>
        <v>_</v>
      </c>
      <c r="BJ81" s="449"/>
      <c r="BK81" s="447" t="str">
        <f>IF(Ruimtestaat[[#This Row],[Frequentie weekend]]="","",_xlfn.CONCAT(Ruimtestaat[[#This Row],[Ruimte code]],"-",Ruimtestaat[[#This Row],[Frequentie weekend]]," ",Ruimtestaat[[#This Row],[Vloer code]]))</f>
        <v/>
      </c>
      <c r="BL81" s="448" t="str">
        <f>_xlfn.IFNA(VLOOKUP($BK81,Programma!$F$3:$G$1101,2,0),"")</f>
        <v/>
      </c>
      <c r="BM81" s="448" t="str">
        <f>_xlfn.IFNA(VLOOKUP($BK81,Programma!$F$3:$H$1101,3,0),"")</f>
        <v/>
      </c>
      <c r="BN81" s="448" t="str">
        <f>_xlfn.IFNA(VLOOKUP($BK81,Programma!$F$3:$I$1101,4,0),"")</f>
        <v/>
      </c>
      <c r="BO81" s="448" t="str">
        <f>_xlfn.IFNA(VLOOKUP($BK81,Programma!$F$3:$J$1101,5,0),"")</f>
        <v/>
      </c>
      <c r="BP81" s="448" t="str">
        <f>_xlfn.IFNA(VLOOKUP($BK81,Programma!$F$3:$K$1101,6,0),"")</f>
        <v/>
      </c>
      <c r="BQ81" s="448" t="str">
        <f>_xlfn.IFNA(VLOOKUP($BK81,Programma!$F$3:$L$1101,7,0),"")</f>
        <v/>
      </c>
      <c r="BR81" s="448" t="str">
        <f>_xlfn.IFNA(VLOOKUP($BK81,Programma!$F$3:$M$1101,8,0),"")</f>
        <v/>
      </c>
      <c r="BS81" s="448" t="str">
        <f>_xlfn.IFNA(VLOOKUP($BK81,Programma!$F$3:$N$1101,9,0),"")</f>
        <v/>
      </c>
      <c r="BT81" s="448" t="str">
        <f>_xlfn.IFNA(VLOOKUP($BK81,Programma!$F$3:$O$1101,10,0),"")</f>
        <v/>
      </c>
      <c r="BU81" s="448" t="str">
        <f>_xlfn.IFNA(VLOOKUP($BK81,Programma!$F$3:$P$1101,11,0),"")</f>
        <v/>
      </c>
      <c r="BV81" s="448" t="str">
        <f>_xlfn.IFNA(VLOOKUP($BK81,Programma!$F$3:$Q$1101,12,0),"")</f>
        <v/>
      </c>
      <c r="BW81" s="448" t="str">
        <f>_xlfn.IFNA(VLOOKUP($BK81,Programma!$F$3:$R$1101,13,0),"")</f>
        <v/>
      </c>
      <c r="BX81" s="448" t="str">
        <f>_xlfn.IFNA(VLOOKUP($BK81,Programma!$F$3:$S$1101,14,0),"")</f>
        <v/>
      </c>
      <c r="BY81" s="448" t="str">
        <f>_xlfn.IFNA(VLOOKUP($BK81,Programma!$F$3:$T$1101,15,0),"")</f>
        <v/>
      </c>
      <c r="BZ81" s="448" t="str">
        <f>_xlfn.IFNA(VLOOKUP($BK81,Programma!$F$3:$U$1101,16,0),"")</f>
        <v/>
      </c>
      <c r="CA81" s="448" t="str">
        <f>_xlfn.IFNA(VLOOKUP($BK81,Programma!$F$3:$V$1101,17,0),"")</f>
        <v/>
      </c>
      <c r="CB81" s="448" t="str">
        <f>_xlfn.IFNA(VLOOKUP($BK81,Programma!$F$3:$W$1101,18,0),"")</f>
        <v/>
      </c>
      <c r="CC81" s="448" t="str">
        <f>_xlfn.IFNA(VLOOKUP($BK81,Programma!$F$3:$X$1101,19,0),"")</f>
        <v/>
      </c>
      <c r="CD81" s="448" t="str">
        <f>_xlfn.IFNA(VLOOKUP($BK81,Programma!$F$3:$Y$1101,20,0),"")</f>
        <v/>
      </c>
      <c r="CE81" s="327"/>
      <c r="CF81" s="327"/>
      <c r="CG81" s="327"/>
      <c r="CH81" s="327"/>
      <c r="CI81" s="327"/>
      <c r="CJ81" s="327"/>
      <c r="CK81" s="327"/>
      <c r="CL81" s="327"/>
      <c r="CM81" s="327"/>
      <c r="CN81" s="327"/>
      <c r="CO81" s="327"/>
      <c r="CP81" s="327"/>
      <c r="CQ81" s="327"/>
      <c r="CR81" s="327"/>
      <c r="CS81" s="327"/>
      <c r="CT81" s="327"/>
      <c r="CU81" s="327"/>
      <c r="CV81" s="327"/>
      <c r="CW81" s="327"/>
      <c r="CX81" s="327"/>
      <c r="CY81" s="327"/>
      <c r="CZ81" s="327"/>
      <c r="DA81" s="327"/>
      <c r="DB81" s="327"/>
      <c r="DC81" s="327"/>
      <c r="DD81" s="327"/>
      <c r="DE81" s="327"/>
      <c r="DF81" s="327"/>
      <c r="DG81" s="327"/>
      <c r="DH81" s="327"/>
      <c r="DI81" s="327"/>
      <c r="DJ81" s="327"/>
      <c r="DK81" s="327"/>
      <c r="DL81" s="327"/>
      <c r="DM81" s="327"/>
      <c r="DN81" s="327"/>
      <c r="DO81" s="327"/>
      <c r="DP81" s="327"/>
      <c r="DQ81" s="327"/>
      <c r="DR81" s="327"/>
      <c r="DS81" s="327"/>
      <c r="DT81" s="327"/>
      <c r="DU81" s="327"/>
      <c r="DV81" s="327"/>
      <c r="DW81" s="327"/>
      <c r="DX81" s="327"/>
      <c r="DY81" s="327"/>
      <c r="DZ81" s="327"/>
      <c r="EA81" s="327"/>
      <c r="EB81" s="327"/>
      <c r="EC81" s="327"/>
      <c r="ED81" s="327"/>
      <c r="EE81" s="327"/>
      <c r="EF81" s="327"/>
      <c r="EG81" s="327"/>
      <c r="EH81" s="327"/>
      <c r="EI81" s="327"/>
      <c r="EJ81" s="327"/>
      <c r="EK81" s="327"/>
      <c r="EL81" s="327"/>
      <c r="EM81" s="327"/>
      <c r="EN81" s="327"/>
      <c r="EO81" s="327"/>
      <c r="EP81" s="327"/>
      <c r="EQ81" s="327"/>
      <c r="ER81" s="327"/>
      <c r="ES81" s="327"/>
      <c r="ET81" s="327"/>
      <c r="EU81" s="327"/>
      <c r="EV81" s="327"/>
      <c r="EW81" s="327"/>
      <c r="EX81" s="327"/>
      <c r="EY81" s="327"/>
      <c r="EZ81" s="327"/>
      <c r="FA81" s="327"/>
      <c r="FB81" s="327"/>
      <c r="FC81" s="327"/>
      <c r="FD81" s="327"/>
      <c r="FE81" s="327"/>
      <c r="FF81" s="327"/>
      <c r="FG81" s="327"/>
      <c r="FH81" s="327"/>
      <c r="FI81" s="327"/>
      <c r="FJ81" s="327"/>
      <c r="FK81" s="327"/>
      <c r="FL81" s="327"/>
      <c r="FM81" s="327"/>
      <c r="FN81" s="327"/>
      <c r="FO81" s="327"/>
      <c r="FP81" s="327"/>
      <c r="FQ81" s="327"/>
      <c r="FR81" s="327"/>
      <c r="FS81" s="327"/>
      <c r="FT81" s="327"/>
      <c r="FU81" s="327"/>
      <c r="FV81" s="327"/>
      <c r="FW81" s="327"/>
      <c r="FX81" s="327"/>
      <c r="FY81" s="327"/>
      <c r="FZ81" s="327"/>
      <c r="GA81" s="327"/>
      <c r="GB81" s="327"/>
      <c r="GC81" s="327"/>
      <c r="GD81" s="327"/>
      <c r="GE81" s="327"/>
      <c r="GF81" s="327"/>
      <c r="GG81" s="327"/>
      <c r="GH81" s="327"/>
      <c r="GI81" s="327"/>
      <c r="GJ81" s="327"/>
      <c r="GK81" s="327"/>
      <c r="GL81" s="327"/>
      <c r="GM81" s="327"/>
      <c r="GN81" s="327"/>
      <c r="GO81" s="327"/>
      <c r="GP81" s="327"/>
      <c r="GQ81" s="327"/>
      <c r="GR81" s="327"/>
      <c r="GS81" s="327"/>
      <c r="GT81" s="327"/>
      <c r="GU81" s="327"/>
      <c r="GV81" s="327"/>
      <c r="GW81" s="327"/>
      <c r="GX81" s="327"/>
      <c r="GY81" s="327"/>
      <c r="GZ81" s="327"/>
      <c r="HA81" s="327"/>
      <c r="HB81" s="327"/>
      <c r="HC81" s="327"/>
      <c r="HD81" s="327"/>
      <c r="HE81" s="327"/>
      <c r="HF81" s="327"/>
      <c r="HG81" s="327"/>
      <c r="HH81" s="327"/>
      <c r="HI81" s="327"/>
      <c r="HJ81" s="327"/>
      <c r="HK81" s="327"/>
      <c r="HL81" s="327"/>
      <c r="HM81" s="327"/>
      <c r="HN81" s="327"/>
      <c r="HO81" s="327"/>
      <c r="HP81" s="327"/>
      <c r="HQ81" s="327"/>
      <c r="HR81" s="327"/>
      <c r="HS81" s="327"/>
    </row>
    <row r="82" spans="1:227" ht="15" customHeight="1">
      <c r="A82" s="434">
        <v>4</v>
      </c>
      <c r="B82" s="435" t="str">
        <f>VLOOKUP(Ruimtestaat[[#This Row],[Code]],Locaties[[Code]:[Locatie]],2,FALSE)</f>
        <v>IKC De Waterlelie</v>
      </c>
      <c r="C82" s="435" t="str">
        <f>VLOOKUP(Ruimtestaat[[#This Row],[Code]],Locaties[[#All],[Code]:[Adres]],4,FALSE)</f>
        <v>Goudenregenzoom 73</v>
      </c>
      <c r="D82" s="435" t="str">
        <f>VLOOKUP(Ruimtestaat[[#This Row],[Code]],Locaties[[#All],[Code]:[Postcode]],5,FALSE)</f>
        <v>2719 HE</v>
      </c>
      <c r="E82" s="435" t="str">
        <f>VLOOKUP(Ruimtestaat[[#This Row],[Code]],Locaties[#All],6,FALSE)</f>
        <v>Zoetermeer</v>
      </c>
      <c r="F82" s="434"/>
      <c r="G82" s="434" t="s">
        <v>1678</v>
      </c>
      <c r="H82" s="436" t="s">
        <v>1750</v>
      </c>
      <c r="I82" s="437" t="s">
        <v>1751</v>
      </c>
      <c r="J82" s="330">
        <v>2</v>
      </c>
      <c r="K82" s="450" t="str">
        <f>VLOOKUP(Ruimtestaat[[#This Row],[Ruimte code]],Ruimtegroepen[[#All],[Code]:[Ruimte omschrijving]],2,FALSE)</f>
        <v>Kantoren</v>
      </c>
      <c r="L82" s="434" t="s">
        <v>100</v>
      </c>
      <c r="M82" s="437" t="s">
        <v>1759</v>
      </c>
      <c r="N82" s="439">
        <v>26</v>
      </c>
      <c r="O82" s="439"/>
      <c r="P82" s="439"/>
      <c r="Q82" s="439"/>
      <c r="R82" s="440" t="str">
        <f>VLOOKUP(Ruimtestaat[[#This Row],[Ruimte code]],Ruimtegroepen[],4,FALSE)</f>
        <v>Bu</v>
      </c>
      <c r="S82" s="434">
        <v>41</v>
      </c>
      <c r="T82" s="434" t="s">
        <v>17</v>
      </c>
      <c r="U82" s="434">
        <f>IF(S82&gt;0,IF(RIGHT(Ruimtestaat[[#This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82" s="434">
        <f>IF(U82&gt;0,VLOOKUP($J82,Ruimtegroepen[],3,FALSE)*VLOOKUP($L82,Vloersoorten[],3,FALSE)*VLOOKUP($T82,Frequenties[],3,FALSE)*VLOOKUP($A82,Locaties[],3,FALSE),0)</f>
        <v>0</v>
      </c>
      <c r="W82" s="434">
        <f>Ruimtestaat[[#This Row],[Uitvoeringen werkdagen]]*Ruimtestaat[[#This Row],[Oppervlak (netto)]]</f>
        <v>2132</v>
      </c>
      <c r="X82" s="441">
        <f>IF(V82&gt;0,Ruimtestaat[[#This Row],[Prest. (m2 /jaar) werkdagen]]/Ruimtestaat[[#This Row],[Norm (m2/uur) werkdagen]],0)</f>
        <v>0</v>
      </c>
      <c r="Y82" s="442">
        <f>Ruimtestaat[[#This Row],[Uitvoeringen werkdagen]]*Ruimtestaat[[#This Row],[Gedeeltelijk]]</f>
        <v>0</v>
      </c>
      <c r="Z82" s="443" t="e">
        <f>IF(U82&gt;0,Ruimtestaat[[#This Row],[Prest. (m2 / jaar) werkdagen gedeeld]]/Ruimtestaat[[#This Row],[Norm (m2/uur) werkdagen]],0)</f>
        <v>#DIV/0!</v>
      </c>
      <c r="AA82" s="441" t="e">
        <f>Ruimtestaat[[#This Row],[uren / jaar werkdagen gedeeld]]*Tariefsopbouw!$E$35</f>
        <v>#DIV/0!</v>
      </c>
      <c r="AB82" s="441">
        <f>Ruimtestaat[[#This Row],[Uitvoeringen werkdagen]]*Ruimtestaat[[#This Row],[BSO]]</f>
        <v>0</v>
      </c>
      <c r="AC82" s="443" t="e">
        <f>IF(U82&gt;0,Ruimtestaat[[#This Row],[Prest. (m2 / jaar) werkdagen BSO]]/Ruimtestaat[[#This Row],[Norm (m2/uur) werkdagen]],0)</f>
        <v>#DIV/0!</v>
      </c>
      <c r="AD82" s="443" t="e">
        <f>Ruimtestaat[[#This Row],[uren / jaar werkdagen BSO]]*Tariefsopbouw!$E$35</f>
        <v>#DIV/0!</v>
      </c>
      <c r="AE82" s="444">
        <f>Ruimtestaat[[#This Row],[uren / jaar werkdagen]]*Tariefsopbouw!$E$35</f>
        <v>0</v>
      </c>
      <c r="AF82" s="434"/>
      <c r="AG82" s="434">
        <f>IF(Ruimtestaat[[#This Row],[Frequentie weekend]]&gt;0,VALUE(LEFT(AF82,1))*S82,0)</f>
        <v>0</v>
      </c>
      <c r="AH82" s="445">
        <f>IF($AG82&gt;0,VLOOKUP($J82,Ruimtegroepen[],3,FALSE)*VLOOKUP($L82,Vloersoorten[],3,FALSE)*VLOOKUP($AF82,Frequenties[],3,FALSE)*VLOOKUP(Ruimtestaat[[#This Row],[Code]],Locaties[],3,FALSE),0)</f>
        <v>0</v>
      </c>
      <c r="AI82" s="445">
        <f>Ruimtestaat[[#This Row],[Uitvoeringen weekend]]*Ruimtestaat[[#This Row],[Oppervlak (netto)]]</f>
        <v>0</v>
      </c>
      <c r="AJ82" s="445">
        <f>IF(AH82&gt;0,Ruimtestaat[[#This Row],[Prest. (m2 /jaar) weekend]]/Ruimtestaat[[#This Row],[Norm (m2/uur) weekend]],0)</f>
        <v>0</v>
      </c>
      <c r="AK82" s="444">
        <f>Ruimtestaat[[#This Row],[uren / jaar weekend]]*Tariefsopbouw!$D$40</f>
        <v>0</v>
      </c>
      <c r="AL82" s="441">
        <f>Ruimtestaat[[#This Row],[Prest. (m2 /jaar) weekend]]+Ruimtestaat[[#This Row],[Prest. (m2 /jaar) werkdagen]]</f>
        <v>2132</v>
      </c>
      <c r="AM82" s="441">
        <f>Ruimtestaat[[#This Row],[uren / jaar weekend]]+Ruimtestaat[[#This Row],[uren / jaar werkdagen]]</f>
        <v>0</v>
      </c>
      <c r="AN82" s="446">
        <f>Ruimtestaat[[#This Row],[kosten / jaar weekend]]+Ruimtestaat[[#This Row],[kosten / jaar werkdagen]]</f>
        <v>0</v>
      </c>
      <c r="AO82" s="446"/>
      <c r="AP82" s="447" t="str">
        <f>IF(Ruimtestaat[[#This Row],[Frequentie werkdagen]]="","",_xlfn.CONCAT(Ruimtestaat[[#This Row],[Ruimte code]],"-",Ruimtestaat[[#This Row],[Frequentie werkdagen]]," ",Ruimtestaat[[#This Row],[Vloer code]]))</f>
        <v>2-2w L</v>
      </c>
      <c r="AQ82" s="448" t="str">
        <f>_xlfn.IFNA(VLOOKUP($AP82,Programma!$F$3:$G$1101,2,0),"")</f>
        <v>_</v>
      </c>
      <c r="AR82" s="448" t="str">
        <f>_xlfn.IFNA(VLOOKUP($AP82,Programma!$F$3:$H$1101,3,0),"")</f>
        <v>_</v>
      </c>
      <c r="AS82" s="448" t="str">
        <f>_xlfn.IFNA(VLOOKUP($AP82,Programma!$F$3:$I$1101,4,0),"")</f>
        <v>1w</v>
      </c>
      <c r="AT82" s="448" t="str">
        <f>_xlfn.IFNA(VLOOKUP($AP82,Programma!$F$3:$J$1101,5,0),"")</f>
        <v>1w</v>
      </c>
      <c r="AU82" s="448" t="str">
        <f>_xlfn.IFNA(VLOOKUP($AP82,Programma!$F$3:$K$1101,6,0),"")</f>
        <v>_</v>
      </c>
      <c r="AV82" s="448" t="str">
        <f>_xlfn.IFNA(VLOOKUP($AP82,Programma!$F$3:$L$1101,7,0),"")</f>
        <v>_</v>
      </c>
      <c r="AW82" s="448" t="str">
        <f>_xlfn.IFNA(VLOOKUP($AP82,Programma!$F$3:$M$1101,8,0),"")</f>
        <v>_</v>
      </c>
      <c r="AX82" s="448" t="str">
        <f>_xlfn.IFNA(VLOOKUP($AP82,Programma!$F$3:$N$1101,9,0),"")</f>
        <v>_</v>
      </c>
      <c r="AY82" s="448" t="str">
        <f>_xlfn.IFNA(VLOOKUP($AP82,Programma!$F$3:$O$1101,10,0),"")</f>
        <v>2w</v>
      </c>
      <c r="AZ82" s="448" t="str">
        <f>_xlfn.IFNA(VLOOKUP($AP82,Programma!$F$3:$P$1101,11,0),"")</f>
        <v>2w</v>
      </c>
      <c r="BA82" s="448" t="str">
        <f>_xlfn.IFNA(VLOOKUP($AP82,Programma!$F$3:$Q$1101,12,0),"")</f>
        <v>1w</v>
      </c>
      <c r="BB82" s="448" t="str">
        <f>_xlfn.IFNA(VLOOKUP($AP82,Programma!$F$3:$R$1101,13,0),"")</f>
        <v>1w</v>
      </c>
      <c r="BC82" s="448" t="str">
        <f>_xlfn.IFNA(VLOOKUP($AP82,Programma!$F$3:$S$1101,14,0),"")</f>
        <v>1m</v>
      </c>
      <c r="BD82" s="448" t="str">
        <f>_xlfn.IFNA(VLOOKUP($AP82,Programma!$F$3:$T$1101,15,0),"")</f>
        <v>2j</v>
      </c>
      <c r="BE82" s="448" t="str">
        <f>_xlfn.IFNA(VLOOKUP($AP82,Programma!$F$3:$U$1101,16,0),"")</f>
        <v>1j</v>
      </c>
      <c r="BF82" s="448" t="str">
        <f>_xlfn.IFNA(VLOOKUP($AP82,Programma!$F$3:$V$1101,17,0),"")</f>
        <v>_</v>
      </c>
      <c r="BG82" s="448" t="str">
        <f>_xlfn.IFNA(VLOOKUP($AP82,Programma!$F$3:$W$1101,18,0),"")</f>
        <v>_</v>
      </c>
      <c r="BH82" s="448" t="str">
        <f>_xlfn.IFNA(VLOOKUP($AP82,Programma!$F$3:$X$1101,19,0),"")</f>
        <v>_</v>
      </c>
      <c r="BI82" s="448" t="str">
        <f>_xlfn.IFNA(VLOOKUP($AP82,Programma!$F$3:$Y$1101,20,0),"")</f>
        <v>_</v>
      </c>
      <c r="BJ82" s="449"/>
      <c r="BK82" s="447" t="str">
        <f>IF(Ruimtestaat[[#This Row],[Frequentie weekend]]="","",_xlfn.CONCAT(Ruimtestaat[[#This Row],[Ruimte code]],"-",Ruimtestaat[[#This Row],[Frequentie weekend]]," ",Ruimtestaat[[#This Row],[Vloer code]]))</f>
        <v/>
      </c>
      <c r="BL82" s="448" t="str">
        <f>_xlfn.IFNA(VLOOKUP($BK82,Programma!$F$3:$G$1101,2,0),"")</f>
        <v/>
      </c>
      <c r="BM82" s="448" t="str">
        <f>_xlfn.IFNA(VLOOKUP($BK82,Programma!$F$3:$H$1101,3,0),"")</f>
        <v/>
      </c>
      <c r="BN82" s="448" t="str">
        <f>_xlfn.IFNA(VLOOKUP($BK82,Programma!$F$3:$I$1101,4,0),"")</f>
        <v/>
      </c>
      <c r="BO82" s="448" t="str">
        <f>_xlfn.IFNA(VLOOKUP($BK82,Programma!$F$3:$J$1101,5,0),"")</f>
        <v/>
      </c>
      <c r="BP82" s="448" t="str">
        <f>_xlfn.IFNA(VLOOKUP($BK82,Programma!$F$3:$K$1101,6,0),"")</f>
        <v/>
      </c>
      <c r="BQ82" s="448" t="str">
        <f>_xlfn.IFNA(VLOOKUP($BK82,Programma!$F$3:$L$1101,7,0),"")</f>
        <v/>
      </c>
      <c r="BR82" s="448" t="str">
        <f>_xlfn.IFNA(VLOOKUP($BK82,Programma!$F$3:$M$1101,8,0),"")</f>
        <v/>
      </c>
      <c r="BS82" s="448" t="str">
        <f>_xlfn.IFNA(VLOOKUP($BK82,Programma!$F$3:$N$1101,9,0),"")</f>
        <v/>
      </c>
      <c r="BT82" s="448" t="str">
        <f>_xlfn.IFNA(VLOOKUP($BK82,Programma!$F$3:$O$1101,10,0),"")</f>
        <v/>
      </c>
      <c r="BU82" s="448" t="str">
        <f>_xlfn.IFNA(VLOOKUP($BK82,Programma!$F$3:$P$1101,11,0),"")</f>
        <v/>
      </c>
      <c r="BV82" s="448" t="str">
        <f>_xlfn.IFNA(VLOOKUP($BK82,Programma!$F$3:$Q$1101,12,0),"")</f>
        <v/>
      </c>
      <c r="BW82" s="448" t="str">
        <f>_xlfn.IFNA(VLOOKUP($BK82,Programma!$F$3:$R$1101,13,0),"")</f>
        <v/>
      </c>
      <c r="BX82" s="448" t="str">
        <f>_xlfn.IFNA(VLOOKUP($BK82,Programma!$F$3:$S$1101,14,0),"")</f>
        <v/>
      </c>
      <c r="BY82" s="448" t="str">
        <f>_xlfn.IFNA(VLOOKUP($BK82,Programma!$F$3:$T$1101,15,0),"")</f>
        <v/>
      </c>
      <c r="BZ82" s="448" t="str">
        <f>_xlfn.IFNA(VLOOKUP($BK82,Programma!$F$3:$U$1101,16,0),"")</f>
        <v/>
      </c>
      <c r="CA82" s="448" t="str">
        <f>_xlfn.IFNA(VLOOKUP($BK82,Programma!$F$3:$V$1101,17,0),"")</f>
        <v/>
      </c>
      <c r="CB82" s="448" t="str">
        <f>_xlfn.IFNA(VLOOKUP($BK82,Programma!$F$3:$W$1101,18,0),"")</f>
        <v/>
      </c>
      <c r="CC82" s="448" t="str">
        <f>_xlfn.IFNA(VLOOKUP($BK82,Programma!$F$3:$X$1101,19,0),"")</f>
        <v/>
      </c>
      <c r="CD82" s="448" t="str">
        <f>_xlfn.IFNA(VLOOKUP($BK82,Programma!$F$3:$Y$1101,20,0),"")</f>
        <v/>
      </c>
      <c r="CE82" s="327"/>
      <c r="CF82" s="327"/>
      <c r="CG82" s="327"/>
      <c r="CH82" s="327"/>
      <c r="CI82" s="327"/>
      <c r="CJ82" s="327"/>
      <c r="CK82" s="327"/>
      <c r="CL82" s="327"/>
      <c r="CM82" s="327"/>
      <c r="CN82" s="327"/>
      <c r="CO82" s="327"/>
      <c r="CP82" s="327"/>
      <c r="CQ82" s="327"/>
      <c r="CR82" s="327"/>
      <c r="CS82" s="327"/>
      <c r="CT82" s="327"/>
      <c r="CU82" s="327"/>
      <c r="CV82" s="327"/>
      <c r="CW82" s="327"/>
      <c r="CX82" s="327"/>
      <c r="CY82" s="327"/>
      <c r="CZ82" s="327"/>
      <c r="DA82" s="327"/>
      <c r="DB82" s="327"/>
      <c r="DC82" s="327"/>
      <c r="DD82" s="327"/>
      <c r="DE82" s="327"/>
      <c r="DF82" s="327"/>
      <c r="DG82" s="327"/>
      <c r="DH82" s="327"/>
      <c r="DI82" s="327"/>
      <c r="DJ82" s="327"/>
      <c r="DK82" s="327"/>
      <c r="DL82" s="327"/>
      <c r="DM82" s="327"/>
      <c r="DN82" s="327"/>
      <c r="DO82" s="327"/>
      <c r="DP82" s="327"/>
      <c r="DQ82" s="327"/>
      <c r="DR82" s="327"/>
      <c r="DS82" s="327"/>
      <c r="DT82" s="327"/>
      <c r="DU82" s="327"/>
      <c r="DV82" s="327"/>
      <c r="DW82" s="327"/>
      <c r="DX82" s="327"/>
      <c r="DY82" s="327"/>
      <c r="DZ82" s="327"/>
      <c r="EA82" s="327"/>
      <c r="EB82" s="327"/>
      <c r="EC82" s="327"/>
      <c r="ED82" s="327"/>
      <c r="EE82" s="327"/>
      <c r="EF82" s="327"/>
      <c r="EG82" s="327"/>
      <c r="EH82" s="327"/>
      <c r="EI82" s="327"/>
      <c r="EJ82" s="327"/>
      <c r="EK82" s="327"/>
      <c r="EL82" s="327"/>
      <c r="EM82" s="327"/>
      <c r="EN82" s="327"/>
      <c r="EO82" s="327"/>
      <c r="EP82" s="327"/>
      <c r="EQ82" s="327"/>
      <c r="ER82" s="327"/>
      <c r="ES82" s="327"/>
      <c r="ET82" s="327"/>
      <c r="EU82" s="327"/>
      <c r="EV82" s="327"/>
      <c r="EW82" s="327"/>
      <c r="EX82" s="327"/>
      <c r="EY82" s="327"/>
      <c r="EZ82" s="327"/>
      <c r="FA82" s="327"/>
      <c r="FB82" s="327"/>
      <c r="FC82" s="327"/>
      <c r="FD82" s="327"/>
      <c r="FE82" s="327"/>
      <c r="FF82" s="327"/>
      <c r="FG82" s="327"/>
      <c r="FH82" s="327"/>
      <c r="FI82" s="327"/>
      <c r="FJ82" s="327"/>
      <c r="FK82" s="327"/>
      <c r="FL82" s="327"/>
      <c r="FM82" s="327"/>
      <c r="FN82" s="327"/>
      <c r="FO82" s="327"/>
      <c r="FP82" s="327"/>
      <c r="FQ82" s="327"/>
      <c r="FR82" s="327"/>
      <c r="FS82" s="327"/>
      <c r="FT82" s="327"/>
      <c r="FU82" s="327"/>
      <c r="FV82" s="327"/>
      <c r="FW82" s="327"/>
      <c r="FX82" s="327"/>
      <c r="FY82" s="327"/>
      <c r="FZ82" s="327"/>
      <c r="GA82" s="327"/>
      <c r="GB82" s="327"/>
      <c r="GC82" s="327"/>
      <c r="GD82" s="327"/>
      <c r="GE82" s="327"/>
      <c r="GF82" s="327"/>
      <c r="GG82" s="327"/>
      <c r="GH82" s="327"/>
      <c r="GI82" s="327"/>
      <c r="GJ82" s="327"/>
      <c r="GK82" s="327"/>
      <c r="GL82" s="327"/>
      <c r="GM82" s="327"/>
      <c r="GN82" s="327"/>
      <c r="GO82" s="327"/>
      <c r="GP82" s="327"/>
      <c r="GQ82" s="327"/>
      <c r="GR82" s="327"/>
      <c r="GS82" s="327"/>
      <c r="GT82" s="327"/>
      <c r="GU82" s="327"/>
      <c r="GV82" s="327"/>
      <c r="GW82" s="327"/>
      <c r="GX82" s="327"/>
      <c r="GY82" s="327"/>
      <c r="GZ82" s="327"/>
      <c r="HA82" s="327"/>
      <c r="HB82" s="327"/>
      <c r="HC82" s="327"/>
      <c r="HD82" s="327"/>
      <c r="HE82" s="327"/>
      <c r="HF82" s="327"/>
      <c r="HG82" s="327"/>
      <c r="HH82" s="327"/>
      <c r="HI82" s="327"/>
      <c r="HJ82" s="327"/>
      <c r="HK82" s="327"/>
      <c r="HL82" s="327"/>
      <c r="HM82" s="327"/>
      <c r="HN82" s="327"/>
      <c r="HO82" s="327"/>
      <c r="HP82" s="327"/>
      <c r="HQ82" s="327"/>
      <c r="HR82" s="327"/>
      <c r="HS82" s="327"/>
    </row>
    <row r="83" spans="1:227" ht="15" customHeight="1">
      <c r="A83" s="434">
        <v>4</v>
      </c>
      <c r="B83" s="435" t="str">
        <f>VLOOKUP(Ruimtestaat[[#This Row],[Code]],Locaties[[Code]:[Locatie]],2,FALSE)</f>
        <v>IKC De Waterlelie</v>
      </c>
      <c r="C83" s="435" t="str">
        <f>VLOOKUP(Ruimtestaat[[#This Row],[Code]],Locaties[[#All],[Code]:[Adres]],4,FALSE)</f>
        <v>Goudenregenzoom 73</v>
      </c>
      <c r="D83" s="435" t="str">
        <f>VLOOKUP(Ruimtestaat[[#This Row],[Code]],Locaties[[#All],[Code]:[Postcode]],5,FALSE)</f>
        <v>2719 HE</v>
      </c>
      <c r="E83" s="435" t="str">
        <f>VLOOKUP(Ruimtestaat[[#This Row],[Code]],Locaties[#All],6,FALSE)</f>
        <v>Zoetermeer</v>
      </c>
      <c r="F83" s="434"/>
      <c r="G83" s="434" t="s">
        <v>1678</v>
      </c>
      <c r="H83" s="436" t="s">
        <v>1752</v>
      </c>
      <c r="I83" s="437" t="s">
        <v>1749</v>
      </c>
      <c r="J83" s="330">
        <v>2</v>
      </c>
      <c r="K83" s="450" t="str">
        <f>VLOOKUP(Ruimtestaat[[#This Row],[Ruimte code]],Ruimtegroepen[[#All],[Code]:[Ruimte omschrijving]],2,FALSE)</f>
        <v>Kantoren</v>
      </c>
      <c r="L83" s="434" t="s">
        <v>100</v>
      </c>
      <c r="M83" s="437" t="s">
        <v>1759</v>
      </c>
      <c r="N83" s="439">
        <v>8</v>
      </c>
      <c r="O83" s="439"/>
      <c r="P83" s="439"/>
      <c r="Q83" s="439"/>
      <c r="R83" s="440" t="str">
        <f>VLOOKUP(Ruimtestaat[[#This Row],[Ruimte code]],Ruimtegroepen[],4,FALSE)</f>
        <v>Bu</v>
      </c>
      <c r="S83" s="434">
        <v>41</v>
      </c>
      <c r="T83" s="434" t="s">
        <v>17</v>
      </c>
      <c r="U83" s="434">
        <f>IF(S83&gt;0,IF(RIGHT(Ruimtestaat[[#This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83" s="434">
        <f>IF(U83&gt;0,VLOOKUP($J83,Ruimtegroepen[],3,FALSE)*VLOOKUP($L83,Vloersoorten[],3,FALSE)*VLOOKUP($T83,Frequenties[],3,FALSE)*VLOOKUP($A83,Locaties[],3,FALSE),0)</f>
        <v>0</v>
      </c>
      <c r="W83" s="434">
        <f>Ruimtestaat[[#This Row],[Uitvoeringen werkdagen]]*Ruimtestaat[[#This Row],[Oppervlak (netto)]]</f>
        <v>656</v>
      </c>
      <c r="X83" s="441">
        <f>IF(V83&gt;0,Ruimtestaat[[#This Row],[Prest. (m2 /jaar) werkdagen]]/Ruimtestaat[[#This Row],[Norm (m2/uur) werkdagen]],0)</f>
        <v>0</v>
      </c>
      <c r="Y83" s="442">
        <f>Ruimtestaat[[#This Row],[Uitvoeringen werkdagen]]*Ruimtestaat[[#This Row],[Gedeeltelijk]]</f>
        <v>0</v>
      </c>
      <c r="Z83" s="443" t="e">
        <f>IF(U83&gt;0,Ruimtestaat[[#This Row],[Prest. (m2 / jaar) werkdagen gedeeld]]/Ruimtestaat[[#This Row],[Norm (m2/uur) werkdagen]],0)</f>
        <v>#DIV/0!</v>
      </c>
      <c r="AA83" s="441" t="e">
        <f>Ruimtestaat[[#This Row],[uren / jaar werkdagen gedeeld]]*Tariefsopbouw!$E$35</f>
        <v>#DIV/0!</v>
      </c>
      <c r="AB83" s="441">
        <f>Ruimtestaat[[#This Row],[Uitvoeringen werkdagen]]*Ruimtestaat[[#This Row],[BSO]]</f>
        <v>0</v>
      </c>
      <c r="AC83" s="443" t="e">
        <f>IF(U83&gt;0,Ruimtestaat[[#This Row],[Prest. (m2 / jaar) werkdagen BSO]]/Ruimtestaat[[#This Row],[Norm (m2/uur) werkdagen]],0)</f>
        <v>#DIV/0!</v>
      </c>
      <c r="AD83" s="443" t="e">
        <f>Ruimtestaat[[#This Row],[uren / jaar werkdagen BSO]]*Tariefsopbouw!$E$35</f>
        <v>#DIV/0!</v>
      </c>
      <c r="AE83" s="444">
        <f>Ruimtestaat[[#This Row],[uren / jaar werkdagen]]*Tariefsopbouw!$E$35</f>
        <v>0</v>
      </c>
      <c r="AF83" s="434"/>
      <c r="AG83" s="434">
        <f>IF(Ruimtestaat[[#This Row],[Frequentie weekend]]&gt;0,VALUE(LEFT(AF83,1))*S83,0)</f>
        <v>0</v>
      </c>
      <c r="AH83" s="445">
        <f>IF($AG83&gt;0,VLOOKUP($J83,Ruimtegroepen[],3,FALSE)*VLOOKUP($L83,Vloersoorten[],3,FALSE)*VLOOKUP($AF83,Frequenties[],3,FALSE)*VLOOKUP(Ruimtestaat[[#This Row],[Code]],Locaties[],3,FALSE),0)</f>
        <v>0</v>
      </c>
      <c r="AI83" s="445">
        <f>Ruimtestaat[[#This Row],[Uitvoeringen weekend]]*Ruimtestaat[[#This Row],[Oppervlak (netto)]]</f>
        <v>0</v>
      </c>
      <c r="AJ83" s="445">
        <f>IF(AH83&gt;0,Ruimtestaat[[#This Row],[Prest. (m2 /jaar) weekend]]/Ruimtestaat[[#This Row],[Norm (m2/uur) weekend]],0)</f>
        <v>0</v>
      </c>
      <c r="AK83" s="444">
        <f>Ruimtestaat[[#This Row],[uren / jaar weekend]]*Tariefsopbouw!$D$40</f>
        <v>0</v>
      </c>
      <c r="AL83" s="441">
        <f>Ruimtestaat[[#This Row],[Prest. (m2 /jaar) weekend]]+Ruimtestaat[[#This Row],[Prest. (m2 /jaar) werkdagen]]</f>
        <v>656</v>
      </c>
      <c r="AM83" s="441">
        <f>Ruimtestaat[[#This Row],[uren / jaar weekend]]+Ruimtestaat[[#This Row],[uren / jaar werkdagen]]</f>
        <v>0</v>
      </c>
      <c r="AN83" s="446">
        <f>Ruimtestaat[[#This Row],[kosten / jaar weekend]]+Ruimtestaat[[#This Row],[kosten / jaar werkdagen]]</f>
        <v>0</v>
      </c>
      <c r="AO83" s="446"/>
      <c r="AP83" s="447" t="str">
        <f>IF(Ruimtestaat[[#This Row],[Frequentie werkdagen]]="","",_xlfn.CONCAT(Ruimtestaat[[#This Row],[Ruimte code]],"-",Ruimtestaat[[#This Row],[Frequentie werkdagen]]," ",Ruimtestaat[[#This Row],[Vloer code]]))</f>
        <v>2-2w L</v>
      </c>
      <c r="AQ83" s="448" t="str">
        <f>_xlfn.IFNA(VLOOKUP($AP83,Programma!$F$3:$G$1101,2,0),"")</f>
        <v>_</v>
      </c>
      <c r="AR83" s="448" t="str">
        <f>_xlfn.IFNA(VLOOKUP($AP83,Programma!$F$3:$H$1101,3,0),"")</f>
        <v>_</v>
      </c>
      <c r="AS83" s="448" t="str">
        <f>_xlfn.IFNA(VLOOKUP($AP83,Programma!$F$3:$I$1101,4,0),"")</f>
        <v>1w</v>
      </c>
      <c r="AT83" s="448" t="str">
        <f>_xlfn.IFNA(VLOOKUP($AP83,Programma!$F$3:$J$1101,5,0),"")</f>
        <v>1w</v>
      </c>
      <c r="AU83" s="448" t="str">
        <f>_xlfn.IFNA(VLOOKUP($AP83,Programma!$F$3:$K$1101,6,0),"")</f>
        <v>_</v>
      </c>
      <c r="AV83" s="448" t="str">
        <f>_xlfn.IFNA(VLOOKUP($AP83,Programma!$F$3:$L$1101,7,0),"")</f>
        <v>_</v>
      </c>
      <c r="AW83" s="448" t="str">
        <f>_xlfn.IFNA(VLOOKUP($AP83,Programma!$F$3:$M$1101,8,0),"")</f>
        <v>_</v>
      </c>
      <c r="AX83" s="448" t="str">
        <f>_xlfn.IFNA(VLOOKUP($AP83,Programma!$F$3:$N$1101,9,0),"")</f>
        <v>_</v>
      </c>
      <c r="AY83" s="448" t="str">
        <f>_xlfn.IFNA(VLOOKUP($AP83,Programma!$F$3:$O$1101,10,0),"")</f>
        <v>2w</v>
      </c>
      <c r="AZ83" s="448" t="str">
        <f>_xlfn.IFNA(VLOOKUP($AP83,Programma!$F$3:$P$1101,11,0),"")</f>
        <v>2w</v>
      </c>
      <c r="BA83" s="448" t="str">
        <f>_xlfn.IFNA(VLOOKUP($AP83,Programma!$F$3:$Q$1101,12,0),"")</f>
        <v>1w</v>
      </c>
      <c r="BB83" s="448" t="str">
        <f>_xlfn.IFNA(VLOOKUP($AP83,Programma!$F$3:$R$1101,13,0),"")</f>
        <v>1w</v>
      </c>
      <c r="BC83" s="448" t="str">
        <f>_xlfn.IFNA(VLOOKUP($AP83,Programma!$F$3:$S$1101,14,0),"")</f>
        <v>1m</v>
      </c>
      <c r="BD83" s="448" t="str">
        <f>_xlfn.IFNA(VLOOKUP($AP83,Programma!$F$3:$T$1101,15,0),"")</f>
        <v>2j</v>
      </c>
      <c r="BE83" s="448" t="str">
        <f>_xlfn.IFNA(VLOOKUP($AP83,Programma!$F$3:$U$1101,16,0),"")</f>
        <v>1j</v>
      </c>
      <c r="BF83" s="448" t="str">
        <f>_xlfn.IFNA(VLOOKUP($AP83,Programma!$F$3:$V$1101,17,0),"")</f>
        <v>_</v>
      </c>
      <c r="BG83" s="448" t="str">
        <f>_xlfn.IFNA(VLOOKUP($AP83,Programma!$F$3:$W$1101,18,0),"")</f>
        <v>_</v>
      </c>
      <c r="BH83" s="448" t="str">
        <f>_xlfn.IFNA(VLOOKUP($AP83,Programma!$F$3:$X$1101,19,0),"")</f>
        <v>_</v>
      </c>
      <c r="BI83" s="448" t="str">
        <f>_xlfn.IFNA(VLOOKUP($AP83,Programma!$F$3:$Y$1101,20,0),"")</f>
        <v>_</v>
      </c>
      <c r="BJ83" s="449"/>
      <c r="BK83" s="447" t="str">
        <f>IF(Ruimtestaat[[#This Row],[Frequentie weekend]]="","",_xlfn.CONCAT(Ruimtestaat[[#This Row],[Ruimte code]],"-",Ruimtestaat[[#This Row],[Frequentie weekend]]," ",Ruimtestaat[[#This Row],[Vloer code]]))</f>
        <v/>
      </c>
      <c r="BL83" s="448" t="str">
        <f>_xlfn.IFNA(VLOOKUP($BK83,Programma!$F$3:$G$1101,2,0),"")</f>
        <v/>
      </c>
      <c r="BM83" s="448" t="str">
        <f>_xlfn.IFNA(VLOOKUP($BK83,Programma!$F$3:$H$1101,3,0),"")</f>
        <v/>
      </c>
      <c r="BN83" s="448" t="str">
        <f>_xlfn.IFNA(VLOOKUP($BK83,Programma!$F$3:$I$1101,4,0),"")</f>
        <v/>
      </c>
      <c r="BO83" s="448" t="str">
        <f>_xlfn.IFNA(VLOOKUP($BK83,Programma!$F$3:$J$1101,5,0),"")</f>
        <v/>
      </c>
      <c r="BP83" s="448" t="str">
        <f>_xlfn.IFNA(VLOOKUP($BK83,Programma!$F$3:$K$1101,6,0),"")</f>
        <v/>
      </c>
      <c r="BQ83" s="448" t="str">
        <f>_xlfn.IFNA(VLOOKUP($BK83,Programma!$F$3:$L$1101,7,0),"")</f>
        <v/>
      </c>
      <c r="BR83" s="448" t="str">
        <f>_xlfn.IFNA(VLOOKUP($BK83,Programma!$F$3:$M$1101,8,0),"")</f>
        <v/>
      </c>
      <c r="BS83" s="448" t="str">
        <f>_xlfn.IFNA(VLOOKUP($BK83,Programma!$F$3:$N$1101,9,0),"")</f>
        <v/>
      </c>
      <c r="BT83" s="448" t="str">
        <f>_xlfn.IFNA(VLOOKUP($BK83,Programma!$F$3:$O$1101,10,0),"")</f>
        <v/>
      </c>
      <c r="BU83" s="448" t="str">
        <f>_xlfn.IFNA(VLOOKUP($BK83,Programma!$F$3:$P$1101,11,0),"")</f>
        <v/>
      </c>
      <c r="BV83" s="448" t="str">
        <f>_xlfn.IFNA(VLOOKUP($BK83,Programma!$F$3:$Q$1101,12,0),"")</f>
        <v/>
      </c>
      <c r="BW83" s="448" t="str">
        <f>_xlfn.IFNA(VLOOKUP($BK83,Programma!$F$3:$R$1101,13,0),"")</f>
        <v/>
      </c>
      <c r="BX83" s="448" t="str">
        <f>_xlfn.IFNA(VLOOKUP($BK83,Programma!$F$3:$S$1101,14,0),"")</f>
        <v/>
      </c>
      <c r="BY83" s="448" t="str">
        <f>_xlfn.IFNA(VLOOKUP($BK83,Programma!$F$3:$T$1101,15,0),"")</f>
        <v/>
      </c>
      <c r="BZ83" s="448" t="str">
        <f>_xlfn.IFNA(VLOOKUP($BK83,Programma!$F$3:$U$1101,16,0),"")</f>
        <v/>
      </c>
      <c r="CA83" s="448" t="str">
        <f>_xlfn.IFNA(VLOOKUP($BK83,Programma!$F$3:$V$1101,17,0),"")</f>
        <v/>
      </c>
      <c r="CB83" s="448" t="str">
        <f>_xlfn.IFNA(VLOOKUP($BK83,Programma!$F$3:$W$1101,18,0),"")</f>
        <v/>
      </c>
      <c r="CC83" s="448" t="str">
        <f>_xlfn.IFNA(VLOOKUP($BK83,Programma!$F$3:$X$1101,19,0),"")</f>
        <v/>
      </c>
      <c r="CD83" s="448" t="str">
        <f>_xlfn.IFNA(VLOOKUP($BK83,Programma!$F$3:$Y$1101,20,0),"")</f>
        <v/>
      </c>
      <c r="CE83" s="327"/>
      <c r="CF83" s="327"/>
      <c r="CG83" s="327"/>
      <c r="CH83" s="327"/>
      <c r="CI83" s="327"/>
      <c r="CJ83" s="327"/>
      <c r="CK83" s="327"/>
      <c r="CL83" s="327"/>
      <c r="CM83" s="327"/>
      <c r="CN83" s="327"/>
      <c r="CO83" s="327"/>
      <c r="CP83" s="327"/>
      <c r="CQ83" s="327"/>
      <c r="CR83" s="327"/>
      <c r="CS83" s="327"/>
      <c r="CT83" s="327"/>
      <c r="CU83" s="327"/>
      <c r="CV83" s="327"/>
      <c r="CW83" s="327"/>
      <c r="CX83" s="327"/>
      <c r="CY83" s="327"/>
      <c r="CZ83" s="327"/>
      <c r="DA83" s="327"/>
      <c r="DB83" s="327"/>
      <c r="DC83" s="327"/>
      <c r="DD83" s="327"/>
      <c r="DE83" s="327"/>
      <c r="DF83" s="327"/>
      <c r="DG83" s="327"/>
      <c r="DH83" s="327"/>
      <c r="DI83" s="327"/>
      <c r="DJ83" s="327"/>
      <c r="DK83" s="327"/>
      <c r="DL83" s="327"/>
      <c r="DM83" s="327"/>
      <c r="DN83" s="327"/>
      <c r="DO83" s="327"/>
      <c r="DP83" s="327"/>
      <c r="DQ83" s="327"/>
      <c r="DR83" s="327"/>
      <c r="DS83" s="327"/>
      <c r="DT83" s="327"/>
      <c r="DU83" s="327"/>
      <c r="DV83" s="327"/>
      <c r="DW83" s="327"/>
      <c r="DX83" s="327"/>
      <c r="DY83" s="327"/>
      <c r="DZ83" s="327"/>
      <c r="EA83" s="327"/>
      <c r="EB83" s="327"/>
      <c r="EC83" s="327"/>
      <c r="ED83" s="327"/>
      <c r="EE83" s="327"/>
      <c r="EF83" s="327"/>
      <c r="EG83" s="327"/>
      <c r="EH83" s="327"/>
      <c r="EI83" s="327"/>
      <c r="EJ83" s="327"/>
      <c r="EK83" s="327"/>
      <c r="EL83" s="327"/>
      <c r="EM83" s="327"/>
      <c r="EN83" s="327"/>
      <c r="EO83" s="327"/>
      <c r="EP83" s="327"/>
      <c r="EQ83" s="327"/>
      <c r="ER83" s="327"/>
      <c r="ES83" s="327"/>
      <c r="ET83" s="327"/>
      <c r="EU83" s="327"/>
      <c r="EV83" s="327"/>
      <c r="EW83" s="327"/>
      <c r="EX83" s="327"/>
      <c r="EY83" s="327"/>
      <c r="EZ83" s="327"/>
      <c r="FA83" s="327"/>
      <c r="FB83" s="327"/>
      <c r="FC83" s="327"/>
      <c r="FD83" s="327"/>
      <c r="FE83" s="327"/>
      <c r="FF83" s="327"/>
      <c r="FG83" s="327"/>
      <c r="FH83" s="327"/>
      <c r="FI83" s="327"/>
      <c r="FJ83" s="327"/>
      <c r="FK83" s="327"/>
      <c r="FL83" s="327"/>
      <c r="FM83" s="327"/>
      <c r="FN83" s="327"/>
      <c r="FO83" s="327"/>
      <c r="FP83" s="327"/>
      <c r="FQ83" s="327"/>
      <c r="FR83" s="327"/>
      <c r="FS83" s="327"/>
      <c r="FT83" s="327"/>
      <c r="FU83" s="327"/>
      <c r="FV83" s="327"/>
      <c r="FW83" s="327"/>
      <c r="FX83" s="327"/>
      <c r="FY83" s="327"/>
      <c r="FZ83" s="327"/>
      <c r="GA83" s="327"/>
      <c r="GB83" s="327"/>
      <c r="GC83" s="327"/>
      <c r="GD83" s="327"/>
      <c r="GE83" s="327"/>
      <c r="GF83" s="327"/>
      <c r="GG83" s="327"/>
      <c r="GH83" s="327"/>
      <c r="GI83" s="327"/>
      <c r="GJ83" s="327"/>
      <c r="GK83" s="327"/>
      <c r="GL83" s="327"/>
      <c r="GM83" s="327"/>
      <c r="GN83" s="327"/>
      <c r="GO83" s="327"/>
      <c r="GP83" s="327"/>
      <c r="GQ83" s="327"/>
      <c r="GR83" s="327"/>
      <c r="GS83" s="327"/>
      <c r="GT83" s="327"/>
      <c r="GU83" s="327"/>
      <c r="GV83" s="327"/>
      <c r="GW83" s="327"/>
      <c r="GX83" s="327"/>
      <c r="GY83" s="327"/>
      <c r="GZ83" s="327"/>
      <c r="HA83" s="327"/>
      <c r="HB83" s="327"/>
      <c r="HC83" s="327"/>
      <c r="HD83" s="327"/>
      <c r="HE83" s="327"/>
      <c r="HF83" s="327"/>
      <c r="HG83" s="327"/>
      <c r="HH83" s="327"/>
      <c r="HI83" s="327"/>
      <c r="HJ83" s="327"/>
      <c r="HK83" s="327"/>
      <c r="HL83" s="327"/>
      <c r="HM83" s="327"/>
      <c r="HN83" s="327"/>
      <c r="HO83" s="327"/>
      <c r="HP83" s="327"/>
      <c r="HQ83" s="327"/>
      <c r="HR83" s="327"/>
      <c r="HS83" s="327"/>
    </row>
    <row r="84" spans="1:227" ht="15" customHeight="1">
      <c r="A84" s="434">
        <v>4</v>
      </c>
      <c r="B84" s="435" t="str">
        <f>VLOOKUP(Ruimtestaat[[#This Row],[Code]],Locaties[[Code]:[Locatie]],2,FALSE)</f>
        <v>IKC De Waterlelie</v>
      </c>
      <c r="C84" s="435" t="str">
        <f>VLOOKUP(Ruimtestaat[[#This Row],[Code]],Locaties[[#All],[Code]:[Adres]],4,FALSE)</f>
        <v>Goudenregenzoom 73</v>
      </c>
      <c r="D84" s="435" t="str">
        <f>VLOOKUP(Ruimtestaat[[#This Row],[Code]],Locaties[[#All],[Code]:[Postcode]],5,FALSE)</f>
        <v>2719 HE</v>
      </c>
      <c r="E84" s="435" t="str">
        <f>VLOOKUP(Ruimtestaat[[#This Row],[Code]],Locaties[#All],6,FALSE)</f>
        <v>Zoetermeer</v>
      </c>
      <c r="F84" s="450" t="s">
        <v>1705</v>
      </c>
      <c r="G84" s="434" t="s">
        <v>1678</v>
      </c>
      <c r="H84" s="436" t="s">
        <v>1753</v>
      </c>
      <c r="I84" s="437" t="s">
        <v>121</v>
      </c>
      <c r="J84" s="330">
        <v>15</v>
      </c>
      <c r="K84" s="450" t="str">
        <f>VLOOKUP(Ruimtestaat[[#This Row],[Ruimte code]],Ruimtegroepen[[#All],[Code]:[Ruimte omschrijving]],2,FALSE)</f>
        <v>Keuken/pantry</v>
      </c>
      <c r="L84" s="434" t="s">
        <v>100</v>
      </c>
      <c r="M84" s="437" t="s">
        <v>1759</v>
      </c>
      <c r="N84" s="439"/>
      <c r="O84" s="439"/>
      <c r="P84" s="439"/>
      <c r="Q84" s="439">
        <v>11</v>
      </c>
      <c r="R84" s="440" t="str">
        <f>VLOOKUP(Ruimtestaat[[#This Row],[Ruimte code]],Ruimtegroepen[],4,FALSE)</f>
        <v>Ve</v>
      </c>
      <c r="S84" s="434">
        <v>51</v>
      </c>
      <c r="T84" s="434" t="s">
        <v>2</v>
      </c>
      <c r="U84" s="434">
        <f>IF(S84&gt;0,IF(RIGHT(Ruimtestaat[[#This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4" s="434">
        <f>IF(U84&gt;0,VLOOKUP($J84,Ruimtegroepen[],3,FALSE)*VLOOKUP($L84,Vloersoorten[],3,FALSE)*VLOOKUP($T84,Frequenties[],3,FALSE)*VLOOKUP($A84,Locaties[],3,FALSE),0)</f>
        <v>0</v>
      </c>
      <c r="W84" s="434">
        <f>Ruimtestaat[[#This Row],[Uitvoeringen werkdagen]]*Ruimtestaat[[#This Row],[Oppervlak (netto)]]</f>
        <v>0</v>
      </c>
      <c r="X84" s="441">
        <f>IF(V84&gt;0,Ruimtestaat[[#This Row],[Prest. (m2 /jaar) werkdagen]]/Ruimtestaat[[#This Row],[Norm (m2/uur) werkdagen]],0)</f>
        <v>0</v>
      </c>
      <c r="Y84" s="442">
        <f>Ruimtestaat[[#This Row],[Uitvoeringen werkdagen]]*Ruimtestaat[[#This Row],[Gedeeltelijk]]</f>
        <v>0</v>
      </c>
      <c r="Z84" s="443" t="e">
        <f>IF(U84&gt;0,Ruimtestaat[[#This Row],[Prest. (m2 / jaar) werkdagen gedeeld]]/Ruimtestaat[[#This Row],[Norm (m2/uur) werkdagen]],0)</f>
        <v>#DIV/0!</v>
      </c>
      <c r="AA84" s="441" t="e">
        <f>Ruimtestaat[[#This Row],[uren / jaar werkdagen gedeeld]]*Tariefsopbouw!$E$35</f>
        <v>#DIV/0!</v>
      </c>
      <c r="AB84" s="441">
        <f>Ruimtestaat[[#This Row],[Uitvoeringen werkdagen]]*Ruimtestaat[[#This Row],[BSO]]</f>
        <v>2805</v>
      </c>
      <c r="AC84" s="443" t="e">
        <f>IF(U84&gt;0,Ruimtestaat[[#This Row],[Prest. (m2 / jaar) werkdagen BSO]]/Ruimtestaat[[#This Row],[Norm (m2/uur) werkdagen]],0)</f>
        <v>#DIV/0!</v>
      </c>
      <c r="AD84" s="443" t="e">
        <f>Ruimtestaat[[#This Row],[uren / jaar werkdagen BSO]]*Tariefsopbouw!$E$35</f>
        <v>#DIV/0!</v>
      </c>
      <c r="AE84" s="444">
        <f>Ruimtestaat[[#This Row],[uren / jaar werkdagen]]*Tariefsopbouw!$E$35</f>
        <v>0</v>
      </c>
      <c r="AF84" s="434"/>
      <c r="AG84" s="434">
        <f>IF(Ruimtestaat[[#This Row],[Frequentie weekend]]&gt;0,VALUE(LEFT(AF84,1))*S84,0)</f>
        <v>0</v>
      </c>
      <c r="AH84" s="445">
        <f>IF($AG84&gt;0,VLOOKUP($J84,Ruimtegroepen[],3,FALSE)*VLOOKUP($L84,Vloersoorten[],3,FALSE)*VLOOKUP($AF84,Frequenties[],3,FALSE)*VLOOKUP(Ruimtestaat[[#This Row],[Code]],Locaties[],3,FALSE),0)</f>
        <v>0</v>
      </c>
      <c r="AI84" s="445">
        <f>Ruimtestaat[[#This Row],[Uitvoeringen weekend]]*Ruimtestaat[[#This Row],[Oppervlak (netto)]]</f>
        <v>0</v>
      </c>
      <c r="AJ84" s="445">
        <f>IF(AH84&gt;0,Ruimtestaat[[#This Row],[Prest. (m2 /jaar) weekend]]/Ruimtestaat[[#This Row],[Norm (m2/uur) weekend]],0)</f>
        <v>0</v>
      </c>
      <c r="AK84" s="444">
        <f>Ruimtestaat[[#This Row],[uren / jaar weekend]]*Tariefsopbouw!$D$40</f>
        <v>0</v>
      </c>
      <c r="AL84" s="441">
        <f>Ruimtestaat[[#This Row],[Prest. (m2 /jaar) weekend]]+Ruimtestaat[[#This Row],[Prest. (m2 /jaar) werkdagen]]</f>
        <v>0</v>
      </c>
      <c r="AM84" s="441">
        <f>Ruimtestaat[[#This Row],[uren / jaar weekend]]+Ruimtestaat[[#This Row],[uren / jaar werkdagen]]</f>
        <v>0</v>
      </c>
      <c r="AN84" s="446">
        <f>Ruimtestaat[[#This Row],[kosten / jaar weekend]]+Ruimtestaat[[#This Row],[kosten / jaar werkdagen]]</f>
        <v>0</v>
      </c>
      <c r="AO84" s="446"/>
      <c r="AP84" s="447" t="str">
        <f>IF(Ruimtestaat[[#This Row],[Frequentie werkdagen]]="","",_xlfn.CONCAT(Ruimtestaat[[#This Row],[Ruimte code]],"-",Ruimtestaat[[#This Row],[Frequentie werkdagen]]," ",Ruimtestaat[[#This Row],[Vloer code]]))</f>
        <v>15-5w L</v>
      </c>
      <c r="AQ84" s="448" t="str">
        <f>_xlfn.IFNA(VLOOKUP($AP84,Programma!$F$3:$G$1101,2,0),"")</f>
        <v>_</v>
      </c>
      <c r="AR84" s="448" t="str">
        <f>_xlfn.IFNA(VLOOKUP($AP84,Programma!$F$3:$H$1101,3,0),"")</f>
        <v>_</v>
      </c>
      <c r="AS84" s="448" t="str">
        <f>_xlfn.IFNA(VLOOKUP($AP84,Programma!$F$3:$I$1101,4,0),"")</f>
        <v>_</v>
      </c>
      <c r="AT84" s="448" t="str">
        <f>_xlfn.IFNA(VLOOKUP($AP84,Programma!$F$3:$J$1101,5,0),"")</f>
        <v>5w</v>
      </c>
      <c r="AU84" s="448" t="str">
        <f>_xlfn.IFNA(VLOOKUP($AP84,Programma!$F$3:$K$1101,6,0),"")</f>
        <v>_</v>
      </c>
      <c r="AV84" s="448" t="str">
        <f>_xlfn.IFNA(VLOOKUP($AP84,Programma!$F$3:$L$1101,7,0),"")</f>
        <v>_</v>
      </c>
      <c r="AW84" s="448" t="str">
        <f>_xlfn.IFNA(VLOOKUP($AP84,Programma!$F$3:$M$1101,8,0),"")</f>
        <v>_</v>
      </c>
      <c r="AX84" s="448" t="str">
        <f>_xlfn.IFNA(VLOOKUP($AP84,Programma!$F$3:$N$1101,9,0),"")</f>
        <v>_</v>
      </c>
      <c r="AY84" s="448" t="str">
        <f>_xlfn.IFNA(VLOOKUP($AP84,Programma!$F$3:$O$1101,10,0),"")</f>
        <v>5w</v>
      </c>
      <c r="AZ84" s="448" t="str">
        <f>_xlfn.IFNA(VLOOKUP($AP84,Programma!$F$3:$P$1101,11,0),"")</f>
        <v>5w</v>
      </c>
      <c r="BA84" s="448" t="str">
        <f>_xlfn.IFNA(VLOOKUP($AP84,Programma!$F$3:$Q$1101,12,0),"")</f>
        <v>1w</v>
      </c>
      <c r="BB84" s="448" t="str">
        <f>_xlfn.IFNA(VLOOKUP($AP84,Programma!$F$3:$R$1101,13,0),"")</f>
        <v>1w</v>
      </c>
      <c r="BC84" s="448" t="str">
        <f>_xlfn.IFNA(VLOOKUP($AP84,Programma!$F$3:$S$1101,14,0),"")</f>
        <v>1m</v>
      </c>
      <c r="BD84" s="448" t="str">
        <f>_xlfn.IFNA(VLOOKUP($AP84,Programma!$F$3:$T$1101,15,0),"")</f>
        <v>2j</v>
      </c>
      <c r="BE84" s="448" t="str">
        <f>_xlfn.IFNA(VLOOKUP($AP84,Programma!$F$3:$U$1101,16,0),"")</f>
        <v>1j</v>
      </c>
      <c r="BF84" s="448" t="str">
        <f>_xlfn.IFNA(VLOOKUP($AP84,Programma!$F$3:$V$1101,17,0),"")</f>
        <v>_</v>
      </c>
      <c r="BG84" s="448" t="str">
        <f>_xlfn.IFNA(VLOOKUP($AP84,Programma!$F$3:$W$1101,18,0),"")</f>
        <v>_</v>
      </c>
      <c r="BH84" s="448" t="str">
        <f>_xlfn.IFNA(VLOOKUP($AP84,Programma!$F$3:$X$1101,19,0),"")</f>
        <v>_</v>
      </c>
      <c r="BI84" s="448" t="str">
        <f>_xlfn.IFNA(VLOOKUP($AP84,Programma!$F$3:$Y$1101,20,0),"")</f>
        <v>_</v>
      </c>
      <c r="BJ84" s="449"/>
      <c r="BK84" s="447" t="str">
        <f>IF(Ruimtestaat[[#This Row],[Frequentie weekend]]="","",_xlfn.CONCAT(Ruimtestaat[[#This Row],[Ruimte code]],"-",Ruimtestaat[[#This Row],[Frequentie weekend]]," ",Ruimtestaat[[#This Row],[Vloer code]]))</f>
        <v/>
      </c>
      <c r="BL84" s="448" t="str">
        <f>_xlfn.IFNA(VLOOKUP($BK84,Programma!$F$3:$G$1101,2,0),"")</f>
        <v/>
      </c>
      <c r="BM84" s="448" t="str">
        <f>_xlfn.IFNA(VLOOKUP($BK84,Programma!$F$3:$H$1101,3,0),"")</f>
        <v/>
      </c>
      <c r="BN84" s="448" t="str">
        <f>_xlfn.IFNA(VLOOKUP($BK84,Programma!$F$3:$I$1101,4,0),"")</f>
        <v/>
      </c>
      <c r="BO84" s="448" t="str">
        <f>_xlfn.IFNA(VLOOKUP($BK84,Programma!$F$3:$J$1101,5,0),"")</f>
        <v/>
      </c>
      <c r="BP84" s="448" t="str">
        <f>_xlfn.IFNA(VLOOKUP($BK84,Programma!$F$3:$K$1101,6,0),"")</f>
        <v/>
      </c>
      <c r="BQ84" s="448" t="str">
        <f>_xlfn.IFNA(VLOOKUP($BK84,Programma!$F$3:$L$1101,7,0),"")</f>
        <v/>
      </c>
      <c r="BR84" s="448" t="str">
        <f>_xlfn.IFNA(VLOOKUP($BK84,Programma!$F$3:$M$1101,8,0),"")</f>
        <v/>
      </c>
      <c r="BS84" s="448" t="str">
        <f>_xlfn.IFNA(VLOOKUP($BK84,Programma!$F$3:$N$1101,9,0),"")</f>
        <v/>
      </c>
      <c r="BT84" s="448" t="str">
        <f>_xlfn.IFNA(VLOOKUP($BK84,Programma!$F$3:$O$1101,10,0),"")</f>
        <v/>
      </c>
      <c r="BU84" s="448" t="str">
        <f>_xlfn.IFNA(VLOOKUP($BK84,Programma!$F$3:$P$1101,11,0),"")</f>
        <v/>
      </c>
      <c r="BV84" s="448" t="str">
        <f>_xlfn.IFNA(VLOOKUP($BK84,Programma!$F$3:$Q$1101,12,0),"")</f>
        <v/>
      </c>
      <c r="BW84" s="448" t="str">
        <f>_xlfn.IFNA(VLOOKUP($BK84,Programma!$F$3:$R$1101,13,0),"")</f>
        <v/>
      </c>
      <c r="BX84" s="448" t="str">
        <f>_xlfn.IFNA(VLOOKUP($BK84,Programma!$F$3:$S$1101,14,0),"")</f>
        <v/>
      </c>
      <c r="BY84" s="448" t="str">
        <f>_xlfn.IFNA(VLOOKUP($BK84,Programma!$F$3:$T$1101,15,0),"")</f>
        <v/>
      </c>
      <c r="BZ84" s="448" t="str">
        <f>_xlfn.IFNA(VLOOKUP($BK84,Programma!$F$3:$U$1101,16,0),"")</f>
        <v/>
      </c>
      <c r="CA84" s="448" t="str">
        <f>_xlfn.IFNA(VLOOKUP($BK84,Programma!$F$3:$V$1101,17,0),"")</f>
        <v/>
      </c>
      <c r="CB84" s="448" t="str">
        <f>_xlfn.IFNA(VLOOKUP($BK84,Programma!$F$3:$W$1101,18,0),"")</f>
        <v/>
      </c>
      <c r="CC84" s="448" t="str">
        <f>_xlfn.IFNA(VLOOKUP($BK84,Programma!$F$3:$X$1101,19,0),"")</f>
        <v/>
      </c>
      <c r="CD84" s="448" t="str">
        <f>_xlfn.IFNA(VLOOKUP($BK84,Programma!$F$3:$Y$1101,20,0),"")</f>
        <v/>
      </c>
      <c r="CE84" s="327"/>
      <c r="CF84" s="327"/>
      <c r="CG84" s="327"/>
      <c r="CH84" s="327"/>
      <c r="CI84" s="327"/>
      <c r="CJ84" s="327"/>
      <c r="CK84" s="327"/>
      <c r="CL84" s="327"/>
      <c r="CM84" s="327"/>
      <c r="CN84" s="327"/>
      <c r="CO84" s="327"/>
      <c r="CP84" s="327"/>
      <c r="CQ84" s="327"/>
      <c r="CR84" s="327"/>
      <c r="CS84" s="327"/>
      <c r="CT84" s="327"/>
      <c r="CU84" s="327"/>
      <c r="CV84" s="327"/>
      <c r="CW84" s="327"/>
      <c r="CX84" s="327"/>
      <c r="CY84" s="327"/>
      <c r="CZ84" s="327"/>
      <c r="DA84" s="327"/>
      <c r="DB84" s="327"/>
      <c r="DC84" s="327"/>
      <c r="DD84" s="327"/>
      <c r="DE84" s="327"/>
      <c r="DF84" s="327"/>
      <c r="DG84" s="327"/>
      <c r="DH84" s="327"/>
      <c r="DI84" s="327"/>
      <c r="DJ84" s="327"/>
      <c r="DK84" s="327"/>
      <c r="DL84" s="327"/>
      <c r="DM84" s="327"/>
      <c r="DN84" s="327"/>
      <c r="DO84" s="327"/>
      <c r="DP84" s="327"/>
      <c r="DQ84" s="327"/>
      <c r="DR84" s="327"/>
      <c r="DS84" s="327"/>
      <c r="DT84" s="327"/>
      <c r="DU84" s="327"/>
      <c r="DV84" s="327"/>
      <c r="DW84" s="327"/>
      <c r="DX84" s="327"/>
      <c r="DY84" s="327"/>
      <c r="DZ84" s="327"/>
      <c r="EA84" s="327"/>
      <c r="EB84" s="327"/>
      <c r="EC84" s="327"/>
      <c r="ED84" s="327"/>
      <c r="EE84" s="327"/>
      <c r="EF84" s="327"/>
      <c r="EG84" s="327"/>
      <c r="EH84" s="327"/>
      <c r="EI84" s="327"/>
      <c r="EJ84" s="327"/>
      <c r="EK84" s="327"/>
      <c r="EL84" s="327"/>
      <c r="EM84" s="327"/>
      <c r="EN84" s="327"/>
      <c r="EO84" s="327"/>
      <c r="EP84" s="327"/>
      <c r="EQ84" s="327"/>
      <c r="ER84" s="327"/>
      <c r="ES84" s="327"/>
      <c r="ET84" s="327"/>
      <c r="EU84" s="327"/>
      <c r="EV84" s="327"/>
      <c r="EW84" s="327"/>
      <c r="EX84" s="327"/>
      <c r="EY84" s="327"/>
      <c r="EZ84" s="327"/>
      <c r="FA84" s="327"/>
      <c r="FB84" s="327"/>
      <c r="FC84" s="327"/>
      <c r="FD84" s="327"/>
      <c r="FE84" s="327"/>
      <c r="FF84" s="327"/>
      <c r="FG84" s="327"/>
      <c r="FH84" s="327"/>
      <c r="FI84" s="327"/>
      <c r="FJ84" s="327"/>
      <c r="FK84" s="327"/>
      <c r="FL84" s="327"/>
      <c r="FM84" s="327"/>
      <c r="FN84" s="327"/>
      <c r="FO84" s="327"/>
      <c r="FP84" s="327"/>
      <c r="FQ84" s="327"/>
      <c r="FR84" s="327"/>
      <c r="FS84" s="327"/>
      <c r="FT84" s="327"/>
      <c r="FU84" s="327"/>
      <c r="FV84" s="327"/>
      <c r="FW84" s="327"/>
      <c r="FX84" s="327"/>
      <c r="FY84" s="327"/>
      <c r="FZ84" s="327"/>
      <c r="GA84" s="327"/>
      <c r="GB84" s="327"/>
      <c r="GC84" s="327"/>
      <c r="GD84" s="327"/>
      <c r="GE84" s="327"/>
      <c r="GF84" s="327"/>
      <c r="GG84" s="327"/>
      <c r="GH84" s="327"/>
      <c r="GI84" s="327"/>
      <c r="GJ84" s="327"/>
      <c r="GK84" s="327"/>
      <c r="GL84" s="327"/>
      <c r="GM84" s="327"/>
      <c r="GN84" s="327"/>
      <c r="GO84" s="327"/>
      <c r="GP84" s="327"/>
      <c r="GQ84" s="327"/>
      <c r="GR84" s="327"/>
      <c r="GS84" s="327"/>
      <c r="GT84" s="327"/>
      <c r="GU84" s="327"/>
      <c r="GV84" s="327"/>
      <c r="GW84" s="327"/>
      <c r="GX84" s="327"/>
      <c r="GY84" s="327"/>
      <c r="GZ84" s="327"/>
      <c r="HA84" s="327"/>
      <c r="HB84" s="327"/>
      <c r="HC84" s="327"/>
      <c r="HD84" s="327"/>
      <c r="HE84" s="327"/>
      <c r="HF84" s="327"/>
      <c r="HG84" s="327"/>
      <c r="HH84" s="327"/>
      <c r="HI84" s="327"/>
      <c r="HJ84" s="327"/>
      <c r="HK84" s="327"/>
      <c r="HL84" s="327"/>
      <c r="HM84" s="327"/>
      <c r="HN84" s="327"/>
      <c r="HO84" s="327"/>
      <c r="HP84" s="327"/>
      <c r="HQ84" s="327"/>
      <c r="HR84" s="327"/>
      <c r="HS84" s="327"/>
    </row>
    <row r="85" spans="1:227" ht="15" customHeight="1">
      <c r="A85" s="434">
        <v>4</v>
      </c>
      <c r="B85" s="435" t="str">
        <f>VLOOKUP(Ruimtestaat[[#This Row],[Code]],Locaties[[Code]:[Locatie]],2,FALSE)</f>
        <v>IKC De Waterlelie</v>
      </c>
      <c r="C85" s="435" t="str">
        <f>VLOOKUP(Ruimtestaat[[#This Row],[Code]],Locaties[[#All],[Code]:[Adres]],4,FALSE)</f>
        <v>Goudenregenzoom 73</v>
      </c>
      <c r="D85" s="435" t="str">
        <f>VLOOKUP(Ruimtestaat[[#This Row],[Code]],Locaties[[#All],[Code]:[Postcode]],5,FALSE)</f>
        <v>2719 HE</v>
      </c>
      <c r="E85" s="435" t="str">
        <f>VLOOKUP(Ruimtestaat[[#This Row],[Code]],Locaties[#All],6,FALSE)</f>
        <v>Zoetermeer</v>
      </c>
      <c r="F85" s="434"/>
      <c r="G85" s="434" t="s">
        <v>1678</v>
      </c>
      <c r="H85" s="436" t="s">
        <v>1754</v>
      </c>
      <c r="I85" s="437" t="s">
        <v>1749</v>
      </c>
      <c r="J85" s="330">
        <v>2</v>
      </c>
      <c r="K85" s="450" t="str">
        <f>VLOOKUP(Ruimtestaat[[#This Row],[Ruimte code]],Ruimtegroepen[[#All],[Code]:[Ruimte omschrijving]],2,FALSE)</f>
        <v>Kantoren</v>
      </c>
      <c r="L85" s="434" t="s">
        <v>100</v>
      </c>
      <c r="M85" s="437" t="s">
        <v>1759</v>
      </c>
      <c r="N85" s="439">
        <v>21</v>
      </c>
      <c r="O85" s="439"/>
      <c r="P85" s="439"/>
      <c r="Q85" s="439"/>
      <c r="R85" s="440" t="str">
        <f>VLOOKUP(Ruimtestaat[[#This Row],[Ruimte code]],Ruimtegroepen[],4,FALSE)</f>
        <v>Bu</v>
      </c>
      <c r="S85" s="434">
        <v>41</v>
      </c>
      <c r="T85" s="434" t="s">
        <v>17</v>
      </c>
      <c r="U85" s="434">
        <f>IF(S85&gt;0,IF(RIGHT(Ruimtestaat[[#This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85" s="434">
        <f>IF(U85&gt;0,VLOOKUP($J85,Ruimtegroepen[],3,FALSE)*VLOOKUP($L85,Vloersoorten[],3,FALSE)*VLOOKUP($T85,Frequenties[],3,FALSE)*VLOOKUP($A85,Locaties[],3,FALSE),0)</f>
        <v>0</v>
      </c>
      <c r="W85" s="434">
        <f>Ruimtestaat[[#This Row],[Uitvoeringen werkdagen]]*Ruimtestaat[[#This Row],[Oppervlak (netto)]]</f>
        <v>1722</v>
      </c>
      <c r="X85" s="441">
        <f>IF(V85&gt;0,Ruimtestaat[[#This Row],[Prest. (m2 /jaar) werkdagen]]/Ruimtestaat[[#This Row],[Norm (m2/uur) werkdagen]],0)</f>
        <v>0</v>
      </c>
      <c r="Y85" s="442">
        <f>Ruimtestaat[[#This Row],[Uitvoeringen werkdagen]]*Ruimtestaat[[#This Row],[Gedeeltelijk]]</f>
        <v>0</v>
      </c>
      <c r="Z85" s="443" t="e">
        <f>IF(U85&gt;0,Ruimtestaat[[#This Row],[Prest. (m2 / jaar) werkdagen gedeeld]]/Ruimtestaat[[#This Row],[Norm (m2/uur) werkdagen]],0)</f>
        <v>#DIV/0!</v>
      </c>
      <c r="AA85" s="441" t="e">
        <f>Ruimtestaat[[#This Row],[uren / jaar werkdagen gedeeld]]*Tariefsopbouw!$E$35</f>
        <v>#DIV/0!</v>
      </c>
      <c r="AB85" s="441">
        <f>Ruimtestaat[[#This Row],[Uitvoeringen werkdagen]]*Ruimtestaat[[#This Row],[BSO]]</f>
        <v>0</v>
      </c>
      <c r="AC85" s="443" t="e">
        <f>IF(U85&gt;0,Ruimtestaat[[#This Row],[Prest. (m2 / jaar) werkdagen BSO]]/Ruimtestaat[[#This Row],[Norm (m2/uur) werkdagen]],0)</f>
        <v>#DIV/0!</v>
      </c>
      <c r="AD85" s="443" t="e">
        <f>Ruimtestaat[[#This Row],[uren / jaar werkdagen BSO]]*Tariefsopbouw!$E$35</f>
        <v>#DIV/0!</v>
      </c>
      <c r="AE85" s="444">
        <f>Ruimtestaat[[#This Row],[uren / jaar werkdagen]]*Tariefsopbouw!$E$35</f>
        <v>0</v>
      </c>
      <c r="AF85" s="434"/>
      <c r="AG85" s="434">
        <f>IF(Ruimtestaat[[#This Row],[Frequentie weekend]]&gt;0,VALUE(LEFT(AF85,1))*S85,0)</f>
        <v>0</v>
      </c>
      <c r="AH85" s="445">
        <f>IF($AG85&gt;0,VLOOKUP($J85,Ruimtegroepen[],3,FALSE)*VLOOKUP($L85,Vloersoorten[],3,FALSE)*VLOOKUP($AF85,Frequenties[],3,FALSE)*VLOOKUP(Ruimtestaat[[#This Row],[Code]],Locaties[],3,FALSE),0)</f>
        <v>0</v>
      </c>
      <c r="AI85" s="445">
        <f>Ruimtestaat[[#This Row],[Uitvoeringen weekend]]*Ruimtestaat[[#This Row],[Oppervlak (netto)]]</f>
        <v>0</v>
      </c>
      <c r="AJ85" s="445">
        <f>IF(AH85&gt;0,Ruimtestaat[[#This Row],[Prest. (m2 /jaar) weekend]]/Ruimtestaat[[#This Row],[Norm (m2/uur) weekend]],0)</f>
        <v>0</v>
      </c>
      <c r="AK85" s="444">
        <f>Ruimtestaat[[#This Row],[uren / jaar weekend]]*Tariefsopbouw!$D$40</f>
        <v>0</v>
      </c>
      <c r="AL85" s="441">
        <f>Ruimtestaat[[#This Row],[Prest. (m2 /jaar) weekend]]+Ruimtestaat[[#This Row],[Prest. (m2 /jaar) werkdagen]]</f>
        <v>1722</v>
      </c>
      <c r="AM85" s="441">
        <f>Ruimtestaat[[#This Row],[uren / jaar weekend]]+Ruimtestaat[[#This Row],[uren / jaar werkdagen]]</f>
        <v>0</v>
      </c>
      <c r="AN85" s="446">
        <f>Ruimtestaat[[#This Row],[kosten / jaar weekend]]+Ruimtestaat[[#This Row],[kosten / jaar werkdagen]]</f>
        <v>0</v>
      </c>
      <c r="AO85" s="446"/>
      <c r="AP85" s="447" t="str">
        <f>IF(Ruimtestaat[[#This Row],[Frequentie werkdagen]]="","",_xlfn.CONCAT(Ruimtestaat[[#This Row],[Ruimte code]],"-",Ruimtestaat[[#This Row],[Frequentie werkdagen]]," ",Ruimtestaat[[#This Row],[Vloer code]]))</f>
        <v>2-2w L</v>
      </c>
      <c r="AQ85" s="448" t="str">
        <f>_xlfn.IFNA(VLOOKUP($AP85,Programma!$F$3:$G$1101,2,0),"")</f>
        <v>_</v>
      </c>
      <c r="AR85" s="448" t="str">
        <f>_xlfn.IFNA(VLOOKUP($AP85,Programma!$F$3:$H$1101,3,0),"")</f>
        <v>_</v>
      </c>
      <c r="AS85" s="448" t="str">
        <f>_xlfn.IFNA(VLOOKUP($AP85,Programma!$F$3:$I$1101,4,0),"")</f>
        <v>1w</v>
      </c>
      <c r="AT85" s="448" t="str">
        <f>_xlfn.IFNA(VLOOKUP($AP85,Programma!$F$3:$J$1101,5,0),"")</f>
        <v>1w</v>
      </c>
      <c r="AU85" s="448" t="str">
        <f>_xlfn.IFNA(VLOOKUP($AP85,Programma!$F$3:$K$1101,6,0),"")</f>
        <v>_</v>
      </c>
      <c r="AV85" s="448" t="str">
        <f>_xlfn.IFNA(VLOOKUP($AP85,Programma!$F$3:$L$1101,7,0),"")</f>
        <v>_</v>
      </c>
      <c r="AW85" s="448" t="str">
        <f>_xlfn.IFNA(VLOOKUP($AP85,Programma!$F$3:$M$1101,8,0),"")</f>
        <v>_</v>
      </c>
      <c r="AX85" s="448" t="str">
        <f>_xlfn.IFNA(VLOOKUP($AP85,Programma!$F$3:$N$1101,9,0),"")</f>
        <v>_</v>
      </c>
      <c r="AY85" s="448" t="str">
        <f>_xlfn.IFNA(VLOOKUP($AP85,Programma!$F$3:$O$1101,10,0),"")</f>
        <v>2w</v>
      </c>
      <c r="AZ85" s="448" t="str">
        <f>_xlfn.IFNA(VLOOKUP($AP85,Programma!$F$3:$P$1101,11,0),"")</f>
        <v>2w</v>
      </c>
      <c r="BA85" s="448" t="str">
        <f>_xlfn.IFNA(VLOOKUP($AP85,Programma!$F$3:$Q$1101,12,0),"")</f>
        <v>1w</v>
      </c>
      <c r="BB85" s="448" t="str">
        <f>_xlfn.IFNA(VLOOKUP($AP85,Programma!$F$3:$R$1101,13,0),"")</f>
        <v>1w</v>
      </c>
      <c r="BC85" s="448" t="str">
        <f>_xlfn.IFNA(VLOOKUP($AP85,Programma!$F$3:$S$1101,14,0),"")</f>
        <v>1m</v>
      </c>
      <c r="BD85" s="448" t="str">
        <f>_xlfn.IFNA(VLOOKUP($AP85,Programma!$F$3:$T$1101,15,0),"")</f>
        <v>2j</v>
      </c>
      <c r="BE85" s="448" t="str">
        <f>_xlfn.IFNA(VLOOKUP($AP85,Programma!$F$3:$U$1101,16,0),"")</f>
        <v>1j</v>
      </c>
      <c r="BF85" s="448" t="str">
        <f>_xlfn.IFNA(VLOOKUP($AP85,Programma!$F$3:$V$1101,17,0),"")</f>
        <v>_</v>
      </c>
      <c r="BG85" s="448" t="str">
        <f>_xlfn.IFNA(VLOOKUP($AP85,Programma!$F$3:$W$1101,18,0),"")</f>
        <v>_</v>
      </c>
      <c r="BH85" s="448" t="str">
        <f>_xlfn.IFNA(VLOOKUP($AP85,Programma!$F$3:$X$1101,19,0),"")</f>
        <v>_</v>
      </c>
      <c r="BI85" s="448" t="str">
        <f>_xlfn.IFNA(VLOOKUP($AP85,Programma!$F$3:$Y$1101,20,0),"")</f>
        <v>_</v>
      </c>
      <c r="BJ85" s="449"/>
      <c r="BK85" s="447" t="str">
        <f>IF(Ruimtestaat[[#This Row],[Frequentie weekend]]="","",_xlfn.CONCAT(Ruimtestaat[[#This Row],[Ruimte code]],"-",Ruimtestaat[[#This Row],[Frequentie weekend]]," ",Ruimtestaat[[#This Row],[Vloer code]]))</f>
        <v/>
      </c>
      <c r="BL85" s="448" t="str">
        <f>_xlfn.IFNA(VLOOKUP($BK85,Programma!$F$3:$G$1101,2,0),"")</f>
        <v/>
      </c>
      <c r="BM85" s="448" t="str">
        <f>_xlfn.IFNA(VLOOKUP($BK85,Programma!$F$3:$H$1101,3,0),"")</f>
        <v/>
      </c>
      <c r="BN85" s="448" t="str">
        <f>_xlfn.IFNA(VLOOKUP($BK85,Programma!$F$3:$I$1101,4,0),"")</f>
        <v/>
      </c>
      <c r="BO85" s="448" t="str">
        <f>_xlfn.IFNA(VLOOKUP($BK85,Programma!$F$3:$J$1101,5,0),"")</f>
        <v/>
      </c>
      <c r="BP85" s="448" t="str">
        <f>_xlfn.IFNA(VLOOKUP($BK85,Programma!$F$3:$K$1101,6,0),"")</f>
        <v/>
      </c>
      <c r="BQ85" s="448" t="str">
        <f>_xlfn.IFNA(VLOOKUP($BK85,Programma!$F$3:$L$1101,7,0),"")</f>
        <v/>
      </c>
      <c r="BR85" s="448" t="str">
        <f>_xlfn.IFNA(VLOOKUP($BK85,Programma!$F$3:$M$1101,8,0),"")</f>
        <v/>
      </c>
      <c r="BS85" s="448" t="str">
        <f>_xlfn.IFNA(VLOOKUP($BK85,Programma!$F$3:$N$1101,9,0),"")</f>
        <v/>
      </c>
      <c r="BT85" s="448" t="str">
        <f>_xlfn.IFNA(VLOOKUP($BK85,Programma!$F$3:$O$1101,10,0),"")</f>
        <v/>
      </c>
      <c r="BU85" s="448" t="str">
        <f>_xlfn.IFNA(VLOOKUP($BK85,Programma!$F$3:$P$1101,11,0),"")</f>
        <v/>
      </c>
      <c r="BV85" s="448" t="str">
        <f>_xlfn.IFNA(VLOOKUP($BK85,Programma!$F$3:$Q$1101,12,0),"")</f>
        <v/>
      </c>
      <c r="BW85" s="448" t="str">
        <f>_xlfn.IFNA(VLOOKUP($BK85,Programma!$F$3:$R$1101,13,0),"")</f>
        <v/>
      </c>
      <c r="BX85" s="448" t="str">
        <f>_xlfn.IFNA(VLOOKUP($BK85,Programma!$F$3:$S$1101,14,0),"")</f>
        <v/>
      </c>
      <c r="BY85" s="448" t="str">
        <f>_xlfn.IFNA(VLOOKUP($BK85,Programma!$F$3:$T$1101,15,0),"")</f>
        <v/>
      </c>
      <c r="BZ85" s="448" t="str">
        <f>_xlfn.IFNA(VLOOKUP($BK85,Programma!$F$3:$U$1101,16,0),"")</f>
        <v/>
      </c>
      <c r="CA85" s="448" t="str">
        <f>_xlfn.IFNA(VLOOKUP($BK85,Programma!$F$3:$V$1101,17,0),"")</f>
        <v/>
      </c>
      <c r="CB85" s="448" t="str">
        <f>_xlfn.IFNA(VLOOKUP($BK85,Programma!$F$3:$W$1101,18,0),"")</f>
        <v/>
      </c>
      <c r="CC85" s="448" t="str">
        <f>_xlfn.IFNA(VLOOKUP($BK85,Programma!$F$3:$X$1101,19,0),"")</f>
        <v/>
      </c>
      <c r="CD85" s="448" t="str">
        <f>_xlfn.IFNA(VLOOKUP($BK85,Programma!$F$3:$Y$1101,20,0),"")</f>
        <v/>
      </c>
      <c r="CE85" s="327"/>
      <c r="CF85" s="327"/>
      <c r="CG85" s="327"/>
      <c r="CH85" s="327"/>
      <c r="CI85" s="327"/>
      <c r="CJ85" s="327"/>
      <c r="CK85" s="327"/>
      <c r="CL85" s="327"/>
      <c r="CM85" s="327"/>
      <c r="CN85" s="327"/>
      <c r="CO85" s="327"/>
      <c r="CP85" s="327"/>
      <c r="CQ85" s="327"/>
      <c r="CR85" s="327"/>
      <c r="CS85" s="327"/>
      <c r="CT85" s="327"/>
      <c r="CU85" s="327"/>
      <c r="CV85" s="327"/>
      <c r="CW85" s="327"/>
      <c r="CX85" s="327"/>
      <c r="CY85" s="327"/>
      <c r="CZ85" s="327"/>
      <c r="DA85" s="327"/>
      <c r="DB85" s="327"/>
      <c r="DC85" s="327"/>
      <c r="DD85" s="327"/>
      <c r="DE85" s="327"/>
      <c r="DF85" s="327"/>
      <c r="DG85" s="327"/>
      <c r="DH85" s="327"/>
      <c r="DI85" s="327"/>
      <c r="DJ85" s="327"/>
      <c r="DK85" s="327"/>
      <c r="DL85" s="327"/>
      <c r="DM85" s="327"/>
      <c r="DN85" s="327"/>
      <c r="DO85" s="327"/>
      <c r="DP85" s="327"/>
      <c r="DQ85" s="327"/>
      <c r="DR85" s="327"/>
      <c r="DS85" s="327"/>
      <c r="DT85" s="327"/>
      <c r="DU85" s="327"/>
      <c r="DV85" s="327"/>
      <c r="DW85" s="327"/>
      <c r="DX85" s="327"/>
      <c r="DY85" s="327"/>
      <c r="DZ85" s="327"/>
      <c r="EA85" s="327"/>
      <c r="EB85" s="327"/>
      <c r="EC85" s="327"/>
      <c r="ED85" s="327"/>
      <c r="EE85" s="327"/>
      <c r="EF85" s="327"/>
      <c r="EG85" s="327"/>
      <c r="EH85" s="327"/>
      <c r="EI85" s="327"/>
      <c r="EJ85" s="327"/>
      <c r="EK85" s="327"/>
      <c r="EL85" s="327"/>
      <c r="EM85" s="327"/>
      <c r="EN85" s="327"/>
      <c r="EO85" s="327"/>
      <c r="EP85" s="327"/>
      <c r="EQ85" s="327"/>
      <c r="ER85" s="327"/>
      <c r="ES85" s="327"/>
      <c r="ET85" s="327"/>
      <c r="EU85" s="327"/>
      <c r="EV85" s="327"/>
      <c r="EW85" s="327"/>
      <c r="EX85" s="327"/>
      <c r="EY85" s="327"/>
      <c r="EZ85" s="327"/>
      <c r="FA85" s="327"/>
      <c r="FB85" s="327"/>
      <c r="FC85" s="327"/>
      <c r="FD85" s="327"/>
      <c r="FE85" s="327"/>
      <c r="FF85" s="327"/>
      <c r="FG85" s="327"/>
      <c r="FH85" s="327"/>
      <c r="FI85" s="327"/>
      <c r="FJ85" s="327"/>
      <c r="FK85" s="327"/>
      <c r="FL85" s="327"/>
      <c r="FM85" s="327"/>
      <c r="FN85" s="327"/>
      <c r="FO85" s="327"/>
      <c r="FP85" s="327"/>
      <c r="FQ85" s="327"/>
      <c r="FR85" s="327"/>
      <c r="FS85" s="327"/>
      <c r="FT85" s="327"/>
      <c r="FU85" s="327"/>
      <c r="FV85" s="327"/>
      <c r="FW85" s="327"/>
      <c r="FX85" s="327"/>
      <c r="FY85" s="327"/>
      <c r="FZ85" s="327"/>
      <c r="GA85" s="327"/>
      <c r="GB85" s="327"/>
      <c r="GC85" s="327"/>
      <c r="GD85" s="327"/>
      <c r="GE85" s="327"/>
      <c r="GF85" s="327"/>
      <c r="GG85" s="327"/>
      <c r="GH85" s="327"/>
      <c r="GI85" s="327"/>
      <c r="GJ85" s="327"/>
      <c r="GK85" s="327"/>
      <c r="GL85" s="327"/>
      <c r="GM85" s="327"/>
      <c r="GN85" s="327"/>
      <c r="GO85" s="327"/>
      <c r="GP85" s="327"/>
      <c r="GQ85" s="327"/>
      <c r="GR85" s="327"/>
      <c r="GS85" s="327"/>
      <c r="GT85" s="327"/>
      <c r="GU85" s="327"/>
      <c r="GV85" s="327"/>
      <c r="GW85" s="327"/>
      <c r="GX85" s="327"/>
      <c r="GY85" s="327"/>
      <c r="GZ85" s="327"/>
      <c r="HA85" s="327"/>
      <c r="HB85" s="327"/>
      <c r="HC85" s="327"/>
      <c r="HD85" s="327"/>
      <c r="HE85" s="327"/>
      <c r="HF85" s="327"/>
      <c r="HG85" s="327"/>
      <c r="HH85" s="327"/>
      <c r="HI85" s="327"/>
      <c r="HJ85" s="327"/>
      <c r="HK85" s="327"/>
      <c r="HL85" s="327"/>
      <c r="HM85" s="327"/>
      <c r="HN85" s="327"/>
      <c r="HO85" s="327"/>
      <c r="HP85" s="327"/>
      <c r="HQ85" s="327"/>
      <c r="HR85" s="327"/>
      <c r="HS85" s="327"/>
    </row>
    <row r="86" spans="1:227" ht="15" customHeight="1">
      <c r="A86" s="434">
        <v>4</v>
      </c>
      <c r="B86" s="435" t="str">
        <f>VLOOKUP(Ruimtestaat[[#This Row],[Code]],Locaties[[Code]:[Locatie]],2,FALSE)</f>
        <v>IKC De Waterlelie</v>
      </c>
      <c r="C86" s="435" t="str">
        <f>VLOOKUP(Ruimtestaat[[#This Row],[Code]],Locaties[[#All],[Code]:[Adres]],4,FALSE)</f>
        <v>Goudenregenzoom 73</v>
      </c>
      <c r="D86" s="435" t="str">
        <f>VLOOKUP(Ruimtestaat[[#This Row],[Code]],Locaties[[#All],[Code]:[Postcode]],5,FALSE)</f>
        <v>2719 HE</v>
      </c>
      <c r="E86" s="435" t="str">
        <f>VLOOKUP(Ruimtestaat[[#This Row],[Code]],Locaties[#All],6,FALSE)</f>
        <v>Zoetermeer</v>
      </c>
      <c r="F86" s="434"/>
      <c r="G86" s="434" t="s">
        <v>1678</v>
      </c>
      <c r="H86" s="436" t="s">
        <v>1755</v>
      </c>
      <c r="I86" s="437" t="s">
        <v>1756</v>
      </c>
      <c r="J86" s="330">
        <v>20</v>
      </c>
      <c r="K86" s="450" t="str">
        <f>VLOOKUP(Ruimtestaat[[#This Row],[Ruimte code]],Ruimtegroepen[[#All],[Code]:[Ruimte omschrijving]],2,FALSE)</f>
        <v>Niet in Onderhoud</v>
      </c>
      <c r="L86" s="434" t="s">
        <v>100</v>
      </c>
      <c r="M86" s="437" t="s">
        <v>1759</v>
      </c>
      <c r="N86" s="439"/>
      <c r="O86" s="439"/>
      <c r="P86" s="439"/>
      <c r="Q86" s="439"/>
      <c r="R86" s="440">
        <f>VLOOKUP(Ruimtestaat[[#This Row],[Ruimte code]],Ruimtegroepen[],4,FALSE)</f>
        <v>0</v>
      </c>
      <c r="S86" s="434"/>
      <c r="T86" s="434"/>
      <c r="U86" s="434">
        <f>IF(S86&gt;0,IF(RIGHT(Ruimtestaat[[#This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6" s="434">
        <f>IF(U86&gt;0,VLOOKUP($J86,Ruimtegroepen[],3,FALSE)*VLOOKUP($L86,Vloersoorten[],3,FALSE)*VLOOKUP($T86,Frequenties[],3,FALSE)*VLOOKUP($A86,Locaties[],3,FALSE),0)</f>
        <v>0</v>
      </c>
      <c r="W86" s="434">
        <f>Ruimtestaat[[#This Row],[Uitvoeringen werkdagen]]*Ruimtestaat[[#This Row],[Oppervlak (netto)]]</f>
        <v>0</v>
      </c>
      <c r="X86" s="441">
        <f>IF(V86&gt;0,Ruimtestaat[[#This Row],[Prest. (m2 /jaar) werkdagen]]/Ruimtestaat[[#This Row],[Norm (m2/uur) werkdagen]],0)</f>
        <v>0</v>
      </c>
      <c r="Y86" s="442">
        <f>Ruimtestaat[[#This Row],[Uitvoeringen werkdagen]]*Ruimtestaat[[#This Row],[Gedeeltelijk]]</f>
        <v>0</v>
      </c>
      <c r="Z86" s="443">
        <f>IF(U86&gt;0,Ruimtestaat[[#This Row],[Prest. (m2 / jaar) werkdagen gedeeld]]/Ruimtestaat[[#This Row],[Norm (m2/uur) werkdagen]],0)</f>
        <v>0</v>
      </c>
      <c r="AA86" s="441">
        <f>Ruimtestaat[[#This Row],[uren / jaar werkdagen gedeeld]]*Tariefsopbouw!$E$35</f>
        <v>0</v>
      </c>
      <c r="AB86" s="441">
        <f>Ruimtestaat[[#This Row],[Uitvoeringen werkdagen]]*Ruimtestaat[[#This Row],[BSO]]</f>
        <v>0</v>
      </c>
      <c r="AC86" s="443">
        <f>IF(U86&gt;0,Ruimtestaat[[#This Row],[Prest. (m2 / jaar) werkdagen BSO]]/Ruimtestaat[[#This Row],[Norm (m2/uur) werkdagen]],0)</f>
        <v>0</v>
      </c>
      <c r="AD86" s="443">
        <f>Ruimtestaat[[#This Row],[uren / jaar werkdagen BSO]]*Tariefsopbouw!$E$35</f>
        <v>0</v>
      </c>
      <c r="AE86" s="444">
        <f>Ruimtestaat[[#This Row],[uren / jaar werkdagen]]*Tariefsopbouw!$E$35</f>
        <v>0</v>
      </c>
      <c r="AF86" s="434"/>
      <c r="AG86" s="434">
        <f>IF(Ruimtestaat[[#This Row],[Frequentie weekend]]&gt;0,VALUE(LEFT(AF86,1))*S86,0)</f>
        <v>0</v>
      </c>
      <c r="AH86" s="445">
        <f>IF($AG86&gt;0,VLOOKUP($J86,Ruimtegroepen[],3,FALSE)*VLOOKUP($L86,Vloersoorten[],3,FALSE)*VLOOKUP($AF86,Frequenties[],3,FALSE)*VLOOKUP(Ruimtestaat[[#This Row],[Code]],Locaties[],3,FALSE),0)</f>
        <v>0</v>
      </c>
      <c r="AI86" s="445">
        <f>Ruimtestaat[[#This Row],[Uitvoeringen weekend]]*Ruimtestaat[[#This Row],[Oppervlak (netto)]]</f>
        <v>0</v>
      </c>
      <c r="AJ86" s="445">
        <f>IF(AH86&gt;0,Ruimtestaat[[#This Row],[Prest. (m2 /jaar) weekend]]/Ruimtestaat[[#This Row],[Norm (m2/uur) weekend]],0)</f>
        <v>0</v>
      </c>
      <c r="AK86" s="444">
        <f>Ruimtestaat[[#This Row],[uren / jaar weekend]]*Tariefsopbouw!$D$40</f>
        <v>0</v>
      </c>
      <c r="AL86" s="441">
        <f>Ruimtestaat[[#This Row],[Prest. (m2 /jaar) weekend]]+Ruimtestaat[[#This Row],[Prest. (m2 /jaar) werkdagen]]</f>
        <v>0</v>
      </c>
      <c r="AM86" s="441">
        <f>Ruimtestaat[[#This Row],[uren / jaar weekend]]+Ruimtestaat[[#This Row],[uren / jaar werkdagen]]</f>
        <v>0</v>
      </c>
      <c r="AN86" s="446">
        <f>Ruimtestaat[[#This Row],[kosten / jaar weekend]]+Ruimtestaat[[#This Row],[kosten / jaar werkdagen]]</f>
        <v>0</v>
      </c>
      <c r="AO86" s="446"/>
      <c r="AP86" s="447" t="str">
        <f>IF(Ruimtestaat[[#This Row],[Frequentie werkdagen]]="","",_xlfn.CONCAT(Ruimtestaat[[#This Row],[Ruimte code]],"-",Ruimtestaat[[#This Row],[Frequentie werkdagen]]," ",Ruimtestaat[[#This Row],[Vloer code]]))</f>
        <v/>
      </c>
      <c r="AQ86" s="448" t="str">
        <f>_xlfn.IFNA(VLOOKUP($AP86,Programma!$F$3:$G$1101,2,0),"")</f>
        <v/>
      </c>
      <c r="AR86" s="448" t="str">
        <f>_xlfn.IFNA(VLOOKUP($AP86,Programma!$F$3:$H$1101,3,0),"")</f>
        <v/>
      </c>
      <c r="AS86" s="448" t="str">
        <f>_xlfn.IFNA(VLOOKUP($AP86,Programma!$F$3:$I$1101,4,0),"")</f>
        <v/>
      </c>
      <c r="AT86" s="448" t="str">
        <f>_xlfn.IFNA(VLOOKUP($AP86,Programma!$F$3:$J$1101,5,0),"")</f>
        <v/>
      </c>
      <c r="AU86" s="448" t="str">
        <f>_xlfn.IFNA(VLOOKUP($AP86,Programma!$F$3:$K$1101,6,0),"")</f>
        <v/>
      </c>
      <c r="AV86" s="448" t="str">
        <f>_xlfn.IFNA(VLOOKUP($AP86,Programma!$F$3:$L$1101,7,0),"")</f>
        <v/>
      </c>
      <c r="AW86" s="448" t="str">
        <f>_xlfn.IFNA(VLOOKUP($AP86,Programma!$F$3:$M$1101,8,0),"")</f>
        <v/>
      </c>
      <c r="AX86" s="448" t="str">
        <f>_xlfn.IFNA(VLOOKUP($AP86,Programma!$F$3:$N$1101,9,0),"")</f>
        <v/>
      </c>
      <c r="AY86" s="448" t="str">
        <f>_xlfn.IFNA(VLOOKUP($AP86,Programma!$F$3:$O$1101,10,0),"")</f>
        <v/>
      </c>
      <c r="AZ86" s="448" t="str">
        <f>_xlfn.IFNA(VLOOKUP($AP86,Programma!$F$3:$P$1101,11,0),"")</f>
        <v/>
      </c>
      <c r="BA86" s="448" t="str">
        <f>_xlfn.IFNA(VLOOKUP($AP86,Programma!$F$3:$Q$1101,12,0),"")</f>
        <v/>
      </c>
      <c r="BB86" s="448" t="str">
        <f>_xlfn.IFNA(VLOOKUP($AP86,Programma!$F$3:$R$1101,13,0),"")</f>
        <v/>
      </c>
      <c r="BC86" s="448" t="str">
        <f>_xlfn.IFNA(VLOOKUP($AP86,Programma!$F$3:$S$1101,14,0),"")</f>
        <v/>
      </c>
      <c r="BD86" s="448" t="str">
        <f>_xlfn.IFNA(VLOOKUP($AP86,Programma!$F$3:$T$1101,15,0),"")</f>
        <v/>
      </c>
      <c r="BE86" s="448" t="str">
        <f>_xlfn.IFNA(VLOOKUP($AP86,Programma!$F$3:$U$1101,16,0),"")</f>
        <v/>
      </c>
      <c r="BF86" s="448" t="str">
        <f>_xlfn.IFNA(VLOOKUP($AP86,Programma!$F$3:$V$1101,17,0),"")</f>
        <v/>
      </c>
      <c r="BG86" s="448" t="str">
        <f>_xlfn.IFNA(VLOOKUP($AP86,Programma!$F$3:$W$1101,18,0),"")</f>
        <v/>
      </c>
      <c r="BH86" s="448" t="str">
        <f>_xlfn.IFNA(VLOOKUP($AP86,Programma!$F$3:$X$1101,19,0),"")</f>
        <v/>
      </c>
      <c r="BI86" s="448" t="str">
        <f>_xlfn.IFNA(VLOOKUP($AP86,Programma!$F$3:$Y$1101,20,0),"")</f>
        <v/>
      </c>
      <c r="BJ86" s="449"/>
      <c r="BK86" s="447" t="str">
        <f>IF(Ruimtestaat[[#This Row],[Frequentie weekend]]="","",_xlfn.CONCAT(Ruimtestaat[[#This Row],[Ruimte code]],"-",Ruimtestaat[[#This Row],[Frequentie weekend]]," ",Ruimtestaat[[#This Row],[Vloer code]]))</f>
        <v/>
      </c>
      <c r="BL86" s="448" t="str">
        <f>_xlfn.IFNA(VLOOKUP($BK86,Programma!$F$3:$G$1101,2,0),"")</f>
        <v/>
      </c>
      <c r="BM86" s="448" t="str">
        <f>_xlfn.IFNA(VLOOKUP($BK86,Programma!$F$3:$H$1101,3,0),"")</f>
        <v/>
      </c>
      <c r="BN86" s="448" t="str">
        <f>_xlfn.IFNA(VLOOKUP($BK86,Programma!$F$3:$I$1101,4,0),"")</f>
        <v/>
      </c>
      <c r="BO86" s="448" t="str">
        <f>_xlfn.IFNA(VLOOKUP($BK86,Programma!$F$3:$J$1101,5,0),"")</f>
        <v/>
      </c>
      <c r="BP86" s="448" t="str">
        <f>_xlfn.IFNA(VLOOKUP($BK86,Programma!$F$3:$K$1101,6,0),"")</f>
        <v/>
      </c>
      <c r="BQ86" s="448" t="str">
        <f>_xlfn.IFNA(VLOOKUP($BK86,Programma!$F$3:$L$1101,7,0),"")</f>
        <v/>
      </c>
      <c r="BR86" s="448" t="str">
        <f>_xlfn.IFNA(VLOOKUP($BK86,Programma!$F$3:$M$1101,8,0),"")</f>
        <v/>
      </c>
      <c r="BS86" s="448" t="str">
        <f>_xlfn.IFNA(VLOOKUP($BK86,Programma!$F$3:$N$1101,9,0),"")</f>
        <v/>
      </c>
      <c r="BT86" s="448" t="str">
        <f>_xlfn.IFNA(VLOOKUP($BK86,Programma!$F$3:$O$1101,10,0),"")</f>
        <v/>
      </c>
      <c r="BU86" s="448" t="str">
        <f>_xlfn.IFNA(VLOOKUP($BK86,Programma!$F$3:$P$1101,11,0),"")</f>
        <v/>
      </c>
      <c r="BV86" s="448" t="str">
        <f>_xlfn.IFNA(VLOOKUP($BK86,Programma!$F$3:$Q$1101,12,0),"")</f>
        <v/>
      </c>
      <c r="BW86" s="448" t="str">
        <f>_xlfn.IFNA(VLOOKUP($BK86,Programma!$F$3:$R$1101,13,0),"")</f>
        <v/>
      </c>
      <c r="BX86" s="448" t="str">
        <f>_xlfn.IFNA(VLOOKUP($BK86,Programma!$F$3:$S$1101,14,0),"")</f>
        <v/>
      </c>
      <c r="BY86" s="448" t="str">
        <f>_xlfn.IFNA(VLOOKUP($BK86,Programma!$F$3:$T$1101,15,0),"")</f>
        <v/>
      </c>
      <c r="BZ86" s="448" t="str">
        <f>_xlfn.IFNA(VLOOKUP($BK86,Programma!$F$3:$U$1101,16,0),"")</f>
        <v/>
      </c>
      <c r="CA86" s="448" t="str">
        <f>_xlfn.IFNA(VLOOKUP($BK86,Programma!$F$3:$V$1101,17,0),"")</f>
        <v/>
      </c>
      <c r="CB86" s="448" t="str">
        <f>_xlfn.IFNA(VLOOKUP($BK86,Programma!$F$3:$W$1101,18,0),"")</f>
        <v/>
      </c>
      <c r="CC86" s="448" t="str">
        <f>_xlfn.IFNA(VLOOKUP($BK86,Programma!$F$3:$X$1101,19,0),"")</f>
        <v/>
      </c>
      <c r="CD86" s="448" t="str">
        <f>_xlfn.IFNA(VLOOKUP($BK86,Programma!$F$3:$Y$1101,20,0),"")</f>
        <v/>
      </c>
      <c r="CE86" s="327"/>
      <c r="CF86" s="327"/>
      <c r="CG86" s="327"/>
      <c r="CH86" s="327"/>
      <c r="CI86" s="327"/>
      <c r="CJ86" s="327"/>
      <c r="CK86" s="327"/>
      <c r="CL86" s="327"/>
      <c r="CM86" s="327"/>
      <c r="CN86" s="327"/>
      <c r="CO86" s="327"/>
      <c r="CP86" s="327"/>
      <c r="CQ86" s="327"/>
      <c r="CR86" s="327"/>
      <c r="CS86" s="327"/>
      <c r="CT86" s="327"/>
      <c r="CU86" s="327"/>
      <c r="CV86" s="327"/>
      <c r="CW86" s="327"/>
      <c r="CX86" s="327"/>
      <c r="CY86" s="327"/>
      <c r="CZ86" s="327"/>
      <c r="DA86" s="327"/>
      <c r="DB86" s="327"/>
      <c r="DC86" s="327"/>
      <c r="DD86" s="327"/>
      <c r="DE86" s="327"/>
      <c r="DF86" s="327"/>
      <c r="DG86" s="327"/>
      <c r="DH86" s="327"/>
      <c r="DI86" s="327"/>
      <c r="DJ86" s="327"/>
      <c r="DK86" s="327"/>
      <c r="DL86" s="327"/>
      <c r="DM86" s="327"/>
      <c r="DN86" s="327"/>
      <c r="DO86" s="327"/>
      <c r="DP86" s="327"/>
      <c r="DQ86" s="327"/>
      <c r="DR86" s="327"/>
      <c r="DS86" s="327"/>
      <c r="DT86" s="327"/>
      <c r="DU86" s="327"/>
      <c r="DV86" s="327"/>
      <c r="DW86" s="327"/>
      <c r="DX86" s="327"/>
      <c r="DY86" s="327"/>
      <c r="DZ86" s="327"/>
      <c r="EA86" s="327"/>
      <c r="EB86" s="327"/>
      <c r="EC86" s="327"/>
      <c r="ED86" s="327"/>
      <c r="EE86" s="327"/>
      <c r="EF86" s="327"/>
      <c r="EG86" s="327"/>
      <c r="EH86" s="327"/>
      <c r="EI86" s="327"/>
      <c r="EJ86" s="327"/>
      <c r="EK86" s="327"/>
      <c r="EL86" s="327"/>
      <c r="EM86" s="327"/>
      <c r="EN86" s="327"/>
      <c r="EO86" s="327"/>
      <c r="EP86" s="327"/>
      <c r="EQ86" s="327"/>
      <c r="ER86" s="327"/>
      <c r="ES86" s="327"/>
      <c r="ET86" s="327"/>
      <c r="EU86" s="327"/>
      <c r="EV86" s="327"/>
      <c r="EW86" s="327"/>
      <c r="EX86" s="327"/>
      <c r="EY86" s="327"/>
      <c r="EZ86" s="327"/>
      <c r="FA86" s="327"/>
      <c r="FB86" s="327"/>
      <c r="FC86" s="327"/>
      <c r="FD86" s="327"/>
      <c r="FE86" s="327"/>
      <c r="FF86" s="327"/>
      <c r="FG86" s="327"/>
      <c r="FH86" s="327"/>
      <c r="FI86" s="327"/>
      <c r="FJ86" s="327"/>
      <c r="FK86" s="327"/>
      <c r="FL86" s="327"/>
      <c r="FM86" s="327"/>
      <c r="FN86" s="327"/>
      <c r="FO86" s="327"/>
      <c r="FP86" s="327"/>
      <c r="FQ86" s="327"/>
      <c r="FR86" s="327"/>
      <c r="FS86" s="327"/>
      <c r="FT86" s="327"/>
      <c r="FU86" s="327"/>
      <c r="FV86" s="327"/>
      <c r="FW86" s="327"/>
      <c r="FX86" s="327"/>
      <c r="FY86" s="327"/>
      <c r="FZ86" s="327"/>
      <c r="GA86" s="327"/>
      <c r="GB86" s="327"/>
      <c r="GC86" s="327"/>
      <c r="GD86" s="327"/>
      <c r="GE86" s="327"/>
      <c r="GF86" s="327"/>
      <c r="GG86" s="327"/>
      <c r="GH86" s="327"/>
      <c r="GI86" s="327"/>
      <c r="GJ86" s="327"/>
      <c r="GK86" s="327"/>
      <c r="GL86" s="327"/>
      <c r="GM86" s="327"/>
      <c r="GN86" s="327"/>
      <c r="GO86" s="327"/>
      <c r="GP86" s="327"/>
      <c r="GQ86" s="327"/>
      <c r="GR86" s="327"/>
      <c r="GS86" s="327"/>
      <c r="GT86" s="327"/>
      <c r="GU86" s="327"/>
      <c r="GV86" s="327"/>
      <c r="GW86" s="327"/>
      <c r="GX86" s="327"/>
      <c r="GY86" s="327"/>
      <c r="GZ86" s="327"/>
      <c r="HA86" s="327"/>
      <c r="HB86" s="327"/>
      <c r="HC86" s="327"/>
      <c r="HD86" s="327"/>
      <c r="HE86" s="327"/>
      <c r="HF86" s="327"/>
      <c r="HG86" s="327"/>
      <c r="HH86" s="327"/>
      <c r="HI86" s="327"/>
      <c r="HJ86" s="327"/>
      <c r="HK86" s="327"/>
      <c r="HL86" s="327"/>
      <c r="HM86" s="327"/>
      <c r="HN86" s="327"/>
      <c r="HO86" s="327"/>
      <c r="HP86" s="327"/>
      <c r="HQ86" s="327"/>
      <c r="HR86" s="327"/>
      <c r="HS86" s="327"/>
    </row>
    <row r="87" spans="1:227" ht="15" customHeight="1">
      <c r="A87" s="434">
        <v>4</v>
      </c>
      <c r="B87" s="435" t="str">
        <f>VLOOKUP(Ruimtestaat[[#This Row],[Code]],Locaties[[Code]:[Locatie]],2,FALSE)</f>
        <v>IKC De Waterlelie</v>
      </c>
      <c r="C87" s="435" t="str">
        <f>VLOOKUP(Ruimtestaat[[#This Row],[Code]],Locaties[[#All],[Code]:[Adres]],4,FALSE)</f>
        <v>Goudenregenzoom 73</v>
      </c>
      <c r="D87" s="435" t="str">
        <f>VLOOKUP(Ruimtestaat[[#This Row],[Code]],Locaties[[#All],[Code]:[Postcode]],5,FALSE)</f>
        <v>2719 HE</v>
      </c>
      <c r="E87" s="435" t="str">
        <f>VLOOKUP(Ruimtestaat[[#This Row],[Code]],Locaties[#All],6,FALSE)</f>
        <v>Zoetermeer</v>
      </c>
      <c r="F87" s="434"/>
      <c r="G87" s="434" t="s">
        <v>1678</v>
      </c>
      <c r="H87" s="436" t="s">
        <v>1757</v>
      </c>
      <c r="I87" s="437" t="s">
        <v>1675</v>
      </c>
      <c r="J87" s="330">
        <v>6</v>
      </c>
      <c r="K87" s="450" t="str">
        <f>VLOOKUP(Ruimtestaat[[#This Row],[Ruimte code]],Ruimtegroepen[[#All],[Code]:[Ruimte omschrijving]],2,FALSE)</f>
        <v>Gangen/hallen</v>
      </c>
      <c r="L87" s="434" t="s">
        <v>100</v>
      </c>
      <c r="M87" s="437" t="s">
        <v>1759</v>
      </c>
      <c r="N87" s="439">
        <v>12</v>
      </c>
      <c r="O87" s="439"/>
      <c r="P87" s="439"/>
      <c r="Q87" s="439"/>
      <c r="R87" s="440" t="str">
        <f>VLOOKUP(Ruimtestaat[[#This Row],[Ruimte code]],Ruimtegroepen[],4,FALSE)</f>
        <v>Ve</v>
      </c>
      <c r="S87" s="434">
        <v>41</v>
      </c>
      <c r="T87" s="434" t="s">
        <v>2</v>
      </c>
      <c r="U87" s="434">
        <f>IF(S87&gt;0,IF(RIGHT(Ruimtestaat[[#This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7" s="434">
        <f>IF(U87&gt;0,VLOOKUP($J87,Ruimtegroepen[],3,FALSE)*VLOOKUP($L87,Vloersoorten[],3,FALSE)*VLOOKUP($T87,Frequenties[],3,FALSE)*VLOOKUP($A87,Locaties[],3,FALSE),0)</f>
        <v>0</v>
      </c>
      <c r="W87" s="434">
        <f>Ruimtestaat[[#This Row],[Uitvoeringen werkdagen]]*Ruimtestaat[[#This Row],[Oppervlak (netto)]]</f>
        <v>2460</v>
      </c>
      <c r="X87" s="441">
        <f>IF(V87&gt;0,Ruimtestaat[[#This Row],[Prest. (m2 /jaar) werkdagen]]/Ruimtestaat[[#This Row],[Norm (m2/uur) werkdagen]],0)</f>
        <v>0</v>
      </c>
      <c r="Y87" s="442">
        <f>Ruimtestaat[[#This Row],[Uitvoeringen werkdagen]]*Ruimtestaat[[#This Row],[Gedeeltelijk]]</f>
        <v>0</v>
      </c>
      <c r="Z87" s="443" t="e">
        <f>IF(U87&gt;0,Ruimtestaat[[#This Row],[Prest. (m2 / jaar) werkdagen gedeeld]]/Ruimtestaat[[#This Row],[Norm (m2/uur) werkdagen]],0)</f>
        <v>#DIV/0!</v>
      </c>
      <c r="AA87" s="441" t="e">
        <f>Ruimtestaat[[#This Row],[uren / jaar werkdagen gedeeld]]*Tariefsopbouw!$E$35</f>
        <v>#DIV/0!</v>
      </c>
      <c r="AB87" s="441">
        <f>Ruimtestaat[[#This Row],[Uitvoeringen werkdagen]]*Ruimtestaat[[#This Row],[BSO]]</f>
        <v>0</v>
      </c>
      <c r="AC87" s="443" t="e">
        <f>IF(U87&gt;0,Ruimtestaat[[#This Row],[Prest. (m2 / jaar) werkdagen BSO]]/Ruimtestaat[[#This Row],[Norm (m2/uur) werkdagen]],0)</f>
        <v>#DIV/0!</v>
      </c>
      <c r="AD87" s="443" t="e">
        <f>Ruimtestaat[[#This Row],[uren / jaar werkdagen BSO]]*Tariefsopbouw!$E$35</f>
        <v>#DIV/0!</v>
      </c>
      <c r="AE87" s="444">
        <f>Ruimtestaat[[#This Row],[uren / jaar werkdagen]]*Tariefsopbouw!$E$35</f>
        <v>0</v>
      </c>
      <c r="AF87" s="434"/>
      <c r="AG87" s="434">
        <f>IF(Ruimtestaat[[#This Row],[Frequentie weekend]]&gt;0,VALUE(LEFT(AF87,1))*S87,0)</f>
        <v>0</v>
      </c>
      <c r="AH87" s="445">
        <f>IF($AG87&gt;0,VLOOKUP($J87,Ruimtegroepen[],3,FALSE)*VLOOKUP($L87,Vloersoorten[],3,FALSE)*VLOOKUP($AF87,Frequenties[],3,FALSE)*VLOOKUP(Ruimtestaat[[#This Row],[Code]],Locaties[],3,FALSE),0)</f>
        <v>0</v>
      </c>
      <c r="AI87" s="445">
        <f>Ruimtestaat[[#This Row],[Uitvoeringen weekend]]*Ruimtestaat[[#This Row],[Oppervlak (netto)]]</f>
        <v>0</v>
      </c>
      <c r="AJ87" s="445">
        <f>IF(AH87&gt;0,Ruimtestaat[[#This Row],[Prest. (m2 /jaar) weekend]]/Ruimtestaat[[#This Row],[Norm (m2/uur) weekend]],0)</f>
        <v>0</v>
      </c>
      <c r="AK87" s="444">
        <f>Ruimtestaat[[#This Row],[uren / jaar weekend]]*Tariefsopbouw!$D$40</f>
        <v>0</v>
      </c>
      <c r="AL87" s="441">
        <f>Ruimtestaat[[#This Row],[Prest. (m2 /jaar) weekend]]+Ruimtestaat[[#This Row],[Prest. (m2 /jaar) werkdagen]]</f>
        <v>2460</v>
      </c>
      <c r="AM87" s="441">
        <f>Ruimtestaat[[#This Row],[uren / jaar weekend]]+Ruimtestaat[[#This Row],[uren / jaar werkdagen]]</f>
        <v>0</v>
      </c>
      <c r="AN87" s="446">
        <f>Ruimtestaat[[#This Row],[kosten / jaar weekend]]+Ruimtestaat[[#This Row],[kosten / jaar werkdagen]]</f>
        <v>0</v>
      </c>
      <c r="AO87" s="446"/>
      <c r="AP87" s="447" t="str">
        <f>IF(Ruimtestaat[[#This Row],[Frequentie werkdagen]]="","",_xlfn.CONCAT(Ruimtestaat[[#This Row],[Ruimte code]],"-",Ruimtestaat[[#This Row],[Frequentie werkdagen]]," ",Ruimtestaat[[#This Row],[Vloer code]]))</f>
        <v>6-5w L</v>
      </c>
      <c r="AQ87" s="448" t="str">
        <f>_xlfn.IFNA(VLOOKUP($AP87,Programma!$F$3:$G$1101,2,0),"")</f>
        <v>_</v>
      </c>
      <c r="AR87" s="448" t="str">
        <f>_xlfn.IFNA(VLOOKUP($AP87,Programma!$F$3:$H$1101,3,0),"")</f>
        <v>_</v>
      </c>
      <c r="AS87" s="448" t="str">
        <f>_xlfn.IFNA(VLOOKUP($AP87,Programma!$F$3:$I$1101,4,0),"")</f>
        <v>_</v>
      </c>
      <c r="AT87" s="448" t="str">
        <f>_xlfn.IFNA(VLOOKUP($AP87,Programma!$F$3:$J$1101,5,0),"")</f>
        <v>5w</v>
      </c>
      <c r="AU87" s="448" t="str">
        <f>_xlfn.IFNA(VLOOKUP($AP87,Programma!$F$3:$K$1101,6,0),"")</f>
        <v>_</v>
      </c>
      <c r="AV87" s="448" t="str">
        <f>_xlfn.IFNA(VLOOKUP($AP87,Programma!$F$3:$L$1101,7,0),"")</f>
        <v>_</v>
      </c>
      <c r="AW87" s="448" t="str">
        <f>_xlfn.IFNA(VLOOKUP($AP87,Programma!$F$3:$M$1101,8,0),"")</f>
        <v>_</v>
      </c>
      <c r="AX87" s="448" t="str">
        <f>_xlfn.IFNA(VLOOKUP($AP87,Programma!$F$3:$N$1101,9,0),"")</f>
        <v>_</v>
      </c>
      <c r="AY87" s="448" t="str">
        <f>_xlfn.IFNA(VLOOKUP($AP87,Programma!$F$3:$O$1101,10,0),"")</f>
        <v>5w</v>
      </c>
      <c r="AZ87" s="448" t="str">
        <f>_xlfn.IFNA(VLOOKUP($AP87,Programma!$F$3:$P$1101,11,0),"")</f>
        <v>5w</v>
      </c>
      <c r="BA87" s="448" t="str">
        <f>_xlfn.IFNA(VLOOKUP($AP87,Programma!$F$3:$Q$1101,12,0),"")</f>
        <v>1w</v>
      </c>
      <c r="BB87" s="448" t="str">
        <f>_xlfn.IFNA(VLOOKUP($AP87,Programma!$F$3:$R$1101,13,0),"")</f>
        <v>1w</v>
      </c>
      <c r="BC87" s="448" t="str">
        <f>_xlfn.IFNA(VLOOKUP($AP87,Programma!$F$3:$S$1101,14,0),"")</f>
        <v>1m</v>
      </c>
      <c r="BD87" s="448" t="str">
        <f>_xlfn.IFNA(VLOOKUP($AP87,Programma!$F$3:$T$1101,15,0),"")</f>
        <v>2j</v>
      </c>
      <c r="BE87" s="448" t="str">
        <f>_xlfn.IFNA(VLOOKUP($AP87,Programma!$F$3:$U$1101,16,0),"")</f>
        <v>1j</v>
      </c>
      <c r="BF87" s="448" t="str">
        <f>_xlfn.IFNA(VLOOKUP($AP87,Programma!$F$3:$V$1101,17,0),"")</f>
        <v>_</v>
      </c>
      <c r="BG87" s="448" t="str">
        <f>_xlfn.IFNA(VLOOKUP($AP87,Programma!$F$3:$W$1101,18,0),"")</f>
        <v>_</v>
      </c>
      <c r="BH87" s="448" t="str">
        <f>_xlfn.IFNA(VLOOKUP($AP87,Programma!$F$3:$X$1101,19,0),"")</f>
        <v>_</v>
      </c>
      <c r="BI87" s="448" t="str">
        <f>_xlfn.IFNA(VLOOKUP($AP87,Programma!$F$3:$Y$1101,20,0),"")</f>
        <v>_</v>
      </c>
      <c r="BJ87" s="449"/>
      <c r="BK87" s="447" t="str">
        <f>IF(Ruimtestaat[[#This Row],[Frequentie weekend]]="","",_xlfn.CONCAT(Ruimtestaat[[#This Row],[Ruimte code]],"-",Ruimtestaat[[#This Row],[Frequentie weekend]]," ",Ruimtestaat[[#This Row],[Vloer code]]))</f>
        <v/>
      </c>
      <c r="BL87" s="448" t="str">
        <f>_xlfn.IFNA(VLOOKUP($BK87,Programma!$F$3:$G$1101,2,0),"")</f>
        <v/>
      </c>
      <c r="BM87" s="448" t="str">
        <f>_xlfn.IFNA(VLOOKUP($BK87,Programma!$F$3:$H$1101,3,0),"")</f>
        <v/>
      </c>
      <c r="BN87" s="448" t="str">
        <f>_xlfn.IFNA(VLOOKUP($BK87,Programma!$F$3:$I$1101,4,0),"")</f>
        <v/>
      </c>
      <c r="BO87" s="448" t="str">
        <f>_xlfn.IFNA(VLOOKUP($BK87,Programma!$F$3:$J$1101,5,0),"")</f>
        <v/>
      </c>
      <c r="BP87" s="448" t="str">
        <f>_xlfn.IFNA(VLOOKUP($BK87,Programma!$F$3:$K$1101,6,0),"")</f>
        <v/>
      </c>
      <c r="BQ87" s="448" t="str">
        <f>_xlfn.IFNA(VLOOKUP($BK87,Programma!$F$3:$L$1101,7,0),"")</f>
        <v/>
      </c>
      <c r="BR87" s="448" t="str">
        <f>_xlfn.IFNA(VLOOKUP($BK87,Programma!$F$3:$M$1101,8,0),"")</f>
        <v/>
      </c>
      <c r="BS87" s="448" t="str">
        <f>_xlfn.IFNA(VLOOKUP($BK87,Programma!$F$3:$N$1101,9,0),"")</f>
        <v/>
      </c>
      <c r="BT87" s="448" t="str">
        <f>_xlfn.IFNA(VLOOKUP($BK87,Programma!$F$3:$O$1101,10,0),"")</f>
        <v/>
      </c>
      <c r="BU87" s="448" t="str">
        <f>_xlfn.IFNA(VLOOKUP($BK87,Programma!$F$3:$P$1101,11,0),"")</f>
        <v/>
      </c>
      <c r="BV87" s="448" t="str">
        <f>_xlfn.IFNA(VLOOKUP($BK87,Programma!$F$3:$Q$1101,12,0),"")</f>
        <v/>
      </c>
      <c r="BW87" s="448" t="str">
        <f>_xlfn.IFNA(VLOOKUP($BK87,Programma!$F$3:$R$1101,13,0),"")</f>
        <v/>
      </c>
      <c r="BX87" s="448" t="str">
        <f>_xlfn.IFNA(VLOOKUP($BK87,Programma!$F$3:$S$1101,14,0),"")</f>
        <v/>
      </c>
      <c r="BY87" s="448" t="str">
        <f>_xlfn.IFNA(VLOOKUP($BK87,Programma!$F$3:$T$1101,15,0),"")</f>
        <v/>
      </c>
      <c r="BZ87" s="448" t="str">
        <f>_xlfn.IFNA(VLOOKUP($BK87,Programma!$F$3:$U$1101,16,0),"")</f>
        <v/>
      </c>
      <c r="CA87" s="448" t="str">
        <f>_xlfn.IFNA(VLOOKUP($BK87,Programma!$F$3:$V$1101,17,0),"")</f>
        <v/>
      </c>
      <c r="CB87" s="448" t="str">
        <f>_xlfn.IFNA(VLOOKUP($BK87,Programma!$F$3:$W$1101,18,0),"")</f>
        <v/>
      </c>
      <c r="CC87" s="448" t="str">
        <f>_xlfn.IFNA(VLOOKUP($BK87,Programma!$F$3:$X$1101,19,0),"")</f>
        <v/>
      </c>
      <c r="CD87" s="448" t="str">
        <f>_xlfn.IFNA(VLOOKUP($BK87,Programma!$F$3:$Y$1101,20,0),"")</f>
        <v/>
      </c>
      <c r="CE87" s="327"/>
      <c r="CF87" s="327"/>
      <c r="CG87" s="327"/>
      <c r="CH87" s="327"/>
      <c r="CI87" s="327"/>
      <c r="CJ87" s="327"/>
      <c r="CK87" s="327"/>
      <c r="CL87" s="327"/>
      <c r="CM87" s="327"/>
      <c r="CN87" s="327"/>
      <c r="CO87" s="327"/>
      <c r="CP87" s="327"/>
      <c r="CQ87" s="327"/>
      <c r="CR87" s="327"/>
      <c r="CS87" s="327"/>
      <c r="CT87" s="327"/>
      <c r="CU87" s="327"/>
      <c r="CV87" s="327"/>
      <c r="CW87" s="327"/>
      <c r="CX87" s="327"/>
      <c r="CY87" s="327"/>
      <c r="CZ87" s="327"/>
      <c r="DA87" s="327"/>
      <c r="DB87" s="327"/>
      <c r="DC87" s="327"/>
      <c r="DD87" s="327"/>
      <c r="DE87" s="327"/>
      <c r="DF87" s="327"/>
      <c r="DG87" s="327"/>
      <c r="DH87" s="327"/>
      <c r="DI87" s="327"/>
      <c r="DJ87" s="327"/>
      <c r="DK87" s="327"/>
      <c r="DL87" s="327"/>
      <c r="DM87" s="327"/>
      <c r="DN87" s="327"/>
      <c r="DO87" s="327"/>
      <c r="DP87" s="327"/>
      <c r="DQ87" s="327"/>
      <c r="DR87" s="327"/>
      <c r="DS87" s="327"/>
      <c r="DT87" s="327"/>
      <c r="DU87" s="327"/>
      <c r="DV87" s="327"/>
      <c r="DW87" s="327"/>
      <c r="DX87" s="327"/>
      <c r="DY87" s="327"/>
      <c r="DZ87" s="327"/>
      <c r="EA87" s="327"/>
      <c r="EB87" s="327"/>
      <c r="EC87" s="327"/>
      <c r="ED87" s="327"/>
      <c r="EE87" s="327"/>
      <c r="EF87" s="327"/>
      <c r="EG87" s="327"/>
      <c r="EH87" s="327"/>
      <c r="EI87" s="327"/>
      <c r="EJ87" s="327"/>
      <c r="EK87" s="327"/>
      <c r="EL87" s="327"/>
      <c r="EM87" s="327"/>
      <c r="EN87" s="327"/>
      <c r="EO87" s="327"/>
      <c r="EP87" s="327"/>
      <c r="EQ87" s="327"/>
      <c r="ER87" s="327"/>
      <c r="ES87" s="327"/>
      <c r="ET87" s="327"/>
      <c r="EU87" s="327"/>
      <c r="EV87" s="327"/>
      <c r="EW87" s="327"/>
      <c r="EX87" s="327"/>
      <c r="EY87" s="327"/>
      <c r="EZ87" s="327"/>
      <c r="FA87" s="327"/>
      <c r="FB87" s="327"/>
      <c r="FC87" s="327"/>
      <c r="FD87" s="327"/>
      <c r="FE87" s="327"/>
      <c r="FF87" s="327"/>
      <c r="FG87" s="327"/>
      <c r="FH87" s="327"/>
      <c r="FI87" s="327"/>
      <c r="FJ87" s="327"/>
      <c r="FK87" s="327"/>
      <c r="FL87" s="327"/>
      <c r="FM87" s="327"/>
      <c r="FN87" s="327"/>
      <c r="FO87" s="327"/>
      <c r="FP87" s="327"/>
      <c r="FQ87" s="327"/>
      <c r="FR87" s="327"/>
      <c r="FS87" s="327"/>
      <c r="FT87" s="327"/>
      <c r="FU87" s="327"/>
      <c r="FV87" s="327"/>
      <c r="FW87" s="327"/>
      <c r="FX87" s="327"/>
      <c r="FY87" s="327"/>
      <c r="FZ87" s="327"/>
      <c r="GA87" s="327"/>
      <c r="GB87" s="327"/>
      <c r="GC87" s="327"/>
      <c r="GD87" s="327"/>
      <c r="GE87" s="327"/>
      <c r="GF87" s="327"/>
      <c r="GG87" s="327"/>
      <c r="GH87" s="327"/>
      <c r="GI87" s="327"/>
      <c r="GJ87" s="327"/>
      <c r="GK87" s="327"/>
      <c r="GL87" s="327"/>
      <c r="GM87" s="327"/>
      <c r="GN87" s="327"/>
      <c r="GO87" s="327"/>
      <c r="GP87" s="327"/>
      <c r="GQ87" s="327"/>
      <c r="GR87" s="327"/>
      <c r="GS87" s="327"/>
      <c r="GT87" s="327"/>
      <c r="GU87" s="327"/>
      <c r="GV87" s="327"/>
      <c r="GW87" s="327"/>
      <c r="GX87" s="327"/>
      <c r="GY87" s="327"/>
      <c r="GZ87" s="327"/>
      <c r="HA87" s="327"/>
      <c r="HB87" s="327"/>
      <c r="HC87" s="327"/>
      <c r="HD87" s="327"/>
      <c r="HE87" s="327"/>
      <c r="HF87" s="327"/>
      <c r="HG87" s="327"/>
      <c r="HH87" s="327"/>
      <c r="HI87" s="327"/>
      <c r="HJ87" s="327"/>
      <c r="HK87" s="327"/>
      <c r="HL87" s="327"/>
      <c r="HM87" s="327"/>
      <c r="HN87" s="327"/>
      <c r="HO87" s="327"/>
      <c r="HP87" s="327"/>
      <c r="HQ87" s="327"/>
      <c r="HR87" s="327"/>
      <c r="HS87" s="327"/>
    </row>
    <row r="88" spans="1:227" ht="15" customHeight="1">
      <c r="A88" s="330">
        <v>5</v>
      </c>
      <c r="B88" s="435" t="str">
        <f>VLOOKUP(Ruimtestaat[[#This Row],[Code]],Locaties[[Code]:[Locatie]],2,FALSE)</f>
        <v>IKC De Springplank</v>
      </c>
      <c r="C88" s="435" t="str">
        <f>VLOOKUP(Ruimtestaat[[#This Row],[Code]],Locaties[[#All],[Code]:[Adres]],4,FALSE)</f>
        <v>Irisvaart 6-8</v>
      </c>
      <c r="D88" s="435" t="str">
        <f>VLOOKUP(Ruimtestaat[[#This Row],[Code]],Locaties[[#All],[Code]:[Postcode]],5,FALSE)</f>
        <v>2724 TT</v>
      </c>
      <c r="E88" s="435" t="str">
        <f>VLOOKUP(Ruimtestaat[[#This Row],[Code]],Locaties[#All],6,FALSE)</f>
        <v>Zoetermeer</v>
      </c>
      <c r="F88" s="434"/>
      <c r="G88" s="434" t="s">
        <v>1678</v>
      </c>
      <c r="H88" s="436" t="s">
        <v>1662</v>
      </c>
      <c r="I88" s="437" t="s">
        <v>1760</v>
      </c>
      <c r="J88" s="330">
        <v>18</v>
      </c>
      <c r="K88" s="450" t="str">
        <f>VLOOKUP(Ruimtestaat[[#This Row],[Ruimte code]],Ruimtegroepen[[#All],[Code]:[Ruimte omschrijving]],2,FALSE)</f>
        <v>Gymzaal</v>
      </c>
      <c r="L88" s="434" t="s">
        <v>102</v>
      </c>
      <c r="M88" s="437" t="s">
        <v>2104</v>
      </c>
      <c r="N88" s="439">
        <v>93</v>
      </c>
      <c r="O88" s="439"/>
      <c r="P88" s="439"/>
      <c r="Q88" s="439"/>
      <c r="R88" s="440" t="str">
        <f>VLOOKUP(Ruimtestaat[[#This Row],[Ruimte code]],Ruimtegroepen[],4,FALSE)</f>
        <v>Sp</v>
      </c>
      <c r="S88" s="434">
        <v>40</v>
      </c>
      <c r="T88" s="434" t="s">
        <v>2</v>
      </c>
      <c r="U88" s="434">
        <f>IF(S88&gt;0,IF(RIGHT(Ruimtestaat[[#This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 s="434">
        <f>IF(U88&gt;0,VLOOKUP($J88,Ruimtegroepen[],3,FALSE)*VLOOKUP($L88,Vloersoorten[],3,FALSE)*VLOOKUP($T88,Frequenties[],3,FALSE)*VLOOKUP($A88,Locaties[],3,FALSE),0)</f>
        <v>0</v>
      </c>
      <c r="W88" s="434">
        <f>Ruimtestaat[[#This Row],[Uitvoeringen werkdagen]]*Ruimtestaat[[#This Row],[Oppervlak (netto)]]</f>
        <v>18600</v>
      </c>
      <c r="X88" s="441">
        <f>IF(V88&gt;0,Ruimtestaat[[#This Row],[Prest. (m2 /jaar) werkdagen]]/Ruimtestaat[[#This Row],[Norm (m2/uur) werkdagen]],0)</f>
        <v>0</v>
      </c>
      <c r="Y88" s="442">
        <f>Ruimtestaat[[#This Row],[Uitvoeringen werkdagen]]*Ruimtestaat[[#This Row],[Gedeeltelijk]]</f>
        <v>0</v>
      </c>
      <c r="Z88" s="443" t="e">
        <f>IF(U88&gt;0,Ruimtestaat[[#This Row],[Prest. (m2 / jaar) werkdagen gedeeld]]/Ruimtestaat[[#This Row],[Norm (m2/uur) werkdagen]],0)</f>
        <v>#DIV/0!</v>
      </c>
      <c r="AA88" s="441" t="e">
        <f>Ruimtestaat[[#This Row],[uren / jaar werkdagen gedeeld]]*Tariefsopbouw!$E$35</f>
        <v>#DIV/0!</v>
      </c>
      <c r="AB88" s="441">
        <f>Ruimtestaat[[#This Row],[Uitvoeringen werkdagen]]*Ruimtestaat[[#This Row],[BSO]]</f>
        <v>0</v>
      </c>
      <c r="AC88" s="443" t="e">
        <f>IF(U88&gt;0,Ruimtestaat[[#This Row],[Prest. (m2 / jaar) werkdagen BSO]]/Ruimtestaat[[#This Row],[Norm (m2/uur) werkdagen]],0)</f>
        <v>#DIV/0!</v>
      </c>
      <c r="AD88" s="443" t="e">
        <f>Ruimtestaat[[#This Row],[uren / jaar werkdagen BSO]]*Tariefsopbouw!$E$35</f>
        <v>#DIV/0!</v>
      </c>
      <c r="AE88" s="444">
        <f>Ruimtestaat[[#This Row],[uren / jaar werkdagen]]*Tariefsopbouw!$E$35</f>
        <v>0</v>
      </c>
      <c r="AF88" s="434"/>
      <c r="AG88" s="434">
        <f>IF(Ruimtestaat[[#This Row],[Frequentie weekend]]&gt;0,VALUE(LEFT(AF88,1))*S88,0)</f>
        <v>0</v>
      </c>
      <c r="AH88" s="445">
        <f>IF($AG88&gt;0,VLOOKUP($J88,Ruimtegroepen[],3,FALSE)*VLOOKUP($L88,Vloersoorten[],3,FALSE)*VLOOKUP($AF88,Frequenties[],3,FALSE)*VLOOKUP(Ruimtestaat[[#This Row],[Code]],Locaties[],3,FALSE),0)</f>
        <v>0</v>
      </c>
      <c r="AI88" s="445">
        <f>Ruimtestaat[[#This Row],[Uitvoeringen weekend]]*Ruimtestaat[[#This Row],[Oppervlak (netto)]]</f>
        <v>0</v>
      </c>
      <c r="AJ88" s="445">
        <f>IF(AH88&gt;0,Ruimtestaat[[#This Row],[Prest. (m2 /jaar) weekend]]/Ruimtestaat[[#This Row],[Norm (m2/uur) weekend]],0)</f>
        <v>0</v>
      </c>
      <c r="AK88" s="444">
        <f>Ruimtestaat[[#This Row],[uren / jaar weekend]]*Tariefsopbouw!$D$40</f>
        <v>0</v>
      </c>
      <c r="AL88" s="441">
        <f>Ruimtestaat[[#This Row],[Prest. (m2 /jaar) weekend]]+Ruimtestaat[[#This Row],[Prest. (m2 /jaar) werkdagen]]</f>
        <v>18600</v>
      </c>
      <c r="AM88" s="441">
        <f>Ruimtestaat[[#This Row],[uren / jaar weekend]]+Ruimtestaat[[#This Row],[uren / jaar werkdagen]]</f>
        <v>0</v>
      </c>
      <c r="AN88" s="446">
        <f>Ruimtestaat[[#This Row],[kosten / jaar weekend]]+Ruimtestaat[[#This Row],[kosten / jaar werkdagen]]</f>
        <v>0</v>
      </c>
      <c r="AO88" s="446"/>
      <c r="AP88" s="447" t="str">
        <f>IF(Ruimtestaat[[#This Row],[Frequentie werkdagen]]="","",_xlfn.CONCAT(Ruimtestaat[[#This Row],[Ruimte code]],"-",Ruimtestaat[[#This Row],[Frequentie werkdagen]]," ",Ruimtestaat[[#This Row],[Vloer code]]))</f>
        <v>18-5w P</v>
      </c>
      <c r="AQ88" s="448" t="str">
        <f>_xlfn.IFNA(VLOOKUP($AP88,Programma!$F$3:$G$1101,2,0),"")</f>
        <v>_</v>
      </c>
      <c r="AR88" s="448" t="str">
        <f>_xlfn.IFNA(VLOOKUP($AP88,Programma!$F$3:$H$1101,3,0),"")</f>
        <v>_</v>
      </c>
      <c r="AS88" s="448" t="str">
        <f>_xlfn.IFNA(VLOOKUP($AP88,Programma!$F$3:$I$1101,4,0),"")</f>
        <v>4w</v>
      </c>
      <c r="AT88" s="448" t="str">
        <f>_xlfn.IFNA(VLOOKUP($AP88,Programma!$F$3:$J$1101,5,0),"")</f>
        <v>1w</v>
      </c>
      <c r="AU88" s="448" t="str">
        <f>_xlfn.IFNA(VLOOKUP($AP88,Programma!$F$3:$K$1101,6,0),"")</f>
        <v>4j</v>
      </c>
      <c r="AV88" s="448" t="str">
        <f>_xlfn.IFNA(VLOOKUP($AP88,Programma!$F$3:$L$1101,7,0),"")</f>
        <v>_</v>
      </c>
      <c r="AW88" s="448" t="str">
        <f>_xlfn.IFNA(VLOOKUP($AP88,Programma!$F$3:$M$1101,8,0),"")</f>
        <v>_</v>
      </c>
      <c r="AX88" s="448" t="str">
        <f>_xlfn.IFNA(VLOOKUP($AP88,Programma!$F$3:$N$1101,9,0),"")</f>
        <v>_</v>
      </c>
      <c r="AY88" s="448" t="str">
        <f>_xlfn.IFNA(VLOOKUP($AP88,Programma!$F$3:$O$1101,10,0),"")</f>
        <v>5w</v>
      </c>
      <c r="AZ88" s="448" t="str">
        <f>_xlfn.IFNA(VLOOKUP($AP88,Programma!$F$3:$P$1101,11,0),"")</f>
        <v>5w</v>
      </c>
      <c r="BA88" s="448" t="str">
        <f>_xlfn.IFNA(VLOOKUP($AP88,Programma!$F$3:$Q$1101,12,0),"")</f>
        <v>5w</v>
      </c>
      <c r="BB88" s="448" t="str">
        <f>_xlfn.IFNA(VLOOKUP($AP88,Programma!$F$3:$R$1101,13,0),"")</f>
        <v>5w</v>
      </c>
      <c r="BC88" s="448" t="str">
        <f>_xlfn.IFNA(VLOOKUP($AP88,Programma!$F$3:$S$1101,14,0),"")</f>
        <v>1m</v>
      </c>
      <c r="BD88" s="448" t="str">
        <f>_xlfn.IFNA(VLOOKUP($AP88,Programma!$F$3:$T$1101,15,0),"")</f>
        <v>2j</v>
      </c>
      <c r="BE88" s="448" t="str">
        <f>_xlfn.IFNA(VLOOKUP($AP88,Programma!$F$3:$U$1101,16,0),"")</f>
        <v>1j</v>
      </c>
      <c r="BF88" s="448" t="str">
        <f>_xlfn.IFNA(VLOOKUP($AP88,Programma!$F$3:$V$1101,17,0),"")</f>
        <v>_</v>
      </c>
      <c r="BG88" s="448" t="str">
        <f>_xlfn.IFNA(VLOOKUP($AP88,Programma!$F$3:$W$1101,18,0),"")</f>
        <v>_</v>
      </c>
      <c r="BH88" s="448" t="str">
        <f>_xlfn.IFNA(VLOOKUP($AP88,Programma!$F$3:$X$1101,19,0),"")</f>
        <v>_</v>
      </c>
      <c r="BI88" s="448" t="str">
        <f>_xlfn.IFNA(VLOOKUP($AP88,Programma!$F$3:$Y$1101,20,0),"")</f>
        <v>_</v>
      </c>
      <c r="BJ88" s="449"/>
      <c r="BK88" s="447" t="str">
        <f>IF(Ruimtestaat[[#This Row],[Frequentie weekend]]="","",_xlfn.CONCAT(Ruimtestaat[[#This Row],[Ruimte code]],"-",Ruimtestaat[[#This Row],[Frequentie weekend]]," ",Ruimtestaat[[#This Row],[Vloer code]]))</f>
        <v/>
      </c>
      <c r="BL88" s="448" t="str">
        <f>_xlfn.IFNA(VLOOKUP($BK88,Programma!$F$3:$G$1101,2,0),"")</f>
        <v/>
      </c>
      <c r="BM88" s="448" t="str">
        <f>_xlfn.IFNA(VLOOKUP($BK88,Programma!$F$3:$H$1101,3,0),"")</f>
        <v/>
      </c>
      <c r="BN88" s="448" t="str">
        <f>_xlfn.IFNA(VLOOKUP($BK88,Programma!$F$3:$I$1101,4,0),"")</f>
        <v/>
      </c>
      <c r="BO88" s="448" t="str">
        <f>_xlfn.IFNA(VLOOKUP($BK88,Programma!$F$3:$J$1101,5,0),"")</f>
        <v/>
      </c>
      <c r="BP88" s="448" t="str">
        <f>_xlfn.IFNA(VLOOKUP($BK88,Programma!$F$3:$K$1101,6,0),"")</f>
        <v/>
      </c>
      <c r="BQ88" s="448" t="str">
        <f>_xlfn.IFNA(VLOOKUP($BK88,Programma!$F$3:$L$1101,7,0),"")</f>
        <v/>
      </c>
      <c r="BR88" s="448" t="str">
        <f>_xlfn.IFNA(VLOOKUP($BK88,Programma!$F$3:$M$1101,8,0),"")</f>
        <v/>
      </c>
      <c r="BS88" s="448" t="str">
        <f>_xlfn.IFNA(VLOOKUP($BK88,Programma!$F$3:$N$1101,9,0),"")</f>
        <v/>
      </c>
      <c r="BT88" s="448" t="str">
        <f>_xlfn.IFNA(VLOOKUP($BK88,Programma!$F$3:$O$1101,10,0),"")</f>
        <v/>
      </c>
      <c r="BU88" s="448" t="str">
        <f>_xlfn.IFNA(VLOOKUP($BK88,Programma!$F$3:$P$1101,11,0),"")</f>
        <v/>
      </c>
      <c r="BV88" s="448" t="str">
        <f>_xlfn.IFNA(VLOOKUP($BK88,Programma!$F$3:$Q$1101,12,0),"")</f>
        <v/>
      </c>
      <c r="BW88" s="448" t="str">
        <f>_xlfn.IFNA(VLOOKUP($BK88,Programma!$F$3:$R$1101,13,0),"")</f>
        <v/>
      </c>
      <c r="BX88" s="448" t="str">
        <f>_xlfn.IFNA(VLOOKUP($BK88,Programma!$F$3:$S$1101,14,0),"")</f>
        <v/>
      </c>
      <c r="BY88" s="448" t="str">
        <f>_xlfn.IFNA(VLOOKUP($BK88,Programma!$F$3:$T$1101,15,0),"")</f>
        <v/>
      </c>
      <c r="BZ88" s="448" t="str">
        <f>_xlfn.IFNA(VLOOKUP($BK88,Programma!$F$3:$U$1101,16,0),"")</f>
        <v/>
      </c>
      <c r="CA88" s="448" t="str">
        <f>_xlfn.IFNA(VLOOKUP($BK88,Programma!$F$3:$V$1101,17,0),"")</f>
        <v/>
      </c>
      <c r="CB88" s="448" t="str">
        <f>_xlfn.IFNA(VLOOKUP($BK88,Programma!$F$3:$W$1101,18,0),"")</f>
        <v/>
      </c>
      <c r="CC88" s="448" t="str">
        <f>_xlfn.IFNA(VLOOKUP($BK88,Programma!$F$3:$X$1101,19,0),"")</f>
        <v/>
      </c>
      <c r="CD88" s="448" t="str">
        <f>_xlfn.IFNA(VLOOKUP($BK88,Programma!$F$3:$Y$1101,20,0),"")</f>
        <v/>
      </c>
      <c r="CE88" s="327"/>
      <c r="CF88" s="327"/>
      <c r="CG88" s="327"/>
      <c r="CH88" s="327"/>
      <c r="CI88" s="327"/>
      <c r="CJ88" s="327"/>
      <c r="CK88" s="327"/>
      <c r="CL88" s="327"/>
      <c r="CM88" s="327"/>
      <c r="CN88" s="327"/>
      <c r="CO88" s="327"/>
      <c r="CP88" s="327"/>
      <c r="CQ88" s="327"/>
      <c r="CR88" s="327"/>
      <c r="CS88" s="327"/>
      <c r="CT88" s="327"/>
      <c r="CU88" s="327"/>
      <c r="CV88" s="327"/>
      <c r="CW88" s="327"/>
      <c r="CX88" s="327"/>
      <c r="CY88" s="327"/>
      <c r="CZ88" s="327"/>
      <c r="DA88" s="327"/>
      <c r="DB88" s="327"/>
      <c r="DC88" s="327"/>
      <c r="DD88" s="327"/>
      <c r="DE88" s="327"/>
      <c r="DF88" s="327"/>
      <c r="DG88" s="327"/>
      <c r="DH88" s="327"/>
      <c r="DI88" s="327"/>
      <c r="DJ88" s="327"/>
      <c r="DK88" s="327"/>
      <c r="DL88" s="327"/>
      <c r="DM88" s="327"/>
      <c r="DN88" s="327"/>
      <c r="DO88" s="327"/>
      <c r="DP88" s="327"/>
      <c r="DQ88" s="327"/>
      <c r="DR88" s="327"/>
      <c r="DS88" s="327"/>
      <c r="DT88" s="327"/>
      <c r="DU88" s="327"/>
      <c r="DV88" s="327"/>
      <c r="DW88" s="327"/>
      <c r="DX88" s="327"/>
      <c r="DY88" s="327"/>
      <c r="DZ88" s="327"/>
      <c r="EA88" s="327"/>
      <c r="EB88" s="327"/>
      <c r="EC88" s="327"/>
      <c r="ED88" s="327"/>
      <c r="EE88" s="327"/>
      <c r="EF88" s="327"/>
      <c r="EG88" s="327"/>
      <c r="EH88" s="327"/>
      <c r="EI88" s="327"/>
      <c r="EJ88" s="327"/>
      <c r="EK88" s="327"/>
      <c r="EL88" s="327"/>
      <c r="EM88" s="327"/>
      <c r="EN88" s="327"/>
      <c r="EO88" s="327"/>
      <c r="EP88" s="327"/>
      <c r="EQ88" s="327"/>
      <c r="ER88" s="327"/>
      <c r="ES88" s="327"/>
      <c r="ET88" s="327"/>
      <c r="EU88" s="327"/>
      <c r="EV88" s="327"/>
      <c r="EW88" s="327"/>
      <c r="EX88" s="327"/>
      <c r="EY88" s="327"/>
      <c r="EZ88" s="327"/>
      <c r="FA88" s="327"/>
      <c r="FB88" s="327"/>
      <c r="FC88" s="327"/>
      <c r="FD88" s="327"/>
      <c r="FE88" s="327"/>
      <c r="FF88" s="327"/>
      <c r="FG88" s="327"/>
      <c r="FH88" s="327"/>
      <c r="FI88" s="327"/>
      <c r="FJ88" s="327"/>
      <c r="FK88" s="327"/>
      <c r="FL88" s="327"/>
      <c r="FM88" s="327"/>
      <c r="FN88" s="327"/>
      <c r="FO88" s="327"/>
      <c r="FP88" s="327"/>
      <c r="FQ88" s="327"/>
      <c r="FR88" s="327"/>
      <c r="FS88" s="327"/>
      <c r="FT88" s="327"/>
      <c r="FU88" s="327"/>
      <c r="FV88" s="327"/>
      <c r="FW88" s="327"/>
      <c r="FX88" s="327"/>
      <c r="FY88" s="327"/>
      <c r="FZ88" s="327"/>
      <c r="GA88" s="327"/>
      <c r="GB88" s="327"/>
      <c r="GC88" s="327"/>
      <c r="GD88" s="327"/>
      <c r="GE88" s="327"/>
      <c r="GF88" s="327"/>
      <c r="GG88" s="327"/>
      <c r="GH88" s="327"/>
      <c r="GI88" s="327"/>
      <c r="GJ88" s="327"/>
      <c r="GK88" s="327"/>
      <c r="GL88" s="327"/>
      <c r="GM88" s="327"/>
      <c r="GN88" s="327"/>
      <c r="GO88" s="327"/>
      <c r="GP88" s="327"/>
      <c r="GQ88" s="327"/>
      <c r="GR88" s="327"/>
      <c r="GS88" s="327"/>
      <c r="GT88" s="327"/>
      <c r="GU88" s="327"/>
      <c r="GV88" s="327"/>
      <c r="GW88" s="327"/>
      <c r="GX88" s="327"/>
      <c r="GY88" s="327"/>
      <c r="GZ88" s="327"/>
      <c r="HA88" s="327"/>
      <c r="HB88" s="327"/>
      <c r="HC88" s="327"/>
      <c r="HD88" s="327"/>
      <c r="HE88" s="327"/>
      <c r="HF88" s="327"/>
      <c r="HG88" s="327"/>
      <c r="HH88" s="327"/>
      <c r="HI88" s="327"/>
      <c r="HJ88" s="327"/>
      <c r="HK88" s="327"/>
      <c r="HL88" s="327"/>
      <c r="HM88" s="327"/>
      <c r="HN88" s="327"/>
      <c r="HO88" s="327"/>
      <c r="HP88" s="327"/>
      <c r="HQ88" s="327"/>
      <c r="HR88" s="327"/>
      <c r="HS88" s="327"/>
    </row>
    <row r="89" spans="1:227" ht="15" customHeight="1">
      <c r="A89" s="330">
        <v>5</v>
      </c>
      <c r="B89" s="435" t="str">
        <f>VLOOKUP(Ruimtestaat[[#This Row],[Code]],Locaties[[Code]:[Locatie]],2,FALSE)</f>
        <v>IKC De Springplank</v>
      </c>
      <c r="C89" s="435" t="str">
        <f>VLOOKUP(Ruimtestaat[[#This Row],[Code]],Locaties[[#All],[Code]:[Adres]],4,FALSE)</f>
        <v>Irisvaart 6-8</v>
      </c>
      <c r="D89" s="435" t="str">
        <f>VLOOKUP(Ruimtestaat[[#This Row],[Code]],Locaties[[#All],[Code]:[Postcode]],5,FALSE)</f>
        <v>2724 TT</v>
      </c>
      <c r="E89" s="435" t="str">
        <f>VLOOKUP(Ruimtestaat[[#This Row],[Code]],Locaties[#All],6,FALSE)</f>
        <v>Zoetermeer</v>
      </c>
      <c r="F89" s="434"/>
      <c r="G89" s="434" t="s">
        <v>1678</v>
      </c>
      <c r="H89" s="436" t="s">
        <v>1665</v>
      </c>
      <c r="I89" s="437" t="s">
        <v>1679</v>
      </c>
      <c r="J89" s="330">
        <v>16</v>
      </c>
      <c r="K89" s="450" t="str">
        <f>VLOOKUP(Ruimtestaat[[#This Row],[Ruimte code]],Ruimtegroepen[[#All],[Code]:[Ruimte omschrijving]],2,FALSE)</f>
        <v>Leslokalen</v>
      </c>
      <c r="L89" s="434" t="s">
        <v>100</v>
      </c>
      <c r="M89" s="437" t="s">
        <v>1759</v>
      </c>
      <c r="N89" s="439">
        <v>60</v>
      </c>
      <c r="O89" s="439"/>
      <c r="P89" s="439"/>
      <c r="Q89" s="439"/>
      <c r="R89" s="440" t="str">
        <f>VLOOKUP(Ruimtestaat[[#This Row],[Ruimte code]],Ruimtegroepen[],4,FALSE)</f>
        <v>Le</v>
      </c>
      <c r="S89" s="434">
        <v>40</v>
      </c>
      <c r="T89" s="434" t="s">
        <v>2</v>
      </c>
      <c r="U89" s="434">
        <f>IF(S89&gt;0,IF(RIGHT(Ruimtestaat[[#This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 s="434">
        <f>IF(U89&gt;0,VLOOKUP($J89,Ruimtegroepen[],3,FALSE)*VLOOKUP($L89,Vloersoorten[],3,FALSE)*VLOOKUP($T89,Frequenties[],3,FALSE)*VLOOKUP($A89,Locaties[],3,FALSE),0)</f>
        <v>0</v>
      </c>
      <c r="W89" s="434">
        <f>Ruimtestaat[[#This Row],[Uitvoeringen werkdagen]]*Ruimtestaat[[#This Row],[Oppervlak (netto)]]</f>
        <v>12000</v>
      </c>
      <c r="X89" s="441">
        <f>IF(V89&gt;0,Ruimtestaat[[#This Row],[Prest. (m2 /jaar) werkdagen]]/Ruimtestaat[[#This Row],[Norm (m2/uur) werkdagen]],0)</f>
        <v>0</v>
      </c>
      <c r="Y89" s="442">
        <f>Ruimtestaat[[#This Row],[Uitvoeringen werkdagen]]*Ruimtestaat[[#This Row],[Gedeeltelijk]]</f>
        <v>0</v>
      </c>
      <c r="Z89" s="443" t="e">
        <f>IF(U89&gt;0,Ruimtestaat[[#This Row],[Prest. (m2 / jaar) werkdagen gedeeld]]/Ruimtestaat[[#This Row],[Norm (m2/uur) werkdagen]],0)</f>
        <v>#DIV/0!</v>
      </c>
      <c r="AA89" s="441" t="e">
        <f>Ruimtestaat[[#This Row],[uren / jaar werkdagen gedeeld]]*Tariefsopbouw!$E$35</f>
        <v>#DIV/0!</v>
      </c>
      <c r="AB89" s="441">
        <f>Ruimtestaat[[#This Row],[Uitvoeringen werkdagen]]*Ruimtestaat[[#This Row],[BSO]]</f>
        <v>0</v>
      </c>
      <c r="AC89" s="443" t="e">
        <f>IF(U89&gt;0,Ruimtestaat[[#This Row],[Prest. (m2 / jaar) werkdagen BSO]]/Ruimtestaat[[#This Row],[Norm (m2/uur) werkdagen]],0)</f>
        <v>#DIV/0!</v>
      </c>
      <c r="AD89" s="443" t="e">
        <f>Ruimtestaat[[#This Row],[uren / jaar werkdagen BSO]]*Tariefsopbouw!$E$35</f>
        <v>#DIV/0!</v>
      </c>
      <c r="AE89" s="444">
        <f>Ruimtestaat[[#This Row],[uren / jaar werkdagen]]*Tariefsopbouw!$E$35</f>
        <v>0</v>
      </c>
      <c r="AF89" s="434"/>
      <c r="AG89" s="434">
        <f>IF(Ruimtestaat[[#This Row],[Frequentie weekend]]&gt;0,VALUE(LEFT(AF89,1))*S89,0)</f>
        <v>0</v>
      </c>
      <c r="AH89" s="445">
        <f>IF($AG89&gt;0,VLOOKUP($J89,Ruimtegroepen[],3,FALSE)*VLOOKUP($L89,Vloersoorten[],3,FALSE)*VLOOKUP($AF89,Frequenties[],3,FALSE)*VLOOKUP(Ruimtestaat[[#This Row],[Code]],Locaties[],3,FALSE),0)</f>
        <v>0</v>
      </c>
      <c r="AI89" s="445">
        <f>Ruimtestaat[[#This Row],[Uitvoeringen weekend]]*Ruimtestaat[[#This Row],[Oppervlak (netto)]]</f>
        <v>0</v>
      </c>
      <c r="AJ89" s="445">
        <f>IF(AH89&gt;0,Ruimtestaat[[#This Row],[Prest. (m2 /jaar) weekend]]/Ruimtestaat[[#This Row],[Norm (m2/uur) weekend]],0)</f>
        <v>0</v>
      </c>
      <c r="AK89" s="444">
        <f>Ruimtestaat[[#This Row],[uren / jaar weekend]]*Tariefsopbouw!$D$40</f>
        <v>0</v>
      </c>
      <c r="AL89" s="441">
        <f>Ruimtestaat[[#This Row],[Prest. (m2 /jaar) weekend]]+Ruimtestaat[[#This Row],[Prest. (m2 /jaar) werkdagen]]</f>
        <v>12000</v>
      </c>
      <c r="AM89" s="441">
        <f>Ruimtestaat[[#This Row],[uren / jaar weekend]]+Ruimtestaat[[#This Row],[uren / jaar werkdagen]]</f>
        <v>0</v>
      </c>
      <c r="AN89" s="446">
        <f>Ruimtestaat[[#This Row],[kosten / jaar weekend]]+Ruimtestaat[[#This Row],[kosten / jaar werkdagen]]</f>
        <v>0</v>
      </c>
      <c r="AO89" s="446"/>
      <c r="AP89" s="447" t="str">
        <f>IF(Ruimtestaat[[#This Row],[Frequentie werkdagen]]="","",_xlfn.CONCAT(Ruimtestaat[[#This Row],[Ruimte code]],"-",Ruimtestaat[[#This Row],[Frequentie werkdagen]]," ",Ruimtestaat[[#This Row],[Vloer code]]))</f>
        <v>16-5w L</v>
      </c>
      <c r="AQ89" s="448" t="str">
        <f>_xlfn.IFNA(VLOOKUP($AP89,Programma!$F$3:$G$1101,2,0),"")</f>
        <v>_</v>
      </c>
      <c r="AR89" s="448" t="str">
        <f>_xlfn.IFNA(VLOOKUP($AP89,Programma!$F$3:$H$1101,3,0),"")</f>
        <v>_</v>
      </c>
      <c r="AS89" s="448" t="str">
        <f>_xlfn.IFNA(VLOOKUP($AP89,Programma!$F$3:$I$1101,4,0),"")</f>
        <v>4w</v>
      </c>
      <c r="AT89" s="448" t="str">
        <f>_xlfn.IFNA(VLOOKUP($AP89,Programma!$F$3:$J$1101,5,0),"")</f>
        <v>1w</v>
      </c>
      <c r="AU89" s="448" t="str">
        <f>_xlfn.IFNA(VLOOKUP($AP89,Programma!$F$3:$K$1101,6,0),"")</f>
        <v>_</v>
      </c>
      <c r="AV89" s="448" t="str">
        <f>_xlfn.IFNA(VLOOKUP($AP89,Programma!$F$3:$L$1101,7,0),"")</f>
        <v>_</v>
      </c>
      <c r="AW89" s="448" t="str">
        <f>_xlfn.IFNA(VLOOKUP($AP89,Programma!$F$3:$M$1101,8,0),"")</f>
        <v>_</v>
      </c>
      <c r="AX89" s="448" t="str">
        <f>_xlfn.IFNA(VLOOKUP($AP89,Programma!$F$3:$N$1101,9,0),"")</f>
        <v>_</v>
      </c>
      <c r="AY89" s="448" t="str">
        <f>_xlfn.IFNA(VLOOKUP($AP89,Programma!$F$3:$O$1101,10,0),"")</f>
        <v>5w</v>
      </c>
      <c r="AZ89" s="448" t="str">
        <f>_xlfn.IFNA(VLOOKUP($AP89,Programma!$F$3:$P$1101,11,0),"")</f>
        <v>5w</v>
      </c>
      <c r="BA89" s="448" t="str">
        <f>_xlfn.IFNA(VLOOKUP($AP89,Programma!$F$3:$Q$1101,12,0),"")</f>
        <v>1w</v>
      </c>
      <c r="BB89" s="448" t="str">
        <f>_xlfn.IFNA(VLOOKUP($AP89,Programma!$F$3:$R$1101,13,0),"")</f>
        <v>1w</v>
      </c>
      <c r="BC89" s="448" t="str">
        <f>_xlfn.IFNA(VLOOKUP($AP89,Programma!$F$3:$S$1101,14,0),"")</f>
        <v>1m</v>
      </c>
      <c r="BD89" s="448" t="str">
        <f>_xlfn.IFNA(VLOOKUP($AP89,Programma!$F$3:$T$1101,15,0),"")</f>
        <v>2j</v>
      </c>
      <c r="BE89" s="448" t="str">
        <f>_xlfn.IFNA(VLOOKUP($AP89,Programma!$F$3:$U$1101,16,0),"")</f>
        <v>1j</v>
      </c>
      <c r="BF89" s="448" t="str">
        <f>_xlfn.IFNA(VLOOKUP($AP89,Programma!$F$3:$V$1101,17,0),"")</f>
        <v>_</v>
      </c>
      <c r="BG89" s="448" t="str">
        <f>_xlfn.IFNA(VLOOKUP($AP89,Programma!$F$3:$W$1101,18,0),"")</f>
        <v>_</v>
      </c>
      <c r="BH89" s="448" t="str">
        <f>_xlfn.IFNA(VLOOKUP($AP89,Programma!$F$3:$X$1101,19,0),"")</f>
        <v>_</v>
      </c>
      <c r="BI89" s="448" t="str">
        <f>_xlfn.IFNA(VLOOKUP($AP89,Programma!$F$3:$Y$1101,20,0),"")</f>
        <v>_</v>
      </c>
      <c r="BJ89" s="449"/>
      <c r="BK89" s="447" t="str">
        <f>IF(Ruimtestaat[[#This Row],[Frequentie weekend]]="","",_xlfn.CONCAT(Ruimtestaat[[#This Row],[Ruimte code]],"-",Ruimtestaat[[#This Row],[Frequentie weekend]]," ",Ruimtestaat[[#This Row],[Vloer code]]))</f>
        <v/>
      </c>
      <c r="BL89" s="448" t="str">
        <f>_xlfn.IFNA(VLOOKUP($BK89,Programma!$F$3:$G$1101,2,0),"")</f>
        <v/>
      </c>
      <c r="BM89" s="448" t="str">
        <f>_xlfn.IFNA(VLOOKUP($BK89,Programma!$F$3:$H$1101,3,0),"")</f>
        <v/>
      </c>
      <c r="BN89" s="448" t="str">
        <f>_xlfn.IFNA(VLOOKUP($BK89,Programma!$F$3:$I$1101,4,0),"")</f>
        <v/>
      </c>
      <c r="BO89" s="448" t="str">
        <f>_xlfn.IFNA(VLOOKUP($BK89,Programma!$F$3:$J$1101,5,0),"")</f>
        <v/>
      </c>
      <c r="BP89" s="448" t="str">
        <f>_xlfn.IFNA(VLOOKUP($BK89,Programma!$F$3:$K$1101,6,0),"")</f>
        <v/>
      </c>
      <c r="BQ89" s="448" t="str">
        <f>_xlfn.IFNA(VLOOKUP($BK89,Programma!$F$3:$L$1101,7,0),"")</f>
        <v/>
      </c>
      <c r="BR89" s="448" t="str">
        <f>_xlfn.IFNA(VLOOKUP($BK89,Programma!$F$3:$M$1101,8,0),"")</f>
        <v/>
      </c>
      <c r="BS89" s="448" t="str">
        <f>_xlfn.IFNA(VLOOKUP($BK89,Programma!$F$3:$N$1101,9,0),"")</f>
        <v/>
      </c>
      <c r="BT89" s="448" t="str">
        <f>_xlfn.IFNA(VLOOKUP($BK89,Programma!$F$3:$O$1101,10,0),"")</f>
        <v/>
      </c>
      <c r="BU89" s="448" t="str">
        <f>_xlfn.IFNA(VLOOKUP($BK89,Programma!$F$3:$P$1101,11,0),"")</f>
        <v/>
      </c>
      <c r="BV89" s="448" t="str">
        <f>_xlfn.IFNA(VLOOKUP($BK89,Programma!$F$3:$Q$1101,12,0),"")</f>
        <v/>
      </c>
      <c r="BW89" s="448" t="str">
        <f>_xlfn.IFNA(VLOOKUP($BK89,Programma!$F$3:$R$1101,13,0),"")</f>
        <v/>
      </c>
      <c r="BX89" s="448" t="str">
        <f>_xlfn.IFNA(VLOOKUP($BK89,Programma!$F$3:$S$1101,14,0),"")</f>
        <v/>
      </c>
      <c r="BY89" s="448" t="str">
        <f>_xlfn.IFNA(VLOOKUP($BK89,Programma!$F$3:$T$1101,15,0),"")</f>
        <v/>
      </c>
      <c r="BZ89" s="448" t="str">
        <f>_xlfn.IFNA(VLOOKUP($BK89,Programma!$F$3:$U$1101,16,0),"")</f>
        <v/>
      </c>
      <c r="CA89" s="448" t="str">
        <f>_xlfn.IFNA(VLOOKUP($BK89,Programma!$F$3:$V$1101,17,0),"")</f>
        <v/>
      </c>
      <c r="CB89" s="448" t="str">
        <f>_xlfn.IFNA(VLOOKUP($BK89,Programma!$F$3:$W$1101,18,0),"")</f>
        <v/>
      </c>
      <c r="CC89" s="448" t="str">
        <f>_xlfn.IFNA(VLOOKUP($BK89,Programma!$F$3:$X$1101,19,0),"")</f>
        <v/>
      </c>
      <c r="CD89" s="448" t="str">
        <f>_xlfn.IFNA(VLOOKUP($BK89,Programma!$F$3:$Y$1101,20,0),"")</f>
        <v/>
      </c>
      <c r="CE89" s="327"/>
      <c r="CF89" s="327"/>
      <c r="CG89" s="327"/>
      <c r="CH89" s="327"/>
      <c r="CI89" s="327"/>
      <c r="CJ89" s="327"/>
      <c r="CK89" s="327"/>
      <c r="CL89" s="327"/>
      <c r="CM89" s="327"/>
      <c r="CN89" s="327"/>
      <c r="CO89" s="327"/>
      <c r="CP89" s="327"/>
      <c r="CQ89" s="327"/>
      <c r="CR89" s="327"/>
      <c r="CS89" s="327"/>
      <c r="CT89" s="327"/>
      <c r="CU89" s="327"/>
      <c r="CV89" s="327"/>
      <c r="CW89" s="327"/>
      <c r="CX89" s="327"/>
      <c r="CY89" s="327"/>
      <c r="CZ89" s="327"/>
      <c r="DA89" s="327"/>
      <c r="DB89" s="327"/>
      <c r="DC89" s="327"/>
      <c r="DD89" s="327"/>
      <c r="DE89" s="327"/>
      <c r="DF89" s="327"/>
      <c r="DG89" s="327"/>
      <c r="DH89" s="327"/>
      <c r="DI89" s="327"/>
      <c r="DJ89" s="327"/>
      <c r="DK89" s="327"/>
      <c r="DL89" s="327"/>
      <c r="DM89" s="327"/>
      <c r="DN89" s="327"/>
      <c r="DO89" s="327"/>
      <c r="DP89" s="327"/>
      <c r="DQ89" s="327"/>
      <c r="DR89" s="327"/>
      <c r="DS89" s="327"/>
      <c r="DT89" s="327"/>
      <c r="DU89" s="327"/>
      <c r="DV89" s="327"/>
      <c r="DW89" s="327"/>
      <c r="DX89" s="327"/>
      <c r="DY89" s="327"/>
      <c r="DZ89" s="327"/>
      <c r="EA89" s="327"/>
      <c r="EB89" s="327"/>
      <c r="EC89" s="327"/>
      <c r="ED89" s="327"/>
      <c r="EE89" s="327"/>
      <c r="EF89" s="327"/>
      <c r="EG89" s="327"/>
      <c r="EH89" s="327"/>
      <c r="EI89" s="327"/>
      <c r="EJ89" s="327"/>
      <c r="EK89" s="327"/>
      <c r="EL89" s="327"/>
      <c r="EM89" s="327"/>
      <c r="EN89" s="327"/>
      <c r="EO89" s="327"/>
      <c r="EP89" s="327"/>
      <c r="EQ89" s="327"/>
      <c r="ER89" s="327"/>
      <c r="ES89" s="327"/>
      <c r="ET89" s="327"/>
      <c r="EU89" s="327"/>
      <c r="EV89" s="327"/>
      <c r="EW89" s="327"/>
      <c r="EX89" s="327"/>
      <c r="EY89" s="327"/>
      <c r="EZ89" s="327"/>
      <c r="FA89" s="327"/>
      <c r="FB89" s="327"/>
      <c r="FC89" s="327"/>
      <c r="FD89" s="327"/>
      <c r="FE89" s="327"/>
      <c r="FF89" s="327"/>
      <c r="FG89" s="327"/>
      <c r="FH89" s="327"/>
      <c r="FI89" s="327"/>
      <c r="FJ89" s="327"/>
      <c r="FK89" s="327"/>
      <c r="FL89" s="327"/>
      <c r="FM89" s="327"/>
      <c r="FN89" s="327"/>
      <c r="FO89" s="327"/>
      <c r="FP89" s="327"/>
      <c r="FQ89" s="327"/>
      <c r="FR89" s="327"/>
      <c r="FS89" s="327"/>
      <c r="FT89" s="327"/>
      <c r="FU89" s="327"/>
      <c r="FV89" s="327"/>
      <c r="FW89" s="327"/>
      <c r="FX89" s="327"/>
      <c r="FY89" s="327"/>
      <c r="FZ89" s="327"/>
      <c r="GA89" s="327"/>
      <c r="GB89" s="327"/>
      <c r="GC89" s="327"/>
      <c r="GD89" s="327"/>
      <c r="GE89" s="327"/>
      <c r="GF89" s="327"/>
      <c r="GG89" s="327"/>
      <c r="GH89" s="327"/>
      <c r="GI89" s="327"/>
      <c r="GJ89" s="327"/>
      <c r="GK89" s="327"/>
      <c r="GL89" s="327"/>
      <c r="GM89" s="327"/>
      <c r="GN89" s="327"/>
      <c r="GO89" s="327"/>
      <c r="GP89" s="327"/>
      <c r="GQ89" s="327"/>
      <c r="GR89" s="327"/>
      <c r="GS89" s="327"/>
      <c r="GT89" s="327"/>
      <c r="GU89" s="327"/>
      <c r="GV89" s="327"/>
      <c r="GW89" s="327"/>
      <c r="GX89" s="327"/>
      <c r="GY89" s="327"/>
      <c r="GZ89" s="327"/>
      <c r="HA89" s="327"/>
      <c r="HB89" s="327"/>
      <c r="HC89" s="327"/>
      <c r="HD89" s="327"/>
      <c r="HE89" s="327"/>
      <c r="HF89" s="327"/>
      <c r="HG89" s="327"/>
      <c r="HH89" s="327"/>
      <c r="HI89" s="327"/>
      <c r="HJ89" s="327"/>
      <c r="HK89" s="327"/>
      <c r="HL89" s="327"/>
      <c r="HM89" s="327"/>
      <c r="HN89" s="327"/>
      <c r="HO89" s="327"/>
      <c r="HP89" s="327"/>
      <c r="HQ89" s="327"/>
      <c r="HR89" s="327"/>
      <c r="HS89" s="327"/>
    </row>
    <row r="90" spans="1:227" ht="15" customHeight="1">
      <c r="A90" s="330">
        <v>5</v>
      </c>
      <c r="B90" s="435" t="str">
        <f>VLOOKUP(Ruimtestaat[[#This Row],[Code]],Locaties[[Code]:[Locatie]],2,FALSE)</f>
        <v>IKC De Springplank</v>
      </c>
      <c r="C90" s="435" t="str">
        <f>VLOOKUP(Ruimtestaat[[#This Row],[Code]],Locaties[[#All],[Code]:[Adres]],4,FALSE)</f>
        <v>Irisvaart 6-8</v>
      </c>
      <c r="D90" s="435" t="str">
        <f>VLOOKUP(Ruimtestaat[[#This Row],[Code]],Locaties[[#All],[Code]:[Postcode]],5,FALSE)</f>
        <v>2724 TT</v>
      </c>
      <c r="E90" s="435" t="str">
        <f>VLOOKUP(Ruimtestaat[[#This Row],[Code]],Locaties[#All],6,FALSE)</f>
        <v>Zoetermeer</v>
      </c>
      <c r="F90" s="434"/>
      <c r="G90" s="434" t="s">
        <v>1678</v>
      </c>
      <c r="H90" s="436" t="s">
        <v>1667</v>
      </c>
      <c r="I90" s="437" t="s">
        <v>1673</v>
      </c>
      <c r="J90" s="330">
        <v>5</v>
      </c>
      <c r="K90" s="450" t="str">
        <f>VLOOKUP(Ruimtestaat[[#This Row],[Ruimte code]],Ruimtegroepen[[#All],[Code]:[Ruimte omschrijving]],2,FALSE)</f>
        <v>Sanitair</v>
      </c>
      <c r="L90" s="434" t="s">
        <v>101</v>
      </c>
      <c r="M90" s="437" t="s">
        <v>1947</v>
      </c>
      <c r="N90" s="439">
        <v>8</v>
      </c>
      <c r="O90" s="439"/>
      <c r="P90" s="439"/>
      <c r="Q90" s="439"/>
      <c r="R90" s="440" t="str">
        <f>VLOOKUP(Ruimtestaat[[#This Row],[Ruimte code]],Ruimtegroepen[],4,FALSE)</f>
        <v>Sa</v>
      </c>
      <c r="S90" s="434">
        <v>41</v>
      </c>
      <c r="T90" s="434" t="s">
        <v>2</v>
      </c>
      <c r="U90" s="434">
        <f>IF(S90&gt;0,IF(RIGHT(Ruimtestaat[[#This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0" s="434">
        <f>IF(U90&gt;0,VLOOKUP($J90,Ruimtegroepen[],3,FALSE)*VLOOKUP($L90,Vloersoorten[],3,FALSE)*VLOOKUP($T90,Frequenties[],3,FALSE)*VLOOKUP($A90,Locaties[],3,FALSE),0)</f>
        <v>0</v>
      </c>
      <c r="W90" s="434">
        <f>Ruimtestaat[[#This Row],[Uitvoeringen werkdagen]]*Ruimtestaat[[#This Row],[Oppervlak (netto)]]</f>
        <v>1640</v>
      </c>
      <c r="X90" s="441">
        <f>IF(V90&gt;0,Ruimtestaat[[#This Row],[Prest. (m2 /jaar) werkdagen]]/Ruimtestaat[[#This Row],[Norm (m2/uur) werkdagen]],0)</f>
        <v>0</v>
      </c>
      <c r="Y90" s="442">
        <f>Ruimtestaat[[#This Row],[Uitvoeringen werkdagen]]*Ruimtestaat[[#This Row],[Gedeeltelijk]]</f>
        <v>0</v>
      </c>
      <c r="Z90" s="443" t="e">
        <f>IF(U90&gt;0,Ruimtestaat[[#This Row],[Prest. (m2 / jaar) werkdagen gedeeld]]/Ruimtestaat[[#This Row],[Norm (m2/uur) werkdagen]],0)</f>
        <v>#DIV/0!</v>
      </c>
      <c r="AA90" s="441" t="e">
        <f>Ruimtestaat[[#This Row],[uren / jaar werkdagen gedeeld]]*Tariefsopbouw!$E$35</f>
        <v>#DIV/0!</v>
      </c>
      <c r="AB90" s="441">
        <f>Ruimtestaat[[#This Row],[Uitvoeringen werkdagen]]*Ruimtestaat[[#This Row],[BSO]]</f>
        <v>0</v>
      </c>
      <c r="AC90" s="443" t="e">
        <f>IF(U90&gt;0,Ruimtestaat[[#This Row],[Prest. (m2 / jaar) werkdagen BSO]]/Ruimtestaat[[#This Row],[Norm (m2/uur) werkdagen]],0)</f>
        <v>#DIV/0!</v>
      </c>
      <c r="AD90" s="443" t="e">
        <f>Ruimtestaat[[#This Row],[uren / jaar werkdagen BSO]]*Tariefsopbouw!$E$35</f>
        <v>#DIV/0!</v>
      </c>
      <c r="AE90" s="444">
        <f>Ruimtestaat[[#This Row],[uren / jaar werkdagen]]*Tariefsopbouw!$E$35</f>
        <v>0</v>
      </c>
      <c r="AF90" s="434"/>
      <c r="AG90" s="434">
        <f>IF(Ruimtestaat[[#This Row],[Frequentie weekend]]&gt;0,VALUE(LEFT(AF90,1))*S90,0)</f>
        <v>0</v>
      </c>
      <c r="AH90" s="445">
        <f>IF($AG90&gt;0,VLOOKUP($J90,Ruimtegroepen[],3,FALSE)*VLOOKUP($L90,Vloersoorten[],3,FALSE)*VLOOKUP($AF90,Frequenties[],3,FALSE)*VLOOKUP(Ruimtestaat[[#This Row],[Code]],Locaties[],3,FALSE),0)</f>
        <v>0</v>
      </c>
      <c r="AI90" s="445">
        <f>Ruimtestaat[[#This Row],[Uitvoeringen weekend]]*Ruimtestaat[[#This Row],[Oppervlak (netto)]]</f>
        <v>0</v>
      </c>
      <c r="AJ90" s="445">
        <f>IF(AH90&gt;0,Ruimtestaat[[#This Row],[Prest. (m2 /jaar) weekend]]/Ruimtestaat[[#This Row],[Norm (m2/uur) weekend]],0)</f>
        <v>0</v>
      </c>
      <c r="AK90" s="444">
        <f>Ruimtestaat[[#This Row],[uren / jaar weekend]]*Tariefsopbouw!$D$40</f>
        <v>0</v>
      </c>
      <c r="AL90" s="441">
        <f>Ruimtestaat[[#This Row],[Prest. (m2 /jaar) weekend]]+Ruimtestaat[[#This Row],[Prest. (m2 /jaar) werkdagen]]</f>
        <v>1640</v>
      </c>
      <c r="AM90" s="441">
        <f>Ruimtestaat[[#This Row],[uren / jaar weekend]]+Ruimtestaat[[#This Row],[uren / jaar werkdagen]]</f>
        <v>0</v>
      </c>
      <c r="AN90" s="446">
        <f>Ruimtestaat[[#This Row],[kosten / jaar weekend]]+Ruimtestaat[[#This Row],[kosten / jaar werkdagen]]</f>
        <v>0</v>
      </c>
      <c r="AO90" s="446"/>
      <c r="AP90" s="447" t="str">
        <f>IF(Ruimtestaat[[#This Row],[Frequentie werkdagen]]="","",_xlfn.CONCAT(Ruimtestaat[[#This Row],[Ruimte code]],"-",Ruimtestaat[[#This Row],[Frequentie werkdagen]]," ",Ruimtestaat[[#This Row],[Vloer code]]))</f>
        <v>5-5w S</v>
      </c>
      <c r="AQ90" s="448" t="str">
        <f>_xlfn.IFNA(VLOOKUP($AP90,Programma!$F$3:$G$1101,2,0),"")</f>
        <v>_</v>
      </c>
      <c r="AR90" s="448" t="str">
        <f>_xlfn.IFNA(VLOOKUP($AP90,Programma!$F$3:$H$1101,3,0),"")</f>
        <v>_</v>
      </c>
      <c r="AS90" s="448" t="str">
        <f>_xlfn.IFNA(VLOOKUP($AP90,Programma!$F$3:$I$1101,4,0),"")</f>
        <v>_</v>
      </c>
      <c r="AT90" s="448" t="str">
        <f>_xlfn.IFNA(VLOOKUP($AP90,Programma!$F$3:$J$1101,5,0),"")</f>
        <v>4w</v>
      </c>
      <c r="AU90" s="448" t="str">
        <f>_xlfn.IFNA(VLOOKUP($AP90,Programma!$F$3:$K$1101,6,0),"")</f>
        <v>1w</v>
      </c>
      <c r="AV90" s="448" t="str">
        <f>_xlfn.IFNA(VLOOKUP($AP90,Programma!$F$3:$L$1101,7,0),"")</f>
        <v>_</v>
      </c>
      <c r="AW90" s="448" t="str">
        <f>_xlfn.IFNA(VLOOKUP($AP90,Programma!$F$3:$M$1101,8,0),"")</f>
        <v>_</v>
      </c>
      <c r="AX90" s="448" t="str">
        <f>_xlfn.IFNA(VLOOKUP($AP90,Programma!$F$3:$N$1101,9,0),"")</f>
        <v>_</v>
      </c>
      <c r="AY90" s="448" t="str">
        <f>_xlfn.IFNA(VLOOKUP($AP90,Programma!$F$3:$O$1101,10,0),"")</f>
        <v>_</v>
      </c>
      <c r="AZ90" s="448" t="str">
        <f>_xlfn.IFNA(VLOOKUP($AP90,Programma!$F$3:$P$1101,11,0),"")</f>
        <v>_</v>
      </c>
      <c r="BA90" s="448" t="str">
        <f>_xlfn.IFNA(VLOOKUP($AP90,Programma!$F$3:$Q$1101,12,0),"")</f>
        <v>_</v>
      </c>
      <c r="BB90" s="448" t="str">
        <f>_xlfn.IFNA(VLOOKUP($AP90,Programma!$F$3:$R$1101,13,0),"")</f>
        <v>_</v>
      </c>
      <c r="BC90" s="448" t="str">
        <f>_xlfn.IFNA(VLOOKUP($AP90,Programma!$F$3:$S$1101,14,0),"")</f>
        <v>_</v>
      </c>
      <c r="BD90" s="448" t="str">
        <f>_xlfn.IFNA(VLOOKUP($AP90,Programma!$F$3:$T$1101,15,0),"")</f>
        <v>_</v>
      </c>
      <c r="BE90" s="448" t="str">
        <f>_xlfn.IFNA(VLOOKUP($AP90,Programma!$F$3:$U$1101,16,0),"")</f>
        <v>_</v>
      </c>
      <c r="BF90" s="448" t="str">
        <f>_xlfn.IFNA(VLOOKUP($AP90,Programma!$F$3:$V$1101,17,0),"")</f>
        <v>_</v>
      </c>
      <c r="BG90" s="448" t="str">
        <f>_xlfn.IFNA(VLOOKUP($AP90,Programma!$F$3:$W$1101,18,0),"")</f>
        <v>4w</v>
      </c>
      <c r="BH90" s="448" t="str">
        <f>_xlfn.IFNA(VLOOKUP($AP90,Programma!$F$3:$X$1101,19,0),"")</f>
        <v>1w</v>
      </c>
      <c r="BI90" s="448" t="str">
        <f>_xlfn.IFNA(VLOOKUP($AP90,Programma!$F$3:$Y$1101,20,0),"")</f>
        <v>_</v>
      </c>
      <c r="BJ90" s="449"/>
      <c r="BK90" s="447" t="str">
        <f>IF(Ruimtestaat[[#This Row],[Frequentie weekend]]="","",_xlfn.CONCAT(Ruimtestaat[[#This Row],[Ruimte code]],"-",Ruimtestaat[[#This Row],[Frequentie weekend]]," ",Ruimtestaat[[#This Row],[Vloer code]]))</f>
        <v/>
      </c>
      <c r="BL90" s="448" t="str">
        <f>_xlfn.IFNA(VLOOKUP($BK90,Programma!$F$3:$G$1101,2,0),"")</f>
        <v/>
      </c>
      <c r="BM90" s="448" t="str">
        <f>_xlfn.IFNA(VLOOKUP($BK90,Programma!$F$3:$H$1101,3,0),"")</f>
        <v/>
      </c>
      <c r="BN90" s="448" t="str">
        <f>_xlfn.IFNA(VLOOKUP($BK90,Programma!$F$3:$I$1101,4,0),"")</f>
        <v/>
      </c>
      <c r="BO90" s="448" t="str">
        <f>_xlfn.IFNA(VLOOKUP($BK90,Programma!$F$3:$J$1101,5,0),"")</f>
        <v/>
      </c>
      <c r="BP90" s="448" t="str">
        <f>_xlfn.IFNA(VLOOKUP($BK90,Programma!$F$3:$K$1101,6,0),"")</f>
        <v/>
      </c>
      <c r="BQ90" s="448" t="str">
        <f>_xlfn.IFNA(VLOOKUP($BK90,Programma!$F$3:$L$1101,7,0),"")</f>
        <v/>
      </c>
      <c r="BR90" s="448" t="str">
        <f>_xlfn.IFNA(VLOOKUP($BK90,Programma!$F$3:$M$1101,8,0),"")</f>
        <v/>
      </c>
      <c r="BS90" s="448" t="str">
        <f>_xlfn.IFNA(VLOOKUP($BK90,Programma!$F$3:$N$1101,9,0),"")</f>
        <v/>
      </c>
      <c r="BT90" s="448" t="str">
        <f>_xlfn.IFNA(VLOOKUP($BK90,Programma!$F$3:$O$1101,10,0),"")</f>
        <v/>
      </c>
      <c r="BU90" s="448" t="str">
        <f>_xlfn.IFNA(VLOOKUP($BK90,Programma!$F$3:$P$1101,11,0),"")</f>
        <v/>
      </c>
      <c r="BV90" s="448" t="str">
        <f>_xlfn.IFNA(VLOOKUP($BK90,Programma!$F$3:$Q$1101,12,0),"")</f>
        <v/>
      </c>
      <c r="BW90" s="448" t="str">
        <f>_xlfn.IFNA(VLOOKUP($BK90,Programma!$F$3:$R$1101,13,0),"")</f>
        <v/>
      </c>
      <c r="BX90" s="448" t="str">
        <f>_xlfn.IFNA(VLOOKUP($BK90,Programma!$F$3:$S$1101,14,0),"")</f>
        <v/>
      </c>
      <c r="BY90" s="448" t="str">
        <f>_xlfn.IFNA(VLOOKUP($BK90,Programma!$F$3:$T$1101,15,0),"")</f>
        <v/>
      </c>
      <c r="BZ90" s="448" t="str">
        <f>_xlfn.IFNA(VLOOKUP($BK90,Programma!$F$3:$U$1101,16,0),"")</f>
        <v/>
      </c>
      <c r="CA90" s="448" t="str">
        <f>_xlfn.IFNA(VLOOKUP($BK90,Programma!$F$3:$V$1101,17,0),"")</f>
        <v/>
      </c>
      <c r="CB90" s="448" t="str">
        <f>_xlfn.IFNA(VLOOKUP($BK90,Programma!$F$3:$W$1101,18,0),"")</f>
        <v/>
      </c>
      <c r="CC90" s="448" t="str">
        <f>_xlfn.IFNA(VLOOKUP($BK90,Programma!$F$3:$X$1101,19,0),"")</f>
        <v/>
      </c>
      <c r="CD90" s="448" t="str">
        <f>_xlfn.IFNA(VLOOKUP($BK90,Programma!$F$3:$Y$1101,20,0),"")</f>
        <v/>
      </c>
      <c r="CE90" s="327"/>
      <c r="CF90" s="327"/>
      <c r="CG90" s="327"/>
      <c r="CH90" s="327"/>
      <c r="CI90" s="327"/>
      <c r="CJ90" s="327"/>
      <c r="CK90" s="327"/>
      <c r="CL90" s="327"/>
      <c r="CM90" s="327"/>
      <c r="CN90" s="327"/>
      <c r="CO90" s="327"/>
      <c r="CP90" s="327"/>
      <c r="CQ90" s="327"/>
      <c r="CR90" s="327"/>
      <c r="CS90" s="327"/>
      <c r="CT90" s="327"/>
      <c r="CU90" s="327"/>
      <c r="CV90" s="327"/>
      <c r="CW90" s="327"/>
      <c r="CX90" s="327"/>
      <c r="CY90" s="327"/>
      <c r="CZ90" s="327"/>
      <c r="DA90" s="327"/>
      <c r="DB90" s="327"/>
      <c r="DC90" s="327"/>
      <c r="DD90" s="327"/>
      <c r="DE90" s="327"/>
      <c r="DF90" s="327"/>
      <c r="DG90" s="327"/>
      <c r="DH90" s="327"/>
      <c r="DI90" s="327"/>
      <c r="DJ90" s="327"/>
      <c r="DK90" s="327"/>
      <c r="DL90" s="327"/>
      <c r="DM90" s="327"/>
      <c r="DN90" s="327"/>
      <c r="DO90" s="327"/>
      <c r="DP90" s="327"/>
      <c r="DQ90" s="327"/>
      <c r="DR90" s="327"/>
      <c r="DS90" s="327"/>
      <c r="DT90" s="327"/>
      <c r="DU90" s="327"/>
      <c r="DV90" s="327"/>
      <c r="DW90" s="327"/>
      <c r="DX90" s="327"/>
      <c r="DY90" s="327"/>
      <c r="DZ90" s="327"/>
      <c r="EA90" s="327"/>
      <c r="EB90" s="327"/>
      <c r="EC90" s="327"/>
      <c r="ED90" s="327"/>
      <c r="EE90" s="327"/>
      <c r="EF90" s="327"/>
      <c r="EG90" s="327"/>
      <c r="EH90" s="327"/>
      <c r="EI90" s="327"/>
      <c r="EJ90" s="327"/>
      <c r="EK90" s="327"/>
      <c r="EL90" s="327"/>
      <c r="EM90" s="327"/>
      <c r="EN90" s="327"/>
      <c r="EO90" s="327"/>
      <c r="EP90" s="327"/>
      <c r="EQ90" s="327"/>
      <c r="ER90" s="327"/>
      <c r="ES90" s="327"/>
      <c r="ET90" s="327"/>
      <c r="EU90" s="327"/>
      <c r="EV90" s="327"/>
      <c r="EW90" s="327"/>
      <c r="EX90" s="327"/>
      <c r="EY90" s="327"/>
      <c r="EZ90" s="327"/>
      <c r="FA90" s="327"/>
      <c r="FB90" s="327"/>
      <c r="FC90" s="327"/>
      <c r="FD90" s="327"/>
      <c r="FE90" s="327"/>
      <c r="FF90" s="327"/>
      <c r="FG90" s="327"/>
      <c r="FH90" s="327"/>
      <c r="FI90" s="327"/>
      <c r="FJ90" s="327"/>
      <c r="FK90" s="327"/>
      <c r="FL90" s="327"/>
      <c r="FM90" s="327"/>
      <c r="FN90" s="327"/>
      <c r="FO90" s="327"/>
      <c r="FP90" s="327"/>
      <c r="FQ90" s="327"/>
      <c r="FR90" s="327"/>
      <c r="FS90" s="327"/>
      <c r="FT90" s="327"/>
      <c r="FU90" s="327"/>
      <c r="FV90" s="327"/>
      <c r="FW90" s="327"/>
      <c r="FX90" s="327"/>
      <c r="FY90" s="327"/>
      <c r="FZ90" s="327"/>
      <c r="GA90" s="327"/>
      <c r="GB90" s="327"/>
      <c r="GC90" s="327"/>
      <c r="GD90" s="327"/>
      <c r="GE90" s="327"/>
      <c r="GF90" s="327"/>
      <c r="GG90" s="327"/>
      <c r="GH90" s="327"/>
      <c r="GI90" s="327"/>
      <c r="GJ90" s="327"/>
      <c r="GK90" s="327"/>
      <c r="GL90" s="327"/>
      <c r="GM90" s="327"/>
      <c r="GN90" s="327"/>
      <c r="GO90" s="327"/>
      <c r="GP90" s="327"/>
      <c r="GQ90" s="327"/>
      <c r="GR90" s="327"/>
      <c r="GS90" s="327"/>
      <c r="GT90" s="327"/>
      <c r="GU90" s="327"/>
      <c r="GV90" s="327"/>
      <c r="GW90" s="327"/>
      <c r="GX90" s="327"/>
      <c r="GY90" s="327"/>
      <c r="GZ90" s="327"/>
      <c r="HA90" s="327"/>
      <c r="HB90" s="327"/>
      <c r="HC90" s="327"/>
      <c r="HD90" s="327"/>
      <c r="HE90" s="327"/>
      <c r="HF90" s="327"/>
      <c r="HG90" s="327"/>
      <c r="HH90" s="327"/>
      <c r="HI90" s="327"/>
      <c r="HJ90" s="327"/>
      <c r="HK90" s="327"/>
      <c r="HL90" s="327"/>
      <c r="HM90" s="327"/>
      <c r="HN90" s="327"/>
      <c r="HO90" s="327"/>
      <c r="HP90" s="327"/>
      <c r="HQ90" s="327"/>
      <c r="HR90" s="327"/>
      <c r="HS90" s="327"/>
    </row>
    <row r="91" spans="1:227" ht="15" customHeight="1">
      <c r="A91" s="330">
        <v>5</v>
      </c>
      <c r="B91" s="435" t="str">
        <f>VLOOKUP(Ruimtestaat[[#This Row],[Code]],Locaties[[Code]:[Locatie]],2,FALSE)</f>
        <v>IKC De Springplank</v>
      </c>
      <c r="C91" s="435" t="str">
        <f>VLOOKUP(Ruimtestaat[[#This Row],[Code]],Locaties[[#All],[Code]:[Adres]],4,FALSE)</f>
        <v>Irisvaart 6-8</v>
      </c>
      <c r="D91" s="435" t="str">
        <f>VLOOKUP(Ruimtestaat[[#This Row],[Code]],Locaties[[#All],[Code]:[Postcode]],5,FALSE)</f>
        <v>2724 TT</v>
      </c>
      <c r="E91" s="435" t="str">
        <f>VLOOKUP(Ruimtestaat[[#This Row],[Code]],Locaties[#All],6,FALSE)</f>
        <v>Zoetermeer</v>
      </c>
      <c r="F91" s="434"/>
      <c r="G91" s="434" t="s">
        <v>1678</v>
      </c>
      <c r="H91" s="436" t="s">
        <v>1668</v>
      </c>
      <c r="I91" s="437" t="s">
        <v>1679</v>
      </c>
      <c r="J91" s="434">
        <v>16</v>
      </c>
      <c r="K91" s="450" t="str">
        <f>VLOOKUP(Ruimtestaat[[#This Row],[Ruimte code]],Ruimtegroepen[[#All],[Code]:[Ruimte omschrijving]],2,FALSE)</f>
        <v>Leslokalen</v>
      </c>
      <c r="L91" s="434" t="s">
        <v>100</v>
      </c>
      <c r="M91" s="437" t="s">
        <v>1759</v>
      </c>
      <c r="N91" s="439">
        <v>62</v>
      </c>
      <c r="O91" s="439"/>
      <c r="P91" s="439"/>
      <c r="Q91" s="439"/>
      <c r="R91" s="440" t="str">
        <f>VLOOKUP(Ruimtestaat[[#This Row],[Ruimte code]],Ruimtegroepen[],4,FALSE)</f>
        <v>Le</v>
      </c>
      <c r="S91" s="434">
        <v>40</v>
      </c>
      <c r="T91" s="434" t="s">
        <v>2</v>
      </c>
      <c r="U91" s="434">
        <f>IF(S91&gt;0,IF(RIGHT(Ruimtestaat[[#This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 s="434">
        <f>IF(U91&gt;0,VLOOKUP($J91,Ruimtegroepen[],3,FALSE)*VLOOKUP($L91,Vloersoorten[],3,FALSE)*VLOOKUP($T91,Frequenties[],3,FALSE)*VLOOKUP($A91,Locaties[],3,FALSE),0)</f>
        <v>0</v>
      </c>
      <c r="W91" s="434">
        <f>Ruimtestaat[[#This Row],[Uitvoeringen werkdagen]]*Ruimtestaat[[#This Row],[Oppervlak (netto)]]</f>
        <v>12400</v>
      </c>
      <c r="X91" s="441">
        <f>IF(V91&gt;0,Ruimtestaat[[#This Row],[Prest. (m2 /jaar) werkdagen]]/Ruimtestaat[[#This Row],[Norm (m2/uur) werkdagen]],0)</f>
        <v>0</v>
      </c>
      <c r="Y91" s="442">
        <f>Ruimtestaat[[#This Row],[Uitvoeringen werkdagen]]*Ruimtestaat[[#This Row],[Gedeeltelijk]]</f>
        <v>0</v>
      </c>
      <c r="Z91" s="443" t="e">
        <f>IF(U91&gt;0,Ruimtestaat[[#This Row],[Prest. (m2 / jaar) werkdagen gedeeld]]/Ruimtestaat[[#This Row],[Norm (m2/uur) werkdagen]],0)</f>
        <v>#DIV/0!</v>
      </c>
      <c r="AA91" s="441" t="e">
        <f>Ruimtestaat[[#This Row],[uren / jaar werkdagen gedeeld]]*Tariefsopbouw!$E$35</f>
        <v>#DIV/0!</v>
      </c>
      <c r="AB91" s="441">
        <f>Ruimtestaat[[#This Row],[Uitvoeringen werkdagen]]*Ruimtestaat[[#This Row],[BSO]]</f>
        <v>0</v>
      </c>
      <c r="AC91" s="443" t="e">
        <f>IF(U91&gt;0,Ruimtestaat[[#This Row],[Prest. (m2 / jaar) werkdagen BSO]]/Ruimtestaat[[#This Row],[Norm (m2/uur) werkdagen]],0)</f>
        <v>#DIV/0!</v>
      </c>
      <c r="AD91" s="443" t="e">
        <f>Ruimtestaat[[#This Row],[uren / jaar werkdagen BSO]]*Tariefsopbouw!$E$35</f>
        <v>#DIV/0!</v>
      </c>
      <c r="AE91" s="444">
        <f>Ruimtestaat[[#This Row],[uren / jaar werkdagen]]*Tariefsopbouw!$E$35</f>
        <v>0</v>
      </c>
      <c r="AF91" s="434"/>
      <c r="AG91" s="434">
        <f>IF(Ruimtestaat[[#This Row],[Frequentie weekend]]&gt;0,VALUE(LEFT(AF91,1))*S91,0)</f>
        <v>0</v>
      </c>
      <c r="AH91" s="445">
        <f>IF($AG91&gt;0,VLOOKUP($J91,Ruimtegroepen[],3,FALSE)*VLOOKUP($L91,Vloersoorten[],3,FALSE)*VLOOKUP($AF91,Frequenties[],3,FALSE)*VLOOKUP(Ruimtestaat[[#This Row],[Code]],Locaties[],3,FALSE),0)</f>
        <v>0</v>
      </c>
      <c r="AI91" s="445">
        <f>Ruimtestaat[[#This Row],[Uitvoeringen weekend]]*Ruimtestaat[[#This Row],[Oppervlak (netto)]]</f>
        <v>0</v>
      </c>
      <c r="AJ91" s="445">
        <f>IF(AH91&gt;0,Ruimtestaat[[#This Row],[Prest. (m2 /jaar) weekend]]/Ruimtestaat[[#This Row],[Norm (m2/uur) weekend]],0)</f>
        <v>0</v>
      </c>
      <c r="AK91" s="444">
        <f>Ruimtestaat[[#This Row],[uren / jaar weekend]]*Tariefsopbouw!$D$40</f>
        <v>0</v>
      </c>
      <c r="AL91" s="441">
        <f>Ruimtestaat[[#This Row],[Prest. (m2 /jaar) weekend]]+Ruimtestaat[[#This Row],[Prest. (m2 /jaar) werkdagen]]</f>
        <v>12400</v>
      </c>
      <c r="AM91" s="441">
        <f>Ruimtestaat[[#This Row],[uren / jaar weekend]]+Ruimtestaat[[#This Row],[uren / jaar werkdagen]]</f>
        <v>0</v>
      </c>
      <c r="AN91" s="446">
        <f>Ruimtestaat[[#This Row],[kosten / jaar weekend]]+Ruimtestaat[[#This Row],[kosten / jaar werkdagen]]</f>
        <v>0</v>
      </c>
      <c r="AO91" s="446"/>
      <c r="AP91" s="447" t="str">
        <f>IF(Ruimtestaat[[#This Row],[Frequentie werkdagen]]="","",_xlfn.CONCAT(Ruimtestaat[[#This Row],[Ruimte code]],"-",Ruimtestaat[[#This Row],[Frequentie werkdagen]]," ",Ruimtestaat[[#This Row],[Vloer code]]))</f>
        <v>16-5w L</v>
      </c>
      <c r="AQ91" s="448" t="str">
        <f>_xlfn.IFNA(VLOOKUP($AP91,Programma!$F$3:$G$1101,2,0),"")</f>
        <v>_</v>
      </c>
      <c r="AR91" s="448" t="str">
        <f>_xlfn.IFNA(VLOOKUP($AP91,Programma!$F$3:$H$1101,3,0),"")</f>
        <v>_</v>
      </c>
      <c r="AS91" s="448" t="str">
        <f>_xlfn.IFNA(VLOOKUP($AP91,Programma!$F$3:$I$1101,4,0),"")</f>
        <v>4w</v>
      </c>
      <c r="AT91" s="448" t="str">
        <f>_xlfn.IFNA(VLOOKUP($AP91,Programma!$F$3:$J$1101,5,0),"")</f>
        <v>1w</v>
      </c>
      <c r="AU91" s="448" t="str">
        <f>_xlfn.IFNA(VLOOKUP($AP91,Programma!$F$3:$K$1101,6,0),"")</f>
        <v>_</v>
      </c>
      <c r="AV91" s="448" t="str">
        <f>_xlfn.IFNA(VLOOKUP($AP91,Programma!$F$3:$L$1101,7,0),"")</f>
        <v>_</v>
      </c>
      <c r="AW91" s="448" t="str">
        <f>_xlfn.IFNA(VLOOKUP($AP91,Programma!$F$3:$M$1101,8,0),"")</f>
        <v>_</v>
      </c>
      <c r="AX91" s="448" t="str">
        <f>_xlfn.IFNA(VLOOKUP($AP91,Programma!$F$3:$N$1101,9,0),"")</f>
        <v>_</v>
      </c>
      <c r="AY91" s="448" t="str">
        <f>_xlfn.IFNA(VLOOKUP($AP91,Programma!$F$3:$O$1101,10,0),"")</f>
        <v>5w</v>
      </c>
      <c r="AZ91" s="448" t="str">
        <f>_xlfn.IFNA(VLOOKUP($AP91,Programma!$F$3:$P$1101,11,0),"")</f>
        <v>5w</v>
      </c>
      <c r="BA91" s="448" t="str">
        <f>_xlfn.IFNA(VLOOKUP($AP91,Programma!$F$3:$Q$1101,12,0),"")</f>
        <v>1w</v>
      </c>
      <c r="BB91" s="448" t="str">
        <f>_xlfn.IFNA(VLOOKUP($AP91,Programma!$F$3:$R$1101,13,0),"")</f>
        <v>1w</v>
      </c>
      <c r="BC91" s="448" t="str">
        <f>_xlfn.IFNA(VLOOKUP($AP91,Programma!$F$3:$S$1101,14,0),"")</f>
        <v>1m</v>
      </c>
      <c r="BD91" s="448" t="str">
        <f>_xlfn.IFNA(VLOOKUP($AP91,Programma!$F$3:$T$1101,15,0),"")</f>
        <v>2j</v>
      </c>
      <c r="BE91" s="448" t="str">
        <f>_xlfn.IFNA(VLOOKUP($AP91,Programma!$F$3:$U$1101,16,0),"")</f>
        <v>1j</v>
      </c>
      <c r="BF91" s="448" t="str">
        <f>_xlfn.IFNA(VLOOKUP($AP91,Programma!$F$3:$V$1101,17,0),"")</f>
        <v>_</v>
      </c>
      <c r="BG91" s="448" t="str">
        <f>_xlfn.IFNA(VLOOKUP($AP91,Programma!$F$3:$W$1101,18,0),"")</f>
        <v>_</v>
      </c>
      <c r="BH91" s="448" t="str">
        <f>_xlfn.IFNA(VLOOKUP($AP91,Programma!$F$3:$X$1101,19,0),"")</f>
        <v>_</v>
      </c>
      <c r="BI91" s="448" t="str">
        <f>_xlfn.IFNA(VLOOKUP($AP91,Programma!$F$3:$Y$1101,20,0),"")</f>
        <v>_</v>
      </c>
      <c r="BJ91" s="449"/>
      <c r="BK91" s="447" t="str">
        <f>IF(Ruimtestaat[[#This Row],[Frequentie weekend]]="","",_xlfn.CONCAT(Ruimtestaat[[#This Row],[Ruimte code]],"-",Ruimtestaat[[#This Row],[Frequentie weekend]]," ",Ruimtestaat[[#This Row],[Vloer code]]))</f>
        <v/>
      </c>
      <c r="BL91" s="448" t="str">
        <f>_xlfn.IFNA(VLOOKUP($BK91,Programma!$F$3:$G$1101,2,0),"")</f>
        <v/>
      </c>
      <c r="BM91" s="448" t="str">
        <f>_xlfn.IFNA(VLOOKUP($BK91,Programma!$F$3:$H$1101,3,0),"")</f>
        <v/>
      </c>
      <c r="BN91" s="448" t="str">
        <f>_xlfn.IFNA(VLOOKUP($BK91,Programma!$F$3:$I$1101,4,0),"")</f>
        <v/>
      </c>
      <c r="BO91" s="448" t="str">
        <f>_xlfn.IFNA(VLOOKUP($BK91,Programma!$F$3:$J$1101,5,0),"")</f>
        <v/>
      </c>
      <c r="BP91" s="448" t="str">
        <f>_xlfn.IFNA(VLOOKUP($BK91,Programma!$F$3:$K$1101,6,0),"")</f>
        <v/>
      </c>
      <c r="BQ91" s="448" t="str">
        <f>_xlfn.IFNA(VLOOKUP($BK91,Programma!$F$3:$L$1101,7,0),"")</f>
        <v/>
      </c>
      <c r="BR91" s="448" t="str">
        <f>_xlfn.IFNA(VLOOKUP($BK91,Programma!$F$3:$M$1101,8,0),"")</f>
        <v/>
      </c>
      <c r="BS91" s="448" t="str">
        <f>_xlfn.IFNA(VLOOKUP($BK91,Programma!$F$3:$N$1101,9,0),"")</f>
        <v/>
      </c>
      <c r="BT91" s="448" t="str">
        <f>_xlfn.IFNA(VLOOKUP($BK91,Programma!$F$3:$O$1101,10,0),"")</f>
        <v/>
      </c>
      <c r="BU91" s="448" t="str">
        <f>_xlfn.IFNA(VLOOKUP($BK91,Programma!$F$3:$P$1101,11,0),"")</f>
        <v/>
      </c>
      <c r="BV91" s="448" t="str">
        <f>_xlfn.IFNA(VLOOKUP($BK91,Programma!$F$3:$Q$1101,12,0),"")</f>
        <v/>
      </c>
      <c r="BW91" s="448" t="str">
        <f>_xlfn.IFNA(VLOOKUP($BK91,Programma!$F$3:$R$1101,13,0),"")</f>
        <v/>
      </c>
      <c r="BX91" s="448" t="str">
        <f>_xlfn.IFNA(VLOOKUP($BK91,Programma!$F$3:$S$1101,14,0),"")</f>
        <v/>
      </c>
      <c r="BY91" s="448" t="str">
        <f>_xlfn.IFNA(VLOOKUP($BK91,Programma!$F$3:$T$1101,15,0),"")</f>
        <v/>
      </c>
      <c r="BZ91" s="448" t="str">
        <f>_xlfn.IFNA(VLOOKUP($BK91,Programma!$F$3:$U$1101,16,0),"")</f>
        <v/>
      </c>
      <c r="CA91" s="448" t="str">
        <f>_xlfn.IFNA(VLOOKUP($BK91,Programma!$F$3:$V$1101,17,0),"")</f>
        <v/>
      </c>
      <c r="CB91" s="448" t="str">
        <f>_xlfn.IFNA(VLOOKUP($BK91,Programma!$F$3:$W$1101,18,0),"")</f>
        <v/>
      </c>
      <c r="CC91" s="448" t="str">
        <f>_xlfn.IFNA(VLOOKUP($BK91,Programma!$F$3:$X$1101,19,0),"")</f>
        <v/>
      </c>
      <c r="CD91" s="448" t="str">
        <f>_xlfn.IFNA(VLOOKUP($BK91,Programma!$F$3:$Y$1101,20,0),"")</f>
        <v/>
      </c>
      <c r="CE91" s="327"/>
      <c r="CF91" s="327"/>
      <c r="CG91" s="327"/>
      <c r="CH91" s="327"/>
      <c r="CI91" s="327"/>
      <c r="CJ91" s="327"/>
      <c r="CK91" s="327"/>
      <c r="CL91" s="327"/>
      <c r="CM91" s="327"/>
      <c r="CN91" s="327"/>
      <c r="CO91" s="327"/>
      <c r="CP91" s="327"/>
      <c r="CQ91" s="327"/>
      <c r="CR91" s="327"/>
      <c r="CS91" s="327"/>
      <c r="CT91" s="327"/>
      <c r="CU91" s="327"/>
      <c r="CV91" s="327"/>
      <c r="CW91" s="327"/>
      <c r="CX91" s="327"/>
      <c r="CY91" s="327"/>
      <c r="CZ91" s="327"/>
      <c r="DA91" s="327"/>
      <c r="DB91" s="327"/>
      <c r="DC91" s="327"/>
      <c r="DD91" s="327"/>
      <c r="DE91" s="327"/>
      <c r="DF91" s="327"/>
      <c r="DG91" s="327"/>
      <c r="DH91" s="327"/>
      <c r="DI91" s="327"/>
      <c r="DJ91" s="327"/>
      <c r="DK91" s="327"/>
      <c r="DL91" s="327"/>
      <c r="DM91" s="327"/>
      <c r="DN91" s="327"/>
      <c r="DO91" s="327"/>
      <c r="DP91" s="327"/>
      <c r="DQ91" s="327"/>
      <c r="DR91" s="327"/>
      <c r="DS91" s="327"/>
      <c r="DT91" s="327"/>
      <c r="DU91" s="327"/>
      <c r="DV91" s="327"/>
      <c r="DW91" s="327"/>
      <c r="DX91" s="327"/>
      <c r="DY91" s="327"/>
      <c r="DZ91" s="327"/>
      <c r="EA91" s="327"/>
      <c r="EB91" s="327"/>
      <c r="EC91" s="327"/>
      <c r="ED91" s="327"/>
      <c r="EE91" s="327"/>
      <c r="EF91" s="327"/>
      <c r="EG91" s="327"/>
      <c r="EH91" s="327"/>
      <c r="EI91" s="327"/>
      <c r="EJ91" s="327"/>
      <c r="EK91" s="327"/>
      <c r="EL91" s="327"/>
      <c r="EM91" s="327"/>
      <c r="EN91" s="327"/>
      <c r="EO91" s="327"/>
      <c r="EP91" s="327"/>
      <c r="EQ91" s="327"/>
      <c r="ER91" s="327"/>
      <c r="ES91" s="327"/>
      <c r="ET91" s="327"/>
      <c r="EU91" s="327"/>
      <c r="EV91" s="327"/>
      <c r="EW91" s="327"/>
      <c r="EX91" s="327"/>
      <c r="EY91" s="327"/>
      <c r="EZ91" s="327"/>
      <c r="FA91" s="327"/>
      <c r="FB91" s="327"/>
      <c r="FC91" s="327"/>
      <c r="FD91" s="327"/>
      <c r="FE91" s="327"/>
      <c r="FF91" s="327"/>
      <c r="FG91" s="327"/>
      <c r="FH91" s="327"/>
      <c r="FI91" s="327"/>
      <c r="FJ91" s="327"/>
      <c r="FK91" s="327"/>
      <c r="FL91" s="327"/>
      <c r="FM91" s="327"/>
      <c r="FN91" s="327"/>
      <c r="FO91" s="327"/>
      <c r="FP91" s="327"/>
      <c r="FQ91" s="327"/>
      <c r="FR91" s="327"/>
      <c r="FS91" s="327"/>
      <c r="FT91" s="327"/>
      <c r="FU91" s="327"/>
      <c r="FV91" s="327"/>
      <c r="FW91" s="327"/>
      <c r="FX91" s="327"/>
      <c r="FY91" s="327"/>
      <c r="FZ91" s="327"/>
      <c r="GA91" s="327"/>
      <c r="GB91" s="327"/>
      <c r="GC91" s="327"/>
      <c r="GD91" s="327"/>
      <c r="GE91" s="327"/>
      <c r="GF91" s="327"/>
      <c r="GG91" s="327"/>
      <c r="GH91" s="327"/>
      <c r="GI91" s="327"/>
      <c r="GJ91" s="327"/>
      <c r="GK91" s="327"/>
      <c r="GL91" s="327"/>
      <c r="GM91" s="327"/>
      <c r="GN91" s="327"/>
      <c r="GO91" s="327"/>
      <c r="GP91" s="327"/>
      <c r="GQ91" s="327"/>
      <c r="GR91" s="327"/>
      <c r="GS91" s="327"/>
      <c r="GT91" s="327"/>
      <c r="GU91" s="327"/>
      <c r="GV91" s="327"/>
      <c r="GW91" s="327"/>
      <c r="GX91" s="327"/>
      <c r="GY91" s="327"/>
      <c r="GZ91" s="327"/>
      <c r="HA91" s="327"/>
      <c r="HB91" s="327"/>
      <c r="HC91" s="327"/>
      <c r="HD91" s="327"/>
      <c r="HE91" s="327"/>
      <c r="HF91" s="327"/>
      <c r="HG91" s="327"/>
      <c r="HH91" s="327"/>
      <c r="HI91" s="327"/>
      <c r="HJ91" s="327"/>
      <c r="HK91" s="327"/>
      <c r="HL91" s="327"/>
      <c r="HM91" s="327"/>
      <c r="HN91" s="327"/>
      <c r="HO91" s="327"/>
      <c r="HP91" s="327"/>
      <c r="HQ91" s="327"/>
      <c r="HR91" s="327"/>
      <c r="HS91" s="327"/>
    </row>
    <row r="92" spans="1:227" ht="15" customHeight="1">
      <c r="A92" s="330">
        <v>5</v>
      </c>
      <c r="B92" s="435" t="str">
        <f>VLOOKUP(Ruimtestaat[[#This Row],[Code]],Locaties[[Code]:[Locatie]],2,FALSE)</f>
        <v>IKC De Springplank</v>
      </c>
      <c r="C92" s="435" t="str">
        <f>VLOOKUP(Ruimtestaat[[#This Row],[Code]],Locaties[[#All],[Code]:[Adres]],4,FALSE)</f>
        <v>Irisvaart 6-8</v>
      </c>
      <c r="D92" s="435" t="str">
        <f>VLOOKUP(Ruimtestaat[[#This Row],[Code]],Locaties[[#All],[Code]:[Postcode]],5,FALSE)</f>
        <v>2724 TT</v>
      </c>
      <c r="E92" s="435" t="str">
        <f>VLOOKUP(Ruimtestaat[[#This Row],[Code]],Locaties[#All],6,FALSE)</f>
        <v>Zoetermeer</v>
      </c>
      <c r="F92" s="434"/>
      <c r="G92" s="434" t="s">
        <v>1678</v>
      </c>
      <c r="H92" s="436" t="s">
        <v>1669</v>
      </c>
      <c r="I92" s="437" t="s">
        <v>1673</v>
      </c>
      <c r="J92" s="330">
        <v>5</v>
      </c>
      <c r="K92" s="450" t="str">
        <f>VLOOKUP(Ruimtestaat[[#This Row],[Ruimte code]],Ruimtegroepen[[#All],[Code]:[Ruimte omschrijving]],2,FALSE)</f>
        <v>Sanitair</v>
      </c>
      <c r="L92" s="434" t="s">
        <v>101</v>
      </c>
      <c r="M92" s="437" t="s">
        <v>1947</v>
      </c>
      <c r="N92" s="439">
        <v>8</v>
      </c>
      <c r="O92" s="439"/>
      <c r="P92" s="439"/>
      <c r="Q92" s="439"/>
      <c r="R92" s="440" t="str">
        <f>VLOOKUP(Ruimtestaat[[#This Row],[Ruimte code]],Ruimtegroepen[],4,FALSE)</f>
        <v>Sa</v>
      </c>
      <c r="S92" s="434">
        <v>41</v>
      </c>
      <c r="T92" s="434" t="s">
        <v>2</v>
      </c>
      <c r="U92" s="434">
        <f>IF(S92&gt;0,IF(RIGHT(Ruimtestaat[[#This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2" s="434">
        <f>IF(U92&gt;0,VLOOKUP($J92,Ruimtegroepen[],3,FALSE)*VLOOKUP($L92,Vloersoorten[],3,FALSE)*VLOOKUP($T92,Frequenties[],3,FALSE)*VLOOKUP($A92,Locaties[],3,FALSE),0)</f>
        <v>0</v>
      </c>
      <c r="W92" s="434">
        <f>Ruimtestaat[[#This Row],[Uitvoeringen werkdagen]]*Ruimtestaat[[#This Row],[Oppervlak (netto)]]</f>
        <v>1640</v>
      </c>
      <c r="X92" s="441">
        <f>IF(V92&gt;0,Ruimtestaat[[#This Row],[Prest. (m2 /jaar) werkdagen]]/Ruimtestaat[[#This Row],[Norm (m2/uur) werkdagen]],0)</f>
        <v>0</v>
      </c>
      <c r="Y92" s="442">
        <f>Ruimtestaat[[#This Row],[Uitvoeringen werkdagen]]*Ruimtestaat[[#This Row],[Gedeeltelijk]]</f>
        <v>0</v>
      </c>
      <c r="Z92" s="443" t="e">
        <f>IF(U92&gt;0,Ruimtestaat[[#This Row],[Prest. (m2 / jaar) werkdagen gedeeld]]/Ruimtestaat[[#This Row],[Norm (m2/uur) werkdagen]],0)</f>
        <v>#DIV/0!</v>
      </c>
      <c r="AA92" s="441" t="e">
        <f>Ruimtestaat[[#This Row],[uren / jaar werkdagen gedeeld]]*Tariefsopbouw!$E$35</f>
        <v>#DIV/0!</v>
      </c>
      <c r="AB92" s="441">
        <f>Ruimtestaat[[#This Row],[Uitvoeringen werkdagen]]*Ruimtestaat[[#This Row],[BSO]]</f>
        <v>0</v>
      </c>
      <c r="AC92" s="443" t="e">
        <f>IF(U92&gt;0,Ruimtestaat[[#This Row],[Prest. (m2 / jaar) werkdagen BSO]]/Ruimtestaat[[#This Row],[Norm (m2/uur) werkdagen]],0)</f>
        <v>#DIV/0!</v>
      </c>
      <c r="AD92" s="443" t="e">
        <f>Ruimtestaat[[#This Row],[uren / jaar werkdagen BSO]]*Tariefsopbouw!$E$35</f>
        <v>#DIV/0!</v>
      </c>
      <c r="AE92" s="444">
        <f>Ruimtestaat[[#This Row],[uren / jaar werkdagen]]*Tariefsopbouw!$E$35</f>
        <v>0</v>
      </c>
      <c r="AF92" s="434"/>
      <c r="AG92" s="434">
        <f>IF(Ruimtestaat[[#This Row],[Frequentie weekend]]&gt;0,VALUE(LEFT(AF92,1))*S92,0)</f>
        <v>0</v>
      </c>
      <c r="AH92" s="445">
        <f>IF($AG92&gt;0,VLOOKUP($J92,Ruimtegroepen[],3,FALSE)*VLOOKUP($L92,Vloersoorten[],3,FALSE)*VLOOKUP($AF92,Frequenties[],3,FALSE)*VLOOKUP(Ruimtestaat[[#This Row],[Code]],Locaties[],3,FALSE),0)</f>
        <v>0</v>
      </c>
      <c r="AI92" s="445">
        <f>Ruimtestaat[[#This Row],[Uitvoeringen weekend]]*Ruimtestaat[[#This Row],[Oppervlak (netto)]]</f>
        <v>0</v>
      </c>
      <c r="AJ92" s="445">
        <f>IF(AH92&gt;0,Ruimtestaat[[#This Row],[Prest. (m2 /jaar) weekend]]/Ruimtestaat[[#This Row],[Norm (m2/uur) weekend]],0)</f>
        <v>0</v>
      </c>
      <c r="AK92" s="444">
        <f>Ruimtestaat[[#This Row],[uren / jaar weekend]]*Tariefsopbouw!$D$40</f>
        <v>0</v>
      </c>
      <c r="AL92" s="441">
        <f>Ruimtestaat[[#This Row],[Prest. (m2 /jaar) weekend]]+Ruimtestaat[[#This Row],[Prest. (m2 /jaar) werkdagen]]</f>
        <v>1640</v>
      </c>
      <c r="AM92" s="441">
        <f>Ruimtestaat[[#This Row],[uren / jaar weekend]]+Ruimtestaat[[#This Row],[uren / jaar werkdagen]]</f>
        <v>0</v>
      </c>
      <c r="AN92" s="446">
        <f>Ruimtestaat[[#This Row],[kosten / jaar weekend]]+Ruimtestaat[[#This Row],[kosten / jaar werkdagen]]</f>
        <v>0</v>
      </c>
      <c r="AO92" s="446"/>
      <c r="AP92" s="447" t="str">
        <f>IF(Ruimtestaat[[#This Row],[Frequentie werkdagen]]="","",_xlfn.CONCAT(Ruimtestaat[[#This Row],[Ruimte code]],"-",Ruimtestaat[[#This Row],[Frequentie werkdagen]]," ",Ruimtestaat[[#This Row],[Vloer code]]))</f>
        <v>5-5w S</v>
      </c>
      <c r="AQ92" s="448" t="str">
        <f>_xlfn.IFNA(VLOOKUP($AP92,Programma!$F$3:$G$1101,2,0),"")</f>
        <v>_</v>
      </c>
      <c r="AR92" s="448" t="str">
        <f>_xlfn.IFNA(VLOOKUP($AP92,Programma!$F$3:$H$1101,3,0),"")</f>
        <v>_</v>
      </c>
      <c r="AS92" s="448" t="str">
        <f>_xlfn.IFNA(VLOOKUP($AP92,Programma!$F$3:$I$1101,4,0),"")</f>
        <v>_</v>
      </c>
      <c r="AT92" s="448" t="str">
        <f>_xlfn.IFNA(VLOOKUP($AP92,Programma!$F$3:$J$1101,5,0),"")</f>
        <v>4w</v>
      </c>
      <c r="AU92" s="448" t="str">
        <f>_xlfn.IFNA(VLOOKUP($AP92,Programma!$F$3:$K$1101,6,0),"")</f>
        <v>1w</v>
      </c>
      <c r="AV92" s="448" t="str">
        <f>_xlfn.IFNA(VLOOKUP($AP92,Programma!$F$3:$L$1101,7,0),"")</f>
        <v>_</v>
      </c>
      <c r="AW92" s="448" t="str">
        <f>_xlfn.IFNA(VLOOKUP($AP92,Programma!$F$3:$M$1101,8,0),"")</f>
        <v>_</v>
      </c>
      <c r="AX92" s="448" t="str">
        <f>_xlfn.IFNA(VLOOKUP($AP92,Programma!$F$3:$N$1101,9,0),"")</f>
        <v>_</v>
      </c>
      <c r="AY92" s="448" t="str">
        <f>_xlfn.IFNA(VLOOKUP($AP92,Programma!$F$3:$O$1101,10,0),"")</f>
        <v>_</v>
      </c>
      <c r="AZ92" s="448" t="str">
        <f>_xlfn.IFNA(VLOOKUP($AP92,Programma!$F$3:$P$1101,11,0),"")</f>
        <v>_</v>
      </c>
      <c r="BA92" s="448" t="str">
        <f>_xlfn.IFNA(VLOOKUP($AP92,Programma!$F$3:$Q$1101,12,0),"")</f>
        <v>_</v>
      </c>
      <c r="BB92" s="448" t="str">
        <f>_xlfn.IFNA(VLOOKUP($AP92,Programma!$F$3:$R$1101,13,0),"")</f>
        <v>_</v>
      </c>
      <c r="BC92" s="448" t="str">
        <f>_xlfn.IFNA(VLOOKUP($AP92,Programma!$F$3:$S$1101,14,0),"")</f>
        <v>_</v>
      </c>
      <c r="BD92" s="448" t="str">
        <f>_xlfn.IFNA(VLOOKUP($AP92,Programma!$F$3:$T$1101,15,0),"")</f>
        <v>_</v>
      </c>
      <c r="BE92" s="448" t="str">
        <f>_xlfn.IFNA(VLOOKUP($AP92,Programma!$F$3:$U$1101,16,0),"")</f>
        <v>_</v>
      </c>
      <c r="BF92" s="448" t="str">
        <f>_xlfn.IFNA(VLOOKUP($AP92,Programma!$F$3:$V$1101,17,0),"")</f>
        <v>_</v>
      </c>
      <c r="BG92" s="448" t="str">
        <f>_xlfn.IFNA(VLOOKUP($AP92,Programma!$F$3:$W$1101,18,0),"")</f>
        <v>4w</v>
      </c>
      <c r="BH92" s="448" t="str">
        <f>_xlfn.IFNA(VLOOKUP($AP92,Programma!$F$3:$X$1101,19,0),"")</f>
        <v>1w</v>
      </c>
      <c r="BI92" s="448" t="str">
        <f>_xlfn.IFNA(VLOOKUP($AP92,Programma!$F$3:$Y$1101,20,0),"")</f>
        <v>_</v>
      </c>
      <c r="BJ92" s="449"/>
      <c r="BK92" s="447" t="str">
        <f>IF(Ruimtestaat[[#This Row],[Frequentie weekend]]="","",_xlfn.CONCAT(Ruimtestaat[[#This Row],[Ruimte code]],"-",Ruimtestaat[[#This Row],[Frequentie weekend]]," ",Ruimtestaat[[#This Row],[Vloer code]]))</f>
        <v/>
      </c>
      <c r="BL92" s="448" t="str">
        <f>_xlfn.IFNA(VLOOKUP($BK92,Programma!$F$3:$G$1101,2,0),"")</f>
        <v/>
      </c>
      <c r="BM92" s="448" t="str">
        <f>_xlfn.IFNA(VLOOKUP($BK92,Programma!$F$3:$H$1101,3,0),"")</f>
        <v/>
      </c>
      <c r="BN92" s="448" t="str">
        <f>_xlfn.IFNA(VLOOKUP($BK92,Programma!$F$3:$I$1101,4,0),"")</f>
        <v/>
      </c>
      <c r="BO92" s="448" t="str">
        <f>_xlfn.IFNA(VLOOKUP($BK92,Programma!$F$3:$J$1101,5,0),"")</f>
        <v/>
      </c>
      <c r="BP92" s="448" t="str">
        <f>_xlfn.IFNA(VLOOKUP($BK92,Programma!$F$3:$K$1101,6,0),"")</f>
        <v/>
      </c>
      <c r="BQ92" s="448" t="str">
        <f>_xlfn.IFNA(VLOOKUP($BK92,Programma!$F$3:$L$1101,7,0),"")</f>
        <v/>
      </c>
      <c r="BR92" s="448" t="str">
        <f>_xlfn.IFNA(VLOOKUP($BK92,Programma!$F$3:$M$1101,8,0),"")</f>
        <v/>
      </c>
      <c r="BS92" s="448" t="str">
        <f>_xlfn.IFNA(VLOOKUP($BK92,Programma!$F$3:$N$1101,9,0),"")</f>
        <v/>
      </c>
      <c r="BT92" s="448" t="str">
        <f>_xlfn.IFNA(VLOOKUP($BK92,Programma!$F$3:$O$1101,10,0),"")</f>
        <v/>
      </c>
      <c r="BU92" s="448" t="str">
        <f>_xlfn.IFNA(VLOOKUP($BK92,Programma!$F$3:$P$1101,11,0),"")</f>
        <v/>
      </c>
      <c r="BV92" s="448" t="str">
        <f>_xlfn.IFNA(VLOOKUP($BK92,Programma!$F$3:$Q$1101,12,0),"")</f>
        <v/>
      </c>
      <c r="BW92" s="448" t="str">
        <f>_xlfn.IFNA(VLOOKUP($BK92,Programma!$F$3:$R$1101,13,0),"")</f>
        <v/>
      </c>
      <c r="BX92" s="448" t="str">
        <f>_xlfn.IFNA(VLOOKUP($BK92,Programma!$F$3:$S$1101,14,0),"")</f>
        <v/>
      </c>
      <c r="BY92" s="448" t="str">
        <f>_xlfn.IFNA(VLOOKUP($BK92,Programma!$F$3:$T$1101,15,0),"")</f>
        <v/>
      </c>
      <c r="BZ92" s="448" t="str">
        <f>_xlfn.IFNA(VLOOKUP($BK92,Programma!$F$3:$U$1101,16,0),"")</f>
        <v/>
      </c>
      <c r="CA92" s="448" t="str">
        <f>_xlfn.IFNA(VLOOKUP($BK92,Programma!$F$3:$V$1101,17,0),"")</f>
        <v/>
      </c>
      <c r="CB92" s="448" t="str">
        <f>_xlfn.IFNA(VLOOKUP($BK92,Programma!$F$3:$W$1101,18,0),"")</f>
        <v/>
      </c>
      <c r="CC92" s="448" t="str">
        <f>_xlfn.IFNA(VLOOKUP($BK92,Programma!$F$3:$X$1101,19,0),"")</f>
        <v/>
      </c>
      <c r="CD92" s="448" t="str">
        <f>_xlfn.IFNA(VLOOKUP($BK92,Programma!$F$3:$Y$1101,20,0),"")</f>
        <v/>
      </c>
      <c r="CE92" s="327"/>
      <c r="CF92" s="327"/>
      <c r="CG92" s="327"/>
      <c r="CH92" s="327"/>
      <c r="CI92" s="327"/>
      <c r="CJ92" s="327"/>
      <c r="CK92" s="327"/>
      <c r="CL92" s="327"/>
      <c r="CM92" s="327"/>
      <c r="CN92" s="327"/>
      <c r="CO92" s="327"/>
      <c r="CP92" s="327"/>
      <c r="CQ92" s="327"/>
      <c r="CR92" s="327"/>
      <c r="CS92" s="327"/>
      <c r="CT92" s="327"/>
      <c r="CU92" s="327"/>
      <c r="CV92" s="327"/>
      <c r="CW92" s="327"/>
      <c r="CX92" s="327"/>
      <c r="CY92" s="327"/>
      <c r="CZ92" s="327"/>
      <c r="DA92" s="327"/>
      <c r="DB92" s="327"/>
      <c r="DC92" s="327"/>
      <c r="DD92" s="327"/>
      <c r="DE92" s="327"/>
      <c r="DF92" s="327"/>
      <c r="DG92" s="327"/>
      <c r="DH92" s="327"/>
      <c r="DI92" s="327"/>
      <c r="DJ92" s="327"/>
      <c r="DK92" s="327"/>
      <c r="DL92" s="327"/>
      <c r="DM92" s="327"/>
      <c r="DN92" s="327"/>
      <c r="DO92" s="327"/>
      <c r="DP92" s="327"/>
      <c r="DQ92" s="327"/>
      <c r="DR92" s="327"/>
      <c r="DS92" s="327"/>
      <c r="DT92" s="327"/>
      <c r="DU92" s="327"/>
      <c r="DV92" s="327"/>
      <c r="DW92" s="327"/>
      <c r="DX92" s="327"/>
      <c r="DY92" s="327"/>
      <c r="DZ92" s="327"/>
      <c r="EA92" s="327"/>
      <c r="EB92" s="327"/>
      <c r="EC92" s="327"/>
      <c r="ED92" s="327"/>
      <c r="EE92" s="327"/>
      <c r="EF92" s="327"/>
      <c r="EG92" s="327"/>
      <c r="EH92" s="327"/>
      <c r="EI92" s="327"/>
      <c r="EJ92" s="327"/>
      <c r="EK92" s="327"/>
      <c r="EL92" s="327"/>
      <c r="EM92" s="327"/>
      <c r="EN92" s="327"/>
      <c r="EO92" s="327"/>
      <c r="EP92" s="327"/>
      <c r="EQ92" s="327"/>
      <c r="ER92" s="327"/>
      <c r="ES92" s="327"/>
      <c r="ET92" s="327"/>
      <c r="EU92" s="327"/>
      <c r="EV92" s="327"/>
      <c r="EW92" s="327"/>
      <c r="EX92" s="327"/>
      <c r="EY92" s="327"/>
      <c r="EZ92" s="327"/>
      <c r="FA92" s="327"/>
      <c r="FB92" s="327"/>
      <c r="FC92" s="327"/>
      <c r="FD92" s="327"/>
      <c r="FE92" s="327"/>
      <c r="FF92" s="327"/>
      <c r="FG92" s="327"/>
      <c r="FH92" s="327"/>
      <c r="FI92" s="327"/>
      <c r="FJ92" s="327"/>
      <c r="FK92" s="327"/>
      <c r="FL92" s="327"/>
      <c r="FM92" s="327"/>
      <c r="FN92" s="327"/>
      <c r="FO92" s="327"/>
      <c r="FP92" s="327"/>
      <c r="FQ92" s="327"/>
      <c r="FR92" s="327"/>
      <c r="FS92" s="327"/>
      <c r="FT92" s="327"/>
      <c r="FU92" s="327"/>
      <c r="FV92" s="327"/>
      <c r="FW92" s="327"/>
      <c r="FX92" s="327"/>
      <c r="FY92" s="327"/>
      <c r="FZ92" s="327"/>
      <c r="GA92" s="327"/>
      <c r="GB92" s="327"/>
      <c r="GC92" s="327"/>
      <c r="GD92" s="327"/>
      <c r="GE92" s="327"/>
      <c r="GF92" s="327"/>
      <c r="GG92" s="327"/>
      <c r="GH92" s="327"/>
      <c r="GI92" s="327"/>
      <c r="GJ92" s="327"/>
      <c r="GK92" s="327"/>
      <c r="GL92" s="327"/>
      <c r="GM92" s="327"/>
      <c r="GN92" s="327"/>
      <c r="GO92" s="327"/>
      <c r="GP92" s="327"/>
      <c r="GQ92" s="327"/>
      <c r="GR92" s="327"/>
      <c r="GS92" s="327"/>
      <c r="GT92" s="327"/>
      <c r="GU92" s="327"/>
      <c r="GV92" s="327"/>
      <c r="GW92" s="327"/>
      <c r="GX92" s="327"/>
      <c r="GY92" s="327"/>
      <c r="GZ92" s="327"/>
      <c r="HA92" s="327"/>
      <c r="HB92" s="327"/>
      <c r="HC92" s="327"/>
      <c r="HD92" s="327"/>
      <c r="HE92" s="327"/>
      <c r="HF92" s="327"/>
      <c r="HG92" s="327"/>
      <c r="HH92" s="327"/>
      <c r="HI92" s="327"/>
      <c r="HJ92" s="327"/>
      <c r="HK92" s="327"/>
      <c r="HL92" s="327"/>
      <c r="HM92" s="327"/>
      <c r="HN92" s="327"/>
      <c r="HO92" s="327"/>
      <c r="HP92" s="327"/>
      <c r="HQ92" s="327"/>
      <c r="HR92" s="327"/>
      <c r="HS92" s="327"/>
    </row>
    <row r="93" spans="1:227" ht="15" customHeight="1">
      <c r="A93" s="330">
        <v>5</v>
      </c>
      <c r="B93" s="435" t="str">
        <f>VLOOKUP(Ruimtestaat[[#This Row],[Code]],Locaties[[Code]:[Locatie]],2,FALSE)</f>
        <v>IKC De Springplank</v>
      </c>
      <c r="C93" s="435" t="str">
        <f>VLOOKUP(Ruimtestaat[[#This Row],[Code]],Locaties[[#All],[Code]:[Adres]],4,FALSE)</f>
        <v>Irisvaart 6-8</v>
      </c>
      <c r="D93" s="435" t="str">
        <f>VLOOKUP(Ruimtestaat[[#This Row],[Code]],Locaties[[#All],[Code]:[Postcode]],5,FALSE)</f>
        <v>2724 TT</v>
      </c>
      <c r="E93" s="435" t="str">
        <f>VLOOKUP(Ruimtestaat[[#This Row],[Code]],Locaties[#All],6,FALSE)</f>
        <v>Zoetermeer</v>
      </c>
      <c r="F93" s="434"/>
      <c r="G93" s="434" t="s">
        <v>1678</v>
      </c>
      <c r="H93" s="436" t="s">
        <v>1670</v>
      </c>
      <c r="I93" s="437" t="s">
        <v>1679</v>
      </c>
      <c r="J93" s="330">
        <v>16</v>
      </c>
      <c r="K93" s="450" t="str">
        <f>VLOOKUP(Ruimtestaat[[#This Row],[Ruimte code]],Ruimtegroepen[[#All],[Code]:[Ruimte omschrijving]],2,FALSE)</f>
        <v>Leslokalen</v>
      </c>
      <c r="L93" s="434" t="s">
        <v>100</v>
      </c>
      <c r="M93" s="437" t="s">
        <v>1759</v>
      </c>
      <c r="N93" s="439">
        <v>64</v>
      </c>
      <c r="O93" s="439"/>
      <c r="P93" s="439"/>
      <c r="Q93" s="439"/>
      <c r="R93" s="440" t="str">
        <f>VLOOKUP(Ruimtestaat[[#This Row],[Ruimte code]],Ruimtegroepen[],4,FALSE)</f>
        <v>Le</v>
      </c>
      <c r="S93" s="434">
        <v>40</v>
      </c>
      <c r="T93" s="434" t="s">
        <v>2</v>
      </c>
      <c r="U93" s="434">
        <f>IF(S93&gt;0,IF(RIGHT(Ruimtestaat[[#This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 s="434">
        <f>IF(U93&gt;0,VLOOKUP($J93,Ruimtegroepen[],3,FALSE)*VLOOKUP($L93,Vloersoorten[],3,FALSE)*VLOOKUP($T93,Frequenties[],3,FALSE)*VLOOKUP($A93,Locaties[],3,FALSE),0)</f>
        <v>0</v>
      </c>
      <c r="W93" s="434">
        <f>Ruimtestaat[[#This Row],[Uitvoeringen werkdagen]]*Ruimtestaat[[#This Row],[Oppervlak (netto)]]</f>
        <v>12800</v>
      </c>
      <c r="X93" s="441">
        <f>IF(V93&gt;0,Ruimtestaat[[#This Row],[Prest. (m2 /jaar) werkdagen]]/Ruimtestaat[[#This Row],[Norm (m2/uur) werkdagen]],0)</f>
        <v>0</v>
      </c>
      <c r="Y93" s="442">
        <f>Ruimtestaat[[#This Row],[Uitvoeringen werkdagen]]*Ruimtestaat[[#This Row],[Gedeeltelijk]]</f>
        <v>0</v>
      </c>
      <c r="Z93" s="443" t="e">
        <f>IF(U93&gt;0,Ruimtestaat[[#This Row],[Prest. (m2 / jaar) werkdagen gedeeld]]/Ruimtestaat[[#This Row],[Norm (m2/uur) werkdagen]],0)</f>
        <v>#DIV/0!</v>
      </c>
      <c r="AA93" s="441" t="e">
        <f>Ruimtestaat[[#This Row],[uren / jaar werkdagen gedeeld]]*Tariefsopbouw!$E$35</f>
        <v>#DIV/0!</v>
      </c>
      <c r="AB93" s="441">
        <f>Ruimtestaat[[#This Row],[Uitvoeringen werkdagen]]*Ruimtestaat[[#This Row],[BSO]]</f>
        <v>0</v>
      </c>
      <c r="AC93" s="443" t="e">
        <f>IF(U93&gt;0,Ruimtestaat[[#This Row],[Prest. (m2 / jaar) werkdagen BSO]]/Ruimtestaat[[#This Row],[Norm (m2/uur) werkdagen]],0)</f>
        <v>#DIV/0!</v>
      </c>
      <c r="AD93" s="443" t="e">
        <f>Ruimtestaat[[#This Row],[uren / jaar werkdagen BSO]]*Tariefsopbouw!$E$35</f>
        <v>#DIV/0!</v>
      </c>
      <c r="AE93" s="444">
        <f>Ruimtestaat[[#This Row],[uren / jaar werkdagen]]*Tariefsopbouw!$E$35</f>
        <v>0</v>
      </c>
      <c r="AF93" s="434"/>
      <c r="AG93" s="434">
        <f>IF(Ruimtestaat[[#This Row],[Frequentie weekend]]&gt;0,VALUE(LEFT(AF93,1))*S93,0)</f>
        <v>0</v>
      </c>
      <c r="AH93" s="445">
        <f>IF($AG93&gt;0,VLOOKUP($J93,Ruimtegroepen[],3,FALSE)*VLOOKUP($L93,Vloersoorten[],3,FALSE)*VLOOKUP($AF93,Frequenties[],3,FALSE)*VLOOKUP(Ruimtestaat[[#This Row],[Code]],Locaties[],3,FALSE),0)</f>
        <v>0</v>
      </c>
      <c r="AI93" s="445">
        <f>Ruimtestaat[[#This Row],[Uitvoeringen weekend]]*Ruimtestaat[[#This Row],[Oppervlak (netto)]]</f>
        <v>0</v>
      </c>
      <c r="AJ93" s="445">
        <f>IF(AH93&gt;0,Ruimtestaat[[#This Row],[Prest. (m2 /jaar) weekend]]/Ruimtestaat[[#This Row],[Norm (m2/uur) weekend]],0)</f>
        <v>0</v>
      </c>
      <c r="AK93" s="444">
        <f>Ruimtestaat[[#This Row],[uren / jaar weekend]]*Tariefsopbouw!$D$40</f>
        <v>0</v>
      </c>
      <c r="AL93" s="441">
        <f>Ruimtestaat[[#This Row],[Prest. (m2 /jaar) weekend]]+Ruimtestaat[[#This Row],[Prest. (m2 /jaar) werkdagen]]</f>
        <v>12800</v>
      </c>
      <c r="AM93" s="441">
        <f>Ruimtestaat[[#This Row],[uren / jaar weekend]]+Ruimtestaat[[#This Row],[uren / jaar werkdagen]]</f>
        <v>0</v>
      </c>
      <c r="AN93" s="446">
        <f>Ruimtestaat[[#This Row],[kosten / jaar weekend]]+Ruimtestaat[[#This Row],[kosten / jaar werkdagen]]</f>
        <v>0</v>
      </c>
      <c r="AO93" s="446"/>
      <c r="AP93" s="447" t="str">
        <f>IF(Ruimtestaat[[#This Row],[Frequentie werkdagen]]="","",_xlfn.CONCAT(Ruimtestaat[[#This Row],[Ruimte code]],"-",Ruimtestaat[[#This Row],[Frequentie werkdagen]]," ",Ruimtestaat[[#This Row],[Vloer code]]))</f>
        <v>16-5w L</v>
      </c>
      <c r="AQ93" s="448" t="str">
        <f>_xlfn.IFNA(VLOOKUP($AP93,Programma!$F$3:$G$1101,2,0),"")</f>
        <v>_</v>
      </c>
      <c r="AR93" s="448" t="str">
        <f>_xlfn.IFNA(VLOOKUP($AP93,Programma!$F$3:$H$1101,3,0),"")</f>
        <v>_</v>
      </c>
      <c r="AS93" s="448" t="str">
        <f>_xlfn.IFNA(VLOOKUP($AP93,Programma!$F$3:$I$1101,4,0),"")</f>
        <v>4w</v>
      </c>
      <c r="AT93" s="448" t="str">
        <f>_xlfn.IFNA(VLOOKUP($AP93,Programma!$F$3:$J$1101,5,0),"")</f>
        <v>1w</v>
      </c>
      <c r="AU93" s="448" t="str">
        <f>_xlfn.IFNA(VLOOKUP($AP93,Programma!$F$3:$K$1101,6,0),"")</f>
        <v>_</v>
      </c>
      <c r="AV93" s="448" t="str">
        <f>_xlfn.IFNA(VLOOKUP($AP93,Programma!$F$3:$L$1101,7,0),"")</f>
        <v>_</v>
      </c>
      <c r="AW93" s="448" t="str">
        <f>_xlfn.IFNA(VLOOKUP($AP93,Programma!$F$3:$M$1101,8,0),"")</f>
        <v>_</v>
      </c>
      <c r="AX93" s="448" t="str">
        <f>_xlfn.IFNA(VLOOKUP($AP93,Programma!$F$3:$N$1101,9,0),"")</f>
        <v>_</v>
      </c>
      <c r="AY93" s="448" t="str">
        <f>_xlfn.IFNA(VLOOKUP($AP93,Programma!$F$3:$O$1101,10,0),"")</f>
        <v>5w</v>
      </c>
      <c r="AZ93" s="448" t="str">
        <f>_xlfn.IFNA(VLOOKUP($AP93,Programma!$F$3:$P$1101,11,0),"")</f>
        <v>5w</v>
      </c>
      <c r="BA93" s="448" t="str">
        <f>_xlfn.IFNA(VLOOKUP($AP93,Programma!$F$3:$Q$1101,12,0),"")</f>
        <v>1w</v>
      </c>
      <c r="BB93" s="448" t="str">
        <f>_xlfn.IFNA(VLOOKUP($AP93,Programma!$F$3:$R$1101,13,0),"")</f>
        <v>1w</v>
      </c>
      <c r="BC93" s="448" t="str">
        <f>_xlfn.IFNA(VLOOKUP($AP93,Programma!$F$3:$S$1101,14,0),"")</f>
        <v>1m</v>
      </c>
      <c r="BD93" s="448" t="str">
        <f>_xlfn.IFNA(VLOOKUP($AP93,Programma!$F$3:$T$1101,15,0),"")</f>
        <v>2j</v>
      </c>
      <c r="BE93" s="448" t="str">
        <f>_xlfn.IFNA(VLOOKUP($AP93,Programma!$F$3:$U$1101,16,0),"")</f>
        <v>1j</v>
      </c>
      <c r="BF93" s="448" t="str">
        <f>_xlfn.IFNA(VLOOKUP($AP93,Programma!$F$3:$V$1101,17,0),"")</f>
        <v>_</v>
      </c>
      <c r="BG93" s="448" t="str">
        <f>_xlfn.IFNA(VLOOKUP($AP93,Programma!$F$3:$W$1101,18,0),"")</f>
        <v>_</v>
      </c>
      <c r="BH93" s="448" t="str">
        <f>_xlfn.IFNA(VLOOKUP($AP93,Programma!$F$3:$X$1101,19,0),"")</f>
        <v>_</v>
      </c>
      <c r="BI93" s="448" t="str">
        <f>_xlfn.IFNA(VLOOKUP($AP93,Programma!$F$3:$Y$1101,20,0),"")</f>
        <v>_</v>
      </c>
      <c r="BJ93" s="449"/>
      <c r="BK93" s="447" t="str">
        <f>IF(Ruimtestaat[[#This Row],[Frequentie weekend]]="","",_xlfn.CONCAT(Ruimtestaat[[#This Row],[Ruimte code]],"-",Ruimtestaat[[#This Row],[Frequentie weekend]]," ",Ruimtestaat[[#This Row],[Vloer code]]))</f>
        <v/>
      </c>
      <c r="BL93" s="448" t="str">
        <f>_xlfn.IFNA(VLOOKUP($BK93,Programma!$F$3:$G$1101,2,0),"")</f>
        <v/>
      </c>
      <c r="BM93" s="448" t="str">
        <f>_xlfn.IFNA(VLOOKUP($BK93,Programma!$F$3:$H$1101,3,0),"")</f>
        <v/>
      </c>
      <c r="BN93" s="448" t="str">
        <f>_xlfn.IFNA(VLOOKUP($BK93,Programma!$F$3:$I$1101,4,0),"")</f>
        <v/>
      </c>
      <c r="BO93" s="448" t="str">
        <f>_xlfn.IFNA(VLOOKUP($BK93,Programma!$F$3:$J$1101,5,0),"")</f>
        <v/>
      </c>
      <c r="BP93" s="448" t="str">
        <f>_xlfn.IFNA(VLOOKUP($BK93,Programma!$F$3:$K$1101,6,0),"")</f>
        <v/>
      </c>
      <c r="BQ93" s="448" t="str">
        <f>_xlfn.IFNA(VLOOKUP($BK93,Programma!$F$3:$L$1101,7,0),"")</f>
        <v/>
      </c>
      <c r="BR93" s="448" t="str">
        <f>_xlfn.IFNA(VLOOKUP($BK93,Programma!$F$3:$M$1101,8,0),"")</f>
        <v/>
      </c>
      <c r="BS93" s="448" t="str">
        <f>_xlfn.IFNA(VLOOKUP($BK93,Programma!$F$3:$N$1101,9,0),"")</f>
        <v/>
      </c>
      <c r="BT93" s="448" t="str">
        <f>_xlfn.IFNA(VLOOKUP($BK93,Programma!$F$3:$O$1101,10,0),"")</f>
        <v/>
      </c>
      <c r="BU93" s="448" t="str">
        <f>_xlfn.IFNA(VLOOKUP($BK93,Programma!$F$3:$P$1101,11,0),"")</f>
        <v/>
      </c>
      <c r="BV93" s="448" t="str">
        <f>_xlfn.IFNA(VLOOKUP($BK93,Programma!$F$3:$Q$1101,12,0),"")</f>
        <v/>
      </c>
      <c r="BW93" s="448" t="str">
        <f>_xlfn.IFNA(VLOOKUP($BK93,Programma!$F$3:$R$1101,13,0),"")</f>
        <v/>
      </c>
      <c r="BX93" s="448" t="str">
        <f>_xlfn.IFNA(VLOOKUP($BK93,Programma!$F$3:$S$1101,14,0),"")</f>
        <v/>
      </c>
      <c r="BY93" s="448" t="str">
        <f>_xlfn.IFNA(VLOOKUP($BK93,Programma!$F$3:$T$1101,15,0),"")</f>
        <v/>
      </c>
      <c r="BZ93" s="448" t="str">
        <f>_xlfn.IFNA(VLOOKUP($BK93,Programma!$F$3:$U$1101,16,0),"")</f>
        <v/>
      </c>
      <c r="CA93" s="448" t="str">
        <f>_xlfn.IFNA(VLOOKUP($BK93,Programma!$F$3:$V$1101,17,0),"")</f>
        <v/>
      </c>
      <c r="CB93" s="448" t="str">
        <f>_xlfn.IFNA(VLOOKUP($BK93,Programma!$F$3:$W$1101,18,0),"")</f>
        <v/>
      </c>
      <c r="CC93" s="448" t="str">
        <f>_xlfn.IFNA(VLOOKUP($BK93,Programma!$F$3:$X$1101,19,0),"")</f>
        <v/>
      </c>
      <c r="CD93" s="448" t="str">
        <f>_xlfn.IFNA(VLOOKUP($BK93,Programma!$F$3:$Y$1101,20,0),"")</f>
        <v/>
      </c>
      <c r="CE93" s="327"/>
      <c r="CF93" s="327"/>
      <c r="CG93" s="327"/>
      <c r="CH93" s="327"/>
      <c r="CI93" s="327"/>
      <c r="CJ93" s="327"/>
      <c r="CK93" s="327"/>
      <c r="CL93" s="327"/>
      <c r="CM93" s="327"/>
      <c r="CN93" s="327"/>
      <c r="CO93" s="327"/>
      <c r="CP93" s="327"/>
      <c r="CQ93" s="327"/>
      <c r="CR93" s="327"/>
      <c r="CS93" s="327"/>
      <c r="CT93" s="327"/>
      <c r="CU93" s="327"/>
      <c r="CV93" s="327"/>
      <c r="CW93" s="327"/>
      <c r="CX93" s="327"/>
      <c r="CY93" s="327"/>
      <c r="CZ93" s="327"/>
      <c r="DA93" s="327"/>
      <c r="DB93" s="327"/>
      <c r="DC93" s="327"/>
      <c r="DD93" s="327"/>
      <c r="DE93" s="327"/>
      <c r="DF93" s="327"/>
      <c r="DG93" s="327"/>
      <c r="DH93" s="327"/>
      <c r="DI93" s="327"/>
      <c r="DJ93" s="327"/>
      <c r="DK93" s="327"/>
      <c r="DL93" s="327"/>
      <c r="DM93" s="327"/>
      <c r="DN93" s="327"/>
      <c r="DO93" s="327"/>
      <c r="DP93" s="327"/>
      <c r="DQ93" s="327"/>
      <c r="DR93" s="327"/>
      <c r="DS93" s="327"/>
      <c r="DT93" s="327"/>
      <c r="DU93" s="327"/>
      <c r="DV93" s="327"/>
      <c r="DW93" s="327"/>
      <c r="DX93" s="327"/>
      <c r="DY93" s="327"/>
      <c r="DZ93" s="327"/>
      <c r="EA93" s="327"/>
      <c r="EB93" s="327"/>
      <c r="EC93" s="327"/>
      <c r="ED93" s="327"/>
      <c r="EE93" s="327"/>
      <c r="EF93" s="327"/>
      <c r="EG93" s="327"/>
      <c r="EH93" s="327"/>
      <c r="EI93" s="327"/>
      <c r="EJ93" s="327"/>
      <c r="EK93" s="327"/>
      <c r="EL93" s="327"/>
      <c r="EM93" s="327"/>
      <c r="EN93" s="327"/>
      <c r="EO93" s="327"/>
      <c r="EP93" s="327"/>
      <c r="EQ93" s="327"/>
      <c r="ER93" s="327"/>
      <c r="ES93" s="327"/>
      <c r="ET93" s="327"/>
      <c r="EU93" s="327"/>
      <c r="EV93" s="327"/>
      <c r="EW93" s="327"/>
      <c r="EX93" s="327"/>
      <c r="EY93" s="327"/>
      <c r="EZ93" s="327"/>
      <c r="FA93" s="327"/>
      <c r="FB93" s="327"/>
      <c r="FC93" s="327"/>
      <c r="FD93" s="327"/>
      <c r="FE93" s="327"/>
      <c r="FF93" s="327"/>
      <c r="FG93" s="327"/>
      <c r="FH93" s="327"/>
      <c r="FI93" s="327"/>
      <c r="FJ93" s="327"/>
      <c r="FK93" s="327"/>
      <c r="FL93" s="327"/>
      <c r="FM93" s="327"/>
      <c r="FN93" s="327"/>
      <c r="FO93" s="327"/>
      <c r="FP93" s="327"/>
      <c r="FQ93" s="327"/>
      <c r="FR93" s="327"/>
      <c r="FS93" s="327"/>
      <c r="FT93" s="327"/>
      <c r="FU93" s="327"/>
      <c r="FV93" s="327"/>
      <c r="FW93" s="327"/>
      <c r="FX93" s="327"/>
      <c r="FY93" s="327"/>
      <c r="FZ93" s="327"/>
      <c r="GA93" s="327"/>
      <c r="GB93" s="327"/>
      <c r="GC93" s="327"/>
      <c r="GD93" s="327"/>
      <c r="GE93" s="327"/>
      <c r="GF93" s="327"/>
      <c r="GG93" s="327"/>
      <c r="GH93" s="327"/>
      <c r="GI93" s="327"/>
      <c r="GJ93" s="327"/>
      <c r="GK93" s="327"/>
      <c r="GL93" s="327"/>
      <c r="GM93" s="327"/>
      <c r="GN93" s="327"/>
      <c r="GO93" s="327"/>
      <c r="GP93" s="327"/>
      <c r="GQ93" s="327"/>
      <c r="GR93" s="327"/>
      <c r="GS93" s="327"/>
      <c r="GT93" s="327"/>
      <c r="GU93" s="327"/>
      <c r="GV93" s="327"/>
      <c r="GW93" s="327"/>
      <c r="GX93" s="327"/>
      <c r="GY93" s="327"/>
      <c r="GZ93" s="327"/>
      <c r="HA93" s="327"/>
      <c r="HB93" s="327"/>
      <c r="HC93" s="327"/>
      <c r="HD93" s="327"/>
      <c r="HE93" s="327"/>
      <c r="HF93" s="327"/>
      <c r="HG93" s="327"/>
      <c r="HH93" s="327"/>
      <c r="HI93" s="327"/>
      <c r="HJ93" s="327"/>
      <c r="HK93" s="327"/>
      <c r="HL93" s="327"/>
      <c r="HM93" s="327"/>
      <c r="HN93" s="327"/>
      <c r="HO93" s="327"/>
      <c r="HP93" s="327"/>
      <c r="HQ93" s="327"/>
      <c r="HR93" s="327"/>
      <c r="HS93" s="327"/>
    </row>
    <row r="94" spans="1:227" ht="15" customHeight="1">
      <c r="A94" s="330">
        <v>5</v>
      </c>
      <c r="B94" s="435" t="str">
        <f>VLOOKUP(Ruimtestaat[[#This Row],[Code]],Locaties[[Code]:[Locatie]],2,FALSE)</f>
        <v>IKC De Springplank</v>
      </c>
      <c r="C94" s="435" t="str">
        <f>VLOOKUP(Ruimtestaat[[#This Row],[Code]],Locaties[[#All],[Code]:[Adres]],4,FALSE)</f>
        <v>Irisvaart 6-8</v>
      </c>
      <c r="D94" s="435" t="str">
        <f>VLOOKUP(Ruimtestaat[[#This Row],[Code]],Locaties[[#All],[Code]:[Postcode]],5,FALSE)</f>
        <v>2724 TT</v>
      </c>
      <c r="E94" s="435" t="str">
        <f>VLOOKUP(Ruimtestaat[[#This Row],[Code]],Locaties[#All],6,FALSE)</f>
        <v>Zoetermeer</v>
      </c>
      <c r="F94" s="434"/>
      <c r="G94" s="434" t="s">
        <v>1678</v>
      </c>
      <c r="H94" s="436" t="s">
        <v>1672</v>
      </c>
      <c r="I94" s="437" t="s">
        <v>1673</v>
      </c>
      <c r="J94" s="330">
        <v>5</v>
      </c>
      <c r="K94" s="450" t="str">
        <f>VLOOKUP(Ruimtestaat[[#This Row],[Ruimte code]],Ruimtegroepen[[#All],[Code]:[Ruimte omschrijving]],2,FALSE)</f>
        <v>Sanitair</v>
      </c>
      <c r="L94" s="434" t="s">
        <v>101</v>
      </c>
      <c r="M94" s="437" t="s">
        <v>1947</v>
      </c>
      <c r="N94" s="439">
        <v>2</v>
      </c>
      <c r="O94" s="439"/>
      <c r="P94" s="439"/>
      <c r="Q94" s="439"/>
      <c r="R94" s="440" t="str">
        <f>VLOOKUP(Ruimtestaat[[#This Row],[Ruimte code]],Ruimtegroepen[],4,FALSE)</f>
        <v>Sa</v>
      </c>
      <c r="S94" s="434">
        <v>41</v>
      </c>
      <c r="T94" s="434" t="s">
        <v>2</v>
      </c>
      <c r="U94" s="434">
        <f>IF(S94&gt;0,IF(RIGHT(Ruimtestaat[[#This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4" s="434">
        <f>IF(U94&gt;0,VLOOKUP($J94,Ruimtegroepen[],3,FALSE)*VLOOKUP($L94,Vloersoorten[],3,FALSE)*VLOOKUP($T94,Frequenties[],3,FALSE)*VLOOKUP($A94,Locaties[],3,FALSE),0)</f>
        <v>0</v>
      </c>
      <c r="W94" s="434">
        <f>Ruimtestaat[[#This Row],[Uitvoeringen werkdagen]]*Ruimtestaat[[#This Row],[Oppervlak (netto)]]</f>
        <v>410</v>
      </c>
      <c r="X94" s="441">
        <f>IF(V94&gt;0,Ruimtestaat[[#This Row],[Prest. (m2 /jaar) werkdagen]]/Ruimtestaat[[#This Row],[Norm (m2/uur) werkdagen]],0)</f>
        <v>0</v>
      </c>
      <c r="Y94" s="442">
        <f>Ruimtestaat[[#This Row],[Uitvoeringen werkdagen]]*Ruimtestaat[[#This Row],[Gedeeltelijk]]</f>
        <v>0</v>
      </c>
      <c r="Z94" s="443" t="e">
        <f>IF(U94&gt;0,Ruimtestaat[[#This Row],[Prest. (m2 / jaar) werkdagen gedeeld]]/Ruimtestaat[[#This Row],[Norm (m2/uur) werkdagen]],0)</f>
        <v>#DIV/0!</v>
      </c>
      <c r="AA94" s="441" t="e">
        <f>Ruimtestaat[[#This Row],[uren / jaar werkdagen gedeeld]]*Tariefsopbouw!$E$35</f>
        <v>#DIV/0!</v>
      </c>
      <c r="AB94" s="441">
        <f>Ruimtestaat[[#This Row],[Uitvoeringen werkdagen]]*Ruimtestaat[[#This Row],[BSO]]</f>
        <v>0</v>
      </c>
      <c r="AC94" s="443" t="e">
        <f>IF(U94&gt;0,Ruimtestaat[[#This Row],[Prest. (m2 / jaar) werkdagen BSO]]/Ruimtestaat[[#This Row],[Norm (m2/uur) werkdagen]],0)</f>
        <v>#DIV/0!</v>
      </c>
      <c r="AD94" s="443" t="e">
        <f>Ruimtestaat[[#This Row],[uren / jaar werkdagen BSO]]*Tariefsopbouw!$E$35</f>
        <v>#DIV/0!</v>
      </c>
      <c r="AE94" s="444">
        <f>Ruimtestaat[[#This Row],[uren / jaar werkdagen]]*Tariefsopbouw!$E$35</f>
        <v>0</v>
      </c>
      <c r="AF94" s="434"/>
      <c r="AG94" s="434">
        <f>IF(Ruimtestaat[[#This Row],[Frequentie weekend]]&gt;0,VALUE(LEFT(AF94,1))*S94,0)</f>
        <v>0</v>
      </c>
      <c r="AH94" s="445">
        <f>IF($AG94&gt;0,VLOOKUP($J94,Ruimtegroepen[],3,FALSE)*VLOOKUP($L94,Vloersoorten[],3,FALSE)*VLOOKUP($AF94,Frequenties[],3,FALSE)*VLOOKUP(Ruimtestaat[[#This Row],[Code]],Locaties[],3,FALSE),0)</f>
        <v>0</v>
      </c>
      <c r="AI94" s="445">
        <f>Ruimtestaat[[#This Row],[Uitvoeringen weekend]]*Ruimtestaat[[#This Row],[Oppervlak (netto)]]</f>
        <v>0</v>
      </c>
      <c r="AJ94" s="445">
        <f>IF(AH94&gt;0,Ruimtestaat[[#This Row],[Prest. (m2 /jaar) weekend]]/Ruimtestaat[[#This Row],[Norm (m2/uur) weekend]],0)</f>
        <v>0</v>
      </c>
      <c r="AK94" s="444">
        <f>Ruimtestaat[[#This Row],[uren / jaar weekend]]*Tariefsopbouw!$D$40</f>
        <v>0</v>
      </c>
      <c r="AL94" s="441">
        <f>Ruimtestaat[[#This Row],[Prest. (m2 /jaar) weekend]]+Ruimtestaat[[#This Row],[Prest. (m2 /jaar) werkdagen]]</f>
        <v>410</v>
      </c>
      <c r="AM94" s="441">
        <f>Ruimtestaat[[#This Row],[uren / jaar weekend]]+Ruimtestaat[[#This Row],[uren / jaar werkdagen]]</f>
        <v>0</v>
      </c>
      <c r="AN94" s="446">
        <f>Ruimtestaat[[#This Row],[kosten / jaar weekend]]+Ruimtestaat[[#This Row],[kosten / jaar werkdagen]]</f>
        <v>0</v>
      </c>
      <c r="AO94" s="446"/>
      <c r="AP94" s="447" t="str">
        <f>IF(Ruimtestaat[[#This Row],[Frequentie werkdagen]]="","",_xlfn.CONCAT(Ruimtestaat[[#This Row],[Ruimte code]],"-",Ruimtestaat[[#This Row],[Frequentie werkdagen]]," ",Ruimtestaat[[#This Row],[Vloer code]]))</f>
        <v>5-5w S</v>
      </c>
      <c r="AQ94" s="448" t="str">
        <f>_xlfn.IFNA(VLOOKUP($AP94,Programma!$F$3:$G$1101,2,0),"")</f>
        <v>_</v>
      </c>
      <c r="AR94" s="448" t="str">
        <f>_xlfn.IFNA(VLOOKUP($AP94,Programma!$F$3:$H$1101,3,0),"")</f>
        <v>_</v>
      </c>
      <c r="AS94" s="448" t="str">
        <f>_xlfn.IFNA(VLOOKUP($AP94,Programma!$F$3:$I$1101,4,0),"")</f>
        <v>_</v>
      </c>
      <c r="AT94" s="448" t="str">
        <f>_xlfn.IFNA(VLOOKUP($AP94,Programma!$F$3:$J$1101,5,0),"")</f>
        <v>4w</v>
      </c>
      <c r="AU94" s="448" t="str">
        <f>_xlfn.IFNA(VLOOKUP($AP94,Programma!$F$3:$K$1101,6,0),"")</f>
        <v>1w</v>
      </c>
      <c r="AV94" s="448" t="str">
        <f>_xlfn.IFNA(VLOOKUP($AP94,Programma!$F$3:$L$1101,7,0),"")</f>
        <v>_</v>
      </c>
      <c r="AW94" s="448" t="str">
        <f>_xlfn.IFNA(VLOOKUP($AP94,Programma!$F$3:$M$1101,8,0),"")</f>
        <v>_</v>
      </c>
      <c r="AX94" s="448" t="str">
        <f>_xlfn.IFNA(VLOOKUP($AP94,Programma!$F$3:$N$1101,9,0),"")</f>
        <v>_</v>
      </c>
      <c r="AY94" s="448" t="str">
        <f>_xlfn.IFNA(VLOOKUP($AP94,Programma!$F$3:$O$1101,10,0),"")</f>
        <v>_</v>
      </c>
      <c r="AZ94" s="448" t="str">
        <f>_xlfn.IFNA(VLOOKUP($AP94,Programma!$F$3:$P$1101,11,0),"")</f>
        <v>_</v>
      </c>
      <c r="BA94" s="448" t="str">
        <f>_xlfn.IFNA(VLOOKUP($AP94,Programma!$F$3:$Q$1101,12,0),"")</f>
        <v>_</v>
      </c>
      <c r="BB94" s="448" t="str">
        <f>_xlfn.IFNA(VLOOKUP($AP94,Programma!$F$3:$R$1101,13,0),"")</f>
        <v>_</v>
      </c>
      <c r="BC94" s="448" t="str">
        <f>_xlfn.IFNA(VLOOKUP($AP94,Programma!$F$3:$S$1101,14,0),"")</f>
        <v>_</v>
      </c>
      <c r="BD94" s="448" t="str">
        <f>_xlfn.IFNA(VLOOKUP($AP94,Programma!$F$3:$T$1101,15,0),"")</f>
        <v>_</v>
      </c>
      <c r="BE94" s="448" t="str">
        <f>_xlfn.IFNA(VLOOKUP($AP94,Programma!$F$3:$U$1101,16,0),"")</f>
        <v>_</v>
      </c>
      <c r="BF94" s="448" t="str">
        <f>_xlfn.IFNA(VLOOKUP($AP94,Programma!$F$3:$V$1101,17,0),"")</f>
        <v>_</v>
      </c>
      <c r="BG94" s="448" t="str">
        <f>_xlfn.IFNA(VLOOKUP($AP94,Programma!$F$3:$W$1101,18,0),"")</f>
        <v>4w</v>
      </c>
      <c r="BH94" s="448" t="str">
        <f>_xlfn.IFNA(VLOOKUP($AP94,Programma!$F$3:$X$1101,19,0),"")</f>
        <v>1w</v>
      </c>
      <c r="BI94" s="448" t="str">
        <f>_xlfn.IFNA(VLOOKUP($AP94,Programma!$F$3:$Y$1101,20,0),"")</f>
        <v>_</v>
      </c>
      <c r="BJ94" s="449"/>
      <c r="BK94" s="447" t="str">
        <f>IF(Ruimtestaat[[#This Row],[Frequentie weekend]]="","",_xlfn.CONCAT(Ruimtestaat[[#This Row],[Ruimte code]],"-",Ruimtestaat[[#This Row],[Frequentie weekend]]," ",Ruimtestaat[[#This Row],[Vloer code]]))</f>
        <v/>
      </c>
      <c r="BL94" s="448" t="str">
        <f>_xlfn.IFNA(VLOOKUP($BK94,Programma!$F$3:$G$1101,2,0),"")</f>
        <v/>
      </c>
      <c r="BM94" s="448" t="str">
        <f>_xlfn.IFNA(VLOOKUP($BK94,Programma!$F$3:$H$1101,3,0),"")</f>
        <v/>
      </c>
      <c r="BN94" s="448" t="str">
        <f>_xlfn.IFNA(VLOOKUP($BK94,Programma!$F$3:$I$1101,4,0),"")</f>
        <v/>
      </c>
      <c r="BO94" s="448" t="str">
        <f>_xlfn.IFNA(VLOOKUP($BK94,Programma!$F$3:$J$1101,5,0),"")</f>
        <v/>
      </c>
      <c r="BP94" s="448" t="str">
        <f>_xlfn.IFNA(VLOOKUP($BK94,Programma!$F$3:$K$1101,6,0),"")</f>
        <v/>
      </c>
      <c r="BQ94" s="448" t="str">
        <f>_xlfn.IFNA(VLOOKUP($BK94,Programma!$F$3:$L$1101,7,0),"")</f>
        <v/>
      </c>
      <c r="BR94" s="448" t="str">
        <f>_xlfn.IFNA(VLOOKUP($BK94,Programma!$F$3:$M$1101,8,0),"")</f>
        <v/>
      </c>
      <c r="BS94" s="448" t="str">
        <f>_xlfn.IFNA(VLOOKUP($BK94,Programma!$F$3:$N$1101,9,0),"")</f>
        <v/>
      </c>
      <c r="BT94" s="448" t="str">
        <f>_xlfn.IFNA(VLOOKUP($BK94,Programma!$F$3:$O$1101,10,0),"")</f>
        <v/>
      </c>
      <c r="BU94" s="448" t="str">
        <f>_xlfn.IFNA(VLOOKUP($BK94,Programma!$F$3:$P$1101,11,0),"")</f>
        <v/>
      </c>
      <c r="BV94" s="448" t="str">
        <f>_xlfn.IFNA(VLOOKUP($BK94,Programma!$F$3:$Q$1101,12,0),"")</f>
        <v/>
      </c>
      <c r="BW94" s="448" t="str">
        <f>_xlfn.IFNA(VLOOKUP($BK94,Programma!$F$3:$R$1101,13,0),"")</f>
        <v/>
      </c>
      <c r="BX94" s="448" t="str">
        <f>_xlfn.IFNA(VLOOKUP($BK94,Programma!$F$3:$S$1101,14,0),"")</f>
        <v/>
      </c>
      <c r="BY94" s="448" t="str">
        <f>_xlfn.IFNA(VLOOKUP($BK94,Programma!$F$3:$T$1101,15,0),"")</f>
        <v/>
      </c>
      <c r="BZ94" s="448" t="str">
        <f>_xlfn.IFNA(VLOOKUP($BK94,Programma!$F$3:$U$1101,16,0),"")</f>
        <v/>
      </c>
      <c r="CA94" s="448" t="str">
        <f>_xlfn.IFNA(VLOOKUP($BK94,Programma!$F$3:$V$1101,17,0),"")</f>
        <v/>
      </c>
      <c r="CB94" s="448" t="str">
        <f>_xlfn.IFNA(VLOOKUP($BK94,Programma!$F$3:$W$1101,18,0),"")</f>
        <v/>
      </c>
      <c r="CC94" s="448" t="str">
        <f>_xlfn.IFNA(VLOOKUP($BK94,Programma!$F$3:$X$1101,19,0),"")</f>
        <v/>
      </c>
      <c r="CD94" s="448" t="str">
        <f>_xlfn.IFNA(VLOOKUP($BK94,Programma!$F$3:$Y$1101,20,0),"")</f>
        <v/>
      </c>
      <c r="CE94" s="327"/>
      <c r="CF94" s="327"/>
      <c r="CG94" s="327"/>
      <c r="CH94" s="327"/>
      <c r="CI94" s="327"/>
      <c r="CJ94" s="327"/>
      <c r="CK94" s="327"/>
      <c r="CL94" s="327"/>
      <c r="CM94" s="327"/>
      <c r="CN94" s="327"/>
      <c r="CO94" s="327"/>
      <c r="CP94" s="327"/>
      <c r="CQ94" s="327"/>
      <c r="CR94" s="327"/>
      <c r="CS94" s="327"/>
      <c r="CT94" s="327"/>
      <c r="CU94" s="327"/>
      <c r="CV94" s="327"/>
      <c r="CW94" s="327"/>
      <c r="CX94" s="327"/>
      <c r="CY94" s="327"/>
      <c r="CZ94" s="327"/>
      <c r="DA94" s="327"/>
      <c r="DB94" s="327"/>
      <c r="DC94" s="327"/>
      <c r="DD94" s="327"/>
      <c r="DE94" s="327"/>
      <c r="DF94" s="327"/>
      <c r="DG94" s="327"/>
      <c r="DH94" s="327"/>
      <c r="DI94" s="327"/>
      <c r="DJ94" s="327"/>
      <c r="DK94" s="327"/>
      <c r="DL94" s="327"/>
      <c r="DM94" s="327"/>
      <c r="DN94" s="327"/>
      <c r="DO94" s="327"/>
      <c r="DP94" s="327"/>
      <c r="DQ94" s="327"/>
      <c r="DR94" s="327"/>
      <c r="DS94" s="327"/>
      <c r="DT94" s="327"/>
      <c r="DU94" s="327"/>
      <c r="DV94" s="327"/>
      <c r="DW94" s="327"/>
      <c r="DX94" s="327"/>
      <c r="DY94" s="327"/>
      <c r="DZ94" s="327"/>
      <c r="EA94" s="327"/>
      <c r="EB94" s="327"/>
      <c r="EC94" s="327"/>
      <c r="ED94" s="327"/>
      <c r="EE94" s="327"/>
      <c r="EF94" s="327"/>
      <c r="EG94" s="327"/>
      <c r="EH94" s="327"/>
      <c r="EI94" s="327"/>
      <c r="EJ94" s="327"/>
      <c r="EK94" s="327"/>
      <c r="EL94" s="327"/>
      <c r="EM94" s="327"/>
      <c r="EN94" s="327"/>
      <c r="EO94" s="327"/>
      <c r="EP94" s="327"/>
      <c r="EQ94" s="327"/>
      <c r="ER94" s="327"/>
      <c r="ES94" s="327"/>
      <c r="ET94" s="327"/>
      <c r="EU94" s="327"/>
      <c r="EV94" s="327"/>
      <c r="EW94" s="327"/>
      <c r="EX94" s="327"/>
      <c r="EY94" s="327"/>
      <c r="EZ94" s="327"/>
      <c r="FA94" s="327"/>
      <c r="FB94" s="327"/>
      <c r="FC94" s="327"/>
      <c r="FD94" s="327"/>
      <c r="FE94" s="327"/>
      <c r="FF94" s="327"/>
      <c r="FG94" s="327"/>
      <c r="FH94" s="327"/>
      <c r="FI94" s="327"/>
      <c r="FJ94" s="327"/>
      <c r="FK94" s="327"/>
      <c r="FL94" s="327"/>
      <c r="FM94" s="327"/>
      <c r="FN94" s="327"/>
      <c r="FO94" s="327"/>
      <c r="FP94" s="327"/>
      <c r="FQ94" s="327"/>
      <c r="FR94" s="327"/>
      <c r="FS94" s="327"/>
      <c r="FT94" s="327"/>
      <c r="FU94" s="327"/>
      <c r="FV94" s="327"/>
      <c r="FW94" s="327"/>
      <c r="FX94" s="327"/>
      <c r="FY94" s="327"/>
      <c r="FZ94" s="327"/>
      <c r="GA94" s="327"/>
      <c r="GB94" s="327"/>
      <c r="GC94" s="327"/>
      <c r="GD94" s="327"/>
      <c r="GE94" s="327"/>
      <c r="GF94" s="327"/>
      <c r="GG94" s="327"/>
      <c r="GH94" s="327"/>
      <c r="GI94" s="327"/>
      <c r="GJ94" s="327"/>
      <c r="GK94" s="327"/>
      <c r="GL94" s="327"/>
      <c r="GM94" s="327"/>
      <c r="GN94" s="327"/>
      <c r="GO94" s="327"/>
      <c r="GP94" s="327"/>
      <c r="GQ94" s="327"/>
      <c r="GR94" s="327"/>
      <c r="GS94" s="327"/>
      <c r="GT94" s="327"/>
      <c r="GU94" s="327"/>
      <c r="GV94" s="327"/>
      <c r="GW94" s="327"/>
      <c r="GX94" s="327"/>
      <c r="GY94" s="327"/>
      <c r="GZ94" s="327"/>
      <c r="HA94" s="327"/>
      <c r="HB94" s="327"/>
      <c r="HC94" s="327"/>
      <c r="HD94" s="327"/>
      <c r="HE94" s="327"/>
      <c r="HF94" s="327"/>
      <c r="HG94" s="327"/>
      <c r="HH94" s="327"/>
      <c r="HI94" s="327"/>
      <c r="HJ94" s="327"/>
      <c r="HK94" s="327"/>
      <c r="HL94" s="327"/>
      <c r="HM94" s="327"/>
      <c r="HN94" s="327"/>
      <c r="HO94" s="327"/>
      <c r="HP94" s="327"/>
      <c r="HQ94" s="327"/>
      <c r="HR94" s="327"/>
      <c r="HS94" s="327"/>
    </row>
    <row r="95" spans="1:227" ht="15" customHeight="1">
      <c r="A95" s="330">
        <v>5</v>
      </c>
      <c r="B95" s="435" t="str">
        <f>VLOOKUP(Ruimtestaat[[#This Row],[Code]],Locaties[[Code]:[Locatie]],2,FALSE)</f>
        <v>IKC De Springplank</v>
      </c>
      <c r="C95" s="435" t="str">
        <f>VLOOKUP(Ruimtestaat[[#This Row],[Code]],Locaties[[#All],[Code]:[Adres]],4,FALSE)</f>
        <v>Irisvaart 6-8</v>
      </c>
      <c r="D95" s="435" t="str">
        <f>VLOOKUP(Ruimtestaat[[#This Row],[Code]],Locaties[[#All],[Code]:[Postcode]],5,FALSE)</f>
        <v>2724 TT</v>
      </c>
      <c r="E95" s="435" t="str">
        <f>VLOOKUP(Ruimtestaat[[#This Row],[Code]],Locaties[#All],6,FALSE)</f>
        <v>Zoetermeer</v>
      </c>
      <c r="F95" s="434"/>
      <c r="G95" s="434" t="s">
        <v>1678</v>
      </c>
      <c r="H95" s="436" t="s">
        <v>1674</v>
      </c>
      <c r="I95" s="437" t="s">
        <v>1679</v>
      </c>
      <c r="J95" s="330">
        <v>16</v>
      </c>
      <c r="K95" s="450" t="str">
        <f>VLOOKUP(Ruimtestaat[[#This Row],[Ruimte code]],Ruimtegroepen[[#All],[Code]:[Ruimte omschrijving]],2,FALSE)</f>
        <v>Leslokalen</v>
      </c>
      <c r="L95" s="434" t="s">
        <v>100</v>
      </c>
      <c r="M95" s="437" t="s">
        <v>1759</v>
      </c>
      <c r="N95" s="439">
        <v>64</v>
      </c>
      <c r="O95" s="439"/>
      <c r="P95" s="439"/>
      <c r="Q95" s="439"/>
      <c r="R95" s="440" t="str">
        <f>VLOOKUP(Ruimtestaat[[#This Row],[Ruimte code]],Ruimtegroepen[],4,FALSE)</f>
        <v>Le</v>
      </c>
      <c r="S95" s="434">
        <v>40</v>
      </c>
      <c r="T95" s="434" t="s">
        <v>2</v>
      </c>
      <c r="U95" s="434">
        <f>IF(S95&gt;0,IF(RIGHT(Ruimtestaat[[#This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 s="434">
        <f>IF(U95&gt;0,VLOOKUP($J95,Ruimtegroepen[],3,FALSE)*VLOOKUP($L95,Vloersoorten[],3,FALSE)*VLOOKUP($T95,Frequenties[],3,FALSE)*VLOOKUP($A95,Locaties[],3,FALSE),0)</f>
        <v>0</v>
      </c>
      <c r="W95" s="434">
        <f>Ruimtestaat[[#This Row],[Uitvoeringen werkdagen]]*Ruimtestaat[[#This Row],[Oppervlak (netto)]]</f>
        <v>12800</v>
      </c>
      <c r="X95" s="441">
        <f>IF(V95&gt;0,Ruimtestaat[[#This Row],[Prest. (m2 /jaar) werkdagen]]/Ruimtestaat[[#This Row],[Norm (m2/uur) werkdagen]],0)</f>
        <v>0</v>
      </c>
      <c r="Y95" s="442">
        <f>Ruimtestaat[[#This Row],[Uitvoeringen werkdagen]]*Ruimtestaat[[#This Row],[Gedeeltelijk]]</f>
        <v>0</v>
      </c>
      <c r="Z95" s="443" t="e">
        <f>IF(U95&gt;0,Ruimtestaat[[#This Row],[Prest. (m2 / jaar) werkdagen gedeeld]]/Ruimtestaat[[#This Row],[Norm (m2/uur) werkdagen]],0)</f>
        <v>#DIV/0!</v>
      </c>
      <c r="AA95" s="441" t="e">
        <f>Ruimtestaat[[#This Row],[uren / jaar werkdagen gedeeld]]*Tariefsopbouw!$E$35</f>
        <v>#DIV/0!</v>
      </c>
      <c r="AB95" s="441">
        <f>Ruimtestaat[[#This Row],[Uitvoeringen werkdagen]]*Ruimtestaat[[#This Row],[BSO]]</f>
        <v>0</v>
      </c>
      <c r="AC95" s="443" t="e">
        <f>IF(U95&gt;0,Ruimtestaat[[#This Row],[Prest. (m2 / jaar) werkdagen BSO]]/Ruimtestaat[[#This Row],[Norm (m2/uur) werkdagen]],0)</f>
        <v>#DIV/0!</v>
      </c>
      <c r="AD95" s="443" t="e">
        <f>Ruimtestaat[[#This Row],[uren / jaar werkdagen BSO]]*Tariefsopbouw!$E$35</f>
        <v>#DIV/0!</v>
      </c>
      <c r="AE95" s="444">
        <f>Ruimtestaat[[#This Row],[uren / jaar werkdagen]]*Tariefsopbouw!$E$35</f>
        <v>0</v>
      </c>
      <c r="AF95" s="434"/>
      <c r="AG95" s="434">
        <f>IF(Ruimtestaat[[#This Row],[Frequentie weekend]]&gt;0,VALUE(LEFT(AF95,1))*S95,0)</f>
        <v>0</v>
      </c>
      <c r="AH95" s="445">
        <f>IF($AG95&gt;0,VLOOKUP($J95,Ruimtegroepen[],3,FALSE)*VLOOKUP($L95,Vloersoorten[],3,FALSE)*VLOOKUP($AF95,Frequenties[],3,FALSE)*VLOOKUP(Ruimtestaat[[#This Row],[Code]],Locaties[],3,FALSE),0)</f>
        <v>0</v>
      </c>
      <c r="AI95" s="445">
        <f>Ruimtestaat[[#This Row],[Uitvoeringen weekend]]*Ruimtestaat[[#This Row],[Oppervlak (netto)]]</f>
        <v>0</v>
      </c>
      <c r="AJ95" s="445">
        <f>IF(AH95&gt;0,Ruimtestaat[[#This Row],[Prest. (m2 /jaar) weekend]]/Ruimtestaat[[#This Row],[Norm (m2/uur) weekend]],0)</f>
        <v>0</v>
      </c>
      <c r="AK95" s="444">
        <f>Ruimtestaat[[#This Row],[uren / jaar weekend]]*Tariefsopbouw!$D$40</f>
        <v>0</v>
      </c>
      <c r="AL95" s="441">
        <f>Ruimtestaat[[#This Row],[Prest. (m2 /jaar) weekend]]+Ruimtestaat[[#This Row],[Prest. (m2 /jaar) werkdagen]]</f>
        <v>12800</v>
      </c>
      <c r="AM95" s="441">
        <f>Ruimtestaat[[#This Row],[uren / jaar weekend]]+Ruimtestaat[[#This Row],[uren / jaar werkdagen]]</f>
        <v>0</v>
      </c>
      <c r="AN95" s="446">
        <f>Ruimtestaat[[#This Row],[kosten / jaar weekend]]+Ruimtestaat[[#This Row],[kosten / jaar werkdagen]]</f>
        <v>0</v>
      </c>
      <c r="AO95" s="446"/>
      <c r="AP95" s="447" t="str">
        <f>IF(Ruimtestaat[[#This Row],[Frequentie werkdagen]]="","",_xlfn.CONCAT(Ruimtestaat[[#This Row],[Ruimte code]],"-",Ruimtestaat[[#This Row],[Frequentie werkdagen]]," ",Ruimtestaat[[#This Row],[Vloer code]]))</f>
        <v>16-5w L</v>
      </c>
      <c r="AQ95" s="448" t="str">
        <f>_xlfn.IFNA(VLOOKUP($AP95,Programma!$F$3:$G$1101,2,0),"")</f>
        <v>_</v>
      </c>
      <c r="AR95" s="448" t="str">
        <f>_xlfn.IFNA(VLOOKUP($AP95,Programma!$F$3:$H$1101,3,0),"")</f>
        <v>_</v>
      </c>
      <c r="AS95" s="448" t="str">
        <f>_xlfn.IFNA(VLOOKUP($AP95,Programma!$F$3:$I$1101,4,0),"")</f>
        <v>4w</v>
      </c>
      <c r="AT95" s="448" t="str">
        <f>_xlfn.IFNA(VLOOKUP($AP95,Programma!$F$3:$J$1101,5,0),"")</f>
        <v>1w</v>
      </c>
      <c r="AU95" s="448" t="str">
        <f>_xlfn.IFNA(VLOOKUP($AP95,Programma!$F$3:$K$1101,6,0),"")</f>
        <v>_</v>
      </c>
      <c r="AV95" s="448" t="str">
        <f>_xlfn.IFNA(VLOOKUP($AP95,Programma!$F$3:$L$1101,7,0),"")</f>
        <v>_</v>
      </c>
      <c r="AW95" s="448" t="str">
        <f>_xlfn.IFNA(VLOOKUP($AP95,Programma!$F$3:$M$1101,8,0),"")</f>
        <v>_</v>
      </c>
      <c r="AX95" s="448" t="str">
        <f>_xlfn.IFNA(VLOOKUP($AP95,Programma!$F$3:$N$1101,9,0),"")</f>
        <v>_</v>
      </c>
      <c r="AY95" s="448" t="str">
        <f>_xlfn.IFNA(VLOOKUP($AP95,Programma!$F$3:$O$1101,10,0),"")</f>
        <v>5w</v>
      </c>
      <c r="AZ95" s="448" t="str">
        <f>_xlfn.IFNA(VLOOKUP($AP95,Programma!$F$3:$P$1101,11,0),"")</f>
        <v>5w</v>
      </c>
      <c r="BA95" s="448" t="str">
        <f>_xlfn.IFNA(VLOOKUP($AP95,Programma!$F$3:$Q$1101,12,0),"")</f>
        <v>1w</v>
      </c>
      <c r="BB95" s="448" t="str">
        <f>_xlfn.IFNA(VLOOKUP($AP95,Programma!$F$3:$R$1101,13,0),"")</f>
        <v>1w</v>
      </c>
      <c r="BC95" s="448" t="str">
        <f>_xlfn.IFNA(VLOOKUP($AP95,Programma!$F$3:$S$1101,14,0),"")</f>
        <v>1m</v>
      </c>
      <c r="BD95" s="448" t="str">
        <f>_xlfn.IFNA(VLOOKUP($AP95,Programma!$F$3:$T$1101,15,0),"")</f>
        <v>2j</v>
      </c>
      <c r="BE95" s="448" t="str">
        <f>_xlfn.IFNA(VLOOKUP($AP95,Programma!$F$3:$U$1101,16,0),"")</f>
        <v>1j</v>
      </c>
      <c r="BF95" s="448" t="str">
        <f>_xlfn.IFNA(VLOOKUP($AP95,Programma!$F$3:$V$1101,17,0),"")</f>
        <v>_</v>
      </c>
      <c r="BG95" s="448" t="str">
        <f>_xlfn.IFNA(VLOOKUP($AP95,Programma!$F$3:$W$1101,18,0),"")</f>
        <v>_</v>
      </c>
      <c r="BH95" s="448" t="str">
        <f>_xlfn.IFNA(VLOOKUP($AP95,Programma!$F$3:$X$1101,19,0),"")</f>
        <v>_</v>
      </c>
      <c r="BI95" s="448" t="str">
        <f>_xlfn.IFNA(VLOOKUP($AP95,Programma!$F$3:$Y$1101,20,0),"")</f>
        <v>_</v>
      </c>
      <c r="BJ95" s="449"/>
      <c r="BK95" s="447" t="str">
        <f>IF(Ruimtestaat[[#This Row],[Frequentie weekend]]="","",_xlfn.CONCAT(Ruimtestaat[[#This Row],[Ruimte code]],"-",Ruimtestaat[[#This Row],[Frequentie weekend]]," ",Ruimtestaat[[#This Row],[Vloer code]]))</f>
        <v/>
      </c>
      <c r="BL95" s="448" t="str">
        <f>_xlfn.IFNA(VLOOKUP($BK95,Programma!$F$3:$G$1101,2,0),"")</f>
        <v/>
      </c>
      <c r="BM95" s="448" t="str">
        <f>_xlfn.IFNA(VLOOKUP($BK95,Programma!$F$3:$H$1101,3,0),"")</f>
        <v/>
      </c>
      <c r="BN95" s="448" t="str">
        <f>_xlfn.IFNA(VLOOKUP($BK95,Programma!$F$3:$I$1101,4,0),"")</f>
        <v/>
      </c>
      <c r="BO95" s="448" t="str">
        <f>_xlfn.IFNA(VLOOKUP($BK95,Programma!$F$3:$J$1101,5,0),"")</f>
        <v/>
      </c>
      <c r="BP95" s="448" t="str">
        <f>_xlfn.IFNA(VLOOKUP($BK95,Programma!$F$3:$K$1101,6,0),"")</f>
        <v/>
      </c>
      <c r="BQ95" s="448" t="str">
        <f>_xlfn.IFNA(VLOOKUP($BK95,Programma!$F$3:$L$1101,7,0),"")</f>
        <v/>
      </c>
      <c r="BR95" s="448" t="str">
        <f>_xlfn.IFNA(VLOOKUP($BK95,Programma!$F$3:$M$1101,8,0),"")</f>
        <v/>
      </c>
      <c r="BS95" s="448" t="str">
        <f>_xlfn.IFNA(VLOOKUP($BK95,Programma!$F$3:$N$1101,9,0),"")</f>
        <v/>
      </c>
      <c r="BT95" s="448" t="str">
        <f>_xlfn.IFNA(VLOOKUP($BK95,Programma!$F$3:$O$1101,10,0),"")</f>
        <v/>
      </c>
      <c r="BU95" s="448" t="str">
        <f>_xlfn.IFNA(VLOOKUP($BK95,Programma!$F$3:$P$1101,11,0),"")</f>
        <v/>
      </c>
      <c r="BV95" s="448" t="str">
        <f>_xlfn.IFNA(VLOOKUP($BK95,Programma!$F$3:$Q$1101,12,0),"")</f>
        <v/>
      </c>
      <c r="BW95" s="448" t="str">
        <f>_xlfn.IFNA(VLOOKUP($BK95,Programma!$F$3:$R$1101,13,0),"")</f>
        <v/>
      </c>
      <c r="BX95" s="448" t="str">
        <f>_xlfn.IFNA(VLOOKUP($BK95,Programma!$F$3:$S$1101,14,0),"")</f>
        <v/>
      </c>
      <c r="BY95" s="448" t="str">
        <f>_xlfn.IFNA(VLOOKUP($BK95,Programma!$F$3:$T$1101,15,0),"")</f>
        <v/>
      </c>
      <c r="BZ95" s="448" t="str">
        <f>_xlfn.IFNA(VLOOKUP($BK95,Programma!$F$3:$U$1101,16,0),"")</f>
        <v/>
      </c>
      <c r="CA95" s="448" t="str">
        <f>_xlfn.IFNA(VLOOKUP($BK95,Programma!$F$3:$V$1101,17,0),"")</f>
        <v/>
      </c>
      <c r="CB95" s="448" t="str">
        <f>_xlfn.IFNA(VLOOKUP($BK95,Programma!$F$3:$W$1101,18,0),"")</f>
        <v/>
      </c>
      <c r="CC95" s="448" t="str">
        <f>_xlfn.IFNA(VLOOKUP($BK95,Programma!$F$3:$X$1101,19,0),"")</f>
        <v/>
      </c>
      <c r="CD95" s="448" t="str">
        <f>_xlfn.IFNA(VLOOKUP($BK95,Programma!$F$3:$Y$1101,20,0),"")</f>
        <v/>
      </c>
      <c r="CE95" s="327"/>
      <c r="CF95" s="327"/>
      <c r="CG95" s="327"/>
      <c r="CH95" s="327"/>
      <c r="CI95" s="327"/>
      <c r="CJ95" s="327"/>
      <c r="CK95" s="327"/>
      <c r="CL95" s="327"/>
      <c r="CM95" s="327"/>
      <c r="CN95" s="327"/>
      <c r="CO95" s="327"/>
      <c r="CP95" s="327"/>
      <c r="CQ95" s="327"/>
      <c r="CR95" s="327"/>
      <c r="CS95" s="327"/>
      <c r="CT95" s="327"/>
      <c r="CU95" s="327"/>
      <c r="CV95" s="327"/>
      <c r="CW95" s="327"/>
      <c r="CX95" s="327"/>
      <c r="CY95" s="327"/>
      <c r="CZ95" s="327"/>
      <c r="DA95" s="327"/>
      <c r="DB95" s="327"/>
      <c r="DC95" s="327"/>
      <c r="DD95" s="327"/>
      <c r="DE95" s="327"/>
      <c r="DF95" s="327"/>
      <c r="DG95" s="327"/>
      <c r="DH95" s="327"/>
      <c r="DI95" s="327"/>
      <c r="DJ95" s="327"/>
      <c r="DK95" s="327"/>
      <c r="DL95" s="327"/>
      <c r="DM95" s="327"/>
      <c r="DN95" s="327"/>
      <c r="DO95" s="327"/>
      <c r="DP95" s="327"/>
      <c r="DQ95" s="327"/>
      <c r="DR95" s="327"/>
      <c r="DS95" s="327"/>
      <c r="DT95" s="327"/>
      <c r="DU95" s="327"/>
      <c r="DV95" s="327"/>
      <c r="DW95" s="327"/>
      <c r="DX95" s="327"/>
      <c r="DY95" s="327"/>
      <c r="DZ95" s="327"/>
      <c r="EA95" s="327"/>
      <c r="EB95" s="327"/>
      <c r="EC95" s="327"/>
      <c r="ED95" s="327"/>
      <c r="EE95" s="327"/>
      <c r="EF95" s="327"/>
      <c r="EG95" s="327"/>
      <c r="EH95" s="327"/>
      <c r="EI95" s="327"/>
      <c r="EJ95" s="327"/>
      <c r="EK95" s="327"/>
      <c r="EL95" s="327"/>
      <c r="EM95" s="327"/>
      <c r="EN95" s="327"/>
      <c r="EO95" s="327"/>
      <c r="EP95" s="327"/>
      <c r="EQ95" s="327"/>
      <c r="ER95" s="327"/>
      <c r="ES95" s="327"/>
      <c r="ET95" s="327"/>
      <c r="EU95" s="327"/>
      <c r="EV95" s="327"/>
      <c r="EW95" s="327"/>
      <c r="EX95" s="327"/>
      <c r="EY95" s="327"/>
      <c r="EZ95" s="327"/>
      <c r="FA95" s="327"/>
      <c r="FB95" s="327"/>
      <c r="FC95" s="327"/>
      <c r="FD95" s="327"/>
      <c r="FE95" s="327"/>
      <c r="FF95" s="327"/>
      <c r="FG95" s="327"/>
      <c r="FH95" s="327"/>
      <c r="FI95" s="327"/>
      <c r="FJ95" s="327"/>
      <c r="FK95" s="327"/>
      <c r="FL95" s="327"/>
      <c r="FM95" s="327"/>
      <c r="FN95" s="327"/>
      <c r="FO95" s="327"/>
      <c r="FP95" s="327"/>
      <c r="FQ95" s="327"/>
      <c r="FR95" s="327"/>
      <c r="FS95" s="327"/>
      <c r="FT95" s="327"/>
      <c r="FU95" s="327"/>
      <c r="FV95" s="327"/>
      <c r="FW95" s="327"/>
      <c r="FX95" s="327"/>
      <c r="FY95" s="327"/>
      <c r="FZ95" s="327"/>
      <c r="GA95" s="327"/>
      <c r="GB95" s="327"/>
      <c r="GC95" s="327"/>
      <c r="GD95" s="327"/>
      <c r="GE95" s="327"/>
      <c r="GF95" s="327"/>
      <c r="GG95" s="327"/>
      <c r="GH95" s="327"/>
      <c r="GI95" s="327"/>
      <c r="GJ95" s="327"/>
      <c r="GK95" s="327"/>
      <c r="GL95" s="327"/>
      <c r="GM95" s="327"/>
      <c r="GN95" s="327"/>
      <c r="GO95" s="327"/>
      <c r="GP95" s="327"/>
      <c r="GQ95" s="327"/>
      <c r="GR95" s="327"/>
      <c r="GS95" s="327"/>
      <c r="GT95" s="327"/>
      <c r="GU95" s="327"/>
      <c r="GV95" s="327"/>
      <c r="GW95" s="327"/>
      <c r="GX95" s="327"/>
      <c r="GY95" s="327"/>
      <c r="GZ95" s="327"/>
      <c r="HA95" s="327"/>
      <c r="HB95" s="327"/>
      <c r="HC95" s="327"/>
      <c r="HD95" s="327"/>
      <c r="HE95" s="327"/>
      <c r="HF95" s="327"/>
      <c r="HG95" s="327"/>
      <c r="HH95" s="327"/>
      <c r="HI95" s="327"/>
      <c r="HJ95" s="327"/>
      <c r="HK95" s="327"/>
      <c r="HL95" s="327"/>
      <c r="HM95" s="327"/>
      <c r="HN95" s="327"/>
      <c r="HO95" s="327"/>
      <c r="HP95" s="327"/>
      <c r="HQ95" s="327"/>
      <c r="HR95" s="327"/>
      <c r="HS95" s="327"/>
    </row>
    <row r="96" spans="1:227" ht="15" customHeight="1">
      <c r="A96" s="330">
        <v>5</v>
      </c>
      <c r="B96" s="435" t="str">
        <f>VLOOKUP(Ruimtestaat[[#This Row],[Code]],Locaties[[Code]:[Locatie]],2,FALSE)</f>
        <v>IKC De Springplank</v>
      </c>
      <c r="C96" s="435" t="str">
        <f>VLOOKUP(Ruimtestaat[[#This Row],[Code]],Locaties[[#All],[Code]:[Adres]],4,FALSE)</f>
        <v>Irisvaart 6-8</v>
      </c>
      <c r="D96" s="435" t="str">
        <f>VLOOKUP(Ruimtestaat[[#This Row],[Code]],Locaties[[#All],[Code]:[Postcode]],5,FALSE)</f>
        <v>2724 TT</v>
      </c>
      <c r="E96" s="435" t="str">
        <f>VLOOKUP(Ruimtestaat[[#This Row],[Code]],Locaties[#All],6,FALSE)</f>
        <v>Zoetermeer</v>
      </c>
      <c r="F96" s="434"/>
      <c r="G96" s="434" t="s">
        <v>1678</v>
      </c>
      <c r="H96" s="436" t="s">
        <v>1680</v>
      </c>
      <c r="I96" s="437" t="s">
        <v>1673</v>
      </c>
      <c r="J96" s="330">
        <v>5</v>
      </c>
      <c r="K96" s="450" t="str">
        <f>VLOOKUP(Ruimtestaat[[#This Row],[Ruimte code]],Ruimtegroepen[[#All],[Code]:[Ruimte omschrijving]],2,FALSE)</f>
        <v>Sanitair</v>
      </c>
      <c r="L96" s="434" t="s">
        <v>101</v>
      </c>
      <c r="M96" s="437" t="s">
        <v>1947</v>
      </c>
      <c r="N96" s="439">
        <v>2</v>
      </c>
      <c r="O96" s="439"/>
      <c r="P96" s="439"/>
      <c r="Q96" s="439"/>
      <c r="R96" s="440" t="str">
        <f>VLOOKUP(Ruimtestaat[[#This Row],[Ruimte code]],Ruimtegroepen[],4,FALSE)</f>
        <v>Sa</v>
      </c>
      <c r="S96" s="434">
        <v>41</v>
      </c>
      <c r="T96" s="434" t="s">
        <v>2</v>
      </c>
      <c r="U96" s="434">
        <f>IF(S96&gt;0,IF(RIGHT(Ruimtestaat[[#This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6" s="434">
        <f>IF(U96&gt;0,VLOOKUP($J96,Ruimtegroepen[],3,FALSE)*VLOOKUP($L96,Vloersoorten[],3,FALSE)*VLOOKUP($T96,Frequenties[],3,FALSE)*VLOOKUP($A96,Locaties[],3,FALSE),0)</f>
        <v>0</v>
      </c>
      <c r="W96" s="434">
        <f>Ruimtestaat[[#This Row],[Uitvoeringen werkdagen]]*Ruimtestaat[[#This Row],[Oppervlak (netto)]]</f>
        <v>410</v>
      </c>
      <c r="X96" s="441">
        <f>IF(V96&gt;0,Ruimtestaat[[#This Row],[Prest. (m2 /jaar) werkdagen]]/Ruimtestaat[[#This Row],[Norm (m2/uur) werkdagen]],0)</f>
        <v>0</v>
      </c>
      <c r="Y96" s="442">
        <f>Ruimtestaat[[#This Row],[Uitvoeringen werkdagen]]*Ruimtestaat[[#This Row],[Gedeeltelijk]]</f>
        <v>0</v>
      </c>
      <c r="Z96" s="443" t="e">
        <f>IF(U96&gt;0,Ruimtestaat[[#This Row],[Prest. (m2 / jaar) werkdagen gedeeld]]/Ruimtestaat[[#This Row],[Norm (m2/uur) werkdagen]],0)</f>
        <v>#DIV/0!</v>
      </c>
      <c r="AA96" s="441" t="e">
        <f>Ruimtestaat[[#This Row],[uren / jaar werkdagen gedeeld]]*Tariefsopbouw!$E$35</f>
        <v>#DIV/0!</v>
      </c>
      <c r="AB96" s="441">
        <f>Ruimtestaat[[#This Row],[Uitvoeringen werkdagen]]*Ruimtestaat[[#This Row],[BSO]]</f>
        <v>0</v>
      </c>
      <c r="AC96" s="443" t="e">
        <f>IF(U96&gt;0,Ruimtestaat[[#This Row],[Prest. (m2 / jaar) werkdagen BSO]]/Ruimtestaat[[#This Row],[Norm (m2/uur) werkdagen]],0)</f>
        <v>#DIV/0!</v>
      </c>
      <c r="AD96" s="443" t="e">
        <f>Ruimtestaat[[#This Row],[uren / jaar werkdagen BSO]]*Tariefsopbouw!$E$35</f>
        <v>#DIV/0!</v>
      </c>
      <c r="AE96" s="444">
        <f>Ruimtestaat[[#This Row],[uren / jaar werkdagen]]*Tariefsopbouw!$E$35</f>
        <v>0</v>
      </c>
      <c r="AF96" s="434"/>
      <c r="AG96" s="434">
        <f>IF(Ruimtestaat[[#This Row],[Frequentie weekend]]&gt;0,VALUE(LEFT(AF96,1))*S96,0)</f>
        <v>0</v>
      </c>
      <c r="AH96" s="445">
        <f>IF($AG96&gt;0,VLOOKUP($J96,Ruimtegroepen[],3,FALSE)*VLOOKUP($L96,Vloersoorten[],3,FALSE)*VLOOKUP($AF96,Frequenties[],3,FALSE)*VLOOKUP(Ruimtestaat[[#This Row],[Code]],Locaties[],3,FALSE),0)</f>
        <v>0</v>
      </c>
      <c r="AI96" s="445">
        <f>Ruimtestaat[[#This Row],[Uitvoeringen weekend]]*Ruimtestaat[[#This Row],[Oppervlak (netto)]]</f>
        <v>0</v>
      </c>
      <c r="AJ96" s="445">
        <f>IF(AH96&gt;0,Ruimtestaat[[#This Row],[Prest. (m2 /jaar) weekend]]/Ruimtestaat[[#This Row],[Norm (m2/uur) weekend]],0)</f>
        <v>0</v>
      </c>
      <c r="AK96" s="444">
        <f>Ruimtestaat[[#This Row],[uren / jaar weekend]]*Tariefsopbouw!$D$40</f>
        <v>0</v>
      </c>
      <c r="AL96" s="441">
        <f>Ruimtestaat[[#This Row],[Prest. (m2 /jaar) weekend]]+Ruimtestaat[[#This Row],[Prest. (m2 /jaar) werkdagen]]</f>
        <v>410</v>
      </c>
      <c r="AM96" s="441">
        <f>Ruimtestaat[[#This Row],[uren / jaar weekend]]+Ruimtestaat[[#This Row],[uren / jaar werkdagen]]</f>
        <v>0</v>
      </c>
      <c r="AN96" s="446">
        <f>Ruimtestaat[[#This Row],[kosten / jaar weekend]]+Ruimtestaat[[#This Row],[kosten / jaar werkdagen]]</f>
        <v>0</v>
      </c>
      <c r="AO96" s="446"/>
      <c r="AP96" s="447" t="str">
        <f>IF(Ruimtestaat[[#This Row],[Frequentie werkdagen]]="","",_xlfn.CONCAT(Ruimtestaat[[#This Row],[Ruimte code]],"-",Ruimtestaat[[#This Row],[Frequentie werkdagen]]," ",Ruimtestaat[[#This Row],[Vloer code]]))</f>
        <v>5-5w S</v>
      </c>
      <c r="AQ96" s="448" t="str">
        <f>_xlfn.IFNA(VLOOKUP($AP96,Programma!$F$3:$G$1101,2,0),"")</f>
        <v>_</v>
      </c>
      <c r="AR96" s="448" t="str">
        <f>_xlfn.IFNA(VLOOKUP($AP96,Programma!$F$3:$H$1101,3,0),"")</f>
        <v>_</v>
      </c>
      <c r="AS96" s="448" t="str">
        <f>_xlfn.IFNA(VLOOKUP($AP96,Programma!$F$3:$I$1101,4,0),"")</f>
        <v>_</v>
      </c>
      <c r="AT96" s="448" t="str">
        <f>_xlfn.IFNA(VLOOKUP($AP96,Programma!$F$3:$J$1101,5,0),"")</f>
        <v>4w</v>
      </c>
      <c r="AU96" s="448" t="str">
        <f>_xlfn.IFNA(VLOOKUP($AP96,Programma!$F$3:$K$1101,6,0),"")</f>
        <v>1w</v>
      </c>
      <c r="AV96" s="448" t="str">
        <f>_xlfn.IFNA(VLOOKUP($AP96,Programma!$F$3:$L$1101,7,0),"")</f>
        <v>_</v>
      </c>
      <c r="AW96" s="448" t="str">
        <f>_xlfn.IFNA(VLOOKUP($AP96,Programma!$F$3:$M$1101,8,0),"")</f>
        <v>_</v>
      </c>
      <c r="AX96" s="448" t="str">
        <f>_xlfn.IFNA(VLOOKUP($AP96,Programma!$F$3:$N$1101,9,0),"")</f>
        <v>_</v>
      </c>
      <c r="AY96" s="448" t="str">
        <f>_xlfn.IFNA(VLOOKUP($AP96,Programma!$F$3:$O$1101,10,0),"")</f>
        <v>_</v>
      </c>
      <c r="AZ96" s="448" t="str">
        <f>_xlfn.IFNA(VLOOKUP($AP96,Programma!$F$3:$P$1101,11,0),"")</f>
        <v>_</v>
      </c>
      <c r="BA96" s="448" t="str">
        <f>_xlfn.IFNA(VLOOKUP($AP96,Programma!$F$3:$Q$1101,12,0),"")</f>
        <v>_</v>
      </c>
      <c r="BB96" s="448" t="str">
        <f>_xlfn.IFNA(VLOOKUP($AP96,Programma!$F$3:$R$1101,13,0),"")</f>
        <v>_</v>
      </c>
      <c r="BC96" s="448" t="str">
        <f>_xlfn.IFNA(VLOOKUP($AP96,Programma!$F$3:$S$1101,14,0),"")</f>
        <v>_</v>
      </c>
      <c r="BD96" s="448" t="str">
        <f>_xlfn.IFNA(VLOOKUP($AP96,Programma!$F$3:$T$1101,15,0),"")</f>
        <v>_</v>
      </c>
      <c r="BE96" s="448" t="str">
        <f>_xlfn.IFNA(VLOOKUP($AP96,Programma!$F$3:$U$1101,16,0),"")</f>
        <v>_</v>
      </c>
      <c r="BF96" s="448" t="str">
        <f>_xlfn.IFNA(VLOOKUP($AP96,Programma!$F$3:$V$1101,17,0),"")</f>
        <v>_</v>
      </c>
      <c r="BG96" s="448" t="str">
        <f>_xlfn.IFNA(VLOOKUP($AP96,Programma!$F$3:$W$1101,18,0),"")</f>
        <v>4w</v>
      </c>
      <c r="BH96" s="448" t="str">
        <f>_xlfn.IFNA(VLOOKUP($AP96,Programma!$F$3:$X$1101,19,0),"")</f>
        <v>1w</v>
      </c>
      <c r="BI96" s="448" t="str">
        <f>_xlfn.IFNA(VLOOKUP($AP96,Programma!$F$3:$Y$1101,20,0),"")</f>
        <v>_</v>
      </c>
      <c r="BJ96" s="449"/>
      <c r="BK96" s="447" t="str">
        <f>IF(Ruimtestaat[[#This Row],[Frequentie weekend]]="","",_xlfn.CONCAT(Ruimtestaat[[#This Row],[Ruimte code]],"-",Ruimtestaat[[#This Row],[Frequentie weekend]]," ",Ruimtestaat[[#This Row],[Vloer code]]))</f>
        <v/>
      </c>
      <c r="BL96" s="448" t="str">
        <f>_xlfn.IFNA(VLOOKUP($BK96,Programma!$F$3:$G$1101,2,0),"")</f>
        <v/>
      </c>
      <c r="BM96" s="448" t="str">
        <f>_xlfn.IFNA(VLOOKUP($BK96,Programma!$F$3:$H$1101,3,0),"")</f>
        <v/>
      </c>
      <c r="BN96" s="448" t="str">
        <f>_xlfn.IFNA(VLOOKUP($BK96,Programma!$F$3:$I$1101,4,0),"")</f>
        <v/>
      </c>
      <c r="BO96" s="448" t="str">
        <f>_xlfn.IFNA(VLOOKUP($BK96,Programma!$F$3:$J$1101,5,0),"")</f>
        <v/>
      </c>
      <c r="BP96" s="448" t="str">
        <f>_xlfn.IFNA(VLOOKUP($BK96,Programma!$F$3:$K$1101,6,0),"")</f>
        <v/>
      </c>
      <c r="BQ96" s="448" t="str">
        <f>_xlfn.IFNA(VLOOKUP($BK96,Programma!$F$3:$L$1101,7,0),"")</f>
        <v/>
      </c>
      <c r="BR96" s="448" t="str">
        <f>_xlfn.IFNA(VLOOKUP($BK96,Programma!$F$3:$M$1101,8,0),"")</f>
        <v/>
      </c>
      <c r="BS96" s="448" t="str">
        <f>_xlfn.IFNA(VLOOKUP($BK96,Programma!$F$3:$N$1101,9,0),"")</f>
        <v/>
      </c>
      <c r="BT96" s="448" t="str">
        <f>_xlfn.IFNA(VLOOKUP($BK96,Programma!$F$3:$O$1101,10,0),"")</f>
        <v/>
      </c>
      <c r="BU96" s="448" t="str">
        <f>_xlfn.IFNA(VLOOKUP($BK96,Programma!$F$3:$P$1101,11,0),"")</f>
        <v/>
      </c>
      <c r="BV96" s="448" t="str">
        <f>_xlfn.IFNA(VLOOKUP($BK96,Programma!$F$3:$Q$1101,12,0),"")</f>
        <v/>
      </c>
      <c r="BW96" s="448" t="str">
        <f>_xlfn.IFNA(VLOOKUP($BK96,Programma!$F$3:$R$1101,13,0),"")</f>
        <v/>
      </c>
      <c r="BX96" s="448" t="str">
        <f>_xlfn.IFNA(VLOOKUP($BK96,Programma!$F$3:$S$1101,14,0),"")</f>
        <v/>
      </c>
      <c r="BY96" s="448" t="str">
        <f>_xlfn.IFNA(VLOOKUP($BK96,Programma!$F$3:$T$1101,15,0),"")</f>
        <v/>
      </c>
      <c r="BZ96" s="448" t="str">
        <f>_xlfn.IFNA(VLOOKUP($BK96,Programma!$F$3:$U$1101,16,0),"")</f>
        <v/>
      </c>
      <c r="CA96" s="448" t="str">
        <f>_xlfn.IFNA(VLOOKUP($BK96,Programma!$F$3:$V$1101,17,0),"")</f>
        <v/>
      </c>
      <c r="CB96" s="448" t="str">
        <f>_xlfn.IFNA(VLOOKUP($BK96,Programma!$F$3:$W$1101,18,0),"")</f>
        <v/>
      </c>
      <c r="CC96" s="448" t="str">
        <f>_xlfn.IFNA(VLOOKUP($BK96,Programma!$F$3:$X$1101,19,0),"")</f>
        <v/>
      </c>
      <c r="CD96" s="448" t="str">
        <f>_xlfn.IFNA(VLOOKUP($BK96,Programma!$F$3:$Y$1101,20,0),"")</f>
        <v/>
      </c>
      <c r="CE96" s="327"/>
      <c r="CF96" s="327"/>
      <c r="CG96" s="327"/>
      <c r="CH96" s="327"/>
      <c r="CI96" s="327"/>
      <c r="CJ96" s="327"/>
      <c r="CK96" s="327"/>
      <c r="CL96" s="327"/>
      <c r="CM96" s="327"/>
      <c r="CN96" s="327"/>
      <c r="CO96" s="327"/>
      <c r="CP96" s="327"/>
      <c r="CQ96" s="327"/>
      <c r="CR96" s="327"/>
      <c r="CS96" s="327"/>
      <c r="CT96" s="327"/>
      <c r="CU96" s="327"/>
      <c r="CV96" s="327"/>
      <c r="CW96" s="327"/>
      <c r="CX96" s="327"/>
      <c r="CY96" s="327"/>
      <c r="CZ96" s="327"/>
      <c r="DA96" s="327"/>
      <c r="DB96" s="327"/>
      <c r="DC96" s="327"/>
      <c r="DD96" s="327"/>
      <c r="DE96" s="327"/>
      <c r="DF96" s="327"/>
      <c r="DG96" s="327"/>
      <c r="DH96" s="327"/>
      <c r="DI96" s="327"/>
      <c r="DJ96" s="327"/>
      <c r="DK96" s="327"/>
      <c r="DL96" s="327"/>
      <c r="DM96" s="327"/>
      <c r="DN96" s="327"/>
      <c r="DO96" s="327"/>
      <c r="DP96" s="327"/>
      <c r="DQ96" s="327"/>
      <c r="DR96" s="327"/>
      <c r="DS96" s="327"/>
      <c r="DT96" s="327"/>
      <c r="DU96" s="327"/>
      <c r="DV96" s="327"/>
      <c r="DW96" s="327"/>
      <c r="DX96" s="327"/>
      <c r="DY96" s="327"/>
      <c r="DZ96" s="327"/>
      <c r="EA96" s="327"/>
      <c r="EB96" s="327"/>
      <c r="EC96" s="327"/>
      <c r="ED96" s="327"/>
      <c r="EE96" s="327"/>
      <c r="EF96" s="327"/>
      <c r="EG96" s="327"/>
      <c r="EH96" s="327"/>
      <c r="EI96" s="327"/>
      <c r="EJ96" s="327"/>
      <c r="EK96" s="327"/>
      <c r="EL96" s="327"/>
      <c r="EM96" s="327"/>
      <c r="EN96" s="327"/>
      <c r="EO96" s="327"/>
      <c r="EP96" s="327"/>
      <c r="EQ96" s="327"/>
      <c r="ER96" s="327"/>
      <c r="ES96" s="327"/>
      <c r="ET96" s="327"/>
      <c r="EU96" s="327"/>
      <c r="EV96" s="327"/>
      <c r="EW96" s="327"/>
      <c r="EX96" s="327"/>
      <c r="EY96" s="327"/>
      <c r="EZ96" s="327"/>
      <c r="FA96" s="327"/>
      <c r="FB96" s="327"/>
      <c r="FC96" s="327"/>
      <c r="FD96" s="327"/>
      <c r="FE96" s="327"/>
      <c r="FF96" s="327"/>
      <c r="FG96" s="327"/>
      <c r="FH96" s="327"/>
      <c r="FI96" s="327"/>
      <c r="FJ96" s="327"/>
      <c r="FK96" s="327"/>
      <c r="FL96" s="327"/>
      <c r="FM96" s="327"/>
      <c r="FN96" s="327"/>
      <c r="FO96" s="327"/>
      <c r="FP96" s="327"/>
      <c r="FQ96" s="327"/>
      <c r="FR96" s="327"/>
      <c r="FS96" s="327"/>
      <c r="FT96" s="327"/>
      <c r="FU96" s="327"/>
      <c r="FV96" s="327"/>
      <c r="FW96" s="327"/>
      <c r="FX96" s="327"/>
      <c r="FY96" s="327"/>
      <c r="FZ96" s="327"/>
      <c r="GA96" s="327"/>
      <c r="GB96" s="327"/>
      <c r="GC96" s="327"/>
      <c r="GD96" s="327"/>
      <c r="GE96" s="327"/>
      <c r="GF96" s="327"/>
      <c r="GG96" s="327"/>
      <c r="GH96" s="327"/>
      <c r="GI96" s="327"/>
      <c r="GJ96" s="327"/>
      <c r="GK96" s="327"/>
      <c r="GL96" s="327"/>
      <c r="GM96" s="327"/>
      <c r="GN96" s="327"/>
      <c r="GO96" s="327"/>
      <c r="GP96" s="327"/>
      <c r="GQ96" s="327"/>
      <c r="GR96" s="327"/>
      <c r="GS96" s="327"/>
      <c r="GT96" s="327"/>
      <c r="GU96" s="327"/>
      <c r="GV96" s="327"/>
      <c r="GW96" s="327"/>
      <c r="GX96" s="327"/>
      <c r="GY96" s="327"/>
      <c r="GZ96" s="327"/>
      <c r="HA96" s="327"/>
      <c r="HB96" s="327"/>
      <c r="HC96" s="327"/>
      <c r="HD96" s="327"/>
      <c r="HE96" s="327"/>
      <c r="HF96" s="327"/>
      <c r="HG96" s="327"/>
      <c r="HH96" s="327"/>
      <c r="HI96" s="327"/>
      <c r="HJ96" s="327"/>
      <c r="HK96" s="327"/>
      <c r="HL96" s="327"/>
      <c r="HM96" s="327"/>
      <c r="HN96" s="327"/>
      <c r="HO96" s="327"/>
      <c r="HP96" s="327"/>
      <c r="HQ96" s="327"/>
      <c r="HR96" s="327"/>
      <c r="HS96" s="327"/>
    </row>
    <row r="97" spans="1:227" ht="15" customHeight="1">
      <c r="A97" s="330">
        <v>5</v>
      </c>
      <c r="B97" s="435" t="str">
        <f>VLOOKUP(Ruimtestaat[[#This Row],[Code]],Locaties[[Code]:[Locatie]],2,FALSE)</f>
        <v>IKC De Springplank</v>
      </c>
      <c r="C97" s="435" t="str">
        <f>VLOOKUP(Ruimtestaat[[#This Row],[Code]],Locaties[[#All],[Code]:[Adres]],4,FALSE)</f>
        <v>Irisvaart 6-8</v>
      </c>
      <c r="D97" s="435" t="str">
        <f>VLOOKUP(Ruimtestaat[[#This Row],[Code]],Locaties[[#All],[Code]:[Postcode]],5,FALSE)</f>
        <v>2724 TT</v>
      </c>
      <c r="E97" s="435" t="str">
        <f>VLOOKUP(Ruimtestaat[[#This Row],[Code]],Locaties[#All],6,FALSE)</f>
        <v>Zoetermeer</v>
      </c>
      <c r="F97" s="434"/>
      <c r="G97" s="434" t="s">
        <v>1678</v>
      </c>
      <c r="H97" s="436" t="s">
        <v>1681</v>
      </c>
      <c r="I97" s="437" t="s">
        <v>1679</v>
      </c>
      <c r="J97" s="330">
        <v>16</v>
      </c>
      <c r="K97" s="450" t="str">
        <f>VLOOKUP(Ruimtestaat[[#This Row],[Ruimte code]],Ruimtegroepen[[#All],[Code]:[Ruimte omschrijving]],2,FALSE)</f>
        <v>Leslokalen</v>
      </c>
      <c r="L97" s="434" t="s">
        <v>100</v>
      </c>
      <c r="M97" s="437" t="s">
        <v>1759</v>
      </c>
      <c r="N97" s="439">
        <v>58</v>
      </c>
      <c r="O97" s="439"/>
      <c r="P97" s="439"/>
      <c r="Q97" s="439"/>
      <c r="R97" s="440" t="str">
        <f>VLOOKUP(Ruimtestaat[[#This Row],[Ruimte code]],Ruimtegroepen[],4,FALSE)</f>
        <v>Le</v>
      </c>
      <c r="S97" s="434">
        <v>40</v>
      </c>
      <c r="T97" s="434" t="s">
        <v>2</v>
      </c>
      <c r="U97" s="434">
        <f>IF(S97&gt;0,IF(RIGHT(Ruimtestaat[[#This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 s="434">
        <f>IF(U97&gt;0,VLOOKUP($J97,Ruimtegroepen[],3,FALSE)*VLOOKUP($L97,Vloersoorten[],3,FALSE)*VLOOKUP($T97,Frequenties[],3,FALSE)*VLOOKUP($A97,Locaties[],3,FALSE),0)</f>
        <v>0</v>
      </c>
      <c r="W97" s="434">
        <f>Ruimtestaat[[#This Row],[Uitvoeringen werkdagen]]*Ruimtestaat[[#This Row],[Oppervlak (netto)]]</f>
        <v>11600</v>
      </c>
      <c r="X97" s="441">
        <f>IF(V97&gt;0,Ruimtestaat[[#This Row],[Prest. (m2 /jaar) werkdagen]]/Ruimtestaat[[#This Row],[Norm (m2/uur) werkdagen]],0)</f>
        <v>0</v>
      </c>
      <c r="Y97" s="442">
        <f>Ruimtestaat[[#This Row],[Uitvoeringen werkdagen]]*Ruimtestaat[[#This Row],[Gedeeltelijk]]</f>
        <v>0</v>
      </c>
      <c r="Z97" s="443" t="e">
        <f>IF(U97&gt;0,Ruimtestaat[[#This Row],[Prest. (m2 / jaar) werkdagen gedeeld]]/Ruimtestaat[[#This Row],[Norm (m2/uur) werkdagen]],0)</f>
        <v>#DIV/0!</v>
      </c>
      <c r="AA97" s="441" t="e">
        <f>Ruimtestaat[[#This Row],[uren / jaar werkdagen gedeeld]]*Tariefsopbouw!$E$35</f>
        <v>#DIV/0!</v>
      </c>
      <c r="AB97" s="441">
        <f>Ruimtestaat[[#This Row],[Uitvoeringen werkdagen]]*Ruimtestaat[[#This Row],[BSO]]</f>
        <v>0</v>
      </c>
      <c r="AC97" s="443" t="e">
        <f>IF(U97&gt;0,Ruimtestaat[[#This Row],[Prest. (m2 / jaar) werkdagen BSO]]/Ruimtestaat[[#This Row],[Norm (m2/uur) werkdagen]],0)</f>
        <v>#DIV/0!</v>
      </c>
      <c r="AD97" s="443" t="e">
        <f>Ruimtestaat[[#This Row],[uren / jaar werkdagen BSO]]*Tariefsopbouw!$E$35</f>
        <v>#DIV/0!</v>
      </c>
      <c r="AE97" s="444">
        <f>Ruimtestaat[[#This Row],[uren / jaar werkdagen]]*Tariefsopbouw!$E$35</f>
        <v>0</v>
      </c>
      <c r="AF97" s="434"/>
      <c r="AG97" s="434">
        <f>IF(Ruimtestaat[[#This Row],[Frequentie weekend]]&gt;0,VALUE(LEFT(AF97,1))*S97,0)</f>
        <v>0</v>
      </c>
      <c r="AH97" s="445">
        <f>IF($AG97&gt;0,VLOOKUP($J97,Ruimtegroepen[],3,FALSE)*VLOOKUP($L97,Vloersoorten[],3,FALSE)*VLOOKUP($AF97,Frequenties[],3,FALSE)*VLOOKUP(Ruimtestaat[[#This Row],[Code]],Locaties[],3,FALSE),0)</f>
        <v>0</v>
      </c>
      <c r="AI97" s="445">
        <f>Ruimtestaat[[#This Row],[Uitvoeringen weekend]]*Ruimtestaat[[#This Row],[Oppervlak (netto)]]</f>
        <v>0</v>
      </c>
      <c r="AJ97" s="445">
        <f>IF(AH97&gt;0,Ruimtestaat[[#This Row],[Prest. (m2 /jaar) weekend]]/Ruimtestaat[[#This Row],[Norm (m2/uur) weekend]],0)</f>
        <v>0</v>
      </c>
      <c r="AK97" s="444">
        <f>Ruimtestaat[[#This Row],[uren / jaar weekend]]*Tariefsopbouw!$D$40</f>
        <v>0</v>
      </c>
      <c r="AL97" s="441">
        <f>Ruimtestaat[[#This Row],[Prest. (m2 /jaar) weekend]]+Ruimtestaat[[#This Row],[Prest. (m2 /jaar) werkdagen]]</f>
        <v>11600</v>
      </c>
      <c r="AM97" s="441">
        <f>Ruimtestaat[[#This Row],[uren / jaar weekend]]+Ruimtestaat[[#This Row],[uren / jaar werkdagen]]</f>
        <v>0</v>
      </c>
      <c r="AN97" s="446">
        <f>Ruimtestaat[[#This Row],[kosten / jaar weekend]]+Ruimtestaat[[#This Row],[kosten / jaar werkdagen]]</f>
        <v>0</v>
      </c>
      <c r="AO97" s="446"/>
      <c r="AP97" s="447" t="str">
        <f>IF(Ruimtestaat[[#This Row],[Frequentie werkdagen]]="","",_xlfn.CONCAT(Ruimtestaat[[#This Row],[Ruimte code]],"-",Ruimtestaat[[#This Row],[Frequentie werkdagen]]," ",Ruimtestaat[[#This Row],[Vloer code]]))</f>
        <v>16-5w L</v>
      </c>
      <c r="AQ97" s="448" t="str">
        <f>_xlfn.IFNA(VLOOKUP($AP97,Programma!$F$3:$G$1101,2,0),"")</f>
        <v>_</v>
      </c>
      <c r="AR97" s="448" t="str">
        <f>_xlfn.IFNA(VLOOKUP($AP97,Programma!$F$3:$H$1101,3,0),"")</f>
        <v>_</v>
      </c>
      <c r="AS97" s="448" t="str">
        <f>_xlfn.IFNA(VLOOKUP($AP97,Programma!$F$3:$I$1101,4,0),"")</f>
        <v>4w</v>
      </c>
      <c r="AT97" s="448" t="str">
        <f>_xlfn.IFNA(VLOOKUP($AP97,Programma!$F$3:$J$1101,5,0),"")</f>
        <v>1w</v>
      </c>
      <c r="AU97" s="448" t="str">
        <f>_xlfn.IFNA(VLOOKUP($AP97,Programma!$F$3:$K$1101,6,0),"")</f>
        <v>_</v>
      </c>
      <c r="AV97" s="448" t="str">
        <f>_xlfn.IFNA(VLOOKUP($AP97,Programma!$F$3:$L$1101,7,0),"")</f>
        <v>_</v>
      </c>
      <c r="AW97" s="448" t="str">
        <f>_xlfn.IFNA(VLOOKUP($AP97,Programma!$F$3:$M$1101,8,0),"")</f>
        <v>_</v>
      </c>
      <c r="AX97" s="448" t="str">
        <f>_xlfn.IFNA(VLOOKUP($AP97,Programma!$F$3:$N$1101,9,0),"")</f>
        <v>_</v>
      </c>
      <c r="AY97" s="448" t="str">
        <f>_xlfn.IFNA(VLOOKUP($AP97,Programma!$F$3:$O$1101,10,0),"")</f>
        <v>5w</v>
      </c>
      <c r="AZ97" s="448" t="str">
        <f>_xlfn.IFNA(VLOOKUP($AP97,Programma!$F$3:$P$1101,11,0),"")</f>
        <v>5w</v>
      </c>
      <c r="BA97" s="448" t="str">
        <f>_xlfn.IFNA(VLOOKUP($AP97,Programma!$F$3:$Q$1101,12,0),"")</f>
        <v>1w</v>
      </c>
      <c r="BB97" s="448" t="str">
        <f>_xlfn.IFNA(VLOOKUP($AP97,Programma!$F$3:$R$1101,13,0),"")</f>
        <v>1w</v>
      </c>
      <c r="BC97" s="448" t="str">
        <f>_xlfn.IFNA(VLOOKUP($AP97,Programma!$F$3:$S$1101,14,0),"")</f>
        <v>1m</v>
      </c>
      <c r="BD97" s="448" t="str">
        <f>_xlfn.IFNA(VLOOKUP($AP97,Programma!$F$3:$T$1101,15,0),"")</f>
        <v>2j</v>
      </c>
      <c r="BE97" s="448" t="str">
        <f>_xlfn.IFNA(VLOOKUP($AP97,Programma!$F$3:$U$1101,16,0),"")</f>
        <v>1j</v>
      </c>
      <c r="BF97" s="448" t="str">
        <f>_xlfn.IFNA(VLOOKUP($AP97,Programma!$F$3:$V$1101,17,0),"")</f>
        <v>_</v>
      </c>
      <c r="BG97" s="448" t="str">
        <f>_xlfn.IFNA(VLOOKUP($AP97,Programma!$F$3:$W$1101,18,0),"")</f>
        <v>_</v>
      </c>
      <c r="BH97" s="448" t="str">
        <f>_xlfn.IFNA(VLOOKUP($AP97,Programma!$F$3:$X$1101,19,0),"")</f>
        <v>_</v>
      </c>
      <c r="BI97" s="448" t="str">
        <f>_xlfn.IFNA(VLOOKUP($AP97,Programma!$F$3:$Y$1101,20,0),"")</f>
        <v>_</v>
      </c>
      <c r="BJ97" s="449"/>
      <c r="BK97" s="447" t="str">
        <f>IF(Ruimtestaat[[#This Row],[Frequentie weekend]]="","",_xlfn.CONCAT(Ruimtestaat[[#This Row],[Ruimte code]],"-",Ruimtestaat[[#This Row],[Frequentie weekend]]," ",Ruimtestaat[[#This Row],[Vloer code]]))</f>
        <v/>
      </c>
      <c r="BL97" s="448" t="str">
        <f>_xlfn.IFNA(VLOOKUP($BK97,Programma!$F$3:$G$1101,2,0),"")</f>
        <v/>
      </c>
      <c r="BM97" s="448" t="str">
        <f>_xlfn.IFNA(VLOOKUP($BK97,Programma!$F$3:$H$1101,3,0),"")</f>
        <v/>
      </c>
      <c r="BN97" s="448" t="str">
        <f>_xlfn.IFNA(VLOOKUP($BK97,Programma!$F$3:$I$1101,4,0),"")</f>
        <v/>
      </c>
      <c r="BO97" s="448" t="str">
        <f>_xlfn.IFNA(VLOOKUP($BK97,Programma!$F$3:$J$1101,5,0),"")</f>
        <v/>
      </c>
      <c r="BP97" s="448" t="str">
        <f>_xlfn.IFNA(VLOOKUP($BK97,Programma!$F$3:$K$1101,6,0),"")</f>
        <v/>
      </c>
      <c r="BQ97" s="448" t="str">
        <f>_xlfn.IFNA(VLOOKUP($BK97,Programma!$F$3:$L$1101,7,0),"")</f>
        <v/>
      </c>
      <c r="BR97" s="448" t="str">
        <f>_xlfn.IFNA(VLOOKUP($BK97,Programma!$F$3:$M$1101,8,0),"")</f>
        <v/>
      </c>
      <c r="BS97" s="448" t="str">
        <f>_xlfn.IFNA(VLOOKUP($BK97,Programma!$F$3:$N$1101,9,0),"")</f>
        <v/>
      </c>
      <c r="BT97" s="448" t="str">
        <f>_xlfn.IFNA(VLOOKUP($BK97,Programma!$F$3:$O$1101,10,0),"")</f>
        <v/>
      </c>
      <c r="BU97" s="448" t="str">
        <f>_xlfn.IFNA(VLOOKUP($BK97,Programma!$F$3:$P$1101,11,0),"")</f>
        <v/>
      </c>
      <c r="BV97" s="448" t="str">
        <f>_xlfn.IFNA(VLOOKUP($BK97,Programma!$F$3:$Q$1101,12,0),"")</f>
        <v/>
      </c>
      <c r="BW97" s="448" t="str">
        <f>_xlfn.IFNA(VLOOKUP($BK97,Programma!$F$3:$R$1101,13,0),"")</f>
        <v/>
      </c>
      <c r="BX97" s="448" t="str">
        <f>_xlfn.IFNA(VLOOKUP($BK97,Programma!$F$3:$S$1101,14,0),"")</f>
        <v/>
      </c>
      <c r="BY97" s="448" t="str">
        <f>_xlfn.IFNA(VLOOKUP($BK97,Programma!$F$3:$T$1101,15,0),"")</f>
        <v/>
      </c>
      <c r="BZ97" s="448" t="str">
        <f>_xlfn.IFNA(VLOOKUP($BK97,Programma!$F$3:$U$1101,16,0),"")</f>
        <v/>
      </c>
      <c r="CA97" s="448" t="str">
        <f>_xlfn.IFNA(VLOOKUP($BK97,Programma!$F$3:$V$1101,17,0),"")</f>
        <v/>
      </c>
      <c r="CB97" s="448" t="str">
        <f>_xlfn.IFNA(VLOOKUP($BK97,Programma!$F$3:$W$1101,18,0),"")</f>
        <v/>
      </c>
      <c r="CC97" s="448" t="str">
        <f>_xlfn.IFNA(VLOOKUP($BK97,Programma!$F$3:$X$1101,19,0),"")</f>
        <v/>
      </c>
      <c r="CD97" s="448" t="str">
        <f>_xlfn.IFNA(VLOOKUP($BK97,Programma!$F$3:$Y$1101,20,0),"")</f>
        <v/>
      </c>
      <c r="CE97" s="327"/>
      <c r="CF97" s="327"/>
      <c r="CG97" s="327"/>
      <c r="CH97" s="327"/>
      <c r="CI97" s="327"/>
      <c r="CJ97" s="327"/>
      <c r="CK97" s="327"/>
      <c r="CL97" s="327"/>
      <c r="CM97" s="327"/>
      <c r="CN97" s="327"/>
      <c r="CO97" s="327"/>
      <c r="CP97" s="327"/>
      <c r="CQ97" s="327"/>
      <c r="CR97" s="327"/>
      <c r="CS97" s="327"/>
      <c r="CT97" s="327"/>
      <c r="CU97" s="327"/>
      <c r="CV97" s="327"/>
      <c r="CW97" s="327"/>
      <c r="CX97" s="327"/>
      <c r="CY97" s="327"/>
      <c r="CZ97" s="327"/>
      <c r="DA97" s="327"/>
      <c r="DB97" s="327"/>
      <c r="DC97" s="327"/>
      <c r="DD97" s="327"/>
      <c r="DE97" s="327"/>
      <c r="DF97" s="327"/>
      <c r="DG97" s="327"/>
      <c r="DH97" s="327"/>
      <c r="DI97" s="327"/>
      <c r="DJ97" s="327"/>
      <c r="DK97" s="327"/>
      <c r="DL97" s="327"/>
      <c r="DM97" s="327"/>
      <c r="DN97" s="327"/>
      <c r="DO97" s="327"/>
      <c r="DP97" s="327"/>
      <c r="DQ97" s="327"/>
      <c r="DR97" s="327"/>
      <c r="DS97" s="327"/>
      <c r="DT97" s="327"/>
      <c r="DU97" s="327"/>
      <c r="DV97" s="327"/>
      <c r="DW97" s="327"/>
      <c r="DX97" s="327"/>
      <c r="DY97" s="327"/>
      <c r="DZ97" s="327"/>
      <c r="EA97" s="327"/>
      <c r="EB97" s="327"/>
      <c r="EC97" s="327"/>
      <c r="ED97" s="327"/>
      <c r="EE97" s="327"/>
      <c r="EF97" s="327"/>
      <c r="EG97" s="327"/>
      <c r="EH97" s="327"/>
      <c r="EI97" s="327"/>
      <c r="EJ97" s="327"/>
      <c r="EK97" s="327"/>
      <c r="EL97" s="327"/>
      <c r="EM97" s="327"/>
      <c r="EN97" s="327"/>
      <c r="EO97" s="327"/>
      <c r="EP97" s="327"/>
      <c r="EQ97" s="327"/>
      <c r="ER97" s="327"/>
      <c r="ES97" s="327"/>
      <c r="ET97" s="327"/>
      <c r="EU97" s="327"/>
      <c r="EV97" s="327"/>
      <c r="EW97" s="327"/>
      <c r="EX97" s="327"/>
      <c r="EY97" s="327"/>
      <c r="EZ97" s="327"/>
      <c r="FA97" s="327"/>
      <c r="FB97" s="327"/>
      <c r="FC97" s="327"/>
      <c r="FD97" s="327"/>
      <c r="FE97" s="327"/>
      <c r="FF97" s="327"/>
      <c r="FG97" s="327"/>
      <c r="FH97" s="327"/>
      <c r="FI97" s="327"/>
      <c r="FJ97" s="327"/>
      <c r="FK97" s="327"/>
      <c r="FL97" s="327"/>
      <c r="FM97" s="327"/>
      <c r="FN97" s="327"/>
      <c r="FO97" s="327"/>
      <c r="FP97" s="327"/>
      <c r="FQ97" s="327"/>
      <c r="FR97" s="327"/>
      <c r="FS97" s="327"/>
      <c r="FT97" s="327"/>
      <c r="FU97" s="327"/>
      <c r="FV97" s="327"/>
      <c r="FW97" s="327"/>
      <c r="FX97" s="327"/>
      <c r="FY97" s="327"/>
      <c r="FZ97" s="327"/>
      <c r="GA97" s="327"/>
      <c r="GB97" s="327"/>
      <c r="GC97" s="327"/>
      <c r="GD97" s="327"/>
      <c r="GE97" s="327"/>
      <c r="GF97" s="327"/>
      <c r="GG97" s="327"/>
      <c r="GH97" s="327"/>
      <c r="GI97" s="327"/>
      <c r="GJ97" s="327"/>
      <c r="GK97" s="327"/>
      <c r="GL97" s="327"/>
      <c r="GM97" s="327"/>
      <c r="GN97" s="327"/>
      <c r="GO97" s="327"/>
      <c r="GP97" s="327"/>
      <c r="GQ97" s="327"/>
      <c r="GR97" s="327"/>
      <c r="GS97" s="327"/>
      <c r="GT97" s="327"/>
      <c r="GU97" s="327"/>
      <c r="GV97" s="327"/>
      <c r="GW97" s="327"/>
      <c r="GX97" s="327"/>
      <c r="GY97" s="327"/>
      <c r="GZ97" s="327"/>
      <c r="HA97" s="327"/>
      <c r="HB97" s="327"/>
      <c r="HC97" s="327"/>
      <c r="HD97" s="327"/>
      <c r="HE97" s="327"/>
      <c r="HF97" s="327"/>
      <c r="HG97" s="327"/>
      <c r="HH97" s="327"/>
      <c r="HI97" s="327"/>
      <c r="HJ97" s="327"/>
      <c r="HK97" s="327"/>
      <c r="HL97" s="327"/>
      <c r="HM97" s="327"/>
      <c r="HN97" s="327"/>
      <c r="HO97" s="327"/>
      <c r="HP97" s="327"/>
      <c r="HQ97" s="327"/>
      <c r="HR97" s="327"/>
      <c r="HS97" s="327"/>
    </row>
    <row r="98" spans="1:227" ht="15" customHeight="1">
      <c r="A98" s="330">
        <v>5</v>
      </c>
      <c r="B98" s="435" t="str">
        <f>VLOOKUP(Ruimtestaat[[#This Row],[Code]],Locaties[[Code]:[Locatie]],2,FALSE)</f>
        <v>IKC De Springplank</v>
      </c>
      <c r="C98" s="435" t="str">
        <f>VLOOKUP(Ruimtestaat[[#This Row],[Code]],Locaties[[#All],[Code]:[Adres]],4,FALSE)</f>
        <v>Irisvaart 6-8</v>
      </c>
      <c r="D98" s="435" t="str">
        <f>VLOOKUP(Ruimtestaat[[#This Row],[Code]],Locaties[[#All],[Code]:[Postcode]],5,FALSE)</f>
        <v>2724 TT</v>
      </c>
      <c r="E98" s="435" t="str">
        <f>VLOOKUP(Ruimtestaat[[#This Row],[Code]],Locaties[#All],6,FALSE)</f>
        <v>Zoetermeer</v>
      </c>
      <c r="F98" s="434"/>
      <c r="G98" s="434" t="s">
        <v>1678</v>
      </c>
      <c r="H98" s="436" t="s">
        <v>1682</v>
      </c>
      <c r="I98" s="437" t="s">
        <v>1679</v>
      </c>
      <c r="J98" s="330">
        <v>16</v>
      </c>
      <c r="K98" s="450" t="str">
        <f>VLOOKUP(Ruimtestaat[[#This Row],[Ruimte code]],Ruimtegroepen[[#All],[Code]:[Ruimte omschrijving]],2,FALSE)</f>
        <v>Leslokalen</v>
      </c>
      <c r="L98" s="434" t="s">
        <v>100</v>
      </c>
      <c r="M98" s="437" t="s">
        <v>1759</v>
      </c>
      <c r="N98" s="439">
        <v>58</v>
      </c>
      <c r="O98" s="439"/>
      <c r="P98" s="439"/>
      <c r="Q98" s="439"/>
      <c r="R98" s="440" t="str">
        <f>VLOOKUP(Ruimtestaat[[#This Row],[Ruimte code]],Ruimtegroepen[],4,FALSE)</f>
        <v>Le</v>
      </c>
      <c r="S98" s="434">
        <v>40</v>
      </c>
      <c r="T98" s="434" t="s">
        <v>2</v>
      </c>
      <c r="U98" s="434">
        <f>IF(S98&gt;0,IF(RIGHT(Ruimtestaat[[#This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 s="434">
        <f>IF(U98&gt;0,VLOOKUP($J98,Ruimtegroepen[],3,FALSE)*VLOOKUP($L98,Vloersoorten[],3,FALSE)*VLOOKUP($T98,Frequenties[],3,FALSE)*VLOOKUP($A98,Locaties[],3,FALSE),0)</f>
        <v>0</v>
      </c>
      <c r="W98" s="434">
        <f>Ruimtestaat[[#This Row],[Uitvoeringen werkdagen]]*Ruimtestaat[[#This Row],[Oppervlak (netto)]]</f>
        <v>11600</v>
      </c>
      <c r="X98" s="441">
        <f>IF(V98&gt;0,Ruimtestaat[[#This Row],[Prest. (m2 /jaar) werkdagen]]/Ruimtestaat[[#This Row],[Norm (m2/uur) werkdagen]],0)</f>
        <v>0</v>
      </c>
      <c r="Y98" s="442">
        <f>Ruimtestaat[[#This Row],[Uitvoeringen werkdagen]]*Ruimtestaat[[#This Row],[Gedeeltelijk]]</f>
        <v>0</v>
      </c>
      <c r="Z98" s="443" t="e">
        <f>IF(U98&gt;0,Ruimtestaat[[#This Row],[Prest. (m2 / jaar) werkdagen gedeeld]]/Ruimtestaat[[#This Row],[Norm (m2/uur) werkdagen]],0)</f>
        <v>#DIV/0!</v>
      </c>
      <c r="AA98" s="441" t="e">
        <f>Ruimtestaat[[#This Row],[uren / jaar werkdagen gedeeld]]*Tariefsopbouw!$E$35</f>
        <v>#DIV/0!</v>
      </c>
      <c r="AB98" s="441">
        <f>Ruimtestaat[[#This Row],[Uitvoeringen werkdagen]]*Ruimtestaat[[#This Row],[BSO]]</f>
        <v>0</v>
      </c>
      <c r="AC98" s="443" t="e">
        <f>IF(U98&gt;0,Ruimtestaat[[#This Row],[Prest. (m2 / jaar) werkdagen BSO]]/Ruimtestaat[[#This Row],[Norm (m2/uur) werkdagen]],0)</f>
        <v>#DIV/0!</v>
      </c>
      <c r="AD98" s="443" t="e">
        <f>Ruimtestaat[[#This Row],[uren / jaar werkdagen BSO]]*Tariefsopbouw!$E$35</f>
        <v>#DIV/0!</v>
      </c>
      <c r="AE98" s="444">
        <f>Ruimtestaat[[#This Row],[uren / jaar werkdagen]]*Tariefsopbouw!$E$35</f>
        <v>0</v>
      </c>
      <c r="AF98" s="434"/>
      <c r="AG98" s="434">
        <f>IF(Ruimtestaat[[#This Row],[Frequentie weekend]]&gt;0,VALUE(LEFT(AF98,1))*S98,0)</f>
        <v>0</v>
      </c>
      <c r="AH98" s="445">
        <f>IF($AG98&gt;0,VLOOKUP($J98,Ruimtegroepen[],3,FALSE)*VLOOKUP($L98,Vloersoorten[],3,FALSE)*VLOOKUP($AF98,Frequenties[],3,FALSE)*VLOOKUP(Ruimtestaat[[#This Row],[Code]],Locaties[],3,FALSE),0)</f>
        <v>0</v>
      </c>
      <c r="AI98" s="445">
        <f>Ruimtestaat[[#This Row],[Uitvoeringen weekend]]*Ruimtestaat[[#This Row],[Oppervlak (netto)]]</f>
        <v>0</v>
      </c>
      <c r="AJ98" s="445">
        <f>IF(AH98&gt;0,Ruimtestaat[[#This Row],[Prest. (m2 /jaar) weekend]]/Ruimtestaat[[#This Row],[Norm (m2/uur) weekend]],0)</f>
        <v>0</v>
      </c>
      <c r="AK98" s="444">
        <f>Ruimtestaat[[#This Row],[uren / jaar weekend]]*Tariefsopbouw!$D$40</f>
        <v>0</v>
      </c>
      <c r="AL98" s="441">
        <f>Ruimtestaat[[#This Row],[Prest. (m2 /jaar) weekend]]+Ruimtestaat[[#This Row],[Prest. (m2 /jaar) werkdagen]]</f>
        <v>11600</v>
      </c>
      <c r="AM98" s="441">
        <f>Ruimtestaat[[#This Row],[uren / jaar weekend]]+Ruimtestaat[[#This Row],[uren / jaar werkdagen]]</f>
        <v>0</v>
      </c>
      <c r="AN98" s="446">
        <f>Ruimtestaat[[#This Row],[kosten / jaar weekend]]+Ruimtestaat[[#This Row],[kosten / jaar werkdagen]]</f>
        <v>0</v>
      </c>
      <c r="AO98" s="446"/>
      <c r="AP98" s="447" t="str">
        <f>IF(Ruimtestaat[[#This Row],[Frequentie werkdagen]]="","",_xlfn.CONCAT(Ruimtestaat[[#This Row],[Ruimte code]],"-",Ruimtestaat[[#This Row],[Frequentie werkdagen]]," ",Ruimtestaat[[#This Row],[Vloer code]]))</f>
        <v>16-5w L</v>
      </c>
      <c r="AQ98" s="448" t="str">
        <f>_xlfn.IFNA(VLOOKUP($AP98,Programma!$F$3:$G$1101,2,0),"")</f>
        <v>_</v>
      </c>
      <c r="AR98" s="448" t="str">
        <f>_xlfn.IFNA(VLOOKUP($AP98,Programma!$F$3:$H$1101,3,0),"")</f>
        <v>_</v>
      </c>
      <c r="AS98" s="448" t="str">
        <f>_xlfn.IFNA(VLOOKUP($AP98,Programma!$F$3:$I$1101,4,0),"")</f>
        <v>4w</v>
      </c>
      <c r="AT98" s="448" t="str">
        <f>_xlfn.IFNA(VLOOKUP($AP98,Programma!$F$3:$J$1101,5,0),"")</f>
        <v>1w</v>
      </c>
      <c r="AU98" s="448" t="str">
        <f>_xlfn.IFNA(VLOOKUP($AP98,Programma!$F$3:$K$1101,6,0),"")</f>
        <v>_</v>
      </c>
      <c r="AV98" s="448" t="str">
        <f>_xlfn.IFNA(VLOOKUP($AP98,Programma!$F$3:$L$1101,7,0),"")</f>
        <v>_</v>
      </c>
      <c r="AW98" s="448" t="str">
        <f>_xlfn.IFNA(VLOOKUP($AP98,Programma!$F$3:$M$1101,8,0),"")</f>
        <v>_</v>
      </c>
      <c r="AX98" s="448" t="str">
        <f>_xlfn.IFNA(VLOOKUP($AP98,Programma!$F$3:$N$1101,9,0),"")</f>
        <v>_</v>
      </c>
      <c r="AY98" s="448" t="str">
        <f>_xlfn.IFNA(VLOOKUP($AP98,Programma!$F$3:$O$1101,10,0),"")</f>
        <v>5w</v>
      </c>
      <c r="AZ98" s="448" t="str">
        <f>_xlfn.IFNA(VLOOKUP($AP98,Programma!$F$3:$P$1101,11,0),"")</f>
        <v>5w</v>
      </c>
      <c r="BA98" s="448" t="str">
        <f>_xlfn.IFNA(VLOOKUP($AP98,Programma!$F$3:$Q$1101,12,0),"")</f>
        <v>1w</v>
      </c>
      <c r="BB98" s="448" t="str">
        <f>_xlfn.IFNA(VLOOKUP($AP98,Programma!$F$3:$R$1101,13,0),"")</f>
        <v>1w</v>
      </c>
      <c r="BC98" s="448" t="str">
        <f>_xlfn.IFNA(VLOOKUP($AP98,Programma!$F$3:$S$1101,14,0),"")</f>
        <v>1m</v>
      </c>
      <c r="BD98" s="448" t="str">
        <f>_xlfn.IFNA(VLOOKUP($AP98,Programma!$F$3:$T$1101,15,0),"")</f>
        <v>2j</v>
      </c>
      <c r="BE98" s="448" t="str">
        <f>_xlfn.IFNA(VLOOKUP($AP98,Programma!$F$3:$U$1101,16,0),"")</f>
        <v>1j</v>
      </c>
      <c r="BF98" s="448" t="str">
        <f>_xlfn.IFNA(VLOOKUP($AP98,Programma!$F$3:$V$1101,17,0),"")</f>
        <v>_</v>
      </c>
      <c r="BG98" s="448" t="str">
        <f>_xlfn.IFNA(VLOOKUP($AP98,Programma!$F$3:$W$1101,18,0),"")</f>
        <v>_</v>
      </c>
      <c r="BH98" s="448" t="str">
        <f>_xlfn.IFNA(VLOOKUP($AP98,Programma!$F$3:$X$1101,19,0),"")</f>
        <v>_</v>
      </c>
      <c r="BI98" s="448" t="str">
        <f>_xlfn.IFNA(VLOOKUP($AP98,Programma!$F$3:$Y$1101,20,0),"")</f>
        <v>_</v>
      </c>
      <c r="BJ98" s="449"/>
      <c r="BK98" s="447" t="str">
        <f>IF(Ruimtestaat[[#This Row],[Frequentie weekend]]="","",_xlfn.CONCAT(Ruimtestaat[[#This Row],[Ruimte code]],"-",Ruimtestaat[[#This Row],[Frequentie weekend]]," ",Ruimtestaat[[#This Row],[Vloer code]]))</f>
        <v/>
      </c>
      <c r="BL98" s="448" t="str">
        <f>_xlfn.IFNA(VLOOKUP($BK98,Programma!$F$3:$G$1101,2,0),"")</f>
        <v/>
      </c>
      <c r="BM98" s="448" t="str">
        <f>_xlfn.IFNA(VLOOKUP($BK98,Programma!$F$3:$H$1101,3,0),"")</f>
        <v/>
      </c>
      <c r="BN98" s="448" t="str">
        <f>_xlfn.IFNA(VLOOKUP($BK98,Programma!$F$3:$I$1101,4,0),"")</f>
        <v/>
      </c>
      <c r="BO98" s="448" t="str">
        <f>_xlfn.IFNA(VLOOKUP($BK98,Programma!$F$3:$J$1101,5,0),"")</f>
        <v/>
      </c>
      <c r="BP98" s="448" t="str">
        <f>_xlfn.IFNA(VLOOKUP($BK98,Programma!$F$3:$K$1101,6,0),"")</f>
        <v/>
      </c>
      <c r="BQ98" s="448" t="str">
        <f>_xlfn.IFNA(VLOOKUP($BK98,Programma!$F$3:$L$1101,7,0),"")</f>
        <v/>
      </c>
      <c r="BR98" s="448" t="str">
        <f>_xlfn.IFNA(VLOOKUP($BK98,Programma!$F$3:$M$1101,8,0),"")</f>
        <v/>
      </c>
      <c r="BS98" s="448" t="str">
        <f>_xlfn.IFNA(VLOOKUP($BK98,Programma!$F$3:$N$1101,9,0),"")</f>
        <v/>
      </c>
      <c r="BT98" s="448" t="str">
        <f>_xlfn.IFNA(VLOOKUP($BK98,Programma!$F$3:$O$1101,10,0),"")</f>
        <v/>
      </c>
      <c r="BU98" s="448" t="str">
        <f>_xlfn.IFNA(VLOOKUP($BK98,Programma!$F$3:$P$1101,11,0),"")</f>
        <v/>
      </c>
      <c r="BV98" s="448" t="str">
        <f>_xlfn.IFNA(VLOOKUP($BK98,Programma!$F$3:$Q$1101,12,0),"")</f>
        <v/>
      </c>
      <c r="BW98" s="448" t="str">
        <f>_xlfn.IFNA(VLOOKUP($BK98,Programma!$F$3:$R$1101,13,0),"")</f>
        <v/>
      </c>
      <c r="BX98" s="448" t="str">
        <f>_xlfn.IFNA(VLOOKUP($BK98,Programma!$F$3:$S$1101,14,0),"")</f>
        <v/>
      </c>
      <c r="BY98" s="448" t="str">
        <f>_xlfn.IFNA(VLOOKUP($BK98,Programma!$F$3:$T$1101,15,0),"")</f>
        <v/>
      </c>
      <c r="BZ98" s="448" t="str">
        <f>_xlfn.IFNA(VLOOKUP($BK98,Programma!$F$3:$U$1101,16,0),"")</f>
        <v/>
      </c>
      <c r="CA98" s="448" t="str">
        <f>_xlfn.IFNA(VLOOKUP($BK98,Programma!$F$3:$V$1101,17,0),"")</f>
        <v/>
      </c>
      <c r="CB98" s="448" t="str">
        <f>_xlfn.IFNA(VLOOKUP($BK98,Programma!$F$3:$W$1101,18,0),"")</f>
        <v/>
      </c>
      <c r="CC98" s="448" t="str">
        <f>_xlfn.IFNA(VLOOKUP($BK98,Programma!$F$3:$X$1101,19,0),"")</f>
        <v/>
      </c>
      <c r="CD98" s="448" t="str">
        <f>_xlfn.IFNA(VLOOKUP($BK98,Programma!$F$3:$Y$1101,20,0),"")</f>
        <v/>
      </c>
      <c r="CE98" s="327"/>
      <c r="CF98" s="327"/>
      <c r="CG98" s="327"/>
      <c r="CH98" s="327"/>
      <c r="CI98" s="327"/>
      <c r="CJ98" s="327"/>
      <c r="CK98" s="327"/>
      <c r="CL98" s="327"/>
      <c r="CM98" s="327"/>
      <c r="CN98" s="327"/>
      <c r="CO98" s="327"/>
      <c r="CP98" s="327"/>
      <c r="CQ98" s="327"/>
      <c r="CR98" s="327"/>
      <c r="CS98" s="327"/>
      <c r="CT98" s="327"/>
      <c r="CU98" s="327"/>
      <c r="CV98" s="327"/>
      <c r="CW98" s="327"/>
      <c r="CX98" s="327"/>
      <c r="CY98" s="327"/>
      <c r="CZ98" s="327"/>
      <c r="DA98" s="327"/>
      <c r="DB98" s="327"/>
      <c r="DC98" s="327"/>
      <c r="DD98" s="327"/>
      <c r="DE98" s="327"/>
      <c r="DF98" s="327"/>
      <c r="DG98" s="327"/>
      <c r="DH98" s="327"/>
      <c r="DI98" s="327"/>
      <c r="DJ98" s="327"/>
      <c r="DK98" s="327"/>
      <c r="DL98" s="327"/>
      <c r="DM98" s="327"/>
      <c r="DN98" s="327"/>
      <c r="DO98" s="327"/>
      <c r="DP98" s="327"/>
      <c r="DQ98" s="327"/>
      <c r="DR98" s="327"/>
      <c r="DS98" s="327"/>
      <c r="DT98" s="327"/>
      <c r="DU98" s="327"/>
      <c r="DV98" s="327"/>
      <c r="DW98" s="327"/>
      <c r="DX98" s="327"/>
      <c r="DY98" s="327"/>
      <c r="DZ98" s="327"/>
      <c r="EA98" s="327"/>
      <c r="EB98" s="327"/>
      <c r="EC98" s="327"/>
      <c r="ED98" s="327"/>
      <c r="EE98" s="327"/>
      <c r="EF98" s="327"/>
      <c r="EG98" s="327"/>
      <c r="EH98" s="327"/>
      <c r="EI98" s="327"/>
      <c r="EJ98" s="327"/>
      <c r="EK98" s="327"/>
      <c r="EL98" s="327"/>
      <c r="EM98" s="327"/>
      <c r="EN98" s="327"/>
      <c r="EO98" s="327"/>
      <c r="EP98" s="327"/>
      <c r="EQ98" s="327"/>
      <c r="ER98" s="327"/>
      <c r="ES98" s="327"/>
      <c r="ET98" s="327"/>
      <c r="EU98" s="327"/>
      <c r="EV98" s="327"/>
      <c r="EW98" s="327"/>
      <c r="EX98" s="327"/>
      <c r="EY98" s="327"/>
      <c r="EZ98" s="327"/>
      <c r="FA98" s="327"/>
      <c r="FB98" s="327"/>
      <c r="FC98" s="327"/>
      <c r="FD98" s="327"/>
      <c r="FE98" s="327"/>
      <c r="FF98" s="327"/>
      <c r="FG98" s="327"/>
      <c r="FH98" s="327"/>
      <c r="FI98" s="327"/>
      <c r="FJ98" s="327"/>
      <c r="FK98" s="327"/>
      <c r="FL98" s="327"/>
      <c r="FM98" s="327"/>
      <c r="FN98" s="327"/>
      <c r="FO98" s="327"/>
      <c r="FP98" s="327"/>
      <c r="FQ98" s="327"/>
      <c r="FR98" s="327"/>
      <c r="FS98" s="327"/>
      <c r="FT98" s="327"/>
      <c r="FU98" s="327"/>
      <c r="FV98" s="327"/>
      <c r="FW98" s="327"/>
      <c r="FX98" s="327"/>
      <c r="FY98" s="327"/>
      <c r="FZ98" s="327"/>
      <c r="GA98" s="327"/>
      <c r="GB98" s="327"/>
      <c r="GC98" s="327"/>
      <c r="GD98" s="327"/>
      <c r="GE98" s="327"/>
      <c r="GF98" s="327"/>
      <c r="GG98" s="327"/>
      <c r="GH98" s="327"/>
      <c r="GI98" s="327"/>
      <c r="GJ98" s="327"/>
      <c r="GK98" s="327"/>
      <c r="GL98" s="327"/>
      <c r="GM98" s="327"/>
      <c r="GN98" s="327"/>
      <c r="GO98" s="327"/>
      <c r="GP98" s="327"/>
      <c r="GQ98" s="327"/>
      <c r="GR98" s="327"/>
      <c r="GS98" s="327"/>
      <c r="GT98" s="327"/>
      <c r="GU98" s="327"/>
      <c r="GV98" s="327"/>
      <c r="GW98" s="327"/>
      <c r="GX98" s="327"/>
      <c r="GY98" s="327"/>
      <c r="GZ98" s="327"/>
      <c r="HA98" s="327"/>
      <c r="HB98" s="327"/>
      <c r="HC98" s="327"/>
      <c r="HD98" s="327"/>
      <c r="HE98" s="327"/>
      <c r="HF98" s="327"/>
      <c r="HG98" s="327"/>
      <c r="HH98" s="327"/>
      <c r="HI98" s="327"/>
      <c r="HJ98" s="327"/>
      <c r="HK98" s="327"/>
      <c r="HL98" s="327"/>
      <c r="HM98" s="327"/>
      <c r="HN98" s="327"/>
      <c r="HO98" s="327"/>
      <c r="HP98" s="327"/>
      <c r="HQ98" s="327"/>
      <c r="HR98" s="327"/>
      <c r="HS98" s="327"/>
    </row>
    <row r="99" spans="1:227" ht="15" customHeight="1">
      <c r="A99" s="330">
        <v>5</v>
      </c>
      <c r="B99" s="435" t="str">
        <f>VLOOKUP(Ruimtestaat[[#This Row],[Code]],Locaties[[Code]:[Locatie]],2,FALSE)</f>
        <v>IKC De Springplank</v>
      </c>
      <c r="C99" s="435" t="str">
        <f>VLOOKUP(Ruimtestaat[[#This Row],[Code]],Locaties[[#All],[Code]:[Adres]],4,FALSE)</f>
        <v>Irisvaart 6-8</v>
      </c>
      <c r="D99" s="435" t="str">
        <f>VLOOKUP(Ruimtestaat[[#This Row],[Code]],Locaties[[#All],[Code]:[Postcode]],5,FALSE)</f>
        <v>2724 TT</v>
      </c>
      <c r="E99" s="435" t="str">
        <f>VLOOKUP(Ruimtestaat[[#This Row],[Code]],Locaties[#All],6,FALSE)</f>
        <v>Zoetermeer</v>
      </c>
      <c r="F99" s="434"/>
      <c r="G99" s="434" t="s">
        <v>1678</v>
      </c>
      <c r="H99" s="436" t="s">
        <v>1683</v>
      </c>
      <c r="I99" s="437" t="s">
        <v>1679</v>
      </c>
      <c r="J99" s="330">
        <v>16</v>
      </c>
      <c r="K99" s="450" t="str">
        <f>VLOOKUP(Ruimtestaat[[#This Row],[Ruimte code]],Ruimtegroepen[[#All],[Code]:[Ruimte omschrijving]],2,FALSE)</f>
        <v>Leslokalen</v>
      </c>
      <c r="L99" s="434" t="s">
        <v>100</v>
      </c>
      <c r="M99" s="437" t="s">
        <v>1759</v>
      </c>
      <c r="N99" s="439">
        <v>58</v>
      </c>
      <c r="O99" s="439"/>
      <c r="P99" s="439"/>
      <c r="Q99" s="439"/>
      <c r="R99" s="440" t="str">
        <f>VLOOKUP(Ruimtestaat[[#This Row],[Ruimte code]],Ruimtegroepen[],4,FALSE)</f>
        <v>Le</v>
      </c>
      <c r="S99" s="434">
        <v>40</v>
      </c>
      <c r="T99" s="434" t="s">
        <v>2</v>
      </c>
      <c r="U99" s="434">
        <f>IF(S99&gt;0,IF(RIGHT(Ruimtestaat[[#This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 s="434">
        <f>IF(U99&gt;0,VLOOKUP($J99,Ruimtegroepen[],3,FALSE)*VLOOKUP($L99,Vloersoorten[],3,FALSE)*VLOOKUP($T99,Frequenties[],3,FALSE)*VLOOKUP($A99,Locaties[],3,FALSE),0)</f>
        <v>0</v>
      </c>
      <c r="W99" s="434">
        <f>Ruimtestaat[[#This Row],[Uitvoeringen werkdagen]]*Ruimtestaat[[#This Row],[Oppervlak (netto)]]</f>
        <v>11600</v>
      </c>
      <c r="X99" s="441">
        <f>IF(V99&gt;0,Ruimtestaat[[#This Row],[Prest. (m2 /jaar) werkdagen]]/Ruimtestaat[[#This Row],[Norm (m2/uur) werkdagen]],0)</f>
        <v>0</v>
      </c>
      <c r="Y99" s="442">
        <f>Ruimtestaat[[#This Row],[Uitvoeringen werkdagen]]*Ruimtestaat[[#This Row],[Gedeeltelijk]]</f>
        <v>0</v>
      </c>
      <c r="Z99" s="443" t="e">
        <f>IF(U99&gt;0,Ruimtestaat[[#This Row],[Prest. (m2 / jaar) werkdagen gedeeld]]/Ruimtestaat[[#This Row],[Norm (m2/uur) werkdagen]],0)</f>
        <v>#DIV/0!</v>
      </c>
      <c r="AA99" s="441" t="e">
        <f>Ruimtestaat[[#This Row],[uren / jaar werkdagen gedeeld]]*Tariefsopbouw!$E$35</f>
        <v>#DIV/0!</v>
      </c>
      <c r="AB99" s="441">
        <f>Ruimtestaat[[#This Row],[Uitvoeringen werkdagen]]*Ruimtestaat[[#This Row],[BSO]]</f>
        <v>0</v>
      </c>
      <c r="AC99" s="443" t="e">
        <f>IF(U99&gt;0,Ruimtestaat[[#This Row],[Prest. (m2 / jaar) werkdagen BSO]]/Ruimtestaat[[#This Row],[Norm (m2/uur) werkdagen]],0)</f>
        <v>#DIV/0!</v>
      </c>
      <c r="AD99" s="443" t="e">
        <f>Ruimtestaat[[#This Row],[uren / jaar werkdagen BSO]]*Tariefsopbouw!$E$35</f>
        <v>#DIV/0!</v>
      </c>
      <c r="AE99" s="444">
        <f>Ruimtestaat[[#This Row],[uren / jaar werkdagen]]*Tariefsopbouw!$E$35</f>
        <v>0</v>
      </c>
      <c r="AF99" s="434"/>
      <c r="AG99" s="434">
        <f>IF(Ruimtestaat[[#This Row],[Frequentie weekend]]&gt;0,VALUE(LEFT(AF99,1))*S99,0)</f>
        <v>0</v>
      </c>
      <c r="AH99" s="445">
        <f>IF($AG99&gt;0,VLOOKUP($J99,Ruimtegroepen[],3,FALSE)*VLOOKUP($L99,Vloersoorten[],3,FALSE)*VLOOKUP($AF99,Frequenties[],3,FALSE)*VLOOKUP(Ruimtestaat[[#This Row],[Code]],Locaties[],3,FALSE),0)</f>
        <v>0</v>
      </c>
      <c r="AI99" s="445">
        <f>Ruimtestaat[[#This Row],[Uitvoeringen weekend]]*Ruimtestaat[[#This Row],[Oppervlak (netto)]]</f>
        <v>0</v>
      </c>
      <c r="AJ99" s="445">
        <f>IF(AH99&gt;0,Ruimtestaat[[#This Row],[Prest. (m2 /jaar) weekend]]/Ruimtestaat[[#This Row],[Norm (m2/uur) weekend]],0)</f>
        <v>0</v>
      </c>
      <c r="AK99" s="444">
        <f>Ruimtestaat[[#This Row],[uren / jaar weekend]]*Tariefsopbouw!$D$40</f>
        <v>0</v>
      </c>
      <c r="AL99" s="441">
        <f>Ruimtestaat[[#This Row],[Prest. (m2 /jaar) weekend]]+Ruimtestaat[[#This Row],[Prest. (m2 /jaar) werkdagen]]</f>
        <v>11600</v>
      </c>
      <c r="AM99" s="441">
        <f>Ruimtestaat[[#This Row],[uren / jaar weekend]]+Ruimtestaat[[#This Row],[uren / jaar werkdagen]]</f>
        <v>0</v>
      </c>
      <c r="AN99" s="446">
        <f>Ruimtestaat[[#This Row],[kosten / jaar weekend]]+Ruimtestaat[[#This Row],[kosten / jaar werkdagen]]</f>
        <v>0</v>
      </c>
      <c r="AO99" s="446"/>
      <c r="AP99" s="447" t="str">
        <f>IF(Ruimtestaat[[#This Row],[Frequentie werkdagen]]="","",_xlfn.CONCAT(Ruimtestaat[[#This Row],[Ruimte code]],"-",Ruimtestaat[[#This Row],[Frequentie werkdagen]]," ",Ruimtestaat[[#This Row],[Vloer code]]))</f>
        <v>16-5w L</v>
      </c>
      <c r="AQ99" s="448" t="str">
        <f>_xlfn.IFNA(VLOOKUP($AP99,Programma!$F$3:$G$1101,2,0),"")</f>
        <v>_</v>
      </c>
      <c r="AR99" s="448" t="str">
        <f>_xlfn.IFNA(VLOOKUP($AP99,Programma!$F$3:$H$1101,3,0),"")</f>
        <v>_</v>
      </c>
      <c r="AS99" s="448" t="str">
        <f>_xlfn.IFNA(VLOOKUP($AP99,Programma!$F$3:$I$1101,4,0),"")</f>
        <v>4w</v>
      </c>
      <c r="AT99" s="448" t="str">
        <f>_xlfn.IFNA(VLOOKUP($AP99,Programma!$F$3:$J$1101,5,0),"")</f>
        <v>1w</v>
      </c>
      <c r="AU99" s="448" t="str">
        <f>_xlfn.IFNA(VLOOKUP($AP99,Programma!$F$3:$K$1101,6,0),"")</f>
        <v>_</v>
      </c>
      <c r="AV99" s="448" t="str">
        <f>_xlfn.IFNA(VLOOKUP($AP99,Programma!$F$3:$L$1101,7,0),"")</f>
        <v>_</v>
      </c>
      <c r="AW99" s="448" t="str">
        <f>_xlfn.IFNA(VLOOKUP($AP99,Programma!$F$3:$M$1101,8,0),"")</f>
        <v>_</v>
      </c>
      <c r="AX99" s="448" t="str">
        <f>_xlfn.IFNA(VLOOKUP($AP99,Programma!$F$3:$N$1101,9,0),"")</f>
        <v>_</v>
      </c>
      <c r="AY99" s="448" t="str">
        <f>_xlfn.IFNA(VLOOKUP($AP99,Programma!$F$3:$O$1101,10,0),"")</f>
        <v>5w</v>
      </c>
      <c r="AZ99" s="448" t="str">
        <f>_xlfn.IFNA(VLOOKUP($AP99,Programma!$F$3:$P$1101,11,0),"")</f>
        <v>5w</v>
      </c>
      <c r="BA99" s="448" t="str">
        <f>_xlfn.IFNA(VLOOKUP($AP99,Programma!$F$3:$Q$1101,12,0),"")</f>
        <v>1w</v>
      </c>
      <c r="BB99" s="448" t="str">
        <f>_xlfn.IFNA(VLOOKUP($AP99,Programma!$F$3:$R$1101,13,0),"")</f>
        <v>1w</v>
      </c>
      <c r="BC99" s="448" t="str">
        <f>_xlfn.IFNA(VLOOKUP($AP99,Programma!$F$3:$S$1101,14,0),"")</f>
        <v>1m</v>
      </c>
      <c r="BD99" s="448" t="str">
        <f>_xlfn.IFNA(VLOOKUP($AP99,Programma!$F$3:$T$1101,15,0),"")</f>
        <v>2j</v>
      </c>
      <c r="BE99" s="448" t="str">
        <f>_xlfn.IFNA(VLOOKUP($AP99,Programma!$F$3:$U$1101,16,0),"")</f>
        <v>1j</v>
      </c>
      <c r="BF99" s="448" t="str">
        <f>_xlfn.IFNA(VLOOKUP($AP99,Programma!$F$3:$V$1101,17,0),"")</f>
        <v>_</v>
      </c>
      <c r="BG99" s="448" t="str">
        <f>_xlfn.IFNA(VLOOKUP($AP99,Programma!$F$3:$W$1101,18,0),"")</f>
        <v>_</v>
      </c>
      <c r="BH99" s="448" t="str">
        <f>_xlfn.IFNA(VLOOKUP($AP99,Programma!$F$3:$X$1101,19,0),"")</f>
        <v>_</v>
      </c>
      <c r="BI99" s="448" t="str">
        <f>_xlfn.IFNA(VLOOKUP($AP99,Programma!$F$3:$Y$1101,20,0),"")</f>
        <v>_</v>
      </c>
      <c r="BJ99" s="449"/>
      <c r="BK99" s="447" t="str">
        <f>IF(Ruimtestaat[[#This Row],[Frequentie weekend]]="","",_xlfn.CONCAT(Ruimtestaat[[#This Row],[Ruimte code]],"-",Ruimtestaat[[#This Row],[Frequentie weekend]]," ",Ruimtestaat[[#This Row],[Vloer code]]))</f>
        <v/>
      </c>
      <c r="BL99" s="448" t="str">
        <f>_xlfn.IFNA(VLOOKUP($BK99,Programma!$F$3:$G$1101,2,0),"")</f>
        <v/>
      </c>
      <c r="BM99" s="448" t="str">
        <f>_xlfn.IFNA(VLOOKUP($BK99,Programma!$F$3:$H$1101,3,0),"")</f>
        <v/>
      </c>
      <c r="BN99" s="448" t="str">
        <f>_xlfn.IFNA(VLOOKUP($BK99,Programma!$F$3:$I$1101,4,0),"")</f>
        <v/>
      </c>
      <c r="BO99" s="448" t="str">
        <f>_xlfn.IFNA(VLOOKUP($BK99,Programma!$F$3:$J$1101,5,0),"")</f>
        <v/>
      </c>
      <c r="BP99" s="448" t="str">
        <f>_xlfn.IFNA(VLOOKUP($BK99,Programma!$F$3:$K$1101,6,0),"")</f>
        <v/>
      </c>
      <c r="BQ99" s="448" t="str">
        <f>_xlfn.IFNA(VLOOKUP($BK99,Programma!$F$3:$L$1101,7,0),"")</f>
        <v/>
      </c>
      <c r="BR99" s="448" t="str">
        <f>_xlfn.IFNA(VLOOKUP($BK99,Programma!$F$3:$M$1101,8,0),"")</f>
        <v/>
      </c>
      <c r="BS99" s="448" t="str">
        <f>_xlfn.IFNA(VLOOKUP($BK99,Programma!$F$3:$N$1101,9,0),"")</f>
        <v/>
      </c>
      <c r="BT99" s="448" t="str">
        <f>_xlfn.IFNA(VLOOKUP($BK99,Programma!$F$3:$O$1101,10,0),"")</f>
        <v/>
      </c>
      <c r="BU99" s="448" t="str">
        <f>_xlfn.IFNA(VLOOKUP($BK99,Programma!$F$3:$P$1101,11,0),"")</f>
        <v/>
      </c>
      <c r="BV99" s="448" t="str">
        <f>_xlfn.IFNA(VLOOKUP($BK99,Programma!$F$3:$Q$1101,12,0),"")</f>
        <v/>
      </c>
      <c r="BW99" s="448" t="str">
        <f>_xlfn.IFNA(VLOOKUP($BK99,Programma!$F$3:$R$1101,13,0),"")</f>
        <v/>
      </c>
      <c r="BX99" s="448" t="str">
        <f>_xlfn.IFNA(VLOOKUP($BK99,Programma!$F$3:$S$1101,14,0),"")</f>
        <v/>
      </c>
      <c r="BY99" s="448" t="str">
        <f>_xlfn.IFNA(VLOOKUP($BK99,Programma!$F$3:$T$1101,15,0),"")</f>
        <v/>
      </c>
      <c r="BZ99" s="448" t="str">
        <f>_xlfn.IFNA(VLOOKUP($BK99,Programma!$F$3:$U$1101,16,0),"")</f>
        <v/>
      </c>
      <c r="CA99" s="448" t="str">
        <f>_xlfn.IFNA(VLOOKUP($BK99,Programma!$F$3:$V$1101,17,0),"")</f>
        <v/>
      </c>
      <c r="CB99" s="448" t="str">
        <f>_xlfn.IFNA(VLOOKUP($BK99,Programma!$F$3:$W$1101,18,0),"")</f>
        <v/>
      </c>
      <c r="CC99" s="448" t="str">
        <f>_xlfn.IFNA(VLOOKUP($BK99,Programma!$F$3:$X$1101,19,0),"")</f>
        <v/>
      </c>
      <c r="CD99" s="448" t="str">
        <f>_xlfn.IFNA(VLOOKUP($BK99,Programma!$F$3:$Y$1101,20,0),"")</f>
        <v/>
      </c>
      <c r="CE99" s="327"/>
      <c r="CF99" s="327"/>
      <c r="CG99" s="327"/>
      <c r="CH99" s="327"/>
      <c r="CI99" s="327"/>
      <c r="CJ99" s="327"/>
      <c r="CK99" s="327"/>
      <c r="CL99" s="327"/>
      <c r="CM99" s="327"/>
      <c r="CN99" s="327"/>
      <c r="CO99" s="327"/>
      <c r="CP99" s="327"/>
      <c r="CQ99" s="327"/>
      <c r="CR99" s="327"/>
      <c r="CS99" s="327"/>
      <c r="CT99" s="327"/>
      <c r="CU99" s="327"/>
      <c r="CV99" s="327"/>
      <c r="CW99" s="327"/>
      <c r="CX99" s="327"/>
      <c r="CY99" s="327"/>
      <c r="CZ99" s="327"/>
      <c r="DA99" s="327"/>
      <c r="DB99" s="327"/>
      <c r="DC99" s="327"/>
      <c r="DD99" s="327"/>
      <c r="DE99" s="327"/>
      <c r="DF99" s="327"/>
      <c r="DG99" s="327"/>
      <c r="DH99" s="327"/>
      <c r="DI99" s="327"/>
      <c r="DJ99" s="327"/>
      <c r="DK99" s="327"/>
      <c r="DL99" s="327"/>
      <c r="DM99" s="327"/>
      <c r="DN99" s="327"/>
      <c r="DO99" s="327"/>
      <c r="DP99" s="327"/>
      <c r="DQ99" s="327"/>
      <c r="DR99" s="327"/>
      <c r="DS99" s="327"/>
      <c r="DT99" s="327"/>
      <c r="DU99" s="327"/>
      <c r="DV99" s="327"/>
      <c r="DW99" s="327"/>
      <c r="DX99" s="327"/>
      <c r="DY99" s="327"/>
      <c r="DZ99" s="327"/>
      <c r="EA99" s="327"/>
      <c r="EB99" s="327"/>
      <c r="EC99" s="327"/>
      <c r="ED99" s="327"/>
      <c r="EE99" s="327"/>
      <c r="EF99" s="327"/>
      <c r="EG99" s="327"/>
      <c r="EH99" s="327"/>
      <c r="EI99" s="327"/>
      <c r="EJ99" s="327"/>
      <c r="EK99" s="327"/>
      <c r="EL99" s="327"/>
      <c r="EM99" s="327"/>
      <c r="EN99" s="327"/>
      <c r="EO99" s="327"/>
      <c r="EP99" s="327"/>
      <c r="EQ99" s="327"/>
      <c r="ER99" s="327"/>
      <c r="ES99" s="327"/>
      <c r="ET99" s="327"/>
      <c r="EU99" s="327"/>
      <c r="EV99" s="327"/>
      <c r="EW99" s="327"/>
      <c r="EX99" s="327"/>
      <c r="EY99" s="327"/>
      <c r="EZ99" s="327"/>
      <c r="FA99" s="327"/>
      <c r="FB99" s="327"/>
      <c r="FC99" s="327"/>
      <c r="FD99" s="327"/>
      <c r="FE99" s="327"/>
      <c r="FF99" s="327"/>
      <c r="FG99" s="327"/>
      <c r="FH99" s="327"/>
      <c r="FI99" s="327"/>
      <c r="FJ99" s="327"/>
      <c r="FK99" s="327"/>
      <c r="FL99" s="327"/>
      <c r="FM99" s="327"/>
      <c r="FN99" s="327"/>
      <c r="FO99" s="327"/>
      <c r="FP99" s="327"/>
      <c r="FQ99" s="327"/>
      <c r="FR99" s="327"/>
      <c r="FS99" s="327"/>
      <c r="FT99" s="327"/>
      <c r="FU99" s="327"/>
      <c r="FV99" s="327"/>
      <c r="FW99" s="327"/>
      <c r="FX99" s="327"/>
      <c r="FY99" s="327"/>
      <c r="FZ99" s="327"/>
      <c r="GA99" s="327"/>
      <c r="GB99" s="327"/>
      <c r="GC99" s="327"/>
      <c r="GD99" s="327"/>
      <c r="GE99" s="327"/>
      <c r="GF99" s="327"/>
      <c r="GG99" s="327"/>
      <c r="GH99" s="327"/>
      <c r="GI99" s="327"/>
      <c r="GJ99" s="327"/>
      <c r="GK99" s="327"/>
      <c r="GL99" s="327"/>
      <c r="GM99" s="327"/>
      <c r="GN99" s="327"/>
      <c r="GO99" s="327"/>
      <c r="GP99" s="327"/>
      <c r="GQ99" s="327"/>
      <c r="GR99" s="327"/>
      <c r="GS99" s="327"/>
      <c r="GT99" s="327"/>
      <c r="GU99" s="327"/>
      <c r="GV99" s="327"/>
      <c r="GW99" s="327"/>
      <c r="GX99" s="327"/>
      <c r="GY99" s="327"/>
      <c r="GZ99" s="327"/>
      <c r="HA99" s="327"/>
      <c r="HB99" s="327"/>
      <c r="HC99" s="327"/>
      <c r="HD99" s="327"/>
      <c r="HE99" s="327"/>
      <c r="HF99" s="327"/>
      <c r="HG99" s="327"/>
      <c r="HH99" s="327"/>
      <c r="HI99" s="327"/>
      <c r="HJ99" s="327"/>
      <c r="HK99" s="327"/>
      <c r="HL99" s="327"/>
      <c r="HM99" s="327"/>
      <c r="HN99" s="327"/>
      <c r="HO99" s="327"/>
      <c r="HP99" s="327"/>
      <c r="HQ99" s="327"/>
      <c r="HR99" s="327"/>
      <c r="HS99" s="327"/>
    </row>
    <row r="100" spans="1:227" ht="15" customHeight="1">
      <c r="A100" s="330">
        <v>5</v>
      </c>
      <c r="B100" s="435" t="str">
        <f>VLOOKUP(Ruimtestaat[[#This Row],[Code]],Locaties[[Code]:[Locatie]],2,FALSE)</f>
        <v>IKC De Springplank</v>
      </c>
      <c r="C100" s="435" t="str">
        <f>VLOOKUP(Ruimtestaat[[#This Row],[Code]],Locaties[[#All],[Code]:[Adres]],4,FALSE)</f>
        <v>Irisvaart 6-8</v>
      </c>
      <c r="D100" s="435" t="str">
        <f>VLOOKUP(Ruimtestaat[[#This Row],[Code]],Locaties[[#All],[Code]:[Postcode]],5,FALSE)</f>
        <v>2724 TT</v>
      </c>
      <c r="E100" s="435" t="str">
        <f>VLOOKUP(Ruimtestaat[[#This Row],[Code]],Locaties[#All],6,FALSE)</f>
        <v>Zoetermeer</v>
      </c>
      <c r="F100" s="434"/>
      <c r="G100" s="434" t="s">
        <v>1678</v>
      </c>
      <c r="H100" s="436" t="s">
        <v>1761</v>
      </c>
      <c r="I100" s="437" t="s">
        <v>1679</v>
      </c>
      <c r="J100" s="330">
        <v>16</v>
      </c>
      <c r="K100" s="450" t="str">
        <f>VLOOKUP(Ruimtestaat[[#This Row],[Ruimte code]],Ruimtegroepen[[#All],[Code]:[Ruimte omschrijving]],2,FALSE)</f>
        <v>Leslokalen</v>
      </c>
      <c r="L100" s="434" t="s">
        <v>100</v>
      </c>
      <c r="M100" s="437" t="s">
        <v>1759</v>
      </c>
      <c r="N100" s="439">
        <v>58</v>
      </c>
      <c r="O100" s="439"/>
      <c r="P100" s="439"/>
      <c r="Q100" s="439"/>
      <c r="R100" s="440" t="str">
        <f>VLOOKUP(Ruimtestaat[[#This Row],[Ruimte code]],Ruimtegroepen[],4,FALSE)</f>
        <v>Le</v>
      </c>
      <c r="S100" s="434">
        <v>40</v>
      </c>
      <c r="T100" s="434" t="s">
        <v>2</v>
      </c>
      <c r="U100" s="434">
        <f>IF(S100&gt;0,IF(RIGHT(Ruimtestaat[[#This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 s="434">
        <f>IF(U100&gt;0,VLOOKUP($J100,Ruimtegroepen[],3,FALSE)*VLOOKUP($L100,Vloersoorten[],3,FALSE)*VLOOKUP($T100,Frequenties[],3,FALSE)*VLOOKUP($A100,Locaties[],3,FALSE),0)</f>
        <v>0</v>
      </c>
      <c r="W100" s="434">
        <f>Ruimtestaat[[#This Row],[Uitvoeringen werkdagen]]*Ruimtestaat[[#This Row],[Oppervlak (netto)]]</f>
        <v>11600</v>
      </c>
      <c r="X100" s="441">
        <f>IF(V100&gt;0,Ruimtestaat[[#This Row],[Prest. (m2 /jaar) werkdagen]]/Ruimtestaat[[#This Row],[Norm (m2/uur) werkdagen]],0)</f>
        <v>0</v>
      </c>
      <c r="Y100" s="442">
        <f>Ruimtestaat[[#This Row],[Uitvoeringen werkdagen]]*Ruimtestaat[[#This Row],[Gedeeltelijk]]</f>
        <v>0</v>
      </c>
      <c r="Z100" s="443" t="e">
        <f>IF(U100&gt;0,Ruimtestaat[[#This Row],[Prest. (m2 / jaar) werkdagen gedeeld]]/Ruimtestaat[[#This Row],[Norm (m2/uur) werkdagen]],0)</f>
        <v>#DIV/0!</v>
      </c>
      <c r="AA100" s="441" t="e">
        <f>Ruimtestaat[[#This Row],[uren / jaar werkdagen gedeeld]]*Tariefsopbouw!$E$35</f>
        <v>#DIV/0!</v>
      </c>
      <c r="AB100" s="441">
        <f>Ruimtestaat[[#This Row],[Uitvoeringen werkdagen]]*Ruimtestaat[[#This Row],[BSO]]</f>
        <v>0</v>
      </c>
      <c r="AC100" s="443" t="e">
        <f>IF(U100&gt;0,Ruimtestaat[[#This Row],[Prest. (m2 / jaar) werkdagen BSO]]/Ruimtestaat[[#This Row],[Norm (m2/uur) werkdagen]],0)</f>
        <v>#DIV/0!</v>
      </c>
      <c r="AD100" s="443" t="e">
        <f>Ruimtestaat[[#This Row],[uren / jaar werkdagen BSO]]*Tariefsopbouw!$E$35</f>
        <v>#DIV/0!</v>
      </c>
      <c r="AE100" s="444">
        <f>Ruimtestaat[[#This Row],[uren / jaar werkdagen]]*Tariefsopbouw!$E$35</f>
        <v>0</v>
      </c>
      <c r="AF100" s="434"/>
      <c r="AG100" s="434">
        <f>IF(Ruimtestaat[[#This Row],[Frequentie weekend]]&gt;0,VALUE(LEFT(AF100,1))*S100,0)</f>
        <v>0</v>
      </c>
      <c r="AH100" s="445">
        <f>IF($AG100&gt;0,VLOOKUP($J100,Ruimtegroepen[],3,FALSE)*VLOOKUP($L100,Vloersoorten[],3,FALSE)*VLOOKUP($AF100,Frequenties[],3,FALSE)*VLOOKUP(Ruimtestaat[[#This Row],[Code]],Locaties[],3,FALSE),0)</f>
        <v>0</v>
      </c>
      <c r="AI100" s="445">
        <f>Ruimtestaat[[#This Row],[Uitvoeringen weekend]]*Ruimtestaat[[#This Row],[Oppervlak (netto)]]</f>
        <v>0</v>
      </c>
      <c r="AJ100" s="445">
        <f>IF(AH100&gt;0,Ruimtestaat[[#This Row],[Prest. (m2 /jaar) weekend]]/Ruimtestaat[[#This Row],[Norm (m2/uur) weekend]],0)</f>
        <v>0</v>
      </c>
      <c r="AK100" s="444">
        <f>Ruimtestaat[[#This Row],[uren / jaar weekend]]*Tariefsopbouw!$D$40</f>
        <v>0</v>
      </c>
      <c r="AL100" s="441">
        <f>Ruimtestaat[[#This Row],[Prest. (m2 /jaar) weekend]]+Ruimtestaat[[#This Row],[Prest. (m2 /jaar) werkdagen]]</f>
        <v>11600</v>
      </c>
      <c r="AM100" s="441">
        <f>Ruimtestaat[[#This Row],[uren / jaar weekend]]+Ruimtestaat[[#This Row],[uren / jaar werkdagen]]</f>
        <v>0</v>
      </c>
      <c r="AN100" s="446">
        <f>Ruimtestaat[[#This Row],[kosten / jaar weekend]]+Ruimtestaat[[#This Row],[kosten / jaar werkdagen]]</f>
        <v>0</v>
      </c>
      <c r="AO100" s="446"/>
      <c r="AP100" s="447" t="str">
        <f>IF(Ruimtestaat[[#This Row],[Frequentie werkdagen]]="","",_xlfn.CONCAT(Ruimtestaat[[#This Row],[Ruimte code]],"-",Ruimtestaat[[#This Row],[Frequentie werkdagen]]," ",Ruimtestaat[[#This Row],[Vloer code]]))</f>
        <v>16-5w L</v>
      </c>
      <c r="AQ100" s="448" t="str">
        <f>_xlfn.IFNA(VLOOKUP($AP100,Programma!$F$3:$G$1101,2,0),"")</f>
        <v>_</v>
      </c>
      <c r="AR100" s="448" t="str">
        <f>_xlfn.IFNA(VLOOKUP($AP100,Programma!$F$3:$H$1101,3,0),"")</f>
        <v>_</v>
      </c>
      <c r="AS100" s="448" t="str">
        <f>_xlfn.IFNA(VLOOKUP($AP100,Programma!$F$3:$I$1101,4,0),"")</f>
        <v>4w</v>
      </c>
      <c r="AT100" s="448" t="str">
        <f>_xlfn.IFNA(VLOOKUP($AP100,Programma!$F$3:$J$1101,5,0),"")</f>
        <v>1w</v>
      </c>
      <c r="AU100" s="448" t="str">
        <f>_xlfn.IFNA(VLOOKUP($AP100,Programma!$F$3:$K$1101,6,0),"")</f>
        <v>_</v>
      </c>
      <c r="AV100" s="448" t="str">
        <f>_xlfn.IFNA(VLOOKUP($AP100,Programma!$F$3:$L$1101,7,0),"")</f>
        <v>_</v>
      </c>
      <c r="AW100" s="448" t="str">
        <f>_xlfn.IFNA(VLOOKUP($AP100,Programma!$F$3:$M$1101,8,0),"")</f>
        <v>_</v>
      </c>
      <c r="AX100" s="448" t="str">
        <f>_xlfn.IFNA(VLOOKUP($AP100,Programma!$F$3:$N$1101,9,0),"")</f>
        <v>_</v>
      </c>
      <c r="AY100" s="448" t="str">
        <f>_xlfn.IFNA(VLOOKUP($AP100,Programma!$F$3:$O$1101,10,0),"")</f>
        <v>5w</v>
      </c>
      <c r="AZ100" s="448" t="str">
        <f>_xlfn.IFNA(VLOOKUP($AP100,Programma!$F$3:$P$1101,11,0),"")</f>
        <v>5w</v>
      </c>
      <c r="BA100" s="448" t="str">
        <f>_xlfn.IFNA(VLOOKUP($AP100,Programma!$F$3:$Q$1101,12,0),"")</f>
        <v>1w</v>
      </c>
      <c r="BB100" s="448" t="str">
        <f>_xlfn.IFNA(VLOOKUP($AP100,Programma!$F$3:$R$1101,13,0),"")</f>
        <v>1w</v>
      </c>
      <c r="BC100" s="448" t="str">
        <f>_xlfn.IFNA(VLOOKUP($AP100,Programma!$F$3:$S$1101,14,0),"")</f>
        <v>1m</v>
      </c>
      <c r="BD100" s="448" t="str">
        <f>_xlfn.IFNA(VLOOKUP($AP100,Programma!$F$3:$T$1101,15,0),"")</f>
        <v>2j</v>
      </c>
      <c r="BE100" s="448" t="str">
        <f>_xlfn.IFNA(VLOOKUP($AP100,Programma!$F$3:$U$1101,16,0),"")</f>
        <v>1j</v>
      </c>
      <c r="BF100" s="448" t="str">
        <f>_xlfn.IFNA(VLOOKUP($AP100,Programma!$F$3:$V$1101,17,0),"")</f>
        <v>_</v>
      </c>
      <c r="BG100" s="448" t="str">
        <f>_xlfn.IFNA(VLOOKUP($AP100,Programma!$F$3:$W$1101,18,0),"")</f>
        <v>_</v>
      </c>
      <c r="BH100" s="448" t="str">
        <f>_xlfn.IFNA(VLOOKUP($AP100,Programma!$F$3:$X$1101,19,0),"")</f>
        <v>_</v>
      </c>
      <c r="BI100" s="448" t="str">
        <f>_xlfn.IFNA(VLOOKUP($AP100,Programma!$F$3:$Y$1101,20,0),"")</f>
        <v>_</v>
      </c>
      <c r="BJ100" s="449"/>
      <c r="BK100" s="447" t="str">
        <f>IF(Ruimtestaat[[#This Row],[Frequentie weekend]]="","",_xlfn.CONCAT(Ruimtestaat[[#This Row],[Ruimte code]],"-",Ruimtestaat[[#This Row],[Frequentie weekend]]," ",Ruimtestaat[[#This Row],[Vloer code]]))</f>
        <v/>
      </c>
      <c r="BL100" s="448" t="str">
        <f>_xlfn.IFNA(VLOOKUP($BK100,Programma!$F$3:$G$1101,2,0),"")</f>
        <v/>
      </c>
      <c r="BM100" s="448" t="str">
        <f>_xlfn.IFNA(VLOOKUP($BK100,Programma!$F$3:$H$1101,3,0),"")</f>
        <v/>
      </c>
      <c r="BN100" s="448" t="str">
        <f>_xlfn.IFNA(VLOOKUP($BK100,Programma!$F$3:$I$1101,4,0),"")</f>
        <v/>
      </c>
      <c r="BO100" s="448" t="str">
        <f>_xlfn.IFNA(VLOOKUP($BK100,Programma!$F$3:$J$1101,5,0),"")</f>
        <v/>
      </c>
      <c r="BP100" s="448" t="str">
        <f>_xlfn.IFNA(VLOOKUP($BK100,Programma!$F$3:$K$1101,6,0),"")</f>
        <v/>
      </c>
      <c r="BQ100" s="448" t="str">
        <f>_xlfn.IFNA(VLOOKUP($BK100,Programma!$F$3:$L$1101,7,0),"")</f>
        <v/>
      </c>
      <c r="BR100" s="448" t="str">
        <f>_xlfn.IFNA(VLOOKUP($BK100,Programma!$F$3:$M$1101,8,0),"")</f>
        <v/>
      </c>
      <c r="BS100" s="448" t="str">
        <f>_xlfn.IFNA(VLOOKUP($BK100,Programma!$F$3:$N$1101,9,0),"")</f>
        <v/>
      </c>
      <c r="BT100" s="448" t="str">
        <f>_xlfn.IFNA(VLOOKUP($BK100,Programma!$F$3:$O$1101,10,0),"")</f>
        <v/>
      </c>
      <c r="BU100" s="448" t="str">
        <f>_xlfn.IFNA(VLOOKUP($BK100,Programma!$F$3:$P$1101,11,0),"")</f>
        <v/>
      </c>
      <c r="BV100" s="448" t="str">
        <f>_xlfn.IFNA(VLOOKUP($BK100,Programma!$F$3:$Q$1101,12,0),"")</f>
        <v/>
      </c>
      <c r="BW100" s="448" t="str">
        <f>_xlfn.IFNA(VLOOKUP($BK100,Programma!$F$3:$R$1101,13,0),"")</f>
        <v/>
      </c>
      <c r="BX100" s="448" t="str">
        <f>_xlfn.IFNA(VLOOKUP($BK100,Programma!$F$3:$S$1101,14,0),"")</f>
        <v/>
      </c>
      <c r="BY100" s="448" t="str">
        <f>_xlfn.IFNA(VLOOKUP($BK100,Programma!$F$3:$T$1101,15,0),"")</f>
        <v/>
      </c>
      <c r="BZ100" s="448" t="str">
        <f>_xlfn.IFNA(VLOOKUP($BK100,Programma!$F$3:$U$1101,16,0),"")</f>
        <v/>
      </c>
      <c r="CA100" s="448" t="str">
        <f>_xlfn.IFNA(VLOOKUP($BK100,Programma!$F$3:$V$1101,17,0),"")</f>
        <v/>
      </c>
      <c r="CB100" s="448" t="str">
        <f>_xlfn.IFNA(VLOOKUP($BK100,Programma!$F$3:$W$1101,18,0),"")</f>
        <v/>
      </c>
      <c r="CC100" s="448" t="str">
        <f>_xlfn.IFNA(VLOOKUP($BK100,Programma!$F$3:$X$1101,19,0),"")</f>
        <v/>
      </c>
      <c r="CD100" s="448" t="str">
        <f>_xlfn.IFNA(VLOOKUP($BK100,Programma!$F$3:$Y$1101,20,0),"")</f>
        <v/>
      </c>
      <c r="CE100" s="327"/>
      <c r="CF100" s="327"/>
      <c r="CG100" s="327"/>
      <c r="CH100" s="327"/>
      <c r="CI100" s="327"/>
      <c r="CJ100" s="327"/>
      <c r="CK100" s="327"/>
      <c r="CL100" s="327"/>
      <c r="CM100" s="327"/>
      <c r="CN100" s="327"/>
      <c r="CO100" s="327"/>
      <c r="CP100" s="327"/>
      <c r="CQ100" s="327"/>
      <c r="CR100" s="327"/>
      <c r="CS100" s="327"/>
      <c r="CT100" s="327"/>
      <c r="CU100" s="327"/>
      <c r="CV100" s="327"/>
      <c r="CW100" s="327"/>
      <c r="CX100" s="327"/>
      <c r="CY100" s="327"/>
      <c r="CZ100" s="327"/>
      <c r="DA100" s="327"/>
      <c r="DB100" s="327"/>
      <c r="DC100" s="327"/>
      <c r="DD100" s="327"/>
      <c r="DE100" s="327"/>
      <c r="DF100" s="327"/>
      <c r="DG100" s="327"/>
      <c r="DH100" s="327"/>
      <c r="DI100" s="327"/>
      <c r="DJ100" s="327"/>
      <c r="DK100" s="327"/>
      <c r="DL100" s="327"/>
      <c r="DM100" s="327"/>
      <c r="DN100" s="327"/>
      <c r="DO100" s="327"/>
      <c r="DP100" s="327"/>
      <c r="DQ100" s="327"/>
      <c r="DR100" s="327"/>
      <c r="DS100" s="327"/>
      <c r="DT100" s="327"/>
      <c r="DU100" s="327"/>
      <c r="DV100" s="327"/>
      <c r="DW100" s="327"/>
      <c r="DX100" s="327"/>
      <c r="DY100" s="327"/>
      <c r="DZ100" s="327"/>
      <c r="EA100" s="327"/>
      <c r="EB100" s="327"/>
      <c r="EC100" s="327"/>
      <c r="ED100" s="327"/>
      <c r="EE100" s="327"/>
      <c r="EF100" s="327"/>
      <c r="EG100" s="327"/>
      <c r="EH100" s="327"/>
      <c r="EI100" s="327"/>
      <c r="EJ100" s="327"/>
      <c r="EK100" s="327"/>
      <c r="EL100" s="327"/>
      <c r="EM100" s="327"/>
      <c r="EN100" s="327"/>
      <c r="EO100" s="327"/>
      <c r="EP100" s="327"/>
      <c r="EQ100" s="327"/>
      <c r="ER100" s="327"/>
      <c r="ES100" s="327"/>
      <c r="ET100" s="327"/>
      <c r="EU100" s="327"/>
      <c r="EV100" s="327"/>
      <c r="EW100" s="327"/>
      <c r="EX100" s="327"/>
      <c r="EY100" s="327"/>
      <c r="EZ100" s="327"/>
      <c r="FA100" s="327"/>
      <c r="FB100" s="327"/>
      <c r="FC100" s="327"/>
      <c r="FD100" s="327"/>
      <c r="FE100" s="327"/>
      <c r="FF100" s="327"/>
      <c r="FG100" s="327"/>
      <c r="FH100" s="327"/>
      <c r="FI100" s="327"/>
      <c r="FJ100" s="327"/>
      <c r="FK100" s="327"/>
      <c r="FL100" s="327"/>
      <c r="FM100" s="327"/>
      <c r="FN100" s="327"/>
      <c r="FO100" s="327"/>
      <c r="FP100" s="327"/>
      <c r="FQ100" s="327"/>
      <c r="FR100" s="327"/>
      <c r="FS100" s="327"/>
      <c r="FT100" s="327"/>
      <c r="FU100" s="327"/>
      <c r="FV100" s="327"/>
      <c r="FW100" s="327"/>
      <c r="FX100" s="327"/>
      <c r="FY100" s="327"/>
      <c r="FZ100" s="327"/>
      <c r="GA100" s="327"/>
      <c r="GB100" s="327"/>
      <c r="GC100" s="327"/>
      <c r="GD100" s="327"/>
      <c r="GE100" s="327"/>
      <c r="GF100" s="327"/>
      <c r="GG100" s="327"/>
      <c r="GH100" s="327"/>
      <c r="GI100" s="327"/>
      <c r="GJ100" s="327"/>
      <c r="GK100" s="327"/>
      <c r="GL100" s="327"/>
      <c r="GM100" s="327"/>
      <c r="GN100" s="327"/>
      <c r="GO100" s="327"/>
      <c r="GP100" s="327"/>
      <c r="GQ100" s="327"/>
      <c r="GR100" s="327"/>
      <c r="GS100" s="327"/>
      <c r="GT100" s="327"/>
      <c r="GU100" s="327"/>
      <c r="GV100" s="327"/>
      <c r="GW100" s="327"/>
      <c r="GX100" s="327"/>
      <c r="GY100" s="327"/>
      <c r="GZ100" s="327"/>
      <c r="HA100" s="327"/>
      <c r="HB100" s="327"/>
      <c r="HC100" s="327"/>
      <c r="HD100" s="327"/>
      <c r="HE100" s="327"/>
      <c r="HF100" s="327"/>
      <c r="HG100" s="327"/>
      <c r="HH100" s="327"/>
      <c r="HI100" s="327"/>
      <c r="HJ100" s="327"/>
      <c r="HK100" s="327"/>
      <c r="HL100" s="327"/>
      <c r="HM100" s="327"/>
      <c r="HN100" s="327"/>
      <c r="HO100" s="327"/>
      <c r="HP100" s="327"/>
      <c r="HQ100" s="327"/>
      <c r="HR100" s="327"/>
      <c r="HS100" s="327"/>
    </row>
    <row r="101" spans="1:227" ht="15" customHeight="1">
      <c r="A101" s="330">
        <v>5</v>
      </c>
      <c r="B101" s="435" t="str">
        <f>VLOOKUP(Ruimtestaat[[#This Row],[Code]],Locaties[[Code]:[Locatie]],2,FALSE)</f>
        <v>IKC De Springplank</v>
      </c>
      <c r="C101" s="435" t="str">
        <f>VLOOKUP(Ruimtestaat[[#This Row],[Code]],Locaties[[#All],[Code]:[Adres]],4,FALSE)</f>
        <v>Irisvaart 6-8</v>
      </c>
      <c r="D101" s="435" t="str">
        <f>VLOOKUP(Ruimtestaat[[#This Row],[Code]],Locaties[[#All],[Code]:[Postcode]],5,FALSE)</f>
        <v>2724 TT</v>
      </c>
      <c r="E101" s="435" t="str">
        <f>VLOOKUP(Ruimtestaat[[#This Row],[Code]],Locaties[#All],6,FALSE)</f>
        <v>Zoetermeer</v>
      </c>
      <c r="F101" s="434"/>
      <c r="G101" s="434" t="s">
        <v>1678</v>
      </c>
      <c r="H101" s="436" t="s">
        <v>1689</v>
      </c>
      <c r="I101" s="437" t="s">
        <v>1679</v>
      </c>
      <c r="J101" s="434">
        <v>16</v>
      </c>
      <c r="K101" s="450" t="str">
        <f>VLOOKUP(Ruimtestaat[[#This Row],[Ruimte code]],Ruimtegroepen[[#All],[Code]:[Ruimte omschrijving]],2,FALSE)</f>
        <v>Leslokalen</v>
      </c>
      <c r="L101" s="434" t="s">
        <v>100</v>
      </c>
      <c r="M101" s="437" t="s">
        <v>1759</v>
      </c>
      <c r="N101" s="439">
        <v>67</v>
      </c>
      <c r="O101" s="439"/>
      <c r="P101" s="439"/>
      <c r="Q101" s="439"/>
      <c r="R101" s="440" t="str">
        <f>VLOOKUP(Ruimtestaat[[#This Row],[Ruimte code]],Ruimtegroepen[],4,FALSE)</f>
        <v>Le</v>
      </c>
      <c r="S101" s="434">
        <v>40</v>
      </c>
      <c r="T101" s="434" t="s">
        <v>2</v>
      </c>
      <c r="U101" s="434">
        <f>IF(S101&gt;0,IF(RIGHT(Ruimtestaat[[#This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 s="434">
        <f>IF(U101&gt;0,VLOOKUP($J101,Ruimtegroepen[],3,FALSE)*VLOOKUP($L101,Vloersoorten[],3,FALSE)*VLOOKUP($T101,Frequenties[],3,FALSE)*VLOOKUP($A101,Locaties[],3,FALSE),0)</f>
        <v>0</v>
      </c>
      <c r="W101" s="434">
        <f>Ruimtestaat[[#This Row],[Uitvoeringen werkdagen]]*Ruimtestaat[[#This Row],[Oppervlak (netto)]]</f>
        <v>13400</v>
      </c>
      <c r="X101" s="441">
        <f>IF(V101&gt;0,Ruimtestaat[[#This Row],[Prest. (m2 /jaar) werkdagen]]/Ruimtestaat[[#This Row],[Norm (m2/uur) werkdagen]],0)</f>
        <v>0</v>
      </c>
      <c r="Y101" s="442">
        <f>Ruimtestaat[[#This Row],[Uitvoeringen werkdagen]]*Ruimtestaat[[#This Row],[Gedeeltelijk]]</f>
        <v>0</v>
      </c>
      <c r="Z101" s="443" t="e">
        <f>IF(U101&gt;0,Ruimtestaat[[#This Row],[Prest. (m2 / jaar) werkdagen gedeeld]]/Ruimtestaat[[#This Row],[Norm (m2/uur) werkdagen]],0)</f>
        <v>#DIV/0!</v>
      </c>
      <c r="AA101" s="441" t="e">
        <f>Ruimtestaat[[#This Row],[uren / jaar werkdagen gedeeld]]*Tariefsopbouw!$E$35</f>
        <v>#DIV/0!</v>
      </c>
      <c r="AB101" s="441">
        <f>Ruimtestaat[[#This Row],[Uitvoeringen werkdagen]]*Ruimtestaat[[#This Row],[BSO]]</f>
        <v>0</v>
      </c>
      <c r="AC101" s="443" t="e">
        <f>IF(U101&gt;0,Ruimtestaat[[#This Row],[Prest. (m2 / jaar) werkdagen BSO]]/Ruimtestaat[[#This Row],[Norm (m2/uur) werkdagen]],0)</f>
        <v>#DIV/0!</v>
      </c>
      <c r="AD101" s="443" t="e">
        <f>Ruimtestaat[[#This Row],[uren / jaar werkdagen BSO]]*Tariefsopbouw!$E$35</f>
        <v>#DIV/0!</v>
      </c>
      <c r="AE101" s="444">
        <f>Ruimtestaat[[#This Row],[uren / jaar werkdagen]]*Tariefsopbouw!$E$35</f>
        <v>0</v>
      </c>
      <c r="AF101" s="434"/>
      <c r="AG101" s="434">
        <f>IF(Ruimtestaat[[#This Row],[Frequentie weekend]]&gt;0,VALUE(LEFT(AF101,1))*S101,0)</f>
        <v>0</v>
      </c>
      <c r="AH101" s="445">
        <f>IF($AG101&gt;0,VLOOKUP($J101,Ruimtegroepen[],3,FALSE)*VLOOKUP($L101,Vloersoorten[],3,FALSE)*VLOOKUP($AF101,Frequenties[],3,FALSE)*VLOOKUP(Ruimtestaat[[#This Row],[Code]],Locaties[],3,FALSE),0)</f>
        <v>0</v>
      </c>
      <c r="AI101" s="445">
        <f>Ruimtestaat[[#This Row],[Uitvoeringen weekend]]*Ruimtestaat[[#This Row],[Oppervlak (netto)]]</f>
        <v>0</v>
      </c>
      <c r="AJ101" s="445">
        <f>IF(AH101&gt;0,Ruimtestaat[[#This Row],[Prest. (m2 /jaar) weekend]]/Ruimtestaat[[#This Row],[Norm (m2/uur) weekend]],0)</f>
        <v>0</v>
      </c>
      <c r="AK101" s="444">
        <f>Ruimtestaat[[#This Row],[uren / jaar weekend]]*Tariefsopbouw!$D$40</f>
        <v>0</v>
      </c>
      <c r="AL101" s="441">
        <f>Ruimtestaat[[#This Row],[Prest. (m2 /jaar) weekend]]+Ruimtestaat[[#This Row],[Prest. (m2 /jaar) werkdagen]]</f>
        <v>13400</v>
      </c>
      <c r="AM101" s="441">
        <f>Ruimtestaat[[#This Row],[uren / jaar weekend]]+Ruimtestaat[[#This Row],[uren / jaar werkdagen]]</f>
        <v>0</v>
      </c>
      <c r="AN101" s="446">
        <f>Ruimtestaat[[#This Row],[kosten / jaar weekend]]+Ruimtestaat[[#This Row],[kosten / jaar werkdagen]]</f>
        <v>0</v>
      </c>
      <c r="AO101" s="446"/>
      <c r="AP101" s="447" t="str">
        <f>IF(Ruimtestaat[[#This Row],[Frequentie werkdagen]]="","",_xlfn.CONCAT(Ruimtestaat[[#This Row],[Ruimte code]],"-",Ruimtestaat[[#This Row],[Frequentie werkdagen]]," ",Ruimtestaat[[#This Row],[Vloer code]]))</f>
        <v>16-5w L</v>
      </c>
      <c r="AQ101" s="448" t="str">
        <f>_xlfn.IFNA(VLOOKUP($AP101,Programma!$F$3:$G$1101,2,0),"")</f>
        <v>_</v>
      </c>
      <c r="AR101" s="448" t="str">
        <f>_xlfn.IFNA(VLOOKUP($AP101,Programma!$F$3:$H$1101,3,0),"")</f>
        <v>_</v>
      </c>
      <c r="AS101" s="448" t="str">
        <f>_xlfn.IFNA(VLOOKUP($AP101,Programma!$F$3:$I$1101,4,0),"")</f>
        <v>4w</v>
      </c>
      <c r="AT101" s="448" t="str">
        <f>_xlfn.IFNA(VLOOKUP($AP101,Programma!$F$3:$J$1101,5,0),"")</f>
        <v>1w</v>
      </c>
      <c r="AU101" s="448" t="str">
        <f>_xlfn.IFNA(VLOOKUP($AP101,Programma!$F$3:$K$1101,6,0),"")</f>
        <v>_</v>
      </c>
      <c r="AV101" s="448" t="str">
        <f>_xlfn.IFNA(VLOOKUP($AP101,Programma!$F$3:$L$1101,7,0),"")</f>
        <v>_</v>
      </c>
      <c r="AW101" s="448" t="str">
        <f>_xlfn.IFNA(VLOOKUP($AP101,Programma!$F$3:$M$1101,8,0),"")</f>
        <v>_</v>
      </c>
      <c r="AX101" s="448" t="str">
        <f>_xlfn.IFNA(VLOOKUP($AP101,Programma!$F$3:$N$1101,9,0),"")</f>
        <v>_</v>
      </c>
      <c r="AY101" s="448" t="str">
        <f>_xlfn.IFNA(VLOOKUP($AP101,Programma!$F$3:$O$1101,10,0),"")</f>
        <v>5w</v>
      </c>
      <c r="AZ101" s="448" t="str">
        <f>_xlfn.IFNA(VLOOKUP($AP101,Programma!$F$3:$P$1101,11,0),"")</f>
        <v>5w</v>
      </c>
      <c r="BA101" s="448" t="str">
        <f>_xlfn.IFNA(VLOOKUP($AP101,Programma!$F$3:$Q$1101,12,0),"")</f>
        <v>1w</v>
      </c>
      <c r="BB101" s="448" t="str">
        <f>_xlfn.IFNA(VLOOKUP($AP101,Programma!$F$3:$R$1101,13,0),"")</f>
        <v>1w</v>
      </c>
      <c r="BC101" s="448" t="str">
        <f>_xlfn.IFNA(VLOOKUP($AP101,Programma!$F$3:$S$1101,14,0),"")</f>
        <v>1m</v>
      </c>
      <c r="BD101" s="448" t="str">
        <f>_xlfn.IFNA(VLOOKUP($AP101,Programma!$F$3:$T$1101,15,0),"")</f>
        <v>2j</v>
      </c>
      <c r="BE101" s="448" t="str">
        <f>_xlfn.IFNA(VLOOKUP($AP101,Programma!$F$3:$U$1101,16,0),"")</f>
        <v>1j</v>
      </c>
      <c r="BF101" s="448" t="str">
        <f>_xlfn.IFNA(VLOOKUP($AP101,Programma!$F$3:$V$1101,17,0),"")</f>
        <v>_</v>
      </c>
      <c r="BG101" s="448" t="str">
        <f>_xlfn.IFNA(VLOOKUP($AP101,Programma!$F$3:$W$1101,18,0),"")</f>
        <v>_</v>
      </c>
      <c r="BH101" s="448" t="str">
        <f>_xlfn.IFNA(VLOOKUP($AP101,Programma!$F$3:$X$1101,19,0),"")</f>
        <v>_</v>
      </c>
      <c r="BI101" s="448" t="str">
        <f>_xlfn.IFNA(VLOOKUP($AP101,Programma!$F$3:$Y$1101,20,0),"")</f>
        <v>_</v>
      </c>
      <c r="BJ101" s="449"/>
      <c r="BK101" s="447" t="str">
        <f>IF(Ruimtestaat[[#This Row],[Frequentie weekend]]="","",_xlfn.CONCAT(Ruimtestaat[[#This Row],[Ruimte code]],"-",Ruimtestaat[[#This Row],[Frequentie weekend]]," ",Ruimtestaat[[#This Row],[Vloer code]]))</f>
        <v/>
      </c>
      <c r="BL101" s="448" t="str">
        <f>_xlfn.IFNA(VLOOKUP($BK101,Programma!$F$3:$G$1101,2,0),"")</f>
        <v/>
      </c>
      <c r="BM101" s="448" t="str">
        <f>_xlfn.IFNA(VLOOKUP($BK101,Programma!$F$3:$H$1101,3,0),"")</f>
        <v/>
      </c>
      <c r="BN101" s="448" t="str">
        <f>_xlfn.IFNA(VLOOKUP($BK101,Programma!$F$3:$I$1101,4,0),"")</f>
        <v/>
      </c>
      <c r="BO101" s="448" t="str">
        <f>_xlfn.IFNA(VLOOKUP($BK101,Programma!$F$3:$J$1101,5,0),"")</f>
        <v/>
      </c>
      <c r="BP101" s="448" t="str">
        <f>_xlfn.IFNA(VLOOKUP($BK101,Programma!$F$3:$K$1101,6,0),"")</f>
        <v/>
      </c>
      <c r="BQ101" s="448" t="str">
        <f>_xlfn.IFNA(VLOOKUP($BK101,Programma!$F$3:$L$1101,7,0),"")</f>
        <v/>
      </c>
      <c r="BR101" s="448" t="str">
        <f>_xlfn.IFNA(VLOOKUP($BK101,Programma!$F$3:$M$1101,8,0),"")</f>
        <v/>
      </c>
      <c r="BS101" s="448" t="str">
        <f>_xlfn.IFNA(VLOOKUP($BK101,Programma!$F$3:$N$1101,9,0),"")</f>
        <v/>
      </c>
      <c r="BT101" s="448" t="str">
        <f>_xlfn.IFNA(VLOOKUP($BK101,Programma!$F$3:$O$1101,10,0),"")</f>
        <v/>
      </c>
      <c r="BU101" s="448" t="str">
        <f>_xlfn.IFNA(VLOOKUP($BK101,Programma!$F$3:$P$1101,11,0),"")</f>
        <v/>
      </c>
      <c r="BV101" s="448" t="str">
        <f>_xlfn.IFNA(VLOOKUP($BK101,Programma!$F$3:$Q$1101,12,0),"")</f>
        <v/>
      </c>
      <c r="BW101" s="448" t="str">
        <f>_xlfn.IFNA(VLOOKUP($BK101,Programma!$F$3:$R$1101,13,0),"")</f>
        <v/>
      </c>
      <c r="BX101" s="448" t="str">
        <f>_xlfn.IFNA(VLOOKUP($BK101,Programma!$F$3:$S$1101,14,0),"")</f>
        <v/>
      </c>
      <c r="BY101" s="448" t="str">
        <f>_xlfn.IFNA(VLOOKUP($BK101,Programma!$F$3:$T$1101,15,0),"")</f>
        <v/>
      </c>
      <c r="BZ101" s="448" t="str">
        <f>_xlfn.IFNA(VLOOKUP($BK101,Programma!$F$3:$U$1101,16,0),"")</f>
        <v/>
      </c>
      <c r="CA101" s="448" t="str">
        <f>_xlfn.IFNA(VLOOKUP($BK101,Programma!$F$3:$V$1101,17,0),"")</f>
        <v/>
      </c>
      <c r="CB101" s="448" t="str">
        <f>_xlfn.IFNA(VLOOKUP($BK101,Programma!$F$3:$W$1101,18,0),"")</f>
        <v/>
      </c>
      <c r="CC101" s="448" t="str">
        <f>_xlfn.IFNA(VLOOKUP($BK101,Programma!$F$3:$X$1101,19,0),"")</f>
        <v/>
      </c>
      <c r="CD101" s="448" t="str">
        <f>_xlfn.IFNA(VLOOKUP($BK101,Programma!$F$3:$Y$1101,20,0),"")</f>
        <v/>
      </c>
      <c r="CE101" s="327"/>
      <c r="CF101" s="327"/>
      <c r="CG101" s="327"/>
      <c r="CH101" s="327"/>
      <c r="CI101" s="327"/>
      <c r="CJ101" s="327"/>
      <c r="CK101" s="327"/>
      <c r="CL101" s="327"/>
      <c r="CM101" s="327"/>
      <c r="CN101" s="327"/>
      <c r="CO101" s="327"/>
      <c r="CP101" s="327"/>
      <c r="CQ101" s="327"/>
      <c r="CR101" s="327"/>
      <c r="CS101" s="327"/>
      <c r="CT101" s="327"/>
      <c r="CU101" s="327"/>
      <c r="CV101" s="327"/>
      <c r="CW101" s="327"/>
      <c r="CX101" s="327"/>
      <c r="CY101" s="327"/>
      <c r="CZ101" s="327"/>
      <c r="DA101" s="327"/>
      <c r="DB101" s="327"/>
      <c r="DC101" s="327"/>
      <c r="DD101" s="327"/>
      <c r="DE101" s="327"/>
      <c r="DF101" s="327"/>
      <c r="DG101" s="327"/>
      <c r="DH101" s="327"/>
      <c r="DI101" s="327"/>
      <c r="DJ101" s="327"/>
      <c r="DK101" s="327"/>
      <c r="DL101" s="327"/>
      <c r="DM101" s="327"/>
      <c r="DN101" s="327"/>
      <c r="DO101" s="327"/>
      <c r="DP101" s="327"/>
      <c r="DQ101" s="327"/>
      <c r="DR101" s="327"/>
      <c r="DS101" s="327"/>
      <c r="DT101" s="327"/>
      <c r="DU101" s="327"/>
      <c r="DV101" s="327"/>
      <c r="DW101" s="327"/>
      <c r="DX101" s="327"/>
      <c r="DY101" s="327"/>
      <c r="DZ101" s="327"/>
      <c r="EA101" s="327"/>
      <c r="EB101" s="327"/>
      <c r="EC101" s="327"/>
      <c r="ED101" s="327"/>
      <c r="EE101" s="327"/>
      <c r="EF101" s="327"/>
      <c r="EG101" s="327"/>
      <c r="EH101" s="327"/>
      <c r="EI101" s="327"/>
      <c r="EJ101" s="327"/>
      <c r="EK101" s="327"/>
      <c r="EL101" s="327"/>
      <c r="EM101" s="327"/>
      <c r="EN101" s="327"/>
      <c r="EO101" s="327"/>
      <c r="EP101" s="327"/>
      <c r="EQ101" s="327"/>
      <c r="ER101" s="327"/>
      <c r="ES101" s="327"/>
      <c r="ET101" s="327"/>
      <c r="EU101" s="327"/>
      <c r="EV101" s="327"/>
      <c r="EW101" s="327"/>
      <c r="EX101" s="327"/>
      <c r="EY101" s="327"/>
      <c r="EZ101" s="327"/>
      <c r="FA101" s="327"/>
      <c r="FB101" s="327"/>
      <c r="FC101" s="327"/>
      <c r="FD101" s="327"/>
      <c r="FE101" s="327"/>
      <c r="FF101" s="327"/>
      <c r="FG101" s="327"/>
      <c r="FH101" s="327"/>
      <c r="FI101" s="327"/>
      <c r="FJ101" s="327"/>
      <c r="FK101" s="327"/>
      <c r="FL101" s="327"/>
      <c r="FM101" s="327"/>
      <c r="FN101" s="327"/>
      <c r="FO101" s="327"/>
      <c r="FP101" s="327"/>
      <c r="FQ101" s="327"/>
      <c r="FR101" s="327"/>
      <c r="FS101" s="327"/>
      <c r="FT101" s="327"/>
      <c r="FU101" s="327"/>
      <c r="FV101" s="327"/>
      <c r="FW101" s="327"/>
      <c r="FX101" s="327"/>
      <c r="FY101" s="327"/>
      <c r="FZ101" s="327"/>
      <c r="GA101" s="327"/>
      <c r="GB101" s="327"/>
      <c r="GC101" s="327"/>
      <c r="GD101" s="327"/>
      <c r="GE101" s="327"/>
      <c r="GF101" s="327"/>
      <c r="GG101" s="327"/>
      <c r="GH101" s="327"/>
      <c r="GI101" s="327"/>
      <c r="GJ101" s="327"/>
      <c r="GK101" s="327"/>
      <c r="GL101" s="327"/>
      <c r="GM101" s="327"/>
      <c r="GN101" s="327"/>
      <c r="GO101" s="327"/>
      <c r="GP101" s="327"/>
      <c r="GQ101" s="327"/>
      <c r="GR101" s="327"/>
      <c r="GS101" s="327"/>
      <c r="GT101" s="327"/>
      <c r="GU101" s="327"/>
      <c r="GV101" s="327"/>
      <c r="GW101" s="327"/>
      <c r="GX101" s="327"/>
      <c r="GY101" s="327"/>
      <c r="GZ101" s="327"/>
      <c r="HA101" s="327"/>
      <c r="HB101" s="327"/>
      <c r="HC101" s="327"/>
      <c r="HD101" s="327"/>
      <c r="HE101" s="327"/>
      <c r="HF101" s="327"/>
      <c r="HG101" s="327"/>
      <c r="HH101" s="327"/>
      <c r="HI101" s="327"/>
      <c r="HJ101" s="327"/>
      <c r="HK101" s="327"/>
      <c r="HL101" s="327"/>
      <c r="HM101" s="327"/>
      <c r="HN101" s="327"/>
      <c r="HO101" s="327"/>
      <c r="HP101" s="327"/>
      <c r="HQ101" s="327"/>
      <c r="HR101" s="327"/>
      <c r="HS101" s="327"/>
    </row>
    <row r="102" spans="1:227" ht="15" customHeight="1">
      <c r="A102" s="330">
        <v>5</v>
      </c>
      <c r="B102" s="435" t="str">
        <f>VLOOKUP(Ruimtestaat[[#This Row],[Code]],Locaties[[Code]:[Locatie]],2,FALSE)</f>
        <v>IKC De Springplank</v>
      </c>
      <c r="C102" s="435" t="str">
        <f>VLOOKUP(Ruimtestaat[[#This Row],[Code]],Locaties[[#All],[Code]:[Adres]],4,FALSE)</f>
        <v>Irisvaart 6-8</v>
      </c>
      <c r="D102" s="435" t="str">
        <f>VLOOKUP(Ruimtestaat[[#This Row],[Code]],Locaties[[#All],[Code]:[Postcode]],5,FALSE)</f>
        <v>2724 TT</v>
      </c>
      <c r="E102" s="435" t="str">
        <f>VLOOKUP(Ruimtestaat[[#This Row],[Code]],Locaties[#All],6,FALSE)</f>
        <v>Zoetermeer</v>
      </c>
      <c r="F102" s="434"/>
      <c r="G102" s="434" t="s">
        <v>1678</v>
      </c>
      <c r="H102" s="436" t="s">
        <v>1691</v>
      </c>
      <c r="I102" s="437" t="s">
        <v>1745</v>
      </c>
      <c r="J102" s="330">
        <v>6</v>
      </c>
      <c r="K102" s="450" t="str">
        <f>VLOOKUP(Ruimtestaat[[#This Row],[Ruimte code]],Ruimtegroepen[[#All],[Code]:[Ruimte omschrijving]],2,FALSE)</f>
        <v>Gangen/hallen</v>
      </c>
      <c r="L102" s="434" t="s">
        <v>100</v>
      </c>
      <c r="M102" s="437" t="s">
        <v>1759</v>
      </c>
      <c r="N102" s="439"/>
      <c r="O102" s="439"/>
      <c r="P102" s="439">
        <v>187</v>
      </c>
      <c r="Q102" s="439"/>
      <c r="R102" s="440" t="str">
        <f>VLOOKUP(Ruimtestaat[[#This Row],[Ruimte code]],Ruimtegroepen[],4,FALSE)</f>
        <v>Ve</v>
      </c>
      <c r="S102" s="434">
        <v>41</v>
      </c>
      <c r="T102" s="434" t="s">
        <v>2</v>
      </c>
      <c r="U102" s="434">
        <f>IF(S102&gt;0,IF(RIGHT(Ruimtestaat[[#This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02" s="434">
        <f>IF(U102&gt;0,VLOOKUP($J102,Ruimtegroepen[],3,FALSE)*VLOOKUP($L102,Vloersoorten[],3,FALSE)*VLOOKUP($T102,Frequenties[],3,FALSE)*VLOOKUP($A102,Locaties[],3,FALSE),0)</f>
        <v>0</v>
      </c>
      <c r="W102" s="434">
        <f>Ruimtestaat[[#This Row],[Uitvoeringen werkdagen]]*Ruimtestaat[[#This Row],[Oppervlak (netto)]]</f>
        <v>0</v>
      </c>
      <c r="X102" s="441">
        <f>IF(V102&gt;0,Ruimtestaat[[#This Row],[Prest. (m2 /jaar) werkdagen]]/Ruimtestaat[[#This Row],[Norm (m2/uur) werkdagen]],0)</f>
        <v>0</v>
      </c>
      <c r="Y102" s="442">
        <f>Ruimtestaat[[#This Row],[Uitvoeringen werkdagen]]*Ruimtestaat[[#This Row],[Gedeeltelijk]]</f>
        <v>38335</v>
      </c>
      <c r="Z102" s="443" t="e">
        <f>IF(U102&gt;0,Ruimtestaat[[#This Row],[Prest. (m2 / jaar) werkdagen gedeeld]]/Ruimtestaat[[#This Row],[Norm (m2/uur) werkdagen]],0)</f>
        <v>#DIV/0!</v>
      </c>
      <c r="AA102" s="441" t="e">
        <f>Ruimtestaat[[#This Row],[uren / jaar werkdagen gedeeld]]*Tariefsopbouw!$E$35</f>
        <v>#DIV/0!</v>
      </c>
      <c r="AB102" s="441">
        <f>Ruimtestaat[[#This Row],[Uitvoeringen werkdagen]]*Ruimtestaat[[#This Row],[BSO]]</f>
        <v>0</v>
      </c>
      <c r="AC102" s="443" t="e">
        <f>IF(U102&gt;0,Ruimtestaat[[#This Row],[Prest. (m2 / jaar) werkdagen BSO]]/Ruimtestaat[[#This Row],[Norm (m2/uur) werkdagen]],0)</f>
        <v>#DIV/0!</v>
      </c>
      <c r="AD102" s="443" t="e">
        <f>Ruimtestaat[[#This Row],[uren / jaar werkdagen BSO]]*Tariefsopbouw!$E$35</f>
        <v>#DIV/0!</v>
      </c>
      <c r="AE102" s="444">
        <f>Ruimtestaat[[#This Row],[uren / jaar werkdagen]]*Tariefsopbouw!$E$35</f>
        <v>0</v>
      </c>
      <c r="AF102" s="434"/>
      <c r="AG102" s="434">
        <f>IF(Ruimtestaat[[#This Row],[Frequentie weekend]]&gt;0,VALUE(LEFT(AF102,1))*S102,0)</f>
        <v>0</v>
      </c>
      <c r="AH102" s="445">
        <f>IF($AG102&gt;0,VLOOKUP($J102,Ruimtegroepen[],3,FALSE)*VLOOKUP($L102,Vloersoorten[],3,FALSE)*VLOOKUP($AF102,Frequenties[],3,FALSE)*VLOOKUP(Ruimtestaat[[#This Row],[Code]],Locaties[],3,FALSE),0)</f>
        <v>0</v>
      </c>
      <c r="AI102" s="445">
        <f>Ruimtestaat[[#This Row],[Uitvoeringen weekend]]*Ruimtestaat[[#This Row],[Oppervlak (netto)]]</f>
        <v>0</v>
      </c>
      <c r="AJ102" s="445">
        <f>IF(AH102&gt;0,Ruimtestaat[[#This Row],[Prest. (m2 /jaar) weekend]]/Ruimtestaat[[#This Row],[Norm (m2/uur) weekend]],0)</f>
        <v>0</v>
      </c>
      <c r="AK102" s="444">
        <f>Ruimtestaat[[#This Row],[uren / jaar weekend]]*Tariefsopbouw!$D$40</f>
        <v>0</v>
      </c>
      <c r="AL102" s="441">
        <f>Ruimtestaat[[#This Row],[Prest. (m2 /jaar) weekend]]+Ruimtestaat[[#This Row],[Prest. (m2 /jaar) werkdagen]]</f>
        <v>0</v>
      </c>
      <c r="AM102" s="441">
        <f>Ruimtestaat[[#This Row],[uren / jaar weekend]]+Ruimtestaat[[#This Row],[uren / jaar werkdagen]]</f>
        <v>0</v>
      </c>
      <c r="AN102" s="446">
        <f>Ruimtestaat[[#This Row],[kosten / jaar weekend]]+Ruimtestaat[[#This Row],[kosten / jaar werkdagen]]</f>
        <v>0</v>
      </c>
      <c r="AO102" s="446"/>
      <c r="AP102" s="447" t="str">
        <f>IF(Ruimtestaat[[#This Row],[Frequentie werkdagen]]="","",_xlfn.CONCAT(Ruimtestaat[[#This Row],[Ruimte code]],"-",Ruimtestaat[[#This Row],[Frequentie werkdagen]]," ",Ruimtestaat[[#This Row],[Vloer code]]))</f>
        <v>6-5w L</v>
      </c>
      <c r="AQ102" s="448" t="str">
        <f>_xlfn.IFNA(VLOOKUP($AP102,Programma!$F$3:$G$1101,2,0),"")</f>
        <v>_</v>
      </c>
      <c r="AR102" s="448" t="str">
        <f>_xlfn.IFNA(VLOOKUP($AP102,Programma!$F$3:$H$1101,3,0),"")</f>
        <v>_</v>
      </c>
      <c r="AS102" s="448" t="str">
        <f>_xlfn.IFNA(VLOOKUP($AP102,Programma!$F$3:$I$1101,4,0),"")</f>
        <v>_</v>
      </c>
      <c r="AT102" s="448" t="str">
        <f>_xlfn.IFNA(VLOOKUP($AP102,Programma!$F$3:$J$1101,5,0),"")</f>
        <v>5w</v>
      </c>
      <c r="AU102" s="448" t="str">
        <f>_xlfn.IFNA(VLOOKUP($AP102,Programma!$F$3:$K$1101,6,0),"")</f>
        <v>_</v>
      </c>
      <c r="AV102" s="448" t="str">
        <f>_xlfn.IFNA(VLOOKUP($AP102,Programma!$F$3:$L$1101,7,0),"")</f>
        <v>_</v>
      </c>
      <c r="AW102" s="448" t="str">
        <f>_xlfn.IFNA(VLOOKUP($AP102,Programma!$F$3:$M$1101,8,0),"")</f>
        <v>_</v>
      </c>
      <c r="AX102" s="448" t="str">
        <f>_xlfn.IFNA(VLOOKUP($AP102,Programma!$F$3:$N$1101,9,0),"")</f>
        <v>_</v>
      </c>
      <c r="AY102" s="448" t="str">
        <f>_xlfn.IFNA(VLOOKUP($AP102,Programma!$F$3:$O$1101,10,0),"")</f>
        <v>5w</v>
      </c>
      <c r="AZ102" s="448" t="str">
        <f>_xlfn.IFNA(VLOOKUP($AP102,Programma!$F$3:$P$1101,11,0),"")</f>
        <v>5w</v>
      </c>
      <c r="BA102" s="448" t="str">
        <f>_xlfn.IFNA(VLOOKUP($AP102,Programma!$F$3:$Q$1101,12,0),"")</f>
        <v>1w</v>
      </c>
      <c r="BB102" s="448" t="str">
        <f>_xlfn.IFNA(VLOOKUP($AP102,Programma!$F$3:$R$1101,13,0),"")</f>
        <v>1w</v>
      </c>
      <c r="BC102" s="448" t="str">
        <f>_xlfn.IFNA(VLOOKUP($AP102,Programma!$F$3:$S$1101,14,0),"")</f>
        <v>1m</v>
      </c>
      <c r="BD102" s="448" t="str">
        <f>_xlfn.IFNA(VLOOKUP($AP102,Programma!$F$3:$T$1101,15,0),"")</f>
        <v>2j</v>
      </c>
      <c r="BE102" s="448" t="str">
        <f>_xlfn.IFNA(VLOOKUP($AP102,Programma!$F$3:$U$1101,16,0),"")</f>
        <v>1j</v>
      </c>
      <c r="BF102" s="448" t="str">
        <f>_xlfn.IFNA(VLOOKUP($AP102,Programma!$F$3:$V$1101,17,0),"")</f>
        <v>_</v>
      </c>
      <c r="BG102" s="448" t="str">
        <f>_xlfn.IFNA(VLOOKUP($AP102,Programma!$F$3:$W$1101,18,0),"")</f>
        <v>_</v>
      </c>
      <c r="BH102" s="448" t="str">
        <f>_xlfn.IFNA(VLOOKUP($AP102,Programma!$F$3:$X$1101,19,0),"")</f>
        <v>_</v>
      </c>
      <c r="BI102" s="448" t="str">
        <f>_xlfn.IFNA(VLOOKUP($AP102,Programma!$F$3:$Y$1101,20,0),"")</f>
        <v>_</v>
      </c>
      <c r="BJ102" s="449"/>
      <c r="BK102" s="447" t="str">
        <f>IF(Ruimtestaat[[#This Row],[Frequentie weekend]]="","",_xlfn.CONCAT(Ruimtestaat[[#This Row],[Ruimte code]],"-",Ruimtestaat[[#This Row],[Frequentie weekend]]," ",Ruimtestaat[[#This Row],[Vloer code]]))</f>
        <v/>
      </c>
      <c r="BL102" s="448" t="str">
        <f>_xlfn.IFNA(VLOOKUP($BK102,Programma!$F$3:$G$1101,2,0),"")</f>
        <v/>
      </c>
      <c r="BM102" s="448" t="str">
        <f>_xlfn.IFNA(VLOOKUP($BK102,Programma!$F$3:$H$1101,3,0),"")</f>
        <v/>
      </c>
      <c r="BN102" s="448" t="str">
        <f>_xlfn.IFNA(VLOOKUP($BK102,Programma!$F$3:$I$1101,4,0),"")</f>
        <v/>
      </c>
      <c r="BO102" s="448" t="str">
        <f>_xlfn.IFNA(VLOOKUP($BK102,Programma!$F$3:$J$1101,5,0),"")</f>
        <v/>
      </c>
      <c r="BP102" s="448" t="str">
        <f>_xlfn.IFNA(VLOOKUP($BK102,Programma!$F$3:$K$1101,6,0),"")</f>
        <v/>
      </c>
      <c r="BQ102" s="448" t="str">
        <f>_xlfn.IFNA(VLOOKUP($BK102,Programma!$F$3:$L$1101,7,0),"")</f>
        <v/>
      </c>
      <c r="BR102" s="448" t="str">
        <f>_xlfn.IFNA(VLOOKUP($BK102,Programma!$F$3:$M$1101,8,0),"")</f>
        <v/>
      </c>
      <c r="BS102" s="448" t="str">
        <f>_xlfn.IFNA(VLOOKUP($BK102,Programma!$F$3:$N$1101,9,0),"")</f>
        <v/>
      </c>
      <c r="BT102" s="448" t="str">
        <f>_xlfn.IFNA(VLOOKUP($BK102,Programma!$F$3:$O$1101,10,0),"")</f>
        <v/>
      </c>
      <c r="BU102" s="448" t="str">
        <f>_xlfn.IFNA(VLOOKUP($BK102,Programma!$F$3:$P$1101,11,0),"")</f>
        <v/>
      </c>
      <c r="BV102" s="448" t="str">
        <f>_xlfn.IFNA(VLOOKUP($BK102,Programma!$F$3:$Q$1101,12,0),"")</f>
        <v/>
      </c>
      <c r="BW102" s="448" t="str">
        <f>_xlfn.IFNA(VLOOKUP($BK102,Programma!$F$3:$R$1101,13,0),"")</f>
        <v/>
      </c>
      <c r="BX102" s="448" t="str">
        <f>_xlfn.IFNA(VLOOKUP($BK102,Programma!$F$3:$S$1101,14,0),"")</f>
        <v/>
      </c>
      <c r="BY102" s="448" t="str">
        <f>_xlfn.IFNA(VLOOKUP($BK102,Programma!$F$3:$T$1101,15,0),"")</f>
        <v/>
      </c>
      <c r="BZ102" s="448" t="str">
        <f>_xlfn.IFNA(VLOOKUP($BK102,Programma!$F$3:$U$1101,16,0),"")</f>
        <v/>
      </c>
      <c r="CA102" s="448" t="str">
        <f>_xlfn.IFNA(VLOOKUP($BK102,Programma!$F$3:$V$1101,17,0),"")</f>
        <v/>
      </c>
      <c r="CB102" s="448" t="str">
        <f>_xlfn.IFNA(VLOOKUP($BK102,Programma!$F$3:$W$1101,18,0),"")</f>
        <v/>
      </c>
      <c r="CC102" s="448" t="str">
        <f>_xlfn.IFNA(VLOOKUP($BK102,Programma!$F$3:$X$1101,19,0),"")</f>
        <v/>
      </c>
      <c r="CD102" s="448" t="str">
        <f>_xlfn.IFNA(VLOOKUP($BK102,Programma!$F$3:$Y$1101,20,0),"")</f>
        <v/>
      </c>
      <c r="CE102" s="327"/>
      <c r="CF102" s="327"/>
      <c r="CG102" s="327"/>
      <c r="CH102" s="327"/>
      <c r="CI102" s="327"/>
      <c r="CJ102" s="327"/>
      <c r="CK102" s="327"/>
      <c r="CL102" s="327"/>
      <c r="CM102" s="327"/>
      <c r="CN102" s="327"/>
      <c r="CO102" s="327"/>
      <c r="CP102" s="327"/>
      <c r="CQ102" s="327"/>
      <c r="CR102" s="327"/>
      <c r="CS102" s="327"/>
      <c r="CT102" s="327"/>
      <c r="CU102" s="327"/>
      <c r="CV102" s="327"/>
      <c r="CW102" s="327"/>
      <c r="CX102" s="327"/>
      <c r="CY102" s="327"/>
      <c r="CZ102" s="327"/>
      <c r="DA102" s="327"/>
      <c r="DB102" s="327"/>
      <c r="DC102" s="327"/>
      <c r="DD102" s="327"/>
      <c r="DE102" s="327"/>
      <c r="DF102" s="327"/>
      <c r="DG102" s="327"/>
      <c r="DH102" s="327"/>
      <c r="DI102" s="327"/>
      <c r="DJ102" s="327"/>
      <c r="DK102" s="327"/>
      <c r="DL102" s="327"/>
      <c r="DM102" s="327"/>
      <c r="DN102" s="327"/>
      <c r="DO102" s="327"/>
      <c r="DP102" s="327"/>
      <c r="DQ102" s="327"/>
      <c r="DR102" s="327"/>
      <c r="DS102" s="327"/>
      <c r="DT102" s="327"/>
      <c r="DU102" s="327"/>
      <c r="DV102" s="327"/>
      <c r="DW102" s="327"/>
      <c r="DX102" s="327"/>
      <c r="DY102" s="327"/>
      <c r="DZ102" s="327"/>
      <c r="EA102" s="327"/>
      <c r="EB102" s="327"/>
      <c r="EC102" s="327"/>
      <c r="ED102" s="327"/>
      <c r="EE102" s="327"/>
      <c r="EF102" s="327"/>
      <c r="EG102" s="327"/>
      <c r="EH102" s="327"/>
      <c r="EI102" s="327"/>
      <c r="EJ102" s="327"/>
      <c r="EK102" s="327"/>
      <c r="EL102" s="327"/>
      <c r="EM102" s="327"/>
      <c r="EN102" s="327"/>
      <c r="EO102" s="327"/>
      <c r="EP102" s="327"/>
      <c r="EQ102" s="327"/>
      <c r="ER102" s="327"/>
      <c r="ES102" s="327"/>
      <c r="ET102" s="327"/>
      <c r="EU102" s="327"/>
      <c r="EV102" s="327"/>
      <c r="EW102" s="327"/>
      <c r="EX102" s="327"/>
      <c r="EY102" s="327"/>
      <c r="EZ102" s="327"/>
      <c r="FA102" s="327"/>
      <c r="FB102" s="327"/>
      <c r="FC102" s="327"/>
      <c r="FD102" s="327"/>
      <c r="FE102" s="327"/>
      <c r="FF102" s="327"/>
      <c r="FG102" s="327"/>
      <c r="FH102" s="327"/>
      <c r="FI102" s="327"/>
      <c r="FJ102" s="327"/>
      <c r="FK102" s="327"/>
      <c r="FL102" s="327"/>
      <c r="FM102" s="327"/>
      <c r="FN102" s="327"/>
      <c r="FO102" s="327"/>
      <c r="FP102" s="327"/>
      <c r="FQ102" s="327"/>
      <c r="FR102" s="327"/>
      <c r="FS102" s="327"/>
      <c r="FT102" s="327"/>
      <c r="FU102" s="327"/>
      <c r="FV102" s="327"/>
      <c r="FW102" s="327"/>
      <c r="FX102" s="327"/>
      <c r="FY102" s="327"/>
      <c r="FZ102" s="327"/>
      <c r="GA102" s="327"/>
      <c r="GB102" s="327"/>
      <c r="GC102" s="327"/>
      <c r="GD102" s="327"/>
      <c r="GE102" s="327"/>
      <c r="GF102" s="327"/>
      <c r="GG102" s="327"/>
      <c r="GH102" s="327"/>
      <c r="GI102" s="327"/>
      <c r="GJ102" s="327"/>
      <c r="GK102" s="327"/>
      <c r="GL102" s="327"/>
      <c r="GM102" s="327"/>
      <c r="GN102" s="327"/>
      <c r="GO102" s="327"/>
      <c r="GP102" s="327"/>
      <c r="GQ102" s="327"/>
      <c r="GR102" s="327"/>
      <c r="GS102" s="327"/>
      <c r="GT102" s="327"/>
      <c r="GU102" s="327"/>
      <c r="GV102" s="327"/>
      <c r="GW102" s="327"/>
      <c r="GX102" s="327"/>
      <c r="GY102" s="327"/>
      <c r="GZ102" s="327"/>
      <c r="HA102" s="327"/>
      <c r="HB102" s="327"/>
      <c r="HC102" s="327"/>
      <c r="HD102" s="327"/>
      <c r="HE102" s="327"/>
      <c r="HF102" s="327"/>
      <c r="HG102" s="327"/>
      <c r="HH102" s="327"/>
      <c r="HI102" s="327"/>
      <c r="HJ102" s="327"/>
      <c r="HK102" s="327"/>
      <c r="HL102" s="327"/>
      <c r="HM102" s="327"/>
      <c r="HN102" s="327"/>
      <c r="HO102" s="327"/>
      <c r="HP102" s="327"/>
      <c r="HQ102" s="327"/>
      <c r="HR102" s="327"/>
      <c r="HS102" s="327"/>
    </row>
    <row r="103" spans="1:227" ht="15" customHeight="1">
      <c r="A103" s="330">
        <v>5</v>
      </c>
      <c r="B103" s="435" t="str">
        <f>VLOOKUP(Ruimtestaat[[#This Row],[Code]],Locaties[[Code]:[Locatie]],2,FALSE)</f>
        <v>IKC De Springplank</v>
      </c>
      <c r="C103" s="435" t="str">
        <f>VLOOKUP(Ruimtestaat[[#This Row],[Code]],Locaties[[#All],[Code]:[Adres]],4,FALSE)</f>
        <v>Irisvaart 6-8</v>
      </c>
      <c r="D103" s="435" t="str">
        <f>VLOOKUP(Ruimtestaat[[#This Row],[Code]],Locaties[[#All],[Code]:[Postcode]],5,FALSE)</f>
        <v>2724 TT</v>
      </c>
      <c r="E103" s="435" t="str">
        <f>VLOOKUP(Ruimtestaat[[#This Row],[Code]],Locaties[#All],6,FALSE)</f>
        <v>Zoetermeer</v>
      </c>
      <c r="F103" s="434"/>
      <c r="G103" s="434" t="s">
        <v>1678</v>
      </c>
      <c r="H103" s="436" t="s">
        <v>1692</v>
      </c>
      <c r="I103" s="437" t="s">
        <v>1666</v>
      </c>
      <c r="J103" s="330">
        <v>2</v>
      </c>
      <c r="K103" s="450" t="str">
        <f>VLOOKUP(Ruimtestaat[[#This Row],[Ruimte code]],Ruimtegroepen[[#All],[Code]:[Ruimte omschrijving]],2,FALSE)</f>
        <v>Kantoren</v>
      </c>
      <c r="L103" s="434" t="s">
        <v>99</v>
      </c>
      <c r="M103" s="437" t="s">
        <v>36</v>
      </c>
      <c r="N103" s="439">
        <v>28</v>
      </c>
      <c r="O103" s="439"/>
      <c r="P103" s="439"/>
      <c r="Q103" s="439"/>
      <c r="R103" s="440" t="str">
        <f>VLOOKUP(Ruimtestaat[[#This Row],[Ruimte code]],Ruimtegroepen[],4,FALSE)</f>
        <v>Bu</v>
      </c>
      <c r="S103" s="434">
        <v>41</v>
      </c>
      <c r="T103" s="434" t="s">
        <v>17</v>
      </c>
      <c r="U103" s="434">
        <f>IF(S103&gt;0,IF(RIGHT(Ruimtestaat[[#This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03" s="434">
        <f>IF(U103&gt;0,VLOOKUP($J103,Ruimtegroepen[],3,FALSE)*VLOOKUP($L103,Vloersoorten[],3,FALSE)*VLOOKUP($T103,Frequenties[],3,FALSE)*VLOOKUP($A103,Locaties[],3,FALSE),0)</f>
        <v>0</v>
      </c>
      <c r="W103" s="434">
        <f>Ruimtestaat[[#This Row],[Uitvoeringen werkdagen]]*Ruimtestaat[[#This Row],[Oppervlak (netto)]]</f>
        <v>2296</v>
      </c>
      <c r="X103" s="441">
        <f>IF(V103&gt;0,Ruimtestaat[[#This Row],[Prest. (m2 /jaar) werkdagen]]/Ruimtestaat[[#This Row],[Norm (m2/uur) werkdagen]],0)</f>
        <v>0</v>
      </c>
      <c r="Y103" s="442">
        <f>Ruimtestaat[[#This Row],[Uitvoeringen werkdagen]]*Ruimtestaat[[#This Row],[Gedeeltelijk]]</f>
        <v>0</v>
      </c>
      <c r="Z103" s="443" t="e">
        <f>IF(U103&gt;0,Ruimtestaat[[#This Row],[Prest. (m2 / jaar) werkdagen gedeeld]]/Ruimtestaat[[#This Row],[Norm (m2/uur) werkdagen]],0)</f>
        <v>#DIV/0!</v>
      </c>
      <c r="AA103" s="441" t="e">
        <f>Ruimtestaat[[#This Row],[uren / jaar werkdagen gedeeld]]*Tariefsopbouw!$E$35</f>
        <v>#DIV/0!</v>
      </c>
      <c r="AB103" s="441">
        <f>Ruimtestaat[[#This Row],[Uitvoeringen werkdagen]]*Ruimtestaat[[#This Row],[BSO]]</f>
        <v>0</v>
      </c>
      <c r="AC103" s="443" t="e">
        <f>IF(U103&gt;0,Ruimtestaat[[#This Row],[Prest. (m2 / jaar) werkdagen BSO]]/Ruimtestaat[[#This Row],[Norm (m2/uur) werkdagen]],0)</f>
        <v>#DIV/0!</v>
      </c>
      <c r="AD103" s="443" t="e">
        <f>Ruimtestaat[[#This Row],[uren / jaar werkdagen BSO]]*Tariefsopbouw!$E$35</f>
        <v>#DIV/0!</v>
      </c>
      <c r="AE103" s="444">
        <f>Ruimtestaat[[#This Row],[uren / jaar werkdagen]]*Tariefsopbouw!$E$35</f>
        <v>0</v>
      </c>
      <c r="AF103" s="434"/>
      <c r="AG103" s="434">
        <f>IF(Ruimtestaat[[#This Row],[Frequentie weekend]]&gt;0,VALUE(LEFT(AF103,1))*S103,0)</f>
        <v>0</v>
      </c>
      <c r="AH103" s="445">
        <f>IF($AG103&gt;0,VLOOKUP($J103,Ruimtegroepen[],3,FALSE)*VLOOKUP($L103,Vloersoorten[],3,FALSE)*VLOOKUP($AF103,Frequenties[],3,FALSE)*VLOOKUP(Ruimtestaat[[#This Row],[Code]],Locaties[],3,FALSE),0)</f>
        <v>0</v>
      </c>
      <c r="AI103" s="445">
        <f>Ruimtestaat[[#This Row],[Uitvoeringen weekend]]*Ruimtestaat[[#This Row],[Oppervlak (netto)]]</f>
        <v>0</v>
      </c>
      <c r="AJ103" s="445">
        <f>IF(AH103&gt;0,Ruimtestaat[[#This Row],[Prest. (m2 /jaar) weekend]]/Ruimtestaat[[#This Row],[Norm (m2/uur) weekend]],0)</f>
        <v>0</v>
      </c>
      <c r="AK103" s="444">
        <f>Ruimtestaat[[#This Row],[uren / jaar weekend]]*Tariefsopbouw!$D$40</f>
        <v>0</v>
      </c>
      <c r="AL103" s="441">
        <f>Ruimtestaat[[#This Row],[Prest. (m2 /jaar) weekend]]+Ruimtestaat[[#This Row],[Prest. (m2 /jaar) werkdagen]]</f>
        <v>2296</v>
      </c>
      <c r="AM103" s="441">
        <f>Ruimtestaat[[#This Row],[uren / jaar weekend]]+Ruimtestaat[[#This Row],[uren / jaar werkdagen]]</f>
        <v>0</v>
      </c>
      <c r="AN103" s="446">
        <f>Ruimtestaat[[#This Row],[kosten / jaar weekend]]+Ruimtestaat[[#This Row],[kosten / jaar werkdagen]]</f>
        <v>0</v>
      </c>
      <c r="AO103" s="446"/>
      <c r="AP103" s="447" t="str">
        <f>IF(Ruimtestaat[[#This Row],[Frequentie werkdagen]]="","",_xlfn.CONCAT(Ruimtestaat[[#This Row],[Ruimte code]],"-",Ruimtestaat[[#This Row],[Frequentie werkdagen]]," ",Ruimtestaat[[#This Row],[Vloer code]]))</f>
        <v>2-2w T</v>
      </c>
      <c r="AQ103" s="448" t="str">
        <f>_xlfn.IFNA(VLOOKUP($AP103,Programma!$F$3:$G$1101,2,0),"")</f>
        <v>1w</v>
      </c>
      <c r="AR103" s="448" t="str">
        <f>_xlfn.IFNA(VLOOKUP($AP103,Programma!$F$3:$H$1101,3,0),"")</f>
        <v>1w</v>
      </c>
      <c r="AS103" s="448" t="str">
        <f>_xlfn.IFNA(VLOOKUP($AP103,Programma!$F$3:$I$1101,4,0),"")</f>
        <v>_</v>
      </c>
      <c r="AT103" s="448" t="str">
        <f>_xlfn.IFNA(VLOOKUP($AP103,Programma!$F$3:$J$1101,5,0),"")</f>
        <v>_</v>
      </c>
      <c r="AU103" s="448" t="str">
        <f>_xlfn.IFNA(VLOOKUP($AP103,Programma!$F$3:$K$1101,6,0),"")</f>
        <v>_</v>
      </c>
      <c r="AV103" s="448" t="str">
        <f>_xlfn.IFNA(VLOOKUP($AP103,Programma!$F$3:$L$1101,7,0),"")</f>
        <v>_</v>
      </c>
      <c r="AW103" s="448" t="str">
        <f>_xlfn.IFNA(VLOOKUP($AP103,Programma!$F$3:$M$1101,8,0),"")</f>
        <v>_</v>
      </c>
      <c r="AX103" s="448" t="str">
        <f>_xlfn.IFNA(VLOOKUP($AP103,Programma!$F$3:$N$1101,9,0),"")</f>
        <v>_</v>
      </c>
      <c r="AY103" s="448" t="str">
        <f>_xlfn.IFNA(VLOOKUP($AP103,Programma!$F$3:$O$1101,10,0),"")</f>
        <v>2w</v>
      </c>
      <c r="AZ103" s="448" t="str">
        <f>_xlfn.IFNA(VLOOKUP($AP103,Programma!$F$3:$P$1101,11,0),"")</f>
        <v>2w</v>
      </c>
      <c r="BA103" s="448" t="str">
        <f>_xlfn.IFNA(VLOOKUP($AP103,Programma!$F$3:$Q$1101,12,0),"")</f>
        <v>1w</v>
      </c>
      <c r="BB103" s="448" t="str">
        <f>_xlfn.IFNA(VLOOKUP($AP103,Programma!$F$3:$R$1101,13,0),"")</f>
        <v>1w</v>
      </c>
      <c r="BC103" s="448" t="str">
        <f>_xlfn.IFNA(VLOOKUP($AP103,Programma!$F$3:$S$1101,14,0),"")</f>
        <v>1m</v>
      </c>
      <c r="BD103" s="448" t="str">
        <f>_xlfn.IFNA(VLOOKUP($AP103,Programma!$F$3:$T$1101,15,0),"")</f>
        <v>2j</v>
      </c>
      <c r="BE103" s="448" t="str">
        <f>_xlfn.IFNA(VLOOKUP($AP103,Programma!$F$3:$U$1101,16,0),"")</f>
        <v>1j</v>
      </c>
      <c r="BF103" s="448" t="str">
        <f>_xlfn.IFNA(VLOOKUP($AP103,Programma!$F$3:$V$1101,17,0),"")</f>
        <v>_</v>
      </c>
      <c r="BG103" s="448" t="str">
        <f>_xlfn.IFNA(VLOOKUP($AP103,Programma!$F$3:$W$1101,18,0),"")</f>
        <v>_</v>
      </c>
      <c r="BH103" s="448" t="str">
        <f>_xlfn.IFNA(VLOOKUP($AP103,Programma!$F$3:$X$1101,19,0),"")</f>
        <v>_</v>
      </c>
      <c r="BI103" s="448" t="str">
        <f>_xlfn.IFNA(VLOOKUP($AP103,Programma!$F$3:$Y$1101,20,0),"")</f>
        <v>_</v>
      </c>
      <c r="BJ103" s="449"/>
      <c r="BK103" s="447" t="str">
        <f>IF(Ruimtestaat[[#This Row],[Frequentie weekend]]="","",_xlfn.CONCAT(Ruimtestaat[[#This Row],[Ruimte code]],"-",Ruimtestaat[[#This Row],[Frequentie weekend]]," ",Ruimtestaat[[#This Row],[Vloer code]]))</f>
        <v/>
      </c>
      <c r="BL103" s="448" t="str">
        <f>_xlfn.IFNA(VLOOKUP($BK103,Programma!$F$3:$G$1101,2,0),"")</f>
        <v/>
      </c>
      <c r="BM103" s="448" t="str">
        <f>_xlfn.IFNA(VLOOKUP($BK103,Programma!$F$3:$H$1101,3,0),"")</f>
        <v/>
      </c>
      <c r="BN103" s="448" t="str">
        <f>_xlfn.IFNA(VLOOKUP($BK103,Programma!$F$3:$I$1101,4,0),"")</f>
        <v/>
      </c>
      <c r="BO103" s="448" t="str">
        <f>_xlfn.IFNA(VLOOKUP($BK103,Programma!$F$3:$J$1101,5,0),"")</f>
        <v/>
      </c>
      <c r="BP103" s="448" t="str">
        <f>_xlfn.IFNA(VLOOKUP($BK103,Programma!$F$3:$K$1101,6,0),"")</f>
        <v/>
      </c>
      <c r="BQ103" s="448" t="str">
        <f>_xlfn.IFNA(VLOOKUP($BK103,Programma!$F$3:$L$1101,7,0),"")</f>
        <v/>
      </c>
      <c r="BR103" s="448" t="str">
        <f>_xlfn.IFNA(VLOOKUP($BK103,Programma!$F$3:$M$1101,8,0),"")</f>
        <v/>
      </c>
      <c r="BS103" s="448" t="str">
        <f>_xlfn.IFNA(VLOOKUP($BK103,Programma!$F$3:$N$1101,9,0),"")</f>
        <v/>
      </c>
      <c r="BT103" s="448" t="str">
        <f>_xlfn.IFNA(VLOOKUP($BK103,Programma!$F$3:$O$1101,10,0),"")</f>
        <v/>
      </c>
      <c r="BU103" s="448" t="str">
        <f>_xlfn.IFNA(VLOOKUP($BK103,Programma!$F$3:$P$1101,11,0),"")</f>
        <v/>
      </c>
      <c r="BV103" s="448" t="str">
        <f>_xlfn.IFNA(VLOOKUP($BK103,Programma!$F$3:$Q$1101,12,0),"")</f>
        <v/>
      </c>
      <c r="BW103" s="448" t="str">
        <f>_xlfn.IFNA(VLOOKUP($BK103,Programma!$F$3:$R$1101,13,0),"")</f>
        <v/>
      </c>
      <c r="BX103" s="448" t="str">
        <f>_xlfn.IFNA(VLOOKUP($BK103,Programma!$F$3:$S$1101,14,0),"")</f>
        <v/>
      </c>
      <c r="BY103" s="448" t="str">
        <f>_xlfn.IFNA(VLOOKUP($BK103,Programma!$F$3:$T$1101,15,0),"")</f>
        <v/>
      </c>
      <c r="BZ103" s="448" t="str">
        <f>_xlfn.IFNA(VLOOKUP($BK103,Programma!$F$3:$U$1101,16,0),"")</f>
        <v/>
      </c>
      <c r="CA103" s="448" t="str">
        <f>_xlfn.IFNA(VLOOKUP($BK103,Programma!$F$3:$V$1101,17,0),"")</f>
        <v/>
      </c>
      <c r="CB103" s="448" t="str">
        <f>_xlfn.IFNA(VLOOKUP($BK103,Programma!$F$3:$W$1101,18,0),"")</f>
        <v/>
      </c>
      <c r="CC103" s="448" t="str">
        <f>_xlfn.IFNA(VLOOKUP($BK103,Programma!$F$3:$X$1101,19,0),"")</f>
        <v/>
      </c>
      <c r="CD103" s="448" t="str">
        <f>_xlfn.IFNA(VLOOKUP($BK103,Programma!$F$3:$Y$1101,20,0),"")</f>
        <v/>
      </c>
      <c r="CE103" s="327"/>
      <c r="CF103" s="327"/>
      <c r="CG103" s="327"/>
      <c r="CH103" s="327"/>
      <c r="CI103" s="327"/>
      <c r="CJ103" s="327"/>
      <c r="CK103" s="327"/>
      <c r="CL103" s="327"/>
      <c r="CM103" s="327"/>
      <c r="CN103" s="327"/>
      <c r="CO103" s="327"/>
      <c r="CP103" s="327"/>
      <c r="CQ103" s="327"/>
      <c r="CR103" s="327"/>
      <c r="CS103" s="327"/>
      <c r="CT103" s="327"/>
      <c r="CU103" s="327"/>
      <c r="CV103" s="327"/>
      <c r="CW103" s="327"/>
      <c r="CX103" s="327"/>
      <c r="CY103" s="327"/>
      <c r="CZ103" s="327"/>
      <c r="DA103" s="327"/>
      <c r="DB103" s="327"/>
      <c r="DC103" s="327"/>
      <c r="DD103" s="327"/>
      <c r="DE103" s="327"/>
      <c r="DF103" s="327"/>
      <c r="DG103" s="327"/>
      <c r="DH103" s="327"/>
      <c r="DI103" s="327"/>
      <c r="DJ103" s="327"/>
      <c r="DK103" s="327"/>
      <c r="DL103" s="327"/>
      <c r="DM103" s="327"/>
      <c r="DN103" s="327"/>
      <c r="DO103" s="327"/>
      <c r="DP103" s="327"/>
      <c r="DQ103" s="327"/>
      <c r="DR103" s="327"/>
      <c r="DS103" s="327"/>
      <c r="DT103" s="327"/>
      <c r="DU103" s="327"/>
      <c r="DV103" s="327"/>
      <c r="DW103" s="327"/>
      <c r="DX103" s="327"/>
      <c r="DY103" s="327"/>
      <c r="DZ103" s="327"/>
      <c r="EA103" s="327"/>
      <c r="EB103" s="327"/>
      <c r="EC103" s="327"/>
      <c r="ED103" s="327"/>
      <c r="EE103" s="327"/>
      <c r="EF103" s="327"/>
      <c r="EG103" s="327"/>
      <c r="EH103" s="327"/>
      <c r="EI103" s="327"/>
      <c r="EJ103" s="327"/>
      <c r="EK103" s="327"/>
      <c r="EL103" s="327"/>
      <c r="EM103" s="327"/>
      <c r="EN103" s="327"/>
      <c r="EO103" s="327"/>
      <c r="EP103" s="327"/>
      <c r="EQ103" s="327"/>
      <c r="ER103" s="327"/>
      <c r="ES103" s="327"/>
      <c r="ET103" s="327"/>
      <c r="EU103" s="327"/>
      <c r="EV103" s="327"/>
      <c r="EW103" s="327"/>
      <c r="EX103" s="327"/>
      <c r="EY103" s="327"/>
      <c r="EZ103" s="327"/>
      <c r="FA103" s="327"/>
      <c r="FB103" s="327"/>
      <c r="FC103" s="327"/>
      <c r="FD103" s="327"/>
      <c r="FE103" s="327"/>
      <c r="FF103" s="327"/>
      <c r="FG103" s="327"/>
      <c r="FH103" s="327"/>
      <c r="FI103" s="327"/>
      <c r="FJ103" s="327"/>
      <c r="FK103" s="327"/>
      <c r="FL103" s="327"/>
      <c r="FM103" s="327"/>
      <c r="FN103" s="327"/>
      <c r="FO103" s="327"/>
      <c r="FP103" s="327"/>
      <c r="FQ103" s="327"/>
      <c r="FR103" s="327"/>
      <c r="FS103" s="327"/>
      <c r="FT103" s="327"/>
      <c r="FU103" s="327"/>
      <c r="FV103" s="327"/>
      <c r="FW103" s="327"/>
      <c r="FX103" s="327"/>
      <c r="FY103" s="327"/>
      <c r="FZ103" s="327"/>
      <c r="GA103" s="327"/>
      <c r="GB103" s="327"/>
      <c r="GC103" s="327"/>
      <c r="GD103" s="327"/>
      <c r="GE103" s="327"/>
      <c r="GF103" s="327"/>
      <c r="GG103" s="327"/>
      <c r="GH103" s="327"/>
      <c r="GI103" s="327"/>
      <c r="GJ103" s="327"/>
      <c r="GK103" s="327"/>
      <c r="GL103" s="327"/>
      <c r="GM103" s="327"/>
      <c r="GN103" s="327"/>
      <c r="GO103" s="327"/>
      <c r="GP103" s="327"/>
      <c r="GQ103" s="327"/>
      <c r="GR103" s="327"/>
      <c r="GS103" s="327"/>
      <c r="GT103" s="327"/>
      <c r="GU103" s="327"/>
      <c r="GV103" s="327"/>
      <c r="GW103" s="327"/>
      <c r="GX103" s="327"/>
      <c r="GY103" s="327"/>
      <c r="GZ103" s="327"/>
      <c r="HA103" s="327"/>
      <c r="HB103" s="327"/>
      <c r="HC103" s="327"/>
      <c r="HD103" s="327"/>
      <c r="HE103" s="327"/>
      <c r="HF103" s="327"/>
      <c r="HG103" s="327"/>
      <c r="HH103" s="327"/>
      <c r="HI103" s="327"/>
      <c r="HJ103" s="327"/>
      <c r="HK103" s="327"/>
      <c r="HL103" s="327"/>
      <c r="HM103" s="327"/>
      <c r="HN103" s="327"/>
      <c r="HO103" s="327"/>
      <c r="HP103" s="327"/>
      <c r="HQ103" s="327"/>
      <c r="HR103" s="327"/>
      <c r="HS103" s="327"/>
    </row>
    <row r="104" spans="1:227" ht="15" customHeight="1">
      <c r="A104" s="330">
        <v>5</v>
      </c>
      <c r="B104" s="435" t="str">
        <f>VLOOKUP(Ruimtestaat[[#This Row],[Code]],Locaties[[Code]:[Locatie]],2,FALSE)</f>
        <v>IKC De Springplank</v>
      </c>
      <c r="C104" s="435" t="str">
        <f>VLOOKUP(Ruimtestaat[[#This Row],[Code]],Locaties[[#All],[Code]:[Adres]],4,FALSE)</f>
        <v>Irisvaart 6-8</v>
      </c>
      <c r="D104" s="435" t="str">
        <f>VLOOKUP(Ruimtestaat[[#This Row],[Code]],Locaties[[#All],[Code]:[Postcode]],5,FALSE)</f>
        <v>2724 TT</v>
      </c>
      <c r="E104" s="435" t="str">
        <f>VLOOKUP(Ruimtestaat[[#This Row],[Code]],Locaties[#All],6,FALSE)</f>
        <v>Zoetermeer</v>
      </c>
      <c r="F104" s="434"/>
      <c r="G104" s="434" t="s">
        <v>1678</v>
      </c>
      <c r="H104" s="436" t="s">
        <v>1693</v>
      </c>
      <c r="I104" s="437" t="s">
        <v>1666</v>
      </c>
      <c r="J104" s="330">
        <v>2</v>
      </c>
      <c r="K104" s="450" t="str">
        <f>VLOOKUP(Ruimtestaat[[#This Row],[Ruimte code]],Ruimtegroepen[[#All],[Code]:[Ruimte omschrijving]],2,FALSE)</f>
        <v>Kantoren</v>
      </c>
      <c r="L104" s="434" t="s">
        <v>99</v>
      </c>
      <c r="M104" s="437" t="s">
        <v>36</v>
      </c>
      <c r="N104" s="439">
        <v>31</v>
      </c>
      <c r="O104" s="439"/>
      <c r="P104" s="439"/>
      <c r="Q104" s="439"/>
      <c r="R104" s="440" t="str">
        <f>VLOOKUP(Ruimtestaat[[#This Row],[Ruimte code]],Ruimtegroepen[],4,FALSE)</f>
        <v>Bu</v>
      </c>
      <c r="S104" s="434">
        <v>41</v>
      </c>
      <c r="T104" s="434" t="s">
        <v>17</v>
      </c>
      <c r="U104" s="434">
        <f>IF(S104&gt;0,IF(RIGHT(Ruimtestaat[[#This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04" s="434">
        <f>IF(U104&gt;0,VLOOKUP($J104,Ruimtegroepen[],3,FALSE)*VLOOKUP($L104,Vloersoorten[],3,FALSE)*VLOOKUP($T104,Frequenties[],3,FALSE)*VLOOKUP($A104,Locaties[],3,FALSE),0)</f>
        <v>0</v>
      </c>
      <c r="W104" s="434">
        <f>Ruimtestaat[[#This Row],[Uitvoeringen werkdagen]]*Ruimtestaat[[#This Row],[Oppervlak (netto)]]</f>
        <v>2542</v>
      </c>
      <c r="X104" s="441">
        <f>IF(V104&gt;0,Ruimtestaat[[#This Row],[Prest. (m2 /jaar) werkdagen]]/Ruimtestaat[[#This Row],[Norm (m2/uur) werkdagen]],0)</f>
        <v>0</v>
      </c>
      <c r="Y104" s="442">
        <f>Ruimtestaat[[#This Row],[Uitvoeringen werkdagen]]*Ruimtestaat[[#This Row],[Gedeeltelijk]]</f>
        <v>0</v>
      </c>
      <c r="Z104" s="443" t="e">
        <f>IF(U104&gt;0,Ruimtestaat[[#This Row],[Prest. (m2 / jaar) werkdagen gedeeld]]/Ruimtestaat[[#This Row],[Norm (m2/uur) werkdagen]],0)</f>
        <v>#DIV/0!</v>
      </c>
      <c r="AA104" s="441" t="e">
        <f>Ruimtestaat[[#This Row],[uren / jaar werkdagen gedeeld]]*Tariefsopbouw!$E$35</f>
        <v>#DIV/0!</v>
      </c>
      <c r="AB104" s="441">
        <f>Ruimtestaat[[#This Row],[Uitvoeringen werkdagen]]*Ruimtestaat[[#This Row],[BSO]]</f>
        <v>0</v>
      </c>
      <c r="AC104" s="443" t="e">
        <f>IF(U104&gt;0,Ruimtestaat[[#This Row],[Prest. (m2 / jaar) werkdagen BSO]]/Ruimtestaat[[#This Row],[Norm (m2/uur) werkdagen]],0)</f>
        <v>#DIV/0!</v>
      </c>
      <c r="AD104" s="443" t="e">
        <f>Ruimtestaat[[#This Row],[uren / jaar werkdagen BSO]]*Tariefsopbouw!$E$35</f>
        <v>#DIV/0!</v>
      </c>
      <c r="AE104" s="444">
        <f>Ruimtestaat[[#This Row],[uren / jaar werkdagen]]*Tariefsopbouw!$E$35</f>
        <v>0</v>
      </c>
      <c r="AF104" s="434"/>
      <c r="AG104" s="434">
        <f>IF(Ruimtestaat[[#This Row],[Frequentie weekend]]&gt;0,VALUE(LEFT(AF104,1))*S104,0)</f>
        <v>0</v>
      </c>
      <c r="AH104" s="445">
        <f>IF($AG104&gt;0,VLOOKUP($J104,Ruimtegroepen[],3,FALSE)*VLOOKUP($L104,Vloersoorten[],3,FALSE)*VLOOKUP($AF104,Frequenties[],3,FALSE)*VLOOKUP(Ruimtestaat[[#This Row],[Code]],Locaties[],3,FALSE),0)</f>
        <v>0</v>
      </c>
      <c r="AI104" s="445">
        <f>Ruimtestaat[[#This Row],[Uitvoeringen weekend]]*Ruimtestaat[[#This Row],[Oppervlak (netto)]]</f>
        <v>0</v>
      </c>
      <c r="AJ104" s="445">
        <f>IF(AH104&gt;0,Ruimtestaat[[#This Row],[Prest. (m2 /jaar) weekend]]/Ruimtestaat[[#This Row],[Norm (m2/uur) weekend]],0)</f>
        <v>0</v>
      </c>
      <c r="AK104" s="444">
        <f>Ruimtestaat[[#This Row],[uren / jaar weekend]]*Tariefsopbouw!$D$40</f>
        <v>0</v>
      </c>
      <c r="AL104" s="441">
        <f>Ruimtestaat[[#This Row],[Prest. (m2 /jaar) weekend]]+Ruimtestaat[[#This Row],[Prest. (m2 /jaar) werkdagen]]</f>
        <v>2542</v>
      </c>
      <c r="AM104" s="441">
        <f>Ruimtestaat[[#This Row],[uren / jaar weekend]]+Ruimtestaat[[#This Row],[uren / jaar werkdagen]]</f>
        <v>0</v>
      </c>
      <c r="AN104" s="446">
        <f>Ruimtestaat[[#This Row],[kosten / jaar weekend]]+Ruimtestaat[[#This Row],[kosten / jaar werkdagen]]</f>
        <v>0</v>
      </c>
      <c r="AO104" s="446"/>
      <c r="AP104" s="447" t="str">
        <f>IF(Ruimtestaat[[#This Row],[Frequentie werkdagen]]="","",_xlfn.CONCAT(Ruimtestaat[[#This Row],[Ruimte code]],"-",Ruimtestaat[[#This Row],[Frequentie werkdagen]]," ",Ruimtestaat[[#This Row],[Vloer code]]))</f>
        <v>2-2w T</v>
      </c>
      <c r="AQ104" s="448" t="str">
        <f>_xlfn.IFNA(VLOOKUP($AP104,Programma!$F$3:$G$1101,2,0),"")</f>
        <v>1w</v>
      </c>
      <c r="AR104" s="448" t="str">
        <f>_xlfn.IFNA(VLOOKUP($AP104,Programma!$F$3:$H$1101,3,0),"")</f>
        <v>1w</v>
      </c>
      <c r="AS104" s="448" t="str">
        <f>_xlfn.IFNA(VLOOKUP($AP104,Programma!$F$3:$I$1101,4,0),"")</f>
        <v>_</v>
      </c>
      <c r="AT104" s="448" t="str">
        <f>_xlfn.IFNA(VLOOKUP($AP104,Programma!$F$3:$J$1101,5,0),"")</f>
        <v>_</v>
      </c>
      <c r="AU104" s="448" t="str">
        <f>_xlfn.IFNA(VLOOKUP($AP104,Programma!$F$3:$K$1101,6,0),"")</f>
        <v>_</v>
      </c>
      <c r="AV104" s="448" t="str">
        <f>_xlfn.IFNA(VLOOKUP($AP104,Programma!$F$3:$L$1101,7,0),"")</f>
        <v>_</v>
      </c>
      <c r="AW104" s="448" t="str">
        <f>_xlfn.IFNA(VLOOKUP($AP104,Programma!$F$3:$M$1101,8,0),"")</f>
        <v>_</v>
      </c>
      <c r="AX104" s="448" t="str">
        <f>_xlfn.IFNA(VLOOKUP($AP104,Programma!$F$3:$N$1101,9,0),"")</f>
        <v>_</v>
      </c>
      <c r="AY104" s="448" t="str">
        <f>_xlfn.IFNA(VLOOKUP($AP104,Programma!$F$3:$O$1101,10,0),"")</f>
        <v>2w</v>
      </c>
      <c r="AZ104" s="448" t="str">
        <f>_xlfn.IFNA(VLOOKUP($AP104,Programma!$F$3:$P$1101,11,0),"")</f>
        <v>2w</v>
      </c>
      <c r="BA104" s="448" t="str">
        <f>_xlfn.IFNA(VLOOKUP($AP104,Programma!$F$3:$Q$1101,12,0),"")</f>
        <v>1w</v>
      </c>
      <c r="BB104" s="448" t="str">
        <f>_xlfn.IFNA(VLOOKUP($AP104,Programma!$F$3:$R$1101,13,0),"")</f>
        <v>1w</v>
      </c>
      <c r="BC104" s="448" t="str">
        <f>_xlfn.IFNA(VLOOKUP($AP104,Programma!$F$3:$S$1101,14,0),"")</f>
        <v>1m</v>
      </c>
      <c r="BD104" s="448" t="str">
        <f>_xlfn.IFNA(VLOOKUP($AP104,Programma!$F$3:$T$1101,15,0),"")</f>
        <v>2j</v>
      </c>
      <c r="BE104" s="448" t="str">
        <f>_xlfn.IFNA(VLOOKUP($AP104,Programma!$F$3:$U$1101,16,0),"")</f>
        <v>1j</v>
      </c>
      <c r="BF104" s="448" t="str">
        <f>_xlfn.IFNA(VLOOKUP($AP104,Programma!$F$3:$V$1101,17,0),"")</f>
        <v>_</v>
      </c>
      <c r="BG104" s="448" t="str">
        <f>_xlfn.IFNA(VLOOKUP($AP104,Programma!$F$3:$W$1101,18,0),"")</f>
        <v>_</v>
      </c>
      <c r="BH104" s="448" t="str">
        <f>_xlfn.IFNA(VLOOKUP($AP104,Programma!$F$3:$X$1101,19,0),"")</f>
        <v>_</v>
      </c>
      <c r="BI104" s="448" t="str">
        <f>_xlfn.IFNA(VLOOKUP($AP104,Programma!$F$3:$Y$1101,20,0),"")</f>
        <v>_</v>
      </c>
      <c r="BJ104" s="449"/>
      <c r="BK104" s="447" t="str">
        <f>IF(Ruimtestaat[[#This Row],[Frequentie weekend]]="","",_xlfn.CONCAT(Ruimtestaat[[#This Row],[Ruimte code]],"-",Ruimtestaat[[#This Row],[Frequentie weekend]]," ",Ruimtestaat[[#This Row],[Vloer code]]))</f>
        <v/>
      </c>
      <c r="BL104" s="448" t="str">
        <f>_xlfn.IFNA(VLOOKUP($BK104,Programma!$F$3:$G$1101,2,0),"")</f>
        <v/>
      </c>
      <c r="BM104" s="448" t="str">
        <f>_xlfn.IFNA(VLOOKUP($BK104,Programma!$F$3:$H$1101,3,0),"")</f>
        <v/>
      </c>
      <c r="BN104" s="448" t="str">
        <f>_xlfn.IFNA(VLOOKUP($BK104,Programma!$F$3:$I$1101,4,0),"")</f>
        <v/>
      </c>
      <c r="BO104" s="448" t="str">
        <f>_xlfn.IFNA(VLOOKUP($BK104,Programma!$F$3:$J$1101,5,0),"")</f>
        <v/>
      </c>
      <c r="BP104" s="448" t="str">
        <f>_xlfn.IFNA(VLOOKUP($BK104,Programma!$F$3:$K$1101,6,0),"")</f>
        <v/>
      </c>
      <c r="BQ104" s="448" t="str">
        <f>_xlfn.IFNA(VLOOKUP($BK104,Programma!$F$3:$L$1101,7,0),"")</f>
        <v/>
      </c>
      <c r="BR104" s="448" t="str">
        <f>_xlfn.IFNA(VLOOKUP($BK104,Programma!$F$3:$M$1101,8,0),"")</f>
        <v/>
      </c>
      <c r="BS104" s="448" t="str">
        <f>_xlfn.IFNA(VLOOKUP($BK104,Programma!$F$3:$N$1101,9,0),"")</f>
        <v/>
      </c>
      <c r="BT104" s="448" t="str">
        <f>_xlfn.IFNA(VLOOKUP($BK104,Programma!$F$3:$O$1101,10,0),"")</f>
        <v/>
      </c>
      <c r="BU104" s="448" t="str">
        <f>_xlfn.IFNA(VLOOKUP($BK104,Programma!$F$3:$P$1101,11,0),"")</f>
        <v/>
      </c>
      <c r="BV104" s="448" t="str">
        <f>_xlfn.IFNA(VLOOKUP($BK104,Programma!$F$3:$Q$1101,12,0),"")</f>
        <v/>
      </c>
      <c r="BW104" s="448" t="str">
        <f>_xlfn.IFNA(VLOOKUP($BK104,Programma!$F$3:$R$1101,13,0),"")</f>
        <v/>
      </c>
      <c r="BX104" s="448" t="str">
        <f>_xlfn.IFNA(VLOOKUP($BK104,Programma!$F$3:$S$1101,14,0),"")</f>
        <v/>
      </c>
      <c r="BY104" s="448" t="str">
        <f>_xlfn.IFNA(VLOOKUP($BK104,Programma!$F$3:$T$1101,15,0),"")</f>
        <v/>
      </c>
      <c r="BZ104" s="448" t="str">
        <f>_xlfn.IFNA(VLOOKUP($BK104,Programma!$F$3:$U$1101,16,0),"")</f>
        <v/>
      </c>
      <c r="CA104" s="448" t="str">
        <f>_xlfn.IFNA(VLOOKUP($BK104,Programma!$F$3:$V$1101,17,0),"")</f>
        <v/>
      </c>
      <c r="CB104" s="448" t="str">
        <f>_xlfn.IFNA(VLOOKUP($BK104,Programma!$F$3:$W$1101,18,0),"")</f>
        <v/>
      </c>
      <c r="CC104" s="448" t="str">
        <f>_xlfn.IFNA(VLOOKUP($BK104,Programma!$F$3:$X$1101,19,0),"")</f>
        <v/>
      </c>
      <c r="CD104" s="448" t="str">
        <f>_xlfn.IFNA(VLOOKUP($BK104,Programma!$F$3:$Y$1101,20,0),"")</f>
        <v/>
      </c>
      <c r="CE104" s="327"/>
      <c r="CF104" s="327"/>
      <c r="CG104" s="327"/>
      <c r="CH104" s="327"/>
      <c r="CI104" s="327"/>
      <c r="CJ104" s="327"/>
      <c r="CK104" s="327"/>
      <c r="CL104" s="327"/>
      <c r="CM104" s="327"/>
      <c r="CN104" s="327"/>
      <c r="CO104" s="327"/>
      <c r="CP104" s="327"/>
      <c r="CQ104" s="327"/>
      <c r="CR104" s="327"/>
      <c r="CS104" s="327"/>
      <c r="CT104" s="327"/>
      <c r="CU104" s="327"/>
      <c r="CV104" s="327"/>
      <c r="CW104" s="327"/>
      <c r="CX104" s="327"/>
      <c r="CY104" s="327"/>
      <c r="CZ104" s="327"/>
      <c r="DA104" s="327"/>
      <c r="DB104" s="327"/>
      <c r="DC104" s="327"/>
      <c r="DD104" s="327"/>
      <c r="DE104" s="327"/>
      <c r="DF104" s="327"/>
      <c r="DG104" s="327"/>
      <c r="DH104" s="327"/>
      <c r="DI104" s="327"/>
      <c r="DJ104" s="327"/>
      <c r="DK104" s="327"/>
      <c r="DL104" s="327"/>
      <c r="DM104" s="327"/>
      <c r="DN104" s="327"/>
      <c r="DO104" s="327"/>
      <c r="DP104" s="327"/>
      <c r="DQ104" s="327"/>
      <c r="DR104" s="327"/>
      <c r="DS104" s="327"/>
      <c r="DT104" s="327"/>
      <c r="DU104" s="327"/>
      <c r="DV104" s="327"/>
      <c r="DW104" s="327"/>
      <c r="DX104" s="327"/>
      <c r="DY104" s="327"/>
      <c r="DZ104" s="327"/>
      <c r="EA104" s="327"/>
      <c r="EB104" s="327"/>
      <c r="EC104" s="327"/>
      <c r="ED104" s="327"/>
      <c r="EE104" s="327"/>
      <c r="EF104" s="327"/>
      <c r="EG104" s="327"/>
      <c r="EH104" s="327"/>
      <c r="EI104" s="327"/>
      <c r="EJ104" s="327"/>
      <c r="EK104" s="327"/>
      <c r="EL104" s="327"/>
      <c r="EM104" s="327"/>
      <c r="EN104" s="327"/>
      <c r="EO104" s="327"/>
      <c r="EP104" s="327"/>
      <c r="EQ104" s="327"/>
      <c r="ER104" s="327"/>
      <c r="ES104" s="327"/>
      <c r="ET104" s="327"/>
      <c r="EU104" s="327"/>
      <c r="EV104" s="327"/>
      <c r="EW104" s="327"/>
      <c r="EX104" s="327"/>
      <c r="EY104" s="327"/>
      <c r="EZ104" s="327"/>
      <c r="FA104" s="327"/>
      <c r="FB104" s="327"/>
      <c r="FC104" s="327"/>
      <c r="FD104" s="327"/>
      <c r="FE104" s="327"/>
      <c r="FF104" s="327"/>
      <c r="FG104" s="327"/>
      <c r="FH104" s="327"/>
      <c r="FI104" s="327"/>
      <c r="FJ104" s="327"/>
      <c r="FK104" s="327"/>
      <c r="FL104" s="327"/>
      <c r="FM104" s="327"/>
      <c r="FN104" s="327"/>
      <c r="FO104" s="327"/>
      <c r="FP104" s="327"/>
      <c r="FQ104" s="327"/>
      <c r="FR104" s="327"/>
      <c r="FS104" s="327"/>
      <c r="FT104" s="327"/>
      <c r="FU104" s="327"/>
      <c r="FV104" s="327"/>
      <c r="FW104" s="327"/>
      <c r="FX104" s="327"/>
      <c r="FY104" s="327"/>
      <c r="FZ104" s="327"/>
      <c r="GA104" s="327"/>
      <c r="GB104" s="327"/>
      <c r="GC104" s="327"/>
      <c r="GD104" s="327"/>
      <c r="GE104" s="327"/>
      <c r="GF104" s="327"/>
      <c r="GG104" s="327"/>
      <c r="GH104" s="327"/>
      <c r="GI104" s="327"/>
      <c r="GJ104" s="327"/>
      <c r="GK104" s="327"/>
      <c r="GL104" s="327"/>
      <c r="GM104" s="327"/>
      <c r="GN104" s="327"/>
      <c r="GO104" s="327"/>
      <c r="GP104" s="327"/>
      <c r="GQ104" s="327"/>
      <c r="GR104" s="327"/>
      <c r="GS104" s="327"/>
      <c r="GT104" s="327"/>
      <c r="GU104" s="327"/>
      <c r="GV104" s="327"/>
      <c r="GW104" s="327"/>
      <c r="GX104" s="327"/>
      <c r="GY104" s="327"/>
      <c r="GZ104" s="327"/>
      <c r="HA104" s="327"/>
      <c r="HB104" s="327"/>
      <c r="HC104" s="327"/>
      <c r="HD104" s="327"/>
      <c r="HE104" s="327"/>
      <c r="HF104" s="327"/>
      <c r="HG104" s="327"/>
      <c r="HH104" s="327"/>
      <c r="HI104" s="327"/>
      <c r="HJ104" s="327"/>
      <c r="HK104" s="327"/>
      <c r="HL104" s="327"/>
      <c r="HM104" s="327"/>
      <c r="HN104" s="327"/>
      <c r="HO104" s="327"/>
      <c r="HP104" s="327"/>
      <c r="HQ104" s="327"/>
      <c r="HR104" s="327"/>
      <c r="HS104" s="327"/>
    </row>
    <row r="105" spans="1:227" ht="15" customHeight="1">
      <c r="A105" s="330">
        <v>5</v>
      </c>
      <c r="B105" s="435" t="str">
        <f>VLOOKUP(Ruimtestaat[[#This Row],[Code]],Locaties[[Code]:[Locatie]],2,FALSE)</f>
        <v>IKC De Springplank</v>
      </c>
      <c r="C105" s="435" t="str">
        <f>VLOOKUP(Ruimtestaat[[#This Row],[Code]],Locaties[[#All],[Code]:[Adres]],4,FALSE)</f>
        <v>Irisvaart 6-8</v>
      </c>
      <c r="D105" s="435" t="str">
        <f>VLOOKUP(Ruimtestaat[[#This Row],[Code]],Locaties[[#All],[Code]:[Postcode]],5,FALSE)</f>
        <v>2724 TT</v>
      </c>
      <c r="E105" s="435" t="str">
        <f>VLOOKUP(Ruimtestaat[[#This Row],[Code]],Locaties[#All],6,FALSE)</f>
        <v>Zoetermeer</v>
      </c>
      <c r="F105" s="434"/>
      <c r="G105" s="434" t="s">
        <v>1678</v>
      </c>
      <c r="H105" s="436" t="s">
        <v>1699</v>
      </c>
      <c r="I105" s="437" t="s">
        <v>1666</v>
      </c>
      <c r="J105" s="330">
        <v>2</v>
      </c>
      <c r="K105" s="450" t="str">
        <f>VLOOKUP(Ruimtestaat[[#This Row],[Ruimte code]],Ruimtegroepen[[#All],[Code]:[Ruimte omschrijving]],2,FALSE)</f>
        <v>Kantoren</v>
      </c>
      <c r="L105" s="434" t="s">
        <v>99</v>
      </c>
      <c r="M105" s="437" t="s">
        <v>36</v>
      </c>
      <c r="N105" s="439">
        <v>13</v>
      </c>
      <c r="O105" s="439"/>
      <c r="P105" s="439"/>
      <c r="Q105" s="439"/>
      <c r="R105" s="440" t="str">
        <f>VLOOKUP(Ruimtestaat[[#This Row],[Ruimte code]],Ruimtegroepen[],4,FALSE)</f>
        <v>Bu</v>
      </c>
      <c r="S105" s="434">
        <v>41</v>
      </c>
      <c r="T105" s="434" t="s">
        <v>17</v>
      </c>
      <c r="U105" s="434">
        <f>IF(S105&gt;0,IF(RIGHT(Ruimtestaat[[#This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05" s="434">
        <f>IF(U105&gt;0,VLOOKUP($J105,Ruimtegroepen[],3,FALSE)*VLOOKUP($L105,Vloersoorten[],3,FALSE)*VLOOKUP($T105,Frequenties[],3,FALSE)*VLOOKUP($A105,Locaties[],3,FALSE),0)</f>
        <v>0</v>
      </c>
      <c r="W105" s="434">
        <f>Ruimtestaat[[#This Row],[Uitvoeringen werkdagen]]*Ruimtestaat[[#This Row],[Oppervlak (netto)]]</f>
        <v>1066</v>
      </c>
      <c r="X105" s="441">
        <f>IF(V105&gt;0,Ruimtestaat[[#This Row],[Prest. (m2 /jaar) werkdagen]]/Ruimtestaat[[#This Row],[Norm (m2/uur) werkdagen]],0)</f>
        <v>0</v>
      </c>
      <c r="Y105" s="442">
        <f>Ruimtestaat[[#This Row],[Uitvoeringen werkdagen]]*Ruimtestaat[[#This Row],[Gedeeltelijk]]</f>
        <v>0</v>
      </c>
      <c r="Z105" s="443" t="e">
        <f>IF(U105&gt;0,Ruimtestaat[[#This Row],[Prest. (m2 / jaar) werkdagen gedeeld]]/Ruimtestaat[[#This Row],[Norm (m2/uur) werkdagen]],0)</f>
        <v>#DIV/0!</v>
      </c>
      <c r="AA105" s="441" t="e">
        <f>Ruimtestaat[[#This Row],[uren / jaar werkdagen gedeeld]]*Tariefsopbouw!$E$35</f>
        <v>#DIV/0!</v>
      </c>
      <c r="AB105" s="441">
        <f>Ruimtestaat[[#This Row],[Uitvoeringen werkdagen]]*Ruimtestaat[[#This Row],[BSO]]</f>
        <v>0</v>
      </c>
      <c r="AC105" s="443" t="e">
        <f>IF(U105&gt;0,Ruimtestaat[[#This Row],[Prest. (m2 / jaar) werkdagen BSO]]/Ruimtestaat[[#This Row],[Norm (m2/uur) werkdagen]],0)</f>
        <v>#DIV/0!</v>
      </c>
      <c r="AD105" s="443" t="e">
        <f>Ruimtestaat[[#This Row],[uren / jaar werkdagen BSO]]*Tariefsopbouw!$E$35</f>
        <v>#DIV/0!</v>
      </c>
      <c r="AE105" s="444">
        <f>Ruimtestaat[[#This Row],[uren / jaar werkdagen]]*Tariefsopbouw!$E$35</f>
        <v>0</v>
      </c>
      <c r="AF105" s="434"/>
      <c r="AG105" s="434">
        <f>IF(Ruimtestaat[[#This Row],[Frequentie weekend]]&gt;0,VALUE(LEFT(AF105,1))*S105,0)</f>
        <v>0</v>
      </c>
      <c r="AH105" s="445">
        <f>IF($AG105&gt;0,VLOOKUP($J105,Ruimtegroepen[],3,FALSE)*VLOOKUP($L105,Vloersoorten[],3,FALSE)*VLOOKUP($AF105,Frequenties[],3,FALSE)*VLOOKUP(Ruimtestaat[[#This Row],[Code]],Locaties[],3,FALSE),0)</f>
        <v>0</v>
      </c>
      <c r="AI105" s="445">
        <f>Ruimtestaat[[#This Row],[Uitvoeringen weekend]]*Ruimtestaat[[#This Row],[Oppervlak (netto)]]</f>
        <v>0</v>
      </c>
      <c r="AJ105" s="445">
        <f>IF(AH105&gt;0,Ruimtestaat[[#This Row],[Prest. (m2 /jaar) weekend]]/Ruimtestaat[[#This Row],[Norm (m2/uur) weekend]],0)</f>
        <v>0</v>
      </c>
      <c r="AK105" s="444">
        <f>Ruimtestaat[[#This Row],[uren / jaar weekend]]*Tariefsopbouw!$D$40</f>
        <v>0</v>
      </c>
      <c r="AL105" s="441">
        <f>Ruimtestaat[[#This Row],[Prest. (m2 /jaar) weekend]]+Ruimtestaat[[#This Row],[Prest. (m2 /jaar) werkdagen]]</f>
        <v>1066</v>
      </c>
      <c r="AM105" s="441">
        <f>Ruimtestaat[[#This Row],[uren / jaar weekend]]+Ruimtestaat[[#This Row],[uren / jaar werkdagen]]</f>
        <v>0</v>
      </c>
      <c r="AN105" s="446">
        <f>Ruimtestaat[[#This Row],[kosten / jaar weekend]]+Ruimtestaat[[#This Row],[kosten / jaar werkdagen]]</f>
        <v>0</v>
      </c>
      <c r="AO105" s="446"/>
      <c r="AP105" s="447" t="str">
        <f>IF(Ruimtestaat[[#This Row],[Frequentie werkdagen]]="","",_xlfn.CONCAT(Ruimtestaat[[#This Row],[Ruimte code]],"-",Ruimtestaat[[#This Row],[Frequentie werkdagen]]," ",Ruimtestaat[[#This Row],[Vloer code]]))</f>
        <v>2-2w T</v>
      </c>
      <c r="AQ105" s="448" t="str">
        <f>_xlfn.IFNA(VLOOKUP($AP105,Programma!$F$3:$G$1101,2,0),"")</f>
        <v>1w</v>
      </c>
      <c r="AR105" s="448" t="str">
        <f>_xlfn.IFNA(VLOOKUP($AP105,Programma!$F$3:$H$1101,3,0),"")</f>
        <v>1w</v>
      </c>
      <c r="AS105" s="448" t="str">
        <f>_xlfn.IFNA(VLOOKUP($AP105,Programma!$F$3:$I$1101,4,0),"")</f>
        <v>_</v>
      </c>
      <c r="AT105" s="448" t="str">
        <f>_xlfn.IFNA(VLOOKUP($AP105,Programma!$F$3:$J$1101,5,0),"")</f>
        <v>_</v>
      </c>
      <c r="AU105" s="448" t="str">
        <f>_xlfn.IFNA(VLOOKUP($AP105,Programma!$F$3:$K$1101,6,0),"")</f>
        <v>_</v>
      </c>
      <c r="AV105" s="448" t="str">
        <f>_xlfn.IFNA(VLOOKUP($AP105,Programma!$F$3:$L$1101,7,0),"")</f>
        <v>_</v>
      </c>
      <c r="AW105" s="448" t="str">
        <f>_xlfn.IFNA(VLOOKUP($AP105,Programma!$F$3:$M$1101,8,0),"")</f>
        <v>_</v>
      </c>
      <c r="AX105" s="448" t="str">
        <f>_xlfn.IFNA(VLOOKUP($AP105,Programma!$F$3:$N$1101,9,0),"")</f>
        <v>_</v>
      </c>
      <c r="AY105" s="448" t="str">
        <f>_xlfn.IFNA(VLOOKUP($AP105,Programma!$F$3:$O$1101,10,0),"")</f>
        <v>2w</v>
      </c>
      <c r="AZ105" s="448" t="str">
        <f>_xlfn.IFNA(VLOOKUP($AP105,Programma!$F$3:$P$1101,11,0),"")</f>
        <v>2w</v>
      </c>
      <c r="BA105" s="448" t="str">
        <f>_xlfn.IFNA(VLOOKUP($AP105,Programma!$F$3:$Q$1101,12,0),"")</f>
        <v>1w</v>
      </c>
      <c r="BB105" s="448" t="str">
        <f>_xlfn.IFNA(VLOOKUP($AP105,Programma!$F$3:$R$1101,13,0),"")</f>
        <v>1w</v>
      </c>
      <c r="BC105" s="448" t="str">
        <f>_xlfn.IFNA(VLOOKUP($AP105,Programma!$F$3:$S$1101,14,0),"")</f>
        <v>1m</v>
      </c>
      <c r="BD105" s="448" t="str">
        <f>_xlfn.IFNA(VLOOKUP($AP105,Programma!$F$3:$T$1101,15,0),"")</f>
        <v>2j</v>
      </c>
      <c r="BE105" s="448" t="str">
        <f>_xlfn.IFNA(VLOOKUP($AP105,Programma!$F$3:$U$1101,16,0),"")</f>
        <v>1j</v>
      </c>
      <c r="BF105" s="448" t="str">
        <f>_xlfn.IFNA(VLOOKUP($AP105,Programma!$F$3:$V$1101,17,0),"")</f>
        <v>_</v>
      </c>
      <c r="BG105" s="448" t="str">
        <f>_xlfn.IFNA(VLOOKUP($AP105,Programma!$F$3:$W$1101,18,0),"")</f>
        <v>_</v>
      </c>
      <c r="BH105" s="448" t="str">
        <f>_xlfn.IFNA(VLOOKUP($AP105,Programma!$F$3:$X$1101,19,0),"")</f>
        <v>_</v>
      </c>
      <c r="BI105" s="448" t="str">
        <f>_xlfn.IFNA(VLOOKUP($AP105,Programma!$F$3:$Y$1101,20,0),"")</f>
        <v>_</v>
      </c>
      <c r="BJ105" s="449"/>
      <c r="BK105" s="447" t="str">
        <f>IF(Ruimtestaat[[#This Row],[Frequentie weekend]]="","",_xlfn.CONCAT(Ruimtestaat[[#This Row],[Ruimte code]],"-",Ruimtestaat[[#This Row],[Frequentie weekend]]," ",Ruimtestaat[[#This Row],[Vloer code]]))</f>
        <v/>
      </c>
      <c r="BL105" s="448" t="str">
        <f>_xlfn.IFNA(VLOOKUP($BK105,Programma!$F$3:$G$1101,2,0),"")</f>
        <v/>
      </c>
      <c r="BM105" s="448" t="str">
        <f>_xlfn.IFNA(VLOOKUP($BK105,Programma!$F$3:$H$1101,3,0),"")</f>
        <v/>
      </c>
      <c r="BN105" s="448" t="str">
        <f>_xlfn.IFNA(VLOOKUP($BK105,Programma!$F$3:$I$1101,4,0),"")</f>
        <v/>
      </c>
      <c r="BO105" s="448" t="str">
        <f>_xlfn.IFNA(VLOOKUP($BK105,Programma!$F$3:$J$1101,5,0),"")</f>
        <v/>
      </c>
      <c r="BP105" s="448" t="str">
        <f>_xlfn.IFNA(VLOOKUP($BK105,Programma!$F$3:$K$1101,6,0),"")</f>
        <v/>
      </c>
      <c r="BQ105" s="448" t="str">
        <f>_xlfn.IFNA(VLOOKUP($BK105,Programma!$F$3:$L$1101,7,0),"")</f>
        <v/>
      </c>
      <c r="BR105" s="448" t="str">
        <f>_xlfn.IFNA(VLOOKUP($BK105,Programma!$F$3:$M$1101,8,0),"")</f>
        <v/>
      </c>
      <c r="BS105" s="448" t="str">
        <f>_xlfn.IFNA(VLOOKUP($BK105,Programma!$F$3:$N$1101,9,0),"")</f>
        <v/>
      </c>
      <c r="BT105" s="448" t="str">
        <f>_xlfn.IFNA(VLOOKUP($BK105,Programma!$F$3:$O$1101,10,0),"")</f>
        <v/>
      </c>
      <c r="BU105" s="448" t="str">
        <f>_xlfn.IFNA(VLOOKUP($BK105,Programma!$F$3:$P$1101,11,0),"")</f>
        <v/>
      </c>
      <c r="BV105" s="448" t="str">
        <f>_xlfn.IFNA(VLOOKUP($BK105,Programma!$F$3:$Q$1101,12,0),"")</f>
        <v/>
      </c>
      <c r="BW105" s="448" t="str">
        <f>_xlfn.IFNA(VLOOKUP($BK105,Programma!$F$3:$R$1101,13,0),"")</f>
        <v/>
      </c>
      <c r="BX105" s="448" t="str">
        <f>_xlfn.IFNA(VLOOKUP($BK105,Programma!$F$3:$S$1101,14,0),"")</f>
        <v/>
      </c>
      <c r="BY105" s="448" t="str">
        <f>_xlfn.IFNA(VLOOKUP($BK105,Programma!$F$3:$T$1101,15,0),"")</f>
        <v/>
      </c>
      <c r="BZ105" s="448" t="str">
        <f>_xlfn.IFNA(VLOOKUP($BK105,Programma!$F$3:$U$1101,16,0),"")</f>
        <v/>
      </c>
      <c r="CA105" s="448" t="str">
        <f>_xlfn.IFNA(VLOOKUP($BK105,Programma!$F$3:$V$1101,17,0),"")</f>
        <v/>
      </c>
      <c r="CB105" s="448" t="str">
        <f>_xlfn.IFNA(VLOOKUP($BK105,Programma!$F$3:$W$1101,18,0),"")</f>
        <v/>
      </c>
      <c r="CC105" s="448" t="str">
        <f>_xlfn.IFNA(VLOOKUP($BK105,Programma!$F$3:$X$1101,19,0),"")</f>
        <v/>
      </c>
      <c r="CD105" s="448" t="str">
        <f>_xlfn.IFNA(VLOOKUP($BK105,Programma!$F$3:$Y$1101,20,0),"")</f>
        <v/>
      </c>
      <c r="CE105" s="327"/>
      <c r="CF105" s="327"/>
      <c r="CG105" s="327"/>
      <c r="CH105" s="327"/>
      <c r="CI105" s="327"/>
      <c r="CJ105" s="327"/>
      <c r="CK105" s="327"/>
      <c r="CL105" s="327"/>
      <c r="CM105" s="327"/>
      <c r="CN105" s="327"/>
      <c r="CO105" s="327"/>
      <c r="CP105" s="327"/>
      <c r="CQ105" s="327"/>
      <c r="CR105" s="327"/>
      <c r="CS105" s="327"/>
      <c r="CT105" s="327"/>
      <c r="CU105" s="327"/>
      <c r="CV105" s="327"/>
      <c r="CW105" s="327"/>
      <c r="CX105" s="327"/>
      <c r="CY105" s="327"/>
      <c r="CZ105" s="327"/>
      <c r="DA105" s="327"/>
      <c r="DB105" s="327"/>
      <c r="DC105" s="327"/>
      <c r="DD105" s="327"/>
      <c r="DE105" s="327"/>
      <c r="DF105" s="327"/>
      <c r="DG105" s="327"/>
      <c r="DH105" s="327"/>
      <c r="DI105" s="327"/>
      <c r="DJ105" s="327"/>
      <c r="DK105" s="327"/>
      <c r="DL105" s="327"/>
      <c r="DM105" s="327"/>
      <c r="DN105" s="327"/>
      <c r="DO105" s="327"/>
      <c r="DP105" s="327"/>
      <c r="DQ105" s="327"/>
      <c r="DR105" s="327"/>
      <c r="DS105" s="327"/>
      <c r="DT105" s="327"/>
      <c r="DU105" s="327"/>
      <c r="DV105" s="327"/>
      <c r="DW105" s="327"/>
      <c r="DX105" s="327"/>
      <c r="DY105" s="327"/>
      <c r="DZ105" s="327"/>
      <c r="EA105" s="327"/>
      <c r="EB105" s="327"/>
      <c r="EC105" s="327"/>
      <c r="ED105" s="327"/>
      <c r="EE105" s="327"/>
      <c r="EF105" s="327"/>
      <c r="EG105" s="327"/>
      <c r="EH105" s="327"/>
      <c r="EI105" s="327"/>
      <c r="EJ105" s="327"/>
      <c r="EK105" s="327"/>
      <c r="EL105" s="327"/>
      <c r="EM105" s="327"/>
      <c r="EN105" s="327"/>
      <c r="EO105" s="327"/>
      <c r="EP105" s="327"/>
      <c r="EQ105" s="327"/>
      <c r="ER105" s="327"/>
      <c r="ES105" s="327"/>
      <c r="ET105" s="327"/>
      <c r="EU105" s="327"/>
      <c r="EV105" s="327"/>
      <c r="EW105" s="327"/>
      <c r="EX105" s="327"/>
      <c r="EY105" s="327"/>
      <c r="EZ105" s="327"/>
      <c r="FA105" s="327"/>
      <c r="FB105" s="327"/>
      <c r="FC105" s="327"/>
      <c r="FD105" s="327"/>
      <c r="FE105" s="327"/>
      <c r="FF105" s="327"/>
      <c r="FG105" s="327"/>
      <c r="FH105" s="327"/>
      <c r="FI105" s="327"/>
      <c r="FJ105" s="327"/>
      <c r="FK105" s="327"/>
      <c r="FL105" s="327"/>
      <c r="FM105" s="327"/>
      <c r="FN105" s="327"/>
      <c r="FO105" s="327"/>
      <c r="FP105" s="327"/>
      <c r="FQ105" s="327"/>
      <c r="FR105" s="327"/>
      <c r="FS105" s="327"/>
      <c r="FT105" s="327"/>
      <c r="FU105" s="327"/>
      <c r="FV105" s="327"/>
      <c r="FW105" s="327"/>
      <c r="FX105" s="327"/>
      <c r="FY105" s="327"/>
      <c r="FZ105" s="327"/>
      <c r="GA105" s="327"/>
      <c r="GB105" s="327"/>
      <c r="GC105" s="327"/>
      <c r="GD105" s="327"/>
      <c r="GE105" s="327"/>
      <c r="GF105" s="327"/>
      <c r="GG105" s="327"/>
      <c r="GH105" s="327"/>
      <c r="GI105" s="327"/>
      <c r="GJ105" s="327"/>
      <c r="GK105" s="327"/>
      <c r="GL105" s="327"/>
      <c r="GM105" s="327"/>
      <c r="GN105" s="327"/>
      <c r="GO105" s="327"/>
      <c r="GP105" s="327"/>
      <c r="GQ105" s="327"/>
      <c r="GR105" s="327"/>
      <c r="GS105" s="327"/>
      <c r="GT105" s="327"/>
      <c r="GU105" s="327"/>
      <c r="GV105" s="327"/>
      <c r="GW105" s="327"/>
      <c r="GX105" s="327"/>
      <c r="GY105" s="327"/>
      <c r="GZ105" s="327"/>
      <c r="HA105" s="327"/>
      <c r="HB105" s="327"/>
      <c r="HC105" s="327"/>
      <c r="HD105" s="327"/>
      <c r="HE105" s="327"/>
      <c r="HF105" s="327"/>
      <c r="HG105" s="327"/>
      <c r="HH105" s="327"/>
      <c r="HI105" s="327"/>
      <c r="HJ105" s="327"/>
      <c r="HK105" s="327"/>
      <c r="HL105" s="327"/>
      <c r="HM105" s="327"/>
      <c r="HN105" s="327"/>
      <c r="HO105" s="327"/>
      <c r="HP105" s="327"/>
      <c r="HQ105" s="327"/>
      <c r="HR105" s="327"/>
      <c r="HS105" s="327"/>
    </row>
    <row r="106" spans="1:227" ht="15" customHeight="1">
      <c r="A106" s="330">
        <v>5</v>
      </c>
      <c r="B106" s="435" t="str">
        <f>VLOOKUP(Ruimtestaat[[#This Row],[Code]],Locaties[[Code]:[Locatie]],2,FALSE)</f>
        <v>IKC De Springplank</v>
      </c>
      <c r="C106" s="435" t="str">
        <f>VLOOKUP(Ruimtestaat[[#This Row],[Code]],Locaties[[#All],[Code]:[Adres]],4,FALSE)</f>
        <v>Irisvaart 6-8</v>
      </c>
      <c r="D106" s="435" t="str">
        <f>VLOOKUP(Ruimtestaat[[#This Row],[Code]],Locaties[[#All],[Code]:[Postcode]],5,FALSE)</f>
        <v>2724 TT</v>
      </c>
      <c r="E106" s="435" t="str">
        <f>VLOOKUP(Ruimtestaat[[#This Row],[Code]],Locaties[#All],6,FALSE)</f>
        <v>Zoetermeer</v>
      </c>
      <c r="F106" s="434"/>
      <c r="G106" s="434" t="s">
        <v>1678</v>
      </c>
      <c r="H106" s="436" t="s">
        <v>1762</v>
      </c>
      <c r="I106" s="437" t="s">
        <v>38</v>
      </c>
      <c r="J106" s="330">
        <v>7</v>
      </c>
      <c r="K106" s="450" t="str">
        <f>VLOOKUP(Ruimtestaat[[#This Row],[Ruimte code]],Ruimtegroepen[[#All],[Code]:[Ruimte omschrijving]],2,FALSE)</f>
        <v>Entree</v>
      </c>
      <c r="L106" s="434" t="s">
        <v>99</v>
      </c>
      <c r="M106" s="437" t="s">
        <v>1758</v>
      </c>
      <c r="N106" s="439"/>
      <c r="O106" s="439"/>
      <c r="P106" s="439">
        <v>4</v>
      </c>
      <c r="Q106" s="439"/>
      <c r="R106" s="440" t="str">
        <f>VLOOKUP(Ruimtestaat[[#This Row],[Ruimte code]],Ruimtegroepen[],4,FALSE)</f>
        <v>Ve</v>
      </c>
      <c r="S106" s="434">
        <v>41</v>
      </c>
      <c r="T106" s="434" t="s">
        <v>2</v>
      </c>
      <c r="U106" s="434">
        <f>IF(S106&gt;0,IF(RIGHT(Ruimtestaat[[#This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06" s="434">
        <f>IF(U106&gt;0,VLOOKUP($J106,Ruimtegroepen[],3,FALSE)*VLOOKUP($L106,Vloersoorten[],3,FALSE)*VLOOKUP($T106,Frequenties[],3,FALSE)*VLOOKUP($A106,Locaties[],3,FALSE),0)</f>
        <v>0</v>
      </c>
      <c r="W106" s="434">
        <f>Ruimtestaat[[#This Row],[Uitvoeringen werkdagen]]*Ruimtestaat[[#This Row],[Oppervlak (netto)]]</f>
        <v>0</v>
      </c>
      <c r="X106" s="441">
        <f>IF(V106&gt;0,Ruimtestaat[[#This Row],[Prest. (m2 /jaar) werkdagen]]/Ruimtestaat[[#This Row],[Norm (m2/uur) werkdagen]],0)</f>
        <v>0</v>
      </c>
      <c r="Y106" s="442">
        <f>Ruimtestaat[[#This Row],[Uitvoeringen werkdagen]]*Ruimtestaat[[#This Row],[Gedeeltelijk]]</f>
        <v>820</v>
      </c>
      <c r="Z106" s="443" t="e">
        <f>IF(U106&gt;0,Ruimtestaat[[#This Row],[Prest. (m2 / jaar) werkdagen gedeeld]]/Ruimtestaat[[#This Row],[Norm (m2/uur) werkdagen]],0)</f>
        <v>#DIV/0!</v>
      </c>
      <c r="AA106" s="441" t="e">
        <f>Ruimtestaat[[#This Row],[uren / jaar werkdagen gedeeld]]*Tariefsopbouw!$E$35</f>
        <v>#DIV/0!</v>
      </c>
      <c r="AB106" s="441">
        <f>Ruimtestaat[[#This Row],[Uitvoeringen werkdagen]]*Ruimtestaat[[#This Row],[BSO]]</f>
        <v>0</v>
      </c>
      <c r="AC106" s="443" t="e">
        <f>IF(U106&gt;0,Ruimtestaat[[#This Row],[Prest. (m2 / jaar) werkdagen BSO]]/Ruimtestaat[[#This Row],[Norm (m2/uur) werkdagen]],0)</f>
        <v>#DIV/0!</v>
      </c>
      <c r="AD106" s="443" t="e">
        <f>Ruimtestaat[[#This Row],[uren / jaar werkdagen BSO]]*Tariefsopbouw!$E$35</f>
        <v>#DIV/0!</v>
      </c>
      <c r="AE106" s="444">
        <f>Ruimtestaat[[#This Row],[uren / jaar werkdagen]]*Tariefsopbouw!$E$35</f>
        <v>0</v>
      </c>
      <c r="AF106" s="434"/>
      <c r="AG106" s="434">
        <f>IF(Ruimtestaat[[#This Row],[Frequentie weekend]]&gt;0,VALUE(LEFT(AF106,1))*S106,0)</f>
        <v>0</v>
      </c>
      <c r="AH106" s="445">
        <f>IF($AG106&gt;0,VLOOKUP($J106,Ruimtegroepen[],3,FALSE)*VLOOKUP($L106,Vloersoorten[],3,FALSE)*VLOOKUP($AF106,Frequenties[],3,FALSE)*VLOOKUP(Ruimtestaat[[#This Row],[Code]],Locaties[],3,FALSE),0)</f>
        <v>0</v>
      </c>
      <c r="AI106" s="445">
        <f>Ruimtestaat[[#This Row],[Uitvoeringen weekend]]*Ruimtestaat[[#This Row],[Oppervlak (netto)]]</f>
        <v>0</v>
      </c>
      <c r="AJ106" s="445">
        <f>IF(AH106&gt;0,Ruimtestaat[[#This Row],[Prest. (m2 /jaar) weekend]]/Ruimtestaat[[#This Row],[Norm (m2/uur) weekend]],0)</f>
        <v>0</v>
      </c>
      <c r="AK106" s="444">
        <f>Ruimtestaat[[#This Row],[uren / jaar weekend]]*Tariefsopbouw!$D$40</f>
        <v>0</v>
      </c>
      <c r="AL106" s="441">
        <f>Ruimtestaat[[#This Row],[Prest. (m2 /jaar) weekend]]+Ruimtestaat[[#This Row],[Prest. (m2 /jaar) werkdagen]]</f>
        <v>0</v>
      </c>
      <c r="AM106" s="441">
        <f>Ruimtestaat[[#This Row],[uren / jaar weekend]]+Ruimtestaat[[#This Row],[uren / jaar werkdagen]]</f>
        <v>0</v>
      </c>
      <c r="AN106" s="446">
        <f>Ruimtestaat[[#This Row],[kosten / jaar weekend]]+Ruimtestaat[[#This Row],[kosten / jaar werkdagen]]</f>
        <v>0</v>
      </c>
      <c r="AO106" s="446"/>
      <c r="AP106" s="447" t="str">
        <f>IF(Ruimtestaat[[#This Row],[Frequentie werkdagen]]="","",_xlfn.CONCAT(Ruimtestaat[[#This Row],[Ruimte code]],"-",Ruimtestaat[[#This Row],[Frequentie werkdagen]]," ",Ruimtestaat[[#This Row],[Vloer code]]))</f>
        <v>7-5w T</v>
      </c>
      <c r="AQ106" s="448" t="str">
        <f>_xlfn.IFNA(VLOOKUP($AP106,Programma!$F$3:$G$1101,2,0),"")</f>
        <v>_</v>
      </c>
      <c r="AR106" s="448" t="str">
        <f>_xlfn.IFNA(VLOOKUP($AP106,Programma!$F$3:$H$1101,3,0),"")</f>
        <v>5w</v>
      </c>
      <c r="AS106" s="448" t="str">
        <f>_xlfn.IFNA(VLOOKUP($AP106,Programma!$F$3:$I$1101,4,0),"")</f>
        <v>_</v>
      </c>
      <c r="AT106" s="448" t="str">
        <f>_xlfn.IFNA(VLOOKUP($AP106,Programma!$F$3:$J$1101,5,0),"")</f>
        <v>_</v>
      </c>
      <c r="AU106" s="448" t="str">
        <f>_xlfn.IFNA(VLOOKUP($AP106,Programma!$F$3:$K$1101,6,0),"")</f>
        <v>_</v>
      </c>
      <c r="AV106" s="448" t="str">
        <f>_xlfn.IFNA(VLOOKUP($AP106,Programma!$F$3:$L$1101,7,0),"")</f>
        <v>_</v>
      </c>
      <c r="AW106" s="448" t="str">
        <f>_xlfn.IFNA(VLOOKUP($AP106,Programma!$F$3:$M$1101,8,0),"")</f>
        <v>_</v>
      </c>
      <c r="AX106" s="448" t="str">
        <f>_xlfn.IFNA(VLOOKUP($AP106,Programma!$F$3:$N$1101,9,0),"")</f>
        <v>_</v>
      </c>
      <c r="AY106" s="448" t="str">
        <f>_xlfn.IFNA(VLOOKUP($AP106,Programma!$F$3:$O$1101,10,0),"")</f>
        <v>5w</v>
      </c>
      <c r="AZ106" s="448" t="str">
        <f>_xlfn.IFNA(VLOOKUP($AP106,Programma!$F$3:$P$1101,11,0),"")</f>
        <v>5w</v>
      </c>
      <c r="BA106" s="448" t="str">
        <f>_xlfn.IFNA(VLOOKUP($AP106,Programma!$F$3:$Q$1101,12,0),"")</f>
        <v>1w</v>
      </c>
      <c r="BB106" s="448" t="str">
        <f>_xlfn.IFNA(VLOOKUP($AP106,Programma!$F$3:$R$1101,13,0),"")</f>
        <v>1w</v>
      </c>
      <c r="BC106" s="448" t="str">
        <f>_xlfn.IFNA(VLOOKUP($AP106,Programma!$F$3:$S$1101,14,0),"")</f>
        <v>1m</v>
      </c>
      <c r="BD106" s="448" t="str">
        <f>_xlfn.IFNA(VLOOKUP($AP106,Programma!$F$3:$T$1101,15,0),"")</f>
        <v>2j</v>
      </c>
      <c r="BE106" s="448" t="str">
        <f>_xlfn.IFNA(VLOOKUP($AP106,Programma!$F$3:$U$1101,16,0),"")</f>
        <v>1j</v>
      </c>
      <c r="BF106" s="448" t="str">
        <f>_xlfn.IFNA(VLOOKUP($AP106,Programma!$F$3:$V$1101,17,0),"")</f>
        <v>_</v>
      </c>
      <c r="BG106" s="448" t="str">
        <f>_xlfn.IFNA(VLOOKUP($AP106,Programma!$F$3:$W$1101,18,0),"")</f>
        <v>_</v>
      </c>
      <c r="BH106" s="448" t="str">
        <f>_xlfn.IFNA(VLOOKUP($AP106,Programma!$F$3:$X$1101,19,0),"")</f>
        <v>_</v>
      </c>
      <c r="BI106" s="448" t="str">
        <f>_xlfn.IFNA(VLOOKUP($AP106,Programma!$F$3:$Y$1101,20,0),"")</f>
        <v>_</v>
      </c>
      <c r="BJ106" s="449"/>
      <c r="BK106" s="447" t="str">
        <f>IF(Ruimtestaat[[#This Row],[Frequentie weekend]]="","",_xlfn.CONCAT(Ruimtestaat[[#This Row],[Ruimte code]],"-",Ruimtestaat[[#This Row],[Frequentie weekend]]," ",Ruimtestaat[[#This Row],[Vloer code]]))</f>
        <v/>
      </c>
      <c r="BL106" s="448" t="str">
        <f>_xlfn.IFNA(VLOOKUP($BK106,Programma!$F$3:$G$1101,2,0),"")</f>
        <v/>
      </c>
      <c r="BM106" s="448" t="str">
        <f>_xlfn.IFNA(VLOOKUP($BK106,Programma!$F$3:$H$1101,3,0),"")</f>
        <v/>
      </c>
      <c r="BN106" s="448" t="str">
        <f>_xlfn.IFNA(VLOOKUP($BK106,Programma!$F$3:$I$1101,4,0),"")</f>
        <v/>
      </c>
      <c r="BO106" s="448" t="str">
        <f>_xlfn.IFNA(VLOOKUP($BK106,Programma!$F$3:$J$1101,5,0),"")</f>
        <v/>
      </c>
      <c r="BP106" s="448" t="str">
        <f>_xlfn.IFNA(VLOOKUP($BK106,Programma!$F$3:$K$1101,6,0),"")</f>
        <v/>
      </c>
      <c r="BQ106" s="448" t="str">
        <f>_xlfn.IFNA(VLOOKUP($BK106,Programma!$F$3:$L$1101,7,0),"")</f>
        <v/>
      </c>
      <c r="BR106" s="448" t="str">
        <f>_xlfn.IFNA(VLOOKUP($BK106,Programma!$F$3:$M$1101,8,0),"")</f>
        <v/>
      </c>
      <c r="BS106" s="448" t="str">
        <f>_xlfn.IFNA(VLOOKUP($BK106,Programma!$F$3:$N$1101,9,0),"")</f>
        <v/>
      </c>
      <c r="BT106" s="448" t="str">
        <f>_xlfn.IFNA(VLOOKUP($BK106,Programma!$F$3:$O$1101,10,0),"")</f>
        <v/>
      </c>
      <c r="BU106" s="448" t="str">
        <f>_xlfn.IFNA(VLOOKUP($BK106,Programma!$F$3:$P$1101,11,0),"")</f>
        <v/>
      </c>
      <c r="BV106" s="448" t="str">
        <f>_xlfn.IFNA(VLOOKUP($BK106,Programma!$F$3:$Q$1101,12,0),"")</f>
        <v/>
      </c>
      <c r="BW106" s="448" t="str">
        <f>_xlfn.IFNA(VLOOKUP($BK106,Programma!$F$3:$R$1101,13,0),"")</f>
        <v/>
      </c>
      <c r="BX106" s="448" t="str">
        <f>_xlfn.IFNA(VLOOKUP($BK106,Programma!$F$3:$S$1101,14,0),"")</f>
        <v/>
      </c>
      <c r="BY106" s="448" t="str">
        <f>_xlfn.IFNA(VLOOKUP($BK106,Programma!$F$3:$T$1101,15,0),"")</f>
        <v/>
      </c>
      <c r="BZ106" s="448" t="str">
        <f>_xlfn.IFNA(VLOOKUP($BK106,Programma!$F$3:$U$1101,16,0),"")</f>
        <v/>
      </c>
      <c r="CA106" s="448" t="str">
        <f>_xlfn.IFNA(VLOOKUP($BK106,Programma!$F$3:$V$1101,17,0),"")</f>
        <v/>
      </c>
      <c r="CB106" s="448" t="str">
        <f>_xlfn.IFNA(VLOOKUP($BK106,Programma!$F$3:$W$1101,18,0),"")</f>
        <v/>
      </c>
      <c r="CC106" s="448" t="str">
        <f>_xlfn.IFNA(VLOOKUP($BK106,Programma!$F$3:$X$1101,19,0),"")</f>
        <v/>
      </c>
      <c r="CD106" s="448" t="str">
        <f>_xlfn.IFNA(VLOOKUP($BK106,Programma!$F$3:$Y$1101,20,0),"")</f>
        <v/>
      </c>
      <c r="CE106" s="327"/>
      <c r="CF106" s="327"/>
      <c r="CG106" s="327"/>
      <c r="CH106" s="327"/>
      <c r="CI106" s="327"/>
      <c r="CJ106" s="327"/>
      <c r="CK106" s="327"/>
      <c r="CL106" s="327"/>
      <c r="CM106" s="327"/>
      <c r="CN106" s="327"/>
      <c r="CO106" s="327"/>
      <c r="CP106" s="327"/>
      <c r="CQ106" s="327"/>
      <c r="CR106" s="327"/>
      <c r="CS106" s="327"/>
      <c r="CT106" s="327"/>
      <c r="CU106" s="327"/>
      <c r="CV106" s="327"/>
      <c r="CW106" s="327"/>
      <c r="CX106" s="327"/>
      <c r="CY106" s="327"/>
      <c r="CZ106" s="327"/>
      <c r="DA106" s="327"/>
      <c r="DB106" s="327"/>
      <c r="DC106" s="327"/>
      <c r="DD106" s="327"/>
      <c r="DE106" s="327"/>
      <c r="DF106" s="327"/>
      <c r="DG106" s="327"/>
      <c r="DH106" s="327"/>
      <c r="DI106" s="327"/>
      <c r="DJ106" s="327"/>
      <c r="DK106" s="327"/>
      <c r="DL106" s="327"/>
      <c r="DM106" s="327"/>
      <c r="DN106" s="327"/>
      <c r="DO106" s="327"/>
      <c r="DP106" s="327"/>
      <c r="DQ106" s="327"/>
      <c r="DR106" s="327"/>
      <c r="DS106" s="327"/>
      <c r="DT106" s="327"/>
      <c r="DU106" s="327"/>
      <c r="DV106" s="327"/>
      <c r="DW106" s="327"/>
      <c r="DX106" s="327"/>
      <c r="DY106" s="327"/>
      <c r="DZ106" s="327"/>
      <c r="EA106" s="327"/>
      <c r="EB106" s="327"/>
      <c r="EC106" s="327"/>
      <c r="ED106" s="327"/>
      <c r="EE106" s="327"/>
      <c r="EF106" s="327"/>
      <c r="EG106" s="327"/>
      <c r="EH106" s="327"/>
      <c r="EI106" s="327"/>
      <c r="EJ106" s="327"/>
      <c r="EK106" s="327"/>
      <c r="EL106" s="327"/>
      <c r="EM106" s="327"/>
      <c r="EN106" s="327"/>
      <c r="EO106" s="327"/>
      <c r="EP106" s="327"/>
      <c r="EQ106" s="327"/>
      <c r="ER106" s="327"/>
      <c r="ES106" s="327"/>
      <c r="ET106" s="327"/>
      <c r="EU106" s="327"/>
      <c r="EV106" s="327"/>
      <c r="EW106" s="327"/>
      <c r="EX106" s="327"/>
      <c r="EY106" s="327"/>
      <c r="EZ106" s="327"/>
      <c r="FA106" s="327"/>
      <c r="FB106" s="327"/>
      <c r="FC106" s="327"/>
      <c r="FD106" s="327"/>
      <c r="FE106" s="327"/>
      <c r="FF106" s="327"/>
      <c r="FG106" s="327"/>
      <c r="FH106" s="327"/>
      <c r="FI106" s="327"/>
      <c r="FJ106" s="327"/>
      <c r="FK106" s="327"/>
      <c r="FL106" s="327"/>
      <c r="FM106" s="327"/>
      <c r="FN106" s="327"/>
      <c r="FO106" s="327"/>
      <c r="FP106" s="327"/>
      <c r="FQ106" s="327"/>
      <c r="FR106" s="327"/>
      <c r="FS106" s="327"/>
      <c r="FT106" s="327"/>
      <c r="FU106" s="327"/>
      <c r="FV106" s="327"/>
      <c r="FW106" s="327"/>
      <c r="FX106" s="327"/>
      <c r="FY106" s="327"/>
      <c r="FZ106" s="327"/>
      <c r="GA106" s="327"/>
      <c r="GB106" s="327"/>
      <c r="GC106" s="327"/>
      <c r="GD106" s="327"/>
      <c r="GE106" s="327"/>
      <c r="GF106" s="327"/>
      <c r="GG106" s="327"/>
      <c r="GH106" s="327"/>
      <c r="GI106" s="327"/>
      <c r="GJ106" s="327"/>
      <c r="GK106" s="327"/>
      <c r="GL106" s="327"/>
      <c r="GM106" s="327"/>
      <c r="GN106" s="327"/>
      <c r="GO106" s="327"/>
      <c r="GP106" s="327"/>
      <c r="GQ106" s="327"/>
      <c r="GR106" s="327"/>
      <c r="GS106" s="327"/>
      <c r="GT106" s="327"/>
      <c r="GU106" s="327"/>
      <c r="GV106" s="327"/>
      <c r="GW106" s="327"/>
      <c r="GX106" s="327"/>
      <c r="GY106" s="327"/>
      <c r="GZ106" s="327"/>
      <c r="HA106" s="327"/>
      <c r="HB106" s="327"/>
      <c r="HC106" s="327"/>
      <c r="HD106" s="327"/>
      <c r="HE106" s="327"/>
      <c r="HF106" s="327"/>
      <c r="HG106" s="327"/>
      <c r="HH106" s="327"/>
      <c r="HI106" s="327"/>
      <c r="HJ106" s="327"/>
      <c r="HK106" s="327"/>
      <c r="HL106" s="327"/>
      <c r="HM106" s="327"/>
      <c r="HN106" s="327"/>
      <c r="HO106" s="327"/>
      <c r="HP106" s="327"/>
      <c r="HQ106" s="327"/>
      <c r="HR106" s="327"/>
      <c r="HS106" s="327"/>
    </row>
    <row r="107" spans="1:227" ht="15" customHeight="1">
      <c r="A107" s="330">
        <v>5</v>
      </c>
      <c r="B107" s="435" t="str">
        <f>VLOOKUP(Ruimtestaat[[#This Row],[Code]],Locaties[[Code]:[Locatie]],2,FALSE)</f>
        <v>IKC De Springplank</v>
      </c>
      <c r="C107" s="435" t="str">
        <f>VLOOKUP(Ruimtestaat[[#This Row],[Code]],Locaties[[#All],[Code]:[Adres]],4,FALSE)</f>
        <v>Irisvaart 6-8</v>
      </c>
      <c r="D107" s="435" t="str">
        <f>VLOOKUP(Ruimtestaat[[#This Row],[Code]],Locaties[[#All],[Code]:[Postcode]],5,FALSE)</f>
        <v>2724 TT</v>
      </c>
      <c r="E107" s="435" t="str">
        <f>VLOOKUP(Ruimtestaat[[#This Row],[Code]],Locaties[#All],6,FALSE)</f>
        <v>Zoetermeer</v>
      </c>
      <c r="F107" s="434"/>
      <c r="G107" s="434" t="s">
        <v>1678</v>
      </c>
      <c r="H107" s="436" t="s">
        <v>1763</v>
      </c>
      <c r="I107" s="437" t="s">
        <v>1673</v>
      </c>
      <c r="J107" s="330">
        <v>5</v>
      </c>
      <c r="K107" s="450" t="str">
        <f>VLOOKUP(Ruimtestaat[[#This Row],[Ruimte code]],Ruimtegroepen[[#All],[Code]:[Ruimte omschrijving]],2,FALSE)</f>
        <v>Sanitair</v>
      </c>
      <c r="L107" s="434" t="s">
        <v>101</v>
      </c>
      <c r="M107" s="437" t="s">
        <v>119</v>
      </c>
      <c r="N107" s="439"/>
      <c r="O107" s="439"/>
      <c r="P107" s="439">
        <v>32</v>
      </c>
      <c r="Q107" s="439"/>
      <c r="R107" s="440" t="str">
        <f>VLOOKUP(Ruimtestaat[[#This Row],[Ruimte code]],Ruimtegroepen[],4,FALSE)</f>
        <v>Sa</v>
      </c>
      <c r="S107" s="434">
        <v>41</v>
      </c>
      <c r="T107" s="434" t="s">
        <v>2</v>
      </c>
      <c r="U107" s="434">
        <f>IF(S107&gt;0,IF(RIGHT(Ruimtestaat[[#This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07" s="434">
        <f>IF(U107&gt;0,VLOOKUP($J107,Ruimtegroepen[],3,FALSE)*VLOOKUP($L107,Vloersoorten[],3,FALSE)*VLOOKUP($T107,Frequenties[],3,FALSE)*VLOOKUP($A107,Locaties[],3,FALSE),0)</f>
        <v>0</v>
      </c>
      <c r="W107" s="434">
        <f>Ruimtestaat[[#This Row],[Uitvoeringen werkdagen]]*Ruimtestaat[[#This Row],[Oppervlak (netto)]]</f>
        <v>0</v>
      </c>
      <c r="X107" s="441">
        <f>IF(V107&gt;0,Ruimtestaat[[#This Row],[Prest. (m2 /jaar) werkdagen]]/Ruimtestaat[[#This Row],[Norm (m2/uur) werkdagen]],0)</f>
        <v>0</v>
      </c>
      <c r="Y107" s="442">
        <f>Ruimtestaat[[#This Row],[Uitvoeringen werkdagen]]*Ruimtestaat[[#This Row],[Gedeeltelijk]]</f>
        <v>6560</v>
      </c>
      <c r="Z107" s="443" t="e">
        <f>IF(U107&gt;0,Ruimtestaat[[#This Row],[Prest. (m2 / jaar) werkdagen gedeeld]]/Ruimtestaat[[#This Row],[Norm (m2/uur) werkdagen]],0)</f>
        <v>#DIV/0!</v>
      </c>
      <c r="AA107" s="441" t="e">
        <f>Ruimtestaat[[#This Row],[uren / jaar werkdagen gedeeld]]*Tariefsopbouw!$E$35</f>
        <v>#DIV/0!</v>
      </c>
      <c r="AB107" s="441">
        <f>Ruimtestaat[[#This Row],[Uitvoeringen werkdagen]]*Ruimtestaat[[#This Row],[BSO]]</f>
        <v>0</v>
      </c>
      <c r="AC107" s="443" t="e">
        <f>IF(U107&gt;0,Ruimtestaat[[#This Row],[Prest. (m2 / jaar) werkdagen BSO]]/Ruimtestaat[[#This Row],[Norm (m2/uur) werkdagen]],0)</f>
        <v>#DIV/0!</v>
      </c>
      <c r="AD107" s="443" t="e">
        <f>Ruimtestaat[[#This Row],[uren / jaar werkdagen BSO]]*Tariefsopbouw!$E$35</f>
        <v>#DIV/0!</v>
      </c>
      <c r="AE107" s="444">
        <f>Ruimtestaat[[#This Row],[uren / jaar werkdagen]]*Tariefsopbouw!$E$35</f>
        <v>0</v>
      </c>
      <c r="AF107" s="434"/>
      <c r="AG107" s="434">
        <f>IF(Ruimtestaat[[#This Row],[Frequentie weekend]]&gt;0,VALUE(LEFT(AF107,1))*S107,0)</f>
        <v>0</v>
      </c>
      <c r="AH107" s="445">
        <f>IF($AG107&gt;0,VLOOKUP($J107,Ruimtegroepen[],3,FALSE)*VLOOKUP($L107,Vloersoorten[],3,FALSE)*VLOOKUP($AF107,Frequenties[],3,FALSE)*VLOOKUP(Ruimtestaat[[#This Row],[Code]],Locaties[],3,FALSE),0)</f>
        <v>0</v>
      </c>
      <c r="AI107" s="445">
        <f>Ruimtestaat[[#This Row],[Uitvoeringen weekend]]*Ruimtestaat[[#This Row],[Oppervlak (netto)]]</f>
        <v>0</v>
      </c>
      <c r="AJ107" s="445">
        <f>IF(AH107&gt;0,Ruimtestaat[[#This Row],[Prest. (m2 /jaar) weekend]]/Ruimtestaat[[#This Row],[Norm (m2/uur) weekend]],0)</f>
        <v>0</v>
      </c>
      <c r="AK107" s="444">
        <f>Ruimtestaat[[#This Row],[uren / jaar weekend]]*Tariefsopbouw!$D$40</f>
        <v>0</v>
      </c>
      <c r="AL107" s="441">
        <f>Ruimtestaat[[#This Row],[Prest. (m2 /jaar) weekend]]+Ruimtestaat[[#This Row],[Prest. (m2 /jaar) werkdagen]]</f>
        <v>0</v>
      </c>
      <c r="AM107" s="441">
        <f>Ruimtestaat[[#This Row],[uren / jaar weekend]]+Ruimtestaat[[#This Row],[uren / jaar werkdagen]]</f>
        <v>0</v>
      </c>
      <c r="AN107" s="446">
        <f>Ruimtestaat[[#This Row],[kosten / jaar weekend]]+Ruimtestaat[[#This Row],[kosten / jaar werkdagen]]</f>
        <v>0</v>
      </c>
      <c r="AO107" s="446"/>
      <c r="AP107" s="447" t="str">
        <f>IF(Ruimtestaat[[#This Row],[Frequentie werkdagen]]="","",_xlfn.CONCAT(Ruimtestaat[[#This Row],[Ruimte code]],"-",Ruimtestaat[[#This Row],[Frequentie werkdagen]]," ",Ruimtestaat[[#This Row],[Vloer code]]))</f>
        <v>5-5w S</v>
      </c>
      <c r="AQ107" s="448" t="str">
        <f>_xlfn.IFNA(VLOOKUP($AP107,Programma!$F$3:$G$1101,2,0),"")</f>
        <v>_</v>
      </c>
      <c r="AR107" s="448" t="str">
        <f>_xlfn.IFNA(VLOOKUP($AP107,Programma!$F$3:$H$1101,3,0),"")</f>
        <v>_</v>
      </c>
      <c r="AS107" s="448" t="str">
        <f>_xlfn.IFNA(VLOOKUP($AP107,Programma!$F$3:$I$1101,4,0),"")</f>
        <v>_</v>
      </c>
      <c r="AT107" s="448" t="str">
        <f>_xlfn.IFNA(VLOOKUP($AP107,Programma!$F$3:$J$1101,5,0),"")</f>
        <v>4w</v>
      </c>
      <c r="AU107" s="448" t="str">
        <f>_xlfn.IFNA(VLOOKUP($AP107,Programma!$F$3:$K$1101,6,0),"")</f>
        <v>1w</v>
      </c>
      <c r="AV107" s="448" t="str">
        <f>_xlfn.IFNA(VLOOKUP($AP107,Programma!$F$3:$L$1101,7,0),"")</f>
        <v>_</v>
      </c>
      <c r="AW107" s="448" t="str">
        <f>_xlfn.IFNA(VLOOKUP($AP107,Programma!$F$3:$M$1101,8,0),"")</f>
        <v>_</v>
      </c>
      <c r="AX107" s="448" t="str">
        <f>_xlfn.IFNA(VLOOKUP($AP107,Programma!$F$3:$N$1101,9,0),"")</f>
        <v>_</v>
      </c>
      <c r="AY107" s="448" t="str">
        <f>_xlfn.IFNA(VLOOKUP($AP107,Programma!$F$3:$O$1101,10,0),"")</f>
        <v>_</v>
      </c>
      <c r="AZ107" s="448" t="str">
        <f>_xlfn.IFNA(VLOOKUP($AP107,Programma!$F$3:$P$1101,11,0),"")</f>
        <v>_</v>
      </c>
      <c r="BA107" s="448" t="str">
        <f>_xlfn.IFNA(VLOOKUP($AP107,Programma!$F$3:$Q$1101,12,0),"")</f>
        <v>_</v>
      </c>
      <c r="BB107" s="448" t="str">
        <f>_xlfn.IFNA(VLOOKUP($AP107,Programma!$F$3:$R$1101,13,0),"")</f>
        <v>_</v>
      </c>
      <c r="BC107" s="448" t="str">
        <f>_xlfn.IFNA(VLOOKUP($AP107,Programma!$F$3:$S$1101,14,0),"")</f>
        <v>_</v>
      </c>
      <c r="BD107" s="448" t="str">
        <f>_xlfn.IFNA(VLOOKUP($AP107,Programma!$F$3:$T$1101,15,0),"")</f>
        <v>_</v>
      </c>
      <c r="BE107" s="448" t="str">
        <f>_xlfn.IFNA(VLOOKUP($AP107,Programma!$F$3:$U$1101,16,0),"")</f>
        <v>_</v>
      </c>
      <c r="BF107" s="448" t="str">
        <f>_xlfn.IFNA(VLOOKUP($AP107,Programma!$F$3:$V$1101,17,0),"")</f>
        <v>_</v>
      </c>
      <c r="BG107" s="448" t="str">
        <f>_xlfn.IFNA(VLOOKUP($AP107,Programma!$F$3:$W$1101,18,0),"")</f>
        <v>4w</v>
      </c>
      <c r="BH107" s="448" t="str">
        <f>_xlfn.IFNA(VLOOKUP($AP107,Programma!$F$3:$X$1101,19,0),"")</f>
        <v>1w</v>
      </c>
      <c r="BI107" s="448" t="str">
        <f>_xlfn.IFNA(VLOOKUP($AP107,Programma!$F$3:$Y$1101,20,0),"")</f>
        <v>_</v>
      </c>
      <c r="BJ107" s="449"/>
      <c r="BK107" s="447" t="str">
        <f>IF(Ruimtestaat[[#This Row],[Frequentie weekend]]="","",_xlfn.CONCAT(Ruimtestaat[[#This Row],[Ruimte code]],"-",Ruimtestaat[[#This Row],[Frequentie weekend]]," ",Ruimtestaat[[#This Row],[Vloer code]]))</f>
        <v/>
      </c>
      <c r="BL107" s="448" t="str">
        <f>_xlfn.IFNA(VLOOKUP($BK107,Programma!$F$3:$G$1101,2,0),"")</f>
        <v/>
      </c>
      <c r="BM107" s="448" t="str">
        <f>_xlfn.IFNA(VLOOKUP($BK107,Programma!$F$3:$H$1101,3,0),"")</f>
        <v/>
      </c>
      <c r="BN107" s="448" t="str">
        <f>_xlfn.IFNA(VLOOKUP($BK107,Programma!$F$3:$I$1101,4,0),"")</f>
        <v/>
      </c>
      <c r="BO107" s="448" t="str">
        <f>_xlfn.IFNA(VLOOKUP($BK107,Programma!$F$3:$J$1101,5,0),"")</f>
        <v/>
      </c>
      <c r="BP107" s="448" t="str">
        <f>_xlfn.IFNA(VLOOKUP($BK107,Programma!$F$3:$K$1101,6,0),"")</f>
        <v/>
      </c>
      <c r="BQ107" s="448" t="str">
        <f>_xlfn.IFNA(VLOOKUP($BK107,Programma!$F$3:$L$1101,7,0),"")</f>
        <v/>
      </c>
      <c r="BR107" s="448" t="str">
        <f>_xlfn.IFNA(VLOOKUP($BK107,Programma!$F$3:$M$1101,8,0),"")</f>
        <v/>
      </c>
      <c r="BS107" s="448" t="str">
        <f>_xlfn.IFNA(VLOOKUP($BK107,Programma!$F$3:$N$1101,9,0),"")</f>
        <v/>
      </c>
      <c r="BT107" s="448" t="str">
        <f>_xlfn.IFNA(VLOOKUP($BK107,Programma!$F$3:$O$1101,10,0),"")</f>
        <v/>
      </c>
      <c r="BU107" s="448" t="str">
        <f>_xlfn.IFNA(VLOOKUP($BK107,Programma!$F$3:$P$1101,11,0),"")</f>
        <v/>
      </c>
      <c r="BV107" s="448" t="str">
        <f>_xlfn.IFNA(VLOOKUP($BK107,Programma!$F$3:$Q$1101,12,0),"")</f>
        <v/>
      </c>
      <c r="BW107" s="448" t="str">
        <f>_xlfn.IFNA(VLOOKUP($BK107,Programma!$F$3:$R$1101,13,0),"")</f>
        <v/>
      </c>
      <c r="BX107" s="448" t="str">
        <f>_xlfn.IFNA(VLOOKUP($BK107,Programma!$F$3:$S$1101,14,0),"")</f>
        <v/>
      </c>
      <c r="BY107" s="448" t="str">
        <f>_xlfn.IFNA(VLOOKUP($BK107,Programma!$F$3:$T$1101,15,0),"")</f>
        <v/>
      </c>
      <c r="BZ107" s="448" t="str">
        <f>_xlfn.IFNA(VLOOKUP($BK107,Programma!$F$3:$U$1101,16,0),"")</f>
        <v/>
      </c>
      <c r="CA107" s="448" t="str">
        <f>_xlfn.IFNA(VLOOKUP($BK107,Programma!$F$3:$V$1101,17,0),"")</f>
        <v/>
      </c>
      <c r="CB107" s="448" t="str">
        <f>_xlfn.IFNA(VLOOKUP($BK107,Programma!$F$3:$W$1101,18,0),"")</f>
        <v/>
      </c>
      <c r="CC107" s="448" t="str">
        <f>_xlfn.IFNA(VLOOKUP($BK107,Programma!$F$3:$X$1101,19,0),"")</f>
        <v/>
      </c>
      <c r="CD107" s="448" t="str">
        <f>_xlfn.IFNA(VLOOKUP($BK107,Programma!$F$3:$Y$1101,20,0),"")</f>
        <v/>
      </c>
      <c r="CE107" s="327"/>
      <c r="CF107" s="327"/>
      <c r="CG107" s="327"/>
      <c r="CH107" s="327"/>
      <c r="CI107" s="327"/>
      <c r="CJ107" s="327"/>
      <c r="CK107" s="327"/>
      <c r="CL107" s="327"/>
      <c r="CM107" s="327"/>
      <c r="CN107" s="327"/>
      <c r="CO107" s="327"/>
      <c r="CP107" s="327"/>
      <c r="CQ107" s="327"/>
      <c r="CR107" s="327"/>
      <c r="CS107" s="327"/>
      <c r="CT107" s="327"/>
      <c r="CU107" s="327"/>
      <c r="CV107" s="327"/>
      <c r="CW107" s="327"/>
      <c r="CX107" s="327"/>
      <c r="CY107" s="327"/>
      <c r="CZ107" s="327"/>
      <c r="DA107" s="327"/>
      <c r="DB107" s="327"/>
      <c r="DC107" s="327"/>
      <c r="DD107" s="327"/>
      <c r="DE107" s="327"/>
      <c r="DF107" s="327"/>
      <c r="DG107" s="327"/>
      <c r="DH107" s="327"/>
      <c r="DI107" s="327"/>
      <c r="DJ107" s="327"/>
      <c r="DK107" s="327"/>
      <c r="DL107" s="327"/>
      <c r="DM107" s="327"/>
      <c r="DN107" s="327"/>
      <c r="DO107" s="327"/>
      <c r="DP107" s="327"/>
      <c r="DQ107" s="327"/>
      <c r="DR107" s="327"/>
      <c r="DS107" s="327"/>
      <c r="DT107" s="327"/>
      <c r="DU107" s="327"/>
      <c r="DV107" s="327"/>
      <c r="DW107" s="327"/>
      <c r="DX107" s="327"/>
      <c r="DY107" s="327"/>
      <c r="DZ107" s="327"/>
      <c r="EA107" s="327"/>
      <c r="EB107" s="327"/>
      <c r="EC107" s="327"/>
      <c r="ED107" s="327"/>
      <c r="EE107" s="327"/>
      <c r="EF107" s="327"/>
      <c r="EG107" s="327"/>
      <c r="EH107" s="327"/>
      <c r="EI107" s="327"/>
      <c r="EJ107" s="327"/>
      <c r="EK107" s="327"/>
      <c r="EL107" s="327"/>
      <c r="EM107" s="327"/>
      <c r="EN107" s="327"/>
      <c r="EO107" s="327"/>
      <c r="EP107" s="327"/>
      <c r="EQ107" s="327"/>
      <c r="ER107" s="327"/>
      <c r="ES107" s="327"/>
      <c r="ET107" s="327"/>
      <c r="EU107" s="327"/>
      <c r="EV107" s="327"/>
      <c r="EW107" s="327"/>
      <c r="EX107" s="327"/>
      <c r="EY107" s="327"/>
      <c r="EZ107" s="327"/>
      <c r="FA107" s="327"/>
      <c r="FB107" s="327"/>
      <c r="FC107" s="327"/>
      <c r="FD107" s="327"/>
      <c r="FE107" s="327"/>
      <c r="FF107" s="327"/>
      <c r="FG107" s="327"/>
      <c r="FH107" s="327"/>
      <c r="FI107" s="327"/>
      <c r="FJ107" s="327"/>
      <c r="FK107" s="327"/>
      <c r="FL107" s="327"/>
      <c r="FM107" s="327"/>
      <c r="FN107" s="327"/>
      <c r="FO107" s="327"/>
      <c r="FP107" s="327"/>
      <c r="FQ107" s="327"/>
      <c r="FR107" s="327"/>
      <c r="FS107" s="327"/>
      <c r="FT107" s="327"/>
      <c r="FU107" s="327"/>
      <c r="FV107" s="327"/>
      <c r="FW107" s="327"/>
      <c r="FX107" s="327"/>
      <c r="FY107" s="327"/>
      <c r="FZ107" s="327"/>
      <c r="GA107" s="327"/>
      <c r="GB107" s="327"/>
      <c r="GC107" s="327"/>
      <c r="GD107" s="327"/>
      <c r="GE107" s="327"/>
      <c r="GF107" s="327"/>
      <c r="GG107" s="327"/>
      <c r="GH107" s="327"/>
      <c r="GI107" s="327"/>
      <c r="GJ107" s="327"/>
      <c r="GK107" s="327"/>
      <c r="GL107" s="327"/>
      <c r="GM107" s="327"/>
      <c r="GN107" s="327"/>
      <c r="GO107" s="327"/>
      <c r="GP107" s="327"/>
      <c r="GQ107" s="327"/>
      <c r="GR107" s="327"/>
      <c r="GS107" s="327"/>
      <c r="GT107" s="327"/>
      <c r="GU107" s="327"/>
      <c r="GV107" s="327"/>
      <c r="GW107" s="327"/>
      <c r="GX107" s="327"/>
      <c r="GY107" s="327"/>
      <c r="GZ107" s="327"/>
      <c r="HA107" s="327"/>
      <c r="HB107" s="327"/>
      <c r="HC107" s="327"/>
      <c r="HD107" s="327"/>
      <c r="HE107" s="327"/>
      <c r="HF107" s="327"/>
      <c r="HG107" s="327"/>
      <c r="HH107" s="327"/>
      <c r="HI107" s="327"/>
      <c r="HJ107" s="327"/>
      <c r="HK107" s="327"/>
      <c r="HL107" s="327"/>
      <c r="HM107" s="327"/>
      <c r="HN107" s="327"/>
      <c r="HO107" s="327"/>
      <c r="HP107" s="327"/>
      <c r="HQ107" s="327"/>
      <c r="HR107" s="327"/>
      <c r="HS107" s="327"/>
    </row>
    <row r="108" spans="1:227" ht="15" customHeight="1">
      <c r="A108" s="330">
        <v>5</v>
      </c>
      <c r="B108" s="435" t="str">
        <f>VLOOKUP(Ruimtestaat[[#This Row],[Code]],Locaties[[Code]:[Locatie]],2,FALSE)</f>
        <v>IKC De Springplank</v>
      </c>
      <c r="C108" s="435" t="str">
        <f>VLOOKUP(Ruimtestaat[[#This Row],[Code]],Locaties[[#All],[Code]:[Adres]],4,FALSE)</f>
        <v>Irisvaart 6-8</v>
      </c>
      <c r="D108" s="435" t="str">
        <f>VLOOKUP(Ruimtestaat[[#This Row],[Code]],Locaties[[#All],[Code]:[Postcode]],5,FALSE)</f>
        <v>2724 TT</v>
      </c>
      <c r="E108" s="435" t="str">
        <f>VLOOKUP(Ruimtestaat[[#This Row],[Code]],Locaties[#All],6,FALSE)</f>
        <v>Zoetermeer</v>
      </c>
      <c r="F108" s="434"/>
      <c r="G108" s="434" t="s">
        <v>1678</v>
      </c>
      <c r="H108" s="451" t="s">
        <v>1764</v>
      </c>
      <c r="I108" s="437" t="s">
        <v>1673</v>
      </c>
      <c r="J108" s="330">
        <v>5</v>
      </c>
      <c r="K108" s="450" t="str">
        <f>VLOOKUP(Ruimtestaat[[#This Row],[Ruimte code]],Ruimtegroepen[[#All],[Code]:[Ruimte omschrijving]],2,FALSE)</f>
        <v>Sanitair</v>
      </c>
      <c r="L108" s="434" t="s">
        <v>101</v>
      </c>
      <c r="M108" s="437" t="s">
        <v>1947</v>
      </c>
      <c r="N108" s="439"/>
      <c r="O108" s="439"/>
      <c r="P108" s="439">
        <v>16</v>
      </c>
      <c r="Q108" s="439"/>
      <c r="R108" s="440" t="str">
        <f>VLOOKUP(Ruimtestaat[[#This Row],[Ruimte code]],Ruimtegroepen[],4,FALSE)</f>
        <v>Sa</v>
      </c>
      <c r="S108" s="434">
        <v>41</v>
      </c>
      <c r="T108" s="434" t="s">
        <v>2</v>
      </c>
      <c r="U108" s="434">
        <f>IF(S108&gt;0,IF(RIGHT(Ruimtestaat[[#This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08" s="434">
        <f>IF(U108&gt;0,VLOOKUP($J108,Ruimtegroepen[],3,FALSE)*VLOOKUP($L108,Vloersoorten[],3,FALSE)*VLOOKUP($T108,Frequenties[],3,FALSE)*VLOOKUP($A108,Locaties[],3,FALSE),0)</f>
        <v>0</v>
      </c>
      <c r="W108" s="434">
        <f>Ruimtestaat[[#This Row],[Uitvoeringen werkdagen]]*Ruimtestaat[[#This Row],[Oppervlak (netto)]]</f>
        <v>0</v>
      </c>
      <c r="X108" s="441">
        <f>IF(V108&gt;0,Ruimtestaat[[#This Row],[Prest. (m2 /jaar) werkdagen]]/Ruimtestaat[[#This Row],[Norm (m2/uur) werkdagen]],0)</f>
        <v>0</v>
      </c>
      <c r="Y108" s="442">
        <f>Ruimtestaat[[#This Row],[Uitvoeringen werkdagen]]*Ruimtestaat[[#This Row],[Gedeeltelijk]]</f>
        <v>3280</v>
      </c>
      <c r="Z108" s="443" t="e">
        <f>IF(U108&gt;0,Ruimtestaat[[#This Row],[Prest. (m2 / jaar) werkdagen gedeeld]]/Ruimtestaat[[#This Row],[Norm (m2/uur) werkdagen]],0)</f>
        <v>#DIV/0!</v>
      </c>
      <c r="AA108" s="441" t="e">
        <f>Ruimtestaat[[#This Row],[uren / jaar werkdagen gedeeld]]*Tariefsopbouw!$E$35</f>
        <v>#DIV/0!</v>
      </c>
      <c r="AB108" s="441">
        <f>Ruimtestaat[[#This Row],[Uitvoeringen werkdagen]]*Ruimtestaat[[#This Row],[BSO]]</f>
        <v>0</v>
      </c>
      <c r="AC108" s="443" t="e">
        <f>IF(U108&gt;0,Ruimtestaat[[#This Row],[Prest. (m2 / jaar) werkdagen BSO]]/Ruimtestaat[[#This Row],[Norm (m2/uur) werkdagen]],0)</f>
        <v>#DIV/0!</v>
      </c>
      <c r="AD108" s="443" t="e">
        <f>Ruimtestaat[[#This Row],[uren / jaar werkdagen BSO]]*Tariefsopbouw!$E$35</f>
        <v>#DIV/0!</v>
      </c>
      <c r="AE108" s="444">
        <f>Ruimtestaat[[#This Row],[uren / jaar werkdagen]]*Tariefsopbouw!$E$35</f>
        <v>0</v>
      </c>
      <c r="AF108" s="434"/>
      <c r="AG108" s="434">
        <f>IF(Ruimtestaat[[#This Row],[Frequentie weekend]]&gt;0,VALUE(LEFT(AF108,1))*S108,0)</f>
        <v>0</v>
      </c>
      <c r="AH108" s="445">
        <f>IF($AG108&gt;0,VLOOKUP($J108,Ruimtegroepen[],3,FALSE)*VLOOKUP($L108,Vloersoorten[],3,FALSE)*VLOOKUP($AF108,Frequenties[],3,FALSE)*VLOOKUP(Ruimtestaat[[#This Row],[Code]],Locaties[],3,FALSE),0)</f>
        <v>0</v>
      </c>
      <c r="AI108" s="445">
        <f>Ruimtestaat[[#This Row],[Uitvoeringen weekend]]*Ruimtestaat[[#This Row],[Oppervlak (netto)]]</f>
        <v>0</v>
      </c>
      <c r="AJ108" s="445">
        <f>IF(AH108&gt;0,Ruimtestaat[[#This Row],[Prest. (m2 /jaar) weekend]]/Ruimtestaat[[#This Row],[Norm (m2/uur) weekend]],0)</f>
        <v>0</v>
      </c>
      <c r="AK108" s="444">
        <f>Ruimtestaat[[#This Row],[uren / jaar weekend]]*Tariefsopbouw!$D$40</f>
        <v>0</v>
      </c>
      <c r="AL108" s="441">
        <f>Ruimtestaat[[#This Row],[Prest. (m2 /jaar) weekend]]+Ruimtestaat[[#This Row],[Prest. (m2 /jaar) werkdagen]]</f>
        <v>0</v>
      </c>
      <c r="AM108" s="441">
        <f>Ruimtestaat[[#This Row],[uren / jaar weekend]]+Ruimtestaat[[#This Row],[uren / jaar werkdagen]]</f>
        <v>0</v>
      </c>
      <c r="AN108" s="446">
        <f>Ruimtestaat[[#This Row],[kosten / jaar weekend]]+Ruimtestaat[[#This Row],[kosten / jaar werkdagen]]</f>
        <v>0</v>
      </c>
      <c r="AO108" s="446"/>
      <c r="AP108" s="447" t="str">
        <f>IF(Ruimtestaat[[#This Row],[Frequentie werkdagen]]="","",_xlfn.CONCAT(Ruimtestaat[[#This Row],[Ruimte code]],"-",Ruimtestaat[[#This Row],[Frequentie werkdagen]]," ",Ruimtestaat[[#This Row],[Vloer code]]))</f>
        <v>5-5w S</v>
      </c>
      <c r="AQ108" s="448" t="str">
        <f>_xlfn.IFNA(VLOOKUP($AP108,Programma!$F$3:$G$1101,2,0),"")</f>
        <v>_</v>
      </c>
      <c r="AR108" s="448" t="str">
        <f>_xlfn.IFNA(VLOOKUP($AP108,Programma!$F$3:$H$1101,3,0),"")</f>
        <v>_</v>
      </c>
      <c r="AS108" s="448" t="str">
        <f>_xlfn.IFNA(VLOOKUP($AP108,Programma!$F$3:$I$1101,4,0),"")</f>
        <v>_</v>
      </c>
      <c r="AT108" s="448" t="str">
        <f>_xlfn.IFNA(VLOOKUP($AP108,Programma!$F$3:$J$1101,5,0),"")</f>
        <v>4w</v>
      </c>
      <c r="AU108" s="448" t="str">
        <f>_xlfn.IFNA(VLOOKUP($AP108,Programma!$F$3:$K$1101,6,0),"")</f>
        <v>1w</v>
      </c>
      <c r="AV108" s="448" t="str">
        <f>_xlfn.IFNA(VLOOKUP($AP108,Programma!$F$3:$L$1101,7,0),"")</f>
        <v>_</v>
      </c>
      <c r="AW108" s="448" t="str">
        <f>_xlfn.IFNA(VLOOKUP($AP108,Programma!$F$3:$M$1101,8,0),"")</f>
        <v>_</v>
      </c>
      <c r="AX108" s="448" t="str">
        <f>_xlfn.IFNA(VLOOKUP($AP108,Programma!$F$3:$N$1101,9,0),"")</f>
        <v>_</v>
      </c>
      <c r="AY108" s="448" t="str">
        <f>_xlfn.IFNA(VLOOKUP($AP108,Programma!$F$3:$O$1101,10,0),"")</f>
        <v>_</v>
      </c>
      <c r="AZ108" s="448" t="str">
        <f>_xlfn.IFNA(VLOOKUP($AP108,Programma!$F$3:$P$1101,11,0),"")</f>
        <v>_</v>
      </c>
      <c r="BA108" s="448" t="str">
        <f>_xlfn.IFNA(VLOOKUP($AP108,Programma!$F$3:$Q$1101,12,0),"")</f>
        <v>_</v>
      </c>
      <c r="BB108" s="448" t="str">
        <f>_xlfn.IFNA(VLOOKUP($AP108,Programma!$F$3:$R$1101,13,0),"")</f>
        <v>_</v>
      </c>
      <c r="BC108" s="448" t="str">
        <f>_xlfn.IFNA(VLOOKUP($AP108,Programma!$F$3:$S$1101,14,0),"")</f>
        <v>_</v>
      </c>
      <c r="BD108" s="448" t="str">
        <f>_xlfn.IFNA(VLOOKUP($AP108,Programma!$F$3:$T$1101,15,0),"")</f>
        <v>_</v>
      </c>
      <c r="BE108" s="448" t="str">
        <f>_xlfn.IFNA(VLOOKUP($AP108,Programma!$F$3:$U$1101,16,0),"")</f>
        <v>_</v>
      </c>
      <c r="BF108" s="448" t="str">
        <f>_xlfn.IFNA(VLOOKUP($AP108,Programma!$F$3:$V$1101,17,0),"")</f>
        <v>_</v>
      </c>
      <c r="BG108" s="448" t="str">
        <f>_xlfn.IFNA(VLOOKUP($AP108,Programma!$F$3:$W$1101,18,0),"")</f>
        <v>4w</v>
      </c>
      <c r="BH108" s="448" t="str">
        <f>_xlfn.IFNA(VLOOKUP($AP108,Programma!$F$3:$X$1101,19,0),"")</f>
        <v>1w</v>
      </c>
      <c r="BI108" s="448" t="str">
        <f>_xlfn.IFNA(VLOOKUP($AP108,Programma!$F$3:$Y$1101,20,0),"")</f>
        <v>_</v>
      </c>
      <c r="BJ108" s="449"/>
      <c r="BK108" s="447" t="str">
        <f>IF(Ruimtestaat[[#This Row],[Frequentie weekend]]="","",_xlfn.CONCAT(Ruimtestaat[[#This Row],[Ruimte code]],"-",Ruimtestaat[[#This Row],[Frequentie weekend]]," ",Ruimtestaat[[#This Row],[Vloer code]]))</f>
        <v/>
      </c>
      <c r="BL108" s="448" t="str">
        <f>_xlfn.IFNA(VLOOKUP($BK108,Programma!$F$3:$G$1101,2,0),"")</f>
        <v/>
      </c>
      <c r="BM108" s="448" t="str">
        <f>_xlfn.IFNA(VLOOKUP($BK108,Programma!$F$3:$H$1101,3,0),"")</f>
        <v/>
      </c>
      <c r="BN108" s="448" t="str">
        <f>_xlfn.IFNA(VLOOKUP($BK108,Programma!$F$3:$I$1101,4,0),"")</f>
        <v/>
      </c>
      <c r="BO108" s="448" t="str">
        <f>_xlfn.IFNA(VLOOKUP($BK108,Programma!$F$3:$J$1101,5,0),"")</f>
        <v/>
      </c>
      <c r="BP108" s="448" t="str">
        <f>_xlfn.IFNA(VLOOKUP($BK108,Programma!$F$3:$K$1101,6,0),"")</f>
        <v/>
      </c>
      <c r="BQ108" s="448" t="str">
        <f>_xlfn.IFNA(VLOOKUP($BK108,Programma!$F$3:$L$1101,7,0),"")</f>
        <v/>
      </c>
      <c r="BR108" s="448" t="str">
        <f>_xlfn.IFNA(VLOOKUP($BK108,Programma!$F$3:$M$1101,8,0),"")</f>
        <v/>
      </c>
      <c r="BS108" s="448" t="str">
        <f>_xlfn.IFNA(VLOOKUP($BK108,Programma!$F$3:$N$1101,9,0),"")</f>
        <v/>
      </c>
      <c r="BT108" s="448" t="str">
        <f>_xlfn.IFNA(VLOOKUP($BK108,Programma!$F$3:$O$1101,10,0),"")</f>
        <v/>
      </c>
      <c r="BU108" s="448" t="str">
        <f>_xlfn.IFNA(VLOOKUP($BK108,Programma!$F$3:$P$1101,11,0),"")</f>
        <v/>
      </c>
      <c r="BV108" s="448" t="str">
        <f>_xlfn.IFNA(VLOOKUP($BK108,Programma!$F$3:$Q$1101,12,0),"")</f>
        <v/>
      </c>
      <c r="BW108" s="448" t="str">
        <f>_xlfn.IFNA(VLOOKUP($BK108,Programma!$F$3:$R$1101,13,0),"")</f>
        <v/>
      </c>
      <c r="BX108" s="448" t="str">
        <f>_xlfn.IFNA(VLOOKUP($BK108,Programma!$F$3:$S$1101,14,0),"")</f>
        <v/>
      </c>
      <c r="BY108" s="448" t="str">
        <f>_xlfn.IFNA(VLOOKUP($BK108,Programma!$F$3:$T$1101,15,0),"")</f>
        <v/>
      </c>
      <c r="BZ108" s="448" t="str">
        <f>_xlfn.IFNA(VLOOKUP($BK108,Programma!$F$3:$U$1101,16,0),"")</f>
        <v/>
      </c>
      <c r="CA108" s="448" t="str">
        <f>_xlfn.IFNA(VLOOKUP($BK108,Programma!$F$3:$V$1101,17,0),"")</f>
        <v/>
      </c>
      <c r="CB108" s="448" t="str">
        <f>_xlfn.IFNA(VLOOKUP($BK108,Programma!$F$3:$W$1101,18,0),"")</f>
        <v/>
      </c>
      <c r="CC108" s="448" t="str">
        <f>_xlfn.IFNA(VLOOKUP($BK108,Programma!$F$3:$X$1101,19,0),"")</f>
        <v/>
      </c>
      <c r="CD108" s="448" t="str">
        <f>_xlfn.IFNA(VLOOKUP($BK108,Programma!$F$3:$Y$1101,20,0),"")</f>
        <v/>
      </c>
      <c r="CE108" s="327"/>
      <c r="CF108" s="327"/>
      <c r="CG108" s="327"/>
      <c r="CH108" s="327"/>
      <c r="CI108" s="327"/>
      <c r="CJ108" s="327"/>
      <c r="CK108" s="327"/>
      <c r="CL108" s="327"/>
      <c r="CM108" s="327"/>
      <c r="CN108" s="327"/>
      <c r="CO108" s="327"/>
      <c r="CP108" s="327"/>
      <c r="CQ108" s="327"/>
      <c r="CR108" s="327"/>
      <c r="CS108" s="327"/>
      <c r="CT108" s="327"/>
      <c r="CU108" s="327"/>
      <c r="CV108" s="327"/>
      <c r="CW108" s="327"/>
      <c r="CX108" s="327"/>
      <c r="CY108" s="327"/>
      <c r="CZ108" s="327"/>
      <c r="DA108" s="327"/>
      <c r="DB108" s="327"/>
      <c r="DC108" s="327"/>
      <c r="DD108" s="327"/>
      <c r="DE108" s="327"/>
      <c r="DF108" s="327"/>
      <c r="DG108" s="327"/>
      <c r="DH108" s="327"/>
      <c r="DI108" s="327"/>
      <c r="DJ108" s="327"/>
      <c r="DK108" s="327"/>
      <c r="DL108" s="327"/>
      <c r="DM108" s="327"/>
      <c r="DN108" s="327"/>
      <c r="DO108" s="327"/>
      <c r="DP108" s="327"/>
      <c r="DQ108" s="327"/>
      <c r="DR108" s="327"/>
      <c r="DS108" s="327"/>
      <c r="DT108" s="327"/>
      <c r="DU108" s="327"/>
      <c r="DV108" s="327"/>
      <c r="DW108" s="327"/>
      <c r="DX108" s="327"/>
      <c r="DY108" s="327"/>
      <c r="DZ108" s="327"/>
      <c r="EA108" s="327"/>
      <c r="EB108" s="327"/>
      <c r="EC108" s="327"/>
      <c r="ED108" s="327"/>
      <c r="EE108" s="327"/>
      <c r="EF108" s="327"/>
      <c r="EG108" s="327"/>
      <c r="EH108" s="327"/>
      <c r="EI108" s="327"/>
      <c r="EJ108" s="327"/>
      <c r="EK108" s="327"/>
      <c r="EL108" s="327"/>
      <c r="EM108" s="327"/>
      <c r="EN108" s="327"/>
      <c r="EO108" s="327"/>
      <c r="EP108" s="327"/>
      <c r="EQ108" s="327"/>
      <c r="ER108" s="327"/>
      <c r="ES108" s="327"/>
      <c r="ET108" s="327"/>
      <c r="EU108" s="327"/>
      <c r="EV108" s="327"/>
      <c r="EW108" s="327"/>
      <c r="EX108" s="327"/>
      <c r="EY108" s="327"/>
      <c r="EZ108" s="327"/>
      <c r="FA108" s="327"/>
      <c r="FB108" s="327"/>
      <c r="FC108" s="327"/>
      <c r="FD108" s="327"/>
      <c r="FE108" s="327"/>
      <c r="FF108" s="327"/>
      <c r="FG108" s="327"/>
      <c r="FH108" s="327"/>
      <c r="FI108" s="327"/>
      <c r="FJ108" s="327"/>
      <c r="FK108" s="327"/>
      <c r="FL108" s="327"/>
      <c r="FM108" s="327"/>
      <c r="FN108" s="327"/>
      <c r="FO108" s="327"/>
      <c r="FP108" s="327"/>
      <c r="FQ108" s="327"/>
      <c r="FR108" s="327"/>
      <c r="FS108" s="327"/>
      <c r="FT108" s="327"/>
      <c r="FU108" s="327"/>
      <c r="FV108" s="327"/>
      <c r="FW108" s="327"/>
      <c r="FX108" s="327"/>
      <c r="FY108" s="327"/>
      <c r="FZ108" s="327"/>
      <c r="GA108" s="327"/>
      <c r="GB108" s="327"/>
      <c r="GC108" s="327"/>
      <c r="GD108" s="327"/>
      <c r="GE108" s="327"/>
      <c r="GF108" s="327"/>
      <c r="GG108" s="327"/>
      <c r="GH108" s="327"/>
      <c r="GI108" s="327"/>
      <c r="GJ108" s="327"/>
      <c r="GK108" s="327"/>
      <c r="GL108" s="327"/>
      <c r="GM108" s="327"/>
      <c r="GN108" s="327"/>
      <c r="GO108" s="327"/>
      <c r="GP108" s="327"/>
      <c r="GQ108" s="327"/>
      <c r="GR108" s="327"/>
      <c r="GS108" s="327"/>
      <c r="GT108" s="327"/>
      <c r="GU108" s="327"/>
      <c r="GV108" s="327"/>
      <c r="GW108" s="327"/>
      <c r="GX108" s="327"/>
      <c r="GY108" s="327"/>
      <c r="GZ108" s="327"/>
      <c r="HA108" s="327"/>
      <c r="HB108" s="327"/>
      <c r="HC108" s="327"/>
      <c r="HD108" s="327"/>
      <c r="HE108" s="327"/>
      <c r="HF108" s="327"/>
      <c r="HG108" s="327"/>
      <c r="HH108" s="327"/>
      <c r="HI108" s="327"/>
      <c r="HJ108" s="327"/>
      <c r="HK108" s="327"/>
      <c r="HL108" s="327"/>
      <c r="HM108" s="327"/>
      <c r="HN108" s="327"/>
      <c r="HO108" s="327"/>
      <c r="HP108" s="327"/>
      <c r="HQ108" s="327"/>
      <c r="HR108" s="327"/>
      <c r="HS108" s="327"/>
    </row>
    <row r="109" spans="1:227" ht="15" customHeight="1">
      <c r="A109" s="330">
        <v>6</v>
      </c>
      <c r="B109" s="435" t="str">
        <f>VLOOKUP(Ruimtestaat[[#This Row],[Code]],Locaties[[Code]:[Locatie]],2,FALSE)</f>
        <v>IKC Het Zwanenbos</v>
      </c>
      <c r="C109" s="435" t="str">
        <f>VLOOKUP(Ruimtestaat[[#This Row],[Code]],Locaties[[#All],[Code]:[Adres]],4,FALSE)</f>
        <v>Kerkenbos 24-26</v>
      </c>
      <c r="D109" s="435" t="str">
        <f>VLOOKUP(Ruimtestaat[[#This Row],[Code]],Locaties[[#All],[Code]:[Postcode]],5,FALSE)</f>
        <v>2716 PH</v>
      </c>
      <c r="E109" s="435" t="str">
        <f>VLOOKUP(Ruimtestaat[[#This Row],[Code]],Locaties[#All],6,FALSE)</f>
        <v>Zoetermeer</v>
      </c>
      <c r="F109" s="434"/>
      <c r="G109" s="434" t="s">
        <v>1678</v>
      </c>
      <c r="H109" s="451">
        <v>1</v>
      </c>
      <c r="I109" s="437" t="s">
        <v>1666</v>
      </c>
      <c r="J109" s="330">
        <v>2</v>
      </c>
      <c r="K109" s="450" t="str">
        <f>VLOOKUP(Ruimtestaat[[#This Row],[Ruimte code]],Ruimtegroepen[[#All],[Code]:[Ruimte omschrijving]],2,FALSE)</f>
        <v>Kantoren</v>
      </c>
      <c r="L109" s="434" t="s">
        <v>99</v>
      </c>
      <c r="M109" s="437" t="s">
        <v>36</v>
      </c>
      <c r="N109" s="439">
        <v>15</v>
      </c>
      <c r="O109" s="439"/>
      <c r="P109" s="439"/>
      <c r="Q109" s="439"/>
      <c r="R109" s="440" t="str">
        <f>VLOOKUP(Ruimtestaat[[#This Row],[Ruimte code]],Ruimtegroepen[],4,FALSE)</f>
        <v>Bu</v>
      </c>
      <c r="S109" s="434">
        <v>41</v>
      </c>
      <c r="T109" s="434" t="s">
        <v>17</v>
      </c>
      <c r="U109" s="434">
        <f>IF(S109&gt;0,IF(RIGHT(Ruimtestaat[[#This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09" s="434">
        <f>IF(U109&gt;0,VLOOKUP($J109,Ruimtegroepen[],3,FALSE)*VLOOKUP($L109,Vloersoorten[],3,FALSE)*VLOOKUP($T109,Frequenties[],3,FALSE)*VLOOKUP($A109,Locaties[],3,FALSE),0)</f>
        <v>0</v>
      </c>
      <c r="W109" s="434">
        <f>Ruimtestaat[[#This Row],[Uitvoeringen werkdagen]]*Ruimtestaat[[#This Row],[Oppervlak (netto)]]</f>
        <v>1230</v>
      </c>
      <c r="X109" s="441">
        <f>IF(V109&gt;0,Ruimtestaat[[#This Row],[Prest. (m2 /jaar) werkdagen]]/Ruimtestaat[[#This Row],[Norm (m2/uur) werkdagen]],0)</f>
        <v>0</v>
      </c>
      <c r="Y109" s="442">
        <f>Ruimtestaat[[#This Row],[Uitvoeringen werkdagen]]*Ruimtestaat[[#This Row],[Gedeeltelijk]]</f>
        <v>0</v>
      </c>
      <c r="Z109" s="443" t="e">
        <f>IF(U109&gt;0,Ruimtestaat[[#This Row],[Prest. (m2 / jaar) werkdagen gedeeld]]/Ruimtestaat[[#This Row],[Norm (m2/uur) werkdagen]],0)</f>
        <v>#DIV/0!</v>
      </c>
      <c r="AA109" s="441" t="e">
        <f>Ruimtestaat[[#This Row],[uren / jaar werkdagen gedeeld]]*Tariefsopbouw!$E$35</f>
        <v>#DIV/0!</v>
      </c>
      <c r="AB109" s="441">
        <f>Ruimtestaat[[#This Row],[Uitvoeringen werkdagen]]*Ruimtestaat[[#This Row],[BSO]]</f>
        <v>0</v>
      </c>
      <c r="AC109" s="443" t="e">
        <f>IF(U109&gt;0,Ruimtestaat[[#This Row],[Prest. (m2 / jaar) werkdagen BSO]]/Ruimtestaat[[#This Row],[Norm (m2/uur) werkdagen]],0)</f>
        <v>#DIV/0!</v>
      </c>
      <c r="AD109" s="443" t="e">
        <f>Ruimtestaat[[#This Row],[uren / jaar werkdagen BSO]]*Tariefsopbouw!$E$35</f>
        <v>#DIV/0!</v>
      </c>
      <c r="AE109" s="444">
        <f>Ruimtestaat[[#This Row],[uren / jaar werkdagen]]*Tariefsopbouw!$E$35</f>
        <v>0</v>
      </c>
      <c r="AF109" s="434"/>
      <c r="AG109" s="434">
        <f>IF(Ruimtestaat[[#This Row],[Frequentie weekend]]&gt;0,VALUE(LEFT(AF109,1))*S109,0)</f>
        <v>0</v>
      </c>
      <c r="AH109" s="445">
        <f>IF($AG109&gt;0,VLOOKUP($J109,Ruimtegroepen[],3,FALSE)*VLOOKUP($L109,Vloersoorten[],3,FALSE)*VLOOKUP($AF109,Frequenties[],3,FALSE)*VLOOKUP(Ruimtestaat[[#This Row],[Code]],Locaties[],3,FALSE),0)</f>
        <v>0</v>
      </c>
      <c r="AI109" s="445">
        <f>Ruimtestaat[[#This Row],[Uitvoeringen weekend]]*Ruimtestaat[[#This Row],[Oppervlak (netto)]]</f>
        <v>0</v>
      </c>
      <c r="AJ109" s="445">
        <f>IF(AH109&gt;0,Ruimtestaat[[#This Row],[Prest. (m2 /jaar) weekend]]/Ruimtestaat[[#This Row],[Norm (m2/uur) weekend]],0)</f>
        <v>0</v>
      </c>
      <c r="AK109" s="444">
        <f>Ruimtestaat[[#This Row],[uren / jaar weekend]]*Tariefsopbouw!$D$40</f>
        <v>0</v>
      </c>
      <c r="AL109" s="441">
        <f>Ruimtestaat[[#This Row],[Prest. (m2 /jaar) weekend]]+Ruimtestaat[[#This Row],[Prest. (m2 /jaar) werkdagen]]</f>
        <v>1230</v>
      </c>
      <c r="AM109" s="441">
        <f>Ruimtestaat[[#This Row],[uren / jaar weekend]]+Ruimtestaat[[#This Row],[uren / jaar werkdagen]]</f>
        <v>0</v>
      </c>
      <c r="AN109" s="446">
        <f>Ruimtestaat[[#This Row],[kosten / jaar weekend]]+Ruimtestaat[[#This Row],[kosten / jaar werkdagen]]</f>
        <v>0</v>
      </c>
      <c r="AO109" s="446"/>
      <c r="AP109" s="447" t="str">
        <f>IF(Ruimtestaat[[#This Row],[Frequentie werkdagen]]="","",_xlfn.CONCAT(Ruimtestaat[[#This Row],[Ruimte code]],"-",Ruimtestaat[[#This Row],[Frequentie werkdagen]]," ",Ruimtestaat[[#This Row],[Vloer code]]))</f>
        <v>2-2w T</v>
      </c>
      <c r="AQ109" s="448" t="str">
        <f>_xlfn.IFNA(VLOOKUP($AP109,Programma!$F$3:$G$1101,2,0),"")</f>
        <v>1w</v>
      </c>
      <c r="AR109" s="448" t="str">
        <f>_xlfn.IFNA(VLOOKUP($AP109,Programma!$F$3:$H$1101,3,0),"")</f>
        <v>1w</v>
      </c>
      <c r="AS109" s="448" t="str">
        <f>_xlfn.IFNA(VLOOKUP($AP109,Programma!$F$3:$I$1101,4,0),"")</f>
        <v>_</v>
      </c>
      <c r="AT109" s="448" t="str">
        <f>_xlfn.IFNA(VLOOKUP($AP109,Programma!$F$3:$J$1101,5,0),"")</f>
        <v>_</v>
      </c>
      <c r="AU109" s="448" t="str">
        <f>_xlfn.IFNA(VLOOKUP($AP109,Programma!$F$3:$K$1101,6,0),"")</f>
        <v>_</v>
      </c>
      <c r="AV109" s="448" t="str">
        <f>_xlfn.IFNA(VLOOKUP($AP109,Programma!$F$3:$L$1101,7,0),"")</f>
        <v>_</v>
      </c>
      <c r="AW109" s="448" t="str">
        <f>_xlfn.IFNA(VLOOKUP($AP109,Programma!$F$3:$M$1101,8,0),"")</f>
        <v>_</v>
      </c>
      <c r="AX109" s="448" t="str">
        <f>_xlfn.IFNA(VLOOKUP($AP109,Programma!$F$3:$N$1101,9,0),"")</f>
        <v>_</v>
      </c>
      <c r="AY109" s="448" t="str">
        <f>_xlfn.IFNA(VLOOKUP($AP109,Programma!$F$3:$O$1101,10,0),"")</f>
        <v>2w</v>
      </c>
      <c r="AZ109" s="448" t="str">
        <f>_xlfn.IFNA(VLOOKUP($AP109,Programma!$F$3:$P$1101,11,0),"")</f>
        <v>2w</v>
      </c>
      <c r="BA109" s="448" t="str">
        <f>_xlfn.IFNA(VLOOKUP($AP109,Programma!$F$3:$Q$1101,12,0),"")</f>
        <v>1w</v>
      </c>
      <c r="BB109" s="448" t="str">
        <f>_xlfn.IFNA(VLOOKUP($AP109,Programma!$F$3:$R$1101,13,0),"")</f>
        <v>1w</v>
      </c>
      <c r="BC109" s="448" t="str">
        <f>_xlfn.IFNA(VLOOKUP($AP109,Programma!$F$3:$S$1101,14,0),"")</f>
        <v>1m</v>
      </c>
      <c r="BD109" s="448" t="str">
        <f>_xlfn.IFNA(VLOOKUP($AP109,Programma!$F$3:$T$1101,15,0),"")</f>
        <v>2j</v>
      </c>
      <c r="BE109" s="448" t="str">
        <f>_xlfn.IFNA(VLOOKUP($AP109,Programma!$F$3:$U$1101,16,0),"")</f>
        <v>1j</v>
      </c>
      <c r="BF109" s="448" t="str">
        <f>_xlfn.IFNA(VLOOKUP($AP109,Programma!$F$3:$V$1101,17,0),"")</f>
        <v>_</v>
      </c>
      <c r="BG109" s="448" t="str">
        <f>_xlfn.IFNA(VLOOKUP($AP109,Programma!$F$3:$W$1101,18,0),"")</f>
        <v>_</v>
      </c>
      <c r="BH109" s="448" t="str">
        <f>_xlfn.IFNA(VLOOKUP($AP109,Programma!$F$3:$X$1101,19,0),"")</f>
        <v>_</v>
      </c>
      <c r="BI109" s="448" t="str">
        <f>_xlfn.IFNA(VLOOKUP($AP109,Programma!$F$3:$Y$1101,20,0),"")</f>
        <v>_</v>
      </c>
      <c r="BJ109" s="449"/>
      <c r="BK109" s="447" t="str">
        <f>IF(Ruimtestaat[[#This Row],[Frequentie weekend]]="","",_xlfn.CONCAT(Ruimtestaat[[#This Row],[Ruimte code]],"-",Ruimtestaat[[#This Row],[Frequentie weekend]]," ",Ruimtestaat[[#This Row],[Vloer code]]))</f>
        <v/>
      </c>
      <c r="BL109" s="448" t="str">
        <f>_xlfn.IFNA(VLOOKUP($BK109,Programma!$F$3:$G$1101,2,0),"")</f>
        <v/>
      </c>
      <c r="BM109" s="448" t="str">
        <f>_xlfn.IFNA(VLOOKUP($BK109,Programma!$F$3:$H$1101,3,0),"")</f>
        <v/>
      </c>
      <c r="BN109" s="448" t="str">
        <f>_xlfn.IFNA(VLOOKUP($BK109,Programma!$F$3:$I$1101,4,0),"")</f>
        <v/>
      </c>
      <c r="BO109" s="448" t="str">
        <f>_xlfn.IFNA(VLOOKUP($BK109,Programma!$F$3:$J$1101,5,0),"")</f>
        <v/>
      </c>
      <c r="BP109" s="448" t="str">
        <f>_xlfn.IFNA(VLOOKUP($BK109,Programma!$F$3:$K$1101,6,0),"")</f>
        <v/>
      </c>
      <c r="BQ109" s="448" t="str">
        <f>_xlfn.IFNA(VLOOKUP($BK109,Programma!$F$3:$L$1101,7,0),"")</f>
        <v/>
      </c>
      <c r="BR109" s="448" t="str">
        <f>_xlfn.IFNA(VLOOKUP($BK109,Programma!$F$3:$M$1101,8,0),"")</f>
        <v/>
      </c>
      <c r="BS109" s="448" t="str">
        <f>_xlfn.IFNA(VLOOKUP($BK109,Programma!$F$3:$N$1101,9,0),"")</f>
        <v/>
      </c>
      <c r="BT109" s="448" t="str">
        <f>_xlfn.IFNA(VLOOKUP($BK109,Programma!$F$3:$O$1101,10,0),"")</f>
        <v/>
      </c>
      <c r="BU109" s="448" t="str">
        <f>_xlfn.IFNA(VLOOKUP($BK109,Programma!$F$3:$P$1101,11,0),"")</f>
        <v/>
      </c>
      <c r="BV109" s="448" t="str">
        <f>_xlfn.IFNA(VLOOKUP($BK109,Programma!$F$3:$Q$1101,12,0),"")</f>
        <v/>
      </c>
      <c r="BW109" s="448" t="str">
        <f>_xlfn.IFNA(VLOOKUP($BK109,Programma!$F$3:$R$1101,13,0),"")</f>
        <v/>
      </c>
      <c r="BX109" s="448" t="str">
        <f>_xlfn.IFNA(VLOOKUP($BK109,Programma!$F$3:$S$1101,14,0),"")</f>
        <v/>
      </c>
      <c r="BY109" s="448" t="str">
        <f>_xlfn.IFNA(VLOOKUP($BK109,Programma!$F$3:$T$1101,15,0),"")</f>
        <v/>
      </c>
      <c r="BZ109" s="448" t="str">
        <f>_xlfn.IFNA(VLOOKUP($BK109,Programma!$F$3:$U$1101,16,0),"")</f>
        <v/>
      </c>
      <c r="CA109" s="448" t="str">
        <f>_xlfn.IFNA(VLOOKUP($BK109,Programma!$F$3:$V$1101,17,0),"")</f>
        <v/>
      </c>
      <c r="CB109" s="448" t="str">
        <f>_xlfn.IFNA(VLOOKUP($BK109,Programma!$F$3:$W$1101,18,0),"")</f>
        <v/>
      </c>
      <c r="CC109" s="448" t="str">
        <f>_xlfn.IFNA(VLOOKUP($BK109,Programma!$F$3:$X$1101,19,0),"")</f>
        <v/>
      </c>
      <c r="CD109" s="448" t="str">
        <f>_xlfn.IFNA(VLOOKUP($BK109,Programma!$F$3:$Y$1101,20,0),"")</f>
        <v/>
      </c>
      <c r="CE109" s="327"/>
      <c r="CF109" s="327"/>
      <c r="CG109" s="327"/>
      <c r="CH109" s="327"/>
      <c r="CI109" s="327"/>
      <c r="CJ109" s="327"/>
      <c r="CK109" s="327"/>
      <c r="CL109" s="327"/>
      <c r="CM109" s="327"/>
      <c r="CN109" s="327"/>
      <c r="CO109" s="327"/>
      <c r="CP109" s="327"/>
      <c r="CQ109" s="327"/>
      <c r="CR109" s="327"/>
      <c r="CS109" s="327"/>
      <c r="CT109" s="327"/>
      <c r="CU109" s="327"/>
      <c r="CV109" s="327"/>
      <c r="CW109" s="327"/>
      <c r="CX109" s="327"/>
      <c r="CY109" s="327"/>
      <c r="CZ109" s="327"/>
      <c r="DA109" s="327"/>
      <c r="DB109" s="327"/>
      <c r="DC109" s="327"/>
      <c r="DD109" s="327"/>
      <c r="DE109" s="327"/>
      <c r="DF109" s="327"/>
      <c r="DG109" s="327"/>
      <c r="DH109" s="327"/>
      <c r="DI109" s="327"/>
      <c r="DJ109" s="327"/>
      <c r="DK109" s="327"/>
      <c r="DL109" s="327"/>
      <c r="DM109" s="327"/>
      <c r="DN109" s="327"/>
      <c r="DO109" s="327"/>
      <c r="DP109" s="327"/>
      <c r="DQ109" s="327"/>
      <c r="DR109" s="327"/>
      <c r="DS109" s="327"/>
      <c r="DT109" s="327"/>
      <c r="DU109" s="327"/>
      <c r="DV109" s="327"/>
      <c r="DW109" s="327"/>
      <c r="DX109" s="327"/>
      <c r="DY109" s="327"/>
      <c r="DZ109" s="327"/>
      <c r="EA109" s="327"/>
      <c r="EB109" s="327"/>
      <c r="EC109" s="327"/>
      <c r="ED109" s="327"/>
      <c r="EE109" s="327"/>
      <c r="EF109" s="327"/>
      <c r="EG109" s="327"/>
      <c r="EH109" s="327"/>
      <c r="EI109" s="327"/>
      <c r="EJ109" s="327"/>
      <c r="EK109" s="327"/>
      <c r="EL109" s="327"/>
      <c r="EM109" s="327"/>
      <c r="EN109" s="327"/>
      <c r="EO109" s="327"/>
      <c r="EP109" s="327"/>
      <c r="EQ109" s="327"/>
      <c r="ER109" s="327"/>
      <c r="ES109" s="327"/>
      <c r="ET109" s="327"/>
      <c r="EU109" s="327"/>
      <c r="EV109" s="327"/>
      <c r="EW109" s="327"/>
      <c r="EX109" s="327"/>
      <c r="EY109" s="327"/>
      <c r="EZ109" s="327"/>
      <c r="FA109" s="327"/>
      <c r="FB109" s="327"/>
      <c r="FC109" s="327"/>
      <c r="FD109" s="327"/>
      <c r="FE109" s="327"/>
      <c r="FF109" s="327"/>
      <c r="FG109" s="327"/>
      <c r="FH109" s="327"/>
      <c r="FI109" s="327"/>
      <c r="FJ109" s="327"/>
      <c r="FK109" s="327"/>
      <c r="FL109" s="327"/>
      <c r="FM109" s="327"/>
      <c r="FN109" s="327"/>
      <c r="FO109" s="327"/>
      <c r="FP109" s="327"/>
      <c r="FQ109" s="327"/>
      <c r="FR109" s="327"/>
      <c r="FS109" s="327"/>
      <c r="FT109" s="327"/>
      <c r="FU109" s="327"/>
      <c r="FV109" s="327"/>
      <c r="FW109" s="327"/>
      <c r="FX109" s="327"/>
      <c r="FY109" s="327"/>
      <c r="FZ109" s="327"/>
      <c r="GA109" s="327"/>
      <c r="GB109" s="327"/>
      <c r="GC109" s="327"/>
      <c r="GD109" s="327"/>
      <c r="GE109" s="327"/>
      <c r="GF109" s="327"/>
      <c r="GG109" s="327"/>
      <c r="GH109" s="327"/>
      <c r="GI109" s="327"/>
      <c r="GJ109" s="327"/>
      <c r="GK109" s="327"/>
      <c r="GL109" s="327"/>
      <c r="GM109" s="327"/>
      <c r="GN109" s="327"/>
      <c r="GO109" s="327"/>
      <c r="GP109" s="327"/>
      <c r="GQ109" s="327"/>
      <c r="GR109" s="327"/>
      <c r="GS109" s="327"/>
      <c r="GT109" s="327"/>
      <c r="GU109" s="327"/>
      <c r="GV109" s="327"/>
      <c r="GW109" s="327"/>
      <c r="GX109" s="327"/>
      <c r="GY109" s="327"/>
      <c r="GZ109" s="327"/>
      <c r="HA109" s="327"/>
      <c r="HB109" s="327"/>
      <c r="HC109" s="327"/>
      <c r="HD109" s="327"/>
      <c r="HE109" s="327"/>
      <c r="HF109" s="327"/>
      <c r="HG109" s="327"/>
      <c r="HH109" s="327"/>
      <c r="HI109" s="327"/>
      <c r="HJ109" s="327"/>
      <c r="HK109" s="327"/>
      <c r="HL109" s="327"/>
      <c r="HM109" s="327"/>
      <c r="HN109" s="327"/>
      <c r="HO109" s="327"/>
      <c r="HP109" s="327"/>
      <c r="HQ109" s="327"/>
      <c r="HR109" s="327"/>
      <c r="HS109" s="327"/>
    </row>
    <row r="110" spans="1:227" ht="15" customHeight="1">
      <c r="A110" s="330">
        <v>6</v>
      </c>
      <c r="B110" s="435" t="str">
        <f>VLOOKUP(Ruimtestaat[[#This Row],[Code]],Locaties[[Code]:[Locatie]],2,FALSE)</f>
        <v>IKC Het Zwanenbos</v>
      </c>
      <c r="C110" s="435" t="str">
        <f>VLOOKUP(Ruimtestaat[[#This Row],[Code]],Locaties[[#All],[Code]:[Adres]],4,FALSE)</f>
        <v>Kerkenbos 24-26</v>
      </c>
      <c r="D110" s="435" t="str">
        <f>VLOOKUP(Ruimtestaat[[#This Row],[Code]],Locaties[[#All],[Code]:[Postcode]],5,FALSE)</f>
        <v>2716 PH</v>
      </c>
      <c r="E110" s="435" t="str">
        <f>VLOOKUP(Ruimtestaat[[#This Row],[Code]],Locaties[#All],6,FALSE)</f>
        <v>Zoetermeer</v>
      </c>
      <c r="F110" s="434"/>
      <c r="G110" s="434" t="s">
        <v>1678</v>
      </c>
      <c r="H110" s="451">
        <v>2</v>
      </c>
      <c r="I110" s="437" t="s">
        <v>1679</v>
      </c>
      <c r="J110" s="330">
        <v>16</v>
      </c>
      <c r="K110" s="450" t="str">
        <f>VLOOKUP(Ruimtestaat[[#This Row],[Ruimte code]],Ruimtegroepen[[#All],[Code]:[Ruimte omschrijving]],2,FALSE)</f>
        <v>Leslokalen</v>
      </c>
      <c r="L110" s="434" t="s">
        <v>100</v>
      </c>
      <c r="M110" s="437" t="s">
        <v>1759</v>
      </c>
      <c r="N110" s="439">
        <v>71</v>
      </c>
      <c r="O110" s="439"/>
      <c r="P110" s="439"/>
      <c r="Q110" s="439"/>
      <c r="R110" s="440" t="str">
        <f>VLOOKUP(Ruimtestaat[[#This Row],[Ruimte code]],Ruimtegroepen[],4,FALSE)</f>
        <v>Le</v>
      </c>
      <c r="S110" s="434">
        <v>40</v>
      </c>
      <c r="T110" s="434" t="s">
        <v>2</v>
      </c>
      <c r="U110" s="434">
        <f>IF(S110&gt;0,IF(RIGHT(Ruimtestaat[[#This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0" s="434">
        <f>IF(U110&gt;0,VLOOKUP($J110,Ruimtegroepen[],3,FALSE)*VLOOKUP($L110,Vloersoorten[],3,FALSE)*VLOOKUP($T110,Frequenties[],3,FALSE)*VLOOKUP($A110,Locaties[],3,FALSE),0)</f>
        <v>0</v>
      </c>
      <c r="W110" s="434">
        <f>Ruimtestaat[[#This Row],[Uitvoeringen werkdagen]]*Ruimtestaat[[#This Row],[Oppervlak (netto)]]</f>
        <v>14200</v>
      </c>
      <c r="X110" s="441">
        <f>IF(V110&gt;0,Ruimtestaat[[#This Row],[Prest. (m2 /jaar) werkdagen]]/Ruimtestaat[[#This Row],[Norm (m2/uur) werkdagen]],0)</f>
        <v>0</v>
      </c>
      <c r="Y110" s="442">
        <f>Ruimtestaat[[#This Row],[Uitvoeringen werkdagen]]*Ruimtestaat[[#This Row],[Gedeeltelijk]]</f>
        <v>0</v>
      </c>
      <c r="Z110" s="443" t="e">
        <f>IF(U110&gt;0,Ruimtestaat[[#This Row],[Prest. (m2 / jaar) werkdagen gedeeld]]/Ruimtestaat[[#This Row],[Norm (m2/uur) werkdagen]],0)</f>
        <v>#DIV/0!</v>
      </c>
      <c r="AA110" s="441" t="e">
        <f>Ruimtestaat[[#This Row],[uren / jaar werkdagen gedeeld]]*Tariefsopbouw!$E$35</f>
        <v>#DIV/0!</v>
      </c>
      <c r="AB110" s="441">
        <f>Ruimtestaat[[#This Row],[Uitvoeringen werkdagen]]*Ruimtestaat[[#This Row],[BSO]]</f>
        <v>0</v>
      </c>
      <c r="AC110" s="443" t="e">
        <f>IF(U110&gt;0,Ruimtestaat[[#This Row],[Prest. (m2 / jaar) werkdagen BSO]]/Ruimtestaat[[#This Row],[Norm (m2/uur) werkdagen]],0)</f>
        <v>#DIV/0!</v>
      </c>
      <c r="AD110" s="443" t="e">
        <f>Ruimtestaat[[#This Row],[uren / jaar werkdagen BSO]]*Tariefsopbouw!$E$35</f>
        <v>#DIV/0!</v>
      </c>
      <c r="AE110" s="444">
        <f>Ruimtestaat[[#This Row],[uren / jaar werkdagen]]*Tariefsopbouw!$E$35</f>
        <v>0</v>
      </c>
      <c r="AF110" s="434"/>
      <c r="AG110" s="434">
        <f>IF(Ruimtestaat[[#This Row],[Frequentie weekend]]&gt;0,VALUE(LEFT(AF110,1))*S110,0)</f>
        <v>0</v>
      </c>
      <c r="AH110" s="445">
        <f>IF($AG110&gt;0,VLOOKUP($J110,Ruimtegroepen[],3,FALSE)*VLOOKUP($L110,Vloersoorten[],3,FALSE)*VLOOKUP($AF110,Frequenties[],3,FALSE)*VLOOKUP(Ruimtestaat[[#This Row],[Code]],Locaties[],3,FALSE),0)</f>
        <v>0</v>
      </c>
      <c r="AI110" s="445">
        <f>Ruimtestaat[[#This Row],[Uitvoeringen weekend]]*Ruimtestaat[[#This Row],[Oppervlak (netto)]]</f>
        <v>0</v>
      </c>
      <c r="AJ110" s="445">
        <f>IF(AH110&gt;0,Ruimtestaat[[#This Row],[Prest. (m2 /jaar) weekend]]/Ruimtestaat[[#This Row],[Norm (m2/uur) weekend]],0)</f>
        <v>0</v>
      </c>
      <c r="AK110" s="444">
        <f>Ruimtestaat[[#This Row],[uren / jaar weekend]]*Tariefsopbouw!$D$40</f>
        <v>0</v>
      </c>
      <c r="AL110" s="441">
        <f>Ruimtestaat[[#This Row],[Prest. (m2 /jaar) weekend]]+Ruimtestaat[[#This Row],[Prest. (m2 /jaar) werkdagen]]</f>
        <v>14200</v>
      </c>
      <c r="AM110" s="441">
        <f>Ruimtestaat[[#This Row],[uren / jaar weekend]]+Ruimtestaat[[#This Row],[uren / jaar werkdagen]]</f>
        <v>0</v>
      </c>
      <c r="AN110" s="446">
        <f>Ruimtestaat[[#This Row],[kosten / jaar weekend]]+Ruimtestaat[[#This Row],[kosten / jaar werkdagen]]</f>
        <v>0</v>
      </c>
      <c r="AO110" s="446"/>
      <c r="AP110" s="447" t="str">
        <f>IF(Ruimtestaat[[#This Row],[Frequentie werkdagen]]="","",_xlfn.CONCAT(Ruimtestaat[[#This Row],[Ruimte code]],"-",Ruimtestaat[[#This Row],[Frequentie werkdagen]]," ",Ruimtestaat[[#This Row],[Vloer code]]))</f>
        <v>16-5w L</v>
      </c>
      <c r="AQ110" s="448" t="str">
        <f>_xlfn.IFNA(VLOOKUP($AP110,Programma!$F$3:$G$1101,2,0),"")</f>
        <v>_</v>
      </c>
      <c r="AR110" s="448" t="str">
        <f>_xlfn.IFNA(VLOOKUP($AP110,Programma!$F$3:$H$1101,3,0),"")</f>
        <v>_</v>
      </c>
      <c r="AS110" s="448" t="str">
        <f>_xlfn.IFNA(VLOOKUP($AP110,Programma!$F$3:$I$1101,4,0),"")</f>
        <v>4w</v>
      </c>
      <c r="AT110" s="448" t="str">
        <f>_xlfn.IFNA(VLOOKUP($AP110,Programma!$F$3:$J$1101,5,0),"")</f>
        <v>1w</v>
      </c>
      <c r="AU110" s="448" t="str">
        <f>_xlfn.IFNA(VLOOKUP($AP110,Programma!$F$3:$K$1101,6,0),"")</f>
        <v>_</v>
      </c>
      <c r="AV110" s="448" t="str">
        <f>_xlfn.IFNA(VLOOKUP($AP110,Programma!$F$3:$L$1101,7,0),"")</f>
        <v>_</v>
      </c>
      <c r="AW110" s="448" t="str">
        <f>_xlfn.IFNA(VLOOKUP($AP110,Programma!$F$3:$M$1101,8,0),"")</f>
        <v>_</v>
      </c>
      <c r="AX110" s="448" t="str">
        <f>_xlfn.IFNA(VLOOKUP($AP110,Programma!$F$3:$N$1101,9,0),"")</f>
        <v>_</v>
      </c>
      <c r="AY110" s="448" t="str">
        <f>_xlfn.IFNA(VLOOKUP($AP110,Programma!$F$3:$O$1101,10,0),"")</f>
        <v>5w</v>
      </c>
      <c r="AZ110" s="448" t="str">
        <f>_xlfn.IFNA(VLOOKUP($AP110,Programma!$F$3:$P$1101,11,0),"")</f>
        <v>5w</v>
      </c>
      <c r="BA110" s="448" t="str">
        <f>_xlfn.IFNA(VLOOKUP($AP110,Programma!$F$3:$Q$1101,12,0),"")</f>
        <v>1w</v>
      </c>
      <c r="BB110" s="448" t="str">
        <f>_xlfn.IFNA(VLOOKUP($AP110,Programma!$F$3:$R$1101,13,0),"")</f>
        <v>1w</v>
      </c>
      <c r="BC110" s="448" t="str">
        <f>_xlfn.IFNA(VLOOKUP($AP110,Programma!$F$3:$S$1101,14,0),"")</f>
        <v>1m</v>
      </c>
      <c r="BD110" s="448" t="str">
        <f>_xlfn.IFNA(VLOOKUP($AP110,Programma!$F$3:$T$1101,15,0),"")</f>
        <v>2j</v>
      </c>
      <c r="BE110" s="448" t="str">
        <f>_xlfn.IFNA(VLOOKUP($AP110,Programma!$F$3:$U$1101,16,0),"")</f>
        <v>1j</v>
      </c>
      <c r="BF110" s="448" t="str">
        <f>_xlfn.IFNA(VLOOKUP($AP110,Programma!$F$3:$V$1101,17,0),"")</f>
        <v>_</v>
      </c>
      <c r="BG110" s="448" t="str">
        <f>_xlfn.IFNA(VLOOKUP($AP110,Programma!$F$3:$W$1101,18,0),"")</f>
        <v>_</v>
      </c>
      <c r="BH110" s="448" t="str">
        <f>_xlfn.IFNA(VLOOKUP($AP110,Programma!$F$3:$X$1101,19,0),"")</f>
        <v>_</v>
      </c>
      <c r="BI110" s="448" t="str">
        <f>_xlfn.IFNA(VLOOKUP($AP110,Programma!$F$3:$Y$1101,20,0),"")</f>
        <v>_</v>
      </c>
      <c r="BJ110" s="449"/>
      <c r="BK110" s="447" t="str">
        <f>IF(Ruimtestaat[[#This Row],[Frequentie weekend]]="","",_xlfn.CONCAT(Ruimtestaat[[#This Row],[Ruimte code]],"-",Ruimtestaat[[#This Row],[Frequentie weekend]]," ",Ruimtestaat[[#This Row],[Vloer code]]))</f>
        <v/>
      </c>
      <c r="BL110" s="448" t="str">
        <f>_xlfn.IFNA(VLOOKUP($BK110,Programma!$F$3:$G$1101,2,0),"")</f>
        <v/>
      </c>
      <c r="BM110" s="448" t="str">
        <f>_xlfn.IFNA(VLOOKUP($BK110,Programma!$F$3:$H$1101,3,0),"")</f>
        <v/>
      </c>
      <c r="BN110" s="448" t="str">
        <f>_xlfn.IFNA(VLOOKUP($BK110,Programma!$F$3:$I$1101,4,0),"")</f>
        <v/>
      </c>
      <c r="BO110" s="448" t="str">
        <f>_xlfn.IFNA(VLOOKUP($BK110,Programma!$F$3:$J$1101,5,0),"")</f>
        <v/>
      </c>
      <c r="BP110" s="448" t="str">
        <f>_xlfn.IFNA(VLOOKUP($BK110,Programma!$F$3:$K$1101,6,0),"")</f>
        <v/>
      </c>
      <c r="BQ110" s="448" t="str">
        <f>_xlfn.IFNA(VLOOKUP($BK110,Programma!$F$3:$L$1101,7,0),"")</f>
        <v/>
      </c>
      <c r="BR110" s="448" t="str">
        <f>_xlfn.IFNA(VLOOKUP($BK110,Programma!$F$3:$M$1101,8,0),"")</f>
        <v/>
      </c>
      <c r="BS110" s="448" t="str">
        <f>_xlfn.IFNA(VLOOKUP($BK110,Programma!$F$3:$N$1101,9,0),"")</f>
        <v/>
      </c>
      <c r="BT110" s="448" t="str">
        <f>_xlfn.IFNA(VLOOKUP($BK110,Programma!$F$3:$O$1101,10,0),"")</f>
        <v/>
      </c>
      <c r="BU110" s="448" t="str">
        <f>_xlfn.IFNA(VLOOKUP($BK110,Programma!$F$3:$P$1101,11,0),"")</f>
        <v/>
      </c>
      <c r="BV110" s="448" t="str">
        <f>_xlfn.IFNA(VLOOKUP($BK110,Programma!$F$3:$Q$1101,12,0),"")</f>
        <v/>
      </c>
      <c r="BW110" s="448" t="str">
        <f>_xlfn.IFNA(VLOOKUP($BK110,Programma!$F$3:$R$1101,13,0),"")</f>
        <v/>
      </c>
      <c r="BX110" s="448" t="str">
        <f>_xlfn.IFNA(VLOOKUP($BK110,Programma!$F$3:$S$1101,14,0),"")</f>
        <v/>
      </c>
      <c r="BY110" s="448" t="str">
        <f>_xlfn.IFNA(VLOOKUP($BK110,Programma!$F$3:$T$1101,15,0),"")</f>
        <v/>
      </c>
      <c r="BZ110" s="448" t="str">
        <f>_xlfn.IFNA(VLOOKUP($BK110,Programma!$F$3:$U$1101,16,0),"")</f>
        <v/>
      </c>
      <c r="CA110" s="448" t="str">
        <f>_xlfn.IFNA(VLOOKUP($BK110,Programma!$F$3:$V$1101,17,0),"")</f>
        <v/>
      </c>
      <c r="CB110" s="448" t="str">
        <f>_xlfn.IFNA(VLOOKUP($BK110,Programma!$F$3:$W$1101,18,0),"")</f>
        <v/>
      </c>
      <c r="CC110" s="448" t="str">
        <f>_xlfn.IFNA(VLOOKUP($BK110,Programma!$F$3:$X$1101,19,0),"")</f>
        <v/>
      </c>
      <c r="CD110" s="448" t="str">
        <f>_xlfn.IFNA(VLOOKUP($BK110,Programma!$F$3:$Y$1101,20,0),"")</f>
        <v/>
      </c>
      <c r="CE110" s="327"/>
      <c r="CF110" s="327"/>
      <c r="CG110" s="327"/>
      <c r="CH110" s="327"/>
      <c r="CI110" s="327"/>
      <c r="CJ110" s="327"/>
      <c r="CK110" s="327"/>
      <c r="CL110" s="327"/>
      <c r="CM110" s="327"/>
      <c r="CN110" s="327"/>
      <c r="CO110" s="327"/>
      <c r="CP110" s="327"/>
      <c r="CQ110" s="327"/>
      <c r="CR110" s="327"/>
      <c r="CS110" s="327"/>
      <c r="CT110" s="327"/>
      <c r="CU110" s="327"/>
      <c r="CV110" s="327"/>
      <c r="CW110" s="327"/>
      <c r="CX110" s="327"/>
      <c r="CY110" s="327"/>
      <c r="CZ110" s="327"/>
      <c r="DA110" s="327"/>
      <c r="DB110" s="327"/>
      <c r="DC110" s="327"/>
      <c r="DD110" s="327"/>
      <c r="DE110" s="327"/>
      <c r="DF110" s="327"/>
      <c r="DG110" s="327"/>
      <c r="DH110" s="327"/>
      <c r="DI110" s="327"/>
      <c r="DJ110" s="327"/>
      <c r="DK110" s="327"/>
      <c r="DL110" s="327"/>
      <c r="DM110" s="327"/>
      <c r="DN110" s="327"/>
      <c r="DO110" s="327"/>
      <c r="DP110" s="327"/>
      <c r="DQ110" s="327"/>
      <c r="DR110" s="327"/>
      <c r="DS110" s="327"/>
      <c r="DT110" s="327"/>
      <c r="DU110" s="327"/>
      <c r="DV110" s="327"/>
      <c r="DW110" s="327"/>
      <c r="DX110" s="327"/>
      <c r="DY110" s="327"/>
      <c r="DZ110" s="327"/>
      <c r="EA110" s="327"/>
      <c r="EB110" s="327"/>
      <c r="EC110" s="327"/>
      <c r="ED110" s="327"/>
      <c r="EE110" s="327"/>
      <c r="EF110" s="327"/>
      <c r="EG110" s="327"/>
      <c r="EH110" s="327"/>
      <c r="EI110" s="327"/>
      <c r="EJ110" s="327"/>
      <c r="EK110" s="327"/>
      <c r="EL110" s="327"/>
      <c r="EM110" s="327"/>
      <c r="EN110" s="327"/>
      <c r="EO110" s="327"/>
      <c r="EP110" s="327"/>
      <c r="EQ110" s="327"/>
      <c r="ER110" s="327"/>
      <c r="ES110" s="327"/>
      <c r="ET110" s="327"/>
      <c r="EU110" s="327"/>
      <c r="EV110" s="327"/>
      <c r="EW110" s="327"/>
      <c r="EX110" s="327"/>
      <c r="EY110" s="327"/>
      <c r="EZ110" s="327"/>
      <c r="FA110" s="327"/>
      <c r="FB110" s="327"/>
      <c r="FC110" s="327"/>
      <c r="FD110" s="327"/>
      <c r="FE110" s="327"/>
      <c r="FF110" s="327"/>
      <c r="FG110" s="327"/>
      <c r="FH110" s="327"/>
      <c r="FI110" s="327"/>
      <c r="FJ110" s="327"/>
      <c r="FK110" s="327"/>
      <c r="FL110" s="327"/>
      <c r="FM110" s="327"/>
      <c r="FN110" s="327"/>
      <c r="FO110" s="327"/>
      <c r="FP110" s="327"/>
      <c r="FQ110" s="327"/>
      <c r="FR110" s="327"/>
      <c r="FS110" s="327"/>
      <c r="FT110" s="327"/>
      <c r="FU110" s="327"/>
      <c r="FV110" s="327"/>
      <c r="FW110" s="327"/>
      <c r="FX110" s="327"/>
      <c r="FY110" s="327"/>
      <c r="FZ110" s="327"/>
      <c r="GA110" s="327"/>
      <c r="GB110" s="327"/>
      <c r="GC110" s="327"/>
      <c r="GD110" s="327"/>
      <c r="GE110" s="327"/>
      <c r="GF110" s="327"/>
      <c r="GG110" s="327"/>
      <c r="GH110" s="327"/>
      <c r="GI110" s="327"/>
      <c r="GJ110" s="327"/>
      <c r="GK110" s="327"/>
      <c r="GL110" s="327"/>
      <c r="GM110" s="327"/>
      <c r="GN110" s="327"/>
      <c r="GO110" s="327"/>
      <c r="GP110" s="327"/>
      <c r="GQ110" s="327"/>
      <c r="GR110" s="327"/>
      <c r="GS110" s="327"/>
      <c r="GT110" s="327"/>
      <c r="GU110" s="327"/>
      <c r="GV110" s="327"/>
      <c r="GW110" s="327"/>
      <c r="GX110" s="327"/>
      <c r="GY110" s="327"/>
      <c r="GZ110" s="327"/>
      <c r="HA110" s="327"/>
      <c r="HB110" s="327"/>
      <c r="HC110" s="327"/>
      <c r="HD110" s="327"/>
      <c r="HE110" s="327"/>
      <c r="HF110" s="327"/>
      <c r="HG110" s="327"/>
      <c r="HH110" s="327"/>
      <c r="HI110" s="327"/>
      <c r="HJ110" s="327"/>
      <c r="HK110" s="327"/>
      <c r="HL110" s="327"/>
      <c r="HM110" s="327"/>
      <c r="HN110" s="327"/>
      <c r="HO110" s="327"/>
      <c r="HP110" s="327"/>
      <c r="HQ110" s="327"/>
      <c r="HR110" s="327"/>
      <c r="HS110" s="327"/>
    </row>
    <row r="111" spans="1:227" ht="15" customHeight="1">
      <c r="A111" s="330">
        <v>6</v>
      </c>
      <c r="B111" s="435" t="str">
        <f>VLOOKUP(Ruimtestaat[[#This Row],[Code]],Locaties[[Code]:[Locatie]],2,FALSE)</f>
        <v>IKC Het Zwanenbos</v>
      </c>
      <c r="C111" s="435" t="str">
        <f>VLOOKUP(Ruimtestaat[[#This Row],[Code]],Locaties[[#All],[Code]:[Adres]],4,FALSE)</f>
        <v>Kerkenbos 24-26</v>
      </c>
      <c r="D111" s="435" t="str">
        <f>VLOOKUP(Ruimtestaat[[#This Row],[Code]],Locaties[[#All],[Code]:[Postcode]],5,FALSE)</f>
        <v>2716 PH</v>
      </c>
      <c r="E111" s="435" t="str">
        <f>VLOOKUP(Ruimtestaat[[#This Row],[Code]],Locaties[#All],6,FALSE)</f>
        <v>Zoetermeer</v>
      </c>
      <c r="F111" s="434"/>
      <c r="G111" s="434" t="s">
        <v>1678</v>
      </c>
      <c r="H111" s="451">
        <v>3</v>
      </c>
      <c r="I111" s="437" t="s">
        <v>1679</v>
      </c>
      <c r="J111" s="434">
        <v>16</v>
      </c>
      <c r="K111" s="450" t="str">
        <f>VLOOKUP(Ruimtestaat[[#This Row],[Ruimte code]],Ruimtegroepen[[#All],[Code]:[Ruimte omschrijving]],2,FALSE)</f>
        <v>Leslokalen</v>
      </c>
      <c r="L111" s="434" t="s">
        <v>100</v>
      </c>
      <c r="M111" s="437" t="s">
        <v>1759</v>
      </c>
      <c r="N111" s="439">
        <v>75</v>
      </c>
      <c r="O111" s="439"/>
      <c r="P111" s="439"/>
      <c r="Q111" s="439"/>
      <c r="R111" s="440" t="str">
        <f>VLOOKUP(Ruimtestaat[[#This Row],[Ruimte code]],Ruimtegroepen[],4,FALSE)</f>
        <v>Le</v>
      </c>
      <c r="S111" s="434">
        <v>40</v>
      </c>
      <c r="T111" s="434" t="s">
        <v>2</v>
      </c>
      <c r="U111" s="434">
        <f>IF(S111&gt;0,IF(RIGHT(Ruimtestaat[[#This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1" s="434">
        <f>IF(U111&gt;0,VLOOKUP($J111,Ruimtegroepen[],3,FALSE)*VLOOKUP($L111,Vloersoorten[],3,FALSE)*VLOOKUP($T111,Frequenties[],3,FALSE)*VLOOKUP($A111,Locaties[],3,FALSE),0)</f>
        <v>0</v>
      </c>
      <c r="W111" s="434">
        <f>Ruimtestaat[[#This Row],[Uitvoeringen werkdagen]]*Ruimtestaat[[#This Row],[Oppervlak (netto)]]</f>
        <v>15000</v>
      </c>
      <c r="X111" s="441">
        <f>IF(V111&gt;0,Ruimtestaat[[#This Row],[Prest. (m2 /jaar) werkdagen]]/Ruimtestaat[[#This Row],[Norm (m2/uur) werkdagen]],0)</f>
        <v>0</v>
      </c>
      <c r="Y111" s="442">
        <f>Ruimtestaat[[#This Row],[Uitvoeringen werkdagen]]*Ruimtestaat[[#This Row],[Gedeeltelijk]]</f>
        <v>0</v>
      </c>
      <c r="Z111" s="443" t="e">
        <f>IF(U111&gt;0,Ruimtestaat[[#This Row],[Prest. (m2 / jaar) werkdagen gedeeld]]/Ruimtestaat[[#This Row],[Norm (m2/uur) werkdagen]],0)</f>
        <v>#DIV/0!</v>
      </c>
      <c r="AA111" s="441" t="e">
        <f>Ruimtestaat[[#This Row],[uren / jaar werkdagen gedeeld]]*Tariefsopbouw!$E$35</f>
        <v>#DIV/0!</v>
      </c>
      <c r="AB111" s="441">
        <f>Ruimtestaat[[#This Row],[Uitvoeringen werkdagen]]*Ruimtestaat[[#This Row],[BSO]]</f>
        <v>0</v>
      </c>
      <c r="AC111" s="443" t="e">
        <f>IF(U111&gt;0,Ruimtestaat[[#This Row],[Prest. (m2 / jaar) werkdagen BSO]]/Ruimtestaat[[#This Row],[Norm (m2/uur) werkdagen]],0)</f>
        <v>#DIV/0!</v>
      </c>
      <c r="AD111" s="443" t="e">
        <f>Ruimtestaat[[#This Row],[uren / jaar werkdagen BSO]]*Tariefsopbouw!$E$35</f>
        <v>#DIV/0!</v>
      </c>
      <c r="AE111" s="444">
        <f>Ruimtestaat[[#This Row],[uren / jaar werkdagen]]*Tariefsopbouw!$E$35</f>
        <v>0</v>
      </c>
      <c r="AF111" s="434"/>
      <c r="AG111" s="434">
        <f>IF(Ruimtestaat[[#This Row],[Frequentie weekend]]&gt;0,VALUE(LEFT(AF111,1))*S111,0)</f>
        <v>0</v>
      </c>
      <c r="AH111" s="445">
        <f>IF($AG111&gt;0,VLOOKUP($J111,Ruimtegroepen[],3,FALSE)*VLOOKUP($L111,Vloersoorten[],3,FALSE)*VLOOKUP($AF111,Frequenties[],3,FALSE)*VLOOKUP(Ruimtestaat[[#This Row],[Code]],Locaties[],3,FALSE),0)</f>
        <v>0</v>
      </c>
      <c r="AI111" s="445">
        <f>Ruimtestaat[[#This Row],[Uitvoeringen weekend]]*Ruimtestaat[[#This Row],[Oppervlak (netto)]]</f>
        <v>0</v>
      </c>
      <c r="AJ111" s="445">
        <f>IF(AH111&gt;0,Ruimtestaat[[#This Row],[Prest. (m2 /jaar) weekend]]/Ruimtestaat[[#This Row],[Norm (m2/uur) weekend]],0)</f>
        <v>0</v>
      </c>
      <c r="AK111" s="444">
        <f>Ruimtestaat[[#This Row],[uren / jaar weekend]]*Tariefsopbouw!$D$40</f>
        <v>0</v>
      </c>
      <c r="AL111" s="441">
        <f>Ruimtestaat[[#This Row],[Prest. (m2 /jaar) weekend]]+Ruimtestaat[[#This Row],[Prest. (m2 /jaar) werkdagen]]</f>
        <v>15000</v>
      </c>
      <c r="AM111" s="441">
        <f>Ruimtestaat[[#This Row],[uren / jaar weekend]]+Ruimtestaat[[#This Row],[uren / jaar werkdagen]]</f>
        <v>0</v>
      </c>
      <c r="AN111" s="446">
        <f>Ruimtestaat[[#This Row],[kosten / jaar weekend]]+Ruimtestaat[[#This Row],[kosten / jaar werkdagen]]</f>
        <v>0</v>
      </c>
      <c r="AO111" s="446"/>
      <c r="AP111" s="447" t="str">
        <f>IF(Ruimtestaat[[#This Row],[Frequentie werkdagen]]="","",_xlfn.CONCAT(Ruimtestaat[[#This Row],[Ruimte code]],"-",Ruimtestaat[[#This Row],[Frequentie werkdagen]]," ",Ruimtestaat[[#This Row],[Vloer code]]))</f>
        <v>16-5w L</v>
      </c>
      <c r="AQ111" s="448" t="str">
        <f>_xlfn.IFNA(VLOOKUP($AP111,Programma!$F$3:$G$1101,2,0),"")</f>
        <v>_</v>
      </c>
      <c r="AR111" s="448" t="str">
        <f>_xlfn.IFNA(VLOOKUP($AP111,Programma!$F$3:$H$1101,3,0),"")</f>
        <v>_</v>
      </c>
      <c r="AS111" s="448" t="str">
        <f>_xlfn.IFNA(VLOOKUP($AP111,Programma!$F$3:$I$1101,4,0),"")</f>
        <v>4w</v>
      </c>
      <c r="AT111" s="448" t="str">
        <f>_xlfn.IFNA(VLOOKUP($AP111,Programma!$F$3:$J$1101,5,0),"")</f>
        <v>1w</v>
      </c>
      <c r="AU111" s="448" t="str">
        <f>_xlfn.IFNA(VLOOKUP($AP111,Programma!$F$3:$K$1101,6,0),"")</f>
        <v>_</v>
      </c>
      <c r="AV111" s="448" t="str">
        <f>_xlfn.IFNA(VLOOKUP($AP111,Programma!$F$3:$L$1101,7,0),"")</f>
        <v>_</v>
      </c>
      <c r="AW111" s="448" t="str">
        <f>_xlfn.IFNA(VLOOKUP($AP111,Programma!$F$3:$M$1101,8,0),"")</f>
        <v>_</v>
      </c>
      <c r="AX111" s="448" t="str">
        <f>_xlfn.IFNA(VLOOKUP($AP111,Programma!$F$3:$N$1101,9,0),"")</f>
        <v>_</v>
      </c>
      <c r="AY111" s="448" t="str">
        <f>_xlfn.IFNA(VLOOKUP($AP111,Programma!$F$3:$O$1101,10,0),"")</f>
        <v>5w</v>
      </c>
      <c r="AZ111" s="448" t="str">
        <f>_xlfn.IFNA(VLOOKUP($AP111,Programma!$F$3:$P$1101,11,0),"")</f>
        <v>5w</v>
      </c>
      <c r="BA111" s="448" t="str">
        <f>_xlfn.IFNA(VLOOKUP($AP111,Programma!$F$3:$Q$1101,12,0),"")</f>
        <v>1w</v>
      </c>
      <c r="BB111" s="448" t="str">
        <f>_xlfn.IFNA(VLOOKUP($AP111,Programma!$F$3:$R$1101,13,0),"")</f>
        <v>1w</v>
      </c>
      <c r="BC111" s="448" t="str">
        <f>_xlfn.IFNA(VLOOKUP($AP111,Programma!$F$3:$S$1101,14,0),"")</f>
        <v>1m</v>
      </c>
      <c r="BD111" s="448" t="str">
        <f>_xlfn.IFNA(VLOOKUP($AP111,Programma!$F$3:$T$1101,15,0),"")</f>
        <v>2j</v>
      </c>
      <c r="BE111" s="448" t="str">
        <f>_xlfn.IFNA(VLOOKUP($AP111,Programma!$F$3:$U$1101,16,0),"")</f>
        <v>1j</v>
      </c>
      <c r="BF111" s="448" t="str">
        <f>_xlfn.IFNA(VLOOKUP($AP111,Programma!$F$3:$V$1101,17,0),"")</f>
        <v>_</v>
      </c>
      <c r="BG111" s="448" t="str">
        <f>_xlfn.IFNA(VLOOKUP($AP111,Programma!$F$3:$W$1101,18,0),"")</f>
        <v>_</v>
      </c>
      <c r="BH111" s="448" t="str">
        <f>_xlfn.IFNA(VLOOKUP($AP111,Programma!$F$3:$X$1101,19,0),"")</f>
        <v>_</v>
      </c>
      <c r="BI111" s="448" t="str">
        <f>_xlfn.IFNA(VLOOKUP($AP111,Programma!$F$3:$Y$1101,20,0),"")</f>
        <v>_</v>
      </c>
      <c r="BJ111" s="449"/>
      <c r="BK111" s="447" t="str">
        <f>IF(Ruimtestaat[[#This Row],[Frequentie weekend]]="","",_xlfn.CONCAT(Ruimtestaat[[#This Row],[Ruimte code]],"-",Ruimtestaat[[#This Row],[Frequentie weekend]]," ",Ruimtestaat[[#This Row],[Vloer code]]))</f>
        <v/>
      </c>
      <c r="BL111" s="448" t="str">
        <f>_xlfn.IFNA(VLOOKUP($BK111,Programma!$F$3:$G$1101,2,0),"")</f>
        <v/>
      </c>
      <c r="BM111" s="448" t="str">
        <f>_xlfn.IFNA(VLOOKUP($BK111,Programma!$F$3:$H$1101,3,0),"")</f>
        <v/>
      </c>
      <c r="BN111" s="448" t="str">
        <f>_xlfn.IFNA(VLOOKUP($BK111,Programma!$F$3:$I$1101,4,0),"")</f>
        <v/>
      </c>
      <c r="BO111" s="448" t="str">
        <f>_xlfn.IFNA(VLOOKUP($BK111,Programma!$F$3:$J$1101,5,0),"")</f>
        <v/>
      </c>
      <c r="BP111" s="448" t="str">
        <f>_xlfn.IFNA(VLOOKUP($BK111,Programma!$F$3:$K$1101,6,0),"")</f>
        <v/>
      </c>
      <c r="BQ111" s="448" t="str">
        <f>_xlfn.IFNA(VLOOKUP($BK111,Programma!$F$3:$L$1101,7,0),"")</f>
        <v/>
      </c>
      <c r="BR111" s="448" t="str">
        <f>_xlfn.IFNA(VLOOKUP($BK111,Programma!$F$3:$M$1101,8,0),"")</f>
        <v/>
      </c>
      <c r="BS111" s="448" t="str">
        <f>_xlfn.IFNA(VLOOKUP($BK111,Programma!$F$3:$N$1101,9,0),"")</f>
        <v/>
      </c>
      <c r="BT111" s="448" t="str">
        <f>_xlfn.IFNA(VLOOKUP($BK111,Programma!$F$3:$O$1101,10,0),"")</f>
        <v/>
      </c>
      <c r="BU111" s="448" t="str">
        <f>_xlfn.IFNA(VLOOKUP($BK111,Programma!$F$3:$P$1101,11,0),"")</f>
        <v/>
      </c>
      <c r="BV111" s="448" t="str">
        <f>_xlfn.IFNA(VLOOKUP($BK111,Programma!$F$3:$Q$1101,12,0),"")</f>
        <v/>
      </c>
      <c r="BW111" s="448" t="str">
        <f>_xlfn.IFNA(VLOOKUP($BK111,Programma!$F$3:$R$1101,13,0),"")</f>
        <v/>
      </c>
      <c r="BX111" s="448" t="str">
        <f>_xlfn.IFNA(VLOOKUP($BK111,Programma!$F$3:$S$1101,14,0),"")</f>
        <v/>
      </c>
      <c r="BY111" s="448" t="str">
        <f>_xlfn.IFNA(VLOOKUP($BK111,Programma!$F$3:$T$1101,15,0),"")</f>
        <v/>
      </c>
      <c r="BZ111" s="448" t="str">
        <f>_xlfn.IFNA(VLOOKUP($BK111,Programma!$F$3:$U$1101,16,0),"")</f>
        <v/>
      </c>
      <c r="CA111" s="448" t="str">
        <f>_xlfn.IFNA(VLOOKUP($BK111,Programma!$F$3:$V$1101,17,0),"")</f>
        <v/>
      </c>
      <c r="CB111" s="448" t="str">
        <f>_xlfn.IFNA(VLOOKUP($BK111,Programma!$F$3:$W$1101,18,0),"")</f>
        <v/>
      </c>
      <c r="CC111" s="448" t="str">
        <f>_xlfn.IFNA(VLOOKUP($BK111,Programma!$F$3:$X$1101,19,0),"")</f>
        <v/>
      </c>
      <c r="CD111" s="448" t="str">
        <f>_xlfn.IFNA(VLOOKUP($BK111,Programma!$F$3:$Y$1101,20,0),"")</f>
        <v/>
      </c>
      <c r="CE111" s="327"/>
      <c r="CF111" s="327"/>
      <c r="CG111" s="327"/>
      <c r="CH111" s="327"/>
      <c r="CI111" s="327"/>
      <c r="CJ111" s="327"/>
      <c r="CK111" s="327"/>
      <c r="CL111" s="327"/>
      <c r="CM111" s="327"/>
      <c r="CN111" s="327"/>
      <c r="CO111" s="327"/>
      <c r="CP111" s="327"/>
      <c r="CQ111" s="327"/>
      <c r="CR111" s="327"/>
      <c r="CS111" s="327"/>
      <c r="CT111" s="327"/>
      <c r="CU111" s="327"/>
      <c r="CV111" s="327"/>
      <c r="CW111" s="327"/>
      <c r="CX111" s="327"/>
      <c r="CY111" s="327"/>
      <c r="CZ111" s="327"/>
      <c r="DA111" s="327"/>
      <c r="DB111" s="327"/>
      <c r="DC111" s="327"/>
      <c r="DD111" s="327"/>
      <c r="DE111" s="327"/>
      <c r="DF111" s="327"/>
      <c r="DG111" s="327"/>
      <c r="DH111" s="327"/>
      <c r="DI111" s="327"/>
      <c r="DJ111" s="327"/>
      <c r="DK111" s="327"/>
      <c r="DL111" s="327"/>
      <c r="DM111" s="327"/>
      <c r="DN111" s="327"/>
      <c r="DO111" s="327"/>
      <c r="DP111" s="327"/>
      <c r="DQ111" s="327"/>
      <c r="DR111" s="327"/>
      <c r="DS111" s="327"/>
      <c r="DT111" s="327"/>
      <c r="DU111" s="327"/>
      <c r="DV111" s="327"/>
      <c r="DW111" s="327"/>
      <c r="DX111" s="327"/>
      <c r="DY111" s="327"/>
      <c r="DZ111" s="327"/>
      <c r="EA111" s="327"/>
      <c r="EB111" s="327"/>
      <c r="EC111" s="327"/>
      <c r="ED111" s="327"/>
      <c r="EE111" s="327"/>
      <c r="EF111" s="327"/>
      <c r="EG111" s="327"/>
      <c r="EH111" s="327"/>
      <c r="EI111" s="327"/>
      <c r="EJ111" s="327"/>
      <c r="EK111" s="327"/>
      <c r="EL111" s="327"/>
      <c r="EM111" s="327"/>
      <c r="EN111" s="327"/>
      <c r="EO111" s="327"/>
      <c r="EP111" s="327"/>
      <c r="EQ111" s="327"/>
      <c r="ER111" s="327"/>
      <c r="ES111" s="327"/>
      <c r="ET111" s="327"/>
      <c r="EU111" s="327"/>
      <c r="EV111" s="327"/>
      <c r="EW111" s="327"/>
      <c r="EX111" s="327"/>
      <c r="EY111" s="327"/>
      <c r="EZ111" s="327"/>
      <c r="FA111" s="327"/>
      <c r="FB111" s="327"/>
      <c r="FC111" s="327"/>
      <c r="FD111" s="327"/>
      <c r="FE111" s="327"/>
      <c r="FF111" s="327"/>
      <c r="FG111" s="327"/>
      <c r="FH111" s="327"/>
      <c r="FI111" s="327"/>
      <c r="FJ111" s="327"/>
      <c r="FK111" s="327"/>
      <c r="FL111" s="327"/>
      <c r="FM111" s="327"/>
      <c r="FN111" s="327"/>
      <c r="FO111" s="327"/>
      <c r="FP111" s="327"/>
      <c r="FQ111" s="327"/>
      <c r="FR111" s="327"/>
      <c r="FS111" s="327"/>
      <c r="FT111" s="327"/>
      <c r="FU111" s="327"/>
      <c r="FV111" s="327"/>
      <c r="FW111" s="327"/>
      <c r="FX111" s="327"/>
      <c r="FY111" s="327"/>
      <c r="FZ111" s="327"/>
      <c r="GA111" s="327"/>
      <c r="GB111" s="327"/>
      <c r="GC111" s="327"/>
      <c r="GD111" s="327"/>
      <c r="GE111" s="327"/>
      <c r="GF111" s="327"/>
      <c r="GG111" s="327"/>
      <c r="GH111" s="327"/>
      <c r="GI111" s="327"/>
      <c r="GJ111" s="327"/>
      <c r="GK111" s="327"/>
      <c r="GL111" s="327"/>
      <c r="GM111" s="327"/>
      <c r="GN111" s="327"/>
      <c r="GO111" s="327"/>
      <c r="GP111" s="327"/>
      <c r="GQ111" s="327"/>
      <c r="GR111" s="327"/>
      <c r="GS111" s="327"/>
      <c r="GT111" s="327"/>
      <c r="GU111" s="327"/>
      <c r="GV111" s="327"/>
      <c r="GW111" s="327"/>
      <c r="GX111" s="327"/>
      <c r="GY111" s="327"/>
      <c r="GZ111" s="327"/>
      <c r="HA111" s="327"/>
      <c r="HB111" s="327"/>
      <c r="HC111" s="327"/>
      <c r="HD111" s="327"/>
      <c r="HE111" s="327"/>
      <c r="HF111" s="327"/>
      <c r="HG111" s="327"/>
      <c r="HH111" s="327"/>
      <c r="HI111" s="327"/>
      <c r="HJ111" s="327"/>
      <c r="HK111" s="327"/>
      <c r="HL111" s="327"/>
      <c r="HM111" s="327"/>
      <c r="HN111" s="327"/>
      <c r="HO111" s="327"/>
      <c r="HP111" s="327"/>
      <c r="HQ111" s="327"/>
      <c r="HR111" s="327"/>
      <c r="HS111" s="327"/>
    </row>
    <row r="112" spans="1:227" ht="15" customHeight="1">
      <c r="A112" s="330">
        <v>6</v>
      </c>
      <c r="B112" s="435" t="str">
        <f>VLOOKUP(Ruimtestaat[[#This Row],[Code]],Locaties[[Code]:[Locatie]],2,FALSE)</f>
        <v>IKC Het Zwanenbos</v>
      </c>
      <c r="C112" s="435" t="str">
        <f>VLOOKUP(Ruimtestaat[[#This Row],[Code]],Locaties[[#All],[Code]:[Adres]],4,FALSE)</f>
        <v>Kerkenbos 24-26</v>
      </c>
      <c r="D112" s="435" t="str">
        <f>VLOOKUP(Ruimtestaat[[#This Row],[Code]],Locaties[[#All],[Code]:[Postcode]],5,FALSE)</f>
        <v>2716 PH</v>
      </c>
      <c r="E112" s="435" t="str">
        <f>VLOOKUP(Ruimtestaat[[#This Row],[Code]],Locaties[#All],6,FALSE)</f>
        <v>Zoetermeer</v>
      </c>
      <c r="F112" s="434"/>
      <c r="G112" s="434" t="s">
        <v>1678</v>
      </c>
      <c r="H112" s="451">
        <v>4</v>
      </c>
      <c r="I112" s="437" t="s">
        <v>1679</v>
      </c>
      <c r="J112" s="330">
        <v>16</v>
      </c>
      <c r="K112" s="450" t="str">
        <f>VLOOKUP(Ruimtestaat[[#This Row],[Ruimte code]],Ruimtegroepen[[#All],[Code]:[Ruimte omschrijving]],2,FALSE)</f>
        <v>Leslokalen</v>
      </c>
      <c r="L112" s="434" t="s">
        <v>100</v>
      </c>
      <c r="M112" s="437" t="s">
        <v>1759</v>
      </c>
      <c r="N112" s="439">
        <v>72</v>
      </c>
      <c r="O112" s="439"/>
      <c r="P112" s="439"/>
      <c r="Q112" s="439"/>
      <c r="R112" s="440" t="str">
        <f>VLOOKUP(Ruimtestaat[[#This Row],[Ruimte code]],Ruimtegroepen[],4,FALSE)</f>
        <v>Le</v>
      </c>
      <c r="S112" s="434">
        <v>40</v>
      </c>
      <c r="T112" s="434" t="s">
        <v>2</v>
      </c>
      <c r="U112" s="434">
        <f>IF(S112&gt;0,IF(RIGHT(Ruimtestaat[[#This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2" s="434">
        <f>IF(U112&gt;0,VLOOKUP($J112,Ruimtegroepen[],3,FALSE)*VLOOKUP($L112,Vloersoorten[],3,FALSE)*VLOOKUP($T112,Frequenties[],3,FALSE)*VLOOKUP($A112,Locaties[],3,FALSE),0)</f>
        <v>0</v>
      </c>
      <c r="W112" s="434">
        <f>Ruimtestaat[[#This Row],[Uitvoeringen werkdagen]]*Ruimtestaat[[#This Row],[Oppervlak (netto)]]</f>
        <v>14400</v>
      </c>
      <c r="X112" s="441">
        <f>IF(V112&gt;0,Ruimtestaat[[#This Row],[Prest. (m2 /jaar) werkdagen]]/Ruimtestaat[[#This Row],[Norm (m2/uur) werkdagen]],0)</f>
        <v>0</v>
      </c>
      <c r="Y112" s="442">
        <f>Ruimtestaat[[#This Row],[Uitvoeringen werkdagen]]*Ruimtestaat[[#This Row],[Gedeeltelijk]]</f>
        <v>0</v>
      </c>
      <c r="Z112" s="443" t="e">
        <f>IF(U112&gt;0,Ruimtestaat[[#This Row],[Prest. (m2 / jaar) werkdagen gedeeld]]/Ruimtestaat[[#This Row],[Norm (m2/uur) werkdagen]],0)</f>
        <v>#DIV/0!</v>
      </c>
      <c r="AA112" s="441" t="e">
        <f>Ruimtestaat[[#This Row],[uren / jaar werkdagen gedeeld]]*Tariefsopbouw!$E$35</f>
        <v>#DIV/0!</v>
      </c>
      <c r="AB112" s="441">
        <f>Ruimtestaat[[#This Row],[Uitvoeringen werkdagen]]*Ruimtestaat[[#This Row],[BSO]]</f>
        <v>0</v>
      </c>
      <c r="AC112" s="443" t="e">
        <f>IF(U112&gt;0,Ruimtestaat[[#This Row],[Prest. (m2 / jaar) werkdagen BSO]]/Ruimtestaat[[#This Row],[Norm (m2/uur) werkdagen]],0)</f>
        <v>#DIV/0!</v>
      </c>
      <c r="AD112" s="443" t="e">
        <f>Ruimtestaat[[#This Row],[uren / jaar werkdagen BSO]]*Tariefsopbouw!$E$35</f>
        <v>#DIV/0!</v>
      </c>
      <c r="AE112" s="444">
        <f>Ruimtestaat[[#This Row],[uren / jaar werkdagen]]*Tariefsopbouw!$E$35</f>
        <v>0</v>
      </c>
      <c r="AF112" s="434"/>
      <c r="AG112" s="434">
        <f>IF(Ruimtestaat[[#This Row],[Frequentie weekend]]&gt;0,VALUE(LEFT(AF112,1))*S112,0)</f>
        <v>0</v>
      </c>
      <c r="AH112" s="445">
        <f>IF($AG112&gt;0,VLOOKUP($J112,Ruimtegroepen[],3,FALSE)*VLOOKUP($L112,Vloersoorten[],3,FALSE)*VLOOKUP($AF112,Frequenties[],3,FALSE)*VLOOKUP(Ruimtestaat[[#This Row],[Code]],Locaties[],3,FALSE),0)</f>
        <v>0</v>
      </c>
      <c r="AI112" s="445">
        <f>Ruimtestaat[[#This Row],[Uitvoeringen weekend]]*Ruimtestaat[[#This Row],[Oppervlak (netto)]]</f>
        <v>0</v>
      </c>
      <c r="AJ112" s="445">
        <f>IF(AH112&gt;0,Ruimtestaat[[#This Row],[Prest. (m2 /jaar) weekend]]/Ruimtestaat[[#This Row],[Norm (m2/uur) weekend]],0)</f>
        <v>0</v>
      </c>
      <c r="AK112" s="444">
        <f>Ruimtestaat[[#This Row],[uren / jaar weekend]]*Tariefsopbouw!$D$40</f>
        <v>0</v>
      </c>
      <c r="AL112" s="441">
        <f>Ruimtestaat[[#This Row],[Prest. (m2 /jaar) weekend]]+Ruimtestaat[[#This Row],[Prest. (m2 /jaar) werkdagen]]</f>
        <v>14400</v>
      </c>
      <c r="AM112" s="441">
        <f>Ruimtestaat[[#This Row],[uren / jaar weekend]]+Ruimtestaat[[#This Row],[uren / jaar werkdagen]]</f>
        <v>0</v>
      </c>
      <c r="AN112" s="446">
        <f>Ruimtestaat[[#This Row],[kosten / jaar weekend]]+Ruimtestaat[[#This Row],[kosten / jaar werkdagen]]</f>
        <v>0</v>
      </c>
      <c r="AO112" s="446"/>
      <c r="AP112" s="447" t="str">
        <f>IF(Ruimtestaat[[#This Row],[Frequentie werkdagen]]="","",_xlfn.CONCAT(Ruimtestaat[[#This Row],[Ruimte code]],"-",Ruimtestaat[[#This Row],[Frequentie werkdagen]]," ",Ruimtestaat[[#This Row],[Vloer code]]))</f>
        <v>16-5w L</v>
      </c>
      <c r="AQ112" s="448" t="str">
        <f>_xlfn.IFNA(VLOOKUP($AP112,Programma!$F$3:$G$1101,2,0),"")</f>
        <v>_</v>
      </c>
      <c r="AR112" s="448" t="str">
        <f>_xlfn.IFNA(VLOOKUP($AP112,Programma!$F$3:$H$1101,3,0),"")</f>
        <v>_</v>
      </c>
      <c r="AS112" s="448" t="str">
        <f>_xlfn.IFNA(VLOOKUP($AP112,Programma!$F$3:$I$1101,4,0),"")</f>
        <v>4w</v>
      </c>
      <c r="AT112" s="448" t="str">
        <f>_xlfn.IFNA(VLOOKUP($AP112,Programma!$F$3:$J$1101,5,0),"")</f>
        <v>1w</v>
      </c>
      <c r="AU112" s="448" t="str">
        <f>_xlfn.IFNA(VLOOKUP($AP112,Programma!$F$3:$K$1101,6,0),"")</f>
        <v>_</v>
      </c>
      <c r="AV112" s="448" t="str">
        <f>_xlfn.IFNA(VLOOKUP($AP112,Programma!$F$3:$L$1101,7,0),"")</f>
        <v>_</v>
      </c>
      <c r="AW112" s="448" t="str">
        <f>_xlfn.IFNA(VLOOKUP($AP112,Programma!$F$3:$M$1101,8,0),"")</f>
        <v>_</v>
      </c>
      <c r="AX112" s="448" t="str">
        <f>_xlfn.IFNA(VLOOKUP($AP112,Programma!$F$3:$N$1101,9,0),"")</f>
        <v>_</v>
      </c>
      <c r="AY112" s="448" t="str">
        <f>_xlfn.IFNA(VLOOKUP($AP112,Programma!$F$3:$O$1101,10,0),"")</f>
        <v>5w</v>
      </c>
      <c r="AZ112" s="448" t="str">
        <f>_xlfn.IFNA(VLOOKUP($AP112,Programma!$F$3:$P$1101,11,0),"")</f>
        <v>5w</v>
      </c>
      <c r="BA112" s="448" t="str">
        <f>_xlfn.IFNA(VLOOKUP($AP112,Programma!$F$3:$Q$1101,12,0),"")</f>
        <v>1w</v>
      </c>
      <c r="BB112" s="448" t="str">
        <f>_xlfn.IFNA(VLOOKUP($AP112,Programma!$F$3:$R$1101,13,0),"")</f>
        <v>1w</v>
      </c>
      <c r="BC112" s="448" t="str">
        <f>_xlfn.IFNA(VLOOKUP($AP112,Programma!$F$3:$S$1101,14,0),"")</f>
        <v>1m</v>
      </c>
      <c r="BD112" s="448" t="str">
        <f>_xlfn.IFNA(VLOOKUP($AP112,Programma!$F$3:$T$1101,15,0),"")</f>
        <v>2j</v>
      </c>
      <c r="BE112" s="448" t="str">
        <f>_xlfn.IFNA(VLOOKUP($AP112,Programma!$F$3:$U$1101,16,0),"")</f>
        <v>1j</v>
      </c>
      <c r="BF112" s="448" t="str">
        <f>_xlfn.IFNA(VLOOKUP($AP112,Programma!$F$3:$V$1101,17,0),"")</f>
        <v>_</v>
      </c>
      <c r="BG112" s="448" t="str">
        <f>_xlfn.IFNA(VLOOKUP($AP112,Programma!$F$3:$W$1101,18,0),"")</f>
        <v>_</v>
      </c>
      <c r="BH112" s="448" t="str">
        <f>_xlfn.IFNA(VLOOKUP($AP112,Programma!$F$3:$X$1101,19,0),"")</f>
        <v>_</v>
      </c>
      <c r="BI112" s="448" t="str">
        <f>_xlfn.IFNA(VLOOKUP($AP112,Programma!$F$3:$Y$1101,20,0),"")</f>
        <v>_</v>
      </c>
      <c r="BJ112" s="449"/>
      <c r="BK112" s="447" t="str">
        <f>IF(Ruimtestaat[[#This Row],[Frequentie weekend]]="","",_xlfn.CONCAT(Ruimtestaat[[#This Row],[Ruimte code]],"-",Ruimtestaat[[#This Row],[Frequentie weekend]]," ",Ruimtestaat[[#This Row],[Vloer code]]))</f>
        <v/>
      </c>
      <c r="BL112" s="448" t="str">
        <f>_xlfn.IFNA(VLOOKUP($BK112,Programma!$F$3:$G$1101,2,0),"")</f>
        <v/>
      </c>
      <c r="BM112" s="448" t="str">
        <f>_xlfn.IFNA(VLOOKUP($BK112,Programma!$F$3:$H$1101,3,0),"")</f>
        <v/>
      </c>
      <c r="BN112" s="448" t="str">
        <f>_xlfn.IFNA(VLOOKUP($BK112,Programma!$F$3:$I$1101,4,0),"")</f>
        <v/>
      </c>
      <c r="BO112" s="448" t="str">
        <f>_xlfn.IFNA(VLOOKUP($BK112,Programma!$F$3:$J$1101,5,0),"")</f>
        <v/>
      </c>
      <c r="BP112" s="448" t="str">
        <f>_xlfn.IFNA(VLOOKUP($BK112,Programma!$F$3:$K$1101,6,0),"")</f>
        <v/>
      </c>
      <c r="BQ112" s="448" t="str">
        <f>_xlfn.IFNA(VLOOKUP($BK112,Programma!$F$3:$L$1101,7,0),"")</f>
        <v/>
      </c>
      <c r="BR112" s="448" t="str">
        <f>_xlfn.IFNA(VLOOKUP($BK112,Programma!$F$3:$M$1101,8,0),"")</f>
        <v/>
      </c>
      <c r="BS112" s="448" t="str">
        <f>_xlfn.IFNA(VLOOKUP($BK112,Programma!$F$3:$N$1101,9,0),"")</f>
        <v/>
      </c>
      <c r="BT112" s="448" t="str">
        <f>_xlfn.IFNA(VLOOKUP($BK112,Programma!$F$3:$O$1101,10,0),"")</f>
        <v/>
      </c>
      <c r="BU112" s="448" t="str">
        <f>_xlfn.IFNA(VLOOKUP($BK112,Programma!$F$3:$P$1101,11,0),"")</f>
        <v/>
      </c>
      <c r="BV112" s="448" t="str">
        <f>_xlfn.IFNA(VLOOKUP($BK112,Programma!$F$3:$Q$1101,12,0),"")</f>
        <v/>
      </c>
      <c r="BW112" s="448" t="str">
        <f>_xlfn.IFNA(VLOOKUP($BK112,Programma!$F$3:$R$1101,13,0),"")</f>
        <v/>
      </c>
      <c r="BX112" s="448" t="str">
        <f>_xlfn.IFNA(VLOOKUP($BK112,Programma!$F$3:$S$1101,14,0),"")</f>
        <v/>
      </c>
      <c r="BY112" s="448" t="str">
        <f>_xlfn.IFNA(VLOOKUP($BK112,Programma!$F$3:$T$1101,15,0),"")</f>
        <v/>
      </c>
      <c r="BZ112" s="448" t="str">
        <f>_xlfn.IFNA(VLOOKUP($BK112,Programma!$F$3:$U$1101,16,0),"")</f>
        <v/>
      </c>
      <c r="CA112" s="448" t="str">
        <f>_xlfn.IFNA(VLOOKUP($BK112,Programma!$F$3:$V$1101,17,0),"")</f>
        <v/>
      </c>
      <c r="CB112" s="448" t="str">
        <f>_xlfn.IFNA(VLOOKUP($BK112,Programma!$F$3:$W$1101,18,0),"")</f>
        <v/>
      </c>
      <c r="CC112" s="448" t="str">
        <f>_xlfn.IFNA(VLOOKUP($BK112,Programma!$F$3:$X$1101,19,0),"")</f>
        <v/>
      </c>
      <c r="CD112" s="448" t="str">
        <f>_xlfn.IFNA(VLOOKUP($BK112,Programma!$F$3:$Y$1101,20,0),"")</f>
        <v/>
      </c>
      <c r="CE112" s="327"/>
      <c r="CF112" s="327"/>
      <c r="CG112" s="327"/>
      <c r="CH112" s="327"/>
      <c r="CI112" s="327"/>
      <c r="CJ112" s="327"/>
      <c r="CK112" s="327"/>
      <c r="CL112" s="327"/>
      <c r="CM112" s="327"/>
      <c r="CN112" s="327"/>
      <c r="CO112" s="327"/>
      <c r="CP112" s="327"/>
      <c r="CQ112" s="327"/>
      <c r="CR112" s="327"/>
      <c r="CS112" s="327"/>
      <c r="CT112" s="327"/>
      <c r="CU112" s="327"/>
      <c r="CV112" s="327"/>
      <c r="CW112" s="327"/>
      <c r="CX112" s="327"/>
      <c r="CY112" s="327"/>
      <c r="CZ112" s="327"/>
      <c r="DA112" s="327"/>
      <c r="DB112" s="327"/>
      <c r="DC112" s="327"/>
      <c r="DD112" s="327"/>
      <c r="DE112" s="327"/>
      <c r="DF112" s="327"/>
      <c r="DG112" s="327"/>
      <c r="DH112" s="327"/>
      <c r="DI112" s="327"/>
      <c r="DJ112" s="327"/>
      <c r="DK112" s="327"/>
      <c r="DL112" s="327"/>
      <c r="DM112" s="327"/>
      <c r="DN112" s="327"/>
      <c r="DO112" s="327"/>
      <c r="DP112" s="327"/>
      <c r="DQ112" s="327"/>
      <c r="DR112" s="327"/>
      <c r="DS112" s="327"/>
      <c r="DT112" s="327"/>
      <c r="DU112" s="327"/>
      <c r="DV112" s="327"/>
      <c r="DW112" s="327"/>
      <c r="DX112" s="327"/>
      <c r="DY112" s="327"/>
      <c r="DZ112" s="327"/>
      <c r="EA112" s="327"/>
      <c r="EB112" s="327"/>
      <c r="EC112" s="327"/>
      <c r="ED112" s="327"/>
      <c r="EE112" s="327"/>
      <c r="EF112" s="327"/>
      <c r="EG112" s="327"/>
      <c r="EH112" s="327"/>
      <c r="EI112" s="327"/>
      <c r="EJ112" s="327"/>
      <c r="EK112" s="327"/>
      <c r="EL112" s="327"/>
      <c r="EM112" s="327"/>
      <c r="EN112" s="327"/>
      <c r="EO112" s="327"/>
      <c r="EP112" s="327"/>
      <c r="EQ112" s="327"/>
      <c r="ER112" s="327"/>
      <c r="ES112" s="327"/>
      <c r="ET112" s="327"/>
      <c r="EU112" s="327"/>
      <c r="EV112" s="327"/>
      <c r="EW112" s="327"/>
      <c r="EX112" s="327"/>
      <c r="EY112" s="327"/>
      <c r="EZ112" s="327"/>
      <c r="FA112" s="327"/>
      <c r="FB112" s="327"/>
      <c r="FC112" s="327"/>
      <c r="FD112" s="327"/>
      <c r="FE112" s="327"/>
      <c r="FF112" s="327"/>
      <c r="FG112" s="327"/>
      <c r="FH112" s="327"/>
      <c r="FI112" s="327"/>
      <c r="FJ112" s="327"/>
      <c r="FK112" s="327"/>
      <c r="FL112" s="327"/>
      <c r="FM112" s="327"/>
      <c r="FN112" s="327"/>
      <c r="FO112" s="327"/>
      <c r="FP112" s="327"/>
      <c r="FQ112" s="327"/>
      <c r="FR112" s="327"/>
      <c r="FS112" s="327"/>
      <c r="FT112" s="327"/>
      <c r="FU112" s="327"/>
      <c r="FV112" s="327"/>
      <c r="FW112" s="327"/>
      <c r="FX112" s="327"/>
      <c r="FY112" s="327"/>
      <c r="FZ112" s="327"/>
      <c r="GA112" s="327"/>
      <c r="GB112" s="327"/>
      <c r="GC112" s="327"/>
      <c r="GD112" s="327"/>
      <c r="GE112" s="327"/>
      <c r="GF112" s="327"/>
      <c r="GG112" s="327"/>
      <c r="GH112" s="327"/>
      <c r="GI112" s="327"/>
      <c r="GJ112" s="327"/>
      <c r="GK112" s="327"/>
      <c r="GL112" s="327"/>
      <c r="GM112" s="327"/>
      <c r="GN112" s="327"/>
      <c r="GO112" s="327"/>
      <c r="GP112" s="327"/>
      <c r="GQ112" s="327"/>
      <c r="GR112" s="327"/>
      <c r="GS112" s="327"/>
      <c r="GT112" s="327"/>
      <c r="GU112" s="327"/>
      <c r="GV112" s="327"/>
      <c r="GW112" s="327"/>
      <c r="GX112" s="327"/>
      <c r="GY112" s="327"/>
      <c r="GZ112" s="327"/>
      <c r="HA112" s="327"/>
      <c r="HB112" s="327"/>
      <c r="HC112" s="327"/>
      <c r="HD112" s="327"/>
      <c r="HE112" s="327"/>
      <c r="HF112" s="327"/>
      <c r="HG112" s="327"/>
      <c r="HH112" s="327"/>
      <c r="HI112" s="327"/>
      <c r="HJ112" s="327"/>
      <c r="HK112" s="327"/>
      <c r="HL112" s="327"/>
      <c r="HM112" s="327"/>
      <c r="HN112" s="327"/>
      <c r="HO112" s="327"/>
      <c r="HP112" s="327"/>
      <c r="HQ112" s="327"/>
      <c r="HR112" s="327"/>
      <c r="HS112" s="327"/>
    </row>
    <row r="113" spans="1:227" ht="15" customHeight="1">
      <c r="A113" s="330">
        <v>6</v>
      </c>
      <c r="B113" s="435" t="str">
        <f>VLOOKUP(Ruimtestaat[[#This Row],[Code]],Locaties[[Code]:[Locatie]],2,FALSE)</f>
        <v>IKC Het Zwanenbos</v>
      </c>
      <c r="C113" s="435" t="str">
        <f>VLOOKUP(Ruimtestaat[[#This Row],[Code]],Locaties[[#All],[Code]:[Adres]],4,FALSE)</f>
        <v>Kerkenbos 24-26</v>
      </c>
      <c r="D113" s="435" t="str">
        <f>VLOOKUP(Ruimtestaat[[#This Row],[Code]],Locaties[[#All],[Code]:[Postcode]],5,FALSE)</f>
        <v>2716 PH</v>
      </c>
      <c r="E113" s="435" t="str">
        <f>VLOOKUP(Ruimtestaat[[#This Row],[Code]],Locaties[#All],6,FALSE)</f>
        <v>Zoetermeer</v>
      </c>
      <c r="F113" s="434"/>
      <c r="G113" s="434" t="s">
        <v>1678</v>
      </c>
      <c r="H113" s="451">
        <v>5</v>
      </c>
      <c r="I113" s="437" t="s">
        <v>1666</v>
      </c>
      <c r="J113" s="330">
        <v>2</v>
      </c>
      <c r="K113" s="450" t="str">
        <f>VLOOKUP(Ruimtestaat[[#This Row],[Ruimte code]],Ruimtegroepen[[#All],[Code]:[Ruimte omschrijving]],2,FALSE)</f>
        <v>Kantoren</v>
      </c>
      <c r="L113" s="434" t="s">
        <v>99</v>
      </c>
      <c r="M113" s="437" t="s">
        <v>36</v>
      </c>
      <c r="N113" s="439">
        <v>16</v>
      </c>
      <c r="O113" s="439"/>
      <c r="P113" s="439"/>
      <c r="Q113" s="439"/>
      <c r="R113" s="440" t="str">
        <f>VLOOKUP(Ruimtestaat[[#This Row],[Ruimte code]],Ruimtegroepen[],4,FALSE)</f>
        <v>Bu</v>
      </c>
      <c r="S113" s="434">
        <v>41</v>
      </c>
      <c r="T113" s="434" t="s">
        <v>17</v>
      </c>
      <c r="U113" s="434">
        <f>IF(S113&gt;0,IF(RIGHT(Ruimtestaat[[#This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13" s="434">
        <f>IF(U113&gt;0,VLOOKUP($J113,Ruimtegroepen[],3,FALSE)*VLOOKUP($L113,Vloersoorten[],3,FALSE)*VLOOKUP($T113,Frequenties[],3,FALSE)*VLOOKUP($A113,Locaties[],3,FALSE),0)</f>
        <v>0</v>
      </c>
      <c r="W113" s="434">
        <f>Ruimtestaat[[#This Row],[Uitvoeringen werkdagen]]*Ruimtestaat[[#This Row],[Oppervlak (netto)]]</f>
        <v>1312</v>
      </c>
      <c r="X113" s="441">
        <f>IF(V113&gt;0,Ruimtestaat[[#This Row],[Prest. (m2 /jaar) werkdagen]]/Ruimtestaat[[#This Row],[Norm (m2/uur) werkdagen]],0)</f>
        <v>0</v>
      </c>
      <c r="Y113" s="442">
        <f>Ruimtestaat[[#This Row],[Uitvoeringen werkdagen]]*Ruimtestaat[[#This Row],[Gedeeltelijk]]</f>
        <v>0</v>
      </c>
      <c r="Z113" s="443" t="e">
        <f>IF(U113&gt;0,Ruimtestaat[[#This Row],[Prest. (m2 / jaar) werkdagen gedeeld]]/Ruimtestaat[[#This Row],[Norm (m2/uur) werkdagen]],0)</f>
        <v>#DIV/0!</v>
      </c>
      <c r="AA113" s="441" t="e">
        <f>Ruimtestaat[[#This Row],[uren / jaar werkdagen gedeeld]]*Tariefsopbouw!$E$35</f>
        <v>#DIV/0!</v>
      </c>
      <c r="AB113" s="441">
        <f>Ruimtestaat[[#This Row],[Uitvoeringen werkdagen]]*Ruimtestaat[[#This Row],[BSO]]</f>
        <v>0</v>
      </c>
      <c r="AC113" s="443" t="e">
        <f>IF(U113&gt;0,Ruimtestaat[[#This Row],[Prest. (m2 / jaar) werkdagen BSO]]/Ruimtestaat[[#This Row],[Norm (m2/uur) werkdagen]],0)</f>
        <v>#DIV/0!</v>
      </c>
      <c r="AD113" s="443" t="e">
        <f>Ruimtestaat[[#This Row],[uren / jaar werkdagen BSO]]*Tariefsopbouw!$E$35</f>
        <v>#DIV/0!</v>
      </c>
      <c r="AE113" s="444">
        <f>Ruimtestaat[[#This Row],[uren / jaar werkdagen]]*Tariefsopbouw!$E$35</f>
        <v>0</v>
      </c>
      <c r="AF113" s="434"/>
      <c r="AG113" s="434">
        <f>IF(Ruimtestaat[[#This Row],[Frequentie weekend]]&gt;0,VALUE(LEFT(AF113,1))*S113,0)</f>
        <v>0</v>
      </c>
      <c r="AH113" s="445">
        <f>IF($AG113&gt;0,VLOOKUP($J113,Ruimtegroepen[],3,FALSE)*VLOOKUP($L113,Vloersoorten[],3,FALSE)*VLOOKUP($AF113,Frequenties[],3,FALSE)*VLOOKUP(Ruimtestaat[[#This Row],[Code]],Locaties[],3,FALSE),0)</f>
        <v>0</v>
      </c>
      <c r="AI113" s="445">
        <f>Ruimtestaat[[#This Row],[Uitvoeringen weekend]]*Ruimtestaat[[#This Row],[Oppervlak (netto)]]</f>
        <v>0</v>
      </c>
      <c r="AJ113" s="445">
        <f>IF(AH113&gt;0,Ruimtestaat[[#This Row],[Prest. (m2 /jaar) weekend]]/Ruimtestaat[[#This Row],[Norm (m2/uur) weekend]],0)</f>
        <v>0</v>
      </c>
      <c r="AK113" s="444">
        <f>Ruimtestaat[[#This Row],[uren / jaar weekend]]*Tariefsopbouw!$D$40</f>
        <v>0</v>
      </c>
      <c r="AL113" s="441">
        <f>Ruimtestaat[[#This Row],[Prest. (m2 /jaar) weekend]]+Ruimtestaat[[#This Row],[Prest. (m2 /jaar) werkdagen]]</f>
        <v>1312</v>
      </c>
      <c r="AM113" s="441">
        <f>Ruimtestaat[[#This Row],[uren / jaar weekend]]+Ruimtestaat[[#This Row],[uren / jaar werkdagen]]</f>
        <v>0</v>
      </c>
      <c r="AN113" s="446">
        <f>Ruimtestaat[[#This Row],[kosten / jaar weekend]]+Ruimtestaat[[#This Row],[kosten / jaar werkdagen]]</f>
        <v>0</v>
      </c>
      <c r="AO113" s="446"/>
      <c r="AP113" s="447" t="str">
        <f>IF(Ruimtestaat[[#This Row],[Frequentie werkdagen]]="","",_xlfn.CONCAT(Ruimtestaat[[#This Row],[Ruimte code]],"-",Ruimtestaat[[#This Row],[Frequentie werkdagen]]," ",Ruimtestaat[[#This Row],[Vloer code]]))</f>
        <v>2-2w T</v>
      </c>
      <c r="AQ113" s="448" t="str">
        <f>_xlfn.IFNA(VLOOKUP($AP113,Programma!$F$3:$G$1101,2,0),"")</f>
        <v>1w</v>
      </c>
      <c r="AR113" s="448" t="str">
        <f>_xlfn.IFNA(VLOOKUP($AP113,Programma!$F$3:$H$1101,3,0),"")</f>
        <v>1w</v>
      </c>
      <c r="AS113" s="448" t="str">
        <f>_xlfn.IFNA(VLOOKUP($AP113,Programma!$F$3:$I$1101,4,0),"")</f>
        <v>_</v>
      </c>
      <c r="AT113" s="448" t="str">
        <f>_xlfn.IFNA(VLOOKUP($AP113,Programma!$F$3:$J$1101,5,0),"")</f>
        <v>_</v>
      </c>
      <c r="AU113" s="448" t="str">
        <f>_xlfn.IFNA(VLOOKUP($AP113,Programma!$F$3:$K$1101,6,0),"")</f>
        <v>_</v>
      </c>
      <c r="AV113" s="448" t="str">
        <f>_xlfn.IFNA(VLOOKUP($AP113,Programma!$F$3:$L$1101,7,0),"")</f>
        <v>_</v>
      </c>
      <c r="AW113" s="448" t="str">
        <f>_xlfn.IFNA(VLOOKUP($AP113,Programma!$F$3:$M$1101,8,0),"")</f>
        <v>_</v>
      </c>
      <c r="AX113" s="448" t="str">
        <f>_xlfn.IFNA(VLOOKUP($AP113,Programma!$F$3:$N$1101,9,0),"")</f>
        <v>_</v>
      </c>
      <c r="AY113" s="448" t="str">
        <f>_xlfn.IFNA(VLOOKUP($AP113,Programma!$F$3:$O$1101,10,0),"")</f>
        <v>2w</v>
      </c>
      <c r="AZ113" s="448" t="str">
        <f>_xlfn.IFNA(VLOOKUP($AP113,Programma!$F$3:$P$1101,11,0),"")</f>
        <v>2w</v>
      </c>
      <c r="BA113" s="448" t="str">
        <f>_xlfn.IFNA(VLOOKUP($AP113,Programma!$F$3:$Q$1101,12,0),"")</f>
        <v>1w</v>
      </c>
      <c r="BB113" s="448" t="str">
        <f>_xlfn.IFNA(VLOOKUP($AP113,Programma!$F$3:$R$1101,13,0),"")</f>
        <v>1w</v>
      </c>
      <c r="BC113" s="448" t="str">
        <f>_xlfn.IFNA(VLOOKUP($AP113,Programma!$F$3:$S$1101,14,0),"")</f>
        <v>1m</v>
      </c>
      <c r="BD113" s="448" t="str">
        <f>_xlfn.IFNA(VLOOKUP($AP113,Programma!$F$3:$T$1101,15,0),"")</f>
        <v>2j</v>
      </c>
      <c r="BE113" s="448" t="str">
        <f>_xlfn.IFNA(VLOOKUP($AP113,Programma!$F$3:$U$1101,16,0),"")</f>
        <v>1j</v>
      </c>
      <c r="BF113" s="448" t="str">
        <f>_xlfn.IFNA(VLOOKUP($AP113,Programma!$F$3:$V$1101,17,0),"")</f>
        <v>_</v>
      </c>
      <c r="BG113" s="448" t="str">
        <f>_xlfn.IFNA(VLOOKUP($AP113,Programma!$F$3:$W$1101,18,0),"")</f>
        <v>_</v>
      </c>
      <c r="BH113" s="448" t="str">
        <f>_xlfn.IFNA(VLOOKUP($AP113,Programma!$F$3:$X$1101,19,0),"")</f>
        <v>_</v>
      </c>
      <c r="BI113" s="448" t="str">
        <f>_xlfn.IFNA(VLOOKUP($AP113,Programma!$F$3:$Y$1101,20,0),"")</f>
        <v>_</v>
      </c>
      <c r="BJ113" s="449"/>
      <c r="BK113" s="447" t="str">
        <f>IF(Ruimtestaat[[#This Row],[Frequentie weekend]]="","",_xlfn.CONCAT(Ruimtestaat[[#This Row],[Ruimte code]],"-",Ruimtestaat[[#This Row],[Frequentie weekend]]," ",Ruimtestaat[[#This Row],[Vloer code]]))</f>
        <v/>
      </c>
      <c r="BL113" s="448" t="str">
        <f>_xlfn.IFNA(VLOOKUP($BK113,Programma!$F$3:$G$1101,2,0),"")</f>
        <v/>
      </c>
      <c r="BM113" s="448" t="str">
        <f>_xlfn.IFNA(VLOOKUP($BK113,Programma!$F$3:$H$1101,3,0),"")</f>
        <v/>
      </c>
      <c r="BN113" s="448" t="str">
        <f>_xlfn.IFNA(VLOOKUP($BK113,Programma!$F$3:$I$1101,4,0),"")</f>
        <v/>
      </c>
      <c r="BO113" s="448" t="str">
        <f>_xlfn.IFNA(VLOOKUP($BK113,Programma!$F$3:$J$1101,5,0),"")</f>
        <v/>
      </c>
      <c r="BP113" s="448" t="str">
        <f>_xlfn.IFNA(VLOOKUP($BK113,Programma!$F$3:$K$1101,6,0),"")</f>
        <v/>
      </c>
      <c r="BQ113" s="448" t="str">
        <f>_xlfn.IFNA(VLOOKUP($BK113,Programma!$F$3:$L$1101,7,0),"")</f>
        <v/>
      </c>
      <c r="BR113" s="448" t="str">
        <f>_xlfn.IFNA(VLOOKUP($BK113,Programma!$F$3:$M$1101,8,0),"")</f>
        <v/>
      </c>
      <c r="BS113" s="448" t="str">
        <f>_xlfn.IFNA(VLOOKUP($BK113,Programma!$F$3:$N$1101,9,0),"")</f>
        <v/>
      </c>
      <c r="BT113" s="448" t="str">
        <f>_xlfn.IFNA(VLOOKUP($BK113,Programma!$F$3:$O$1101,10,0),"")</f>
        <v/>
      </c>
      <c r="BU113" s="448" t="str">
        <f>_xlfn.IFNA(VLOOKUP($BK113,Programma!$F$3:$P$1101,11,0),"")</f>
        <v/>
      </c>
      <c r="BV113" s="448" t="str">
        <f>_xlfn.IFNA(VLOOKUP($BK113,Programma!$F$3:$Q$1101,12,0),"")</f>
        <v/>
      </c>
      <c r="BW113" s="448" t="str">
        <f>_xlfn.IFNA(VLOOKUP($BK113,Programma!$F$3:$R$1101,13,0),"")</f>
        <v/>
      </c>
      <c r="BX113" s="448" t="str">
        <f>_xlfn.IFNA(VLOOKUP($BK113,Programma!$F$3:$S$1101,14,0),"")</f>
        <v/>
      </c>
      <c r="BY113" s="448" t="str">
        <f>_xlfn.IFNA(VLOOKUP($BK113,Programma!$F$3:$T$1101,15,0),"")</f>
        <v/>
      </c>
      <c r="BZ113" s="448" t="str">
        <f>_xlfn.IFNA(VLOOKUP($BK113,Programma!$F$3:$U$1101,16,0),"")</f>
        <v/>
      </c>
      <c r="CA113" s="448" t="str">
        <f>_xlfn.IFNA(VLOOKUP($BK113,Programma!$F$3:$V$1101,17,0),"")</f>
        <v/>
      </c>
      <c r="CB113" s="448" t="str">
        <f>_xlfn.IFNA(VLOOKUP($BK113,Programma!$F$3:$W$1101,18,0),"")</f>
        <v/>
      </c>
      <c r="CC113" s="448" t="str">
        <f>_xlfn.IFNA(VLOOKUP($BK113,Programma!$F$3:$X$1101,19,0),"")</f>
        <v/>
      </c>
      <c r="CD113" s="448" t="str">
        <f>_xlfn.IFNA(VLOOKUP($BK113,Programma!$F$3:$Y$1101,20,0),"")</f>
        <v/>
      </c>
      <c r="CE113" s="327"/>
      <c r="CF113" s="327"/>
      <c r="CG113" s="327"/>
      <c r="CH113" s="327"/>
      <c r="CI113" s="327"/>
      <c r="CJ113" s="327"/>
      <c r="CK113" s="327"/>
      <c r="CL113" s="327"/>
      <c r="CM113" s="327"/>
      <c r="CN113" s="327"/>
      <c r="CO113" s="327"/>
      <c r="CP113" s="327"/>
      <c r="CQ113" s="327"/>
      <c r="CR113" s="327"/>
      <c r="CS113" s="327"/>
      <c r="CT113" s="327"/>
      <c r="CU113" s="327"/>
      <c r="CV113" s="327"/>
      <c r="CW113" s="327"/>
      <c r="CX113" s="327"/>
      <c r="CY113" s="327"/>
      <c r="CZ113" s="327"/>
      <c r="DA113" s="327"/>
      <c r="DB113" s="327"/>
      <c r="DC113" s="327"/>
      <c r="DD113" s="327"/>
      <c r="DE113" s="327"/>
      <c r="DF113" s="327"/>
      <c r="DG113" s="327"/>
      <c r="DH113" s="327"/>
      <c r="DI113" s="327"/>
      <c r="DJ113" s="327"/>
      <c r="DK113" s="327"/>
      <c r="DL113" s="327"/>
      <c r="DM113" s="327"/>
      <c r="DN113" s="327"/>
      <c r="DO113" s="327"/>
      <c r="DP113" s="327"/>
      <c r="DQ113" s="327"/>
      <c r="DR113" s="327"/>
      <c r="DS113" s="327"/>
      <c r="DT113" s="327"/>
      <c r="DU113" s="327"/>
      <c r="DV113" s="327"/>
      <c r="DW113" s="327"/>
      <c r="DX113" s="327"/>
      <c r="DY113" s="327"/>
      <c r="DZ113" s="327"/>
      <c r="EA113" s="327"/>
      <c r="EB113" s="327"/>
      <c r="EC113" s="327"/>
      <c r="ED113" s="327"/>
      <c r="EE113" s="327"/>
      <c r="EF113" s="327"/>
      <c r="EG113" s="327"/>
      <c r="EH113" s="327"/>
      <c r="EI113" s="327"/>
      <c r="EJ113" s="327"/>
      <c r="EK113" s="327"/>
      <c r="EL113" s="327"/>
      <c r="EM113" s="327"/>
      <c r="EN113" s="327"/>
      <c r="EO113" s="327"/>
      <c r="EP113" s="327"/>
      <c r="EQ113" s="327"/>
      <c r="ER113" s="327"/>
      <c r="ES113" s="327"/>
      <c r="ET113" s="327"/>
      <c r="EU113" s="327"/>
      <c r="EV113" s="327"/>
      <c r="EW113" s="327"/>
      <c r="EX113" s="327"/>
      <c r="EY113" s="327"/>
      <c r="EZ113" s="327"/>
      <c r="FA113" s="327"/>
      <c r="FB113" s="327"/>
      <c r="FC113" s="327"/>
      <c r="FD113" s="327"/>
      <c r="FE113" s="327"/>
      <c r="FF113" s="327"/>
      <c r="FG113" s="327"/>
      <c r="FH113" s="327"/>
      <c r="FI113" s="327"/>
      <c r="FJ113" s="327"/>
      <c r="FK113" s="327"/>
      <c r="FL113" s="327"/>
      <c r="FM113" s="327"/>
      <c r="FN113" s="327"/>
      <c r="FO113" s="327"/>
      <c r="FP113" s="327"/>
      <c r="FQ113" s="327"/>
      <c r="FR113" s="327"/>
      <c r="FS113" s="327"/>
      <c r="FT113" s="327"/>
      <c r="FU113" s="327"/>
      <c r="FV113" s="327"/>
      <c r="FW113" s="327"/>
      <c r="FX113" s="327"/>
      <c r="FY113" s="327"/>
      <c r="FZ113" s="327"/>
      <c r="GA113" s="327"/>
      <c r="GB113" s="327"/>
      <c r="GC113" s="327"/>
      <c r="GD113" s="327"/>
      <c r="GE113" s="327"/>
      <c r="GF113" s="327"/>
      <c r="GG113" s="327"/>
      <c r="GH113" s="327"/>
      <c r="GI113" s="327"/>
      <c r="GJ113" s="327"/>
      <c r="GK113" s="327"/>
      <c r="GL113" s="327"/>
      <c r="GM113" s="327"/>
      <c r="GN113" s="327"/>
      <c r="GO113" s="327"/>
      <c r="GP113" s="327"/>
      <c r="GQ113" s="327"/>
      <c r="GR113" s="327"/>
      <c r="GS113" s="327"/>
      <c r="GT113" s="327"/>
      <c r="GU113" s="327"/>
      <c r="GV113" s="327"/>
      <c r="GW113" s="327"/>
      <c r="GX113" s="327"/>
      <c r="GY113" s="327"/>
      <c r="GZ113" s="327"/>
      <c r="HA113" s="327"/>
      <c r="HB113" s="327"/>
      <c r="HC113" s="327"/>
      <c r="HD113" s="327"/>
      <c r="HE113" s="327"/>
      <c r="HF113" s="327"/>
      <c r="HG113" s="327"/>
      <c r="HH113" s="327"/>
      <c r="HI113" s="327"/>
      <c r="HJ113" s="327"/>
      <c r="HK113" s="327"/>
      <c r="HL113" s="327"/>
      <c r="HM113" s="327"/>
      <c r="HN113" s="327"/>
      <c r="HO113" s="327"/>
      <c r="HP113" s="327"/>
      <c r="HQ113" s="327"/>
      <c r="HR113" s="327"/>
      <c r="HS113" s="327"/>
    </row>
    <row r="114" spans="1:227" ht="15" customHeight="1">
      <c r="A114" s="330">
        <v>6</v>
      </c>
      <c r="B114" s="435" t="str">
        <f>VLOOKUP(Ruimtestaat[[#This Row],[Code]],Locaties[[Code]:[Locatie]],2,FALSE)</f>
        <v>IKC Het Zwanenbos</v>
      </c>
      <c r="C114" s="435" t="str">
        <f>VLOOKUP(Ruimtestaat[[#This Row],[Code]],Locaties[[#All],[Code]:[Adres]],4,FALSE)</f>
        <v>Kerkenbos 24-26</v>
      </c>
      <c r="D114" s="435" t="str">
        <f>VLOOKUP(Ruimtestaat[[#This Row],[Code]],Locaties[[#All],[Code]:[Postcode]],5,FALSE)</f>
        <v>2716 PH</v>
      </c>
      <c r="E114" s="435" t="str">
        <f>VLOOKUP(Ruimtestaat[[#This Row],[Code]],Locaties[#All],6,FALSE)</f>
        <v>Zoetermeer</v>
      </c>
      <c r="F114" s="434"/>
      <c r="G114" s="434" t="s">
        <v>1678</v>
      </c>
      <c r="H114" s="451">
        <v>6</v>
      </c>
      <c r="I114" s="437" t="s">
        <v>1666</v>
      </c>
      <c r="J114" s="330">
        <v>2</v>
      </c>
      <c r="K114" s="450" t="str">
        <f>VLOOKUP(Ruimtestaat[[#This Row],[Ruimte code]],Ruimtegroepen[[#All],[Code]:[Ruimte omschrijving]],2,FALSE)</f>
        <v>Kantoren</v>
      </c>
      <c r="L114" s="434" t="s">
        <v>99</v>
      </c>
      <c r="M114" s="437" t="s">
        <v>36</v>
      </c>
      <c r="N114" s="439">
        <v>16</v>
      </c>
      <c r="O114" s="439"/>
      <c r="P114" s="439"/>
      <c r="Q114" s="439"/>
      <c r="R114" s="440" t="str">
        <f>VLOOKUP(Ruimtestaat[[#This Row],[Ruimte code]],Ruimtegroepen[],4,FALSE)</f>
        <v>Bu</v>
      </c>
      <c r="S114" s="434">
        <v>41</v>
      </c>
      <c r="T114" s="434" t="s">
        <v>17</v>
      </c>
      <c r="U114" s="434">
        <f>IF(S114&gt;0,IF(RIGHT(Ruimtestaat[[#This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14" s="434">
        <f>IF(U114&gt;0,VLOOKUP($J114,Ruimtegroepen[],3,FALSE)*VLOOKUP($L114,Vloersoorten[],3,FALSE)*VLOOKUP($T114,Frequenties[],3,FALSE)*VLOOKUP($A114,Locaties[],3,FALSE),0)</f>
        <v>0</v>
      </c>
      <c r="W114" s="434">
        <f>Ruimtestaat[[#This Row],[Uitvoeringen werkdagen]]*Ruimtestaat[[#This Row],[Oppervlak (netto)]]</f>
        <v>1312</v>
      </c>
      <c r="X114" s="441">
        <f>IF(V114&gt;0,Ruimtestaat[[#This Row],[Prest. (m2 /jaar) werkdagen]]/Ruimtestaat[[#This Row],[Norm (m2/uur) werkdagen]],0)</f>
        <v>0</v>
      </c>
      <c r="Y114" s="442">
        <f>Ruimtestaat[[#This Row],[Uitvoeringen werkdagen]]*Ruimtestaat[[#This Row],[Gedeeltelijk]]</f>
        <v>0</v>
      </c>
      <c r="Z114" s="443" t="e">
        <f>IF(U114&gt;0,Ruimtestaat[[#This Row],[Prest. (m2 / jaar) werkdagen gedeeld]]/Ruimtestaat[[#This Row],[Norm (m2/uur) werkdagen]],0)</f>
        <v>#DIV/0!</v>
      </c>
      <c r="AA114" s="441" t="e">
        <f>Ruimtestaat[[#This Row],[uren / jaar werkdagen gedeeld]]*Tariefsopbouw!$E$35</f>
        <v>#DIV/0!</v>
      </c>
      <c r="AB114" s="441">
        <f>Ruimtestaat[[#This Row],[Uitvoeringen werkdagen]]*Ruimtestaat[[#This Row],[BSO]]</f>
        <v>0</v>
      </c>
      <c r="AC114" s="443" t="e">
        <f>IF(U114&gt;0,Ruimtestaat[[#This Row],[Prest. (m2 / jaar) werkdagen BSO]]/Ruimtestaat[[#This Row],[Norm (m2/uur) werkdagen]],0)</f>
        <v>#DIV/0!</v>
      </c>
      <c r="AD114" s="443" t="e">
        <f>Ruimtestaat[[#This Row],[uren / jaar werkdagen BSO]]*Tariefsopbouw!$E$35</f>
        <v>#DIV/0!</v>
      </c>
      <c r="AE114" s="444">
        <f>Ruimtestaat[[#This Row],[uren / jaar werkdagen]]*Tariefsopbouw!$E$35</f>
        <v>0</v>
      </c>
      <c r="AF114" s="434"/>
      <c r="AG114" s="434">
        <f>IF(Ruimtestaat[[#This Row],[Frequentie weekend]]&gt;0,VALUE(LEFT(AF114,1))*S114,0)</f>
        <v>0</v>
      </c>
      <c r="AH114" s="445">
        <f>IF($AG114&gt;0,VLOOKUP($J114,Ruimtegroepen[],3,FALSE)*VLOOKUP($L114,Vloersoorten[],3,FALSE)*VLOOKUP($AF114,Frequenties[],3,FALSE)*VLOOKUP(Ruimtestaat[[#This Row],[Code]],Locaties[],3,FALSE),0)</f>
        <v>0</v>
      </c>
      <c r="AI114" s="445">
        <f>Ruimtestaat[[#This Row],[Uitvoeringen weekend]]*Ruimtestaat[[#This Row],[Oppervlak (netto)]]</f>
        <v>0</v>
      </c>
      <c r="AJ114" s="445">
        <f>IF(AH114&gt;0,Ruimtestaat[[#This Row],[Prest. (m2 /jaar) weekend]]/Ruimtestaat[[#This Row],[Norm (m2/uur) weekend]],0)</f>
        <v>0</v>
      </c>
      <c r="AK114" s="444">
        <f>Ruimtestaat[[#This Row],[uren / jaar weekend]]*Tariefsopbouw!$D$40</f>
        <v>0</v>
      </c>
      <c r="AL114" s="441">
        <f>Ruimtestaat[[#This Row],[Prest. (m2 /jaar) weekend]]+Ruimtestaat[[#This Row],[Prest. (m2 /jaar) werkdagen]]</f>
        <v>1312</v>
      </c>
      <c r="AM114" s="441">
        <f>Ruimtestaat[[#This Row],[uren / jaar weekend]]+Ruimtestaat[[#This Row],[uren / jaar werkdagen]]</f>
        <v>0</v>
      </c>
      <c r="AN114" s="446">
        <f>Ruimtestaat[[#This Row],[kosten / jaar weekend]]+Ruimtestaat[[#This Row],[kosten / jaar werkdagen]]</f>
        <v>0</v>
      </c>
      <c r="AO114" s="446"/>
      <c r="AP114" s="447" t="str">
        <f>IF(Ruimtestaat[[#This Row],[Frequentie werkdagen]]="","",_xlfn.CONCAT(Ruimtestaat[[#This Row],[Ruimte code]],"-",Ruimtestaat[[#This Row],[Frequentie werkdagen]]," ",Ruimtestaat[[#This Row],[Vloer code]]))</f>
        <v>2-2w T</v>
      </c>
      <c r="AQ114" s="448" t="str">
        <f>_xlfn.IFNA(VLOOKUP($AP114,Programma!$F$3:$G$1101,2,0),"")</f>
        <v>1w</v>
      </c>
      <c r="AR114" s="448" t="str">
        <f>_xlfn.IFNA(VLOOKUP($AP114,Programma!$F$3:$H$1101,3,0),"")</f>
        <v>1w</v>
      </c>
      <c r="AS114" s="448" t="str">
        <f>_xlfn.IFNA(VLOOKUP($AP114,Programma!$F$3:$I$1101,4,0),"")</f>
        <v>_</v>
      </c>
      <c r="AT114" s="448" t="str">
        <f>_xlfn.IFNA(VLOOKUP($AP114,Programma!$F$3:$J$1101,5,0),"")</f>
        <v>_</v>
      </c>
      <c r="AU114" s="448" t="str">
        <f>_xlfn.IFNA(VLOOKUP($AP114,Programma!$F$3:$K$1101,6,0),"")</f>
        <v>_</v>
      </c>
      <c r="AV114" s="448" t="str">
        <f>_xlfn.IFNA(VLOOKUP($AP114,Programma!$F$3:$L$1101,7,0),"")</f>
        <v>_</v>
      </c>
      <c r="AW114" s="448" t="str">
        <f>_xlfn.IFNA(VLOOKUP($AP114,Programma!$F$3:$M$1101,8,0),"")</f>
        <v>_</v>
      </c>
      <c r="AX114" s="448" t="str">
        <f>_xlfn.IFNA(VLOOKUP($AP114,Programma!$F$3:$N$1101,9,0),"")</f>
        <v>_</v>
      </c>
      <c r="AY114" s="448" t="str">
        <f>_xlfn.IFNA(VLOOKUP($AP114,Programma!$F$3:$O$1101,10,0),"")</f>
        <v>2w</v>
      </c>
      <c r="AZ114" s="448" t="str">
        <f>_xlfn.IFNA(VLOOKUP($AP114,Programma!$F$3:$P$1101,11,0),"")</f>
        <v>2w</v>
      </c>
      <c r="BA114" s="448" t="str">
        <f>_xlfn.IFNA(VLOOKUP($AP114,Programma!$F$3:$Q$1101,12,0),"")</f>
        <v>1w</v>
      </c>
      <c r="BB114" s="448" t="str">
        <f>_xlfn.IFNA(VLOOKUP($AP114,Programma!$F$3:$R$1101,13,0),"")</f>
        <v>1w</v>
      </c>
      <c r="BC114" s="448" t="str">
        <f>_xlfn.IFNA(VLOOKUP($AP114,Programma!$F$3:$S$1101,14,0),"")</f>
        <v>1m</v>
      </c>
      <c r="BD114" s="448" t="str">
        <f>_xlfn.IFNA(VLOOKUP($AP114,Programma!$F$3:$T$1101,15,0),"")</f>
        <v>2j</v>
      </c>
      <c r="BE114" s="448" t="str">
        <f>_xlfn.IFNA(VLOOKUP($AP114,Programma!$F$3:$U$1101,16,0),"")</f>
        <v>1j</v>
      </c>
      <c r="BF114" s="448" t="str">
        <f>_xlfn.IFNA(VLOOKUP($AP114,Programma!$F$3:$V$1101,17,0),"")</f>
        <v>_</v>
      </c>
      <c r="BG114" s="448" t="str">
        <f>_xlfn.IFNA(VLOOKUP($AP114,Programma!$F$3:$W$1101,18,0),"")</f>
        <v>_</v>
      </c>
      <c r="BH114" s="448" t="str">
        <f>_xlfn.IFNA(VLOOKUP($AP114,Programma!$F$3:$X$1101,19,0),"")</f>
        <v>_</v>
      </c>
      <c r="BI114" s="448" t="str">
        <f>_xlfn.IFNA(VLOOKUP($AP114,Programma!$F$3:$Y$1101,20,0),"")</f>
        <v>_</v>
      </c>
      <c r="BJ114" s="449"/>
      <c r="BK114" s="447" t="str">
        <f>IF(Ruimtestaat[[#This Row],[Frequentie weekend]]="","",_xlfn.CONCAT(Ruimtestaat[[#This Row],[Ruimte code]],"-",Ruimtestaat[[#This Row],[Frequentie weekend]]," ",Ruimtestaat[[#This Row],[Vloer code]]))</f>
        <v/>
      </c>
      <c r="BL114" s="448" t="str">
        <f>_xlfn.IFNA(VLOOKUP($BK114,Programma!$F$3:$G$1101,2,0),"")</f>
        <v/>
      </c>
      <c r="BM114" s="448" t="str">
        <f>_xlfn.IFNA(VLOOKUP($BK114,Programma!$F$3:$H$1101,3,0),"")</f>
        <v/>
      </c>
      <c r="BN114" s="448" t="str">
        <f>_xlfn.IFNA(VLOOKUP($BK114,Programma!$F$3:$I$1101,4,0),"")</f>
        <v/>
      </c>
      <c r="BO114" s="448" t="str">
        <f>_xlfn.IFNA(VLOOKUP($BK114,Programma!$F$3:$J$1101,5,0),"")</f>
        <v/>
      </c>
      <c r="BP114" s="448" t="str">
        <f>_xlfn.IFNA(VLOOKUP($BK114,Programma!$F$3:$K$1101,6,0),"")</f>
        <v/>
      </c>
      <c r="BQ114" s="448" t="str">
        <f>_xlfn.IFNA(VLOOKUP($BK114,Programma!$F$3:$L$1101,7,0),"")</f>
        <v/>
      </c>
      <c r="BR114" s="448" t="str">
        <f>_xlfn.IFNA(VLOOKUP($BK114,Programma!$F$3:$M$1101,8,0),"")</f>
        <v/>
      </c>
      <c r="BS114" s="448" t="str">
        <f>_xlfn.IFNA(VLOOKUP($BK114,Programma!$F$3:$N$1101,9,0),"")</f>
        <v/>
      </c>
      <c r="BT114" s="448" t="str">
        <f>_xlfn.IFNA(VLOOKUP($BK114,Programma!$F$3:$O$1101,10,0),"")</f>
        <v/>
      </c>
      <c r="BU114" s="448" t="str">
        <f>_xlfn.IFNA(VLOOKUP($BK114,Programma!$F$3:$P$1101,11,0),"")</f>
        <v/>
      </c>
      <c r="BV114" s="448" t="str">
        <f>_xlfn.IFNA(VLOOKUP($BK114,Programma!$F$3:$Q$1101,12,0),"")</f>
        <v/>
      </c>
      <c r="BW114" s="448" t="str">
        <f>_xlfn.IFNA(VLOOKUP($BK114,Programma!$F$3:$R$1101,13,0),"")</f>
        <v/>
      </c>
      <c r="BX114" s="448" t="str">
        <f>_xlfn.IFNA(VLOOKUP($BK114,Programma!$F$3:$S$1101,14,0),"")</f>
        <v/>
      </c>
      <c r="BY114" s="448" t="str">
        <f>_xlfn.IFNA(VLOOKUP($BK114,Programma!$F$3:$T$1101,15,0),"")</f>
        <v/>
      </c>
      <c r="BZ114" s="448" t="str">
        <f>_xlfn.IFNA(VLOOKUP($BK114,Programma!$F$3:$U$1101,16,0),"")</f>
        <v/>
      </c>
      <c r="CA114" s="448" t="str">
        <f>_xlfn.IFNA(VLOOKUP($BK114,Programma!$F$3:$V$1101,17,0),"")</f>
        <v/>
      </c>
      <c r="CB114" s="448" t="str">
        <f>_xlfn.IFNA(VLOOKUP($BK114,Programma!$F$3:$W$1101,18,0),"")</f>
        <v/>
      </c>
      <c r="CC114" s="448" t="str">
        <f>_xlfn.IFNA(VLOOKUP($BK114,Programma!$F$3:$X$1101,19,0),"")</f>
        <v/>
      </c>
      <c r="CD114" s="448" t="str">
        <f>_xlfn.IFNA(VLOOKUP($BK114,Programma!$F$3:$Y$1101,20,0),"")</f>
        <v/>
      </c>
      <c r="CE114" s="327"/>
      <c r="CF114" s="327"/>
      <c r="CG114" s="327"/>
      <c r="CH114" s="327"/>
      <c r="CI114" s="327"/>
      <c r="CJ114" s="327"/>
      <c r="CK114" s="327"/>
      <c r="CL114" s="327"/>
      <c r="CM114" s="327"/>
      <c r="CN114" s="327"/>
      <c r="CO114" s="327"/>
      <c r="CP114" s="327"/>
      <c r="CQ114" s="327"/>
      <c r="CR114" s="327"/>
      <c r="CS114" s="327"/>
      <c r="CT114" s="327"/>
      <c r="CU114" s="327"/>
      <c r="CV114" s="327"/>
      <c r="CW114" s="327"/>
      <c r="CX114" s="327"/>
      <c r="CY114" s="327"/>
      <c r="CZ114" s="327"/>
      <c r="DA114" s="327"/>
      <c r="DB114" s="327"/>
      <c r="DC114" s="327"/>
      <c r="DD114" s="327"/>
      <c r="DE114" s="327"/>
      <c r="DF114" s="327"/>
      <c r="DG114" s="327"/>
      <c r="DH114" s="327"/>
      <c r="DI114" s="327"/>
      <c r="DJ114" s="327"/>
      <c r="DK114" s="327"/>
      <c r="DL114" s="327"/>
      <c r="DM114" s="327"/>
      <c r="DN114" s="327"/>
      <c r="DO114" s="327"/>
      <c r="DP114" s="327"/>
      <c r="DQ114" s="327"/>
      <c r="DR114" s="327"/>
      <c r="DS114" s="327"/>
      <c r="DT114" s="327"/>
      <c r="DU114" s="327"/>
      <c r="DV114" s="327"/>
      <c r="DW114" s="327"/>
      <c r="DX114" s="327"/>
      <c r="DY114" s="327"/>
      <c r="DZ114" s="327"/>
      <c r="EA114" s="327"/>
      <c r="EB114" s="327"/>
      <c r="EC114" s="327"/>
      <c r="ED114" s="327"/>
      <c r="EE114" s="327"/>
      <c r="EF114" s="327"/>
      <c r="EG114" s="327"/>
      <c r="EH114" s="327"/>
      <c r="EI114" s="327"/>
      <c r="EJ114" s="327"/>
      <c r="EK114" s="327"/>
      <c r="EL114" s="327"/>
      <c r="EM114" s="327"/>
      <c r="EN114" s="327"/>
      <c r="EO114" s="327"/>
      <c r="EP114" s="327"/>
      <c r="EQ114" s="327"/>
      <c r="ER114" s="327"/>
      <c r="ES114" s="327"/>
      <c r="ET114" s="327"/>
      <c r="EU114" s="327"/>
      <c r="EV114" s="327"/>
      <c r="EW114" s="327"/>
      <c r="EX114" s="327"/>
      <c r="EY114" s="327"/>
      <c r="EZ114" s="327"/>
      <c r="FA114" s="327"/>
      <c r="FB114" s="327"/>
      <c r="FC114" s="327"/>
      <c r="FD114" s="327"/>
      <c r="FE114" s="327"/>
      <c r="FF114" s="327"/>
      <c r="FG114" s="327"/>
      <c r="FH114" s="327"/>
      <c r="FI114" s="327"/>
      <c r="FJ114" s="327"/>
      <c r="FK114" s="327"/>
      <c r="FL114" s="327"/>
      <c r="FM114" s="327"/>
      <c r="FN114" s="327"/>
      <c r="FO114" s="327"/>
      <c r="FP114" s="327"/>
      <c r="FQ114" s="327"/>
      <c r="FR114" s="327"/>
      <c r="FS114" s="327"/>
      <c r="FT114" s="327"/>
      <c r="FU114" s="327"/>
      <c r="FV114" s="327"/>
      <c r="FW114" s="327"/>
      <c r="FX114" s="327"/>
      <c r="FY114" s="327"/>
      <c r="FZ114" s="327"/>
      <c r="GA114" s="327"/>
      <c r="GB114" s="327"/>
      <c r="GC114" s="327"/>
      <c r="GD114" s="327"/>
      <c r="GE114" s="327"/>
      <c r="GF114" s="327"/>
      <c r="GG114" s="327"/>
      <c r="GH114" s="327"/>
      <c r="GI114" s="327"/>
      <c r="GJ114" s="327"/>
      <c r="GK114" s="327"/>
      <c r="GL114" s="327"/>
      <c r="GM114" s="327"/>
      <c r="GN114" s="327"/>
      <c r="GO114" s="327"/>
      <c r="GP114" s="327"/>
      <c r="GQ114" s="327"/>
      <c r="GR114" s="327"/>
      <c r="GS114" s="327"/>
      <c r="GT114" s="327"/>
      <c r="GU114" s="327"/>
      <c r="GV114" s="327"/>
      <c r="GW114" s="327"/>
      <c r="GX114" s="327"/>
      <c r="GY114" s="327"/>
      <c r="GZ114" s="327"/>
      <c r="HA114" s="327"/>
      <c r="HB114" s="327"/>
      <c r="HC114" s="327"/>
      <c r="HD114" s="327"/>
      <c r="HE114" s="327"/>
      <c r="HF114" s="327"/>
      <c r="HG114" s="327"/>
      <c r="HH114" s="327"/>
      <c r="HI114" s="327"/>
      <c r="HJ114" s="327"/>
      <c r="HK114" s="327"/>
      <c r="HL114" s="327"/>
      <c r="HM114" s="327"/>
      <c r="HN114" s="327"/>
      <c r="HO114" s="327"/>
      <c r="HP114" s="327"/>
      <c r="HQ114" s="327"/>
      <c r="HR114" s="327"/>
      <c r="HS114" s="327"/>
    </row>
    <row r="115" spans="1:227" ht="15" customHeight="1">
      <c r="A115" s="330">
        <v>6</v>
      </c>
      <c r="B115" s="435" t="str">
        <f>VLOOKUP(Ruimtestaat[[#This Row],[Code]],Locaties[[Code]:[Locatie]],2,FALSE)</f>
        <v>IKC Het Zwanenbos</v>
      </c>
      <c r="C115" s="435" t="str">
        <f>VLOOKUP(Ruimtestaat[[#This Row],[Code]],Locaties[[#All],[Code]:[Adres]],4,FALSE)</f>
        <v>Kerkenbos 24-26</v>
      </c>
      <c r="D115" s="435" t="str">
        <f>VLOOKUP(Ruimtestaat[[#This Row],[Code]],Locaties[[#All],[Code]:[Postcode]],5,FALSE)</f>
        <v>2716 PH</v>
      </c>
      <c r="E115" s="435" t="str">
        <f>VLOOKUP(Ruimtestaat[[#This Row],[Code]],Locaties[#All],6,FALSE)</f>
        <v>Zoetermeer</v>
      </c>
      <c r="F115" s="434"/>
      <c r="G115" s="434" t="s">
        <v>1678</v>
      </c>
      <c r="H115" s="452">
        <v>7</v>
      </c>
      <c r="I115" s="450" t="s">
        <v>1666</v>
      </c>
      <c r="J115" s="330">
        <v>2</v>
      </c>
      <c r="K115" s="450" t="str">
        <f>VLOOKUP(Ruimtestaat[[#This Row],[Ruimte code]],Ruimtegroepen[[#All],[Code]:[Ruimte omschrijving]],2,FALSE)</f>
        <v>Kantoren</v>
      </c>
      <c r="L115" s="434" t="s">
        <v>99</v>
      </c>
      <c r="M115" s="437" t="s">
        <v>36</v>
      </c>
      <c r="N115" s="439">
        <v>16</v>
      </c>
      <c r="O115" s="439"/>
      <c r="P115" s="439"/>
      <c r="Q115" s="439"/>
      <c r="R115" s="440" t="str">
        <f>VLOOKUP(Ruimtestaat[[#This Row],[Ruimte code]],Ruimtegroepen[],4,FALSE)</f>
        <v>Bu</v>
      </c>
      <c r="S115" s="434">
        <v>41</v>
      </c>
      <c r="T115" s="434" t="s">
        <v>17</v>
      </c>
      <c r="U115" s="434">
        <f>IF(S115&gt;0,IF(RIGHT(Ruimtestaat[[#This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15" s="434">
        <f>IF(U115&gt;0,VLOOKUP($J115,Ruimtegroepen[],3,FALSE)*VLOOKUP($L115,Vloersoorten[],3,FALSE)*VLOOKUP($T115,Frequenties[],3,FALSE)*VLOOKUP($A115,Locaties[],3,FALSE),0)</f>
        <v>0</v>
      </c>
      <c r="W115" s="434">
        <f>Ruimtestaat[[#This Row],[Uitvoeringen werkdagen]]*Ruimtestaat[[#This Row],[Oppervlak (netto)]]</f>
        <v>1312</v>
      </c>
      <c r="X115" s="441">
        <f>IF(V115&gt;0,Ruimtestaat[[#This Row],[Prest. (m2 /jaar) werkdagen]]/Ruimtestaat[[#This Row],[Norm (m2/uur) werkdagen]],0)</f>
        <v>0</v>
      </c>
      <c r="Y115" s="442">
        <f>Ruimtestaat[[#This Row],[Uitvoeringen werkdagen]]*Ruimtestaat[[#This Row],[Gedeeltelijk]]</f>
        <v>0</v>
      </c>
      <c r="Z115" s="443" t="e">
        <f>IF(U115&gt;0,Ruimtestaat[[#This Row],[Prest. (m2 / jaar) werkdagen gedeeld]]/Ruimtestaat[[#This Row],[Norm (m2/uur) werkdagen]],0)</f>
        <v>#DIV/0!</v>
      </c>
      <c r="AA115" s="441" t="e">
        <f>Ruimtestaat[[#This Row],[uren / jaar werkdagen gedeeld]]*Tariefsopbouw!$E$35</f>
        <v>#DIV/0!</v>
      </c>
      <c r="AB115" s="441">
        <f>Ruimtestaat[[#This Row],[Uitvoeringen werkdagen]]*Ruimtestaat[[#This Row],[BSO]]</f>
        <v>0</v>
      </c>
      <c r="AC115" s="443" t="e">
        <f>IF(U115&gt;0,Ruimtestaat[[#This Row],[Prest. (m2 / jaar) werkdagen BSO]]/Ruimtestaat[[#This Row],[Norm (m2/uur) werkdagen]],0)</f>
        <v>#DIV/0!</v>
      </c>
      <c r="AD115" s="443" t="e">
        <f>Ruimtestaat[[#This Row],[uren / jaar werkdagen BSO]]*Tariefsopbouw!$E$35</f>
        <v>#DIV/0!</v>
      </c>
      <c r="AE115" s="444">
        <f>Ruimtestaat[[#This Row],[uren / jaar werkdagen]]*Tariefsopbouw!$E$35</f>
        <v>0</v>
      </c>
      <c r="AF115" s="434"/>
      <c r="AG115" s="434">
        <f>IF(Ruimtestaat[[#This Row],[Frequentie weekend]]&gt;0,VALUE(LEFT(AF115,1))*S115,0)</f>
        <v>0</v>
      </c>
      <c r="AH115" s="445">
        <f>IF($AG115&gt;0,VLOOKUP($J115,Ruimtegroepen[],3,FALSE)*VLOOKUP($L115,Vloersoorten[],3,FALSE)*VLOOKUP($AF115,Frequenties[],3,FALSE)*VLOOKUP(Ruimtestaat[[#This Row],[Code]],Locaties[],3,FALSE),0)</f>
        <v>0</v>
      </c>
      <c r="AI115" s="445">
        <f>Ruimtestaat[[#This Row],[Uitvoeringen weekend]]*Ruimtestaat[[#This Row],[Oppervlak (netto)]]</f>
        <v>0</v>
      </c>
      <c r="AJ115" s="445">
        <f>IF(AH115&gt;0,Ruimtestaat[[#This Row],[Prest. (m2 /jaar) weekend]]/Ruimtestaat[[#This Row],[Norm (m2/uur) weekend]],0)</f>
        <v>0</v>
      </c>
      <c r="AK115" s="444">
        <f>Ruimtestaat[[#This Row],[uren / jaar weekend]]*Tariefsopbouw!$D$40</f>
        <v>0</v>
      </c>
      <c r="AL115" s="441">
        <f>Ruimtestaat[[#This Row],[Prest. (m2 /jaar) weekend]]+Ruimtestaat[[#This Row],[Prest. (m2 /jaar) werkdagen]]</f>
        <v>1312</v>
      </c>
      <c r="AM115" s="441">
        <f>Ruimtestaat[[#This Row],[uren / jaar weekend]]+Ruimtestaat[[#This Row],[uren / jaar werkdagen]]</f>
        <v>0</v>
      </c>
      <c r="AN115" s="446">
        <f>Ruimtestaat[[#This Row],[kosten / jaar weekend]]+Ruimtestaat[[#This Row],[kosten / jaar werkdagen]]</f>
        <v>0</v>
      </c>
      <c r="AO115" s="446"/>
      <c r="AP115" s="447" t="str">
        <f>IF(Ruimtestaat[[#This Row],[Frequentie werkdagen]]="","",_xlfn.CONCAT(Ruimtestaat[[#This Row],[Ruimte code]],"-",Ruimtestaat[[#This Row],[Frequentie werkdagen]]," ",Ruimtestaat[[#This Row],[Vloer code]]))</f>
        <v>2-2w T</v>
      </c>
      <c r="AQ115" s="448" t="str">
        <f>_xlfn.IFNA(VLOOKUP($AP115,Programma!$F$3:$G$1101,2,0),"")</f>
        <v>1w</v>
      </c>
      <c r="AR115" s="448" t="str">
        <f>_xlfn.IFNA(VLOOKUP($AP115,Programma!$F$3:$H$1101,3,0),"")</f>
        <v>1w</v>
      </c>
      <c r="AS115" s="448" t="str">
        <f>_xlfn.IFNA(VLOOKUP($AP115,Programma!$F$3:$I$1101,4,0),"")</f>
        <v>_</v>
      </c>
      <c r="AT115" s="448" t="str">
        <f>_xlfn.IFNA(VLOOKUP($AP115,Programma!$F$3:$J$1101,5,0),"")</f>
        <v>_</v>
      </c>
      <c r="AU115" s="448" t="str">
        <f>_xlfn.IFNA(VLOOKUP($AP115,Programma!$F$3:$K$1101,6,0),"")</f>
        <v>_</v>
      </c>
      <c r="AV115" s="448" t="str">
        <f>_xlfn.IFNA(VLOOKUP($AP115,Programma!$F$3:$L$1101,7,0),"")</f>
        <v>_</v>
      </c>
      <c r="AW115" s="448" t="str">
        <f>_xlfn.IFNA(VLOOKUP($AP115,Programma!$F$3:$M$1101,8,0),"")</f>
        <v>_</v>
      </c>
      <c r="AX115" s="448" t="str">
        <f>_xlfn.IFNA(VLOOKUP($AP115,Programma!$F$3:$N$1101,9,0),"")</f>
        <v>_</v>
      </c>
      <c r="AY115" s="448" t="str">
        <f>_xlfn.IFNA(VLOOKUP($AP115,Programma!$F$3:$O$1101,10,0),"")</f>
        <v>2w</v>
      </c>
      <c r="AZ115" s="448" t="str">
        <f>_xlfn.IFNA(VLOOKUP($AP115,Programma!$F$3:$P$1101,11,0),"")</f>
        <v>2w</v>
      </c>
      <c r="BA115" s="448" t="str">
        <f>_xlfn.IFNA(VLOOKUP($AP115,Programma!$F$3:$Q$1101,12,0),"")</f>
        <v>1w</v>
      </c>
      <c r="BB115" s="448" t="str">
        <f>_xlfn.IFNA(VLOOKUP($AP115,Programma!$F$3:$R$1101,13,0),"")</f>
        <v>1w</v>
      </c>
      <c r="BC115" s="448" t="str">
        <f>_xlfn.IFNA(VLOOKUP($AP115,Programma!$F$3:$S$1101,14,0),"")</f>
        <v>1m</v>
      </c>
      <c r="BD115" s="448" t="str">
        <f>_xlfn.IFNA(VLOOKUP($AP115,Programma!$F$3:$T$1101,15,0),"")</f>
        <v>2j</v>
      </c>
      <c r="BE115" s="448" t="str">
        <f>_xlfn.IFNA(VLOOKUP($AP115,Programma!$F$3:$U$1101,16,0),"")</f>
        <v>1j</v>
      </c>
      <c r="BF115" s="448" t="str">
        <f>_xlfn.IFNA(VLOOKUP($AP115,Programma!$F$3:$V$1101,17,0),"")</f>
        <v>_</v>
      </c>
      <c r="BG115" s="448" t="str">
        <f>_xlfn.IFNA(VLOOKUP($AP115,Programma!$F$3:$W$1101,18,0),"")</f>
        <v>_</v>
      </c>
      <c r="BH115" s="448" t="str">
        <f>_xlfn.IFNA(VLOOKUP($AP115,Programma!$F$3:$X$1101,19,0),"")</f>
        <v>_</v>
      </c>
      <c r="BI115" s="448" t="str">
        <f>_xlfn.IFNA(VLOOKUP($AP115,Programma!$F$3:$Y$1101,20,0),"")</f>
        <v>_</v>
      </c>
      <c r="BJ115" s="449"/>
      <c r="BK115" s="447" t="str">
        <f>IF(Ruimtestaat[[#This Row],[Frequentie weekend]]="","",_xlfn.CONCAT(Ruimtestaat[[#This Row],[Ruimte code]],"-",Ruimtestaat[[#This Row],[Frequentie weekend]]," ",Ruimtestaat[[#This Row],[Vloer code]]))</f>
        <v/>
      </c>
      <c r="BL115" s="448" t="str">
        <f>_xlfn.IFNA(VLOOKUP($BK115,Programma!$F$3:$G$1101,2,0),"")</f>
        <v/>
      </c>
      <c r="BM115" s="448" t="str">
        <f>_xlfn.IFNA(VLOOKUP($BK115,Programma!$F$3:$H$1101,3,0),"")</f>
        <v/>
      </c>
      <c r="BN115" s="448" t="str">
        <f>_xlfn.IFNA(VLOOKUP($BK115,Programma!$F$3:$I$1101,4,0),"")</f>
        <v/>
      </c>
      <c r="BO115" s="448" t="str">
        <f>_xlfn.IFNA(VLOOKUP($BK115,Programma!$F$3:$J$1101,5,0),"")</f>
        <v/>
      </c>
      <c r="BP115" s="448" t="str">
        <f>_xlfn.IFNA(VLOOKUP($BK115,Programma!$F$3:$K$1101,6,0),"")</f>
        <v/>
      </c>
      <c r="BQ115" s="448" t="str">
        <f>_xlfn.IFNA(VLOOKUP($BK115,Programma!$F$3:$L$1101,7,0),"")</f>
        <v/>
      </c>
      <c r="BR115" s="448" t="str">
        <f>_xlfn.IFNA(VLOOKUP($BK115,Programma!$F$3:$M$1101,8,0),"")</f>
        <v/>
      </c>
      <c r="BS115" s="448" t="str">
        <f>_xlfn.IFNA(VLOOKUP($BK115,Programma!$F$3:$N$1101,9,0),"")</f>
        <v/>
      </c>
      <c r="BT115" s="448" t="str">
        <f>_xlfn.IFNA(VLOOKUP($BK115,Programma!$F$3:$O$1101,10,0),"")</f>
        <v/>
      </c>
      <c r="BU115" s="448" t="str">
        <f>_xlfn.IFNA(VLOOKUP($BK115,Programma!$F$3:$P$1101,11,0),"")</f>
        <v/>
      </c>
      <c r="BV115" s="448" t="str">
        <f>_xlfn.IFNA(VLOOKUP($BK115,Programma!$F$3:$Q$1101,12,0),"")</f>
        <v/>
      </c>
      <c r="BW115" s="448" t="str">
        <f>_xlfn.IFNA(VLOOKUP($BK115,Programma!$F$3:$R$1101,13,0),"")</f>
        <v/>
      </c>
      <c r="BX115" s="448" t="str">
        <f>_xlfn.IFNA(VLOOKUP($BK115,Programma!$F$3:$S$1101,14,0),"")</f>
        <v/>
      </c>
      <c r="BY115" s="448" t="str">
        <f>_xlfn.IFNA(VLOOKUP($BK115,Programma!$F$3:$T$1101,15,0),"")</f>
        <v/>
      </c>
      <c r="BZ115" s="448" t="str">
        <f>_xlfn.IFNA(VLOOKUP($BK115,Programma!$F$3:$U$1101,16,0),"")</f>
        <v/>
      </c>
      <c r="CA115" s="448" t="str">
        <f>_xlfn.IFNA(VLOOKUP($BK115,Programma!$F$3:$V$1101,17,0),"")</f>
        <v/>
      </c>
      <c r="CB115" s="448" t="str">
        <f>_xlfn.IFNA(VLOOKUP($BK115,Programma!$F$3:$W$1101,18,0),"")</f>
        <v/>
      </c>
      <c r="CC115" s="448" t="str">
        <f>_xlfn.IFNA(VLOOKUP($BK115,Programma!$F$3:$X$1101,19,0),"")</f>
        <v/>
      </c>
      <c r="CD115" s="448" t="str">
        <f>_xlfn.IFNA(VLOOKUP($BK115,Programma!$F$3:$Y$1101,20,0),"")</f>
        <v/>
      </c>
      <c r="CE115" s="327"/>
      <c r="CF115" s="327"/>
      <c r="CG115" s="327"/>
      <c r="CH115" s="327"/>
      <c r="CI115" s="327"/>
      <c r="CJ115" s="327"/>
      <c r="CK115" s="327"/>
      <c r="CL115" s="327"/>
      <c r="CM115" s="327"/>
      <c r="CN115" s="327"/>
      <c r="CO115" s="327"/>
      <c r="CP115" s="327"/>
      <c r="CQ115" s="327"/>
      <c r="CR115" s="327"/>
      <c r="CS115" s="327"/>
      <c r="CT115" s="327"/>
      <c r="CU115" s="327"/>
      <c r="CV115" s="327"/>
      <c r="CW115" s="327"/>
      <c r="CX115" s="327"/>
      <c r="CY115" s="327"/>
      <c r="CZ115" s="327"/>
      <c r="DA115" s="327"/>
      <c r="DB115" s="327"/>
      <c r="DC115" s="327"/>
      <c r="DD115" s="327"/>
      <c r="DE115" s="327"/>
      <c r="DF115" s="327"/>
      <c r="DG115" s="327"/>
      <c r="DH115" s="327"/>
      <c r="DI115" s="327"/>
      <c r="DJ115" s="327"/>
      <c r="DK115" s="327"/>
      <c r="DL115" s="327"/>
      <c r="DM115" s="327"/>
      <c r="DN115" s="327"/>
      <c r="DO115" s="327"/>
      <c r="DP115" s="327"/>
      <c r="DQ115" s="327"/>
      <c r="DR115" s="327"/>
      <c r="DS115" s="327"/>
      <c r="DT115" s="327"/>
      <c r="DU115" s="327"/>
      <c r="DV115" s="327"/>
      <c r="DW115" s="327"/>
      <c r="DX115" s="327"/>
      <c r="DY115" s="327"/>
      <c r="DZ115" s="327"/>
      <c r="EA115" s="327"/>
      <c r="EB115" s="327"/>
      <c r="EC115" s="327"/>
      <c r="ED115" s="327"/>
      <c r="EE115" s="327"/>
      <c r="EF115" s="327"/>
      <c r="EG115" s="327"/>
      <c r="EH115" s="327"/>
      <c r="EI115" s="327"/>
      <c r="EJ115" s="327"/>
      <c r="EK115" s="327"/>
      <c r="EL115" s="327"/>
      <c r="EM115" s="327"/>
      <c r="EN115" s="327"/>
      <c r="EO115" s="327"/>
      <c r="EP115" s="327"/>
      <c r="EQ115" s="327"/>
      <c r="ER115" s="327"/>
      <c r="ES115" s="327"/>
      <c r="ET115" s="327"/>
      <c r="EU115" s="327"/>
      <c r="EV115" s="327"/>
      <c r="EW115" s="327"/>
      <c r="EX115" s="327"/>
      <c r="EY115" s="327"/>
      <c r="EZ115" s="327"/>
      <c r="FA115" s="327"/>
      <c r="FB115" s="327"/>
      <c r="FC115" s="327"/>
      <c r="FD115" s="327"/>
      <c r="FE115" s="327"/>
      <c r="FF115" s="327"/>
      <c r="FG115" s="327"/>
      <c r="FH115" s="327"/>
      <c r="FI115" s="327"/>
      <c r="FJ115" s="327"/>
      <c r="FK115" s="327"/>
      <c r="FL115" s="327"/>
      <c r="FM115" s="327"/>
      <c r="FN115" s="327"/>
      <c r="FO115" s="327"/>
      <c r="FP115" s="327"/>
      <c r="FQ115" s="327"/>
      <c r="FR115" s="327"/>
      <c r="FS115" s="327"/>
      <c r="FT115" s="327"/>
      <c r="FU115" s="327"/>
      <c r="FV115" s="327"/>
      <c r="FW115" s="327"/>
      <c r="FX115" s="327"/>
      <c r="FY115" s="327"/>
      <c r="FZ115" s="327"/>
      <c r="GA115" s="327"/>
      <c r="GB115" s="327"/>
      <c r="GC115" s="327"/>
      <c r="GD115" s="327"/>
      <c r="GE115" s="327"/>
      <c r="GF115" s="327"/>
      <c r="GG115" s="327"/>
      <c r="GH115" s="327"/>
      <c r="GI115" s="327"/>
      <c r="GJ115" s="327"/>
      <c r="GK115" s="327"/>
      <c r="GL115" s="327"/>
      <c r="GM115" s="327"/>
      <c r="GN115" s="327"/>
      <c r="GO115" s="327"/>
      <c r="GP115" s="327"/>
      <c r="GQ115" s="327"/>
      <c r="GR115" s="327"/>
      <c r="GS115" s="327"/>
      <c r="GT115" s="327"/>
      <c r="GU115" s="327"/>
      <c r="GV115" s="327"/>
      <c r="GW115" s="327"/>
      <c r="GX115" s="327"/>
      <c r="GY115" s="327"/>
      <c r="GZ115" s="327"/>
      <c r="HA115" s="327"/>
      <c r="HB115" s="327"/>
      <c r="HC115" s="327"/>
      <c r="HD115" s="327"/>
      <c r="HE115" s="327"/>
      <c r="HF115" s="327"/>
      <c r="HG115" s="327"/>
      <c r="HH115" s="327"/>
      <c r="HI115" s="327"/>
      <c r="HJ115" s="327"/>
      <c r="HK115" s="327"/>
      <c r="HL115" s="327"/>
      <c r="HM115" s="327"/>
      <c r="HN115" s="327"/>
      <c r="HO115" s="327"/>
      <c r="HP115" s="327"/>
      <c r="HQ115" s="327"/>
      <c r="HR115" s="327"/>
      <c r="HS115" s="327"/>
    </row>
    <row r="116" spans="1:227" ht="15" customHeight="1">
      <c r="A116" s="330">
        <v>6</v>
      </c>
      <c r="B116" s="435" t="str">
        <f>VLOOKUP(Ruimtestaat[[#This Row],[Code]],Locaties[[Code]:[Locatie]],2,FALSE)</f>
        <v>IKC Het Zwanenbos</v>
      </c>
      <c r="C116" s="435" t="str">
        <f>VLOOKUP(Ruimtestaat[[#This Row],[Code]],Locaties[[#All],[Code]:[Adres]],4,FALSE)</f>
        <v>Kerkenbos 24-26</v>
      </c>
      <c r="D116" s="435" t="str">
        <f>VLOOKUP(Ruimtestaat[[#This Row],[Code]],Locaties[[#All],[Code]:[Postcode]],5,FALSE)</f>
        <v>2716 PH</v>
      </c>
      <c r="E116" s="435" t="str">
        <f>VLOOKUP(Ruimtestaat[[#This Row],[Code]],Locaties[#All],6,FALSE)</f>
        <v>Zoetermeer</v>
      </c>
      <c r="F116" s="434"/>
      <c r="G116" s="434" t="s">
        <v>1678</v>
      </c>
      <c r="H116" s="330">
        <v>8</v>
      </c>
      <c r="I116" s="450" t="s">
        <v>1666</v>
      </c>
      <c r="J116" s="330">
        <v>2</v>
      </c>
      <c r="K116" s="450" t="str">
        <f>VLOOKUP(Ruimtestaat[[#This Row],[Ruimte code]],Ruimtegroepen[[#All],[Code]:[Ruimte omschrijving]],2,FALSE)</f>
        <v>Kantoren</v>
      </c>
      <c r="L116" s="434" t="s">
        <v>99</v>
      </c>
      <c r="M116" s="437" t="s">
        <v>36</v>
      </c>
      <c r="N116" s="439">
        <v>11</v>
      </c>
      <c r="O116" s="439"/>
      <c r="P116" s="439"/>
      <c r="Q116" s="439"/>
      <c r="R116" s="440" t="str">
        <f>VLOOKUP(Ruimtestaat[[#This Row],[Ruimte code]],Ruimtegroepen[],4,FALSE)</f>
        <v>Bu</v>
      </c>
      <c r="S116" s="434">
        <v>41</v>
      </c>
      <c r="T116" s="434" t="s">
        <v>17</v>
      </c>
      <c r="U116" s="434">
        <f>IF(S116&gt;0,IF(RIGHT(Ruimtestaat[[#This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16" s="434">
        <f>IF(U116&gt;0,VLOOKUP($J116,Ruimtegroepen[],3,FALSE)*VLOOKUP($L116,Vloersoorten[],3,FALSE)*VLOOKUP($T116,Frequenties[],3,FALSE)*VLOOKUP($A116,Locaties[],3,FALSE),0)</f>
        <v>0</v>
      </c>
      <c r="W116" s="434">
        <f>Ruimtestaat[[#This Row],[Uitvoeringen werkdagen]]*Ruimtestaat[[#This Row],[Oppervlak (netto)]]</f>
        <v>902</v>
      </c>
      <c r="X116" s="441">
        <f>IF(V116&gt;0,Ruimtestaat[[#This Row],[Prest. (m2 /jaar) werkdagen]]/Ruimtestaat[[#This Row],[Norm (m2/uur) werkdagen]],0)</f>
        <v>0</v>
      </c>
      <c r="Y116" s="442">
        <f>Ruimtestaat[[#This Row],[Uitvoeringen werkdagen]]*Ruimtestaat[[#This Row],[Gedeeltelijk]]</f>
        <v>0</v>
      </c>
      <c r="Z116" s="443" t="e">
        <f>IF(U116&gt;0,Ruimtestaat[[#This Row],[Prest. (m2 / jaar) werkdagen gedeeld]]/Ruimtestaat[[#This Row],[Norm (m2/uur) werkdagen]],0)</f>
        <v>#DIV/0!</v>
      </c>
      <c r="AA116" s="441" t="e">
        <f>Ruimtestaat[[#This Row],[uren / jaar werkdagen gedeeld]]*Tariefsopbouw!$E$35</f>
        <v>#DIV/0!</v>
      </c>
      <c r="AB116" s="441">
        <f>Ruimtestaat[[#This Row],[Uitvoeringen werkdagen]]*Ruimtestaat[[#This Row],[BSO]]</f>
        <v>0</v>
      </c>
      <c r="AC116" s="443" t="e">
        <f>IF(U116&gt;0,Ruimtestaat[[#This Row],[Prest. (m2 / jaar) werkdagen BSO]]/Ruimtestaat[[#This Row],[Norm (m2/uur) werkdagen]],0)</f>
        <v>#DIV/0!</v>
      </c>
      <c r="AD116" s="443" t="e">
        <f>Ruimtestaat[[#This Row],[uren / jaar werkdagen BSO]]*Tariefsopbouw!$E$35</f>
        <v>#DIV/0!</v>
      </c>
      <c r="AE116" s="444">
        <f>Ruimtestaat[[#This Row],[uren / jaar werkdagen]]*Tariefsopbouw!$E$35</f>
        <v>0</v>
      </c>
      <c r="AF116" s="434"/>
      <c r="AG116" s="434">
        <f>IF(Ruimtestaat[[#This Row],[Frequentie weekend]]&gt;0,VALUE(LEFT(AF116,1))*S116,0)</f>
        <v>0</v>
      </c>
      <c r="AH116" s="445">
        <f>IF($AG116&gt;0,VLOOKUP($J116,Ruimtegroepen[],3,FALSE)*VLOOKUP($L116,Vloersoorten[],3,FALSE)*VLOOKUP($AF116,Frequenties[],3,FALSE)*VLOOKUP(Ruimtestaat[[#This Row],[Code]],Locaties[],3,FALSE),0)</f>
        <v>0</v>
      </c>
      <c r="AI116" s="445">
        <f>Ruimtestaat[[#This Row],[Uitvoeringen weekend]]*Ruimtestaat[[#This Row],[Oppervlak (netto)]]</f>
        <v>0</v>
      </c>
      <c r="AJ116" s="445">
        <f>IF(AH116&gt;0,Ruimtestaat[[#This Row],[Prest. (m2 /jaar) weekend]]/Ruimtestaat[[#This Row],[Norm (m2/uur) weekend]],0)</f>
        <v>0</v>
      </c>
      <c r="AK116" s="444">
        <f>Ruimtestaat[[#This Row],[uren / jaar weekend]]*Tariefsopbouw!$D$40</f>
        <v>0</v>
      </c>
      <c r="AL116" s="441">
        <f>Ruimtestaat[[#This Row],[Prest. (m2 /jaar) weekend]]+Ruimtestaat[[#This Row],[Prest. (m2 /jaar) werkdagen]]</f>
        <v>902</v>
      </c>
      <c r="AM116" s="441">
        <f>Ruimtestaat[[#This Row],[uren / jaar weekend]]+Ruimtestaat[[#This Row],[uren / jaar werkdagen]]</f>
        <v>0</v>
      </c>
      <c r="AN116" s="446">
        <f>Ruimtestaat[[#This Row],[kosten / jaar weekend]]+Ruimtestaat[[#This Row],[kosten / jaar werkdagen]]</f>
        <v>0</v>
      </c>
      <c r="AO116" s="446"/>
      <c r="AP116" s="447" t="str">
        <f>IF(Ruimtestaat[[#This Row],[Frequentie werkdagen]]="","",_xlfn.CONCAT(Ruimtestaat[[#This Row],[Ruimte code]],"-",Ruimtestaat[[#This Row],[Frequentie werkdagen]]," ",Ruimtestaat[[#This Row],[Vloer code]]))</f>
        <v>2-2w T</v>
      </c>
      <c r="AQ116" s="448" t="str">
        <f>_xlfn.IFNA(VLOOKUP($AP116,Programma!$F$3:$G$1101,2,0),"")</f>
        <v>1w</v>
      </c>
      <c r="AR116" s="448" t="str">
        <f>_xlfn.IFNA(VLOOKUP($AP116,Programma!$F$3:$H$1101,3,0),"")</f>
        <v>1w</v>
      </c>
      <c r="AS116" s="448" t="str">
        <f>_xlfn.IFNA(VLOOKUP($AP116,Programma!$F$3:$I$1101,4,0),"")</f>
        <v>_</v>
      </c>
      <c r="AT116" s="448" t="str">
        <f>_xlfn.IFNA(VLOOKUP($AP116,Programma!$F$3:$J$1101,5,0),"")</f>
        <v>_</v>
      </c>
      <c r="AU116" s="448" t="str">
        <f>_xlfn.IFNA(VLOOKUP($AP116,Programma!$F$3:$K$1101,6,0),"")</f>
        <v>_</v>
      </c>
      <c r="AV116" s="448" t="str">
        <f>_xlfn.IFNA(VLOOKUP($AP116,Programma!$F$3:$L$1101,7,0),"")</f>
        <v>_</v>
      </c>
      <c r="AW116" s="448" t="str">
        <f>_xlfn.IFNA(VLOOKUP($AP116,Programma!$F$3:$M$1101,8,0),"")</f>
        <v>_</v>
      </c>
      <c r="AX116" s="448" t="str">
        <f>_xlfn.IFNA(VLOOKUP($AP116,Programma!$F$3:$N$1101,9,0),"")</f>
        <v>_</v>
      </c>
      <c r="AY116" s="448" t="str">
        <f>_xlfn.IFNA(VLOOKUP($AP116,Programma!$F$3:$O$1101,10,0),"")</f>
        <v>2w</v>
      </c>
      <c r="AZ116" s="448" t="str">
        <f>_xlfn.IFNA(VLOOKUP($AP116,Programma!$F$3:$P$1101,11,0),"")</f>
        <v>2w</v>
      </c>
      <c r="BA116" s="448" t="str">
        <f>_xlfn.IFNA(VLOOKUP($AP116,Programma!$F$3:$Q$1101,12,0),"")</f>
        <v>1w</v>
      </c>
      <c r="BB116" s="448" t="str">
        <f>_xlfn.IFNA(VLOOKUP($AP116,Programma!$F$3:$R$1101,13,0),"")</f>
        <v>1w</v>
      </c>
      <c r="BC116" s="448" t="str">
        <f>_xlfn.IFNA(VLOOKUP($AP116,Programma!$F$3:$S$1101,14,0),"")</f>
        <v>1m</v>
      </c>
      <c r="BD116" s="448" t="str">
        <f>_xlfn.IFNA(VLOOKUP($AP116,Programma!$F$3:$T$1101,15,0),"")</f>
        <v>2j</v>
      </c>
      <c r="BE116" s="448" t="str">
        <f>_xlfn.IFNA(VLOOKUP($AP116,Programma!$F$3:$U$1101,16,0),"")</f>
        <v>1j</v>
      </c>
      <c r="BF116" s="448" t="str">
        <f>_xlfn.IFNA(VLOOKUP($AP116,Programma!$F$3:$V$1101,17,0),"")</f>
        <v>_</v>
      </c>
      <c r="BG116" s="448" t="str">
        <f>_xlfn.IFNA(VLOOKUP($AP116,Programma!$F$3:$W$1101,18,0),"")</f>
        <v>_</v>
      </c>
      <c r="BH116" s="448" t="str">
        <f>_xlfn.IFNA(VLOOKUP($AP116,Programma!$F$3:$X$1101,19,0),"")</f>
        <v>_</v>
      </c>
      <c r="BI116" s="448" t="str">
        <f>_xlfn.IFNA(VLOOKUP($AP116,Programma!$F$3:$Y$1101,20,0),"")</f>
        <v>_</v>
      </c>
      <c r="BJ116" s="449"/>
      <c r="BK116" s="447" t="str">
        <f>IF(Ruimtestaat[[#This Row],[Frequentie weekend]]="","",_xlfn.CONCAT(Ruimtestaat[[#This Row],[Ruimte code]],"-",Ruimtestaat[[#This Row],[Frequentie weekend]]," ",Ruimtestaat[[#This Row],[Vloer code]]))</f>
        <v/>
      </c>
      <c r="BL116" s="448" t="str">
        <f>_xlfn.IFNA(VLOOKUP($BK116,Programma!$F$3:$G$1101,2,0),"")</f>
        <v/>
      </c>
      <c r="BM116" s="448" t="str">
        <f>_xlfn.IFNA(VLOOKUP($BK116,Programma!$F$3:$H$1101,3,0),"")</f>
        <v/>
      </c>
      <c r="BN116" s="448" t="str">
        <f>_xlfn.IFNA(VLOOKUP($BK116,Programma!$F$3:$I$1101,4,0),"")</f>
        <v/>
      </c>
      <c r="BO116" s="448" t="str">
        <f>_xlfn.IFNA(VLOOKUP($BK116,Programma!$F$3:$J$1101,5,0),"")</f>
        <v/>
      </c>
      <c r="BP116" s="448" t="str">
        <f>_xlfn.IFNA(VLOOKUP($BK116,Programma!$F$3:$K$1101,6,0),"")</f>
        <v/>
      </c>
      <c r="BQ116" s="448" t="str">
        <f>_xlfn.IFNA(VLOOKUP($BK116,Programma!$F$3:$L$1101,7,0),"")</f>
        <v/>
      </c>
      <c r="BR116" s="448" t="str">
        <f>_xlfn.IFNA(VLOOKUP($BK116,Programma!$F$3:$M$1101,8,0),"")</f>
        <v/>
      </c>
      <c r="BS116" s="448" t="str">
        <f>_xlfn.IFNA(VLOOKUP($BK116,Programma!$F$3:$N$1101,9,0),"")</f>
        <v/>
      </c>
      <c r="BT116" s="448" t="str">
        <f>_xlfn.IFNA(VLOOKUP($BK116,Programma!$F$3:$O$1101,10,0),"")</f>
        <v/>
      </c>
      <c r="BU116" s="448" t="str">
        <f>_xlfn.IFNA(VLOOKUP($BK116,Programma!$F$3:$P$1101,11,0),"")</f>
        <v/>
      </c>
      <c r="BV116" s="448" t="str">
        <f>_xlfn.IFNA(VLOOKUP($BK116,Programma!$F$3:$Q$1101,12,0),"")</f>
        <v/>
      </c>
      <c r="BW116" s="448" t="str">
        <f>_xlfn.IFNA(VLOOKUP($BK116,Programma!$F$3:$R$1101,13,0),"")</f>
        <v/>
      </c>
      <c r="BX116" s="448" t="str">
        <f>_xlfn.IFNA(VLOOKUP($BK116,Programma!$F$3:$S$1101,14,0),"")</f>
        <v/>
      </c>
      <c r="BY116" s="448" t="str">
        <f>_xlfn.IFNA(VLOOKUP($BK116,Programma!$F$3:$T$1101,15,0),"")</f>
        <v/>
      </c>
      <c r="BZ116" s="448" t="str">
        <f>_xlfn.IFNA(VLOOKUP($BK116,Programma!$F$3:$U$1101,16,0),"")</f>
        <v/>
      </c>
      <c r="CA116" s="448" t="str">
        <f>_xlfn.IFNA(VLOOKUP($BK116,Programma!$F$3:$V$1101,17,0),"")</f>
        <v/>
      </c>
      <c r="CB116" s="448" t="str">
        <f>_xlfn.IFNA(VLOOKUP($BK116,Programma!$F$3:$W$1101,18,0),"")</f>
        <v/>
      </c>
      <c r="CC116" s="448" t="str">
        <f>_xlfn.IFNA(VLOOKUP($BK116,Programma!$F$3:$X$1101,19,0),"")</f>
        <v/>
      </c>
      <c r="CD116" s="448" t="str">
        <f>_xlfn.IFNA(VLOOKUP($BK116,Programma!$F$3:$Y$1101,20,0),"")</f>
        <v/>
      </c>
      <c r="CE116" s="327"/>
      <c r="CF116" s="327"/>
      <c r="CG116" s="327"/>
      <c r="CH116" s="327"/>
      <c r="CI116" s="327"/>
      <c r="CJ116" s="327"/>
      <c r="CK116" s="327"/>
      <c r="CL116" s="327"/>
      <c r="CM116" s="327"/>
      <c r="CN116" s="327"/>
      <c r="CO116" s="327"/>
      <c r="CP116" s="327"/>
      <c r="CQ116" s="327"/>
      <c r="CR116" s="327"/>
      <c r="CS116" s="327"/>
      <c r="CT116" s="327"/>
      <c r="CU116" s="327"/>
      <c r="CV116" s="327"/>
      <c r="CW116" s="327"/>
      <c r="CX116" s="327"/>
      <c r="CY116" s="327"/>
      <c r="CZ116" s="327"/>
      <c r="DA116" s="327"/>
      <c r="DB116" s="327"/>
      <c r="DC116" s="327"/>
      <c r="DD116" s="327"/>
      <c r="DE116" s="327"/>
      <c r="DF116" s="327"/>
      <c r="DG116" s="327"/>
      <c r="DH116" s="327"/>
      <c r="DI116" s="327"/>
      <c r="DJ116" s="327"/>
      <c r="DK116" s="327"/>
      <c r="DL116" s="327"/>
      <c r="DM116" s="327"/>
      <c r="DN116" s="327"/>
      <c r="DO116" s="327"/>
      <c r="DP116" s="327"/>
      <c r="DQ116" s="327"/>
      <c r="DR116" s="327"/>
      <c r="DS116" s="327"/>
      <c r="DT116" s="327"/>
      <c r="DU116" s="327"/>
      <c r="DV116" s="327"/>
      <c r="DW116" s="327"/>
      <c r="DX116" s="327"/>
      <c r="DY116" s="327"/>
      <c r="DZ116" s="327"/>
      <c r="EA116" s="327"/>
      <c r="EB116" s="327"/>
      <c r="EC116" s="327"/>
      <c r="ED116" s="327"/>
      <c r="EE116" s="327"/>
      <c r="EF116" s="327"/>
      <c r="EG116" s="327"/>
      <c r="EH116" s="327"/>
      <c r="EI116" s="327"/>
      <c r="EJ116" s="327"/>
      <c r="EK116" s="327"/>
      <c r="EL116" s="327"/>
      <c r="EM116" s="327"/>
      <c r="EN116" s="327"/>
      <c r="EO116" s="327"/>
      <c r="EP116" s="327"/>
      <c r="EQ116" s="327"/>
      <c r="ER116" s="327"/>
      <c r="ES116" s="327"/>
      <c r="ET116" s="327"/>
      <c r="EU116" s="327"/>
      <c r="EV116" s="327"/>
      <c r="EW116" s="327"/>
      <c r="EX116" s="327"/>
      <c r="EY116" s="327"/>
      <c r="EZ116" s="327"/>
      <c r="FA116" s="327"/>
      <c r="FB116" s="327"/>
      <c r="FC116" s="327"/>
      <c r="FD116" s="327"/>
      <c r="FE116" s="327"/>
      <c r="FF116" s="327"/>
      <c r="FG116" s="327"/>
      <c r="FH116" s="327"/>
      <c r="FI116" s="327"/>
      <c r="FJ116" s="327"/>
      <c r="FK116" s="327"/>
      <c r="FL116" s="327"/>
      <c r="FM116" s="327"/>
      <c r="FN116" s="327"/>
      <c r="FO116" s="327"/>
      <c r="FP116" s="327"/>
      <c r="FQ116" s="327"/>
      <c r="FR116" s="327"/>
      <c r="FS116" s="327"/>
      <c r="FT116" s="327"/>
      <c r="FU116" s="327"/>
      <c r="FV116" s="327"/>
      <c r="FW116" s="327"/>
      <c r="FX116" s="327"/>
      <c r="FY116" s="327"/>
      <c r="FZ116" s="327"/>
      <c r="GA116" s="327"/>
      <c r="GB116" s="327"/>
      <c r="GC116" s="327"/>
      <c r="GD116" s="327"/>
      <c r="GE116" s="327"/>
      <c r="GF116" s="327"/>
      <c r="GG116" s="327"/>
      <c r="GH116" s="327"/>
      <c r="GI116" s="327"/>
      <c r="GJ116" s="327"/>
      <c r="GK116" s="327"/>
      <c r="GL116" s="327"/>
      <c r="GM116" s="327"/>
      <c r="GN116" s="327"/>
      <c r="GO116" s="327"/>
      <c r="GP116" s="327"/>
      <c r="GQ116" s="327"/>
      <c r="GR116" s="327"/>
      <c r="GS116" s="327"/>
      <c r="GT116" s="327"/>
      <c r="GU116" s="327"/>
      <c r="GV116" s="327"/>
      <c r="GW116" s="327"/>
      <c r="GX116" s="327"/>
      <c r="GY116" s="327"/>
      <c r="GZ116" s="327"/>
      <c r="HA116" s="327"/>
      <c r="HB116" s="327"/>
      <c r="HC116" s="327"/>
      <c r="HD116" s="327"/>
      <c r="HE116" s="327"/>
      <c r="HF116" s="327"/>
      <c r="HG116" s="327"/>
      <c r="HH116" s="327"/>
      <c r="HI116" s="327"/>
      <c r="HJ116" s="327"/>
      <c r="HK116" s="327"/>
      <c r="HL116" s="327"/>
      <c r="HM116" s="327"/>
      <c r="HN116" s="327"/>
      <c r="HO116" s="327"/>
      <c r="HP116" s="327"/>
      <c r="HQ116" s="327"/>
      <c r="HR116" s="327"/>
      <c r="HS116" s="327"/>
    </row>
    <row r="117" spans="1:227" ht="15" customHeight="1">
      <c r="A117" s="330">
        <v>6</v>
      </c>
      <c r="B117" s="435" t="str">
        <f>VLOOKUP(Ruimtestaat[[#This Row],[Code]],Locaties[[Code]:[Locatie]],2,FALSE)</f>
        <v>IKC Het Zwanenbos</v>
      </c>
      <c r="C117" s="435" t="str">
        <f>VLOOKUP(Ruimtestaat[[#This Row],[Code]],Locaties[[#All],[Code]:[Adres]],4,FALSE)</f>
        <v>Kerkenbos 24-26</v>
      </c>
      <c r="D117" s="435" t="str">
        <f>VLOOKUP(Ruimtestaat[[#This Row],[Code]],Locaties[[#All],[Code]:[Postcode]],5,FALSE)</f>
        <v>2716 PH</v>
      </c>
      <c r="E117" s="435" t="str">
        <f>VLOOKUP(Ruimtestaat[[#This Row],[Code]],Locaties[#All],6,FALSE)</f>
        <v>Zoetermeer</v>
      </c>
      <c r="F117" s="434"/>
      <c r="G117" s="434" t="s">
        <v>1678</v>
      </c>
      <c r="H117" s="330">
        <v>9</v>
      </c>
      <c r="I117" s="450" t="s">
        <v>1666</v>
      </c>
      <c r="J117" s="330">
        <v>2</v>
      </c>
      <c r="K117" s="450" t="str">
        <f>VLOOKUP(Ruimtestaat[[#This Row],[Ruimte code]],Ruimtegroepen[[#All],[Code]:[Ruimte omschrijving]],2,FALSE)</f>
        <v>Kantoren</v>
      </c>
      <c r="L117" s="434" t="s">
        <v>99</v>
      </c>
      <c r="M117" s="437" t="s">
        <v>36</v>
      </c>
      <c r="N117" s="439">
        <v>11</v>
      </c>
      <c r="O117" s="439"/>
      <c r="P117" s="439"/>
      <c r="Q117" s="439"/>
      <c r="R117" s="440" t="str">
        <f>VLOOKUP(Ruimtestaat[[#This Row],[Ruimte code]],Ruimtegroepen[],4,FALSE)</f>
        <v>Bu</v>
      </c>
      <c r="S117" s="434">
        <v>41</v>
      </c>
      <c r="T117" s="434" t="s">
        <v>17</v>
      </c>
      <c r="U117" s="434">
        <f>IF(S117&gt;0,IF(RIGHT(Ruimtestaat[[#This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17" s="434">
        <f>IF(U117&gt;0,VLOOKUP($J117,Ruimtegroepen[],3,FALSE)*VLOOKUP($L117,Vloersoorten[],3,FALSE)*VLOOKUP($T117,Frequenties[],3,FALSE)*VLOOKUP($A117,Locaties[],3,FALSE),0)</f>
        <v>0</v>
      </c>
      <c r="W117" s="434">
        <f>Ruimtestaat[[#This Row],[Uitvoeringen werkdagen]]*Ruimtestaat[[#This Row],[Oppervlak (netto)]]</f>
        <v>902</v>
      </c>
      <c r="X117" s="441">
        <f>IF(V117&gt;0,Ruimtestaat[[#This Row],[Prest. (m2 /jaar) werkdagen]]/Ruimtestaat[[#This Row],[Norm (m2/uur) werkdagen]],0)</f>
        <v>0</v>
      </c>
      <c r="Y117" s="442">
        <f>Ruimtestaat[[#This Row],[Uitvoeringen werkdagen]]*Ruimtestaat[[#This Row],[Gedeeltelijk]]</f>
        <v>0</v>
      </c>
      <c r="Z117" s="443" t="e">
        <f>IF(U117&gt;0,Ruimtestaat[[#This Row],[Prest. (m2 / jaar) werkdagen gedeeld]]/Ruimtestaat[[#This Row],[Norm (m2/uur) werkdagen]],0)</f>
        <v>#DIV/0!</v>
      </c>
      <c r="AA117" s="441" t="e">
        <f>Ruimtestaat[[#This Row],[uren / jaar werkdagen gedeeld]]*Tariefsopbouw!$E$35</f>
        <v>#DIV/0!</v>
      </c>
      <c r="AB117" s="441">
        <f>Ruimtestaat[[#This Row],[Uitvoeringen werkdagen]]*Ruimtestaat[[#This Row],[BSO]]</f>
        <v>0</v>
      </c>
      <c r="AC117" s="443" t="e">
        <f>IF(U117&gt;0,Ruimtestaat[[#This Row],[Prest. (m2 / jaar) werkdagen BSO]]/Ruimtestaat[[#This Row],[Norm (m2/uur) werkdagen]],0)</f>
        <v>#DIV/0!</v>
      </c>
      <c r="AD117" s="443" t="e">
        <f>Ruimtestaat[[#This Row],[uren / jaar werkdagen BSO]]*Tariefsopbouw!$E$35</f>
        <v>#DIV/0!</v>
      </c>
      <c r="AE117" s="444">
        <f>Ruimtestaat[[#This Row],[uren / jaar werkdagen]]*Tariefsopbouw!$E$35</f>
        <v>0</v>
      </c>
      <c r="AF117" s="434"/>
      <c r="AG117" s="434">
        <f>IF(Ruimtestaat[[#This Row],[Frequentie weekend]]&gt;0,VALUE(LEFT(AF117,1))*S117,0)</f>
        <v>0</v>
      </c>
      <c r="AH117" s="445">
        <f>IF($AG117&gt;0,VLOOKUP($J117,Ruimtegroepen[],3,FALSE)*VLOOKUP($L117,Vloersoorten[],3,FALSE)*VLOOKUP($AF117,Frequenties[],3,FALSE)*VLOOKUP(Ruimtestaat[[#This Row],[Code]],Locaties[],3,FALSE),0)</f>
        <v>0</v>
      </c>
      <c r="AI117" s="445">
        <f>Ruimtestaat[[#This Row],[Uitvoeringen weekend]]*Ruimtestaat[[#This Row],[Oppervlak (netto)]]</f>
        <v>0</v>
      </c>
      <c r="AJ117" s="445">
        <f>IF(AH117&gt;0,Ruimtestaat[[#This Row],[Prest. (m2 /jaar) weekend]]/Ruimtestaat[[#This Row],[Norm (m2/uur) weekend]],0)</f>
        <v>0</v>
      </c>
      <c r="AK117" s="444">
        <f>Ruimtestaat[[#This Row],[uren / jaar weekend]]*Tariefsopbouw!$D$40</f>
        <v>0</v>
      </c>
      <c r="AL117" s="441">
        <f>Ruimtestaat[[#This Row],[Prest. (m2 /jaar) weekend]]+Ruimtestaat[[#This Row],[Prest. (m2 /jaar) werkdagen]]</f>
        <v>902</v>
      </c>
      <c r="AM117" s="441">
        <f>Ruimtestaat[[#This Row],[uren / jaar weekend]]+Ruimtestaat[[#This Row],[uren / jaar werkdagen]]</f>
        <v>0</v>
      </c>
      <c r="AN117" s="446">
        <f>Ruimtestaat[[#This Row],[kosten / jaar weekend]]+Ruimtestaat[[#This Row],[kosten / jaar werkdagen]]</f>
        <v>0</v>
      </c>
      <c r="AO117" s="446"/>
      <c r="AP117" s="447" t="str">
        <f>IF(Ruimtestaat[[#This Row],[Frequentie werkdagen]]="","",_xlfn.CONCAT(Ruimtestaat[[#This Row],[Ruimte code]],"-",Ruimtestaat[[#This Row],[Frequentie werkdagen]]," ",Ruimtestaat[[#This Row],[Vloer code]]))</f>
        <v>2-2w T</v>
      </c>
      <c r="AQ117" s="448" t="str">
        <f>_xlfn.IFNA(VLOOKUP($AP117,Programma!$F$3:$G$1101,2,0),"")</f>
        <v>1w</v>
      </c>
      <c r="AR117" s="448" t="str">
        <f>_xlfn.IFNA(VLOOKUP($AP117,Programma!$F$3:$H$1101,3,0),"")</f>
        <v>1w</v>
      </c>
      <c r="AS117" s="448" t="str">
        <f>_xlfn.IFNA(VLOOKUP($AP117,Programma!$F$3:$I$1101,4,0),"")</f>
        <v>_</v>
      </c>
      <c r="AT117" s="448" t="str">
        <f>_xlfn.IFNA(VLOOKUP($AP117,Programma!$F$3:$J$1101,5,0),"")</f>
        <v>_</v>
      </c>
      <c r="AU117" s="448" t="str">
        <f>_xlfn.IFNA(VLOOKUP($AP117,Programma!$F$3:$K$1101,6,0),"")</f>
        <v>_</v>
      </c>
      <c r="AV117" s="448" t="str">
        <f>_xlfn.IFNA(VLOOKUP($AP117,Programma!$F$3:$L$1101,7,0),"")</f>
        <v>_</v>
      </c>
      <c r="AW117" s="448" t="str">
        <f>_xlfn.IFNA(VLOOKUP($AP117,Programma!$F$3:$M$1101,8,0),"")</f>
        <v>_</v>
      </c>
      <c r="AX117" s="448" t="str">
        <f>_xlfn.IFNA(VLOOKUP($AP117,Programma!$F$3:$N$1101,9,0),"")</f>
        <v>_</v>
      </c>
      <c r="AY117" s="448" t="str">
        <f>_xlfn.IFNA(VLOOKUP($AP117,Programma!$F$3:$O$1101,10,0),"")</f>
        <v>2w</v>
      </c>
      <c r="AZ117" s="448" t="str">
        <f>_xlfn.IFNA(VLOOKUP($AP117,Programma!$F$3:$P$1101,11,0),"")</f>
        <v>2w</v>
      </c>
      <c r="BA117" s="448" t="str">
        <f>_xlfn.IFNA(VLOOKUP($AP117,Programma!$F$3:$Q$1101,12,0),"")</f>
        <v>1w</v>
      </c>
      <c r="BB117" s="448" t="str">
        <f>_xlfn.IFNA(VLOOKUP($AP117,Programma!$F$3:$R$1101,13,0),"")</f>
        <v>1w</v>
      </c>
      <c r="BC117" s="448" t="str">
        <f>_xlfn.IFNA(VLOOKUP($AP117,Programma!$F$3:$S$1101,14,0),"")</f>
        <v>1m</v>
      </c>
      <c r="BD117" s="448" t="str">
        <f>_xlfn.IFNA(VLOOKUP($AP117,Programma!$F$3:$T$1101,15,0),"")</f>
        <v>2j</v>
      </c>
      <c r="BE117" s="448" t="str">
        <f>_xlfn.IFNA(VLOOKUP($AP117,Programma!$F$3:$U$1101,16,0),"")</f>
        <v>1j</v>
      </c>
      <c r="BF117" s="448" t="str">
        <f>_xlfn.IFNA(VLOOKUP($AP117,Programma!$F$3:$V$1101,17,0),"")</f>
        <v>_</v>
      </c>
      <c r="BG117" s="448" t="str">
        <f>_xlfn.IFNA(VLOOKUP($AP117,Programma!$F$3:$W$1101,18,0),"")</f>
        <v>_</v>
      </c>
      <c r="BH117" s="448" t="str">
        <f>_xlfn.IFNA(VLOOKUP($AP117,Programma!$F$3:$X$1101,19,0),"")</f>
        <v>_</v>
      </c>
      <c r="BI117" s="448" t="str">
        <f>_xlfn.IFNA(VLOOKUP($AP117,Programma!$F$3:$Y$1101,20,0),"")</f>
        <v>_</v>
      </c>
      <c r="BJ117" s="449"/>
      <c r="BK117" s="447" t="str">
        <f>IF(Ruimtestaat[[#This Row],[Frequentie weekend]]="","",_xlfn.CONCAT(Ruimtestaat[[#This Row],[Ruimte code]],"-",Ruimtestaat[[#This Row],[Frequentie weekend]]," ",Ruimtestaat[[#This Row],[Vloer code]]))</f>
        <v/>
      </c>
      <c r="BL117" s="448" t="str">
        <f>_xlfn.IFNA(VLOOKUP($BK117,Programma!$F$3:$G$1101,2,0),"")</f>
        <v/>
      </c>
      <c r="BM117" s="448" t="str">
        <f>_xlfn.IFNA(VLOOKUP($BK117,Programma!$F$3:$H$1101,3,0),"")</f>
        <v/>
      </c>
      <c r="BN117" s="448" t="str">
        <f>_xlfn.IFNA(VLOOKUP($BK117,Programma!$F$3:$I$1101,4,0),"")</f>
        <v/>
      </c>
      <c r="BO117" s="448" t="str">
        <f>_xlfn.IFNA(VLOOKUP($BK117,Programma!$F$3:$J$1101,5,0),"")</f>
        <v/>
      </c>
      <c r="BP117" s="448" t="str">
        <f>_xlfn.IFNA(VLOOKUP($BK117,Programma!$F$3:$K$1101,6,0),"")</f>
        <v/>
      </c>
      <c r="BQ117" s="448" t="str">
        <f>_xlfn.IFNA(VLOOKUP($BK117,Programma!$F$3:$L$1101,7,0),"")</f>
        <v/>
      </c>
      <c r="BR117" s="448" t="str">
        <f>_xlfn.IFNA(VLOOKUP($BK117,Programma!$F$3:$M$1101,8,0),"")</f>
        <v/>
      </c>
      <c r="BS117" s="448" t="str">
        <f>_xlfn.IFNA(VLOOKUP($BK117,Programma!$F$3:$N$1101,9,0),"")</f>
        <v/>
      </c>
      <c r="BT117" s="448" t="str">
        <f>_xlfn.IFNA(VLOOKUP($BK117,Programma!$F$3:$O$1101,10,0),"")</f>
        <v/>
      </c>
      <c r="BU117" s="448" t="str">
        <f>_xlfn.IFNA(VLOOKUP($BK117,Programma!$F$3:$P$1101,11,0),"")</f>
        <v/>
      </c>
      <c r="BV117" s="448" t="str">
        <f>_xlfn.IFNA(VLOOKUP($BK117,Programma!$F$3:$Q$1101,12,0),"")</f>
        <v/>
      </c>
      <c r="BW117" s="448" t="str">
        <f>_xlfn.IFNA(VLOOKUP($BK117,Programma!$F$3:$R$1101,13,0),"")</f>
        <v/>
      </c>
      <c r="BX117" s="448" t="str">
        <f>_xlfn.IFNA(VLOOKUP($BK117,Programma!$F$3:$S$1101,14,0),"")</f>
        <v/>
      </c>
      <c r="BY117" s="448" t="str">
        <f>_xlfn.IFNA(VLOOKUP($BK117,Programma!$F$3:$T$1101,15,0),"")</f>
        <v/>
      </c>
      <c r="BZ117" s="448" t="str">
        <f>_xlfn.IFNA(VLOOKUP($BK117,Programma!$F$3:$U$1101,16,0),"")</f>
        <v/>
      </c>
      <c r="CA117" s="448" t="str">
        <f>_xlfn.IFNA(VLOOKUP($BK117,Programma!$F$3:$V$1101,17,0),"")</f>
        <v/>
      </c>
      <c r="CB117" s="448" t="str">
        <f>_xlfn.IFNA(VLOOKUP($BK117,Programma!$F$3:$W$1101,18,0),"")</f>
        <v/>
      </c>
      <c r="CC117" s="448" t="str">
        <f>_xlfn.IFNA(VLOOKUP($BK117,Programma!$F$3:$X$1101,19,0),"")</f>
        <v/>
      </c>
      <c r="CD117" s="448" t="str">
        <f>_xlfn.IFNA(VLOOKUP($BK117,Programma!$F$3:$Y$1101,20,0),"")</f>
        <v/>
      </c>
      <c r="CE117" s="327"/>
      <c r="CF117" s="327"/>
      <c r="CG117" s="327"/>
      <c r="CH117" s="327"/>
      <c r="CI117" s="327"/>
      <c r="CJ117" s="327"/>
      <c r="CK117" s="327"/>
      <c r="CL117" s="327"/>
      <c r="CM117" s="327"/>
      <c r="CN117" s="327"/>
      <c r="CO117" s="327"/>
      <c r="CP117" s="327"/>
      <c r="CQ117" s="327"/>
      <c r="CR117" s="327"/>
      <c r="CS117" s="327"/>
      <c r="CT117" s="327"/>
      <c r="CU117" s="327"/>
      <c r="CV117" s="327"/>
      <c r="CW117" s="327"/>
      <c r="CX117" s="327"/>
      <c r="CY117" s="327"/>
      <c r="CZ117" s="327"/>
      <c r="DA117" s="327"/>
      <c r="DB117" s="327"/>
      <c r="DC117" s="327"/>
      <c r="DD117" s="327"/>
      <c r="DE117" s="327"/>
      <c r="DF117" s="327"/>
      <c r="DG117" s="327"/>
      <c r="DH117" s="327"/>
      <c r="DI117" s="327"/>
      <c r="DJ117" s="327"/>
      <c r="DK117" s="327"/>
      <c r="DL117" s="327"/>
      <c r="DM117" s="327"/>
      <c r="DN117" s="327"/>
      <c r="DO117" s="327"/>
      <c r="DP117" s="327"/>
      <c r="DQ117" s="327"/>
      <c r="DR117" s="327"/>
      <c r="DS117" s="327"/>
      <c r="DT117" s="327"/>
      <c r="DU117" s="327"/>
      <c r="DV117" s="327"/>
      <c r="DW117" s="327"/>
      <c r="DX117" s="327"/>
      <c r="DY117" s="327"/>
      <c r="DZ117" s="327"/>
      <c r="EA117" s="327"/>
      <c r="EB117" s="327"/>
      <c r="EC117" s="327"/>
      <c r="ED117" s="327"/>
      <c r="EE117" s="327"/>
      <c r="EF117" s="327"/>
      <c r="EG117" s="327"/>
      <c r="EH117" s="327"/>
      <c r="EI117" s="327"/>
      <c r="EJ117" s="327"/>
      <c r="EK117" s="327"/>
      <c r="EL117" s="327"/>
      <c r="EM117" s="327"/>
      <c r="EN117" s="327"/>
      <c r="EO117" s="327"/>
      <c r="EP117" s="327"/>
      <c r="EQ117" s="327"/>
      <c r="ER117" s="327"/>
      <c r="ES117" s="327"/>
      <c r="ET117" s="327"/>
      <c r="EU117" s="327"/>
      <c r="EV117" s="327"/>
      <c r="EW117" s="327"/>
      <c r="EX117" s="327"/>
      <c r="EY117" s="327"/>
      <c r="EZ117" s="327"/>
      <c r="FA117" s="327"/>
      <c r="FB117" s="327"/>
      <c r="FC117" s="327"/>
      <c r="FD117" s="327"/>
      <c r="FE117" s="327"/>
      <c r="FF117" s="327"/>
      <c r="FG117" s="327"/>
      <c r="FH117" s="327"/>
      <c r="FI117" s="327"/>
      <c r="FJ117" s="327"/>
      <c r="FK117" s="327"/>
      <c r="FL117" s="327"/>
      <c r="FM117" s="327"/>
      <c r="FN117" s="327"/>
      <c r="FO117" s="327"/>
      <c r="FP117" s="327"/>
      <c r="FQ117" s="327"/>
      <c r="FR117" s="327"/>
      <c r="FS117" s="327"/>
      <c r="FT117" s="327"/>
      <c r="FU117" s="327"/>
      <c r="FV117" s="327"/>
      <c r="FW117" s="327"/>
      <c r="FX117" s="327"/>
      <c r="FY117" s="327"/>
      <c r="FZ117" s="327"/>
      <c r="GA117" s="327"/>
      <c r="GB117" s="327"/>
      <c r="GC117" s="327"/>
      <c r="GD117" s="327"/>
      <c r="GE117" s="327"/>
      <c r="GF117" s="327"/>
      <c r="GG117" s="327"/>
      <c r="GH117" s="327"/>
      <c r="GI117" s="327"/>
      <c r="GJ117" s="327"/>
      <c r="GK117" s="327"/>
      <c r="GL117" s="327"/>
      <c r="GM117" s="327"/>
      <c r="GN117" s="327"/>
      <c r="GO117" s="327"/>
      <c r="GP117" s="327"/>
      <c r="GQ117" s="327"/>
      <c r="GR117" s="327"/>
      <c r="GS117" s="327"/>
      <c r="GT117" s="327"/>
      <c r="GU117" s="327"/>
      <c r="GV117" s="327"/>
      <c r="GW117" s="327"/>
      <c r="GX117" s="327"/>
      <c r="GY117" s="327"/>
      <c r="GZ117" s="327"/>
      <c r="HA117" s="327"/>
      <c r="HB117" s="327"/>
      <c r="HC117" s="327"/>
      <c r="HD117" s="327"/>
      <c r="HE117" s="327"/>
      <c r="HF117" s="327"/>
      <c r="HG117" s="327"/>
      <c r="HH117" s="327"/>
      <c r="HI117" s="327"/>
      <c r="HJ117" s="327"/>
      <c r="HK117" s="327"/>
      <c r="HL117" s="327"/>
      <c r="HM117" s="327"/>
      <c r="HN117" s="327"/>
      <c r="HO117" s="327"/>
      <c r="HP117" s="327"/>
      <c r="HQ117" s="327"/>
      <c r="HR117" s="327"/>
      <c r="HS117" s="327"/>
    </row>
    <row r="118" spans="1:227" ht="15" customHeight="1">
      <c r="A118" s="330">
        <v>6</v>
      </c>
      <c r="B118" s="435" t="str">
        <f>VLOOKUP(Ruimtestaat[[#This Row],[Code]],Locaties[[Code]:[Locatie]],2,FALSE)</f>
        <v>IKC Het Zwanenbos</v>
      </c>
      <c r="C118" s="435" t="str">
        <f>VLOOKUP(Ruimtestaat[[#This Row],[Code]],Locaties[[#All],[Code]:[Adres]],4,FALSE)</f>
        <v>Kerkenbos 24-26</v>
      </c>
      <c r="D118" s="435" t="str">
        <f>VLOOKUP(Ruimtestaat[[#This Row],[Code]],Locaties[[#All],[Code]:[Postcode]],5,FALSE)</f>
        <v>2716 PH</v>
      </c>
      <c r="E118" s="435" t="str">
        <f>VLOOKUP(Ruimtestaat[[#This Row],[Code]],Locaties[#All],6,FALSE)</f>
        <v>Zoetermeer</v>
      </c>
      <c r="F118" s="434"/>
      <c r="G118" s="434" t="s">
        <v>1678</v>
      </c>
      <c r="H118" s="330">
        <v>10</v>
      </c>
      <c r="I118" s="450" t="s">
        <v>1679</v>
      </c>
      <c r="J118" s="330">
        <v>16</v>
      </c>
      <c r="K118" s="450" t="str">
        <f>VLOOKUP(Ruimtestaat[[#This Row],[Ruimte code]],Ruimtegroepen[[#All],[Code]:[Ruimte omschrijving]],2,FALSE)</f>
        <v>Leslokalen</v>
      </c>
      <c r="L118" s="434" t="s">
        <v>100</v>
      </c>
      <c r="M118" s="437" t="s">
        <v>1759</v>
      </c>
      <c r="N118" s="439">
        <v>71</v>
      </c>
      <c r="O118" s="439"/>
      <c r="P118" s="439"/>
      <c r="Q118" s="439"/>
      <c r="R118" s="440" t="str">
        <f>VLOOKUP(Ruimtestaat[[#This Row],[Ruimte code]],Ruimtegroepen[],4,FALSE)</f>
        <v>Le</v>
      </c>
      <c r="S118" s="434">
        <v>40</v>
      </c>
      <c r="T118" s="434" t="s">
        <v>2</v>
      </c>
      <c r="U118" s="434">
        <f>IF(S118&gt;0,IF(RIGHT(Ruimtestaat[[#This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8" s="434">
        <f>IF(U118&gt;0,VLOOKUP($J118,Ruimtegroepen[],3,FALSE)*VLOOKUP($L118,Vloersoorten[],3,FALSE)*VLOOKUP($T118,Frequenties[],3,FALSE)*VLOOKUP($A118,Locaties[],3,FALSE),0)</f>
        <v>0</v>
      </c>
      <c r="W118" s="434">
        <f>Ruimtestaat[[#This Row],[Uitvoeringen werkdagen]]*Ruimtestaat[[#This Row],[Oppervlak (netto)]]</f>
        <v>14200</v>
      </c>
      <c r="X118" s="441">
        <f>IF(V118&gt;0,Ruimtestaat[[#This Row],[Prest. (m2 /jaar) werkdagen]]/Ruimtestaat[[#This Row],[Norm (m2/uur) werkdagen]],0)</f>
        <v>0</v>
      </c>
      <c r="Y118" s="442">
        <f>Ruimtestaat[[#This Row],[Uitvoeringen werkdagen]]*Ruimtestaat[[#This Row],[Gedeeltelijk]]</f>
        <v>0</v>
      </c>
      <c r="Z118" s="443" t="e">
        <f>IF(U118&gt;0,Ruimtestaat[[#This Row],[Prest. (m2 / jaar) werkdagen gedeeld]]/Ruimtestaat[[#This Row],[Norm (m2/uur) werkdagen]],0)</f>
        <v>#DIV/0!</v>
      </c>
      <c r="AA118" s="441" t="e">
        <f>Ruimtestaat[[#This Row],[uren / jaar werkdagen gedeeld]]*Tariefsopbouw!$E$35</f>
        <v>#DIV/0!</v>
      </c>
      <c r="AB118" s="441">
        <f>Ruimtestaat[[#This Row],[Uitvoeringen werkdagen]]*Ruimtestaat[[#This Row],[BSO]]</f>
        <v>0</v>
      </c>
      <c r="AC118" s="443" t="e">
        <f>IF(U118&gt;0,Ruimtestaat[[#This Row],[Prest. (m2 / jaar) werkdagen BSO]]/Ruimtestaat[[#This Row],[Norm (m2/uur) werkdagen]],0)</f>
        <v>#DIV/0!</v>
      </c>
      <c r="AD118" s="443" t="e">
        <f>Ruimtestaat[[#This Row],[uren / jaar werkdagen BSO]]*Tariefsopbouw!$E$35</f>
        <v>#DIV/0!</v>
      </c>
      <c r="AE118" s="444">
        <f>Ruimtestaat[[#This Row],[uren / jaar werkdagen]]*Tariefsopbouw!$E$35</f>
        <v>0</v>
      </c>
      <c r="AF118" s="434"/>
      <c r="AG118" s="434">
        <f>IF(Ruimtestaat[[#This Row],[Frequentie weekend]]&gt;0,VALUE(LEFT(AF118,1))*S118,0)</f>
        <v>0</v>
      </c>
      <c r="AH118" s="445">
        <f>IF($AG118&gt;0,VLOOKUP($J118,Ruimtegroepen[],3,FALSE)*VLOOKUP($L118,Vloersoorten[],3,FALSE)*VLOOKUP($AF118,Frequenties[],3,FALSE)*VLOOKUP(Ruimtestaat[[#This Row],[Code]],Locaties[],3,FALSE),0)</f>
        <v>0</v>
      </c>
      <c r="AI118" s="445">
        <f>Ruimtestaat[[#This Row],[Uitvoeringen weekend]]*Ruimtestaat[[#This Row],[Oppervlak (netto)]]</f>
        <v>0</v>
      </c>
      <c r="AJ118" s="445">
        <f>IF(AH118&gt;0,Ruimtestaat[[#This Row],[Prest. (m2 /jaar) weekend]]/Ruimtestaat[[#This Row],[Norm (m2/uur) weekend]],0)</f>
        <v>0</v>
      </c>
      <c r="AK118" s="444">
        <f>Ruimtestaat[[#This Row],[uren / jaar weekend]]*Tariefsopbouw!$D$40</f>
        <v>0</v>
      </c>
      <c r="AL118" s="441">
        <f>Ruimtestaat[[#This Row],[Prest. (m2 /jaar) weekend]]+Ruimtestaat[[#This Row],[Prest. (m2 /jaar) werkdagen]]</f>
        <v>14200</v>
      </c>
      <c r="AM118" s="441">
        <f>Ruimtestaat[[#This Row],[uren / jaar weekend]]+Ruimtestaat[[#This Row],[uren / jaar werkdagen]]</f>
        <v>0</v>
      </c>
      <c r="AN118" s="446">
        <f>Ruimtestaat[[#This Row],[kosten / jaar weekend]]+Ruimtestaat[[#This Row],[kosten / jaar werkdagen]]</f>
        <v>0</v>
      </c>
      <c r="AO118" s="446"/>
      <c r="AP118" s="447" t="str">
        <f>IF(Ruimtestaat[[#This Row],[Frequentie werkdagen]]="","",_xlfn.CONCAT(Ruimtestaat[[#This Row],[Ruimte code]],"-",Ruimtestaat[[#This Row],[Frequentie werkdagen]]," ",Ruimtestaat[[#This Row],[Vloer code]]))</f>
        <v>16-5w L</v>
      </c>
      <c r="AQ118" s="448" t="str">
        <f>_xlfn.IFNA(VLOOKUP($AP118,Programma!$F$3:$G$1101,2,0),"")</f>
        <v>_</v>
      </c>
      <c r="AR118" s="448" t="str">
        <f>_xlfn.IFNA(VLOOKUP($AP118,Programma!$F$3:$H$1101,3,0),"")</f>
        <v>_</v>
      </c>
      <c r="AS118" s="448" t="str">
        <f>_xlfn.IFNA(VLOOKUP($AP118,Programma!$F$3:$I$1101,4,0),"")</f>
        <v>4w</v>
      </c>
      <c r="AT118" s="448" t="str">
        <f>_xlfn.IFNA(VLOOKUP($AP118,Programma!$F$3:$J$1101,5,0),"")</f>
        <v>1w</v>
      </c>
      <c r="AU118" s="448" t="str">
        <f>_xlfn.IFNA(VLOOKUP($AP118,Programma!$F$3:$K$1101,6,0),"")</f>
        <v>_</v>
      </c>
      <c r="AV118" s="448" t="str">
        <f>_xlfn.IFNA(VLOOKUP($AP118,Programma!$F$3:$L$1101,7,0),"")</f>
        <v>_</v>
      </c>
      <c r="AW118" s="448" t="str">
        <f>_xlfn.IFNA(VLOOKUP($AP118,Programma!$F$3:$M$1101,8,0),"")</f>
        <v>_</v>
      </c>
      <c r="AX118" s="448" t="str">
        <f>_xlfn.IFNA(VLOOKUP($AP118,Programma!$F$3:$N$1101,9,0),"")</f>
        <v>_</v>
      </c>
      <c r="AY118" s="448" t="str">
        <f>_xlfn.IFNA(VLOOKUP($AP118,Programma!$F$3:$O$1101,10,0),"")</f>
        <v>5w</v>
      </c>
      <c r="AZ118" s="448" t="str">
        <f>_xlfn.IFNA(VLOOKUP($AP118,Programma!$F$3:$P$1101,11,0),"")</f>
        <v>5w</v>
      </c>
      <c r="BA118" s="448" t="str">
        <f>_xlfn.IFNA(VLOOKUP($AP118,Programma!$F$3:$Q$1101,12,0),"")</f>
        <v>1w</v>
      </c>
      <c r="BB118" s="448" t="str">
        <f>_xlfn.IFNA(VLOOKUP($AP118,Programma!$F$3:$R$1101,13,0),"")</f>
        <v>1w</v>
      </c>
      <c r="BC118" s="448" t="str">
        <f>_xlfn.IFNA(VLOOKUP($AP118,Programma!$F$3:$S$1101,14,0),"")</f>
        <v>1m</v>
      </c>
      <c r="BD118" s="448" t="str">
        <f>_xlfn.IFNA(VLOOKUP($AP118,Programma!$F$3:$T$1101,15,0),"")</f>
        <v>2j</v>
      </c>
      <c r="BE118" s="448" t="str">
        <f>_xlfn.IFNA(VLOOKUP($AP118,Programma!$F$3:$U$1101,16,0),"")</f>
        <v>1j</v>
      </c>
      <c r="BF118" s="448" t="str">
        <f>_xlfn.IFNA(VLOOKUP($AP118,Programma!$F$3:$V$1101,17,0),"")</f>
        <v>_</v>
      </c>
      <c r="BG118" s="448" t="str">
        <f>_xlfn.IFNA(VLOOKUP($AP118,Programma!$F$3:$W$1101,18,0),"")</f>
        <v>_</v>
      </c>
      <c r="BH118" s="448" t="str">
        <f>_xlfn.IFNA(VLOOKUP($AP118,Programma!$F$3:$X$1101,19,0),"")</f>
        <v>_</v>
      </c>
      <c r="BI118" s="448" t="str">
        <f>_xlfn.IFNA(VLOOKUP($AP118,Programma!$F$3:$Y$1101,20,0),"")</f>
        <v>_</v>
      </c>
      <c r="BJ118" s="449"/>
      <c r="BK118" s="447" t="str">
        <f>IF(Ruimtestaat[[#This Row],[Frequentie weekend]]="","",_xlfn.CONCAT(Ruimtestaat[[#This Row],[Ruimte code]],"-",Ruimtestaat[[#This Row],[Frequentie weekend]]," ",Ruimtestaat[[#This Row],[Vloer code]]))</f>
        <v/>
      </c>
      <c r="BL118" s="448" t="str">
        <f>_xlfn.IFNA(VLOOKUP($BK118,Programma!$F$3:$G$1101,2,0),"")</f>
        <v/>
      </c>
      <c r="BM118" s="448" t="str">
        <f>_xlfn.IFNA(VLOOKUP($BK118,Programma!$F$3:$H$1101,3,0),"")</f>
        <v/>
      </c>
      <c r="BN118" s="448" t="str">
        <f>_xlfn.IFNA(VLOOKUP($BK118,Programma!$F$3:$I$1101,4,0),"")</f>
        <v/>
      </c>
      <c r="BO118" s="448" t="str">
        <f>_xlfn.IFNA(VLOOKUP($BK118,Programma!$F$3:$J$1101,5,0),"")</f>
        <v/>
      </c>
      <c r="BP118" s="448" t="str">
        <f>_xlfn.IFNA(VLOOKUP($BK118,Programma!$F$3:$K$1101,6,0),"")</f>
        <v/>
      </c>
      <c r="BQ118" s="448" t="str">
        <f>_xlfn.IFNA(VLOOKUP($BK118,Programma!$F$3:$L$1101,7,0),"")</f>
        <v/>
      </c>
      <c r="BR118" s="448" t="str">
        <f>_xlfn.IFNA(VLOOKUP($BK118,Programma!$F$3:$M$1101,8,0),"")</f>
        <v/>
      </c>
      <c r="BS118" s="448" t="str">
        <f>_xlfn.IFNA(VLOOKUP($BK118,Programma!$F$3:$N$1101,9,0),"")</f>
        <v/>
      </c>
      <c r="BT118" s="448" t="str">
        <f>_xlfn.IFNA(VLOOKUP($BK118,Programma!$F$3:$O$1101,10,0),"")</f>
        <v/>
      </c>
      <c r="BU118" s="448" t="str">
        <f>_xlfn.IFNA(VLOOKUP($BK118,Programma!$F$3:$P$1101,11,0),"")</f>
        <v/>
      </c>
      <c r="BV118" s="448" t="str">
        <f>_xlfn.IFNA(VLOOKUP($BK118,Programma!$F$3:$Q$1101,12,0),"")</f>
        <v/>
      </c>
      <c r="BW118" s="448" t="str">
        <f>_xlfn.IFNA(VLOOKUP($BK118,Programma!$F$3:$R$1101,13,0),"")</f>
        <v/>
      </c>
      <c r="BX118" s="448" t="str">
        <f>_xlfn.IFNA(VLOOKUP($BK118,Programma!$F$3:$S$1101,14,0),"")</f>
        <v/>
      </c>
      <c r="BY118" s="448" t="str">
        <f>_xlfn.IFNA(VLOOKUP($BK118,Programma!$F$3:$T$1101,15,0),"")</f>
        <v/>
      </c>
      <c r="BZ118" s="448" t="str">
        <f>_xlfn.IFNA(VLOOKUP($BK118,Programma!$F$3:$U$1101,16,0),"")</f>
        <v/>
      </c>
      <c r="CA118" s="448" t="str">
        <f>_xlfn.IFNA(VLOOKUP($BK118,Programma!$F$3:$V$1101,17,0),"")</f>
        <v/>
      </c>
      <c r="CB118" s="448" t="str">
        <f>_xlfn.IFNA(VLOOKUP($BK118,Programma!$F$3:$W$1101,18,0),"")</f>
        <v/>
      </c>
      <c r="CC118" s="448" t="str">
        <f>_xlfn.IFNA(VLOOKUP($BK118,Programma!$F$3:$X$1101,19,0),"")</f>
        <v/>
      </c>
      <c r="CD118" s="448" t="str">
        <f>_xlfn.IFNA(VLOOKUP($BK118,Programma!$F$3:$Y$1101,20,0),"")</f>
        <v/>
      </c>
      <c r="CE118" s="327"/>
      <c r="CF118" s="327"/>
      <c r="CG118" s="327"/>
      <c r="CH118" s="327"/>
      <c r="CI118" s="327"/>
      <c r="CJ118" s="327"/>
      <c r="CK118" s="327"/>
      <c r="CL118" s="327"/>
      <c r="CM118" s="327"/>
      <c r="CN118" s="327"/>
      <c r="CO118" s="327"/>
      <c r="CP118" s="327"/>
      <c r="CQ118" s="327"/>
      <c r="CR118" s="327"/>
      <c r="CS118" s="327"/>
      <c r="CT118" s="327"/>
      <c r="CU118" s="327"/>
      <c r="CV118" s="327"/>
      <c r="CW118" s="327"/>
      <c r="CX118" s="327"/>
      <c r="CY118" s="327"/>
      <c r="CZ118" s="327"/>
      <c r="DA118" s="327"/>
      <c r="DB118" s="327"/>
      <c r="DC118" s="327"/>
      <c r="DD118" s="327"/>
      <c r="DE118" s="327"/>
      <c r="DF118" s="327"/>
      <c r="DG118" s="327"/>
      <c r="DH118" s="327"/>
      <c r="DI118" s="327"/>
      <c r="DJ118" s="327"/>
      <c r="DK118" s="327"/>
      <c r="DL118" s="327"/>
      <c r="DM118" s="327"/>
      <c r="DN118" s="327"/>
      <c r="DO118" s="327"/>
      <c r="DP118" s="327"/>
      <c r="DQ118" s="327"/>
      <c r="DR118" s="327"/>
      <c r="DS118" s="327"/>
      <c r="DT118" s="327"/>
      <c r="DU118" s="327"/>
      <c r="DV118" s="327"/>
      <c r="DW118" s="327"/>
      <c r="DX118" s="327"/>
      <c r="DY118" s="327"/>
      <c r="DZ118" s="327"/>
      <c r="EA118" s="327"/>
      <c r="EB118" s="327"/>
      <c r="EC118" s="327"/>
      <c r="ED118" s="327"/>
      <c r="EE118" s="327"/>
      <c r="EF118" s="327"/>
      <c r="EG118" s="327"/>
      <c r="EH118" s="327"/>
      <c r="EI118" s="327"/>
      <c r="EJ118" s="327"/>
      <c r="EK118" s="327"/>
      <c r="EL118" s="327"/>
      <c r="EM118" s="327"/>
      <c r="EN118" s="327"/>
      <c r="EO118" s="327"/>
      <c r="EP118" s="327"/>
      <c r="EQ118" s="327"/>
      <c r="ER118" s="327"/>
      <c r="ES118" s="327"/>
      <c r="ET118" s="327"/>
      <c r="EU118" s="327"/>
      <c r="EV118" s="327"/>
      <c r="EW118" s="327"/>
      <c r="EX118" s="327"/>
      <c r="EY118" s="327"/>
      <c r="EZ118" s="327"/>
      <c r="FA118" s="327"/>
      <c r="FB118" s="327"/>
      <c r="FC118" s="327"/>
      <c r="FD118" s="327"/>
      <c r="FE118" s="327"/>
      <c r="FF118" s="327"/>
      <c r="FG118" s="327"/>
      <c r="FH118" s="327"/>
      <c r="FI118" s="327"/>
      <c r="FJ118" s="327"/>
      <c r="FK118" s="327"/>
      <c r="FL118" s="327"/>
      <c r="FM118" s="327"/>
      <c r="FN118" s="327"/>
      <c r="FO118" s="327"/>
      <c r="FP118" s="327"/>
      <c r="FQ118" s="327"/>
      <c r="FR118" s="327"/>
      <c r="FS118" s="327"/>
      <c r="FT118" s="327"/>
      <c r="FU118" s="327"/>
      <c r="FV118" s="327"/>
      <c r="FW118" s="327"/>
      <c r="FX118" s="327"/>
      <c r="FY118" s="327"/>
      <c r="FZ118" s="327"/>
      <c r="GA118" s="327"/>
      <c r="GB118" s="327"/>
      <c r="GC118" s="327"/>
      <c r="GD118" s="327"/>
      <c r="GE118" s="327"/>
      <c r="GF118" s="327"/>
      <c r="GG118" s="327"/>
      <c r="GH118" s="327"/>
      <c r="GI118" s="327"/>
      <c r="GJ118" s="327"/>
      <c r="GK118" s="327"/>
      <c r="GL118" s="327"/>
      <c r="GM118" s="327"/>
      <c r="GN118" s="327"/>
      <c r="GO118" s="327"/>
      <c r="GP118" s="327"/>
      <c r="GQ118" s="327"/>
      <c r="GR118" s="327"/>
      <c r="GS118" s="327"/>
      <c r="GT118" s="327"/>
      <c r="GU118" s="327"/>
      <c r="GV118" s="327"/>
      <c r="GW118" s="327"/>
      <c r="GX118" s="327"/>
      <c r="GY118" s="327"/>
      <c r="GZ118" s="327"/>
      <c r="HA118" s="327"/>
      <c r="HB118" s="327"/>
      <c r="HC118" s="327"/>
      <c r="HD118" s="327"/>
      <c r="HE118" s="327"/>
      <c r="HF118" s="327"/>
      <c r="HG118" s="327"/>
      <c r="HH118" s="327"/>
      <c r="HI118" s="327"/>
      <c r="HJ118" s="327"/>
      <c r="HK118" s="327"/>
      <c r="HL118" s="327"/>
      <c r="HM118" s="327"/>
      <c r="HN118" s="327"/>
      <c r="HO118" s="327"/>
      <c r="HP118" s="327"/>
      <c r="HQ118" s="327"/>
      <c r="HR118" s="327"/>
      <c r="HS118" s="327"/>
    </row>
    <row r="119" spans="1:227" ht="15" customHeight="1">
      <c r="A119" s="330">
        <v>6</v>
      </c>
      <c r="B119" s="435" t="str">
        <f>VLOOKUP(Ruimtestaat[[#This Row],[Code]],Locaties[[Code]:[Locatie]],2,FALSE)</f>
        <v>IKC Het Zwanenbos</v>
      </c>
      <c r="C119" s="435" t="str">
        <f>VLOOKUP(Ruimtestaat[[#This Row],[Code]],Locaties[[#All],[Code]:[Adres]],4,FALSE)</f>
        <v>Kerkenbos 24-26</v>
      </c>
      <c r="D119" s="435" t="str">
        <f>VLOOKUP(Ruimtestaat[[#This Row],[Code]],Locaties[[#All],[Code]:[Postcode]],5,FALSE)</f>
        <v>2716 PH</v>
      </c>
      <c r="E119" s="435" t="str">
        <f>VLOOKUP(Ruimtestaat[[#This Row],[Code]],Locaties[#All],6,FALSE)</f>
        <v>Zoetermeer</v>
      </c>
      <c r="F119" s="434"/>
      <c r="G119" s="434" t="s">
        <v>1678</v>
      </c>
      <c r="H119" s="330">
        <v>11</v>
      </c>
      <c r="I119" s="450" t="s">
        <v>1679</v>
      </c>
      <c r="J119" s="330">
        <v>16</v>
      </c>
      <c r="K119" s="450" t="str">
        <f>VLOOKUP(Ruimtestaat[[#This Row],[Ruimte code]],Ruimtegroepen[[#All],[Code]:[Ruimte omschrijving]],2,FALSE)</f>
        <v>Leslokalen</v>
      </c>
      <c r="L119" s="434" t="s">
        <v>102</v>
      </c>
      <c r="M119" s="437" t="s">
        <v>2104</v>
      </c>
      <c r="N119" s="439">
        <v>67</v>
      </c>
      <c r="O119" s="439"/>
      <c r="P119" s="439"/>
      <c r="Q119" s="439"/>
      <c r="R119" s="440" t="str">
        <f>VLOOKUP(Ruimtestaat[[#This Row],[Ruimte code]],Ruimtegroepen[],4,FALSE)</f>
        <v>Le</v>
      </c>
      <c r="S119" s="434">
        <v>40</v>
      </c>
      <c r="T119" s="434" t="s">
        <v>2</v>
      </c>
      <c r="U119" s="434">
        <f>IF(S119&gt;0,IF(RIGHT(Ruimtestaat[[#This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9" s="434">
        <f>IF(U119&gt;0,VLOOKUP($J119,Ruimtegroepen[],3,FALSE)*VLOOKUP($L119,Vloersoorten[],3,FALSE)*VLOOKUP($T119,Frequenties[],3,FALSE)*VLOOKUP($A119,Locaties[],3,FALSE),0)</f>
        <v>0</v>
      </c>
      <c r="W119" s="434">
        <f>Ruimtestaat[[#This Row],[Uitvoeringen werkdagen]]*Ruimtestaat[[#This Row],[Oppervlak (netto)]]</f>
        <v>13400</v>
      </c>
      <c r="X119" s="441">
        <f>IF(V119&gt;0,Ruimtestaat[[#This Row],[Prest. (m2 /jaar) werkdagen]]/Ruimtestaat[[#This Row],[Norm (m2/uur) werkdagen]],0)</f>
        <v>0</v>
      </c>
      <c r="Y119" s="442">
        <f>Ruimtestaat[[#This Row],[Uitvoeringen werkdagen]]*Ruimtestaat[[#This Row],[Gedeeltelijk]]</f>
        <v>0</v>
      </c>
      <c r="Z119" s="443" t="e">
        <f>IF(U119&gt;0,Ruimtestaat[[#This Row],[Prest. (m2 / jaar) werkdagen gedeeld]]/Ruimtestaat[[#This Row],[Norm (m2/uur) werkdagen]],0)</f>
        <v>#DIV/0!</v>
      </c>
      <c r="AA119" s="441" t="e">
        <f>Ruimtestaat[[#This Row],[uren / jaar werkdagen gedeeld]]*Tariefsopbouw!$E$35</f>
        <v>#DIV/0!</v>
      </c>
      <c r="AB119" s="441">
        <f>Ruimtestaat[[#This Row],[Uitvoeringen werkdagen]]*Ruimtestaat[[#This Row],[BSO]]</f>
        <v>0</v>
      </c>
      <c r="AC119" s="443" t="e">
        <f>IF(U119&gt;0,Ruimtestaat[[#This Row],[Prest. (m2 / jaar) werkdagen BSO]]/Ruimtestaat[[#This Row],[Norm (m2/uur) werkdagen]],0)</f>
        <v>#DIV/0!</v>
      </c>
      <c r="AD119" s="443" t="e">
        <f>Ruimtestaat[[#This Row],[uren / jaar werkdagen BSO]]*Tariefsopbouw!$E$35</f>
        <v>#DIV/0!</v>
      </c>
      <c r="AE119" s="444">
        <f>Ruimtestaat[[#This Row],[uren / jaar werkdagen]]*Tariefsopbouw!$E$35</f>
        <v>0</v>
      </c>
      <c r="AF119" s="434"/>
      <c r="AG119" s="434">
        <f>IF(Ruimtestaat[[#This Row],[Frequentie weekend]]&gt;0,VALUE(LEFT(AF119,1))*S119,0)</f>
        <v>0</v>
      </c>
      <c r="AH119" s="445">
        <f>IF($AG119&gt;0,VLOOKUP($J119,Ruimtegroepen[],3,FALSE)*VLOOKUP($L119,Vloersoorten[],3,FALSE)*VLOOKUP($AF119,Frequenties[],3,FALSE)*VLOOKUP(Ruimtestaat[[#This Row],[Code]],Locaties[],3,FALSE),0)</f>
        <v>0</v>
      </c>
      <c r="AI119" s="445">
        <f>Ruimtestaat[[#This Row],[Uitvoeringen weekend]]*Ruimtestaat[[#This Row],[Oppervlak (netto)]]</f>
        <v>0</v>
      </c>
      <c r="AJ119" s="445">
        <f>IF(AH119&gt;0,Ruimtestaat[[#This Row],[Prest. (m2 /jaar) weekend]]/Ruimtestaat[[#This Row],[Norm (m2/uur) weekend]],0)</f>
        <v>0</v>
      </c>
      <c r="AK119" s="444">
        <f>Ruimtestaat[[#This Row],[uren / jaar weekend]]*Tariefsopbouw!$D$40</f>
        <v>0</v>
      </c>
      <c r="AL119" s="441">
        <f>Ruimtestaat[[#This Row],[Prest. (m2 /jaar) weekend]]+Ruimtestaat[[#This Row],[Prest. (m2 /jaar) werkdagen]]</f>
        <v>13400</v>
      </c>
      <c r="AM119" s="441">
        <f>Ruimtestaat[[#This Row],[uren / jaar weekend]]+Ruimtestaat[[#This Row],[uren / jaar werkdagen]]</f>
        <v>0</v>
      </c>
      <c r="AN119" s="446">
        <f>Ruimtestaat[[#This Row],[kosten / jaar weekend]]+Ruimtestaat[[#This Row],[kosten / jaar werkdagen]]</f>
        <v>0</v>
      </c>
      <c r="AO119" s="446"/>
      <c r="AP119" s="447" t="str">
        <f>IF(Ruimtestaat[[#This Row],[Frequentie werkdagen]]="","",_xlfn.CONCAT(Ruimtestaat[[#This Row],[Ruimte code]],"-",Ruimtestaat[[#This Row],[Frequentie werkdagen]]," ",Ruimtestaat[[#This Row],[Vloer code]]))</f>
        <v>16-5w P</v>
      </c>
      <c r="AQ119" s="448" t="str">
        <f>_xlfn.IFNA(VLOOKUP($AP119,Programma!$F$3:$G$1101,2,0),"")</f>
        <v>_</v>
      </c>
      <c r="AR119" s="448" t="str">
        <f>_xlfn.IFNA(VLOOKUP($AP119,Programma!$F$3:$H$1101,3,0),"")</f>
        <v>_</v>
      </c>
      <c r="AS119" s="448" t="str">
        <f>_xlfn.IFNA(VLOOKUP($AP119,Programma!$F$3:$I$1101,4,0),"")</f>
        <v>4w</v>
      </c>
      <c r="AT119" s="448" t="str">
        <f>_xlfn.IFNA(VLOOKUP($AP119,Programma!$F$3:$J$1101,5,0),"")</f>
        <v>1w</v>
      </c>
      <c r="AU119" s="448" t="str">
        <f>_xlfn.IFNA(VLOOKUP($AP119,Programma!$F$3:$K$1101,6,0),"")</f>
        <v>1m</v>
      </c>
      <c r="AV119" s="448" t="str">
        <f>_xlfn.IFNA(VLOOKUP($AP119,Programma!$F$3:$L$1101,7,0),"")</f>
        <v>_</v>
      </c>
      <c r="AW119" s="448" t="str">
        <f>_xlfn.IFNA(VLOOKUP($AP119,Programma!$F$3:$M$1101,8,0),"")</f>
        <v>_</v>
      </c>
      <c r="AX119" s="448" t="str">
        <f>_xlfn.IFNA(VLOOKUP($AP119,Programma!$F$3:$N$1101,9,0),"")</f>
        <v>_</v>
      </c>
      <c r="AY119" s="448" t="str">
        <f>_xlfn.IFNA(VLOOKUP($AP119,Programma!$F$3:$O$1101,10,0),"")</f>
        <v>5w</v>
      </c>
      <c r="AZ119" s="448" t="str">
        <f>_xlfn.IFNA(VLOOKUP($AP119,Programma!$F$3:$P$1101,11,0),"")</f>
        <v>5w</v>
      </c>
      <c r="BA119" s="448" t="str">
        <f>_xlfn.IFNA(VLOOKUP($AP119,Programma!$F$3:$Q$1101,12,0),"")</f>
        <v>1w</v>
      </c>
      <c r="BB119" s="448" t="str">
        <f>_xlfn.IFNA(VLOOKUP($AP119,Programma!$F$3:$R$1101,13,0),"")</f>
        <v>1w</v>
      </c>
      <c r="BC119" s="448" t="str">
        <f>_xlfn.IFNA(VLOOKUP($AP119,Programma!$F$3:$S$1101,14,0),"")</f>
        <v>1m</v>
      </c>
      <c r="BD119" s="448" t="str">
        <f>_xlfn.IFNA(VLOOKUP($AP119,Programma!$F$3:$T$1101,15,0),"")</f>
        <v>2j</v>
      </c>
      <c r="BE119" s="448" t="str">
        <f>_xlfn.IFNA(VLOOKUP($AP119,Programma!$F$3:$U$1101,16,0),"")</f>
        <v>1j</v>
      </c>
      <c r="BF119" s="448" t="str">
        <f>_xlfn.IFNA(VLOOKUP($AP119,Programma!$F$3:$V$1101,17,0),"")</f>
        <v>_</v>
      </c>
      <c r="BG119" s="448" t="str">
        <f>_xlfn.IFNA(VLOOKUP($AP119,Programma!$F$3:$W$1101,18,0),"")</f>
        <v>_</v>
      </c>
      <c r="BH119" s="448" t="str">
        <f>_xlfn.IFNA(VLOOKUP($AP119,Programma!$F$3:$X$1101,19,0),"")</f>
        <v>_</v>
      </c>
      <c r="BI119" s="448" t="str">
        <f>_xlfn.IFNA(VLOOKUP($AP119,Programma!$F$3:$Y$1101,20,0),"")</f>
        <v>_</v>
      </c>
      <c r="BJ119" s="449"/>
      <c r="BK119" s="447" t="str">
        <f>IF(Ruimtestaat[[#This Row],[Frequentie weekend]]="","",_xlfn.CONCAT(Ruimtestaat[[#This Row],[Ruimte code]],"-",Ruimtestaat[[#This Row],[Frequentie weekend]]," ",Ruimtestaat[[#This Row],[Vloer code]]))</f>
        <v/>
      </c>
      <c r="BL119" s="448" t="str">
        <f>_xlfn.IFNA(VLOOKUP($BK119,Programma!$F$3:$G$1101,2,0),"")</f>
        <v/>
      </c>
      <c r="BM119" s="448" t="str">
        <f>_xlfn.IFNA(VLOOKUP($BK119,Programma!$F$3:$H$1101,3,0),"")</f>
        <v/>
      </c>
      <c r="BN119" s="448" t="str">
        <f>_xlfn.IFNA(VLOOKUP($BK119,Programma!$F$3:$I$1101,4,0),"")</f>
        <v/>
      </c>
      <c r="BO119" s="448" t="str">
        <f>_xlfn.IFNA(VLOOKUP($BK119,Programma!$F$3:$J$1101,5,0),"")</f>
        <v/>
      </c>
      <c r="BP119" s="448" t="str">
        <f>_xlfn.IFNA(VLOOKUP($BK119,Programma!$F$3:$K$1101,6,0),"")</f>
        <v/>
      </c>
      <c r="BQ119" s="448" t="str">
        <f>_xlfn.IFNA(VLOOKUP($BK119,Programma!$F$3:$L$1101,7,0),"")</f>
        <v/>
      </c>
      <c r="BR119" s="448" t="str">
        <f>_xlfn.IFNA(VLOOKUP($BK119,Programma!$F$3:$M$1101,8,0),"")</f>
        <v/>
      </c>
      <c r="BS119" s="448" t="str">
        <f>_xlfn.IFNA(VLOOKUP($BK119,Programma!$F$3:$N$1101,9,0),"")</f>
        <v/>
      </c>
      <c r="BT119" s="448" t="str">
        <f>_xlfn.IFNA(VLOOKUP($BK119,Programma!$F$3:$O$1101,10,0),"")</f>
        <v/>
      </c>
      <c r="BU119" s="448" t="str">
        <f>_xlfn.IFNA(VLOOKUP($BK119,Programma!$F$3:$P$1101,11,0),"")</f>
        <v/>
      </c>
      <c r="BV119" s="448" t="str">
        <f>_xlfn.IFNA(VLOOKUP($BK119,Programma!$F$3:$Q$1101,12,0),"")</f>
        <v/>
      </c>
      <c r="BW119" s="448" t="str">
        <f>_xlfn.IFNA(VLOOKUP($BK119,Programma!$F$3:$R$1101,13,0),"")</f>
        <v/>
      </c>
      <c r="BX119" s="448" t="str">
        <f>_xlfn.IFNA(VLOOKUP($BK119,Programma!$F$3:$S$1101,14,0),"")</f>
        <v/>
      </c>
      <c r="BY119" s="448" t="str">
        <f>_xlfn.IFNA(VLOOKUP($BK119,Programma!$F$3:$T$1101,15,0),"")</f>
        <v/>
      </c>
      <c r="BZ119" s="448" t="str">
        <f>_xlfn.IFNA(VLOOKUP($BK119,Programma!$F$3:$U$1101,16,0),"")</f>
        <v/>
      </c>
      <c r="CA119" s="448" t="str">
        <f>_xlfn.IFNA(VLOOKUP($BK119,Programma!$F$3:$V$1101,17,0),"")</f>
        <v/>
      </c>
      <c r="CB119" s="448" t="str">
        <f>_xlfn.IFNA(VLOOKUP($BK119,Programma!$F$3:$W$1101,18,0),"")</f>
        <v/>
      </c>
      <c r="CC119" s="448" t="str">
        <f>_xlfn.IFNA(VLOOKUP($BK119,Programma!$F$3:$X$1101,19,0),"")</f>
        <v/>
      </c>
      <c r="CD119" s="448" t="str">
        <f>_xlfn.IFNA(VLOOKUP($BK119,Programma!$F$3:$Y$1101,20,0),"")</f>
        <v/>
      </c>
      <c r="CE119" s="327"/>
      <c r="CF119" s="327"/>
      <c r="CG119" s="327"/>
      <c r="CH119" s="327"/>
      <c r="CI119" s="327"/>
      <c r="CJ119" s="327"/>
      <c r="CK119" s="327"/>
      <c r="CL119" s="327"/>
      <c r="CM119" s="327"/>
      <c r="CN119" s="327"/>
      <c r="CO119" s="327"/>
      <c r="CP119" s="327"/>
      <c r="CQ119" s="327"/>
      <c r="CR119" s="327"/>
      <c r="CS119" s="327"/>
      <c r="CT119" s="327"/>
      <c r="CU119" s="327"/>
      <c r="CV119" s="327"/>
      <c r="CW119" s="327"/>
      <c r="CX119" s="327"/>
      <c r="CY119" s="327"/>
      <c r="CZ119" s="327"/>
      <c r="DA119" s="327"/>
      <c r="DB119" s="327"/>
      <c r="DC119" s="327"/>
      <c r="DD119" s="327"/>
      <c r="DE119" s="327"/>
      <c r="DF119" s="327"/>
      <c r="DG119" s="327"/>
      <c r="DH119" s="327"/>
      <c r="DI119" s="327"/>
      <c r="DJ119" s="327"/>
      <c r="DK119" s="327"/>
      <c r="DL119" s="327"/>
      <c r="DM119" s="327"/>
      <c r="DN119" s="327"/>
      <c r="DO119" s="327"/>
      <c r="DP119" s="327"/>
      <c r="DQ119" s="327"/>
      <c r="DR119" s="327"/>
      <c r="DS119" s="327"/>
      <c r="DT119" s="327"/>
      <c r="DU119" s="327"/>
      <c r="DV119" s="327"/>
      <c r="DW119" s="327"/>
      <c r="DX119" s="327"/>
      <c r="DY119" s="327"/>
      <c r="DZ119" s="327"/>
      <c r="EA119" s="327"/>
      <c r="EB119" s="327"/>
      <c r="EC119" s="327"/>
      <c r="ED119" s="327"/>
      <c r="EE119" s="327"/>
      <c r="EF119" s="327"/>
      <c r="EG119" s="327"/>
      <c r="EH119" s="327"/>
      <c r="EI119" s="327"/>
      <c r="EJ119" s="327"/>
      <c r="EK119" s="327"/>
      <c r="EL119" s="327"/>
      <c r="EM119" s="327"/>
      <c r="EN119" s="327"/>
      <c r="EO119" s="327"/>
      <c r="EP119" s="327"/>
      <c r="EQ119" s="327"/>
      <c r="ER119" s="327"/>
      <c r="ES119" s="327"/>
      <c r="ET119" s="327"/>
      <c r="EU119" s="327"/>
      <c r="EV119" s="327"/>
      <c r="EW119" s="327"/>
      <c r="EX119" s="327"/>
      <c r="EY119" s="327"/>
      <c r="EZ119" s="327"/>
      <c r="FA119" s="327"/>
      <c r="FB119" s="327"/>
      <c r="FC119" s="327"/>
      <c r="FD119" s="327"/>
      <c r="FE119" s="327"/>
      <c r="FF119" s="327"/>
      <c r="FG119" s="327"/>
      <c r="FH119" s="327"/>
      <c r="FI119" s="327"/>
      <c r="FJ119" s="327"/>
      <c r="FK119" s="327"/>
      <c r="FL119" s="327"/>
      <c r="FM119" s="327"/>
      <c r="FN119" s="327"/>
      <c r="FO119" s="327"/>
      <c r="FP119" s="327"/>
      <c r="FQ119" s="327"/>
      <c r="FR119" s="327"/>
      <c r="FS119" s="327"/>
      <c r="FT119" s="327"/>
      <c r="FU119" s="327"/>
      <c r="FV119" s="327"/>
      <c r="FW119" s="327"/>
      <c r="FX119" s="327"/>
      <c r="FY119" s="327"/>
      <c r="FZ119" s="327"/>
      <c r="GA119" s="327"/>
      <c r="GB119" s="327"/>
      <c r="GC119" s="327"/>
      <c r="GD119" s="327"/>
      <c r="GE119" s="327"/>
      <c r="GF119" s="327"/>
      <c r="GG119" s="327"/>
      <c r="GH119" s="327"/>
      <c r="GI119" s="327"/>
      <c r="GJ119" s="327"/>
      <c r="GK119" s="327"/>
      <c r="GL119" s="327"/>
      <c r="GM119" s="327"/>
      <c r="GN119" s="327"/>
      <c r="GO119" s="327"/>
      <c r="GP119" s="327"/>
      <c r="GQ119" s="327"/>
      <c r="GR119" s="327"/>
      <c r="GS119" s="327"/>
      <c r="GT119" s="327"/>
      <c r="GU119" s="327"/>
      <c r="GV119" s="327"/>
      <c r="GW119" s="327"/>
      <c r="GX119" s="327"/>
      <c r="GY119" s="327"/>
      <c r="GZ119" s="327"/>
      <c r="HA119" s="327"/>
      <c r="HB119" s="327"/>
      <c r="HC119" s="327"/>
      <c r="HD119" s="327"/>
      <c r="HE119" s="327"/>
      <c r="HF119" s="327"/>
      <c r="HG119" s="327"/>
      <c r="HH119" s="327"/>
      <c r="HI119" s="327"/>
      <c r="HJ119" s="327"/>
      <c r="HK119" s="327"/>
      <c r="HL119" s="327"/>
      <c r="HM119" s="327"/>
      <c r="HN119" s="327"/>
      <c r="HO119" s="327"/>
      <c r="HP119" s="327"/>
      <c r="HQ119" s="327"/>
      <c r="HR119" s="327"/>
      <c r="HS119" s="327"/>
    </row>
    <row r="120" spans="1:227" ht="15" customHeight="1">
      <c r="A120" s="330">
        <v>6</v>
      </c>
      <c r="B120" s="435" t="str">
        <f>VLOOKUP(Ruimtestaat[[#This Row],[Code]],Locaties[[Code]:[Locatie]],2,FALSE)</f>
        <v>IKC Het Zwanenbos</v>
      </c>
      <c r="C120" s="435" t="str">
        <f>VLOOKUP(Ruimtestaat[[#This Row],[Code]],Locaties[[#All],[Code]:[Adres]],4,FALSE)</f>
        <v>Kerkenbos 24-26</v>
      </c>
      <c r="D120" s="435" t="str">
        <f>VLOOKUP(Ruimtestaat[[#This Row],[Code]],Locaties[[#All],[Code]:[Postcode]],5,FALSE)</f>
        <v>2716 PH</v>
      </c>
      <c r="E120" s="435" t="str">
        <f>VLOOKUP(Ruimtestaat[[#This Row],[Code]],Locaties[#All],6,FALSE)</f>
        <v>Zoetermeer</v>
      </c>
      <c r="F120" s="434"/>
      <c r="G120" s="434" t="s">
        <v>1678</v>
      </c>
      <c r="H120" s="330">
        <v>12</v>
      </c>
      <c r="I120" s="450" t="s">
        <v>1666</v>
      </c>
      <c r="J120" s="330">
        <v>2</v>
      </c>
      <c r="K120" s="450" t="str">
        <f>VLOOKUP(Ruimtestaat[[#This Row],[Ruimte code]],Ruimtegroepen[[#All],[Code]:[Ruimte omschrijving]],2,FALSE)</f>
        <v>Kantoren</v>
      </c>
      <c r="L120" s="434" t="s">
        <v>99</v>
      </c>
      <c r="M120" s="437" t="s">
        <v>36</v>
      </c>
      <c r="N120" s="439">
        <v>12</v>
      </c>
      <c r="O120" s="439"/>
      <c r="P120" s="439"/>
      <c r="Q120" s="439"/>
      <c r="R120" s="440" t="str">
        <f>VLOOKUP(Ruimtestaat[[#This Row],[Ruimte code]],Ruimtegroepen[],4,FALSE)</f>
        <v>Bu</v>
      </c>
      <c r="S120" s="434">
        <v>41</v>
      </c>
      <c r="T120" s="434" t="s">
        <v>17</v>
      </c>
      <c r="U120" s="434">
        <f>IF(S120&gt;0,IF(RIGHT(Ruimtestaat[[#This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20" s="434">
        <f>IF(U120&gt;0,VLOOKUP($J120,Ruimtegroepen[],3,FALSE)*VLOOKUP($L120,Vloersoorten[],3,FALSE)*VLOOKUP($T120,Frequenties[],3,FALSE)*VLOOKUP($A120,Locaties[],3,FALSE),0)</f>
        <v>0</v>
      </c>
      <c r="W120" s="434">
        <f>Ruimtestaat[[#This Row],[Uitvoeringen werkdagen]]*Ruimtestaat[[#This Row],[Oppervlak (netto)]]</f>
        <v>984</v>
      </c>
      <c r="X120" s="441">
        <f>IF(V120&gt;0,Ruimtestaat[[#This Row],[Prest. (m2 /jaar) werkdagen]]/Ruimtestaat[[#This Row],[Norm (m2/uur) werkdagen]],0)</f>
        <v>0</v>
      </c>
      <c r="Y120" s="442">
        <f>Ruimtestaat[[#This Row],[Uitvoeringen werkdagen]]*Ruimtestaat[[#This Row],[Gedeeltelijk]]</f>
        <v>0</v>
      </c>
      <c r="Z120" s="443" t="e">
        <f>IF(U120&gt;0,Ruimtestaat[[#This Row],[Prest. (m2 / jaar) werkdagen gedeeld]]/Ruimtestaat[[#This Row],[Norm (m2/uur) werkdagen]],0)</f>
        <v>#DIV/0!</v>
      </c>
      <c r="AA120" s="441" t="e">
        <f>Ruimtestaat[[#This Row],[uren / jaar werkdagen gedeeld]]*Tariefsopbouw!$E$35</f>
        <v>#DIV/0!</v>
      </c>
      <c r="AB120" s="441">
        <f>Ruimtestaat[[#This Row],[Uitvoeringen werkdagen]]*Ruimtestaat[[#This Row],[BSO]]</f>
        <v>0</v>
      </c>
      <c r="AC120" s="443" t="e">
        <f>IF(U120&gt;0,Ruimtestaat[[#This Row],[Prest. (m2 / jaar) werkdagen BSO]]/Ruimtestaat[[#This Row],[Norm (m2/uur) werkdagen]],0)</f>
        <v>#DIV/0!</v>
      </c>
      <c r="AD120" s="443" t="e">
        <f>Ruimtestaat[[#This Row],[uren / jaar werkdagen BSO]]*Tariefsopbouw!$E$35</f>
        <v>#DIV/0!</v>
      </c>
      <c r="AE120" s="444">
        <f>Ruimtestaat[[#This Row],[uren / jaar werkdagen]]*Tariefsopbouw!$E$35</f>
        <v>0</v>
      </c>
      <c r="AF120" s="434"/>
      <c r="AG120" s="434">
        <f>IF(Ruimtestaat[[#This Row],[Frequentie weekend]]&gt;0,VALUE(LEFT(AF120,1))*S120,0)</f>
        <v>0</v>
      </c>
      <c r="AH120" s="445">
        <f>IF($AG120&gt;0,VLOOKUP($J120,Ruimtegroepen[],3,FALSE)*VLOOKUP($L120,Vloersoorten[],3,FALSE)*VLOOKUP($AF120,Frequenties[],3,FALSE)*VLOOKUP(Ruimtestaat[[#This Row],[Code]],Locaties[],3,FALSE),0)</f>
        <v>0</v>
      </c>
      <c r="AI120" s="445">
        <f>Ruimtestaat[[#This Row],[Uitvoeringen weekend]]*Ruimtestaat[[#This Row],[Oppervlak (netto)]]</f>
        <v>0</v>
      </c>
      <c r="AJ120" s="445">
        <f>IF(AH120&gt;0,Ruimtestaat[[#This Row],[Prest. (m2 /jaar) weekend]]/Ruimtestaat[[#This Row],[Norm (m2/uur) weekend]],0)</f>
        <v>0</v>
      </c>
      <c r="AK120" s="444">
        <f>Ruimtestaat[[#This Row],[uren / jaar weekend]]*Tariefsopbouw!$D$40</f>
        <v>0</v>
      </c>
      <c r="AL120" s="441">
        <f>Ruimtestaat[[#This Row],[Prest. (m2 /jaar) weekend]]+Ruimtestaat[[#This Row],[Prest. (m2 /jaar) werkdagen]]</f>
        <v>984</v>
      </c>
      <c r="AM120" s="441">
        <f>Ruimtestaat[[#This Row],[uren / jaar weekend]]+Ruimtestaat[[#This Row],[uren / jaar werkdagen]]</f>
        <v>0</v>
      </c>
      <c r="AN120" s="446">
        <f>Ruimtestaat[[#This Row],[kosten / jaar weekend]]+Ruimtestaat[[#This Row],[kosten / jaar werkdagen]]</f>
        <v>0</v>
      </c>
      <c r="AO120" s="446"/>
      <c r="AP120" s="447" t="str">
        <f>IF(Ruimtestaat[[#This Row],[Frequentie werkdagen]]="","",_xlfn.CONCAT(Ruimtestaat[[#This Row],[Ruimte code]],"-",Ruimtestaat[[#This Row],[Frequentie werkdagen]]," ",Ruimtestaat[[#This Row],[Vloer code]]))</f>
        <v>2-2w T</v>
      </c>
      <c r="AQ120" s="448" t="str">
        <f>_xlfn.IFNA(VLOOKUP($AP120,Programma!$F$3:$G$1101,2,0),"")</f>
        <v>1w</v>
      </c>
      <c r="AR120" s="448" t="str">
        <f>_xlfn.IFNA(VLOOKUP($AP120,Programma!$F$3:$H$1101,3,0),"")</f>
        <v>1w</v>
      </c>
      <c r="AS120" s="448" t="str">
        <f>_xlfn.IFNA(VLOOKUP($AP120,Programma!$F$3:$I$1101,4,0),"")</f>
        <v>_</v>
      </c>
      <c r="AT120" s="448" t="str">
        <f>_xlfn.IFNA(VLOOKUP($AP120,Programma!$F$3:$J$1101,5,0),"")</f>
        <v>_</v>
      </c>
      <c r="AU120" s="448" t="str">
        <f>_xlfn.IFNA(VLOOKUP($AP120,Programma!$F$3:$K$1101,6,0),"")</f>
        <v>_</v>
      </c>
      <c r="AV120" s="448" t="str">
        <f>_xlfn.IFNA(VLOOKUP($AP120,Programma!$F$3:$L$1101,7,0),"")</f>
        <v>_</v>
      </c>
      <c r="AW120" s="448" t="str">
        <f>_xlfn.IFNA(VLOOKUP($AP120,Programma!$F$3:$M$1101,8,0),"")</f>
        <v>_</v>
      </c>
      <c r="AX120" s="448" t="str">
        <f>_xlfn.IFNA(VLOOKUP($AP120,Programma!$F$3:$N$1101,9,0),"")</f>
        <v>_</v>
      </c>
      <c r="AY120" s="448" t="str">
        <f>_xlfn.IFNA(VLOOKUP($AP120,Programma!$F$3:$O$1101,10,0),"")</f>
        <v>2w</v>
      </c>
      <c r="AZ120" s="448" t="str">
        <f>_xlfn.IFNA(VLOOKUP($AP120,Programma!$F$3:$P$1101,11,0),"")</f>
        <v>2w</v>
      </c>
      <c r="BA120" s="448" t="str">
        <f>_xlfn.IFNA(VLOOKUP($AP120,Programma!$F$3:$Q$1101,12,0),"")</f>
        <v>1w</v>
      </c>
      <c r="BB120" s="448" t="str">
        <f>_xlfn.IFNA(VLOOKUP($AP120,Programma!$F$3:$R$1101,13,0),"")</f>
        <v>1w</v>
      </c>
      <c r="BC120" s="448" t="str">
        <f>_xlfn.IFNA(VLOOKUP($AP120,Programma!$F$3:$S$1101,14,0),"")</f>
        <v>1m</v>
      </c>
      <c r="BD120" s="448" t="str">
        <f>_xlfn.IFNA(VLOOKUP($AP120,Programma!$F$3:$T$1101,15,0),"")</f>
        <v>2j</v>
      </c>
      <c r="BE120" s="448" t="str">
        <f>_xlfn.IFNA(VLOOKUP($AP120,Programma!$F$3:$U$1101,16,0),"")</f>
        <v>1j</v>
      </c>
      <c r="BF120" s="448" t="str">
        <f>_xlfn.IFNA(VLOOKUP($AP120,Programma!$F$3:$V$1101,17,0),"")</f>
        <v>_</v>
      </c>
      <c r="BG120" s="448" t="str">
        <f>_xlfn.IFNA(VLOOKUP($AP120,Programma!$F$3:$W$1101,18,0),"")</f>
        <v>_</v>
      </c>
      <c r="BH120" s="448" t="str">
        <f>_xlfn.IFNA(VLOOKUP($AP120,Programma!$F$3:$X$1101,19,0),"")</f>
        <v>_</v>
      </c>
      <c r="BI120" s="448" t="str">
        <f>_xlfn.IFNA(VLOOKUP($AP120,Programma!$F$3:$Y$1101,20,0),"")</f>
        <v>_</v>
      </c>
      <c r="BJ120" s="449"/>
      <c r="BK120" s="447" t="str">
        <f>IF(Ruimtestaat[[#This Row],[Frequentie weekend]]="","",_xlfn.CONCAT(Ruimtestaat[[#This Row],[Ruimte code]],"-",Ruimtestaat[[#This Row],[Frequentie weekend]]," ",Ruimtestaat[[#This Row],[Vloer code]]))</f>
        <v/>
      </c>
      <c r="BL120" s="448" t="str">
        <f>_xlfn.IFNA(VLOOKUP($BK120,Programma!$F$3:$G$1101,2,0),"")</f>
        <v/>
      </c>
      <c r="BM120" s="448" t="str">
        <f>_xlfn.IFNA(VLOOKUP($BK120,Programma!$F$3:$H$1101,3,0),"")</f>
        <v/>
      </c>
      <c r="BN120" s="448" t="str">
        <f>_xlfn.IFNA(VLOOKUP($BK120,Programma!$F$3:$I$1101,4,0),"")</f>
        <v/>
      </c>
      <c r="BO120" s="448" t="str">
        <f>_xlfn.IFNA(VLOOKUP($BK120,Programma!$F$3:$J$1101,5,0),"")</f>
        <v/>
      </c>
      <c r="BP120" s="448" t="str">
        <f>_xlfn.IFNA(VLOOKUP($BK120,Programma!$F$3:$K$1101,6,0),"")</f>
        <v/>
      </c>
      <c r="BQ120" s="448" t="str">
        <f>_xlfn.IFNA(VLOOKUP($BK120,Programma!$F$3:$L$1101,7,0),"")</f>
        <v/>
      </c>
      <c r="BR120" s="448" t="str">
        <f>_xlfn.IFNA(VLOOKUP($BK120,Programma!$F$3:$M$1101,8,0),"")</f>
        <v/>
      </c>
      <c r="BS120" s="448" t="str">
        <f>_xlfn.IFNA(VLOOKUP($BK120,Programma!$F$3:$N$1101,9,0),"")</f>
        <v/>
      </c>
      <c r="BT120" s="448" t="str">
        <f>_xlfn.IFNA(VLOOKUP($BK120,Programma!$F$3:$O$1101,10,0),"")</f>
        <v/>
      </c>
      <c r="BU120" s="448" t="str">
        <f>_xlfn.IFNA(VLOOKUP($BK120,Programma!$F$3:$P$1101,11,0),"")</f>
        <v/>
      </c>
      <c r="BV120" s="448" t="str">
        <f>_xlfn.IFNA(VLOOKUP($BK120,Programma!$F$3:$Q$1101,12,0),"")</f>
        <v/>
      </c>
      <c r="BW120" s="448" t="str">
        <f>_xlfn.IFNA(VLOOKUP($BK120,Programma!$F$3:$R$1101,13,0),"")</f>
        <v/>
      </c>
      <c r="BX120" s="448" t="str">
        <f>_xlfn.IFNA(VLOOKUP($BK120,Programma!$F$3:$S$1101,14,0),"")</f>
        <v/>
      </c>
      <c r="BY120" s="448" t="str">
        <f>_xlfn.IFNA(VLOOKUP($BK120,Programma!$F$3:$T$1101,15,0),"")</f>
        <v/>
      </c>
      <c r="BZ120" s="448" t="str">
        <f>_xlfn.IFNA(VLOOKUP($BK120,Programma!$F$3:$U$1101,16,0),"")</f>
        <v/>
      </c>
      <c r="CA120" s="448" t="str">
        <f>_xlfn.IFNA(VLOOKUP($BK120,Programma!$F$3:$V$1101,17,0),"")</f>
        <v/>
      </c>
      <c r="CB120" s="448" t="str">
        <f>_xlfn.IFNA(VLOOKUP($BK120,Programma!$F$3:$W$1101,18,0),"")</f>
        <v/>
      </c>
      <c r="CC120" s="448" t="str">
        <f>_xlfn.IFNA(VLOOKUP($BK120,Programma!$F$3:$X$1101,19,0),"")</f>
        <v/>
      </c>
      <c r="CD120" s="448" t="str">
        <f>_xlfn.IFNA(VLOOKUP($BK120,Programma!$F$3:$Y$1101,20,0),"")</f>
        <v/>
      </c>
      <c r="CE120" s="327"/>
      <c r="CF120" s="327"/>
      <c r="CG120" s="327"/>
      <c r="CH120" s="327"/>
      <c r="CI120" s="327"/>
      <c r="CJ120" s="327"/>
      <c r="CK120" s="327"/>
      <c r="CL120" s="327"/>
      <c r="CM120" s="327"/>
      <c r="CN120" s="327"/>
      <c r="CO120" s="327"/>
      <c r="CP120" s="327"/>
      <c r="CQ120" s="327"/>
      <c r="CR120" s="327"/>
      <c r="CS120" s="327"/>
      <c r="CT120" s="327"/>
      <c r="CU120" s="327"/>
      <c r="CV120" s="327"/>
      <c r="CW120" s="327"/>
      <c r="CX120" s="327"/>
      <c r="CY120" s="327"/>
      <c r="CZ120" s="327"/>
      <c r="DA120" s="327"/>
      <c r="DB120" s="327"/>
      <c r="DC120" s="327"/>
      <c r="DD120" s="327"/>
      <c r="DE120" s="327"/>
      <c r="DF120" s="327"/>
      <c r="DG120" s="327"/>
      <c r="DH120" s="327"/>
      <c r="DI120" s="327"/>
      <c r="DJ120" s="327"/>
      <c r="DK120" s="327"/>
      <c r="DL120" s="327"/>
      <c r="DM120" s="327"/>
      <c r="DN120" s="327"/>
      <c r="DO120" s="327"/>
      <c r="DP120" s="327"/>
      <c r="DQ120" s="327"/>
      <c r="DR120" s="327"/>
      <c r="DS120" s="327"/>
      <c r="DT120" s="327"/>
      <c r="DU120" s="327"/>
      <c r="DV120" s="327"/>
      <c r="DW120" s="327"/>
      <c r="DX120" s="327"/>
      <c r="DY120" s="327"/>
      <c r="DZ120" s="327"/>
      <c r="EA120" s="327"/>
      <c r="EB120" s="327"/>
      <c r="EC120" s="327"/>
      <c r="ED120" s="327"/>
      <c r="EE120" s="327"/>
      <c r="EF120" s="327"/>
      <c r="EG120" s="327"/>
      <c r="EH120" s="327"/>
      <c r="EI120" s="327"/>
      <c r="EJ120" s="327"/>
      <c r="EK120" s="327"/>
      <c r="EL120" s="327"/>
      <c r="EM120" s="327"/>
      <c r="EN120" s="327"/>
      <c r="EO120" s="327"/>
      <c r="EP120" s="327"/>
      <c r="EQ120" s="327"/>
      <c r="ER120" s="327"/>
      <c r="ES120" s="327"/>
      <c r="ET120" s="327"/>
      <c r="EU120" s="327"/>
      <c r="EV120" s="327"/>
      <c r="EW120" s="327"/>
      <c r="EX120" s="327"/>
      <c r="EY120" s="327"/>
      <c r="EZ120" s="327"/>
      <c r="FA120" s="327"/>
      <c r="FB120" s="327"/>
      <c r="FC120" s="327"/>
      <c r="FD120" s="327"/>
      <c r="FE120" s="327"/>
      <c r="FF120" s="327"/>
      <c r="FG120" s="327"/>
      <c r="FH120" s="327"/>
      <c r="FI120" s="327"/>
      <c r="FJ120" s="327"/>
      <c r="FK120" s="327"/>
      <c r="FL120" s="327"/>
      <c r="FM120" s="327"/>
      <c r="FN120" s="327"/>
      <c r="FO120" s="327"/>
      <c r="FP120" s="327"/>
      <c r="FQ120" s="327"/>
      <c r="FR120" s="327"/>
      <c r="FS120" s="327"/>
      <c r="FT120" s="327"/>
      <c r="FU120" s="327"/>
      <c r="FV120" s="327"/>
      <c r="FW120" s="327"/>
      <c r="FX120" s="327"/>
      <c r="FY120" s="327"/>
      <c r="FZ120" s="327"/>
      <c r="GA120" s="327"/>
      <c r="GB120" s="327"/>
      <c r="GC120" s="327"/>
      <c r="GD120" s="327"/>
      <c r="GE120" s="327"/>
      <c r="GF120" s="327"/>
      <c r="GG120" s="327"/>
      <c r="GH120" s="327"/>
      <c r="GI120" s="327"/>
      <c r="GJ120" s="327"/>
      <c r="GK120" s="327"/>
      <c r="GL120" s="327"/>
      <c r="GM120" s="327"/>
      <c r="GN120" s="327"/>
      <c r="GO120" s="327"/>
      <c r="GP120" s="327"/>
      <c r="GQ120" s="327"/>
      <c r="GR120" s="327"/>
      <c r="GS120" s="327"/>
      <c r="GT120" s="327"/>
      <c r="GU120" s="327"/>
      <c r="GV120" s="327"/>
      <c r="GW120" s="327"/>
      <c r="GX120" s="327"/>
      <c r="GY120" s="327"/>
      <c r="GZ120" s="327"/>
      <c r="HA120" s="327"/>
      <c r="HB120" s="327"/>
      <c r="HC120" s="327"/>
      <c r="HD120" s="327"/>
      <c r="HE120" s="327"/>
      <c r="HF120" s="327"/>
      <c r="HG120" s="327"/>
      <c r="HH120" s="327"/>
      <c r="HI120" s="327"/>
      <c r="HJ120" s="327"/>
      <c r="HK120" s="327"/>
      <c r="HL120" s="327"/>
      <c r="HM120" s="327"/>
      <c r="HN120" s="327"/>
      <c r="HO120" s="327"/>
      <c r="HP120" s="327"/>
      <c r="HQ120" s="327"/>
      <c r="HR120" s="327"/>
      <c r="HS120" s="327"/>
    </row>
    <row r="121" spans="1:227" ht="15" customHeight="1">
      <c r="A121" s="330">
        <v>6</v>
      </c>
      <c r="B121" s="435" t="str">
        <f>VLOOKUP(Ruimtestaat[[#This Row],[Code]],Locaties[[Code]:[Locatie]],2,FALSE)</f>
        <v>IKC Het Zwanenbos</v>
      </c>
      <c r="C121" s="435" t="str">
        <f>VLOOKUP(Ruimtestaat[[#This Row],[Code]],Locaties[[#All],[Code]:[Adres]],4,FALSE)</f>
        <v>Kerkenbos 24-26</v>
      </c>
      <c r="D121" s="435" t="str">
        <f>VLOOKUP(Ruimtestaat[[#This Row],[Code]],Locaties[[#All],[Code]:[Postcode]],5,FALSE)</f>
        <v>2716 PH</v>
      </c>
      <c r="E121" s="435" t="str">
        <f>VLOOKUP(Ruimtestaat[[#This Row],[Code]],Locaties[#All],6,FALSE)</f>
        <v>Zoetermeer</v>
      </c>
      <c r="F121" s="434"/>
      <c r="G121" s="434" t="s">
        <v>1678</v>
      </c>
      <c r="H121" s="330">
        <v>13</v>
      </c>
      <c r="I121" s="450" t="s">
        <v>1679</v>
      </c>
      <c r="J121" s="330">
        <v>16</v>
      </c>
      <c r="K121" s="450" t="str">
        <f>VLOOKUP(Ruimtestaat[[#This Row],[Ruimte code]],Ruimtegroepen[[#All],[Code]:[Ruimte omschrijving]],2,FALSE)</f>
        <v>Leslokalen</v>
      </c>
      <c r="L121" s="434" t="s">
        <v>100</v>
      </c>
      <c r="M121" s="437" t="s">
        <v>1759</v>
      </c>
      <c r="N121" s="439">
        <v>61</v>
      </c>
      <c r="O121" s="439"/>
      <c r="P121" s="439"/>
      <c r="Q121" s="439"/>
      <c r="R121" s="440" t="str">
        <f>VLOOKUP(Ruimtestaat[[#This Row],[Ruimte code]],Ruimtegroepen[],4,FALSE)</f>
        <v>Le</v>
      </c>
      <c r="S121" s="434">
        <v>40</v>
      </c>
      <c r="T121" s="434" t="s">
        <v>2</v>
      </c>
      <c r="U121" s="434">
        <f>IF(S121&gt;0,IF(RIGHT(Ruimtestaat[[#This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1" s="434">
        <f>IF(U121&gt;0,VLOOKUP($J121,Ruimtegroepen[],3,FALSE)*VLOOKUP($L121,Vloersoorten[],3,FALSE)*VLOOKUP($T121,Frequenties[],3,FALSE)*VLOOKUP($A121,Locaties[],3,FALSE),0)</f>
        <v>0</v>
      </c>
      <c r="W121" s="434">
        <f>Ruimtestaat[[#This Row],[Uitvoeringen werkdagen]]*Ruimtestaat[[#This Row],[Oppervlak (netto)]]</f>
        <v>12200</v>
      </c>
      <c r="X121" s="441">
        <f>IF(V121&gt;0,Ruimtestaat[[#This Row],[Prest. (m2 /jaar) werkdagen]]/Ruimtestaat[[#This Row],[Norm (m2/uur) werkdagen]],0)</f>
        <v>0</v>
      </c>
      <c r="Y121" s="442">
        <f>Ruimtestaat[[#This Row],[Uitvoeringen werkdagen]]*Ruimtestaat[[#This Row],[Gedeeltelijk]]</f>
        <v>0</v>
      </c>
      <c r="Z121" s="443" t="e">
        <f>IF(U121&gt;0,Ruimtestaat[[#This Row],[Prest. (m2 / jaar) werkdagen gedeeld]]/Ruimtestaat[[#This Row],[Norm (m2/uur) werkdagen]],0)</f>
        <v>#DIV/0!</v>
      </c>
      <c r="AA121" s="441" t="e">
        <f>Ruimtestaat[[#This Row],[uren / jaar werkdagen gedeeld]]*Tariefsopbouw!$E$35</f>
        <v>#DIV/0!</v>
      </c>
      <c r="AB121" s="441">
        <f>Ruimtestaat[[#This Row],[Uitvoeringen werkdagen]]*Ruimtestaat[[#This Row],[BSO]]</f>
        <v>0</v>
      </c>
      <c r="AC121" s="443" t="e">
        <f>IF(U121&gt;0,Ruimtestaat[[#This Row],[Prest. (m2 / jaar) werkdagen BSO]]/Ruimtestaat[[#This Row],[Norm (m2/uur) werkdagen]],0)</f>
        <v>#DIV/0!</v>
      </c>
      <c r="AD121" s="443" t="e">
        <f>Ruimtestaat[[#This Row],[uren / jaar werkdagen BSO]]*Tariefsopbouw!$E$35</f>
        <v>#DIV/0!</v>
      </c>
      <c r="AE121" s="444">
        <f>Ruimtestaat[[#This Row],[uren / jaar werkdagen]]*Tariefsopbouw!$E$35</f>
        <v>0</v>
      </c>
      <c r="AF121" s="434"/>
      <c r="AG121" s="434">
        <f>IF(Ruimtestaat[[#This Row],[Frequentie weekend]]&gt;0,VALUE(LEFT(AF121,1))*S121,0)</f>
        <v>0</v>
      </c>
      <c r="AH121" s="445">
        <f>IF($AG121&gt;0,VLOOKUP($J121,Ruimtegroepen[],3,FALSE)*VLOOKUP($L121,Vloersoorten[],3,FALSE)*VLOOKUP($AF121,Frequenties[],3,FALSE)*VLOOKUP(Ruimtestaat[[#This Row],[Code]],Locaties[],3,FALSE),0)</f>
        <v>0</v>
      </c>
      <c r="AI121" s="445">
        <f>Ruimtestaat[[#This Row],[Uitvoeringen weekend]]*Ruimtestaat[[#This Row],[Oppervlak (netto)]]</f>
        <v>0</v>
      </c>
      <c r="AJ121" s="445">
        <f>IF(AH121&gt;0,Ruimtestaat[[#This Row],[Prest. (m2 /jaar) weekend]]/Ruimtestaat[[#This Row],[Norm (m2/uur) weekend]],0)</f>
        <v>0</v>
      </c>
      <c r="AK121" s="444">
        <f>Ruimtestaat[[#This Row],[uren / jaar weekend]]*Tariefsopbouw!$D$40</f>
        <v>0</v>
      </c>
      <c r="AL121" s="441">
        <f>Ruimtestaat[[#This Row],[Prest. (m2 /jaar) weekend]]+Ruimtestaat[[#This Row],[Prest. (m2 /jaar) werkdagen]]</f>
        <v>12200</v>
      </c>
      <c r="AM121" s="441">
        <f>Ruimtestaat[[#This Row],[uren / jaar weekend]]+Ruimtestaat[[#This Row],[uren / jaar werkdagen]]</f>
        <v>0</v>
      </c>
      <c r="AN121" s="446">
        <f>Ruimtestaat[[#This Row],[kosten / jaar weekend]]+Ruimtestaat[[#This Row],[kosten / jaar werkdagen]]</f>
        <v>0</v>
      </c>
      <c r="AO121" s="446"/>
      <c r="AP121" s="447" t="str">
        <f>IF(Ruimtestaat[[#This Row],[Frequentie werkdagen]]="","",_xlfn.CONCAT(Ruimtestaat[[#This Row],[Ruimte code]],"-",Ruimtestaat[[#This Row],[Frequentie werkdagen]]," ",Ruimtestaat[[#This Row],[Vloer code]]))</f>
        <v>16-5w L</v>
      </c>
      <c r="AQ121" s="448" t="str">
        <f>_xlfn.IFNA(VLOOKUP($AP121,Programma!$F$3:$G$1101,2,0),"")</f>
        <v>_</v>
      </c>
      <c r="AR121" s="448" t="str">
        <f>_xlfn.IFNA(VLOOKUP($AP121,Programma!$F$3:$H$1101,3,0),"")</f>
        <v>_</v>
      </c>
      <c r="AS121" s="448" t="str">
        <f>_xlfn.IFNA(VLOOKUP($AP121,Programma!$F$3:$I$1101,4,0),"")</f>
        <v>4w</v>
      </c>
      <c r="AT121" s="448" t="str">
        <f>_xlfn.IFNA(VLOOKUP($AP121,Programma!$F$3:$J$1101,5,0),"")</f>
        <v>1w</v>
      </c>
      <c r="AU121" s="448" t="str">
        <f>_xlfn.IFNA(VLOOKUP($AP121,Programma!$F$3:$K$1101,6,0),"")</f>
        <v>_</v>
      </c>
      <c r="AV121" s="448" t="str">
        <f>_xlfn.IFNA(VLOOKUP($AP121,Programma!$F$3:$L$1101,7,0),"")</f>
        <v>_</v>
      </c>
      <c r="AW121" s="448" t="str">
        <f>_xlfn.IFNA(VLOOKUP($AP121,Programma!$F$3:$M$1101,8,0),"")</f>
        <v>_</v>
      </c>
      <c r="AX121" s="448" t="str">
        <f>_xlfn.IFNA(VLOOKUP($AP121,Programma!$F$3:$N$1101,9,0),"")</f>
        <v>_</v>
      </c>
      <c r="AY121" s="448" t="str">
        <f>_xlfn.IFNA(VLOOKUP($AP121,Programma!$F$3:$O$1101,10,0),"")</f>
        <v>5w</v>
      </c>
      <c r="AZ121" s="448" t="str">
        <f>_xlfn.IFNA(VLOOKUP($AP121,Programma!$F$3:$P$1101,11,0),"")</f>
        <v>5w</v>
      </c>
      <c r="BA121" s="448" t="str">
        <f>_xlfn.IFNA(VLOOKUP($AP121,Programma!$F$3:$Q$1101,12,0),"")</f>
        <v>1w</v>
      </c>
      <c r="BB121" s="448" t="str">
        <f>_xlfn.IFNA(VLOOKUP($AP121,Programma!$F$3:$R$1101,13,0),"")</f>
        <v>1w</v>
      </c>
      <c r="BC121" s="448" t="str">
        <f>_xlfn.IFNA(VLOOKUP($AP121,Programma!$F$3:$S$1101,14,0),"")</f>
        <v>1m</v>
      </c>
      <c r="BD121" s="448" t="str">
        <f>_xlfn.IFNA(VLOOKUP($AP121,Programma!$F$3:$T$1101,15,0),"")</f>
        <v>2j</v>
      </c>
      <c r="BE121" s="448" t="str">
        <f>_xlfn.IFNA(VLOOKUP($AP121,Programma!$F$3:$U$1101,16,0),"")</f>
        <v>1j</v>
      </c>
      <c r="BF121" s="448" t="str">
        <f>_xlfn.IFNA(VLOOKUP($AP121,Programma!$F$3:$V$1101,17,0),"")</f>
        <v>_</v>
      </c>
      <c r="BG121" s="448" t="str">
        <f>_xlfn.IFNA(VLOOKUP($AP121,Programma!$F$3:$W$1101,18,0),"")</f>
        <v>_</v>
      </c>
      <c r="BH121" s="448" t="str">
        <f>_xlfn.IFNA(VLOOKUP($AP121,Programma!$F$3:$X$1101,19,0),"")</f>
        <v>_</v>
      </c>
      <c r="BI121" s="448" t="str">
        <f>_xlfn.IFNA(VLOOKUP($AP121,Programma!$F$3:$Y$1101,20,0),"")</f>
        <v>_</v>
      </c>
      <c r="BJ121" s="449"/>
      <c r="BK121" s="447" t="str">
        <f>IF(Ruimtestaat[[#This Row],[Frequentie weekend]]="","",_xlfn.CONCAT(Ruimtestaat[[#This Row],[Ruimte code]],"-",Ruimtestaat[[#This Row],[Frequentie weekend]]," ",Ruimtestaat[[#This Row],[Vloer code]]))</f>
        <v/>
      </c>
      <c r="BL121" s="448" t="str">
        <f>_xlfn.IFNA(VLOOKUP($BK121,Programma!$F$3:$G$1101,2,0),"")</f>
        <v/>
      </c>
      <c r="BM121" s="448" t="str">
        <f>_xlfn.IFNA(VLOOKUP($BK121,Programma!$F$3:$H$1101,3,0),"")</f>
        <v/>
      </c>
      <c r="BN121" s="448" t="str">
        <f>_xlfn.IFNA(VLOOKUP($BK121,Programma!$F$3:$I$1101,4,0),"")</f>
        <v/>
      </c>
      <c r="BO121" s="448" t="str">
        <f>_xlfn.IFNA(VLOOKUP($BK121,Programma!$F$3:$J$1101,5,0),"")</f>
        <v/>
      </c>
      <c r="BP121" s="448" t="str">
        <f>_xlfn.IFNA(VLOOKUP($BK121,Programma!$F$3:$K$1101,6,0),"")</f>
        <v/>
      </c>
      <c r="BQ121" s="448" t="str">
        <f>_xlfn.IFNA(VLOOKUP($BK121,Programma!$F$3:$L$1101,7,0),"")</f>
        <v/>
      </c>
      <c r="BR121" s="448" t="str">
        <f>_xlfn.IFNA(VLOOKUP($BK121,Programma!$F$3:$M$1101,8,0),"")</f>
        <v/>
      </c>
      <c r="BS121" s="448" t="str">
        <f>_xlfn.IFNA(VLOOKUP($BK121,Programma!$F$3:$N$1101,9,0),"")</f>
        <v/>
      </c>
      <c r="BT121" s="448" t="str">
        <f>_xlfn.IFNA(VLOOKUP($BK121,Programma!$F$3:$O$1101,10,0),"")</f>
        <v/>
      </c>
      <c r="BU121" s="448" t="str">
        <f>_xlfn.IFNA(VLOOKUP($BK121,Programma!$F$3:$P$1101,11,0),"")</f>
        <v/>
      </c>
      <c r="BV121" s="448" t="str">
        <f>_xlfn.IFNA(VLOOKUP($BK121,Programma!$F$3:$Q$1101,12,0),"")</f>
        <v/>
      </c>
      <c r="BW121" s="448" t="str">
        <f>_xlfn.IFNA(VLOOKUP($BK121,Programma!$F$3:$R$1101,13,0),"")</f>
        <v/>
      </c>
      <c r="BX121" s="448" t="str">
        <f>_xlfn.IFNA(VLOOKUP($BK121,Programma!$F$3:$S$1101,14,0),"")</f>
        <v/>
      </c>
      <c r="BY121" s="448" t="str">
        <f>_xlfn.IFNA(VLOOKUP($BK121,Programma!$F$3:$T$1101,15,0),"")</f>
        <v/>
      </c>
      <c r="BZ121" s="448" t="str">
        <f>_xlfn.IFNA(VLOOKUP($BK121,Programma!$F$3:$U$1101,16,0),"")</f>
        <v/>
      </c>
      <c r="CA121" s="448" t="str">
        <f>_xlfn.IFNA(VLOOKUP($BK121,Programma!$F$3:$V$1101,17,0),"")</f>
        <v/>
      </c>
      <c r="CB121" s="448" t="str">
        <f>_xlfn.IFNA(VLOOKUP($BK121,Programma!$F$3:$W$1101,18,0),"")</f>
        <v/>
      </c>
      <c r="CC121" s="448" t="str">
        <f>_xlfn.IFNA(VLOOKUP($BK121,Programma!$F$3:$X$1101,19,0),"")</f>
        <v/>
      </c>
      <c r="CD121" s="448" t="str">
        <f>_xlfn.IFNA(VLOOKUP($BK121,Programma!$F$3:$Y$1101,20,0),"")</f>
        <v/>
      </c>
      <c r="CE121" s="327"/>
      <c r="CF121" s="327"/>
      <c r="CG121" s="327"/>
      <c r="CH121" s="327"/>
      <c r="CI121" s="327"/>
      <c r="CJ121" s="327"/>
      <c r="CK121" s="327"/>
      <c r="CL121" s="327"/>
      <c r="CM121" s="327"/>
      <c r="CN121" s="327"/>
      <c r="CO121" s="327"/>
      <c r="CP121" s="327"/>
      <c r="CQ121" s="327"/>
      <c r="CR121" s="327"/>
      <c r="CS121" s="327"/>
      <c r="CT121" s="327"/>
      <c r="CU121" s="327"/>
      <c r="CV121" s="327"/>
      <c r="CW121" s="327"/>
      <c r="CX121" s="327"/>
      <c r="CY121" s="327"/>
      <c r="CZ121" s="327"/>
      <c r="DA121" s="327"/>
      <c r="DB121" s="327"/>
      <c r="DC121" s="327"/>
      <c r="DD121" s="327"/>
      <c r="DE121" s="327"/>
      <c r="DF121" s="327"/>
      <c r="DG121" s="327"/>
      <c r="DH121" s="327"/>
      <c r="DI121" s="327"/>
      <c r="DJ121" s="327"/>
      <c r="DK121" s="327"/>
      <c r="DL121" s="327"/>
      <c r="DM121" s="327"/>
      <c r="DN121" s="327"/>
      <c r="DO121" s="327"/>
      <c r="DP121" s="327"/>
      <c r="DQ121" s="327"/>
      <c r="DR121" s="327"/>
      <c r="DS121" s="327"/>
      <c r="DT121" s="327"/>
      <c r="DU121" s="327"/>
      <c r="DV121" s="327"/>
      <c r="DW121" s="327"/>
      <c r="DX121" s="327"/>
      <c r="DY121" s="327"/>
      <c r="DZ121" s="327"/>
      <c r="EA121" s="327"/>
      <c r="EB121" s="327"/>
      <c r="EC121" s="327"/>
      <c r="ED121" s="327"/>
      <c r="EE121" s="327"/>
      <c r="EF121" s="327"/>
      <c r="EG121" s="327"/>
      <c r="EH121" s="327"/>
      <c r="EI121" s="327"/>
      <c r="EJ121" s="327"/>
      <c r="EK121" s="327"/>
      <c r="EL121" s="327"/>
      <c r="EM121" s="327"/>
      <c r="EN121" s="327"/>
      <c r="EO121" s="327"/>
      <c r="EP121" s="327"/>
      <c r="EQ121" s="327"/>
      <c r="ER121" s="327"/>
      <c r="ES121" s="327"/>
      <c r="ET121" s="327"/>
      <c r="EU121" s="327"/>
      <c r="EV121" s="327"/>
      <c r="EW121" s="327"/>
      <c r="EX121" s="327"/>
      <c r="EY121" s="327"/>
      <c r="EZ121" s="327"/>
      <c r="FA121" s="327"/>
      <c r="FB121" s="327"/>
      <c r="FC121" s="327"/>
      <c r="FD121" s="327"/>
      <c r="FE121" s="327"/>
      <c r="FF121" s="327"/>
      <c r="FG121" s="327"/>
      <c r="FH121" s="327"/>
      <c r="FI121" s="327"/>
      <c r="FJ121" s="327"/>
      <c r="FK121" s="327"/>
      <c r="FL121" s="327"/>
      <c r="FM121" s="327"/>
      <c r="FN121" s="327"/>
      <c r="FO121" s="327"/>
      <c r="FP121" s="327"/>
      <c r="FQ121" s="327"/>
      <c r="FR121" s="327"/>
      <c r="FS121" s="327"/>
      <c r="FT121" s="327"/>
      <c r="FU121" s="327"/>
      <c r="FV121" s="327"/>
      <c r="FW121" s="327"/>
      <c r="FX121" s="327"/>
      <c r="FY121" s="327"/>
      <c r="FZ121" s="327"/>
      <c r="GA121" s="327"/>
      <c r="GB121" s="327"/>
      <c r="GC121" s="327"/>
      <c r="GD121" s="327"/>
      <c r="GE121" s="327"/>
      <c r="GF121" s="327"/>
      <c r="GG121" s="327"/>
      <c r="GH121" s="327"/>
      <c r="GI121" s="327"/>
      <c r="GJ121" s="327"/>
      <c r="GK121" s="327"/>
      <c r="GL121" s="327"/>
      <c r="GM121" s="327"/>
      <c r="GN121" s="327"/>
      <c r="GO121" s="327"/>
      <c r="GP121" s="327"/>
      <c r="GQ121" s="327"/>
      <c r="GR121" s="327"/>
      <c r="GS121" s="327"/>
      <c r="GT121" s="327"/>
      <c r="GU121" s="327"/>
      <c r="GV121" s="327"/>
      <c r="GW121" s="327"/>
      <c r="GX121" s="327"/>
      <c r="GY121" s="327"/>
      <c r="GZ121" s="327"/>
      <c r="HA121" s="327"/>
      <c r="HB121" s="327"/>
      <c r="HC121" s="327"/>
      <c r="HD121" s="327"/>
      <c r="HE121" s="327"/>
      <c r="HF121" s="327"/>
      <c r="HG121" s="327"/>
      <c r="HH121" s="327"/>
      <c r="HI121" s="327"/>
      <c r="HJ121" s="327"/>
      <c r="HK121" s="327"/>
      <c r="HL121" s="327"/>
      <c r="HM121" s="327"/>
      <c r="HN121" s="327"/>
      <c r="HO121" s="327"/>
      <c r="HP121" s="327"/>
      <c r="HQ121" s="327"/>
      <c r="HR121" s="327"/>
      <c r="HS121" s="327"/>
    </row>
    <row r="122" spans="1:227" ht="15" customHeight="1">
      <c r="A122" s="330">
        <v>6</v>
      </c>
      <c r="B122" s="435" t="str">
        <f>VLOOKUP(Ruimtestaat[[#This Row],[Code]],Locaties[[Code]:[Locatie]],2,FALSE)</f>
        <v>IKC Het Zwanenbos</v>
      </c>
      <c r="C122" s="435" t="str">
        <f>VLOOKUP(Ruimtestaat[[#This Row],[Code]],Locaties[[#All],[Code]:[Adres]],4,FALSE)</f>
        <v>Kerkenbos 24-26</v>
      </c>
      <c r="D122" s="435" t="str">
        <f>VLOOKUP(Ruimtestaat[[#This Row],[Code]],Locaties[[#All],[Code]:[Postcode]],5,FALSE)</f>
        <v>2716 PH</v>
      </c>
      <c r="E122" s="435" t="str">
        <f>VLOOKUP(Ruimtestaat[[#This Row],[Code]],Locaties[#All],6,FALSE)</f>
        <v>Zoetermeer</v>
      </c>
      <c r="F122" s="434"/>
      <c r="G122" s="434" t="s">
        <v>1678</v>
      </c>
      <c r="H122" s="330">
        <v>14</v>
      </c>
      <c r="I122" s="450" t="s">
        <v>1679</v>
      </c>
      <c r="J122" s="330">
        <v>16</v>
      </c>
      <c r="K122" s="450" t="str">
        <f>VLOOKUP(Ruimtestaat[[#This Row],[Ruimte code]],Ruimtegroepen[[#All],[Code]:[Ruimte omschrijving]],2,FALSE)</f>
        <v>Leslokalen</v>
      </c>
      <c r="L122" s="434" t="s">
        <v>100</v>
      </c>
      <c r="M122" s="437" t="s">
        <v>1759</v>
      </c>
      <c r="N122" s="439">
        <v>47</v>
      </c>
      <c r="O122" s="439"/>
      <c r="P122" s="439"/>
      <c r="Q122" s="439"/>
      <c r="R122" s="440" t="str">
        <f>VLOOKUP(Ruimtestaat[[#This Row],[Ruimte code]],Ruimtegroepen[],4,FALSE)</f>
        <v>Le</v>
      </c>
      <c r="S122" s="434">
        <v>40</v>
      </c>
      <c r="T122" s="434" t="s">
        <v>2</v>
      </c>
      <c r="U122" s="434">
        <f>IF(S122&gt;0,IF(RIGHT(Ruimtestaat[[#This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2" s="434">
        <f>IF(U122&gt;0,VLOOKUP($J122,Ruimtegroepen[],3,FALSE)*VLOOKUP($L122,Vloersoorten[],3,FALSE)*VLOOKUP($T122,Frequenties[],3,FALSE)*VLOOKUP($A122,Locaties[],3,FALSE),0)</f>
        <v>0</v>
      </c>
      <c r="W122" s="434">
        <f>Ruimtestaat[[#This Row],[Uitvoeringen werkdagen]]*Ruimtestaat[[#This Row],[Oppervlak (netto)]]</f>
        <v>9400</v>
      </c>
      <c r="X122" s="441">
        <f>IF(V122&gt;0,Ruimtestaat[[#This Row],[Prest. (m2 /jaar) werkdagen]]/Ruimtestaat[[#This Row],[Norm (m2/uur) werkdagen]],0)</f>
        <v>0</v>
      </c>
      <c r="Y122" s="442">
        <f>Ruimtestaat[[#This Row],[Uitvoeringen werkdagen]]*Ruimtestaat[[#This Row],[Gedeeltelijk]]</f>
        <v>0</v>
      </c>
      <c r="Z122" s="443" t="e">
        <f>IF(U122&gt;0,Ruimtestaat[[#This Row],[Prest. (m2 / jaar) werkdagen gedeeld]]/Ruimtestaat[[#This Row],[Norm (m2/uur) werkdagen]],0)</f>
        <v>#DIV/0!</v>
      </c>
      <c r="AA122" s="441" t="e">
        <f>Ruimtestaat[[#This Row],[uren / jaar werkdagen gedeeld]]*Tariefsopbouw!$E$35</f>
        <v>#DIV/0!</v>
      </c>
      <c r="AB122" s="441">
        <f>Ruimtestaat[[#This Row],[Uitvoeringen werkdagen]]*Ruimtestaat[[#This Row],[BSO]]</f>
        <v>0</v>
      </c>
      <c r="AC122" s="443" t="e">
        <f>IF(U122&gt;0,Ruimtestaat[[#This Row],[Prest. (m2 / jaar) werkdagen BSO]]/Ruimtestaat[[#This Row],[Norm (m2/uur) werkdagen]],0)</f>
        <v>#DIV/0!</v>
      </c>
      <c r="AD122" s="443" t="e">
        <f>Ruimtestaat[[#This Row],[uren / jaar werkdagen BSO]]*Tariefsopbouw!$E$35</f>
        <v>#DIV/0!</v>
      </c>
      <c r="AE122" s="444">
        <f>Ruimtestaat[[#This Row],[uren / jaar werkdagen]]*Tariefsopbouw!$E$35</f>
        <v>0</v>
      </c>
      <c r="AF122" s="434"/>
      <c r="AG122" s="434">
        <f>IF(Ruimtestaat[[#This Row],[Frequentie weekend]]&gt;0,VALUE(LEFT(AF122,1))*S122,0)</f>
        <v>0</v>
      </c>
      <c r="AH122" s="445">
        <f>IF($AG122&gt;0,VLOOKUP($J122,Ruimtegroepen[],3,FALSE)*VLOOKUP($L122,Vloersoorten[],3,FALSE)*VLOOKUP($AF122,Frequenties[],3,FALSE)*VLOOKUP(Ruimtestaat[[#This Row],[Code]],Locaties[],3,FALSE),0)</f>
        <v>0</v>
      </c>
      <c r="AI122" s="445">
        <f>Ruimtestaat[[#This Row],[Uitvoeringen weekend]]*Ruimtestaat[[#This Row],[Oppervlak (netto)]]</f>
        <v>0</v>
      </c>
      <c r="AJ122" s="445">
        <f>IF(AH122&gt;0,Ruimtestaat[[#This Row],[Prest. (m2 /jaar) weekend]]/Ruimtestaat[[#This Row],[Norm (m2/uur) weekend]],0)</f>
        <v>0</v>
      </c>
      <c r="AK122" s="444">
        <f>Ruimtestaat[[#This Row],[uren / jaar weekend]]*Tariefsopbouw!$D$40</f>
        <v>0</v>
      </c>
      <c r="AL122" s="441">
        <f>Ruimtestaat[[#This Row],[Prest. (m2 /jaar) weekend]]+Ruimtestaat[[#This Row],[Prest. (m2 /jaar) werkdagen]]</f>
        <v>9400</v>
      </c>
      <c r="AM122" s="441">
        <f>Ruimtestaat[[#This Row],[uren / jaar weekend]]+Ruimtestaat[[#This Row],[uren / jaar werkdagen]]</f>
        <v>0</v>
      </c>
      <c r="AN122" s="446">
        <f>Ruimtestaat[[#This Row],[kosten / jaar weekend]]+Ruimtestaat[[#This Row],[kosten / jaar werkdagen]]</f>
        <v>0</v>
      </c>
      <c r="AO122" s="446"/>
      <c r="AP122" s="447" t="str">
        <f>IF(Ruimtestaat[[#This Row],[Frequentie werkdagen]]="","",_xlfn.CONCAT(Ruimtestaat[[#This Row],[Ruimte code]],"-",Ruimtestaat[[#This Row],[Frequentie werkdagen]]," ",Ruimtestaat[[#This Row],[Vloer code]]))</f>
        <v>16-5w L</v>
      </c>
      <c r="AQ122" s="448" t="str">
        <f>_xlfn.IFNA(VLOOKUP($AP122,Programma!$F$3:$G$1101,2,0),"")</f>
        <v>_</v>
      </c>
      <c r="AR122" s="448" t="str">
        <f>_xlfn.IFNA(VLOOKUP($AP122,Programma!$F$3:$H$1101,3,0),"")</f>
        <v>_</v>
      </c>
      <c r="AS122" s="448" t="str">
        <f>_xlfn.IFNA(VLOOKUP($AP122,Programma!$F$3:$I$1101,4,0),"")</f>
        <v>4w</v>
      </c>
      <c r="AT122" s="448" t="str">
        <f>_xlfn.IFNA(VLOOKUP($AP122,Programma!$F$3:$J$1101,5,0),"")</f>
        <v>1w</v>
      </c>
      <c r="AU122" s="448" t="str">
        <f>_xlfn.IFNA(VLOOKUP($AP122,Programma!$F$3:$K$1101,6,0),"")</f>
        <v>_</v>
      </c>
      <c r="AV122" s="448" t="str">
        <f>_xlfn.IFNA(VLOOKUP($AP122,Programma!$F$3:$L$1101,7,0),"")</f>
        <v>_</v>
      </c>
      <c r="AW122" s="448" t="str">
        <f>_xlfn.IFNA(VLOOKUP($AP122,Programma!$F$3:$M$1101,8,0),"")</f>
        <v>_</v>
      </c>
      <c r="AX122" s="448" t="str">
        <f>_xlfn.IFNA(VLOOKUP($AP122,Programma!$F$3:$N$1101,9,0),"")</f>
        <v>_</v>
      </c>
      <c r="AY122" s="448" t="str">
        <f>_xlfn.IFNA(VLOOKUP($AP122,Programma!$F$3:$O$1101,10,0),"")</f>
        <v>5w</v>
      </c>
      <c r="AZ122" s="448" t="str">
        <f>_xlfn.IFNA(VLOOKUP($AP122,Programma!$F$3:$P$1101,11,0),"")</f>
        <v>5w</v>
      </c>
      <c r="BA122" s="448" t="str">
        <f>_xlfn.IFNA(VLOOKUP($AP122,Programma!$F$3:$Q$1101,12,0),"")</f>
        <v>1w</v>
      </c>
      <c r="BB122" s="448" t="str">
        <f>_xlfn.IFNA(VLOOKUP($AP122,Programma!$F$3:$R$1101,13,0),"")</f>
        <v>1w</v>
      </c>
      <c r="BC122" s="448" t="str">
        <f>_xlfn.IFNA(VLOOKUP($AP122,Programma!$F$3:$S$1101,14,0),"")</f>
        <v>1m</v>
      </c>
      <c r="BD122" s="448" t="str">
        <f>_xlfn.IFNA(VLOOKUP($AP122,Programma!$F$3:$T$1101,15,0),"")</f>
        <v>2j</v>
      </c>
      <c r="BE122" s="448" t="str">
        <f>_xlfn.IFNA(VLOOKUP($AP122,Programma!$F$3:$U$1101,16,0),"")</f>
        <v>1j</v>
      </c>
      <c r="BF122" s="448" t="str">
        <f>_xlfn.IFNA(VLOOKUP($AP122,Programma!$F$3:$V$1101,17,0),"")</f>
        <v>_</v>
      </c>
      <c r="BG122" s="448" t="str">
        <f>_xlfn.IFNA(VLOOKUP($AP122,Programma!$F$3:$W$1101,18,0),"")</f>
        <v>_</v>
      </c>
      <c r="BH122" s="448" t="str">
        <f>_xlfn.IFNA(VLOOKUP($AP122,Programma!$F$3:$X$1101,19,0),"")</f>
        <v>_</v>
      </c>
      <c r="BI122" s="448" t="str">
        <f>_xlfn.IFNA(VLOOKUP($AP122,Programma!$F$3:$Y$1101,20,0),"")</f>
        <v>_</v>
      </c>
      <c r="BJ122" s="449"/>
      <c r="BK122" s="447" t="str">
        <f>IF(Ruimtestaat[[#This Row],[Frequentie weekend]]="","",_xlfn.CONCAT(Ruimtestaat[[#This Row],[Ruimte code]],"-",Ruimtestaat[[#This Row],[Frequentie weekend]]," ",Ruimtestaat[[#This Row],[Vloer code]]))</f>
        <v/>
      </c>
      <c r="BL122" s="448" t="str">
        <f>_xlfn.IFNA(VLOOKUP($BK122,Programma!$F$3:$G$1101,2,0),"")</f>
        <v/>
      </c>
      <c r="BM122" s="448" t="str">
        <f>_xlfn.IFNA(VLOOKUP($BK122,Programma!$F$3:$H$1101,3,0),"")</f>
        <v/>
      </c>
      <c r="BN122" s="448" t="str">
        <f>_xlfn.IFNA(VLOOKUP($BK122,Programma!$F$3:$I$1101,4,0),"")</f>
        <v/>
      </c>
      <c r="BO122" s="448" t="str">
        <f>_xlfn.IFNA(VLOOKUP($BK122,Programma!$F$3:$J$1101,5,0),"")</f>
        <v/>
      </c>
      <c r="BP122" s="448" t="str">
        <f>_xlfn.IFNA(VLOOKUP($BK122,Programma!$F$3:$K$1101,6,0),"")</f>
        <v/>
      </c>
      <c r="BQ122" s="448" t="str">
        <f>_xlfn.IFNA(VLOOKUP($BK122,Programma!$F$3:$L$1101,7,0),"")</f>
        <v/>
      </c>
      <c r="BR122" s="448" t="str">
        <f>_xlfn.IFNA(VLOOKUP($BK122,Programma!$F$3:$M$1101,8,0),"")</f>
        <v/>
      </c>
      <c r="BS122" s="448" t="str">
        <f>_xlfn.IFNA(VLOOKUP($BK122,Programma!$F$3:$N$1101,9,0),"")</f>
        <v/>
      </c>
      <c r="BT122" s="448" t="str">
        <f>_xlfn.IFNA(VLOOKUP($BK122,Programma!$F$3:$O$1101,10,0),"")</f>
        <v/>
      </c>
      <c r="BU122" s="448" t="str">
        <f>_xlfn.IFNA(VLOOKUP($BK122,Programma!$F$3:$P$1101,11,0),"")</f>
        <v/>
      </c>
      <c r="BV122" s="448" t="str">
        <f>_xlfn.IFNA(VLOOKUP($BK122,Programma!$F$3:$Q$1101,12,0),"")</f>
        <v/>
      </c>
      <c r="BW122" s="448" t="str">
        <f>_xlfn.IFNA(VLOOKUP($BK122,Programma!$F$3:$R$1101,13,0),"")</f>
        <v/>
      </c>
      <c r="BX122" s="448" t="str">
        <f>_xlfn.IFNA(VLOOKUP($BK122,Programma!$F$3:$S$1101,14,0),"")</f>
        <v/>
      </c>
      <c r="BY122" s="448" t="str">
        <f>_xlfn.IFNA(VLOOKUP($BK122,Programma!$F$3:$T$1101,15,0),"")</f>
        <v/>
      </c>
      <c r="BZ122" s="448" t="str">
        <f>_xlfn.IFNA(VLOOKUP($BK122,Programma!$F$3:$U$1101,16,0),"")</f>
        <v/>
      </c>
      <c r="CA122" s="448" t="str">
        <f>_xlfn.IFNA(VLOOKUP($BK122,Programma!$F$3:$V$1101,17,0),"")</f>
        <v/>
      </c>
      <c r="CB122" s="448" t="str">
        <f>_xlfn.IFNA(VLOOKUP($BK122,Programma!$F$3:$W$1101,18,0),"")</f>
        <v/>
      </c>
      <c r="CC122" s="448" t="str">
        <f>_xlfn.IFNA(VLOOKUP($BK122,Programma!$F$3:$X$1101,19,0),"")</f>
        <v/>
      </c>
      <c r="CD122" s="448" t="str">
        <f>_xlfn.IFNA(VLOOKUP($BK122,Programma!$F$3:$Y$1101,20,0),"")</f>
        <v/>
      </c>
      <c r="CE122" s="327"/>
      <c r="CF122" s="327"/>
      <c r="CG122" s="327"/>
      <c r="CH122" s="327"/>
      <c r="CI122" s="327"/>
      <c r="CJ122" s="327"/>
      <c r="CK122" s="327"/>
      <c r="CL122" s="327"/>
      <c r="CM122" s="327"/>
      <c r="CN122" s="327"/>
      <c r="CO122" s="327"/>
      <c r="CP122" s="327"/>
      <c r="CQ122" s="327"/>
      <c r="CR122" s="327"/>
      <c r="CS122" s="327"/>
      <c r="CT122" s="327"/>
      <c r="CU122" s="327"/>
      <c r="CV122" s="327"/>
      <c r="CW122" s="327"/>
      <c r="CX122" s="327"/>
      <c r="CY122" s="327"/>
      <c r="CZ122" s="327"/>
      <c r="DA122" s="327"/>
      <c r="DB122" s="327"/>
      <c r="DC122" s="327"/>
      <c r="DD122" s="327"/>
      <c r="DE122" s="327"/>
      <c r="DF122" s="327"/>
      <c r="DG122" s="327"/>
      <c r="DH122" s="327"/>
      <c r="DI122" s="327"/>
      <c r="DJ122" s="327"/>
      <c r="DK122" s="327"/>
      <c r="DL122" s="327"/>
      <c r="DM122" s="327"/>
      <c r="DN122" s="327"/>
      <c r="DO122" s="327"/>
      <c r="DP122" s="327"/>
      <c r="DQ122" s="327"/>
      <c r="DR122" s="327"/>
      <c r="DS122" s="327"/>
      <c r="DT122" s="327"/>
      <c r="DU122" s="327"/>
      <c r="DV122" s="327"/>
      <c r="DW122" s="327"/>
      <c r="DX122" s="327"/>
      <c r="DY122" s="327"/>
      <c r="DZ122" s="327"/>
      <c r="EA122" s="327"/>
      <c r="EB122" s="327"/>
      <c r="EC122" s="327"/>
      <c r="ED122" s="327"/>
      <c r="EE122" s="327"/>
      <c r="EF122" s="327"/>
      <c r="EG122" s="327"/>
      <c r="EH122" s="327"/>
      <c r="EI122" s="327"/>
      <c r="EJ122" s="327"/>
      <c r="EK122" s="327"/>
      <c r="EL122" s="327"/>
      <c r="EM122" s="327"/>
      <c r="EN122" s="327"/>
      <c r="EO122" s="327"/>
      <c r="EP122" s="327"/>
      <c r="EQ122" s="327"/>
      <c r="ER122" s="327"/>
      <c r="ES122" s="327"/>
      <c r="ET122" s="327"/>
      <c r="EU122" s="327"/>
      <c r="EV122" s="327"/>
      <c r="EW122" s="327"/>
      <c r="EX122" s="327"/>
      <c r="EY122" s="327"/>
      <c r="EZ122" s="327"/>
      <c r="FA122" s="327"/>
      <c r="FB122" s="327"/>
      <c r="FC122" s="327"/>
      <c r="FD122" s="327"/>
      <c r="FE122" s="327"/>
      <c r="FF122" s="327"/>
      <c r="FG122" s="327"/>
      <c r="FH122" s="327"/>
      <c r="FI122" s="327"/>
      <c r="FJ122" s="327"/>
      <c r="FK122" s="327"/>
      <c r="FL122" s="327"/>
      <c r="FM122" s="327"/>
      <c r="FN122" s="327"/>
      <c r="FO122" s="327"/>
      <c r="FP122" s="327"/>
      <c r="FQ122" s="327"/>
      <c r="FR122" s="327"/>
      <c r="FS122" s="327"/>
      <c r="FT122" s="327"/>
      <c r="FU122" s="327"/>
      <c r="FV122" s="327"/>
      <c r="FW122" s="327"/>
      <c r="FX122" s="327"/>
      <c r="FY122" s="327"/>
      <c r="FZ122" s="327"/>
      <c r="GA122" s="327"/>
      <c r="GB122" s="327"/>
      <c r="GC122" s="327"/>
      <c r="GD122" s="327"/>
      <c r="GE122" s="327"/>
      <c r="GF122" s="327"/>
      <c r="GG122" s="327"/>
      <c r="GH122" s="327"/>
      <c r="GI122" s="327"/>
      <c r="GJ122" s="327"/>
      <c r="GK122" s="327"/>
      <c r="GL122" s="327"/>
      <c r="GM122" s="327"/>
      <c r="GN122" s="327"/>
      <c r="GO122" s="327"/>
      <c r="GP122" s="327"/>
      <c r="GQ122" s="327"/>
      <c r="GR122" s="327"/>
      <c r="GS122" s="327"/>
      <c r="GT122" s="327"/>
      <c r="GU122" s="327"/>
      <c r="GV122" s="327"/>
      <c r="GW122" s="327"/>
      <c r="GX122" s="327"/>
      <c r="GY122" s="327"/>
      <c r="GZ122" s="327"/>
      <c r="HA122" s="327"/>
      <c r="HB122" s="327"/>
      <c r="HC122" s="327"/>
      <c r="HD122" s="327"/>
      <c r="HE122" s="327"/>
      <c r="HF122" s="327"/>
      <c r="HG122" s="327"/>
      <c r="HH122" s="327"/>
      <c r="HI122" s="327"/>
      <c r="HJ122" s="327"/>
      <c r="HK122" s="327"/>
      <c r="HL122" s="327"/>
      <c r="HM122" s="327"/>
      <c r="HN122" s="327"/>
      <c r="HO122" s="327"/>
      <c r="HP122" s="327"/>
      <c r="HQ122" s="327"/>
      <c r="HR122" s="327"/>
      <c r="HS122" s="327"/>
    </row>
    <row r="123" spans="1:227" ht="15" customHeight="1">
      <c r="A123" s="330">
        <v>6</v>
      </c>
      <c r="B123" s="435" t="str">
        <f>VLOOKUP(Ruimtestaat[[#This Row],[Code]],Locaties[[Code]:[Locatie]],2,FALSE)</f>
        <v>IKC Het Zwanenbos</v>
      </c>
      <c r="C123" s="435" t="str">
        <f>VLOOKUP(Ruimtestaat[[#This Row],[Code]],Locaties[[#All],[Code]:[Adres]],4,FALSE)</f>
        <v>Kerkenbos 24-26</v>
      </c>
      <c r="D123" s="435" t="str">
        <f>VLOOKUP(Ruimtestaat[[#This Row],[Code]],Locaties[[#All],[Code]:[Postcode]],5,FALSE)</f>
        <v>2716 PH</v>
      </c>
      <c r="E123" s="435" t="str">
        <f>VLOOKUP(Ruimtestaat[[#This Row],[Code]],Locaties[#All],6,FALSE)</f>
        <v>Zoetermeer</v>
      </c>
      <c r="F123" s="434"/>
      <c r="G123" s="434" t="s">
        <v>1678</v>
      </c>
      <c r="H123" s="330">
        <v>15</v>
      </c>
      <c r="I123" s="450" t="s">
        <v>1679</v>
      </c>
      <c r="J123" s="330">
        <v>16</v>
      </c>
      <c r="K123" s="450" t="str">
        <f>VLOOKUP(Ruimtestaat[[#This Row],[Ruimte code]],Ruimtegroepen[[#All],[Code]:[Ruimte omschrijving]],2,FALSE)</f>
        <v>Leslokalen</v>
      </c>
      <c r="L123" s="434" t="s">
        <v>100</v>
      </c>
      <c r="M123" s="437" t="s">
        <v>1759</v>
      </c>
      <c r="N123" s="439">
        <v>64</v>
      </c>
      <c r="O123" s="439"/>
      <c r="P123" s="439"/>
      <c r="Q123" s="439"/>
      <c r="R123" s="440" t="str">
        <f>VLOOKUP(Ruimtestaat[[#This Row],[Ruimte code]],Ruimtegroepen[],4,FALSE)</f>
        <v>Le</v>
      </c>
      <c r="S123" s="434">
        <v>40</v>
      </c>
      <c r="T123" s="434" t="s">
        <v>2</v>
      </c>
      <c r="U123" s="434">
        <f>IF(S123&gt;0,IF(RIGHT(Ruimtestaat[[#This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3" s="434">
        <f>IF(U123&gt;0,VLOOKUP($J123,Ruimtegroepen[],3,FALSE)*VLOOKUP($L123,Vloersoorten[],3,FALSE)*VLOOKUP($T123,Frequenties[],3,FALSE)*VLOOKUP($A123,Locaties[],3,FALSE),0)</f>
        <v>0</v>
      </c>
      <c r="W123" s="434">
        <f>Ruimtestaat[[#This Row],[Uitvoeringen werkdagen]]*Ruimtestaat[[#This Row],[Oppervlak (netto)]]</f>
        <v>12800</v>
      </c>
      <c r="X123" s="441">
        <f>IF(V123&gt;0,Ruimtestaat[[#This Row],[Prest. (m2 /jaar) werkdagen]]/Ruimtestaat[[#This Row],[Norm (m2/uur) werkdagen]],0)</f>
        <v>0</v>
      </c>
      <c r="Y123" s="442">
        <f>Ruimtestaat[[#This Row],[Uitvoeringen werkdagen]]*Ruimtestaat[[#This Row],[Gedeeltelijk]]</f>
        <v>0</v>
      </c>
      <c r="Z123" s="443" t="e">
        <f>IF(U123&gt;0,Ruimtestaat[[#This Row],[Prest. (m2 / jaar) werkdagen gedeeld]]/Ruimtestaat[[#This Row],[Norm (m2/uur) werkdagen]],0)</f>
        <v>#DIV/0!</v>
      </c>
      <c r="AA123" s="441" t="e">
        <f>Ruimtestaat[[#This Row],[uren / jaar werkdagen gedeeld]]*Tariefsopbouw!$E$35</f>
        <v>#DIV/0!</v>
      </c>
      <c r="AB123" s="441">
        <f>Ruimtestaat[[#This Row],[Uitvoeringen werkdagen]]*Ruimtestaat[[#This Row],[BSO]]</f>
        <v>0</v>
      </c>
      <c r="AC123" s="443" t="e">
        <f>IF(U123&gt;0,Ruimtestaat[[#This Row],[Prest. (m2 / jaar) werkdagen BSO]]/Ruimtestaat[[#This Row],[Norm (m2/uur) werkdagen]],0)</f>
        <v>#DIV/0!</v>
      </c>
      <c r="AD123" s="443" t="e">
        <f>Ruimtestaat[[#This Row],[uren / jaar werkdagen BSO]]*Tariefsopbouw!$E$35</f>
        <v>#DIV/0!</v>
      </c>
      <c r="AE123" s="444">
        <f>Ruimtestaat[[#This Row],[uren / jaar werkdagen]]*Tariefsopbouw!$E$35</f>
        <v>0</v>
      </c>
      <c r="AF123" s="434"/>
      <c r="AG123" s="434">
        <f>IF(Ruimtestaat[[#This Row],[Frequentie weekend]]&gt;0,VALUE(LEFT(AF123,1))*S123,0)</f>
        <v>0</v>
      </c>
      <c r="AH123" s="445">
        <f>IF($AG123&gt;0,VLOOKUP($J123,Ruimtegroepen[],3,FALSE)*VLOOKUP($L123,Vloersoorten[],3,FALSE)*VLOOKUP($AF123,Frequenties[],3,FALSE)*VLOOKUP(Ruimtestaat[[#This Row],[Code]],Locaties[],3,FALSE),0)</f>
        <v>0</v>
      </c>
      <c r="AI123" s="445">
        <f>Ruimtestaat[[#This Row],[Uitvoeringen weekend]]*Ruimtestaat[[#This Row],[Oppervlak (netto)]]</f>
        <v>0</v>
      </c>
      <c r="AJ123" s="445">
        <f>IF(AH123&gt;0,Ruimtestaat[[#This Row],[Prest. (m2 /jaar) weekend]]/Ruimtestaat[[#This Row],[Norm (m2/uur) weekend]],0)</f>
        <v>0</v>
      </c>
      <c r="AK123" s="444">
        <f>Ruimtestaat[[#This Row],[uren / jaar weekend]]*Tariefsopbouw!$D$40</f>
        <v>0</v>
      </c>
      <c r="AL123" s="441">
        <f>Ruimtestaat[[#This Row],[Prest. (m2 /jaar) weekend]]+Ruimtestaat[[#This Row],[Prest. (m2 /jaar) werkdagen]]</f>
        <v>12800</v>
      </c>
      <c r="AM123" s="441">
        <f>Ruimtestaat[[#This Row],[uren / jaar weekend]]+Ruimtestaat[[#This Row],[uren / jaar werkdagen]]</f>
        <v>0</v>
      </c>
      <c r="AN123" s="446">
        <f>Ruimtestaat[[#This Row],[kosten / jaar weekend]]+Ruimtestaat[[#This Row],[kosten / jaar werkdagen]]</f>
        <v>0</v>
      </c>
      <c r="AO123" s="446"/>
      <c r="AP123" s="447" t="str">
        <f>IF(Ruimtestaat[[#This Row],[Frequentie werkdagen]]="","",_xlfn.CONCAT(Ruimtestaat[[#This Row],[Ruimte code]],"-",Ruimtestaat[[#This Row],[Frequentie werkdagen]]," ",Ruimtestaat[[#This Row],[Vloer code]]))</f>
        <v>16-5w L</v>
      </c>
      <c r="AQ123" s="448" t="str">
        <f>_xlfn.IFNA(VLOOKUP($AP123,Programma!$F$3:$G$1101,2,0),"")</f>
        <v>_</v>
      </c>
      <c r="AR123" s="448" t="str">
        <f>_xlfn.IFNA(VLOOKUP($AP123,Programma!$F$3:$H$1101,3,0),"")</f>
        <v>_</v>
      </c>
      <c r="AS123" s="448" t="str">
        <f>_xlfn.IFNA(VLOOKUP($AP123,Programma!$F$3:$I$1101,4,0),"")</f>
        <v>4w</v>
      </c>
      <c r="AT123" s="448" t="str">
        <f>_xlfn.IFNA(VLOOKUP($AP123,Programma!$F$3:$J$1101,5,0),"")</f>
        <v>1w</v>
      </c>
      <c r="AU123" s="448" t="str">
        <f>_xlfn.IFNA(VLOOKUP($AP123,Programma!$F$3:$K$1101,6,0),"")</f>
        <v>_</v>
      </c>
      <c r="AV123" s="448" t="str">
        <f>_xlfn.IFNA(VLOOKUP($AP123,Programma!$F$3:$L$1101,7,0),"")</f>
        <v>_</v>
      </c>
      <c r="AW123" s="448" t="str">
        <f>_xlfn.IFNA(VLOOKUP($AP123,Programma!$F$3:$M$1101,8,0),"")</f>
        <v>_</v>
      </c>
      <c r="AX123" s="448" t="str">
        <f>_xlfn.IFNA(VLOOKUP($AP123,Programma!$F$3:$N$1101,9,0),"")</f>
        <v>_</v>
      </c>
      <c r="AY123" s="448" t="str">
        <f>_xlfn.IFNA(VLOOKUP($AP123,Programma!$F$3:$O$1101,10,0),"")</f>
        <v>5w</v>
      </c>
      <c r="AZ123" s="448" t="str">
        <f>_xlfn.IFNA(VLOOKUP($AP123,Programma!$F$3:$P$1101,11,0),"")</f>
        <v>5w</v>
      </c>
      <c r="BA123" s="448" t="str">
        <f>_xlfn.IFNA(VLOOKUP($AP123,Programma!$F$3:$Q$1101,12,0),"")</f>
        <v>1w</v>
      </c>
      <c r="BB123" s="448" t="str">
        <f>_xlfn.IFNA(VLOOKUP($AP123,Programma!$F$3:$R$1101,13,0),"")</f>
        <v>1w</v>
      </c>
      <c r="BC123" s="448" t="str">
        <f>_xlfn.IFNA(VLOOKUP($AP123,Programma!$F$3:$S$1101,14,0),"")</f>
        <v>1m</v>
      </c>
      <c r="BD123" s="448" t="str">
        <f>_xlfn.IFNA(VLOOKUP($AP123,Programma!$F$3:$T$1101,15,0),"")</f>
        <v>2j</v>
      </c>
      <c r="BE123" s="448" t="str">
        <f>_xlfn.IFNA(VLOOKUP($AP123,Programma!$F$3:$U$1101,16,0),"")</f>
        <v>1j</v>
      </c>
      <c r="BF123" s="448" t="str">
        <f>_xlfn.IFNA(VLOOKUP($AP123,Programma!$F$3:$V$1101,17,0),"")</f>
        <v>_</v>
      </c>
      <c r="BG123" s="448" t="str">
        <f>_xlfn.IFNA(VLOOKUP($AP123,Programma!$F$3:$W$1101,18,0),"")</f>
        <v>_</v>
      </c>
      <c r="BH123" s="448" t="str">
        <f>_xlfn.IFNA(VLOOKUP($AP123,Programma!$F$3:$X$1101,19,0),"")</f>
        <v>_</v>
      </c>
      <c r="BI123" s="448" t="str">
        <f>_xlfn.IFNA(VLOOKUP($AP123,Programma!$F$3:$Y$1101,20,0),"")</f>
        <v>_</v>
      </c>
      <c r="BJ123" s="449"/>
      <c r="BK123" s="447" t="str">
        <f>IF(Ruimtestaat[[#This Row],[Frequentie weekend]]="","",_xlfn.CONCAT(Ruimtestaat[[#This Row],[Ruimte code]],"-",Ruimtestaat[[#This Row],[Frequentie weekend]]," ",Ruimtestaat[[#This Row],[Vloer code]]))</f>
        <v/>
      </c>
      <c r="BL123" s="448" t="str">
        <f>_xlfn.IFNA(VLOOKUP($BK123,Programma!$F$3:$G$1101,2,0),"")</f>
        <v/>
      </c>
      <c r="BM123" s="448" t="str">
        <f>_xlfn.IFNA(VLOOKUP($BK123,Programma!$F$3:$H$1101,3,0),"")</f>
        <v/>
      </c>
      <c r="BN123" s="448" t="str">
        <f>_xlfn.IFNA(VLOOKUP($BK123,Programma!$F$3:$I$1101,4,0),"")</f>
        <v/>
      </c>
      <c r="BO123" s="448" t="str">
        <f>_xlfn.IFNA(VLOOKUP($BK123,Programma!$F$3:$J$1101,5,0),"")</f>
        <v/>
      </c>
      <c r="BP123" s="448" t="str">
        <f>_xlfn.IFNA(VLOOKUP($BK123,Programma!$F$3:$K$1101,6,0),"")</f>
        <v/>
      </c>
      <c r="BQ123" s="448" t="str">
        <f>_xlfn.IFNA(VLOOKUP($BK123,Programma!$F$3:$L$1101,7,0),"")</f>
        <v/>
      </c>
      <c r="BR123" s="448" t="str">
        <f>_xlfn.IFNA(VLOOKUP($BK123,Programma!$F$3:$M$1101,8,0),"")</f>
        <v/>
      </c>
      <c r="BS123" s="448" t="str">
        <f>_xlfn.IFNA(VLOOKUP($BK123,Programma!$F$3:$N$1101,9,0),"")</f>
        <v/>
      </c>
      <c r="BT123" s="448" t="str">
        <f>_xlfn.IFNA(VLOOKUP($BK123,Programma!$F$3:$O$1101,10,0),"")</f>
        <v/>
      </c>
      <c r="BU123" s="448" t="str">
        <f>_xlfn.IFNA(VLOOKUP($BK123,Programma!$F$3:$P$1101,11,0),"")</f>
        <v/>
      </c>
      <c r="BV123" s="448" t="str">
        <f>_xlfn.IFNA(VLOOKUP($BK123,Programma!$F$3:$Q$1101,12,0),"")</f>
        <v/>
      </c>
      <c r="BW123" s="448" t="str">
        <f>_xlfn.IFNA(VLOOKUP($BK123,Programma!$F$3:$R$1101,13,0),"")</f>
        <v/>
      </c>
      <c r="BX123" s="448" t="str">
        <f>_xlfn.IFNA(VLOOKUP($BK123,Programma!$F$3:$S$1101,14,0),"")</f>
        <v/>
      </c>
      <c r="BY123" s="448" t="str">
        <f>_xlfn.IFNA(VLOOKUP($BK123,Programma!$F$3:$T$1101,15,0),"")</f>
        <v/>
      </c>
      <c r="BZ123" s="448" t="str">
        <f>_xlfn.IFNA(VLOOKUP($BK123,Programma!$F$3:$U$1101,16,0),"")</f>
        <v/>
      </c>
      <c r="CA123" s="448" t="str">
        <f>_xlfn.IFNA(VLOOKUP($BK123,Programma!$F$3:$V$1101,17,0),"")</f>
        <v/>
      </c>
      <c r="CB123" s="448" t="str">
        <f>_xlfn.IFNA(VLOOKUP($BK123,Programma!$F$3:$W$1101,18,0),"")</f>
        <v/>
      </c>
      <c r="CC123" s="448" t="str">
        <f>_xlfn.IFNA(VLOOKUP($BK123,Programma!$F$3:$X$1101,19,0),"")</f>
        <v/>
      </c>
      <c r="CD123" s="448" t="str">
        <f>_xlfn.IFNA(VLOOKUP($BK123,Programma!$F$3:$Y$1101,20,0),"")</f>
        <v/>
      </c>
      <c r="CE123" s="327"/>
      <c r="CF123" s="327"/>
      <c r="CG123" s="327"/>
      <c r="CH123" s="327"/>
      <c r="CI123" s="327"/>
      <c r="CJ123" s="327"/>
      <c r="CK123" s="327"/>
      <c r="CL123" s="327"/>
      <c r="CM123" s="327"/>
      <c r="CN123" s="327"/>
      <c r="CO123" s="327"/>
      <c r="CP123" s="327"/>
      <c r="CQ123" s="327"/>
      <c r="CR123" s="327"/>
      <c r="CS123" s="327"/>
      <c r="CT123" s="327"/>
      <c r="CU123" s="327"/>
      <c r="CV123" s="327"/>
      <c r="CW123" s="327"/>
      <c r="CX123" s="327"/>
      <c r="CY123" s="327"/>
      <c r="CZ123" s="327"/>
      <c r="DA123" s="327"/>
      <c r="DB123" s="327"/>
      <c r="DC123" s="327"/>
      <c r="DD123" s="327"/>
      <c r="DE123" s="327"/>
      <c r="DF123" s="327"/>
      <c r="DG123" s="327"/>
      <c r="DH123" s="327"/>
      <c r="DI123" s="327"/>
      <c r="DJ123" s="327"/>
      <c r="DK123" s="327"/>
      <c r="DL123" s="327"/>
      <c r="DM123" s="327"/>
      <c r="DN123" s="327"/>
      <c r="DO123" s="327"/>
      <c r="DP123" s="327"/>
      <c r="DQ123" s="327"/>
      <c r="DR123" s="327"/>
      <c r="DS123" s="327"/>
      <c r="DT123" s="327"/>
      <c r="DU123" s="327"/>
      <c r="DV123" s="327"/>
      <c r="DW123" s="327"/>
      <c r="DX123" s="327"/>
      <c r="DY123" s="327"/>
      <c r="DZ123" s="327"/>
      <c r="EA123" s="327"/>
      <c r="EB123" s="327"/>
      <c r="EC123" s="327"/>
      <c r="ED123" s="327"/>
      <c r="EE123" s="327"/>
      <c r="EF123" s="327"/>
      <c r="EG123" s="327"/>
      <c r="EH123" s="327"/>
      <c r="EI123" s="327"/>
      <c r="EJ123" s="327"/>
      <c r="EK123" s="327"/>
      <c r="EL123" s="327"/>
      <c r="EM123" s="327"/>
      <c r="EN123" s="327"/>
      <c r="EO123" s="327"/>
      <c r="EP123" s="327"/>
      <c r="EQ123" s="327"/>
      <c r="ER123" s="327"/>
      <c r="ES123" s="327"/>
      <c r="ET123" s="327"/>
      <c r="EU123" s="327"/>
      <c r="EV123" s="327"/>
      <c r="EW123" s="327"/>
      <c r="EX123" s="327"/>
      <c r="EY123" s="327"/>
      <c r="EZ123" s="327"/>
      <c r="FA123" s="327"/>
      <c r="FB123" s="327"/>
      <c r="FC123" s="327"/>
      <c r="FD123" s="327"/>
      <c r="FE123" s="327"/>
      <c r="FF123" s="327"/>
      <c r="FG123" s="327"/>
      <c r="FH123" s="327"/>
      <c r="FI123" s="327"/>
      <c r="FJ123" s="327"/>
      <c r="FK123" s="327"/>
      <c r="FL123" s="327"/>
      <c r="FM123" s="327"/>
      <c r="FN123" s="327"/>
      <c r="FO123" s="327"/>
      <c r="FP123" s="327"/>
      <c r="FQ123" s="327"/>
      <c r="FR123" s="327"/>
      <c r="FS123" s="327"/>
      <c r="FT123" s="327"/>
      <c r="FU123" s="327"/>
      <c r="FV123" s="327"/>
      <c r="FW123" s="327"/>
      <c r="FX123" s="327"/>
      <c r="FY123" s="327"/>
      <c r="FZ123" s="327"/>
      <c r="GA123" s="327"/>
      <c r="GB123" s="327"/>
      <c r="GC123" s="327"/>
      <c r="GD123" s="327"/>
      <c r="GE123" s="327"/>
      <c r="GF123" s="327"/>
      <c r="GG123" s="327"/>
      <c r="GH123" s="327"/>
      <c r="GI123" s="327"/>
      <c r="GJ123" s="327"/>
      <c r="GK123" s="327"/>
      <c r="GL123" s="327"/>
      <c r="GM123" s="327"/>
      <c r="GN123" s="327"/>
      <c r="GO123" s="327"/>
      <c r="GP123" s="327"/>
      <c r="GQ123" s="327"/>
      <c r="GR123" s="327"/>
      <c r="GS123" s="327"/>
      <c r="GT123" s="327"/>
      <c r="GU123" s="327"/>
      <c r="GV123" s="327"/>
      <c r="GW123" s="327"/>
      <c r="GX123" s="327"/>
      <c r="GY123" s="327"/>
      <c r="GZ123" s="327"/>
      <c r="HA123" s="327"/>
      <c r="HB123" s="327"/>
      <c r="HC123" s="327"/>
      <c r="HD123" s="327"/>
      <c r="HE123" s="327"/>
      <c r="HF123" s="327"/>
      <c r="HG123" s="327"/>
      <c r="HH123" s="327"/>
      <c r="HI123" s="327"/>
      <c r="HJ123" s="327"/>
      <c r="HK123" s="327"/>
      <c r="HL123" s="327"/>
      <c r="HM123" s="327"/>
      <c r="HN123" s="327"/>
      <c r="HO123" s="327"/>
      <c r="HP123" s="327"/>
      <c r="HQ123" s="327"/>
      <c r="HR123" s="327"/>
      <c r="HS123" s="327"/>
    </row>
    <row r="124" spans="1:227" ht="15" customHeight="1">
      <c r="A124" s="330">
        <v>6</v>
      </c>
      <c r="B124" s="435" t="str">
        <f>VLOOKUP(Ruimtestaat[[#This Row],[Code]],Locaties[[Code]:[Locatie]],2,FALSE)</f>
        <v>IKC Het Zwanenbos</v>
      </c>
      <c r="C124" s="435" t="str">
        <f>VLOOKUP(Ruimtestaat[[#This Row],[Code]],Locaties[[#All],[Code]:[Adres]],4,FALSE)</f>
        <v>Kerkenbos 24-26</v>
      </c>
      <c r="D124" s="435" t="str">
        <f>VLOOKUP(Ruimtestaat[[#This Row],[Code]],Locaties[[#All],[Code]:[Postcode]],5,FALSE)</f>
        <v>2716 PH</v>
      </c>
      <c r="E124" s="435" t="str">
        <f>VLOOKUP(Ruimtestaat[[#This Row],[Code]],Locaties[#All],6,FALSE)</f>
        <v>Zoetermeer</v>
      </c>
      <c r="F124" s="434"/>
      <c r="G124" s="434" t="s">
        <v>1678</v>
      </c>
      <c r="H124" s="330">
        <v>16</v>
      </c>
      <c r="I124" s="450" t="s">
        <v>1679</v>
      </c>
      <c r="J124" s="330">
        <v>16</v>
      </c>
      <c r="K124" s="450" t="str">
        <f>VLOOKUP(Ruimtestaat[[#This Row],[Ruimte code]],Ruimtegroepen[[#All],[Code]:[Ruimte omschrijving]],2,FALSE)</f>
        <v>Leslokalen</v>
      </c>
      <c r="L124" s="434" t="s">
        <v>100</v>
      </c>
      <c r="M124" s="437" t="s">
        <v>1759</v>
      </c>
      <c r="N124" s="439">
        <v>62</v>
      </c>
      <c r="O124" s="439"/>
      <c r="P124" s="439"/>
      <c r="Q124" s="439"/>
      <c r="R124" s="440" t="str">
        <f>VLOOKUP(Ruimtestaat[[#This Row],[Ruimte code]],Ruimtegroepen[],4,FALSE)</f>
        <v>Le</v>
      </c>
      <c r="S124" s="434">
        <v>40</v>
      </c>
      <c r="T124" s="434" t="s">
        <v>2</v>
      </c>
      <c r="U124" s="434">
        <f>IF(S124&gt;0,IF(RIGHT(Ruimtestaat[[#This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4" s="434">
        <f>IF(U124&gt;0,VLOOKUP($J124,Ruimtegroepen[],3,FALSE)*VLOOKUP($L124,Vloersoorten[],3,FALSE)*VLOOKUP($T124,Frequenties[],3,FALSE)*VLOOKUP($A124,Locaties[],3,FALSE),0)</f>
        <v>0</v>
      </c>
      <c r="W124" s="434">
        <f>Ruimtestaat[[#This Row],[Uitvoeringen werkdagen]]*Ruimtestaat[[#This Row],[Oppervlak (netto)]]</f>
        <v>12400</v>
      </c>
      <c r="X124" s="441">
        <f>IF(V124&gt;0,Ruimtestaat[[#This Row],[Prest. (m2 /jaar) werkdagen]]/Ruimtestaat[[#This Row],[Norm (m2/uur) werkdagen]],0)</f>
        <v>0</v>
      </c>
      <c r="Y124" s="442">
        <f>Ruimtestaat[[#This Row],[Uitvoeringen werkdagen]]*Ruimtestaat[[#This Row],[Gedeeltelijk]]</f>
        <v>0</v>
      </c>
      <c r="Z124" s="443" t="e">
        <f>IF(U124&gt;0,Ruimtestaat[[#This Row],[Prest. (m2 / jaar) werkdagen gedeeld]]/Ruimtestaat[[#This Row],[Norm (m2/uur) werkdagen]],0)</f>
        <v>#DIV/0!</v>
      </c>
      <c r="AA124" s="441" t="e">
        <f>Ruimtestaat[[#This Row],[uren / jaar werkdagen gedeeld]]*Tariefsopbouw!$E$35</f>
        <v>#DIV/0!</v>
      </c>
      <c r="AB124" s="441">
        <f>Ruimtestaat[[#This Row],[Uitvoeringen werkdagen]]*Ruimtestaat[[#This Row],[BSO]]</f>
        <v>0</v>
      </c>
      <c r="AC124" s="443" t="e">
        <f>IF(U124&gt;0,Ruimtestaat[[#This Row],[Prest. (m2 / jaar) werkdagen BSO]]/Ruimtestaat[[#This Row],[Norm (m2/uur) werkdagen]],0)</f>
        <v>#DIV/0!</v>
      </c>
      <c r="AD124" s="443" t="e">
        <f>Ruimtestaat[[#This Row],[uren / jaar werkdagen BSO]]*Tariefsopbouw!$E$35</f>
        <v>#DIV/0!</v>
      </c>
      <c r="AE124" s="444">
        <f>Ruimtestaat[[#This Row],[uren / jaar werkdagen]]*Tariefsopbouw!$E$35</f>
        <v>0</v>
      </c>
      <c r="AF124" s="434"/>
      <c r="AG124" s="434">
        <f>IF(Ruimtestaat[[#This Row],[Frequentie weekend]]&gt;0,VALUE(LEFT(AF124,1))*S124,0)</f>
        <v>0</v>
      </c>
      <c r="AH124" s="445">
        <f>IF($AG124&gt;0,VLOOKUP($J124,Ruimtegroepen[],3,FALSE)*VLOOKUP($L124,Vloersoorten[],3,FALSE)*VLOOKUP($AF124,Frequenties[],3,FALSE)*VLOOKUP(Ruimtestaat[[#This Row],[Code]],Locaties[],3,FALSE),0)</f>
        <v>0</v>
      </c>
      <c r="AI124" s="445">
        <f>Ruimtestaat[[#This Row],[Uitvoeringen weekend]]*Ruimtestaat[[#This Row],[Oppervlak (netto)]]</f>
        <v>0</v>
      </c>
      <c r="AJ124" s="445">
        <f>IF(AH124&gt;0,Ruimtestaat[[#This Row],[Prest. (m2 /jaar) weekend]]/Ruimtestaat[[#This Row],[Norm (m2/uur) weekend]],0)</f>
        <v>0</v>
      </c>
      <c r="AK124" s="444">
        <f>Ruimtestaat[[#This Row],[uren / jaar weekend]]*Tariefsopbouw!$D$40</f>
        <v>0</v>
      </c>
      <c r="AL124" s="441">
        <f>Ruimtestaat[[#This Row],[Prest. (m2 /jaar) weekend]]+Ruimtestaat[[#This Row],[Prest. (m2 /jaar) werkdagen]]</f>
        <v>12400</v>
      </c>
      <c r="AM124" s="441">
        <f>Ruimtestaat[[#This Row],[uren / jaar weekend]]+Ruimtestaat[[#This Row],[uren / jaar werkdagen]]</f>
        <v>0</v>
      </c>
      <c r="AN124" s="446">
        <f>Ruimtestaat[[#This Row],[kosten / jaar weekend]]+Ruimtestaat[[#This Row],[kosten / jaar werkdagen]]</f>
        <v>0</v>
      </c>
      <c r="AO124" s="446"/>
      <c r="AP124" s="447" t="str">
        <f>IF(Ruimtestaat[[#This Row],[Frequentie werkdagen]]="","",_xlfn.CONCAT(Ruimtestaat[[#This Row],[Ruimte code]],"-",Ruimtestaat[[#This Row],[Frequentie werkdagen]]," ",Ruimtestaat[[#This Row],[Vloer code]]))</f>
        <v>16-5w L</v>
      </c>
      <c r="AQ124" s="448" t="str">
        <f>_xlfn.IFNA(VLOOKUP($AP124,Programma!$F$3:$G$1101,2,0),"")</f>
        <v>_</v>
      </c>
      <c r="AR124" s="448" t="str">
        <f>_xlfn.IFNA(VLOOKUP($AP124,Programma!$F$3:$H$1101,3,0),"")</f>
        <v>_</v>
      </c>
      <c r="AS124" s="448" t="str">
        <f>_xlfn.IFNA(VLOOKUP($AP124,Programma!$F$3:$I$1101,4,0),"")</f>
        <v>4w</v>
      </c>
      <c r="AT124" s="448" t="str">
        <f>_xlfn.IFNA(VLOOKUP($AP124,Programma!$F$3:$J$1101,5,0),"")</f>
        <v>1w</v>
      </c>
      <c r="AU124" s="448" t="str">
        <f>_xlfn.IFNA(VLOOKUP($AP124,Programma!$F$3:$K$1101,6,0),"")</f>
        <v>_</v>
      </c>
      <c r="AV124" s="448" t="str">
        <f>_xlfn.IFNA(VLOOKUP($AP124,Programma!$F$3:$L$1101,7,0),"")</f>
        <v>_</v>
      </c>
      <c r="AW124" s="448" t="str">
        <f>_xlfn.IFNA(VLOOKUP($AP124,Programma!$F$3:$M$1101,8,0),"")</f>
        <v>_</v>
      </c>
      <c r="AX124" s="448" t="str">
        <f>_xlfn.IFNA(VLOOKUP($AP124,Programma!$F$3:$N$1101,9,0),"")</f>
        <v>_</v>
      </c>
      <c r="AY124" s="448" t="str">
        <f>_xlfn.IFNA(VLOOKUP($AP124,Programma!$F$3:$O$1101,10,0),"")</f>
        <v>5w</v>
      </c>
      <c r="AZ124" s="448" t="str">
        <f>_xlfn.IFNA(VLOOKUP($AP124,Programma!$F$3:$P$1101,11,0),"")</f>
        <v>5w</v>
      </c>
      <c r="BA124" s="448" t="str">
        <f>_xlfn.IFNA(VLOOKUP($AP124,Programma!$F$3:$Q$1101,12,0),"")</f>
        <v>1w</v>
      </c>
      <c r="BB124" s="448" t="str">
        <f>_xlfn.IFNA(VLOOKUP($AP124,Programma!$F$3:$R$1101,13,0),"")</f>
        <v>1w</v>
      </c>
      <c r="BC124" s="448" t="str">
        <f>_xlfn.IFNA(VLOOKUP($AP124,Programma!$F$3:$S$1101,14,0),"")</f>
        <v>1m</v>
      </c>
      <c r="BD124" s="448" t="str">
        <f>_xlfn.IFNA(VLOOKUP($AP124,Programma!$F$3:$T$1101,15,0),"")</f>
        <v>2j</v>
      </c>
      <c r="BE124" s="448" t="str">
        <f>_xlfn.IFNA(VLOOKUP($AP124,Programma!$F$3:$U$1101,16,0),"")</f>
        <v>1j</v>
      </c>
      <c r="BF124" s="448" t="str">
        <f>_xlfn.IFNA(VLOOKUP($AP124,Programma!$F$3:$V$1101,17,0),"")</f>
        <v>_</v>
      </c>
      <c r="BG124" s="448" t="str">
        <f>_xlfn.IFNA(VLOOKUP($AP124,Programma!$F$3:$W$1101,18,0),"")</f>
        <v>_</v>
      </c>
      <c r="BH124" s="448" t="str">
        <f>_xlfn.IFNA(VLOOKUP($AP124,Programma!$F$3:$X$1101,19,0),"")</f>
        <v>_</v>
      </c>
      <c r="BI124" s="448" t="str">
        <f>_xlfn.IFNA(VLOOKUP($AP124,Programma!$F$3:$Y$1101,20,0),"")</f>
        <v>_</v>
      </c>
      <c r="BJ124" s="449"/>
      <c r="BK124" s="447" t="str">
        <f>IF(Ruimtestaat[[#This Row],[Frequentie weekend]]="","",_xlfn.CONCAT(Ruimtestaat[[#This Row],[Ruimte code]],"-",Ruimtestaat[[#This Row],[Frequentie weekend]]," ",Ruimtestaat[[#This Row],[Vloer code]]))</f>
        <v/>
      </c>
      <c r="BL124" s="448" t="str">
        <f>_xlfn.IFNA(VLOOKUP($BK124,Programma!$F$3:$G$1101,2,0),"")</f>
        <v/>
      </c>
      <c r="BM124" s="448" t="str">
        <f>_xlfn.IFNA(VLOOKUP($BK124,Programma!$F$3:$H$1101,3,0),"")</f>
        <v/>
      </c>
      <c r="BN124" s="448" t="str">
        <f>_xlfn.IFNA(VLOOKUP($BK124,Programma!$F$3:$I$1101,4,0),"")</f>
        <v/>
      </c>
      <c r="BO124" s="448" t="str">
        <f>_xlfn.IFNA(VLOOKUP($BK124,Programma!$F$3:$J$1101,5,0),"")</f>
        <v/>
      </c>
      <c r="BP124" s="448" t="str">
        <f>_xlfn.IFNA(VLOOKUP($BK124,Programma!$F$3:$K$1101,6,0),"")</f>
        <v/>
      </c>
      <c r="BQ124" s="448" t="str">
        <f>_xlfn.IFNA(VLOOKUP($BK124,Programma!$F$3:$L$1101,7,0),"")</f>
        <v/>
      </c>
      <c r="BR124" s="448" t="str">
        <f>_xlfn.IFNA(VLOOKUP($BK124,Programma!$F$3:$M$1101,8,0),"")</f>
        <v/>
      </c>
      <c r="BS124" s="448" t="str">
        <f>_xlfn.IFNA(VLOOKUP($BK124,Programma!$F$3:$N$1101,9,0),"")</f>
        <v/>
      </c>
      <c r="BT124" s="448" t="str">
        <f>_xlfn.IFNA(VLOOKUP($BK124,Programma!$F$3:$O$1101,10,0),"")</f>
        <v/>
      </c>
      <c r="BU124" s="448" t="str">
        <f>_xlfn.IFNA(VLOOKUP($BK124,Programma!$F$3:$P$1101,11,0),"")</f>
        <v/>
      </c>
      <c r="BV124" s="448" t="str">
        <f>_xlfn.IFNA(VLOOKUP($BK124,Programma!$F$3:$Q$1101,12,0),"")</f>
        <v/>
      </c>
      <c r="BW124" s="448" t="str">
        <f>_xlfn.IFNA(VLOOKUP($BK124,Programma!$F$3:$R$1101,13,0),"")</f>
        <v/>
      </c>
      <c r="BX124" s="448" t="str">
        <f>_xlfn.IFNA(VLOOKUP($BK124,Programma!$F$3:$S$1101,14,0),"")</f>
        <v/>
      </c>
      <c r="BY124" s="448" t="str">
        <f>_xlfn.IFNA(VLOOKUP($BK124,Programma!$F$3:$T$1101,15,0),"")</f>
        <v/>
      </c>
      <c r="BZ124" s="448" t="str">
        <f>_xlfn.IFNA(VLOOKUP($BK124,Programma!$F$3:$U$1101,16,0),"")</f>
        <v/>
      </c>
      <c r="CA124" s="448" t="str">
        <f>_xlfn.IFNA(VLOOKUP($BK124,Programma!$F$3:$V$1101,17,0),"")</f>
        <v/>
      </c>
      <c r="CB124" s="448" t="str">
        <f>_xlfn.IFNA(VLOOKUP($BK124,Programma!$F$3:$W$1101,18,0),"")</f>
        <v/>
      </c>
      <c r="CC124" s="448" t="str">
        <f>_xlfn.IFNA(VLOOKUP($BK124,Programma!$F$3:$X$1101,19,0),"")</f>
        <v/>
      </c>
      <c r="CD124" s="448" t="str">
        <f>_xlfn.IFNA(VLOOKUP($BK124,Programma!$F$3:$Y$1101,20,0),"")</f>
        <v/>
      </c>
      <c r="CE124" s="327"/>
      <c r="CF124" s="327"/>
      <c r="CG124" s="327"/>
      <c r="CH124" s="327"/>
      <c r="CI124" s="327"/>
      <c r="CJ124" s="327"/>
      <c r="CK124" s="327"/>
      <c r="CL124" s="327"/>
      <c r="CM124" s="327"/>
      <c r="CN124" s="327"/>
      <c r="CO124" s="327"/>
      <c r="CP124" s="327"/>
      <c r="CQ124" s="327"/>
      <c r="CR124" s="327"/>
      <c r="CS124" s="327"/>
      <c r="CT124" s="327"/>
      <c r="CU124" s="327"/>
      <c r="CV124" s="327"/>
      <c r="CW124" s="327"/>
      <c r="CX124" s="327"/>
      <c r="CY124" s="327"/>
      <c r="CZ124" s="327"/>
      <c r="DA124" s="327"/>
      <c r="DB124" s="327"/>
      <c r="DC124" s="327"/>
      <c r="DD124" s="327"/>
      <c r="DE124" s="327"/>
      <c r="DF124" s="327"/>
      <c r="DG124" s="327"/>
      <c r="DH124" s="327"/>
      <c r="DI124" s="327"/>
      <c r="DJ124" s="327"/>
      <c r="DK124" s="327"/>
      <c r="DL124" s="327"/>
      <c r="DM124" s="327"/>
      <c r="DN124" s="327"/>
      <c r="DO124" s="327"/>
      <c r="DP124" s="327"/>
      <c r="DQ124" s="327"/>
      <c r="DR124" s="327"/>
      <c r="DS124" s="327"/>
      <c r="DT124" s="327"/>
      <c r="DU124" s="327"/>
      <c r="DV124" s="327"/>
      <c r="DW124" s="327"/>
      <c r="DX124" s="327"/>
      <c r="DY124" s="327"/>
      <c r="DZ124" s="327"/>
      <c r="EA124" s="327"/>
      <c r="EB124" s="327"/>
      <c r="EC124" s="327"/>
      <c r="ED124" s="327"/>
      <c r="EE124" s="327"/>
      <c r="EF124" s="327"/>
      <c r="EG124" s="327"/>
      <c r="EH124" s="327"/>
      <c r="EI124" s="327"/>
      <c r="EJ124" s="327"/>
      <c r="EK124" s="327"/>
      <c r="EL124" s="327"/>
      <c r="EM124" s="327"/>
      <c r="EN124" s="327"/>
      <c r="EO124" s="327"/>
      <c r="EP124" s="327"/>
      <c r="EQ124" s="327"/>
      <c r="ER124" s="327"/>
      <c r="ES124" s="327"/>
      <c r="ET124" s="327"/>
      <c r="EU124" s="327"/>
      <c r="EV124" s="327"/>
      <c r="EW124" s="327"/>
      <c r="EX124" s="327"/>
      <c r="EY124" s="327"/>
      <c r="EZ124" s="327"/>
      <c r="FA124" s="327"/>
      <c r="FB124" s="327"/>
      <c r="FC124" s="327"/>
      <c r="FD124" s="327"/>
      <c r="FE124" s="327"/>
      <c r="FF124" s="327"/>
      <c r="FG124" s="327"/>
      <c r="FH124" s="327"/>
      <c r="FI124" s="327"/>
      <c r="FJ124" s="327"/>
      <c r="FK124" s="327"/>
      <c r="FL124" s="327"/>
      <c r="FM124" s="327"/>
      <c r="FN124" s="327"/>
      <c r="FO124" s="327"/>
      <c r="FP124" s="327"/>
      <c r="FQ124" s="327"/>
      <c r="FR124" s="327"/>
      <c r="FS124" s="327"/>
      <c r="FT124" s="327"/>
      <c r="FU124" s="327"/>
      <c r="FV124" s="327"/>
      <c r="FW124" s="327"/>
      <c r="FX124" s="327"/>
      <c r="FY124" s="327"/>
      <c r="FZ124" s="327"/>
      <c r="GA124" s="327"/>
      <c r="GB124" s="327"/>
      <c r="GC124" s="327"/>
      <c r="GD124" s="327"/>
      <c r="GE124" s="327"/>
      <c r="GF124" s="327"/>
      <c r="GG124" s="327"/>
      <c r="GH124" s="327"/>
      <c r="GI124" s="327"/>
      <c r="GJ124" s="327"/>
      <c r="GK124" s="327"/>
      <c r="GL124" s="327"/>
      <c r="GM124" s="327"/>
      <c r="GN124" s="327"/>
      <c r="GO124" s="327"/>
      <c r="GP124" s="327"/>
      <c r="GQ124" s="327"/>
      <c r="GR124" s="327"/>
      <c r="GS124" s="327"/>
      <c r="GT124" s="327"/>
      <c r="GU124" s="327"/>
      <c r="GV124" s="327"/>
      <c r="GW124" s="327"/>
      <c r="GX124" s="327"/>
      <c r="GY124" s="327"/>
      <c r="GZ124" s="327"/>
      <c r="HA124" s="327"/>
      <c r="HB124" s="327"/>
      <c r="HC124" s="327"/>
      <c r="HD124" s="327"/>
      <c r="HE124" s="327"/>
      <c r="HF124" s="327"/>
      <c r="HG124" s="327"/>
      <c r="HH124" s="327"/>
      <c r="HI124" s="327"/>
      <c r="HJ124" s="327"/>
      <c r="HK124" s="327"/>
      <c r="HL124" s="327"/>
      <c r="HM124" s="327"/>
      <c r="HN124" s="327"/>
      <c r="HO124" s="327"/>
      <c r="HP124" s="327"/>
      <c r="HQ124" s="327"/>
      <c r="HR124" s="327"/>
      <c r="HS124" s="327"/>
    </row>
    <row r="125" spans="1:227" ht="15" customHeight="1">
      <c r="A125" s="330">
        <v>6</v>
      </c>
      <c r="B125" s="435" t="str">
        <f>VLOOKUP(Ruimtestaat[[#This Row],[Code]],Locaties[[Code]:[Locatie]],2,FALSE)</f>
        <v>IKC Het Zwanenbos</v>
      </c>
      <c r="C125" s="435" t="str">
        <f>VLOOKUP(Ruimtestaat[[#This Row],[Code]],Locaties[[#All],[Code]:[Adres]],4,FALSE)</f>
        <v>Kerkenbos 24-26</v>
      </c>
      <c r="D125" s="435" t="str">
        <f>VLOOKUP(Ruimtestaat[[#This Row],[Code]],Locaties[[#All],[Code]:[Postcode]],5,FALSE)</f>
        <v>2716 PH</v>
      </c>
      <c r="E125" s="435" t="str">
        <f>VLOOKUP(Ruimtestaat[[#This Row],[Code]],Locaties[#All],6,FALSE)</f>
        <v>Zoetermeer</v>
      </c>
      <c r="F125" s="434"/>
      <c r="G125" s="434" t="s">
        <v>1678</v>
      </c>
      <c r="H125" s="330">
        <v>17</v>
      </c>
      <c r="I125" s="450" t="s">
        <v>1708</v>
      </c>
      <c r="J125" s="330">
        <v>6</v>
      </c>
      <c r="K125" s="450" t="str">
        <f>VLOOKUP(Ruimtestaat[[#This Row],[Ruimte code]],Ruimtegroepen[[#All],[Code]:[Ruimte omschrijving]],2,FALSE)</f>
        <v>Gangen/hallen</v>
      </c>
      <c r="L125" s="434" t="s">
        <v>100</v>
      </c>
      <c r="M125" s="437" t="s">
        <v>1759</v>
      </c>
      <c r="N125" s="439">
        <v>30</v>
      </c>
      <c r="O125" s="439"/>
      <c r="P125" s="439"/>
      <c r="Q125" s="439"/>
      <c r="R125" s="440" t="str">
        <f>VLOOKUP(Ruimtestaat[[#This Row],[Ruimte code]],Ruimtegroepen[],4,FALSE)</f>
        <v>Ve</v>
      </c>
      <c r="S125" s="434">
        <v>41</v>
      </c>
      <c r="T125" s="434" t="s">
        <v>2</v>
      </c>
      <c r="U125" s="434">
        <f>IF(S125&gt;0,IF(RIGHT(Ruimtestaat[[#This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25" s="434">
        <f>IF(U125&gt;0,VLOOKUP($J125,Ruimtegroepen[],3,FALSE)*VLOOKUP($L125,Vloersoorten[],3,FALSE)*VLOOKUP($T125,Frequenties[],3,FALSE)*VLOOKUP($A125,Locaties[],3,FALSE),0)</f>
        <v>0</v>
      </c>
      <c r="W125" s="434">
        <f>Ruimtestaat[[#This Row],[Uitvoeringen werkdagen]]*Ruimtestaat[[#This Row],[Oppervlak (netto)]]</f>
        <v>6150</v>
      </c>
      <c r="X125" s="441">
        <f>IF(V125&gt;0,Ruimtestaat[[#This Row],[Prest. (m2 /jaar) werkdagen]]/Ruimtestaat[[#This Row],[Norm (m2/uur) werkdagen]],0)</f>
        <v>0</v>
      </c>
      <c r="Y125" s="442">
        <f>Ruimtestaat[[#This Row],[Uitvoeringen werkdagen]]*Ruimtestaat[[#This Row],[Gedeeltelijk]]</f>
        <v>0</v>
      </c>
      <c r="Z125" s="443" t="e">
        <f>IF(U125&gt;0,Ruimtestaat[[#This Row],[Prest. (m2 / jaar) werkdagen gedeeld]]/Ruimtestaat[[#This Row],[Norm (m2/uur) werkdagen]],0)</f>
        <v>#DIV/0!</v>
      </c>
      <c r="AA125" s="441" t="e">
        <f>Ruimtestaat[[#This Row],[uren / jaar werkdagen gedeeld]]*Tariefsopbouw!$E$35</f>
        <v>#DIV/0!</v>
      </c>
      <c r="AB125" s="441">
        <f>Ruimtestaat[[#This Row],[Uitvoeringen werkdagen]]*Ruimtestaat[[#This Row],[BSO]]</f>
        <v>0</v>
      </c>
      <c r="AC125" s="443" t="e">
        <f>IF(U125&gt;0,Ruimtestaat[[#This Row],[Prest. (m2 / jaar) werkdagen BSO]]/Ruimtestaat[[#This Row],[Norm (m2/uur) werkdagen]],0)</f>
        <v>#DIV/0!</v>
      </c>
      <c r="AD125" s="443" t="e">
        <f>Ruimtestaat[[#This Row],[uren / jaar werkdagen BSO]]*Tariefsopbouw!$E$35</f>
        <v>#DIV/0!</v>
      </c>
      <c r="AE125" s="444">
        <f>Ruimtestaat[[#This Row],[uren / jaar werkdagen]]*Tariefsopbouw!$E$35</f>
        <v>0</v>
      </c>
      <c r="AF125" s="434"/>
      <c r="AG125" s="434">
        <f>IF(Ruimtestaat[[#This Row],[Frequentie weekend]]&gt;0,VALUE(LEFT(AF125,1))*S125,0)</f>
        <v>0</v>
      </c>
      <c r="AH125" s="445">
        <f>IF($AG125&gt;0,VLOOKUP($J125,Ruimtegroepen[],3,FALSE)*VLOOKUP($L125,Vloersoorten[],3,FALSE)*VLOOKUP($AF125,Frequenties[],3,FALSE)*VLOOKUP(Ruimtestaat[[#This Row],[Code]],Locaties[],3,FALSE),0)</f>
        <v>0</v>
      </c>
      <c r="AI125" s="445">
        <f>Ruimtestaat[[#This Row],[Uitvoeringen weekend]]*Ruimtestaat[[#This Row],[Oppervlak (netto)]]</f>
        <v>0</v>
      </c>
      <c r="AJ125" s="445">
        <f>IF(AH125&gt;0,Ruimtestaat[[#This Row],[Prest. (m2 /jaar) weekend]]/Ruimtestaat[[#This Row],[Norm (m2/uur) weekend]],0)</f>
        <v>0</v>
      </c>
      <c r="AK125" s="444">
        <f>Ruimtestaat[[#This Row],[uren / jaar weekend]]*Tariefsopbouw!$D$40</f>
        <v>0</v>
      </c>
      <c r="AL125" s="441">
        <f>Ruimtestaat[[#This Row],[Prest. (m2 /jaar) weekend]]+Ruimtestaat[[#This Row],[Prest. (m2 /jaar) werkdagen]]</f>
        <v>6150</v>
      </c>
      <c r="AM125" s="441">
        <f>Ruimtestaat[[#This Row],[uren / jaar weekend]]+Ruimtestaat[[#This Row],[uren / jaar werkdagen]]</f>
        <v>0</v>
      </c>
      <c r="AN125" s="446">
        <f>Ruimtestaat[[#This Row],[kosten / jaar weekend]]+Ruimtestaat[[#This Row],[kosten / jaar werkdagen]]</f>
        <v>0</v>
      </c>
      <c r="AO125" s="446"/>
      <c r="AP125" s="447" t="str">
        <f>IF(Ruimtestaat[[#This Row],[Frequentie werkdagen]]="","",_xlfn.CONCAT(Ruimtestaat[[#This Row],[Ruimte code]],"-",Ruimtestaat[[#This Row],[Frequentie werkdagen]]," ",Ruimtestaat[[#This Row],[Vloer code]]))</f>
        <v>6-5w L</v>
      </c>
      <c r="AQ125" s="448" t="str">
        <f>_xlfn.IFNA(VLOOKUP($AP125,Programma!$F$3:$G$1101,2,0),"")</f>
        <v>_</v>
      </c>
      <c r="AR125" s="448" t="str">
        <f>_xlfn.IFNA(VLOOKUP($AP125,Programma!$F$3:$H$1101,3,0),"")</f>
        <v>_</v>
      </c>
      <c r="AS125" s="448" t="str">
        <f>_xlfn.IFNA(VLOOKUP($AP125,Programma!$F$3:$I$1101,4,0),"")</f>
        <v>_</v>
      </c>
      <c r="AT125" s="448" t="str">
        <f>_xlfn.IFNA(VLOOKUP($AP125,Programma!$F$3:$J$1101,5,0),"")</f>
        <v>5w</v>
      </c>
      <c r="AU125" s="448" t="str">
        <f>_xlfn.IFNA(VLOOKUP($AP125,Programma!$F$3:$K$1101,6,0),"")</f>
        <v>_</v>
      </c>
      <c r="AV125" s="448" t="str">
        <f>_xlfn.IFNA(VLOOKUP($AP125,Programma!$F$3:$L$1101,7,0),"")</f>
        <v>_</v>
      </c>
      <c r="AW125" s="448" t="str">
        <f>_xlfn.IFNA(VLOOKUP($AP125,Programma!$F$3:$M$1101,8,0),"")</f>
        <v>_</v>
      </c>
      <c r="AX125" s="448" t="str">
        <f>_xlfn.IFNA(VLOOKUP($AP125,Programma!$F$3:$N$1101,9,0),"")</f>
        <v>_</v>
      </c>
      <c r="AY125" s="448" t="str">
        <f>_xlfn.IFNA(VLOOKUP($AP125,Programma!$F$3:$O$1101,10,0),"")</f>
        <v>5w</v>
      </c>
      <c r="AZ125" s="448" t="str">
        <f>_xlfn.IFNA(VLOOKUP($AP125,Programma!$F$3:$P$1101,11,0),"")</f>
        <v>5w</v>
      </c>
      <c r="BA125" s="448" t="str">
        <f>_xlfn.IFNA(VLOOKUP($AP125,Programma!$F$3:$Q$1101,12,0),"")</f>
        <v>1w</v>
      </c>
      <c r="BB125" s="448" t="str">
        <f>_xlfn.IFNA(VLOOKUP($AP125,Programma!$F$3:$R$1101,13,0),"")</f>
        <v>1w</v>
      </c>
      <c r="BC125" s="448" t="str">
        <f>_xlfn.IFNA(VLOOKUP($AP125,Programma!$F$3:$S$1101,14,0),"")</f>
        <v>1m</v>
      </c>
      <c r="BD125" s="448" t="str">
        <f>_xlfn.IFNA(VLOOKUP($AP125,Programma!$F$3:$T$1101,15,0),"")</f>
        <v>2j</v>
      </c>
      <c r="BE125" s="448" t="str">
        <f>_xlfn.IFNA(VLOOKUP($AP125,Programma!$F$3:$U$1101,16,0),"")</f>
        <v>1j</v>
      </c>
      <c r="BF125" s="448" t="str">
        <f>_xlfn.IFNA(VLOOKUP($AP125,Programma!$F$3:$V$1101,17,0),"")</f>
        <v>_</v>
      </c>
      <c r="BG125" s="448" t="str">
        <f>_xlfn.IFNA(VLOOKUP($AP125,Programma!$F$3:$W$1101,18,0),"")</f>
        <v>_</v>
      </c>
      <c r="BH125" s="448" t="str">
        <f>_xlfn.IFNA(VLOOKUP($AP125,Programma!$F$3:$X$1101,19,0),"")</f>
        <v>_</v>
      </c>
      <c r="BI125" s="448" t="str">
        <f>_xlfn.IFNA(VLOOKUP($AP125,Programma!$F$3:$Y$1101,20,0),"")</f>
        <v>_</v>
      </c>
      <c r="BJ125" s="449"/>
      <c r="BK125" s="447" t="str">
        <f>IF(Ruimtestaat[[#This Row],[Frequentie weekend]]="","",_xlfn.CONCAT(Ruimtestaat[[#This Row],[Ruimte code]],"-",Ruimtestaat[[#This Row],[Frequentie weekend]]," ",Ruimtestaat[[#This Row],[Vloer code]]))</f>
        <v/>
      </c>
      <c r="BL125" s="448" t="str">
        <f>_xlfn.IFNA(VLOOKUP($BK125,Programma!$F$3:$G$1101,2,0),"")</f>
        <v/>
      </c>
      <c r="BM125" s="448" t="str">
        <f>_xlfn.IFNA(VLOOKUP($BK125,Programma!$F$3:$H$1101,3,0),"")</f>
        <v/>
      </c>
      <c r="BN125" s="448" t="str">
        <f>_xlfn.IFNA(VLOOKUP($BK125,Programma!$F$3:$I$1101,4,0),"")</f>
        <v/>
      </c>
      <c r="BO125" s="448" t="str">
        <f>_xlfn.IFNA(VLOOKUP($BK125,Programma!$F$3:$J$1101,5,0),"")</f>
        <v/>
      </c>
      <c r="BP125" s="448" t="str">
        <f>_xlfn.IFNA(VLOOKUP($BK125,Programma!$F$3:$K$1101,6,0),"")</f>
        <v/>
      </c>
      <c r="BQ125" s="448" t="str">
        <f>_xlfn.IFNA(VLOOKUP($BK125,Programma!$F$3:$L$1101,7,0),"")</f>
        <v/>
      </c>
      <c r="BR125" s="448" t="str">
        <f>_xlfn.IFNA(VLOOKUP($BK125,Programma!$F$3:$M$1101,8,0),"")</f>
        <v/>
      </c>
      <c r="BS125" s="448" t="str">
        <f>_xlfn.IFNA(VLOOKUP($BK125,Programma!$F$3:$N$1101,9,0),"")</f>
        <v/>
      </c>
      <c r="BT125" s="448" t="str">
        <f>_xlfn.IFNA(VLOOKUP($BK125,Programma!$F$3:$O$1101,10,0),"")</f>
        <v/>
      </c>
      <c r="BU125" s="448" t="str">
        <f>_xlfn.IFNA(VLOOKUP($BK125,Programma!$F$3:$P$1101,11,0),"")</f>
        <v/>
      </c>
      <c r="BV125" s="448" t="str">
        <f>_xlfn.IFNA(VLOOKUP($BK125,Programma!$F$3:$Q$1101,12,0),"")</f>
        <v/>
      </c>
      <c r="BW125" s="448" t="str">
        <f>_xlfn.IFNA(VLOOKUP($BK125,Programma!$F$3:$R$1101,13,0),"")</f>
        <v/>
      </c>
      <c r="BX125" s="448" t="str">
        <f>_xlfn.IFNA(VLOOKUP($BK125,Programma!$F$3:$S$1101,14,0),"")</f>
        <v/>
      </c>
      <c r="BY125" s="448" t="str">
        <f>_xlfn.IFNA(VLOOKUP($BK125,Programma!$F$3:$T$1101,15,0),"")</f>
        <v/>
      </c>
      <c r="BZ125" s="448" t="str">
        <f>_xlfn.IFNA(VLOOKUP($BK125,Programma!$F$3:$U$1101,16,0),"")</f>
        <v/>
      </c>
      <c r="CA125" s="448" t="str">
        <f>_xlfn.IFNA(VLOOKUP($BK125,Programma!$F$3:$V$1101,17,0),"")</f>
        <v/>
      </c>
      <c r="CB125" s="448" t="str">
        <f>_xlfn.IFNA(VLOOKUP($BK125,Programma!$F$3:$W$1101,18,0),"")</f>
        <v/>
      </c>
      <c r="CC125" s="448" t="str">
        <f>_xlfn.IFNA(VLOOKUP($BK125,Programma!$F$3:$X$1101,19,0),"")</f>
        <v/>
      </c>
      <c r="CD125" s="448" t="str">
        <f>_xlfn.IFNA(VLOOKUP($BK125,Programma!$F$3:$Y$1101,20,0),"")</f>
        <v/>
      </c>
      <c r="CE125" s="327"/>
      <c r="CF125" s="327"/>
      <c r="CG125" s="327"/>
      <c r="CH125" s="327"/>
      <c r="CI125" s="327"/>
      <c r="CJ125" s="327"/>
      <c r="CK125" s="327"/>
      <c r="CL125" s="327"/>
      <c r="CM125" s="327"/>
      <c r="CN125" s="327"/>
      <c r="CO125" s="327"/>
      <c r="CP125" s="327"/>
      <c r="CQ125" s="327"/>
      <c r="CR125" s="327"/>
      <c r="CS125" s="327"/>
      <c r="CT125" s="327"/>
      <c r="CU125" s="327"/>
      <c r="CV125" s="327"/>
      <c r="CW125" s="327"/>
      <c r="CX125" s="327"/>
      <c r="CY125" s="327"/>
      <c r="CZ125" s="327"/>
      <c r="DA125" s="327"/>
      <c r="DB125" s="327"/>
      <c r="DC125" s="327"/>
      <c r="DD125" s="327"/>
      <c r="DE125" s="327"/>
      <c r="DF125" s="327"/>
      <c r="DG125" s="327"/>
      <c r="DH125" s="327"/>
      <c r="DI125" s="327"/>
      <c r="DJ125" s="327"/>
      <c r="DK125" s="327"/>
      <c r="DL125" s="327"/>
      <c r="DM125" s="327"/>
      <c r="DN125" s="327"/>
      <c r="DO125" s="327"/>
      <c r="DP125" s="327"/>
      <c r="DQ125" s="327"/>
      <c r="DR125" s="327"/>
      <c r="DS125" s="327"/>
      <c r="DT125" s="327"/>
      <c r="DU125" s="327"/>
      <c r="DV125" s="327"/>
      <c r="DW125" s="327"/>
      <c r="DX125" s="327"/>
      <c r="DY125" s="327"/>
      <c r="DZ125" s="327"/>
      <c r="EA125" s="327"/>
      <c r="EB125" s="327"/>
      <c r="EC125" s="327"/>
      <c r="ED125" s="327"/>
      <c r="EE125" s="327"/>
      <c r="EF125" s="327"/>
      <c r="EG125" s="327"/>
      <c r="EH125" s="327"/>
      <c r="EI125" s="327"/>
      <c r="EJ125" s="327"/>
      <c r="EK125" s="327"/>
      <c r="EL125" s="327"/>
      <c r="EM125" s="327"/>
      <c r="EN125" s="327"/>
      <c r="EO125" s="327"/>
      <c r="EP125" s="327"/>
      <c r="EQ125" s="327"/>
      <c r="ER125" s="327"/>
      <c r="ES125" s="327"/>
      <c r="ET125" s="327"/>
      <c r="EU125" s="327"/>
      <c r="EV125" s="327"/>
      <c r="EW125" s="327"/>
      <c r="EX125" s="327"/>
      <c r="EY125" s="327"/>
      <c r="EZ125" s="327"/>
      <c r="FA125" s="327"/>
      <c r="FB125" s="327"/>
      <c r="FC125" s="327"/>
      <c r="FD125" s="327"/>
      <c r="FE125" s="327"/>
      <c r="FF125" s="327"/>
      <c r="FG125" s="327"/>
      <c r="FH125" s="327"/>
      <c r="FI125" s="327"/>
      <c r="FJ125" s="327"/>
      <c r="FK125" s="327"/>
      <c r="FL125" s="327"/>
      <c r="FM125" s="327"/>
      <c r="FN125" s="327"/>
      <c r="FO125" s="327"/>
      <c r="FP125" s="327"/>
      <c r="FQ125" s="327"/>
      <c r="FR125" s="327"/>
      <c r="FS125" s="327"/>
      <c r="FT125" s="327"/>
      <c r="FU125" s="327"/>
      <c r="FV125" s="327"/>
      <c r="FW125" s="327"/>
      <c r="FX125" s="327"/>
      <c r="FY125" s="327"/>
      <c r="FZ125" s="327"/>
      <c r="GA125" s="327"/>
      <c r="GB125" s="327"/>
      <c r="GC125" s="327"/>
      <c r="GD125" s="327"/>
      <c r="GE125" s="327"/>
      <c r="GF125" s="327"/>
      <c r="GG125" s="327"/>
      <c r="GH125" s="327"/>
      <c r="GI125" s="327"/>
      <c r="GJ125" s="327"/>
      <c r="GK125" s="327"/>
      <c r="GL125" s="327"/>
      <c r="GM125" s="327"/>
      <c r="GN125" s="327"/>
      <c r="GO125" s="327"/>
      <c r="GP125" s="327"/>
      <c r="GQ125" s="327"/>
      <c r="GR125" s="327"/>
      <c r="GS125" s="327"/>
      <c r="GT125" s="327"/>
      <c r="GU125" s="327"/>
      <c r="GV125" s="327"/>
      <c r="GW125" s="327"/>
      <c r="GX125" s="327"/>
      <c r="GY125" s="327"/>
      <c r="GZ125" s="327"/>
      <c r="HA125" s="327"/>
      <c r="HB125" s="327"/>
      <c r="HC125" s="327"/>
      <c r="HD125" s="327"/>
      <c r="HE125" s="327"/>
      <c r="HF125" s="327"/>
      <c r="HG125" s="327"/>
      <c r="HH125" s="327"/>
      <c r="HI125" s="327"/>
      <c r="HJ125" s="327"/>
      <c r="HK125" s="327"/>
      <c r="HL125" s="327"/>
      <c r="HM125" s="327"/>
      <c r="HN125" s="327"/>
      <c r="HO125" s="327"/>
      <c r="HP125" s="327"/>
      <c r="HQ125" s="327"/>
      <c r="HR125" s="327"/>
      <c r="HS125" s="327"/>
    </row>
    <row r="126" spans="1:227" ht="15" customHeight="1">
      <c r="A126" s="330">
        <v>6</v>
      </c>
      <c r="B126" s="435" t="str">
        <f>VLOOKUP(Ruimtestaat[[#This Row],[Code]],Locaties[[Code]:[Locatie]],2,FALSE)</f>
        <v>IKC Het Zwanenbos</v>
      </c>
      <c r="C126" s="435" t="str">
        <f>VLOOKUP(Ruimtestaat[[#This Row],[Code]],Locaties[[#All],[Code]:[Adres]],4,FALSE)</f>
        <v>Kerkenbos 24-26</v>
      </c>
      <c r="D126" s="435" t="str">
        <f>VLOOKUP(Ruimtestaat[[#This Row],[Code]],Locaties[[#All],[Code]:[Postcode]],5,FALSE)</f>
        <v>2716 PH</v>
      </c>
      <c r="E126" s="435" t="str">
        <f>VLOOKUP(Ruimtestaat[[#This Row],[Code]],Locaties[#All],6,FALSE)</f>
        <v>Zoetermeer</v>
      </c>
      <c r="F126" s="434"/>
      <c r="G126" s="434" t="s">
        <v>1678</v>
      </c>
      <c r="H126" s="330">
        <v>18</v>
      </c>
      <c r="I126" s="450" t="s">
        <v>1708</v>
      </c>
      <c r="J126" s="330">
        <v>6</v>
      </c>
      <c r="K126" s="450" t="str">
        <f>VLOOKUP(Ruimtestaat[[#This Row],[Ruimte code]],Ruimtegroepen[[#All],[Code]:[Ruimte omschrijving]],2,FALSE)</f>
        <v>Gangen/hallen</v>
      </c>
      <c r="L126" s="434" t="s">
        <v>100</v>
      </c>
      <c r="M126" s="437" t="s">
        <v>1759</v>
      </c>
      <c r="N126" s="439">
        <v>22</v>
      </c>
      <c r="O126" s="439"/>
      <c r="P126" s="439"/>
      <c r="Q126" s="439"/>
      <c r="R126" s="440" t="str">
        <f>VLOOKUP(Ruimtestaat[[#This Row],[Ruimte code]],Ruimtegroepen[],4,FALSE)</f>
        <v>Ve</v>
      </c>
      <c r="S126" s="434">
        <v>41</v>
      </c>
      <c r="T126" s="434" t="s">
        <v>2</v>
      </c>
      <c r="U126" s="434">
        <f>IF(S126&gt;0,IF(RIGHT(Ruimtestaat[[#This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26" s="434">
        <f>IF(U126&gt;0,VLOOKUP($J126,Ruimtegroepen[],3,FALSE)*VLOOKUP($L126,Vloersoorten[],3,FALSE)*VLOOKUP($T126,Frequenties[],3,FALSE)*VLOOKUP($A126,Locaties[],3,FALSE),0)</f>
        <v>0</v>
      </c>
      <c r="W126" s="434">
        <f>Ruimtestaat[[#This Row],[Uitvoeringen werkdagen]]*Ruimtestaat[[#This Row],[Oppervlak (netto)]]</f>
        <v>4510</v>
      </c>
      <c r="X126" s="441">
        <f>IF(V126&gt;0,Ruimtestaat[[#This Row],[Prest. (m2 /jaar) werkdagen]]/Ruimtestaat[[#This Row],[Norm (m2/uur) werkdagen]],0)</f>
        <v>0</v>
      </c>
      <c r="Y126" s="442">
        <f>Ruimtestaat[[#This Row],[Uitvoeringen werkdagen]]*Ruimtestaat[[#This Row],[Gedeeltelijk]]</f>
        <v>0</v>
      </c>
      <c r="Z126" s="443" t="e">
        <f>IF(U126&gt;0,Ruimtestaat[[#This Row],[Prest. (m2 / jaar) werkdagen gedeeld]]/Ruimtestaat[[#This Row],[Norm (m2/uur) werkdagen]],0)</f>
        <v>#DIV/0!</v>
      </c>
      <c r="AA126" s="441" t="e">
        <f>Ruimtestaat[[#This Row],[uren / jaar werkdagen gedeeld]]*Tariefsopbouw!$E$35</f>
        <v>#DIV/0!</v>
      </c>
      <c r="AB126" s="441">
        <f>Ruimtestaat[[#This Row],[Uitvoeringen werkdagen]]*Ruimtestaat[[#This Row],[BSO]]</f>
        <v>0</v>
      </c>
      <c r="AC126" s="443" t="e">
        <f>IF(U126&gt;0,Ruimtestaat[[#This Row],[Prest. (m2 / jaar) werkdagen BSO]]/Ruimtestaat[[#This Row],[Norm (m2/uur) werkdagen]],0)</f>
        <v>#DIV/0!</v>
      </c>
      <c r="AD126" s="443" t="e">
        <f>Ruimtestaat[[#This Row],[uren / jaar werkdagen BSO]]*Tariefsopbouw!$E$35</f>
        <v>#DIV/0!</v>
      </c>
      <c r="AE126" s="444">
        <f>Ruimtestaat[[#This Row],[uren / jaar werkdagen]]*Tariefsopbouw!$E$35</f>
        <v>0</v>
      </c>
      <c r="AF126" s="434"/>
      <c r="AG126" s="434">
        <f>IF(Ruimtestaat[[#This Row],[Frequentie weekend]]&gt;0,VALUE(LEFT(AF126,1))*S126,0)</f>
        <v>0</v>
      </c>
      <c r="AH126" s="445">
        <f>IF($AG126&gt;0,VLOOKUP($J126,Ruimtegroepen[],3,FALSE)*VLOOKUP($L126,Vloersoorten[],3,FALSE)*VLOOKUP($AF126,Frequenties[],3,FALSE)*VLOOKUP(Ruimtestaat[[#This Row],[Code]],Locaties[],3,FALSE),0)</f>
        <v>0</v>
      </c>
      <c r="AI126" s="445">
        <f>Ruimtestaat[[#This Row],[Uitvoeringen weekend]]*Ruimtestaat[[#This Row],[Oppervlak (netto)]]</f>
        <v>0</v>
      </c>
      <c r="AJ126" s="445">
        <f>IF(AH126&gt;0,Ruimtestaat[[#This Row],[Prest. (m2 /jaar) weekend]]/Ruimtestaat[[#This Row],[Norm (m2/uur) weekend]],0)</f>
        <v>0</v>
      </c>
      <c r="AK126" s="444">
        <f>Ruimtestaat[[#This Row],[uren / jaar weekend]]*Tariefsopbouw!$D$40</f>
        <v>0</v>
      </c>
      <c r="AL126" s="441">
        <f>Ruimtestaat[[#This Row],[Prest. (m2 /jaar) weekend]]+Ruimtestaat[[#This Row],[Prest. (m2 /jaar) werkdagen]]</f>
        <v>4510</v>
      </c>
      <c r="AM126" s="441">
        <f>Ruimtestaat[[#This Row],[uren / jaar weekend]]+Ruimtestaat[[#This Row],[uren / jaar werkdagen]]</f>
        <v>0</v>
      </c>
      <c r="AN126" s="446">
        <f>Ruimtestaat[[#This Row],[kosten / jaar weekend]]+Ruimtestaat[[#This Row],[kosten / jaar werkdagen]]</f>
        <v>0</v>
      </c>
      <c r="AO126" s="446"/>
      <c r="AP126" s="447" t="str">
        <f>IF(Ruimtestaat[[#This Row],[Frequentie werkdagen]]="","",_xlfn.CONCAT(Ruimtestaat[[#This Row],[Ruimte code]],"-",Ruimtestaat[[#This Row],[Frequentie werkdagen]]," ",Ruimtestaat[[#This Row],[Vloer code]]))</f>
        <v>6-5w L</v>
      </c>
      <c r="AQ126" s="448" t="str">
        <f>_xlfn.IFNA(VLOOKUP($AP126,Programma!$F$3:$G$1101,2,0),"")</f>
        <v>_</v>
      </c>
      <c r="AR126" s="448" t="str">
        <f>_xlfn.IFNA(VLOOKUP($AP126,Programma!$F$3:$H$1101,3,0),"")</f>
        <v>_</v>
      </c>
      <c r="AS126" s="448" t="str">
        <f>_xlfn.IFNA(VLOOKUP($AP126,Programma!$F$3:$I$1101,4,0),"")</f>
        <v>_</v>
      </c>
      <c r="AT126" s="448" t="str">
        <f>_xlfn.IFNA(VLOOKUP($AP126,Programma!$F$3:$J$1101,5,0),"")</f>
        <v>5w</v>
      </c>
      <c r="AU126" s="448" t="str">
        <f>_xlfn.IFNA(VLOOKUP($AP126,Programma!$F$3:$K$1101,6,0),"")</f>
        <v>_</v>
      </c>
      <c r="AV126" s="448" t="str">
        <f>_xlfn.IFNA(VLOOKUP($AP126,Programma!$F$3:$L$1101,7,0),"")</f>
        <v>_</v>
      </c>
      <c r="AW126" s="448" t="str">
        <f>_xlfn.IFNA(VLOOKUP($AP126,Programma!$F$3:$M$1101,8,0),"")</f>
        <v>_</v>
      </c>
      <c r="AX126" s="448" t="str">
        <f>_xlfn.IFNA(VLOOKUP($AP126,Programma!$F$3:$N$1101,9,0),"")</f>
        <v>_</v>
      </c>
      <c r="AY126" s="448" t="str">
        <f>_xlfn.IFNA(VLOOKUP($AP126,Programma!$F$3:$O$1101,10,0),"")</f>
        <v>5w</v>
      </c>
      <c r="AZ126" s="448" t="str">
        <f>_xlfn.IFNA(VLOOKUP($AP126,Programma!$F$3:$P$1101,11,0),"")</f>
        <v>5w</v>
      </c>
      <c r="BA126" s="448" t="str">
        <f>_xlfn.IFNA(VLOOKUP($AP126,Programma!$F$3:$Q$1101,12,0),"")</f>
        <v>1w</v>
      </c>
      <c r="BB126" s="448" t="str">
        <f>_xlfn.IFNA(VLOOKUP($AP126,Programma!$F$3:$R$1101,13,0),"")</f>
        <v>1w</v>
      </c>
      <c r="BC126" s="448" t="str">
        <f>_xlfn.IFNA(VLOOKUP($AP126,Programma!$F$3:$S$1101,14,0),"")</f>
        <v>1m</v>
      </c>
      <c r="BD126" s="448" t="str">
        <f>_xlfn.IFNA(VLOOKUP($AP126,Programma!$F$3:$T$1101,15,0),"")</f>
        <v>2j</v>
      </c>
      <c r="BE126" s="448" t="str">
        <f>_xlfn.IFNA(VLOOKUP($AP126,Programma!$F$3:$U$1101,16,0),"")</f>
        <v>1j</v>
      </c>
      <c r="BF126" s="448" t="str">
        <f>_xlfn.IFNA(VLOOKUP($AP126,Programma!$F$3:$V$1101,17,0),"")</f>
        <v>_</v>
      </c>
      <c r="BG126" s="448" t="str">
        <f>_xlfn.IFNA(VLOOKUP($AP126,Programma!$F$3:$W$1101,18,0),"")</f>
        <v>_</v>
      </c>
      <c r="BH126" s="448" t="str">
        <f>_xlfn.IFNA(VLOOKUP($AP126,Programma!$F$3:$X$1101,19,0),"")</f>
        <v>_</v>
      </c>
      <c r="BI126" s="448" t="str">
        <f>_xlfn.IFNA(VLOOKUP($AP126,Programma!$F$3:$Y$1101,20,0),"")</f>
        <v>_</v>
      </c>
      <c r="BJ126" s="449"/>
      <c r="BK126" s="447" t="str">
        <f>IF(Ruimtestaat[[#This Row],[Frequentie weekend]]="","",_xlfn.CONCAT(Ruimtestaat[[#This Row],[Ruimte code]],"-",Ruimtestaat[[#This Row],[Frequentie weekend]]," ",Ruimtestaat[[#This Row],[Vloer code]]))</f>
        <v/>
      </c>
      <c r="BL126" s="448" t="str">
        <f>_xlfn.IFNA(VLOOKUP($BK126,Programma!$F$3:$G$1101,2,0),"")</f>
        <v/>
      </c>
      <c r="BM126" s="448" t="str">
        <f>_xlfn.IFNA(VLOOKUP($BK126,Programma!$F$3:$H$1101,3,0),"")</f>
        <v/>
      </c>
      <c r="BN126" s="448" t="str">
        <f>_xlfn.IFNA(VLOOKUP($BK126,Programma!$F$3:$I$1101,4,0),"")</f>
        <v/>
      </c>
      <c r="BO126" s="448" t="str">
        <f>_xlfn.IFNA(VLOOKUP($BK126,Programma!$F$3:$J$1101,5,0),"")</f>
        <v/>
      </c>
      <c r="BP126" s="448" t="str">
        <f>_xlfn.IFNA(VLOOKUP($BK126,Programma!$F$3:$K$1101,6,0),"")</f>
        <v/>
      </c>
      <c r="BQ126" s="448" t="str">
        <f>_xlfn.IFNA(VLOOKUP($BK126,Programma!$F$3:$L$1101,7,0),"")</f>
        <v/>
      </c>
      <c r="BR126" s="448" t="str">
        <f>_xlfn.IFNA(VLOOKUP($BK126,Programma!$F$3:$M$1101,8,0),"")</f>
        <v/>
      </c>
      <c r="BS126" s="448" t="str">
        <f>_xlfn.IFNA(VLOOKUP($BK126,Programma!$F$3:$N$1101,9,0),"")</f>
        <v/>
      </c>
      <c r="BT126" s="448" t="str">
        <f>_xlfn.IFNA(VLOOKUP($BK126,Programma!$F$3:$O$1101,10,0),"")</f>
        <v/>
      </c>
      <c r="BU126" s="448" t="str">
        <f>_xlfn.IFNA(VLOOKUP($BK126,Programma!$F$3:$P$1101,11,0),"")</f>
        <v/>
      </c>
      <c r="BV126" s="448" t="str">
        <f>_xlfn.IFNA(VLOOKUP($BK126,Programma!$F$3:$Q$1101,12,0),"")</f>
        <v/>
      </c>
      <c r="BW126" s="448" t="str">
        <f>_xlfn.IFNA(VLOOKUP($BK126,Programma!$F$3:$R$1101,13,0),"")</f>
        <v/>
      </c>
      <c r="BX126" s="448" t="str">
        <f>_xlfn.IFNA(VLOOKUP($BK126,Programma!$F$3:$S$1101,14,0),"")</f>
        <v/>
      </c>
      <c r="BY126" s="448" t="str">
        <f>_xlfn.IFNA(VLOOKUP($BK126,Programma!$F$3:$T$1101,15,0),"")</f>
        <v/>
      </c>
      <c r="BZ126" s="448" t="str">
        <f>_xlfn.IFNA(VLOOKUP($BK126,Programma!$F$3:$U$1101,16,0),"")</f>
        <v/>
      </c>
      <c r="CA126" s="448" t="str">
        <f>_xlfn.IFNA(VLOOKUP($BK126,Programma!$F$3:$V$1101,17,0),"")</f>
        <v/>
      </c>
      <c r="CB126" s="448" t="str">
        <f>_xlfn.IFNA(VLOOKUP($BK126,Programma!$F$3:$W$1101,18,0),"")</f>
        <v/>
      </c>
      <c r="CC126" s="448" t="str">
        <f>_xlfn.IFNA(VLOOKUP($BK126,Programma!$F$3:$X$1101,19,0),"")</f>
        <v/>
      </c>
      <c r="CD126" s="448" t="str">
        <f>_xlfn.IFNA(VLOOKUP($BK126,Programma!$F$3:$Y$1101,20,0),"")</f>
        <v/>
      </c>
      <c r="CE126" s="327"/>
      <c r="CF126" s="327"/>
      <c r="CG126" s="327"/>
      <c r="CH126" s="327"/>
      <c r="CI126" s="327"/>
      <c r="CJ126" s="327"/>
      <c r="CK126" s="327"/>
      <c r="CL126" s="327"/>
      <c r="CM126" s="327"/>
      <c r="CN126" s="327"/>
      <c r="CO126" s="327"/>
      <c r="CP126" s="327"/>
      <c r="CQ126" s="327"/>
      <c r="CR126" s="327"/>
      <c r="CS126" s="327"/>
      <c r="CT126" s="327"/>
      <c r="CU126" s="327"/>
      <c r="CV126" s="327"/>
      <c r="CW126" s="327"/>
      <c r="CX126" s="327"/>
      <c r="CY126" s="327"/>
      <c r="CZ126" s="327"/>
      <c r="DA126" s="327"/>
      <c r="DB126" s="327"/>
      <c r="DC126" s="327"/>
      <c r="DD126" s="327"/>
      <c r="DE126" s="327"/>
      <c r="DF126" s="327"/>
      <c r="DG126" s="327"/>
      <c r="DH126" s="327"/>
      <c r="DI126" s="327"/>
      <c r="DJ126" s="327"/>
      <c r="DK126" s="327"/>
      <c r="DL126" s="327"/>
      <c r="DM126" s="327"/>
      <c r="DN126" s="327"/>
      <c r="DO126" s="327"/>
      <c r="DP126" s="327"/>
      <c r="DQ126" s="327"/>
      <c r="DR126" s="327"/>
      <c r="DS126" s="327"/>
      <c r="DT126" s="327"/>
      <c r="DU126" s="327"/>
      <c r="DV126" s="327"/>
      <c r="DW126" s="327"/>
      <c r="DX126" s="327"/>
      <c r="DY126" s="327"/>
      <c r="DZ126" s="327"/>
      <c r="EA126" s="327"/>
      <c r="EB126" s="327"/>
      <c r="EC126" s="327"/>
      <c r="ED126" s="327"/>
      <c r="EE126" s="327"/>
      <c r="EF126" s="327"/>
      <c r="EG126" s="327"/>
      <c r="EH126" s="327"/>
      <c r="EI126" s="327"/>
      <c r="EJ126" s="327"/>
      <c r="EK126" s="327"/>
      <c r="EL126" s="327"/>
      <c r="EM126" s="327"/>
      <c r="EN126" s="327"/>
      <c r="EO126" s="327"/>
      <c r="EP126" s="327"/>
      <c r="EQ126" s="327"/>
      <c r="ER126" s="327"/>
      <c r="ES126" s="327"/>
      <c r="ET126" s="327"/>
      <c r="EU126" s="327"/>
      <c r="EV126" s="327"/>
      <c r="EW126" s="327"/>
      <c r="EX126" s="327"/>
      <c r="EY126" s="327"/>
      <c r="EZ126" s="327"/>
      <c r="FA126" s="327"/>
      <c r="FB126" s="327"/>
      <c r="FC126" s="327"/>
      <c r="FD126" s="327"/>
      <c r="FE126" s="327"/>
      <c r="FF126" s="327"/>
      <c r="FG126" s="327"/>
      <c r="FH126" s="327"/>
      <c r="FI126" s="327"/>
      <c r="FJ126" s="327"/>
      <c r="FK126" s="327"/>
      <c r="FL126" s="327"/>
      <c r="FM126" s="327"/>
      <c r="FN126" s="327"/>
      <c r="FO126" s="327"/>
      <c r="FP126" s="327"/>
      <c r="FQ126" s="327"/>
      <c r="FR126" s="327"/>
      <c r="FS126" s="327"/>
      <c r="FT126" s="327"/>
      <c r="FU126" s="327"/>
      <c r="FV126" s="327"/>
      <c r="FW126" s="327"/>
      <c r="FX126" s="327"/>
      <c r="FY126" s="327"/>
      <c r="FZ126" s="327"/>
      <c r="GA126" s="327"/>
      <c r="GB126" s="327"/>
      <c r="GC126" s="327"/>
      <c r="GD126" s="327"/>
      <c r="GE126" s="327"/>
      <c r="GF126" s="327"/>
      <c r="GG126" s="327"/>
      <c r="GH126" s="327"/>
      <c r="GI126" s="327"/>
      <c r="GJ126" s="327"/>
      <c r="GK126" s="327"/>
      <c r="GL126" s="327"/>
      <c r="GM126" s="327"/>
      <c r="GN126" s="327"/>
      <c r="GO126" s="327"/>
      <c r="GP126" s="327"/>
      <c r="GQ126" s="327"/>
      <c r="GR126" s="327"/>
      <c r="GS126" s="327"/>
      <c r="GT126" s="327"/>
      <c r="GU126" s="327"/>
      <c r="GV126" s="327"/>
      <c r="GW126" s="327"/>
      <c r="GX126" s="327"/>
      <c r="GY126" s="327"/>
      <c r="GZ126" s="327"/>
      <c r="HA126" s="327"/>
      <c r="HB126" s="327"/>
      <c r="HC126" s="327"/>
      <c r="HD126" s="327"/>
      <c r="HE126" s="327"/>
      <c r="HF126" s="327"/>
      <c r="HG126" s="327"/>
      <c r="HH126" s="327"/>
      <c r="HI126" s="327"/>
      <c r="HJ126" s="327"/>
      <c r="HK126" s="327"/>
      <c r="HL126" s="327"/>
      <c r="HM126" s="327"/>
      <c r="HN126" s="327"/>
      <c r="HO126" s="327"/>
      <c r="HP126" s="327"/>
      <c r="HQ126" s="327"/>
      <c r="HR126" s="327"/>
      <c r="HS126" s="327"/>
    </row>
    <row r="127" spans="1:227" ht="15" customHeight="1">
      <c r="A127" s="330">
        <v>6</v>
      </c>
      <c r="B127" s="435" t="str">
        <f>VLOOKUP(Ruimtestaat[[#This Row],[Code]],Locaties[[Code]:[Locatie]],2,FALSE)</f>
        <v>IKC Het Zwanenbos</v>
      </c>
      <c r="C127" s="435" t="str">
        <f>VLOOKUP(Ruimtestaat[[#This Row],[Code]],Locaties[[#All],[Code]:[Adres]],4,FALSE)</f>
        <v>Kerkenbos 24-26</v>
      </c>
      <c r="D127" s="435" t="str">
        <f>VLOOKUP(Ruimtestaat[[#This Row],[Code]],Locaties[[#All],[Code]:[Postcode]],5,FALSE)</f>
        <v>2716 PH</v>
      </c>
      <c r="E127" s="435" t="str">
        <f>VLOOKUP(Ruimtestaat[[#This Row],[Code]],Locaties[#All],6,FALSE)</f>
        <v>Zoetermeer</v>
      </c>
      <c r="F127" s="434"/>
      <c r="G127" s="434" t="s">
        <v>1678</v>
      </c>
      <c r="H127" s="330">
        <v>19</v>
      </c>
      <c r="I127" s="450" t="s">
        <v>1708</v>
      </c>
      <c r="J127" s="330">
        <v>6</v>
      </c>
      <c r="K127" s="450" t="str">
        <f>VLOOKUP(Ruimtestaat[[#This Row],[Ruimte code]],Ruimtegroepen[[#All],[Code]:[Ruimte omschrijving]],2,FALSE)</f>
        <v>Gangen/hallen</v>
      </c>
      <c r="L127" s="434" t="s">
        <v>100</v>
      </c>
      <c r="M127" s="437" t="s">
        <v>1759</v>
      </c>
      <c r="N127" s="439">
        <v>72</v>
      </c>
      <c r="O127" s="439"/>
      <c r="P127" s="439"/>
      <c r="Q127" s="439"/>
      <c r="R127" s="440" t="str">
        <f>VLOOKUP(Ruimtestaat[[#This Row],[Ruimte code]],Ruimtegroepen[],4,FALSE)</f>
        <v>Ve</v>
      </c>
      <c r="S127" s="434">
        <v>41</v>
      </c>
      <c r="T127" s="434" t="s">
        <v>2</v>
      </c>
      <c r="U127" s="434">
        <f>IF(S127&gt;0,IF(RIGHT(Ruimtestaat[[#This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27" s="434">
        <f>IF(U127&gt;0,VLOOKUP($J127,Ruimtegroepen[],3,FALSE)*VLOOKUP($L127,Vloersoorten[],3,FALSE)*VLOOKUP($T127,Frequenties[],3,FALSE)*VLOOKUP($A127,Locaties[],3,FALSE),0)</f>
        <v>0</v>
      </c>
      <c r="W127" s="434">
        <f>Ruimtestaat[[#This Row],[Uitvoeringen werkdagen]]*Ruimtestaat[[#This Row],[Oppervlak (netto)]]</f>
        <v>14760</v>
      </c>
      <c r="X127" s="441">
        <f>IF(V127&gt;0,Ruimtestaat[[#This Row],[Prest. (m2 /jaar) werkdagen]]/Ruimtestaat[[#This Row],[Norm (m2/uur) werkdagen]],0)</f>
        <v>0</v>
      </c>
      <c r="Y127" s="442">
        <f>Ruimtestaat[[#This Row],[Uitvoeringen werkdagen]]*Ruimtestaat[[#This Row],[Gedeeltelijk]]</f>
        <v>0</v>
      </c>
      <c r="Z127" s="443" t="e">
        <f>IF(U127&gt;0,Ruimtestaat[[#This Row],[Prest. (m2 / jaar) werkdagen gedeeld]]/Ruimtestaat[[#This Row],[Norm (m2/uur) werkdagen]],0)</f>
        <v>#DIV/0!</v>
      </c>
      <c r="AA127" s="441" t="e">
        <f>Ruimtestaat[[#This Row],[uren / jaar werkdagen gedeeld]]*Tariefsopbouw!$E$35</f>
        <v>#DIV/0!</v>
      </c>
      <c r="AB127" s="441">
        <f>Ruimtestaat[[#This Row],[Uitvoeringen werkdagen]]*Ruimtestaat[[#This Row],[BSO]]</f>
        <v>0</v>
      </c>
      <c r="AC127" s="443" t="e">
        <f>IF(U127&gt;0,Ruimtestaat[[#This Row],[Prest. (m2 / jaar) werkdagen BSO]]/Ruimtestaat[[#This Row],[Norm (m2/uur) werkdagen]],0)</f>
        <v>#DIV/0!</v>
      </c>
      <c r="AD127" s="443" t="e">
        <f>Ruimtestaat[[#This Row],[uren / jaar werkdagen BSO]]*Tariefsopbouw!$E$35</f>
        <v>#DIV/0!</v>
      </c>
      <c r="AE127" s="444">
        <f>Ruimtestaat[[#This Row],[uren / jaar werkdagen]]*Tariefsopbouw!$E$35</f>
        <v>0</v>
      </c>
      <c r="AF127" s="434"/>
      <c r="AG127" s="434">
        <f>IF(Ruimtestaat[[#This Row],[Frequentie weekend]]&gt;0,VALUE(LEFT(AF127,1))*S127,0)</f>
        <v>0</v>
      </c>
      <c r="AH127" s="445">
        <f>IF($AG127&gt;0,VLOOKUP($J127,Ruimtegroepen[],3,FALSE)*VLOOKUP($L127,Vloersoorten[],3,FALSE)*VLOOKUP($AF127,Frequenties[],3,FALSE)*VLOOKUP(Ruimtestaat[[#This Row],[Code]],Locaties[],3,FALSE),0)</f>
        <v>0</v>
      </c>
      <c r="AI127" s="445">
        <f>Ruimtestaat[[#This Row],[Uitvoeringen weekend]]*Ruimtestaat[[#This Row],[Oppervlak (netto)]]</f>
        <v>0</v>
      </c>
      <c r="AJ127" s="445">
        <f>IF(AH127&gt;0,Ruimtestaat[[#This Row],[Prest. (m2 /jaar) weekend]]/Ruimtestaat[[#This Row],[Norm (m2/uur) weekend]],0)</f>
        <v>0</v>
      </c>
      <c r="AK127" s="444">
        <f>Ruimtestaat[[#This Row],[uren / jaar weekend]]*Tariefsopbouw!$D$40</f>
        <v>0</v>
      </c>
      <c r="AL127" s="441">
        <f>Ruimtestaat[[#This Row],[Prest. (m2 /jaar) weekend]]+Ruimtestaat[[#This Row],[Prest. (m2 /jaar) werkdagen]]</f>
        <v>14760</v>
      </c>
      <c r="AM127" s="441">
        <f>Ruimtestaat[[#This Row],[uren / jaar weekend]]+Ruimtestaat[[#This Row],[uren / jaar werkdagen]]</f>
        <v>0</v>
      </c>
      <c r="AN127" s="446">
        <f>Ruimtestaat[[#This Row],[kosten / jaar weekend]]+Ruimtestaat[[#This Row],[kosten / jaar werkdagen]]</f>
        <v>0</v>
      </c>
      <c r="AO127" s="446"/>
      <c r="AP127" s="447" t="str">
        <f>IF(Ruimtestaat[[#This Row],[Frequentie werkdagen]]="","",_xlfn.CONCAT(Ruimtestaat[[#This Row],[Ruimte code]],"-",Ruimtestaat[[#This Row],[Frequentie werkdagen]]," ",Ruimtestaat[[#This Row],[Vloer code]]))</f>
        <v>6-5w L</v>
      </c>
      <c r="AQ127" s="448" t="str">
        <f>_xlfn.IFNA(VLOOKUP($AP127,Programma!$F$3:$G$1101,2,0),"")</f>
        <v>_</v>
      </c>
      <c r="AR127" s="448" t="str">
        <f>_xlfn.IFNA(VLOOKUP($AP127,Programma!$F$3:$H$1101,3,0),"")</f>
        <v>_</v>
      </c>
      <c r="AS127" s="448" t="str">
        <f>_xlfn.IFNA(VLOOKUP($AP127,Programma!$F$3:$I$1101,4,0),"")</f>
        <v>_</v>
      </c>
      <c r="AT127" s="448" t="str">
        <f>_xlfn.IFNA(VLOOKUP($AP127,Programma!$F$3:$J$1101,5,0),"")</f>
        <v>5w</v>
      </c>
      <c r="AU127" s="448" t="str">
        <f>_xlfn.IFNA(VLOOKUP($AP127,Programma!$F$3:$K$1101,6,0),"")</f>
        <v>_</v>
      </c>
      <c r="AV127" s="448" t="str">
        <f>_xlfn.IFNA(VLOOKUP($AP127,Programma!$F$3:$L$1101,7,0),"")</f>
        <v>_</v>
      </c>
      <c r="AW127" s="448" t="str">
        <f>_xlfn.IFNA(VLOOKUP($AP127,Programma!$F$3:$M$1101,8,0),"")</f>
        <v>_</v>
      </c>
      <c r="AX127" s="448" t="str">
        <f>_xlfn.IFNA(VLOOKUP($AP127,Programma!$F$3:$N$1101,9,0),"")</f>
        <v>_</v>
      </c>
      <c r="AY127" s="448" t="str">
        <f>_xlfn.IFNA(VLOOKUP($AP127,Programma!$F$3:$O$1101,10,0),"")</f>
        <v>5w</v>
      </c>
      <c r="AZ127" s="448" t="str">
        <f>_xlfn.IFNA(VLOOKUP($AP127,Programma!$F$3:$P$1101,11,0),"")</f>
        <v>5w</v>
      </c>
      <c r="BA127" s="448" t="str">
        <f>_xlfn.IFNA(VLOOKUP($AP127,Programma!$F$3:$Q$1101,12,0),"")</f>
        <v>1w</v>
      </c>
      <c r="BB127" s="448" t="str">
        <f>_xlfn.IFNA(VLOOKUP($AP127,Programma!$F$3:$R$1101,13,0),"")</f>
        <v>1w</v>
      </c>
      <c r="BC127" s="448" t="str">
        <f>_xlfn.IFNA(VLOOKUP($AP127,Programma!$F$3:$S$1101,14,0),"")</f>
        <v>1m</v>
      </c>
      <c r="BD127" s="448" t="str">
        <f>_xlfn.IFNA(VLOOKUP($AP127,Programma!$F$3:$T$1101,15,0),"")</f>
        <v>2j</v>
      </c>
      <c r="BE127" s="448" t="str">
        <f>_xlfn.IFNA(VLOOKUP($AP127,Programma!$F$3:$U$1101,16,0),"")</f>
        <v>1j</v>
      </c>
      <c r="BF127" s="448" t="str">
        <f>_xlfn.IFNA(VLOOKUP($AP127,Programma!$F$3:$V$1101,17,0),"")</f>
        <v>_</v>
      </c>
      <c r="BG127" s="448" t="str">
        <f>_xlfn.IFNA(VLOOKUP($AP127,Programma!$F$3:$W$1101,18,0),"")</f>
        <v>_</v>
      </c>
      <c r="BH127" s="448" t="str">
        <f>_xlfn.IFNA(VLOOKUP($AP127,Programma!$F$3:$X$1101,19,0),"")</f>
        <v>_</v>
      </c>
      <c r="BI127" s="448" t="str">
        <f>_xlfn.IFNA(VLOOKUP($AP127,Programma!$F$3:$Y$1101,20,0),"")</f>
        <v>_</v>
      </c>
      <c r="BJ127" s="449"/>
      <c r="BK127" s="447" t="str">
        <f>IF(Ruimtestaat[[#This Row],[Frequentie weekend]]="","",_xlfn.CONCAT(Ruimtestaat[[#This Row],[Ruimte code]],"-",Ruimtestaat[[#This Row],[Frequentie weekend]]," ",Ruimtestaat[[#This Row],[Vloer code]]))</f>
        <v/>
      </c>
      <c r="BL127" s="448" t="str">
        <f>_xlfn.IFNA(VLOOKUP($BK127,Programma!$F$3:$G$1101,2,0),"")</f>
        <v/>
      </c>
      <c r="BM127" s="448" t="str">
        <f>_xlfn.IFNA(VLOOKUP($BK127,Programma!$F$3:$H$1101,3,0),"")</f>
        <v/>
      </c>
      <c r="BN127" s="448" t="str">
        <f>_xlfn.IFNA(VLOOKUP($BK127,Programma!$F$3:$I$1101,4,0),"")</f>
        <v/>
      </c>
      <c r="BO127" s="448" t="str">
        <f>_xlfn.IFNA(VLOOKUP($BK127,Programma!$F$3:$J$1101,5,0),"")</f>
        <v/>
      </c>
      <c r="BP127" s="448" t="str">
        <f>_xlfn.IFNA(VLOOKUP($BK127,Programma!$F$3:$K$1101,6,0),"")</f>
        <v/>
      </c>
      <c r="BQ127" s="448" t="str">
        <f>_xlfn.IFNA(VLOOKUP($BK127,Programma!$F$3:$L$1101,7,0),"")</f>
        <v/>
      </c>
      <c r="BR127" s="448" t="str">
        <f>_xlfn.IFNA(VLOOKUP($BK127,Programma!$F$3:$M$1101,8,0),"")</f>
        <v/>
      </c>
      <c r="BS127" s="448" t="str">
        <f>_xlfn.IFNA(VLOOKUP($BK127,Programma!$F$3:$N$1101,9,0),"")</f>
        <v/>
      </c>
      <c r="BT127" s="448" t="str">
        <f>_xlfn.IFNA(VLOOKUP($BK127,Programma!$F$3:$O$1101,10,0),"")</f>
        <v/>
      </c>
      <c r="BU127" s="448" t="str">
        <f>_xlfn.IFNA(VLOOKUP($BK127,Programma!$F$3:$P$1101,11,0),"")</f>
        <v/>
      </c>
      <c r="BV127" s="448" t="str">
        <f>_xlfn.IFNA(VLOOKUP($BK127,Programma!$F$3:$Q$1101,12,0),"")</f>
        <v/>
      </c>
      <c r="BW127" s="448" t="str">
        <f>_xlfn.IFNA(VLOOKUP($BK127,Programma!$F$3:$R$1101,13,0),"")</f>
        <v/>
      </c>
      <c r="BX127" s="448" t="str">
        <f>_xlfn.IFNA(VLOOKUP($BK127,Programma!$F$3:$S$1101,14,0),"")</f>
        <v/>
      </c>
      <c r="BY127" s="448" t="str">
        <f>_xlfn.IFNA(VLOOKUP($BK127,Programma!$F$3:$T$1101,15,0),"")</f>
        <v/>
      </c>
      <c r="BZ127" s="448" t="str">
        <f>_xlfn.IFNA(VLOOKUP($BK127,Programma!$F$3:$U$1101,16,0),"")</f>
        <v/>
      </c>
      <c r="CA127" s="448" t="str">
        <f>_xlfn.IFNA(VLOOKUP($BK127,Programma!$F$3:$V$1101,17,0),"")</f>
        <v/>
      </c>
      <c r="CB127" s="448" t="str">
        <f>_xlfn.IFNA(VLOOKUP($BK127,Programma!$F$3:$W$1101,18,0),"")</f>
        <v/>
      </c>
      <c r="CC127" s="448" t="str">
        <f>_xlfn.IFNA(VLOOKUP($BK127,Programma!$F$3:$X$1101,19,0),"")</f>
        <v/>
      </c>
      <c r="CD127" s="448" t="str">
        <f>_xlfn.IFNA(VLOOKUP($BK127,Programma!$F$3:$Y$1101,20,0),"")</f>
        <v/>
      </c>
      <c r="CE127" s="327"/>
      <c r="CF127" s="327"/>
      <c r="CG127" s="327"/>
      <c r="CH127" s="327"/>
      <c r="CI127" s="327"/>
      <c r="CJ127" s="327"/>
      <c r="CK127" s="327"/>
      <c r="CL127" s="327"/>
      <c r="CM127" s="327"/>
      <c r="CN127" s="327"/>
      <c r="CO127" s="327"/>
      <c r="CP127" s="327"/>
      <c r="CQ127" s="327"/>
      <c r="CR127" s="327"/>
      <c r="CS127" s="327"/>
      <c r="CT127" s="327"/>
      <c r="CU127" s="327"/>
      <c r="CV127" s="327"/>
      <c r="CW127" s="327"/>
      <c r="CX127" s="327"/>
      <c r="CY127" s="327"/>
      <c r="CZ127" s="327"/>
      <c r="DA127" s="327"/>
      <c r="DB127" s="327"/>
      <c r="DC127" s="327"/>
      <c r="DD127" s="327"/>
      <c r="DE127" s="327"/>
      <c r="DF127" s="327"/>
      <c r="DG127" s="327"/>
      <c r="DH127" s="327"/>
      <c r="DI127" s="327"/>
      <c r="DJ127" s="327"/>
      <c r="DK127" s="327"/>
      <c r="DL127" s="327"/>
      <c r="DM127" s="327"/>
      <c r="DN127" s="327"/>
      <c r="DO127" s="327"/>
      <c r="DP127" s="327"/>
      <c r="DQ127" s="327"/>
      <c r="DR127" s="327"/>
      <c r="DS127" s="327"/>
      <c r="DT127" s="327"/>
      <c r="DU127" s="327"/>
      <c r="DV127" s="327"/>
      <c r="DW127" s="327"/>
      <c r="DX127" s="327"/>
      <c r="DY127" s="327"/>
      <c r="DZ127" s="327"/>
      <c r="EA127" s="327"/>
      <c r="EB127" s="327"/>
      <c r="EC127" s="327"/>
      <c r="ED127" s="327"/>
      <c r="EE127" s="327"/>
      <c r="EF127" s="327"/>
      <c r="EG127" s="327"/>
      <c r="EH127" s="327"/>
      <c r="EI127" s="327"/>
      <c r="EJ127" s="327"/>
      <c r="EK127" s="327"/>
      <c r="EL127" s="327"/>
      <c r="EM127" s="327"/>
      <c r="EN127" s="327"/>
      <c r="EO127" s="327"/>
      <c r="EP127" s="327"/>
      <c r="EQ127" s="327"/>
      <c r="ER127" s="327"/>
      <c r="ES127" s="327"/>
      <c r="ET127" s="327"/>
      <c r="EU127" s="327"/>
      <c r="EV127" s="327"/>
      <c r="EW127" s="327"/>
      <c r="EX127" s="327"/>
      <c r="EY127" s="327"/>
      <c r="EZ127" s="327"/>
      <c r="FA127" s="327"/>
      <c r="FB127" s="327"/>
      <c r="FC127" s="327"/>
      <c r="FD127" s="327"/>
      <c r="FE127" s="327"/>
      <c r="FF127" s="327"/>
      <c r="FG127" s="327"/>
      <c r="FH127" s="327"/>
      <c r="FI127" s="327"/>
      <c r="FJ127" s="327"/>
      <c r="FK127" s="327"/>
      <c r="FL127" s="327"/>
      <c r="FM127" s="327"/>
      <c r="FN127" s="327"/>
      <c r="FO127" s="327"/>
      <c r="FP127" s="327"/>
      <c r="FQ127" s="327"/>
      <c r="FR127" s="327"/>
      <c r="FS127" s="327"/>
      <c r="FT127" s="327"/>
      <c r="FU127" s="327"/>
      <c r="FV127" s="327"/>
      <c r="FW127" s="327"/>
      <c r="FX127" s="327"/>
      <c r="FY127" s="327"/>
      <c r="FZ127" s="327"/>
      <c r="GA127" s="327"/>
      <c r="GB127" s="327"/>
      <c r="GC127" s="327"/>
      <c r="GD127" s="327"/>
      <c r="GE127" s="327"/>
      <c r="GF127" s="327"/>
      <c r="GG127" s="327"/>
      <c r="GH127" s="327"/>
      <c r="GI127" s="327"/>
      <c r="GJ127" s="327"/>
      <c r="GK127" s="327"/>
      <c r="GL127" s="327"/>
      <c r="GM127" s="327"/>
      <c r="GN127" s="327"/>
      <c r="GO127" s="327"/>
      <c r="GP127" s="327"/>
      <c r="GQ127" s="327"/>
      <c r="GR127" s="327"/>
      <c r="GS127" s="327"/>
      <c r="GT127" s="327"/>
      <c r="GU127" s="327"/>
      <c r="GV127" s="327"/>
      <c r="GW127" s="327"/>
      <c r="GX127" s="327"/>
      <c r="GY127" s="327"/>
      <c r="GZ127" s="327"/>
      <c r="HA127" s="327"/>
      <c r="HB127" s="327"/>
      <c r="HC127" s="327"/>
      <c r="HD127" s="327"/>
      <c r="HE127" s="327"/>
      <c r="HF127" s="327"/>
      <c r="HG127" s="327"/>
      <c r="HH127" s="327"/>
      <c r="HI127" s="327"/>
      <c r="HJ127" s="327"/>
      <c r="HK127" s="327"/>
      <c r="HL127" s="327"/>
      <c r="HM127" s="327"/>
      <c r="HN127" s="327"/>
      <c r="HO127" s="327"/>
      <c r="HP127" s="327"/>
      <c r="HQ127" s="327"/>
      <c r="HR127" s="327"/>
      <c r="HS127" s="327"/>
    </row>
    <row r="128" spans="1:227" ht="15" customHeight="1">
      <c r="A128" s="330">
        <v>6</v>
      </c>
      <c r="B128" s="435" t="str">
        <f>VLOOKUP(Ruimtestaat[[#This Row],[Code]],Locaties[[Code]:[Locatie]],2,FALSE)</f>
        <v>IKC Het Zwanenbos</v>
      </c>
      <c r="C128" s="435" t="str">
        <f>VLOOKUP(Ruimtestaat[[#This Row],[Code]],Locaties[[#All],[Code]:[Adres]],4,FALSE)</f>
        <v>Kerkenbos 24-26</v>
      </c>
      <c r="D128" s="435" t="str">
        <f>VLOOKUP(Ruimtestaat[[#This Row],[Code]],Locaties[[#All],[Code]:[Postcode]],5,FALSE)</f>
        <v>2716 PH</v>
      </c>
      <c r="E128" s="435" t="str">
        <f>VLOOKUP(Ruimtestaat[[#This Row],[Code]],Locaties[#All],6,FALSE)</f>
        <v>Zoetermeer</v>
      </c>
      <c r="F128" s="434"/>
      <c r="G128" s="434" t="s">
        <v>1678</v>
      </c>
      <c r="H128" s="330">
        <v>20</v>
      </c>
      <c r="I128" s="450" t="s">
        <v>1745</v>
      </c>
      <c r="J128" s="330">
        <v>12</v>
      </c>
      <c r="K128" s="450" t="str">
        <f>VLOOKUP(Ruimtestaat[[#This Row],[Ruimte code]],Ruimtegroepen[[#All],[Code]:[Ruimte omschrijving]],2,FALSE)</f>
        <v>Kantine/Aula</v>
      </c>
      <c r="L128" s="434" t="s">
        <v>100</v>
      </c>
      <c r="M128" s="437" t="s">
        <v>1759</v>
      </c>
      <c r="N128" s="439">
        <v>176</v>
      </c>
      <c r="O128" s="439"/>
      <c r="P128" s="439"/>
      <c r="Q128" s="439"/>
      <c r="R128" s="440" t="str">
        <f>VLOOKUP(Ruimtestaat[[#This Row],[Ruimte code]],Ruimtegroepen[],4,FALSE)</f>
        <v>Ve</v>
      </c>
      <c r="S128" s="434">
        <v>41</v>
      </c>
      <c r="T128" s="434" t="s">
        <v>2</v>
      </c>
      <c r="U128" s="434">
        <f>IF(S128&gt;0,IF(RIGHT(Ruimtestaat[[#This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28" s="434">
        <f>IF(U128&gt;0,VLOOKUP($J128,Ruimtegroepen[],3,FALSE)*VLOOKUP($L128,Vloersoorten[],3,FALSE)*VLOOKUP($T128,Frequenties[],3,FALSE)*VLOOKUP($A128,Locaties[],3,FALSE),0)</f>
        <v>0</v>
      </c>
      <c r="W128" s="434">
        <f>Ruimtestaat[[#This Row],[Uitvoeringen werkdagen]]*Ruimtestaat[[#This Row],[Oppervlak (netto)]]</f>
        <v>36080</v>
      </c>
      <c r="X128" s="441">
        <f>IF(V128&gt;0,Ruimtestaat[[#This Row],[Prest. (m2 /jaar) werkdagen]]/Ruimtestaat[[#This Row],[Norm (m2/uur) werkdagen]],0)</f>
        <v>0</v>
      </c>
      <c r="Y128" s="442">
        <f>Ruimtestaat[[#This Row],[Uitvoeringen werkdagen]]*Ruimtestaat[[#This Row],[Gedeeltelijk]]</f>
        <v>0</v>
      </c>
      <c r="Z128" s="443" t="e">
        <f>IF(U128&gt;0,Ruimtestaat[[#This Row],[Prest. (m2 / jaar) werkdagen gedeeld]]/Ruimtestaat[[#This Row],[Norm (m2/uur) werkdagen]],0)</f>
        <v>#DIV/0!</v>
      </c>
      <c r="AA128" s="441" t="e">
        <f>Ruimtestaat[[#This Row],[uren / jaar werkdagen gedeeld]]*Tariefsopbouw!$E$35</f>
        <v>#DIV/0!</v>
      </c>
      <c r="AB128" s="441">
        <f>Ruimtestaat[[#This Row],[Uitvoeringen werkdagen]]*Ruimtestaat[[#This Row],[BSO]]</f>
        <v>0</v>
      </c>
      <c r="AC128" s="443" t="e">
        <f>IF(U128&gt;0,Ruimtestaat[[#This Row],[Prest. (m2 / jaar) werkdagen BSO]]/Ruimtestaat[[#This Row],[Norm (m2/uur) werkdagen]],0)</f>
        <v>#DIV/0!</v>
      </c>
      <c r="AD128" s="443" t="e">
        <f>Ruimtestaat[[#This Row],[uren / jaar werkdagen BSO]]*Tariefsopbouw!$E$35</f>
        <v>#DIV/0!</v>
      </c>
      <c r="AE128" s="444">
        <f>Ruimtestaat[[#This Row],[uren / jaar werkdagen]]*Tariefsopbouw!$E$35</f>
        <v>0</v>
      </c>
      <c r="AF128" s="434"/>
      <c r="AG128" s="434">
        <f>IF(Ruimtestaat[[#This Row],[Frequentie weekend]]&gt;0,VALUE(LEFT(AF128,1))*S128,0)</f>
        <v>0</v>
      </c>
      <c r="AH128" s="445">
        <f>IF($AG128&gt;0,VLOOKUP($J128,Ruimtegroepen[],3,FALSE)*VLOOKUP($L128,Vloersoorten[],3,FALSE)*VLOOKUP($AF128,Frequenties[],3,FALSE)*VLOOKUP(Ruimtestaat[[#This Row],[Code]],Locaties[],3,FALSE),0)</f>
        <v>0</v>
      </c>
      <c r="AI128" s="445">
        <f>Ruimtestaat[[#This Row],[Uitvoeringen weekend]]*Ruimtestaat[[#This Row],[Oppervlak (netto)]]</f>
        <v>0</v>
      </c>
      <c r="AJ128" s="445">
        <f>IF(AH128&gt;0,Ruimtestaat[[#This Row],[Prest. (m2 /jaar) weekend]]/Ruimtestaat[[#This Row],[Norm (m2/uur) weekend]],0)</f>
        <v>0</v>
      </c>
      <c r="AK128" s="444">
        <f>Ruimtestaat[[#This Row],[uren / jaar weekend]]*Tariefsopbouw!$D$40</f>
        <v>0</v>
      </c>
      <c r="AL128" s="441">
        <f>Ruimtestaat[[#This Row],[Prest. (m2 /jaar) weekend]]+Ruimtestaat[[#This Row],[Prest. (m2 /jaar) werkdagen]]</f>
        <v>36080</v>
      </c>
      <c r="AM128" s="441">
        <f>Ruimtestaat[[#This Row],[uren / jaar weekend]]+Ruimtestaat[[#This Row],[uren / jaar werkdagen]]</f>
        <v>0</v>
      </c>
      <c r="AN128" s="446">
        <f>Ruimtestaat[[#This Row],[kosten / jaar weekend]]+Ruimtestaat[[#This Row],[kosten / jaar werkdagen]]</f>
        <v>0</v>
      </c>
      <c r="AO128" s="446"/>
      <c r="AP128" s="447" t="str">
        <f>IF(Ruimtestaat[[#This Row],[Frequentie werkdagen]]="","",_xlfn.CONCAT(Ruimtestaat[[#This Row],[Ruimte code]],"-",Ruimtestaat[[#This Row],[Frequentie werkdagen]]," ",Ruimtestaat[[#This Row],[Vloer code]]))</f>
        <v>12-5w L</v>
      </c>
      <c r="AQ128" s="448" t="str">
        <f>_xlfn.IFNA(VLOOKUP($AP128,Programma!$F$3:$G$1101,2,0),"")</f>
        <v>_</v>
      </c>
      <c r="AR128" s="448" t="str">
        <f>_xlfn.IFNA(VLOOKUP($AP128,Programma!$F$3:$H$1101,3,0),"")</f>
        <v>_</v>
      </c>
      <c r="AS128" s="448" t="str">
        <f>_xlfn.IFNA(VLOOKUP($AP128,Programma!$F$3:$I$1101,4,0),"")</f>
        <v>_</v>
      </c>
      <c r="AT128" s="448" t="str">
        <f>_xlfn.IFNA(VLOOKUP($AP128,Programma!$F$3:$J$1101,5,0),"")</f>
        <v>5w</v>
      </c>
      <c r="AU128" s="448" t="str">
        <f>_xlfn.IFNA(VLOOKUP($AP128,Programma!$F$3:$K$1101,6,0),"")</f>
        <v>_</v>
      </c>
      <c r="AV128" s="448" t="str">
        <f>_xlfn.IFNA(VLOOKUP($AP128,Programma!$F$3:$L$1101,7,0),"")</f>
        <v>_</v>
      </c>
      <c r="AW128" s="448" t="str">
        <f>_xlfn.IFNA(VLOOKUP($AP128,Programma!$F$3:$M$1101,8,0),"")</f>
        <v>_</v>
      </c>
      <c r="AX128" s="448" t="str">
        <f>_xlfn.IFNA(VLOOKUP($AP128,Programma!$F$3:$N$1101,9,0),"")</f>
        <v>_</v>
      </c>
      <c r="AY128" s="448" t="str">
        <f>_xlfn.IFNA(VLOOKUP($AP128,Programma!$F$3:$O$1101,10,0),"")</f>
        <v>5w</v>
      </c>
      <c r="AZ128" s="448" t="str">
        <f>_xlfn.IFNA(VLOOKUP($AP128,Programma!$F$3:$P$1101,11,0),"")</f>
        <v>5w</v>
      </c>
      <c r="BA128" s="448" t="str">
        <f>_xlfn.IFNA(VLOOKUP($AP128,Programma!$F$3:$Q$1101,12,0),"")</f>
        <v>1w</v>
      </c>
      <c r="BB128" s="448" t="str">
        <f>_xlfn.IFNA(VLOOKUP($AP128,Programma!$F$3:$R$1101,13,0),"")</f>
        <v>1w</v>
      </c>
      <c r="BC128" s="448" t="str">
        <f>_xlfn.IFNA(VLOOKUP($AP128,Programma!$F$3:$S$1101,14,0),"")</f>
        <v>1m</v>
      </c>
      <c r="BD128" s="448" t="str">
        <f>_xlfn.IFNA(VLOOKUP($AP128,Programma!$F$3:$T$1101,15,0),"")</f>
        <v>2j</v>
      </c>
      <c r="BE128" s="448" t="str">
        <f>_xlfn.IFNA(VLOOKUP($AP128,Programma!$F$3:$U$1101,16,0),"")</f>
        <v>1j</v>
      </c>
      <c r="BF128" s="448" t="str">
        <f>_xlfn.IFNA(VLOOKUP($AP128,Programma!$F$3:$V$1101,17,0),"")</f>
        <v>_</v>
      </c>
      <c r="BG128" s="448" t="str">
        <f>_xlfn.IFNA(VLOOKUP($AP128,Programma!$F$3:$W$1101,18,0),"")</f>
        <v>_</v>
      </c>
      <c r="BH128" s="448" t="str">
        <f>_xlfn.IFNA(VLOOKUP($AP128,Programma!$F$3:$X$1101,19,0),"")</f>
        <v>_</v>
      </c>
      <c r="BI128" s="448" t="str">
        <f>_xlfn.IFNA(VLOOKUP($AP128,Programma!$F$3:$Y$1101,20,0),"")</f>
        <v>_</v>
      </c>
      <c r="BJ128" s="449"/>
      <c r="BK128" s="447" t="str">
        <f>IF(Ruimtestaat[[#This Row],[Frequentie weekend]]="","",_xlfn.CONCAT(Ruimtestaat[[#This Row],[Ruimte code]],"-",Ruimtestaat[[#This Row],[Frequentie weekend]]," ",Ruimtestaat[[#This Row],[Vloer code]]))</f>
        <v/>
      </c>
      <c r="BL128" s="448" t="str">
        <f>_xlfn.IFNA(VLOOKUP($BK128,Programma!$F$3:$G$1101,2,0),"")</f>
        <v/>
      </c>
      <c r="BM128" s="448" t="str">
        <f>_xlfn.IFNA(VLOOKUP($BK128,Programma!$F$3:$H$1101,3,0),"")</f>
        <v/>
      </c>
      <c r="BN128" s="448" t="str">
        <f>_xlfn.IFNA(VLOOKUP($BK128,Programma!$F$3:$I$1101,4,0),"")</f>
        <v/>
      </c>
      <c r="BO128" s="448" t="str">
        <f>_xlfn.IFNA(VLOOKUP($BK128,Programma!$F$3:$J$1101,5,0),"")</f>
        <v/>
      </c>
      <c r="BP128" s="448" t="str">
        <f>_xlfn.IFNA(VLOOKUP($BK128,Programma!$F$3:$K$1101,6,0),"")</f>
        <v/>
      </c>
      <c r="BQ128" s="448" t="str">
        <f>_xlfn.IFNA(VLOOKUP($BK128,Programma!$F$3:$L$1101,7,0),"")</f>
        <v/>
      </c>
      <c r="BR128" s="448" t="str">
        <f>_xlfn.IFNA(VLOOKUP($BK128,Programma!$F$3:$M$1101,8,0),"")</f>
        <v/>
      </c>
      <c r="BS128" s="448" t="str">
        <f>_xlfn.IFNA(VLOOKUP($BK128,Programma!$F$3:$N$1101,9,0),"")</f>
        <v/>
      </c>
      <c r="BT128" s="448" t="str">
        <f>_xlfn.IFNA(VLOOKUP($BK128,Programma!$F$3:$O$1101,10,0),"")</f>
        <v/>
      </c>
      <c r="BU128" s="448" t="str">
        <f>_xlfn.IFNA(VLOOKUP($BK128,Programma!$F$3:$P$1101,11,0),"")</f>
        <v/>
      </c>
      <c r="BV128" s="448" t="str">
        <f>_xlfn.IFNA(VLOOKUP($BK128,Programma!$F$3:$Q$1101,12,0),"")</f>
        <v/>
      </c>
      <c r="BW128" s="448" t="str">
        <f>_xlfn.IFNA(VLOOKUP($BK128,Programma!$F$3:$R$1101,13,0),"")</f>
        <v/>
      </c>
      <c r="BX128" s="448" t="str">
        <f>_xlfn.IFNA(VLOOKUP($BK128,Programma!$F$3:$S$1101,14,0),"")</f>
        <v/>
      </c>
      <c r="BY128" s="448" t="str">
        <f>_xlfn.IFNA(VLOOKUP($BK128,Programma!$F$3:$T$1101,15,0),"")</f>
        <v/>
      </c>
      <c r="BZ128" s="448" t="str">
        <f>_xlfn.IFNA(VLOOKUP($BK128,Programma!$F$3:$U$1101,16,0),"")</f>
        <v/>
      </c>
      <c r="CA128" s="448" t="str">
        <f>_xlfn.IFNA(VLOOKUP($BK128,Programma!$F$3:$V$1101,17,0),"")</f>
        <v/>
      </c>
      <c r="CB128" s="448" t="str">
        <f>_xlfn.IFNA(VLOOKUP($BK128,Programma!$F$3:$W$1101,18,0),"")</f>
        <v/>
      </c>
      <c r="CC128" s="448" t="str">
        <f>_xlfn.IFNA(VLOOKUP($BK128,Programma!$F$3:$X$1101,19,0),"")</f>
        <v/>
      </c>
      <c r="CD128" s="448" t="str">
        <f>_xlfn.IFNA(VLOOKUP($BK128,Programma!$F$3:$Y$1101,20,0),"")</f>
        <v/>
      </c>
      <c r="CE128" s="327"/>
      <c r="CF128" s="327"/>
      <c r="CG128" s="327"/>
      <c r="CH128" s="327"/>
      <c r="CI128" s="327"/>
      <c r="CJ128" s="327"/>
      <c r="CK128" s="327"/>
      <c r="CL128" s="327"/>
      <c r="CM128" s="327"/>
      <c r="CN128" s="327"/>
      <c r="CO128" s="327"/>
      <c r="CP128" s="327"/>
      <c r="CQ128" s="327"/>
      <c r="CR128" s="327"/>
      <c r="CS128" s="327"/>
      <c r="CT128" s="327"/>
      <c r="CU128" s="327"/>
      <c r="CV128" s="327"/>
      <c r="CW128" s="327"/>
      <c r="CX128" s="327"/>
      <c r="CY128" s="327"/>
      <c r="CZ128" s="327"/>
      <c r="DA128" s="327"/>
      <c r="DB128" s="327"/>
      <c r="DC128" s="327"/>
      <c r="DD128" s="327"/>
      <c r="DE128" s="327"/>
      <c r="DF128" s="327"/>
      <c r="DG128" s="327"/>
      <c r="DH128" s="327"/>
      <c r="DI128" s="327"/>
      <c r="DJ128" s="327"/>
      <c r="DK128" s="327"/>
      <c r="DL128" s="327"/>
      <c r="DM128" s="327"/>
      <c r="DN128" s="327"/>
      <c r="DO128" s="327"/>
      <c r="DP128" s="327"/>
      <c r="DQ128" s="327"/>
      <c r="DR128" s="327"/>
      <c r="DS128" s="327"/>
      <c r="DT128" s="327"/>
      <c r="DU128" s="327"/>
      <c r="DV128" s="327"/>
      <c r="DW128" s="327"/>
      <c r="DX128" s="327"/>
      <c r="DY128" s="327"/>
      <c r="DZ128" s="327"/>
      <c r="EA128" s="327"/>
      <c r="EB128" s="327"/>
      <c r="EC128" s="327"/>
      <c r="ED128" s="327"/>
      <c r="EE128" s="327"/>
      <c r="EF128" s="327"/>
      <c r="EG128" s="327"/>
      <c r="EH128" s="327"/>
      <c r="EI128" s="327"/>
      <c r="EJ128" s="327"/>
      <c r="EK128" s="327"/>
      <c r="EL128" s="327"/>
      <c r="EM128" s="327"/>
      <c r="EN128" s="327"/>
      <c r="EO128" s="327"/>
      <c r="EP128" s="327"/>
      <c r="EQ128" s="327"/>
      <c r="ER128" s="327"/>
      <c r="ES128" s="327"/>
      <c r="ET128" s="327"/>
      <c r="EU128" s="327"/>
      <c r="EV128" s="327"/>
      <c r="EW128" s="327"/>
      <c r="EX128" s="327"/>
      <c r="EY128" s="327"/>
      <c r="EZ128" s="327"/>
      <c r="FA128" s="327"/>
      <c r="FB128" s="327"/>
      <c r="FC128" s="327"/>
      <c r="FD128" s="327"/>
      <c r="FE128" s="327"/>
      <c r="FF128" s="327"/>
      <c r="FG128" s="327"/>
      <c r="FH128" s="327"/>
      <c r="FI128" s="327"/>
      <c r="FJ128" s="327"/>
      <c r="FK128" s="327"/>
      <c r="FL128" s="327"/>
      <c r="FM128" s="327"/>
      <c r="FN128" s="327"/>
      <c r="FO128" s="327"/>
      <c r="FP128" s="327"/>
      <c r="FQ128" s="327"/>
      <c r="FR128" s="327"/>
      <c r="FS128" s="327"/>
      <c r="FT128" s="327"/>
      <c r="FU128" s="327"/>
      <c r="FV128" s="327"/>
      <c r="FW128" s="327"/>
      <c r="FX128" s="327"/>
      <c r="FY128" s="327"/>
      <c r="FZ128" s="327"/>
      <c r="GA128" s="327"/>
      <c r="GB128" s="327"/>
      <c r="GC128" s="327"/>
      <c r="GD128" s="327"/>
      <c r="GE128" s="327"/>
      <c r="GF128" s="327"/>
      <c r="GG128" s="327"/>
      <c r="GH128" s="327"/>
      <c r="GI128" s="327"/>
      <c r="GJ128" s="327"/>
      <c r="GK128" s="327"/>
      <c r="GL128" s="327"/>
      <c r="GM128" s="327"/>
      <c r="GN128" s="327"/>
      <c r="GO128" s="327"/>
      <c r="GP128" s="327"/>
      <c r="GQ128" s="327"/>
      <c r="GR128" s="327"/>
      <c r="GS128" s="327"/>
      <c r="GT128" s="327"/>
      <c r="GU128" s="327"/>
      <c r="GV128" s="327"/>
      <c r="GW128" s="327"/>
      <c r="GX128" s="327"/>
      <c r="GY128" s="327"/>
      <c r="GZ128" s="327"/>
      <c r="HA128" s="327"/>
      <c r="HB128" s="327"/>
      <c r="HC128" s="327"/>
      <c r="HD128" s="327"/>
      <c r="HE128" s="327"/>
      <c r="HF128" s="327"/>
      <c r="HG128" s="327"/>
      <c r="HH128" s="327"/>
      <c r="HI128" s="327"/>
      <c r="HJ128" s="327"/>
      <c r="HK128" s="327"/>
      <c r="HL128" s="327"/>
      <c r="HM128" s="327"/>
      <c r="HN128" s="327"/>
      <c r="HO128" s="327"/>
      <c r="HP128" s="327"/>
      <c r="HQ128" s="327"/>
      <c r="HR128" s="327"/>
      <c r="HS128" s="327"/>
    </row>
    <row r="129" spans="1:227" ht="15" customHeight="1">
      <c r="A129" s="330">
        <v>6</v>
      </c>
      <c r="B129" s="435" t="str">
        <f>VLOOKUP(Ruimtestaat[[#This Row],[Code]],Locaties[[Code]:[Locatie]],2,FALSE)</f>
        <v>IKC Het Zwanenbos</v>
      </c>
      <c r="C129" s="435" t="str">
        <f>VLOOKUP(Ruimtestaat[[#This Row],[Code]],Locaties[[#All],[Code]:[Adres]],4,FALSE)</f>
        <v>Kerkenbos 24-26</v>
      </c>
      <c r="D129" s="435" t="str">
        <f>VLOOKUP(Ruimtestaat[[#This Row],[Code]],Locaties[[#All],[Code]:[Postcode]],5,FALSE)</f>
        <v>2716 PH</v>
      </c>
      <c r="E129" s="435" t="str">
        <f>VLOOKUP(Ruimtestaat[[#This Row],[Code]],Locaties[#All],6,FALSE)</f>
        <v>Zoetermeer</v>
      </c>
      <c r="F129" s="434"/>
      <c r="G129" s="434" t="s">
        <v>1678</v>
      </c>
      <c r="H129" s="330">
        <v>21</v>
      </c>
      <c r="I129" s="450" t="s">
        <v>121</v>
      </c>
      <c r="J129" s="330">
        <v>15</v>
      </c>
      <c r="K129" s="450" t="str">
        <f>VLOOKUP(Ruimtestaat[[#This Row],[Ruimte code]],Ruimtegroepen[[#All],[Code]:[Ruimte omschrijving]],2,FALSE)</f>
        <v>Keuken/pantry</v>
      </c>
      <c r="L129" s="434" t="s">
        <v>100</v>
      </c>
      <c r="M129" s="437" t="s">
        <v>1759</v>
      </c>
      <c r="N129" s="439">
        <v>11</v>
      </c>
      <c r="O129" s="439"/>
      <c r="P129" s="439"/>
      <c r="Q129" s="439"/>
      <c r="R129" s="440" t="str">
        <f>VLOOKUP(Ruimtestaat[[#This Row],[Ruimte code]],Ruimtegroepen[],4,FALSE)</f>
        <v>Ve</v>
      </c>
      <c r="S129" s="434">
        <v>41</v>
      </c>
      <c r="T129" s="434" t="s">
        <v>2</v>
      </c>
      <c r="U129" s="434">
        <f>IF(S129&gt;0,IF(RIGHT(Ruimtestaat[[#This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29" s="434">
        <f>IF(U129&gt;0,VLOOKUP($J129,Ruimtegroepen[],3,FALSE)*VLOOKUP($L129,Vloersoorten[],3,FALSE)*VLOOKUP($T129,Frequenties[],3,FALSE)*VLOOKUP($A129,Locaties[],3,FALSE),0)</f>
        <v>0</v>
      </c>
      <c r="W129" s="434">
        <f>Ruimtestaat[[#This Row],[Uitvoeringen werkdagen]]*Ruimtestaat[[#This Row],[Oppervlak (netto)]]</f>
        <v>2255</v>
      </c>
      <c r="X129" s="441">
        <f>IF(V129&gt;0,Ruimtestaat[[#This Row],[Prest. (m2 /jaar) werkdagen]]/Ruimtestaat[[#This Row],[Norm (m2/uur) werkdagen]],0)</f>
        <v>0</v>
      </c>
      <c r="Y129" s="442">
        <f>Ruimtestaat[[#This Row],[Uitvoeringen werkdagen]]*Ruimtestaat[[#This Row],[Gedeeltelijk]]</f>
        <v>0</v>
      </c>
      <c r="Z129" s="443" t="e">
        <f>IF(U129&gt;0,Ruimtestaat[[#This Row],[Prest. (m2 / jaar) werkdagen gedeeld]]/Ruimtestaat[[#This Row],[Norm (m2/uur) werkdagen]],0)</f>
        <v>#DIV/0!</v>
      </c>
      <c r="AA129" s="441" t="e">
        <f>Ruimtestaat[[#This Row],[uren / jaar werkdagen gedeeld]]*Tariefsopbouw!$E$35</f>
        <v>#DIV/0!</v>
      </c>
      <c r="AB129" s="441">
        <f>Ruimtestaat[[#This Row],[Uitvoeringen werkdagen]]*Ruimtestaat[[#This Row],[BSO]]</f>
        <v>0</v>
      </c>
      <c r="AC129" s="443" t="e">
        <f>IF(U129&gt;0,Ruimtestaat[[#This Row],[Prest. (m2 / jaar) werkdagen BSO]]/Ruimtestaat[[#This Row],[Norm (m2/uur) werkdagen]],0)</f>
        <v>#DIV/0!</v>
      </c>
      <c r="AD129" s="443" t="e">
        <f>Ruimtestaat[[#This Row],[uren / jaar werkdagen BSO]]*Tariefsopbouw!$E$35</f>
        <v>#DIV/0!</v>
      </c>
      <c r="AE129" s="444">
        <f>Ruimtestaat[[#This Row],[uren / jaar werkdagen]]*Tariefsopbouw!$E$35</f>
        <v>0</v>
      </c>
      <c r="AF129" s="434"/>
      <c r="AG129" s="434">
        <f>IF(Ruimtestaat[[#This Row],[Frequentie weekend]]&gt;0,VALUE(LEFT(AF129,1))*S129,0)</f>
        <v>0</v>
      </c>
      <c r="AH129" s="445">
        <f>IF($AG129&gt;0,VLOOKUP($J129,Ruimtegroepen[],3,FALSE)*VLOOKUP($L129,Vloersoorten[],3,FALSE)*VLOOKUP($AF129,Frequenties[],3,FALSE)*VLOOKUP(Ruimtestaat[[#This Row],[Code]],Locaties[],3,FALSE),0)</f>
        <v>0</v>
      </c>
      <c r="AI129" s="445">
        <f>Ruimtestaat[[#This Row],[Uitvoeringen weekend]]*Ruimtestaat[[#This Row],[Oppervlak (netto)]]</f>
        <v>0</v>
      </c>
      <c r="AJ129" s="445">
        <f>IF(AH129&gt;0,Ruimtestaat[[#This Row],[Prest. (m2 /jaar) weekend]]/Ruimtestaat[[#This Row],[Norm (m2/uur) weekend]],0)</f>
        <v>0</v>
      </c>
      <c r="AK129" s="444">
        <f>Ruimtestaat[[#This Row],[uren / jaar weekend]]*Tariefsopbouw!$D$40</f>
        <v>0</v>
      </c>
      <c r="AL129" s="441">
        <f>Ruimtestaat[[#This Row],[Prest. (m2 /jaar) weekend]]+Ruimtestaat[[#This Row],[Prest. (m2 /jaar) werkdagen]]</f>
        <v>2255</v>
      </c>
      <c r="AM129" s="441">
        <f>Ruimtestaat[[#This Row],[uren / jaar weekend]]+Ruimtestaat[[#This Row],[uren / jaar werkdagen]]</f>
        <v>0</v>
      </c>
      <c r="AN129" s="446">
        <f>Ruimtestaat[[#This Row],[kosten / jaar weekend]]+Ruimtestaat[[#This Row],[kosten / jaar werkdagen]]</f>
        <v>0</v>
      </c>
      <c r="AO129" s="446"/>
      <c r="AP129" s="447" t="str">
        <f>IF(Ruimtestaat[[#This Row],[Frequentie werkdagen]]="","",_xlfn.CONCAT(Ruimtestaat[[#This Row],[Ruimte code]],"-",Ruimtestaat[[#This Row],[Frequentie werkdagen]]," ",Ruimtestaat[[#This Row],[Vloer code]]))</f>
        <v>15-5w L</v>
      </c>
      <c r="AQ129" s="448" t="str">
        <f>_xlfn.IFNA(VLOOKUP($AP129,Programma!$F$3:$G$1101,2,0),"")</f>
        <v>_</v>
      </c>
      <c r="AR129" s="448" t="str">
        <f>_xlfn.IFNA(VLOOKUP($AP129,Programma!$F$3:$H$1101,3,0),"")</f>
        <v>_</v>
      </c>
      <c r="AS129" s="448" t="str">
        <f>_xlfn.IFNA(VLOOKUP($AP129,Programma!$F$3:$I$1101,4,0),"")</f>
        <v>_</v>
      </c>
      <c r="AT129" s="448" t="str">
        <f>_xlfn.IFNA(VLOOKUP($AP129,Programma!$F$3:$J$1101,5,0),"")</f>
        <v>5w</v>
      </c>
      <c r="AU129" s="448" t="str">
        <f>_xlfn.IFNA(VLOOKUP($AP129,Programma!$F$3:$K$1101,6,0),"")</f>
        <v>_</v>
      </c>
      <c r="AV129" s="448" t="str">
        <f>_xlfn.IFNA(VLOOKUP($AP129,Programma!$F$3:$L$1101,7,0),"")</f>
        <v>_</v>
      </c>
      <c r="AW129" s="448" t="str">
        <f>_xlfn.IFNA(VLOOKUP($AP129,Programma!$F$3:$M$1101,8,0),"")</f>
        <v>_</v>
      </c>
      <c r="AX129" s="448" t="str">
        <f>_xlfn.IFNA(VLOOKUP($AP129,Programma!$F$3:$N$1101,9,0),"")</f>
        <v>_</v>
      </c>
      <c r="AY129" s="448" t="str">
        <f>_xlfn.IFNA(VLOOKUP($AP129,Programma!$F$3:$O$1101,10,0),"")</f>
        <v>5w</v>
      </c>
      <c r="AZ129" s="448" t="str">
        <f>_xlfn.IFNA(VLOOKUP($AP129,Programma!$F$3:$P$1101,11,0),"")</f>
        <v>5w</v>
      </c>
      <c r="BA129" s="448" t="str">
        <f>_xlfn.IFNA(VLOOKUP($AP129,Programma!$F$3:$Q$1101,12,0),"")</f>
        <v>1w</v>
      </c>
      <c r="BB129" s="448" t="str">
        <f>_xlfn.IFNA(VLOOKUP($AP129,Programma!$F$3:$R$1101,13,0),"")</f>
        <v>1w</v>
      </c>
      <c r="BC129" s="448" t="str">
        <f>_xlfn.IFNA(VLOOKUP($AP129,Programma!$F$3:$S$1101,14,0),"")</f>
        <v>1m</v>
      </c>
      <c r="BD129" s="448" t="str">
        <f>_xlfn.IFNA(VLOOKUP($AP129,Programma!$F$3:$T$1101,15,0),"")</f>
        <v>2j</v>
      </c>
      <c r="BE129" s="448" t="str">
        <f>_xlfn.IFNA(VLOOKUP($AP129,Programma!$F$3:$U$1101,16,0),"")</f>
        <v>1j</v>
      </c>
      <c r="BF129" s="448" t="str">
        <f>_xlfn.IFNA(VLOOKUP($AP129,Programma!$F$3:$V$1101,17,0),"")</f>
        <v>_</v>
      </c>
      <c r="BG129" s="448" t="str">
        <f>_xlfn.IFNA(VLOOKUP($AP129,Programma!$F$3:$W$1101,18,0),"")</f>
        <v>_</v>
      </c>
      <c r="BH129" s="448" t="str">
        <f>_xlfn.IFNA(VLOOKUP($AP129,Programma!$F$3:$X$1101,19,0),"")</f>
        <v>_</v>
      </c>
      <c r="BI129" s="448" t="str">
        <f>_xlfn.IFNA(VLOOKUP($AP129,Programma!$F$3:$Y$1101,20,0),"")</f>
        <v>_</v>
      </c>
      <c r="BJ129" s="449"/>
      <c r="BK129" s="447" t="str">
        <f>IF(Ruimtestaat[[#This Row],[Frequentie weekend]]="","",_xlfn.CONCAT(Ruimtestaat[[#This Row],[Ruimte code]],"-",Ruimtestaat[[#This Row],[Frequentie weekend]]," ",Ruimtestaat[[#This Row],[Vloer code]]))</f>
        <v/>
      </c>
      <c r="BL129" s="448" t="str">
        <f>_xlfn.IFNA(VLOOKUP($BK129,Programma!$F$3:$G$1101,2,0),"")</f>
        <v/>
      </c>
      <c r="BM129" s="448" t="str">
        <f>_xlfn.IFNA(VLOOKUP($BK129,Programma!$F$3:$H$1101,3,0),"")</f>
        <v/>
      </c>
      <c r="BN129" s="448" t="str">
        <f>_xlfn.IFNA(VLOOKUP($BK129,Programma!$F$3:$I$1101,4,0),"")</f>
        <v/>
      </c>
      <c r="BO129" s="448" t="str">
        <f>_xlfn.IFNA(VLOOKUP($BK129,Programma!$F$3:$J$1101,5,0),"")</f>
        <v/>
      </c>
      <c r="BP129" s="448" t="str">
        <f>_xlfn.IFNA(VLOOKUP($BK129,Programma!$F$3:$K$1101,6,0),"")</f>
        <v/>
      </c>
      <c r="BQ129" s="448" t="str">
        <f>_xlfn.IFNA(VLOOKUP($BK129,Programma!$F$3:$L$1101,7,0),"")</f>
        <v/>
      </c>
      <c r="BR129" s="448" t="str">
        <f>_xlfn.IFNA(VLOOKUP($BK129,Programma!$F$3:$M$1101,8,0),"")</f>
        <v/>
      </c>
      <c r="BS129" s="448" t="str">
        <f>_xlfn.IFNA(VLOOKUP($BK129,Programma!$F$3:$N$1101,9,0),"")</f>
        <v/>
      </c>
      <c r="BT129" s="448" t="str">
        <f>_xlfn.IFNA(VLOOKUP($BK129,Programma!$F$3:$O$1101,10,0),"")</f>
        <v/>
      </c>
      <c r="BU129" s="448" t="str">
        <f>_xlfn.IFNA(VLOOKUP($BK129,Programma!$F$3:$P$1101,11,0),"")</f>
        <v/>
      </c>
      <c r="BV129" s="448" t="str">
        <f>_xlfn.IFNA(VLOOKUP($BK129,Programma!$F$3:$Q$1101,12,0),"")</f>
        <v/>
      </c>
      <c r="BW129" s="448" t="str">
        <f>_xlfn.IFNA(VLOOKUP($BK129,Programma!$F$3:$R$1101,13,0),"")</f>
        <v/>
      </c>
      <c r="BX129" s="448" t="str">
        <f>_xlfn.IFNA(VLOOKUP($BK129,Programma!$F$3:$S$1101,14,0),"")</f>
        <v/>
      </c>
      <c r="BY129" s="448" t="str">
        <f>_xlfn.IFNA(VLOOKUP($BK129,Programma!$F$3:$T$1101,15,0),"")</f>
        <v/>
      </c>
      <c r="BZ129" s="448" t="str">
        <f>_xlfn.IFNA(VLOOKUP($BK129,Programma!$F$3:$U$1101,16,0),"")</f>
        <v/>
      </c>
      <c r="CA129" s="448" t="str">
        <f>_xlfn.IFNA(VLOOKUP($BK129,Programma!$F$3:$V$1101,17,0),"")</f>
        <v/>
      </c>
      <c r="CB129" s="448" t="str">
        <f>_xlfn.IFNA(VLOOKUP($BK129,Programma!$F$3:$W$1101,18,0),"")</f>
        <v/>
      </c>
      <c r="CC129" s="448" t="str">
        <f>_xlfn.IFNA(VLOOKUP($BK129,Programma!$F$3:$X$1101,19,0),"")</f>
        <v/>
      </c>
      <c r="CD129" s="448" t="str">
        <f>_xlfn.IFNA(VLOOKUP($BK129,Programma!$F$3:$Y$1101,20,0),"")</f>
        <v/>
      </c>
      <c r="CE129" s="327"/>
      <c r="CF129" s="327"/>
      <c r="CG129" s="327"/>
      <c r="CH129" s="327"/>
      <c r="CI129" s="327"/>
      <c r="CJ129" s="327"/>
      <c r="CK129" s="327"/>
      <c r="CL129" s="327"/>
      <c r="CM129" s="327"/>
      <c r="CN129" s="327"/>
      <c r="CO129" s="327"/>
      <c r="CP129" s="327"/>
      <c r="CQ129" s="327"/>
      <c r="CR129" s="327"/>
      <c r="CS129" s="327"/>
      <c r="CT129" s="327"/>
      <c r="CU129" s="327"/>
      <c r="CV129" s="327"/>
      <c r="CW129" s="327"/>
      <c r="CX129" s="327"/>
      <c r="CY129" s="327"/>
      <c r="CZ129" s="327"/>
      <c r="DA129" s="327"/>
      <c r="DB129" s="327"/>
      <c r="DC129" s="327"/>
      <c r="DD129" s="327"/>
      <c r="DE129" s="327"/>
      <c r="DF129" s="327"/>
      <c r="DG129" s="327"/>
      <c r="DH129" s="327"/>
      <c r="DI129" s="327"/>
      <c r="DJ129" s="327"/>
      <c r="DK129" s="327"/>
      <c r="DL129" s="327"/>
      <c r="DM129" s="327"/>
      <c r="DN129" s="327"/>
      <c r="DO129" s="327"/>
      <c r="DP129" s="327"/>
      <c r="DQ129" s="327"/>
      <c r="DR129" s="327"/>
      <c r="DS129" s="327"/>
      <c r="DT129" s="327"/>
      <c r="DU129" s="327"/>
      <c r="DV129" s="327"/>
      <c r="DW129" s="327"/>
      <c r="DX129" s="327"/>
      <c r="DY129" s="327"/>
      <c r="DZ129" s="327"/>
      <c r="EA129" s="327"/>
      <c r="EB129" s="327"/>
      <c r="EC129" s="327"/>
      <c r="ED129" s="327"/>
      <c r="EE129" s="327"/>
      <c r="EF129" s="327"/>
      <c r="EG129" s="327"/>
      <c r="EH129" s="327"/>
      <c r="EI129" s="327"/>
      <c r="EJ129" s="327"/>
      <c r="EK129" s="327"/>
      <c r="EL129" s="327"/>
      <c r="EM129" s="327"/>
      <c r="EN129" s="327"/>
      <c r="EO129" s="327"/>
      <c r="EP129" s="327"/>
      <c r="EQ129" s="327"/>
      <c r="ER129" s="327"/>
      <c r="ES129" s="327"/>
      <c r="ET129" s="327"/>
      <c r="EU129" s="327"/>
      <c r="EV129" s="327"/>
      <c r="EW129" s="327"/>
      <c r="EX129" s="327"/>
      <c r="EY129" s="327"/>
      <c r="EZ129" s="327"/>
      <c r="FA129" s="327"/>
      <c r="FB129" s="327"/>
      <c r="FC129" s="327"/>
      <c r="FD129" s="327"/>
      <c r="FE129" s="327"/>
      <c r="FF129" s="327"/>
      <c r="FG129" s="327"/>
      <c r="FH129" s="327"/>
      <c r="FI129" s="327"/>
      <c r="FJ129" s="327"/>
      <c r="FK129" s="327"/>
      <c r="FL129" s="327"/>
      <c r="FM129" s="327"/>
      <c r="FN129" s="327"/>
      <c r="FO129" s="327"/>
      <c r="FP129" s="327"/>
      <c r="FQ129" s="327"/>
      <c r="FR129" s="327"/>
      <c r="FS129" s="327"/>
      <c r="FT129" s="327"/>
      <c r="FU129" s="327"/>
      <c r="FV129" s="327"/>
      <c r="FW129" s="327"/>
      <c r="FX129" s="327"/>
      <c r="FY129" s="327"/>
      <c r="FZ129" s="327"/>
      <c r="GA129" s="327"/>
      <c r="GB129" s="327"/>
      <c r="GC129" s="327"/>
      <c r="GD129" s="327"/>
      <c r="GE129" s="327"/>
      <c r="GF129" s="327"/>
      <c r="GG129" s="327"/>
      <c r="GH129" s="327"/>
      <c r="GI129" s="327"/>
      <c r="GJ129" s="327"/>
      <c r="GK129" s="327"/>
      <c r="GL129" s="327"/>
      <c r="GM129" s="327"/>
      <c r="GN129" s="327"/>
      <c r="GO129" s="327"/>
      <c r="GP129" s="327"/>
      <c r="GQ129" s="327"/>
      <c r="GR129" s="327"/>
      <c r="GS129" s="327"/>
      <c r="GT129" s="327"/>
      <c r="GU129" s="327"/>
      <c r="GV129" s="327"/>
      <c r="GW129" s="327"/>
      <c r="GX129" s="327"/>
      <c r="GY129" s="327"/>
      <c r="GZ129" s="327"/>
      <c r="HA129" s="327"/>
      <c r="HB129" s="327"/>
      <c r="HC129" s="327"/>
      <c r="HD129" s="327"/>
      <c r="HE129" s="327"/>
      <c r="HF129" s="327"/>
      <c r="HG129" s="327"/>
      <c r="HH129" s="327"/>
      <c r="HI129" s="327"/>
      <c r="HJ129" s="327"/>
      <c r="HK129" s="327"/>
      <c r="HL129" s="327"/>
      <c r="HM129" s="327"/>
      <c r="HN129" s="327"/>
      <c r="HO129" s="327"/>
      <c r="HP129" s="327"/>
      <c r="HQ129" s="327"/>
      <c r="HR129" s="327"/>
      <c r="HS129" s="327"/>
    </row>
    <row r="130" spans="1:227" ht="15" customHeight="1">
      <c r="A130" s="330">
        <v>6</v>
      </c>
      <c r="B130" s="435" t="str">
        <f>VLOOKUP(Ruimtestaat[[#This Row],[Code]],Locaties[[Code]:[Locatie]],2,FALSE)</f>
        <v>IKC Het Zwanenbos</v>
      </c>
      <c r="C130" s="435" t="str">
        <f>VLOOKUP(Ruimtestaat[[#This Row],[Code]],Locaties[[#All],[Code]:[Adres]],4,FALSE)</f>
        <v>Kerkenbos 24-26</v>
      </c>
      <c r="D130" s="435" t="str">
        <f>VLOOKUP(Ruimtestaat[[#This Row],[Code]],Locaties[[#All],[Code]:[Postcode]],5,FALSE)</f>
        <v>2716 PH</v>
      </c>
      <c r="E130" s="435" t="str">
        <f>VLOOKUP(Ruimtestaat[[#This Row],[Code]],Locaties[#All],6,FALSE)</f>
        <v>Zoetermeer</v>
      </c>
      <c r="F130" s="434"/>
      <c r="G130" s="434" t="s">
        <v>1678</v>
      </c>
      <c r="H130" s="330">
        <v>22</v>
      </c>
      <c r="I130" s="450" t="s">
        <v>1767</v>
      </c>
      <c r="J130" s="330">
        <v>2</v>
      </c>
      <c r="K130" s="450" t="str">
        <f>VLOOKUP(Ruimtestaat[[#This Row],[Ruimte code]],Ruimtegroepen[[#All],[Code]:[Ruimte omschrijving]],2,FALSE)</f>
        <v>Kantoren</v>
      </c>
      <c r="L130" s="434" t="s">
        <v>99</v>
      </c>
      <c r="M130" s="437" t="s">
        <v>36</v>
      </c>
      <c r="N130" s="439">
        <v>21</v>
      </c>
      <c r="O130" s="439"/>
      <c r="P130" s="439"/>
      <c r="Q130" s="439"/>
      <c r="R130" s="440" t="str">
        <f>VLOOKUP(Ruimtestaat[[#This Row],[Ruimte code]],Ruimtegroepen[],4,FALSE)</f>
        <v>Bu</v>
      </c>
      <c r="S130" s="434">
        <v>41</v>
      </c>
      <c r="T130" s="434" t="s">
        <v>17</v>
      </c>
      <c r="U130" s="434">
        <f>IF(S130&gt;0,IF(RIGHT(Ruimtestaat[[#This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30" s="434">
        <f>IF(U130&gt;0,VLOOKUP($J130,Ruimtegroepen[],3,FALSE)*VLOOKUP($L130,Vloersoorten[],3,FALSE)*VLOOKUP($T130,Frequenties[],3,FALSE)*VLOOKUP($A130,Locaties[],3,FALSE),0)</f>
        <v>0</v>
      </c>
      <c r="W130" s="434">
        <f>Ruimtestaat[[#This Row],[Uitvoeringen werkdagen]]*Ruimtestaat[[#This Row],[Oppervlak (netto)]]</f>
        <v>1722</v>
      </c>
      <c r="X130" s="441">
        <f>IF(V130&gt;0,Ruimtestaat[[#This Row],[Prest. (m2 /jaar) werkdagen]]/Ruimtestaat[[#This Row],[Norm (m2/uur) werkdagen]],0)</f>
        <v>0</v>
      </c>
      <c r="Y130" s="442">
        <f>Ruimtestaat[[#This Row],[Uitvoeringen werkdagen]]*Ruimtestaat[[#This Row],[Gedeeltelijk]]</f>
        <v>0</v>
      </c>
      <c r="Z130" s="443" t="e">
        <f>IF(U130&gt;0,Ruimtestaat[[#This Row],[Prest. (m2 / jaar) werkdagen gedeeld]]/Ruimtestaat[[#This Row],[Norm (m2/uur) werkdagen]],0)</f>
        <v>#DIV/0!</v>
      </c>
      <c r="AA130" s="441" t="e">
        <f>Ruimtestaat[[#This Row],[uren / jaar werkdagen gedeeld]]*Tariefsopbouw!$E$35</f>
        <v>#DIV/0!</v>
      </c>
      <c r="AB130" s="441">
        <f>Ruimtestaat[[#This Row],[Uitvoeringen werkdagen]]*Ruimtestaat[[#This Row],[BSO]]</f>
        <v>0</v>
      </c>
      <c r="AC130" s="443" t="e">
        <f>IF(U130&gt;0,Ruimtestaat[[#This Row],[Prest. (m2 / jaar) werkdagen BSO]]/Ruimtestaat[[#This Row],[Norm (m2/uur) werkdagen]],0)</f>
        <v>#DIV/0!</v>
      </c>
      <c r="AD130" s="443" t="e">
        <f>Ruimtestaat[[#This Row],[uren / jaar werkdagen BSO]]*Tariefsopbouw!$E$35</f>
        <v>#DIV/0!</v>
      </c>
      <c r="AE130" s="444">
        <f>Ruimtestaat[[#This Row],[uren / jaar werkdagen]]*Tariefsopbouw!$E$35</f>
        <v>0</v>
      </c>
      <c r="AF130" s="434"/>
      <c r="AG130" s="434">
        <f>IF(Ruimtestaat[[#This Row],[Frequentie weekend]]&gt;0,VALUE(LEFT(AF130,1))*S130,0)</f>
        <v>0</v>
      </c>
      <c r="AH130" s="445">
        <f>IF($AG130&gt;0,VLOOKUP($J130,Ruimtegroepen[],3,FALSE)*VLOOKUP($L130,Vloersoorten[],3,FALSE)*VLOOKUP($AF130,Frequenties[],3,FALSE)*VLOOKUP(Ruimtestaat[[#This Row],[Code]],Locaties[],3,FALSE),0)</f>
        <v>0</v>
      </c>
      <c r="AI130" s="445">
        <f>Ruimtestaat[[#This Row],[Uitvoeringen weekend]]*Ruimtestaat[[#This Row],[Oppervlak (netto)]]</f>
        <v>0</v>
      </c>
      <c r="AJ130" s="445">
        <f>IF(AH130&gt;0,Ruimtestaat[[#This Row],[Prest. (m2 /jaar) weekend]]/Ruimtestaat[[#This Row],[Norm (m2/uur) weekend]],0)</f>
        <v>0</v>
      </c>
      <c r="AK130" s="444">
        <f>Ruimtestaat[[#This Row],[uren / jaar weekend]]*Tariefsopbouw!$D$40</f>
        <v>0</v>
      </c>
      <c r="AL130" s="441">
        <f>Ruimtestaat[[#This Row],[Prest. (m2 /jaar) weekend]]+Ruimtestaat[[#This Row],[Prest. (m2 /jaar) werkdagen]]</f>
        <v>1722</v>
      </c>
      <c r="AM130" s="441">
        <f>Ruimtestaat[[#This Row],[uren / jaar weekend]]+Ruimtestaat[[#This Row],[uren / jaar werkdagen]]</f>
        <v>0</v>
      </c>
      <c r="AN130" s="446">
        <f>Ruimtestaat[[#This Row],[kosten / jaar weekend]]+Ruimtestaat[[#This Row],[kosten / jaar werkdagen]]</f>
        <v>0</v>
      </c>
      <c r="AO130" s="446"/>
      <c r="AP130" s="447" t="str">
        <f>IF(Ruimtestaat[[#This Row],[Frequentie werkdagen]]="","",_xlfn.CONCAT(Ruimtestaat[[#This Row],[Ruimte code]],"-",Ruimtestaat[[#This Row],[Frequentie werkdagen]]," ",Ruimtestaat[[#This Row],[Vloer code]]))</f>
        <v>2-2w T</v>
      </c>
      <c r="AQ130" s="448" t="str">
        <f>_xlfn.IFNA(VLOOKUP($AP130,Programma!$F$3:$G$1101,2,0),"")</f>
        <v>1w</v>
      </c>
      <c r="AR130" s="448" t="str">
        <f>_xlfn.IFNA(VLOOKUP($AP130,Programma!$F$3:$H$1101,3,0),"")</f>
        <v>1w</v>
      </c>
      <c r="AS130" s="448" t="str">
        <f>_xlfn.IFNA(VLOOKUP($AP130,Programma!$F$3:$I$1101,4,0),"")</f>
        <v>_</v>
      </c>
      <c r="AT130" s="448" t="str">
        <f>_xlfn.IFNA(VLOOKUP($AP130,Programma!$F$3:$J$1101,5,0),"")</f>
        <v>_</v>
      </c>
      <c r="AU130" s="448" t="str">
        <f>_xlfn.IFNA(VLOOKUP($AP130,Programma!$F$3:$K$1101,6,0),"")</f>
        <v>_</v>
      </c>
      <c r="AV130" s="448" t="str">
        <f>_xlfn.IFNA(VLOOKUP($AP130,Programma!$F$3:$L$1101,7,0),"")</f>
        <v>_</v>
      </c>
      <c r="AW130" s="448" t="str">
        <f>_xlfn.IFNA(VLOOKUP($AP130,Programma!$F$3:$M$1101,8,0),"")</f>
        <v>_</v>
      </c>
      <c r="AX130" s="448" t="str">
        <f>_xlfn.IFNA(VLOOKUP($AP130,Programma!$F$3:$N$1101,9,0),"")</f>
        <v>_</v>
      </c>
      <c r="AY130" s="448" t="str">
        <f>_xlfn.IFNA(VLOOKUP($AP130,Programma!$F$3:$O$1101,10,0),"")</f>
        <v>2w</v>
      </c>
      <c r="AZ130" s="448" t="str">
        <f>_xlfn.IFNA(VLOOKUP($AP130,Programma!$F$3:$P$1101,11,0),"")</f>
        <v>2w</v>
      </c>
      <c r="BA130" s="448" t="str">
        <f>_xlfn.IFNA(VLOOKUP($AP130,Programma!$F$3:$Q$1101,12,0),"")</f>
        <v>1w</v>
      </c>
      <c r="BB130" s="448" t="str">
        <f>_xlfn.IFNA(VLOOKUP($AP130,Programma!$F$3:$R$1101,13,0),"")</f>
        <v>1w</v>
      </c>
      <c r="BC130" s="448" t="str">
        <f>_xlfn.IFNA(VLOOKUP($AP130,Programma!$F$3:$S$1101,14,0),"")</f>
        <v>1m</v>
      </c>
      <c r="BD130" s="448" t="str">
        <f>_xlfn.IFNA(VLOOKUP($AP130,Programma!$F$3:$T$1101,15,0),"")</f>
        <v>2j</v>
      </c>
      <c r="BE130" s="448" t="str">
        <f>_xlfn.IFNA(VLOOKUP($AP130,Programma!$F$3:$U$1101,16,0),"")</f>
        <v>1j</v>
      </c>
      <c r="BF130" s="448" t="str">
        <f>_xlfn.IFNA(VLOOKUP($AP130,Programma!$F$3:$V$1101,17,0),"")</f>
        <v>_</v>
      </c>
      <c r="BG130" s="448" t="str">
        <f>_xlfn.IFNA(VLOOKUP($AP130,Programma!$F$3:$W$1101,18,0),"")</f>
        <v>_</v>
      </c>
      <c r="BH130" s="448" t="str">
        <f>_xlfn.IFNA(VLOOKUP($AP130,Programma!$F$3:$X$1101,19,0),"")</f>
        <v>_</v>
      </c>
      <c r="BI130" s="448" t="str">
        <f>_xlfn.IFNA(VLOOKUP($AP130,Programma!$F$3:$Y$1101,20,0),"")</f>
        <v>_</v>
      </c>
      <c r="BJ130" s="449"/>
      <c r="BK130" s="447" t="str">
        <f>IF(Ruimtestaat[[#This Row],[Frequentie weekend]]="","",_xlfn.CONCAT(Ruimtestaat[[#This Row],[Ruimte code]],"-",Ruimtestaat[[#This Row],[Frequentie weekend]]," ",Ruimtestaat[[#This Row],[Vloer code]]))</f>
        <v/>
      </c>
      <c r="BL130" s="448" t="str">
        <f>_xlfn.IFNA(VLOOKUP($BK130,Programma!$F$3:$G$1101,2,0),"")</f>
        <v/>
      </c>
      <c r="BM130" s="448" t="str">
        <f>_xlfn.IFNA(VLOOKUP($BK130,Programma!$F$3:$H$1101,3,0),"")</f>
        <v/>
      </c>
      <c r="BN130" s="448" t="str">
        <f>_xlfn.IFNA(VLOOKUP($BK130,Programma!$F$3:$I$1101,4,0),"")</f>
        <v/>
      </c>
      <c r="BO130" s="448" t="str">
        <f>_xlfn.IFNA(VLOOKUP($BK130,Programma!$F$3:$J$1101,5,0),"")</f>
        <v/>
      </c>
      <c r="BP130" s="448" t="str">
        <f>_xlfn.IFNA(VLOOKUP($BK130,Programma!$F$3:$K$1101,6,0),"")</f>
        <v/>
      </c>
      <c r="BQ130" s="448" t="str">
        <f>_xlfn.IFNA(VLOOKUP($BK130,Programma!$F$3:$L$1101,7,0),"")</f>
        <v/>
      </c>
      <c r="BR130" s="448" t="str">
        <f>_xlfn.IFNA(VLOOKUP($BK130,Programma!$F$3:$M$1101,8,0),"")</f>
        <v/>
      </c>
      <c r="BS130" s="448" t="str">
        <f>_xlfn.IFNA(VLOOKUP($BK130,Programma!$F$3:$N$1101,9,0),"")</f>
        <v/>
      </c>
      <c r="BT130" s="448" t="str">
        <f>_xlfn.IFNA(VLOOKUP($BK130,Programma!$F$3:$O$1101,10,0),"")</f>
        <v/>
      </c>
      <c r="BU130" s="448" t="str">
        <f>_xlfn.IFNA(VLOOKUP($BK130,Programma!$F$3:$P$1101,11,0),"")</f>
        <v/>
      </c>
      <c r="BV130" s="448" t="str">
        <f>_xlfn.IFNA(VLOOKUP($BK130,Programma!$F$3:$Q$1101,12,0),"")</f>
        <v/>
      </c>
      <c r="BW130" s="448" t="str">
        <f>_xlfn.IFNA(VLOOKUP($BK130,Programma!$F$3:$R$1101,13,0),"")</f>
        <v/>
      </c>
      <c r="BX130" s="448" t="str">
        <f>_xlfn.IFNA(VLOOKUP($BK130,Programma!$F$3:$S$1101,14,0),"")</f>
        <v/>
      </c>
      <c r="BY130" s="448" t="str">
        <f>_xlfn.IFNA(VLOOKUP($BK130,Programma!$F$3:$T$1101,15,0),"")</f>
        <v/>
      </c>
      <c r="BZ130" s="448" t="str">
        <f>_xlfn.IFNA(VLOOKUP($BK130,Programma!$F$3:$U$1101,16,0),"")</f>
        <v/>
      </c>
      <c r="CA130" s="448" t="str">
        <f>_xlfn.IFNA(VLOOKUP($BK130,Programma!$F$3:$V$1101,17,0),"")</f>
        <v/>
      </c>
      <c r="CB130" s="448" t="str">
        <f>_xlfn.IFNA(VLOOKUP($BK130,Programma!$F$3:$W$1101,18,0),"")</f>
        <v/>
      </c>
      <c r="CC130" s="448" t="str">
        <f>_xlfn.IFNA(VLOOKUP($BK130,Programma!$F$3:$X$1101,19,0),"")</f>
        <v/>
      </c>
      <c r="CD130" s="448" t="str">
        <f>_xlfn.IFNA(VLOOKUP($BK130,Programma!$F$3:$Y$1101,20,0),"")</f>
        <v/>
      </c>
      <c r="CE130" s="327"/>
      <c r="CF130" s="327"/>
      <c r="CG130" s="327"/>
      <c r="CH130" s="327"/>
      <c r="CI130" s="327"/>
      <c r="CJ130" s="327"/>
      <c r="CK130" s="327"/>
      <c r="CL130" s="327"/>
      <c r="CM130" s="327"/>
      <c r="CN130" s="327"/>
      <c r="CO130" s="327"/>
      <c r="CP130" s="327"/>
      <c r="CQ130" s="327"/>
      <c r="CR130" s="327"/>
      <c r="CS130" s="327"/>
      <c r="CT130" s="327"/>
      <c r="CU130" s="327"/>
      <c r="CV130" s="327"/>
      <c r="CW130" s="327"/>
      <c r="CX130" s="327"/>
      <c r="CY130" s="327"/>
      <c r="CZ130" s="327"/>
      <c r="DA130" s="327"/>
      <c r="DB130" s="327"/>
      <c r="DC130" s="327"/>
      <c r="DD130" s="327"/>
      <c r="DE130" s="327"/>
      <c r="DF130" s="327"/>
      <c r="DG130" s="327"/>
      <c r="DH130" s="327"/>
      <c r="DI130" s="327"/>
      <c r="DJ130" s="327"/>
      <c r="DK130" s="327"/>
      <c r="DL130" s="327"/>
      <c r="DM130" s="327"/>
      <c r="DN130" s="327"/>
      <c r="DO130" s="327"/>
      <c r="DP130" s="327"/>
      <c r="DQ130" s="327"/>
      <c r="DR130" s="327"/>
      <c r="DS130" s="327"/>
      <c r="DT130" s="327"/>
      <c r="DU130" s="327"/>
      <c r="DV130" s="327"/>
      <c r="DW130" s="327"/>
      <c r="DX130" s="327"/>
      <c r="DY130" s="327"/>
      <c r="DZ130" s="327"/>
      <c r="EA130" s="327"/>
      <c r="EB130" s="327"/>
      <c r="EC130" s="327"/>
      <c r="ED130" s="327"/>
      <c r="EE130" s="327"/>
      <c r="EF130" s="327"/>
      <c r="EG130" s="327"/>
      <c r="EH130" s="327"/>
      <c r="EI130" s="327"/>
      <c r="EJ130" s="327"/>
      <c r="EK130" s="327"/>
      <c r="EL130" s="327"/>
      <c r="EM130" s="327"/>
      <c r="EN130" s="327"/>
      <c r="EO130" s="327"/>
      <c r="EP130" s="327"/>
      <c r="EQ130" s="327"/>
      <c r="ER130" s="327"/>
      <c r="ES130" s="327"/>
      <c r="ET130" s="327"/>
      <c r="EU130" s="327"/>
      <c r="EV130" s="327"/>
      <c r="EW130" s="327"/>
      <c r="EX130" s="327"/>
      <c r="EY130" s="327"/>
      <c r="EZ130" s="327"/>
      <c r="FA130" s="327"/>
      <c r="FB130" s="327"/>
      <c r="FC130" s="327"/>
      <c r="FD130" s="327"/>
      <c r="FE130" s="327"/>
      <c r="FF130" s="327"/>
      <c r="FG130" s="327"/>
      <c r="FH130" s="327"/>
      <c r="FI130" s="327"/>
      <c r="FJ130" s="327"/>
      <c r="FK130" s="327"/>
      <c r="FL130" s="327"/>
      <c r="FM130" s="327"/>
      <c r="FN130" s="327"/>
      <c r="FO130" s="327"/>
      <c r="FP130" s="327"/>
      <c r="FQ130" s="327"/>
      <c r="FR130" s="327"/>
      <c r="FS130" s="327"/>
      <c r="FT130" s="327"/>
      <c r="FU130" s="327"/>
      <c r="FV130" s="327"/>
      <c r="FW130" s="327"/>
      <c r="FX130" s="327"/>
      <c r="FY130" s="327"/>
      <c r="FZ130" s="327"/>
      <c r="GA130" s="327"/>
      <c r="GB130" s="327"/>
      <c r="GC130" s="327"/>
      <c r="GD130" s="327"/>
      <c r="GE130" s="327"/>
      <c r="GF130" s="327"/>
      <c r="GG130" s="327"/>
      <c r="GH130" s="327"/>
      <c r="GI130" s="327"/>
      <c r="GJ130" s="327"/>
      <c r="GK130" s="327"/>
      <c r="GL130" s="327"/>
      <c r="GM130" s="327"/>
      <c r="GN130" s="327"/>
      <c r="GO130" s="327"/>
      <c r="GP130" s="327"/>
      <c r="GQ130" s="327"/>
      <c r="GR130" s="327"/>
      <c r="GS130" s="327"/>
      <c r="GT130" s="327"/>
      <c r="GU130" s="327"/>
      <c r="GV130" s="327"/>
      <c r="GW130" s="327"/>
      <c r="GX130" s="327"/>
      <c r="GY130" s="327"/>
      <c r="GZ130" s="327"/>
      <c r="HA130" s="327"/>
      <c r="HB130" s="327"/>
      <c r="HC130" s="327"/>
      <c r="HD130" s="327"/>
      <c r="HE130" s="327"/>
      <c r="HF130" s="327"/>
      <c r="HG130" s="327"/>
      <c r="HH130" s="327"/>
      <c r="HI130" s="327"/>
      <c r="HJ130" s="327"/>
      <c r="HK130" s="327"/>
      <c r="HL130" s="327"/>
      <c r="HM130" s="327"/>
      <c r="HN130" s="327"/>
      <c r="HO130" s="327"/>
      <c r="HP130" s="327"/>
      <c r="HQ130" s="327"/>
      <c r="HR130" s="327"/>
      <c r="HS130" s="327"/>
    </row>
    <row r="131" spans="1:227" ht="15" customHeight="1">
      <c r="A131" s="330">
        <v>6</v>
      </c>
      <c r="B131" s="435" t="str">
        <f>VLOOKUP(Ruimtestaat[[#This Row],[Code]],Locaties[[Code]:[Locatie]],2,FALSE)</f>
        <v>IKC Het Zwanenbos</v>
      </c>
      <c r="C131" s="435" t="str">
        <f>VLOOKUP(Ruimtestaat[[#This Row],[Code]],Locaties[[#All],[Code]:[Adres]],4,FALSE)</f>
        <v>Kerkenbos 24-26</v>
      </c>
      <c r="D131" s="435" t="str">
        <f>VLOOKUP(Ruimtestaat[[#This Row],[Code]],Locaties[[#All],[Code]:[Postcode]],5,FALSE)</f>
        <v>2716 PH</v>
      </c>
      <c r="E131" s="435" t="str">
        <f>VLOOKUP(Ruimtestaat[[#This Row],[Code]],Locaties[#All],6,FALSE)</f>
        <v>Zoetermeer</v>
      </c>
      <c r="F131" s="434"/>
      <c r="G131" s="434" t="s">
        <v>1678</v>
      </c>
      <c r="H131" s="434">
        <v>23</v>
      </c>
      <c r="I131" s="450" t="s">
        <v>1708</v>
      </c>
      <c r="J131" s="434">
        <v>6</v>
      </c>
      <c r="K131" s="438" t="str">
        <f>VLOOKUP(Ruimtestaat[[#This Row],[Ruimte code]],Ruimtegroepen[[#All],[Code]:[Ruimte omschrijving]],2,FALSE)</f>
        <v>Gangen/hallen</v>
      </c>
      <c r="L131" s="434" t="s">
        <v>100</v>
      </c>
      <c r="M131" s="437" t="s">
        <v>1759</v>
      </c>
      <c r="N131" s="439">
        <v>65</v>
      </c>
      <c r="O131" s="439"/>
      <c r="P131" s="439"/>
      <c r="Q131" s="439"/>
      <c r="R131" s="440" t="str">
        <f>VLOOKUP(Ruimtestaat[[#This Row],[Ruimte code]],Ruimtegroepen[],4,FALSE)</f>
        <v>Ve</v>
      </c>
      <c r="S131" s="434">
        <v>41</v>
      </c>
      <c r="T131" s="434" t="s">
        <v>2</v>
      </c>
      <c r="U131" s="434">
        <f>IF(S131&gt;0,IF(RIGHT(Ruimtestaat[[#This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31" s="434">
        <f>IF(U131&gt;0,VLOOKUP($J131,Ruimtegroepen[],3,FALSE)*VLOOKUP($L131,Vloersoorten[],3,FALSE)*VLOOKUP($T131,Frequenties[],3,FALSE)*VLOOKUP($A131,Locaties[],3,FALSE),0)</f>
        <v>0</v>
      </c>
      <c r="W131" s="434">
        <f>Ruimtestaat[[#This Row],[Uitvoeringen werkdagen]]*Ruimtestaat[[#This Row],[Oppervlak (netto)]]</f>
        <v>13325</v>
      </c>
      <c r="X131" s="441">
        <f>IF(V131&gt;0,Ruimtestaat[[#This Row],[Prest. (m2 /jaar) werkdagen]]/Ruimtestaat[[#This Row],[Norm (m2/uur) werkdagen]],0)</f>
        <v>0</v>
      </c>
      <c r="Y131" s="442">
        <f>Ruimtestaat[[#This Row],[Uitvoeringen werkdagen]]*Ruimtestaat[[#This Row],[Gedeeltelijk]]</f>
        <v>0</v>
      </c>
      <c r="Z131" s="443" t="e">
        <f>IF(U131&gt;0,Ruimtestaat[[#This Row],[Prest. (m2 / jaar) werkdagen gedeeld]]/Ruimtestaat[[#This Row],[Norm (m2/uur) werkdagen]],0)</f>
        <v>#DIV/0!</v>
      </c>
      <c r="AA131" s="441" t="e">
        <f>Ruimtestaat[[#This Row],[uren / jaar werkdagen gedeeld]]*Tariefsopbouw!$E$35</f>
        <v>#DIV/0!</v>
      </c>
      <c r="AB131" s="441">
        <f>Ruimtestaat[[#This Row],[Uitvoeringen werkdagen]]*Ruimtestaat[[#This Row],[BSO]]</f>
        <v>0</v>
      </c>
      <c r="AC131" s="443" t="e">
        <f>IF(U131&gt;0,Ruimtestaat[[#This Row],[Prest. (m2 / jaar) werkdagen BSO]]/Ruimtestaat[[#This Row],[Norm (m2/uur) werkdagen]],0)</f>
        <v>#DIV/0!</v>
      </c>
      <c r="AD131" s="443" t="e">
        <f>Ruimtestaat[[#This Row],[uren / jaar werkdagen BSO]]*Tariefsopbouw!$E$35</f>
        <v>#DIV/0!</v>
      </c>
      <c r="AE131" s="444">
        <f>Ruimtestaat[[#This Row],[uren / jaar werkdagen]]*Tariefsopbouw!$E$35</f>
        <v>0</v>
      </c>
      <c r="AF131" s="434"/>
      <c r="AG131" s="434">
        <f>IF(Ruimtestaat[[#This Row],[Frequentie weekend]]&gt;0,VALUE(LEFT(AF131,1))*S131,0)</f>
        <v>0</v>
      </c>
      <c r="AH131" s="445">
        <f>IF($AG131&gt;0,VLOOKUP($J131,Ruimtegroepen[],3,FALSE)*VLOOKUP($L131,Vloersoorten[],3,FALSE)*VLOOKUP($AF131,Frequenties[],3,FALSE)*VLOOKUP(Ruimtestaat[[#This Row],[Code]],Locaties[],3,FALSE),0)</f>
        <v>0</v>
      </c>
      <c r="AI131" s="445">
        <f>Ruimtestaat[[#This Row],[Uitvoeringen weekend]]*Ruimtestaat[[#This Row],[Oppervlak (netto)]]</f>
        <v>0</v>
      </c>
      <c r="AJ131" s="445">
        <f>IF(AH131&gt;0,Ruimtestaat[[#This Row],[Prest. (m2 /jaar) weekend]]/Ruimtestaat[[#This Row],[Norm (m2/uur) weekend]],0)</f>
        <v>0</v>
      </c>
      <c r="AK131" s="444">
        <f>Ruimtestaat[[#This Row],[uren / jaar weekend]]*Tariefsopbouw!$D$40</f>
        <v>0</v>
      </c>
      <c r="AL131" s="441">
        <f>Ruimtestaat[[#This Row],[Prest. (m2 /jaar) weekend]]+Ruimtestaat[[#This Row],[Prest. (m2 /jaar) werkdagen]]</f>
        <v>13325</v>
      </c>
      <c r="AM131" s="441">
        <f>Ruimtestaat[[#This Row],[uren / jaar weekend]]+Ruimtestaat[[#This Row],[uren / jaar werkdagen]]</f>
        <v>0</v>
      </c>
      <c r="AN131" s="446">
        <f>Ruimtestaat[[#This Row],[kosten / jaar weekend]]+Ruimtestaat[[#This Row],[kosten / jaar werkdagen]]</f>
        <v>0</v>
      </c>
      <c r="AO131" s="446"/>
      <c r="AP131" s="447" t="str">
        <f>IF(Ruimtestaat[[#This Row],[Frequentie werkdagen]]="","",_xlfn.CONCAT(Ruimtestaat[[#This Row],[Ruimte code]],"-",Ruimtestaat[[#This Row],[Frequentie werkdagen]]," ",Ruimtestaat[[#This Row],[Vloer code]]))</f>
        <v>6-5w L</v>
      </c>
      <c r="AQ131" s="448" t="str">
        <f>_xlfn.IFNA(VLOOKUP($AP131,Programma!$F$3:$G$1101,2,0),"")</f>
        <v>_</v>
      </c>
      <c r="AR131" s="448" t="str">
        <f>_xlfn.IFNA(VLOOKUP($AP131,Programma!$F$3:$H$1101,3,0),"")</f>
        <v>_</v>
      </c>
      <c r="AS131" s="448" t="str">
        <f>_xlfn.IFNA(VLOOKUP($AP131,Programma!$F$3:$I$1101,4,0),"")</f>
        <v>_</v>
      </c>
      <c r="AT131" s="448" t="str">
        <f>_xlfn.IFNA(VLOOKUP($AP131,Programma!$F$3:$J$1101,5,0),"")</f>
        <v>5w</v>
      </c>
      <c r="AU131" s="448" t="str">
        <f>_xlfn.IFNA(VLOOKUP($AP131,Programma!$F$3:$K$1101,6,0),"")</f>
        <v>_</v>
      </c>
      <c r="AV131" s="448" t="str">
        <f>_xlfn.IFNA(VLOOKUP($AP131,Programma!$F$3:$L$1101,7,0),"")</f>
        <v>_</v>
      </c>
      <c r="AW131" s="448" t="str">
        <f>_xlfn.IFNA(VLOOKUP($AP131,Programma!$F$3:$M$1101,8,0),"")</f>
        <v>_</v>
      </c>
      <c r="AX131" s="448" t="str">
        <f>_xlfn.IFNA(VLOOKUP($AP131,Programma!$F$3:$N$1101,9,0),"")</f>
        <v>_</v>
      </c>
      <c r="AY131" s="448" t="str">
        <f>_xlfn.IFNA(VLOOKUP($AP131,Programma!$F$3:$O$1101,10,0),"")</f>
        <v>5w</v>
      </c>
      <c r="AZ131" s="448" t="str">
        <f>_xlfn.IFNA(VLOOKUP($AP131,Programma!$F$3:$P$1101,11,0),"")</f>
        <v>5w</v>
      </c>
      <c r="BA131" s="448" t="str">
        <f>_xlfn.IFNA(VLOOKUP($AP131,Programma!$F$3:$Q$1101,12,0),"")</f>
        <v>1w</v>
      </c>
      <c r="BB131" s="448" t="str">
        <f>_xlfn.IFNA(VLOOKUP($AP131,Programma!$F$3:$R$1101,13,0),"")</f>
        <v>1w</v>
      </c>
      <c r="BC131" s="448" t="str">
        <f>_xlfn.IFNA(VLOOKUP($AP131,Programma!$F$3:$S$1101,14,0),"")</f>
        <v>1m</v>
      </c>
      <c r="BD131" s="448" t="str">
        <f>_xlfn.IFNA(VLOOKUP($AP131,Programma!$F$3:$T$1101,15,0),"")</f>
        <v>2j</v>
      </c>
      <c r="BE131" s="448" t="str">
        <f>_xlfn.IFNA(VLOOKUP($AP131,Programma!$F$3:$U$1101,16,0),"")</f>
        <v>1j</v>
      </c>
      <c r="BF131" s="448" t="str">
        <f>_xlfn.IFNA(VLOOKUP($AP131,Programma!$F$3:$V$1101,17,0),"")</f>
        <v>_</v>
      </c>
      <c r="BG131" s="448" t="str">
        <f>_xlfn.IFNA(VLOOKUP($AP131,Programma!$F$3:$W$1101,18,0),"")</f>
        <v>_</v>
      </c>
      <c r="BH131" s="448" t="str">
        <f>_xlfn.IFNA(VLOOKUP($AP131,Programma!$F$3:$X$1101,19,0),"")</f>
        <v>_</v>
      </c>
      <c r="BI131" s="448" t="str">
        <f>_xlfn.IFNA(VLOOKUP($AP131,Programma!$F$3:$Y$1101,20,0),"")</f>
        <v>_</v>
      </c>
      <c r="BJ131" s="449"/>
      <c r="BK131" s="447" t="str">
        <f>IF(Ruimtestaat[[#This Row],[Frequentie weekend]]="","",_xlfn.CONCAT(Ruimtestaat[[#This Row],[Ruimte code]],"-",Ruimtestaat[[#This Row],[Frequentie weekend]]," ",Ruimtestaat[[#This Row],[Vloer code]]))</f>
        <v/>
      </c>
      <c r="BL131" s="448" t="str">
        <f>_xlfn.IFNA(VLOOKUP($BK131,Programma!$F$3:$G$1101,2,0),"")</f>
        <v/>
      </c>
      <c r="BM131" s="448" t="str">
        <f>_xlfn.IFNA(VLOOKUP($BK131,Programma!$F$3:$H$1101,3,0),"")</f>
        <v/>
      </c>
      <c r="BN131" s="448" t="str">
        <f>_xlfn.IFNA(VLOOKUP($BK131,Programma!$F$3:$I$1101,4,0),"")</f>
        <v/>
      </c>
      <c r="BO131" s="448" t="str">
        <f>_xlfn.IFNA(VLOOKUP($BK131,Programma!$F$3:$J$1101,5,0),"")</f>
        <v/>
      </c>
      <c r="BP131" s="448" t="str">
        <f>_xlfn.IFNA(VLOOKUP($BK131,Programma!$F$3:$K$1101,6,0),"")</f>
        <v/>
      </c>
      <c r="BQ131" s="448" t="str">
        <f>_xlfn.IFNA(VLOOKUP($BK131,Programma!$F$3:$L$1101,7,0),"")</f>
        <v/>
      </c>
      <c r="BR131" s="448" t="str">
        <f>_xlfn.IFNA(VLOOKUP($BK131,Programma!$F$3:$M$1101,8,0),"")</f>
        <v/>
      </c>
      <c r="BS131" s="448" t="str">
        <f>_xlfn.IFNA(VLOOKUP($BK131,Programma!$F$3:$N$1101,9,0),"")</f>
        <v/>
      </c>
      <c r="BT131" s="448" t="str">
        <f>_xlfn.IFNA(VLOOKUP($BK131,Programma!$F$3:$O$1101,10,0),"")</f>
        <v/>
      </c>
      <c r="BU131" s="448" t="str">
        <f>_xlfn.IFNA(VLOOKUP($BK131,Programma!$F$3:$P$1101,11,0),"")</f>
        <v/>
      </c>
      <c r="BV131" s="448" t="str">
        <f>_xlfn.IFNA(VLOOKUP($BK131,Programma!$F$3:$Q$1101,12,0),"")</f>
        <v/>
      </c>
      <c r="BW131" s="448" t="str">
        <f>_xlfn.IFNA(VLOOKUP($BK131,Programma!$F$3:$R$1101,13,0),"")</f>
        <v/>
      </c>
      <c r="BX131" s="448" t="str">
        <f>_xlfn.IFNA(VLOOKUP($BK131,Programma!$F$3:$S$1101,14,0),"")</f>
        <v/>
      </c>
      <c r="BY131" s="448" t="str">
        <f>_xlfn.IFNA(VLOOKUP($BK131,Programma!$F$3:$T$1101,15,0),"")</f>
        <v/>
      </c>
      <c r="BZ131" s="448" t="str">
        <f>_xlfn.IFNA(VLOOKUP($BK131,Programma!$F$3:$U$1101,16,0),"")</f>
        <v/>
      </c>
      <c r="CA131" s="448" t="str">
        <f>_xlfn.IFNA(VLOOKUP($BK131,Programma!$F$3:$V$1101,17,0),"")</f>
        <v/>
      </c>
      <c r="CB131" s="448" t="str">
        <f>_xlfn.IFNA(VLOOKUP($BK131,Programma!$F$3:$W$1101,18,0),"")</f>
        <v/>
      </c>
      <c r="CC131" s="448" t="str">
        <f>_xlfn.IFNA(VLOOKUP($BK131,Programma!$F$3:$X$1101,19,0),"")</f>
        <v/>
      </c>
      <c r="CD131" s="448" t="str">
        <f>_xlfn.IFNA(VLOOKUP($BK131,Programma!$F$3:$Y$1101,20,0),"")</f>
        <v/>
      </c>
      <c r="CE131" s="327"/>
      <c r="CF131" s="327"/>
      <c r="CG131" s="327"/>
      <c r="CH131" s="327"/>
      <c r="CI131" s="327"/>
      <c r="CJ131" s="327"/>
      <c r="CK131" s="327"/>
      <c r="CL131" s="327"/>
      <c r="CM131" s="327"/>
      <c r="CN131" s="327"/>
      <c r="CO131" s="327"/>
      <c r="CP131" s="327"/>
      <c r="CQ131" s="327"/>
      <c r="CR131" s="327"/>
      <c r="CS131" s="327"/>
      <c r="CT131" s="327"/>
      <c r="CU131" s="327"/>
      <c r="CV131" s="327"/>
      <c r="CW131" s="327"/>
      <c r="CX131" s="327"/>
      <c r="CY131" s="327"/>
      <c r="CZ131" s="327"/>
      <c r="DA131" s="327"/>
      <c r="DB131" s="327"/>
      <c r="DC131" s="327"/>
      <c r="DD131" s="327"/>
      <c r="DE131" s="327"/>
      <c r="DF131" s="327"/>
      <c r="DG131" s="327"/>
      <c r="DH131" s="327"/>
      <c r="DI131" s="327"/>
      <c r="DJ131" s="327"/>
      <c r="DK131" s="327"/>
      <c r="DL131" s="327"/>
      <c r="DM131" s="327"/>
      <c r="DN131" s="327"/>
      <c r="DO131" s="327"/>
      <c r="DP131" s="327"/>
      <c r="DQ131" s="327"/>
      <c r="DR131" s="327"/>
      <c r="DS131" s="327"/>
      <c r="DT131" s="327"/>
      <c r="DU131" s="327"/>
      <c r="DV131" s="327"/>
      <c r="DW131" s="327"/>
      <c r="DX131" s="327"/>
      <c r="DY131" s="327"/>
      <c r="DZ131" s="327"/>
      <c r="EA131" s="327"/>
      <c r="EB131" s="327"/>
      <c r="EC131" s="327"/>
      <c r="ED131" s="327"/>
      <c r="EE131" s="327"/>
      <c r="EF131" s="327"/>
      <c r="EG131" s="327"/>
      <c r="EH131" s="327"/>
      <c r="EI131" s="327"/>
      <c r="EJ131" s="327"/>
      <c r="EK131" s="327"/>
      <c r="EL131" s="327"/>
      <c r="EM131" s="327"/>
      <c r="EN131" s="327"/>
      <c r="EO131" s="327"/>
      <c r="EP131" s="327"/>
      <c r="EQ131" s="327"/>
      <c r="ER131" s="327"/>
      <c r="ES131" s="327"/>
      <c r="ET131" s="327"/>
      <c r="EU131" s="327"/>
      <c r="EV131" s="327"/>
      <c r="EW131" s="327"/>
      <c r="EX131" s="327"/>
      <c r="EY131" s="327"/>
      <c r="EZ131" s="327"/>
      <c r="FA131" s="327"/>
      <c r="FB131" s="327"/>
      <c r="FC131" s="327"/>
      <c r="FD131" s="327"/>
      <c r="FE131" s="327"/>
      <c r="FF131" s="327"/>
      <c r="FG131" s="327"/>
      <c r="FH131" s="327"/>
      <c r="FI131" s="327"/>
      <c r="FJ131" s="327"/>
      <c r="FK131" s="327"/>
      <c r="FL131" s="327"/>
      <c r="FM131" s="327"/>
      <c r="FN131" s="327"/>
      <c r="FO131" s="327"/>
      <c r="FP131" s="327"/>
      <c r="FQ131" s="327"/>
      <c r="FR131" s="327"/>
      <c r="FS131" s="327"/>
      <c r="FT131" s="327"/>
      <c r="FU131" s="327"/>
      <c r="FV131" s="327"/>
      <c r="FW131" s="327"/>
      <c r="FX131" s="327"/>
      <c r="FY131" s="327"/>
      <c r="FZ131" s="327"/>
      <c r="GA131" s="327"/>
      <c r="GB131" s="327"/>
      <c r="GC131" s="327"/>
      <c r="GD131" s="327"/>
      <c r="GE131" s="327"/>
      <c r="GF131" s="327"/>
      <c r="GG131" s="327"/>
      <c r="GH131" s="327"/>
      <c r="GI131" s="327"/>
      <c r="GJ131" s="327"/>
      <c r="GK131" s="327"/>
      <c r="GL131" s="327"/>
      <c r="GM131" s="327"/>
      <c r="GN131" s="327"/>
      <c r="GO131" s="327"/>
      <c r="GP131" s="327"/>
      <c r="GQ131" s="327"/>
      <c r="GR131" s="327"/>
      <c r="GS131" s="327"/>
      <c r="GT131" s="327"/>
      <c r="GU131" s="327"/>
      <c r="GV131" s="327"/>
      <c r="GW131" s="327"/>
      <c r="GX131" s="327"/>
      <c r="GY131" s="327"/>
      <c r="GZ131" s="327"/>
      <c r="HA131" s="327"/>
      <c r="HB131" s="327"/>
      <c r="HC131" s="327"/>
      <c r="HD131" s="327"/>
      <c r="HE131" s="327"/>
      <c r="HF131" s="327"/>
      <c r="HG131" s="327"/>
      <c r="HH131" s="327"/>
      <c r="HI131" s="327"/>
      <c r="HJ131" s="327"/>
      <c r="HK131" s="327"/>
      <c r="HL131" s="327"/>
      <c r="HM131" s="327"/>
      <c r="HN131" s="327"/>
      <c r="HO131" s="327"/>
      <c r="HP131" s="327"/>
      <c r="HQ131" s="327"/>
      <c r="HR131" s="327"/>
      <c r="HS131" s="327"/>
    </row>
    <row r="132" spans="1:227" ht="15" customHeight="1">
      <c r="A132" s="330">
        <v>6</v>
      </c>
      <c r="B132" s="435" t="str">
        <f>VLOOKUP(Ruimtestaat[[#This Row],[Code]],Locaties[[Code]:[Locatie]],2,FALSE)</f>
        <v>IKC Het Zwanenbos</v>
      </c>
      <c r="C132" s="435" t="str">
        <f>VLOOKUP(Ruimtestaat[[#This Row],[Code]],Locaties[[#All],[Code]:[Adres]],4,FALSE)</f>
        <v>Kerkenbos 24-26</v>
      </c>
      <c r="D132" s="435" t="str">
        <f>VLOOKUP(Ruimtestaat[[#This Row],[Code]],Locaties[[#All],[Code]:[Postcode]],5,FALSE)</f>
        <v>2716 PH</v>
      </c>
      <c r="E132" s="435" t="str">
        <f>VLOOKUP(Ruimtestaat[[#This Row],[Code]],Locaties[#All],6,FALSE)</f>
        <v>Zoetermeer</v>
      </c>
      <c r="F132" s="434"/>
      <c r="G132" s="434" t="s">
        <v>1678</v>
      </c>
      <c r="H132" s="330">
        <v>24</v>
      </c>
      <c r="I132" s="450" t="s">
        <v>1708</v>
      </c>
      <c r="J132" s="434">
        <v>6</v>
      </c>
      <c r="K132" s="450" t="str">
        <f>VLOOKUP(Ruimtestaat[[#This Row],[Ruimte code]],Ruimtegroepen[[#All],[Code]:[Ruimte omschrijving]],2,FALSE)</f>
        <v>Gangen/hallen</v>
      </c>
      <c r="L132" s="434" t="s">
        <v>100</v>
      </c>
      <c r="M132" s="437" t="s">
        <v>1759</v>
      </c>
      <c r="N132" s="439">
        <v>68</v>
      </c>
      <c r="O132" s="439"/>
      <c r="P132" s="439"/>
      <c r="Q132" s="439"/>
      <c r="R132" s="440" t="str">
        <f>VLOOKUP(Ruimtestaat[[#This Row],[Ruimte code]],Ruimtegroepen[],4,FALSE)</f>
        <v>Ve</v>
      </c>
      <c r="S132" s="434">
        <v>41</v>
      </c>
      <c r="T132" s="434" t="s">
        <v>2</v>
      </c>
      <c r="U132" s="434">
        <f>IF(S132&gt;0,IF(RIGHT(Ruimtestaat[[#This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32" s="434">
        <f>IF(U132&gt;0,VLOOKUP($J132,Ruimtegroepen[],3,FALSE)*VLOOKUP($L132,Vloersoorten[],3,FALSE)*VLOOKUP($T132,Frequenties[],3,FALSE)*VLOOKUP($A132,Locaties[],3,FALSE),0)</f>
        <v>0</v>
      </c>
      <c r="W132" s="434">
        <f>Ruimtestaat[[#This Row],[Uitvoeringen werkdagen]]*Ruimtestaat[[#This Row],[Oppervlak (netto)]]</f>
        <v>13940</v>
      </c>
      <c r="X132" s="441">
        <f>IF(V132&gt;0,Ruimtestaat[[#This Row],[Prest. (m2 /jaar) werkdagen]]/Ruimtestaat[[#This Row],[Norm (m2/uur) werkdagen]],0)</f>
        <v>0</v>
      </c>
      <c r="Y132" s="442">
        <f>Ruimtestaat[[#This Row],[Uitvoeringen werkdagen]]*Ruimtestaat[[#This Row],[Gedeeltelijk]]</f>
        <v>0</v>
      </c>
      <c r="Z132" s="443" t="e">
        <f>IF(U132&gt;0,Ruimtestaat[[#This Row],[Prest. (m2 / jaar) werkdagen gedeeld]]/Ruimtestaat[[#This Row],[Norm (m2/uur) werkdagen]],0)</f>
        <v>#DIV/0!</v>
      </c>
      <c r="AA132" s="441" t="e">
        <f>Ruimtestaat[[#This Row],[uren / jaar werkdagen gedeeld]]*Tariefsopbouw!$E$35</f>
        <v>#DIV/0!</v>
      </c>
      <c r="AB132" s="441">
        <f>Ruimtestaat[[#This Row],[Uitvoeringen werkdagen]]*Ruimtestaat[[#This Row],[BSO]]</f>
        <v>0</v>
      </c>
      <c r="AC132" s="443" t="e">
        <f>IF(U132&gt;0,Ruimtestaat[[#This Row],[Prest. (m2 / jaar) werkdagen BSO]]/Ruimtestaat[[#This Row],[Norm (m2/uur) werkdagen]],0)</f>
        <v>#DIV/0!</v>
      </c>
      <c r="AD132" s="443" t="e">
        <f>Ruimtestaat[[#This Row],[uren / jaar werkdagen BSO]]*Tariefsopbouw!$E$35</f>
        <v>#DIV/0!</v>
      </c>
      <c r="AE132" s="444">
        <f>Ruimtestaat[[#This Row],[uren / jaar werkdagen]]*Tariefsopbouw!$E$35</f>
        <v>0</v>
      </c>
      <c r="AF132" s="434"/>
      <c r="AG132" s="434">
        <f>IF(Ruimtestaat[[#This Row],[Frequentie weekend]]&gt;0,VALUE(LEFT(AF132,1))*S132,0)</f>
        <v>0</v>
      </c>
      <c r="AH132" s="445">
        <f>IF($AG132&gt;0,VLOOKUP($J132,Ruimtegroepen[],3,FALSE)*VLOOKUP($L132,Vloersoorten[],3,FALSE)*VLOOKUP($AF132,Frequenties[],3,FALSE)*VLOOKUP(Ruimtestaat[[#This Row],[Code]],Locaties[],3,FALSE),0)</f>
        <v>0</v>
      </c>
      <c r="AI132" s="445">
        <f>Ruimtestaat[[#This Row],[Uitvoeringen weekend]]*Ruimtestaat[[#This Row],[Oppervlak (netto)]]</f>
        <v>0</v>
      </c>
      <c r="AJ132" s="445">
        <f>IF(AH132&gt;0,Ruimtestaat[[#This Row],[Prest. (m2 /jaar) weekend]]/Ruimtestaat[[#This Row],[Norm (m2/uur) weekend]],0)</f>
        <v>0</v>
      </c>
      <c r="AK132" s="444">
        <f>Ruimtestaat[[#This Row],[uren / jaar weekend]]*Tariefsopbouw!$D$40</f>
        <v>0</v>
      </c>
      <c r="AL132" s="441">
        <f>Ruimtestaat[[#This Row],[Prest. (m2 /jaar) weekend]]+Ruimtestaat[[#This Row],[Prest. (m2 /jaar) werkdagen]]</f>
        <v>13940</v>
      </c>
      <c r="AM132" s="441">
        <f>Ruimtestaat[[#This Row],[uren / jaar weekend]]+Ruimtestaat[[#This Row],[uren / jaar werkdagen]]</f>
        <v>0</v>
      </c>
      <c r="AN132" s="446">
        <f>Ruimtestaat[[#This Row],[kosten / jaar weekend]]+Ruimtestaat[[#This Row],[kosten / jaar werkdagen]]</f>
        <v>0</v>
      </c>
      <c r="AO132" s="446"/>
      <c r="AP132" s="447" t="str">
        <f>IF(Ruimtestaat[[#This Row],[Frequentie werkdagen]]="","",_xlfn.CONCAT(Ruimtestaat[[#This Row],[Ruimte code]],"-",Ruimtestaat[[#This Row],[Frequentie werkdagen]]," ",Ruimtestaat[[#This Row],[Vloer code]]))</f>
        <v>6-5w L</v>
      </c>
      <c r="AQ132" s="448" t="str">
        <f>_xlfn.IFNA(VLOOKUP($AP132,Programma!$F$3:$G$1101,2,0),"")</f>
        <v>_</v>
      </c>
      <c r="AR132" s="448" t="str">
        <f>_xlfn.IFNA(VLOOKUP($AP132,Programma!$F$3:$H$1101,3,0),"")</f>
        <v>_</v>
      </c>
      <c r="AS132" s="448" t="str">
        <f>_xlfn.IFNA(VLOOKUP($AP132,Programma!$F$3:$I$1101,4,0),"")</f>
        <v>_</v>
      </c>
      <c r="AT132" s="448" t="str">
        <f>_xlfn.IFNA(VLOOKUP($AP132,Programma!$F$3:$J$1101,5,0),"")</f>
        <v>5w</v>
      </c>
      <c r="AU132" s="448" t="str">
        <f>_xlfn.IFNA(VLOOKUP($AP132,Programma!$F$3:$K$1101,6,0),"")</f>
        <v>_</v>
      </c>
      <c r="AV132" s="448" t="str">
        <f>_xlfn.IFNA(VLOOKUP($AP132,Programma!$F$3:$L$1101,7,0),"")</f>
        <v>_</v>
      </c>
      <c r="AW132" s="448" t="str">
        <f>_xlfn.IFNA(VLOOKUP($AP132,Programma!$F$3:$M$1101,8,0),"")</f>
        <v>_</v>
      </c>
      <c r="AX132" s="448" t="str">
        <f>_xlfn.IFNA(VLOOKUP($AP132,Programma!$F$3:$N$1101,9,0),"")</f>
        <v>_</v>
      </c>
      <c r="AY132" s="448" t="str">
        <f>_xlfn.IFNA(VLOOKUP($AP132,Programma!$F$3:$O$1101,10,0),"")</f>
        <v>5w</v>
      </c>
      <c r="AZ132" s="448" t="str">
        <f>_xlfn.IFNA(VLOOKUP($AP132,Programma!$F$3:$P$1101,11,0),"")</f>
        <v>5w</v>
      </c>
      <c r="BA132" s="448" t="str">
        <f>_xlfn.IFNA(VLOOKUP($AP132,Programma!$F$3:$Q$1101,12,0),"")</f>
        <v>1w</v>
      </c>
      <c r="BB132" s="448" t="str">
        <f>_xlfn.IFNA(VLOOKUP($AP132,Programma!$F$3:$R$1101,13,0),"")</f>
        <v>1w</v>
      </c>
      <c r="BC132" s="448" t="str">
        <f>_xlfn.IFNA(VLOOKUP($AP132,Programma!$F$3:$S$1101,14,0),"")</f>
        <v>1m</v>
      </c>
      <c r="BD132" s="448" t="str">
        <f>_xlfn.IFNA(VLOOKUP($AP132,Programma!$F$3:$T$1101,15,0),"")</f>
        <v>2j</v>
      </c>
      <c r="BE132" s="448" t="str">
        <f>_xlfn.IFNA(VLOOKUP($AP132,Programma!$F$3:$U$1101,16,0),"")</f>
        <v>1j</v>
      </c>
      <c r="BF132" s="448" t="str">
        <f>_xlfn.IFNA(VLOOKUP($AP132,Programma!$F$3:$V$1101,17,0),"")</f>
        <v>_</v>
      </c>
      <c r="BG132" s="448" t="str">
        <f>_xlfn.IFNA(VLOOKUP($AP132,Programma!$F$3:$W$1101,18,0),"")</f>
        <v>_</v>
      </c>
      <c r="BH132" s="448" t="str">
        <f>_xlfn.IFNA(VLOOKUP($AP132,Programma!$F$3:$X$1101,19,0),"")</f>
        <v>_</v>
      </c>
      <c r="BI132" s="448" t="str">
        <f>_xlfn.IFNA(VLOOKUP($AP132,Programma!$F$3:$Y$1101,20,0),"")</f>
        <v>_</v>
      </c>
      <c r="BJ132" s="449"/>
      <c r="BK132" s="447" t="str">
        <f>IF(Ruimtestaat[[#This Row],[Frequentie weekend]]="","",_xlfn.CONCAT(Ruimtestaat[[#This Row],[Ruimte code]],"-",Ruimtestaat[[#This Row],[Frequentie weekend]]," ",Ruimtestaat[[#This Row],[Vloer code]]))</f>
        <v/>
      </c>
      <c r="BL132" s="448" t="str">
        <f>_xlfn.IFNA(VLOOKUP($BK132,Programma!$F$3:$G$1101,2,0),"")</f>
        <v/>
      </c>
      <c r="BM132" s="448" t="str">
        <f>_xlfn.IFNA(VLOOKUP($BK132,Programma!$F$3:$H$1101,3,0),"")</f>
        <v/>
      </c>
      <c r="BN132" s="448" t="str">
        <f>_xlfn.IFNA(VLOOKUP($BK132,Programma!$F$3:$I$1101,4,0),"")</f>
        <v/>
      </c>
      <c r="BO132" s="448" t="str">
        <f>_xlfn.IFNA(VLOOKUP($BK132,Programma!$F$3:$J$1101,5,0),"")</f>
        <v/>
      </c>
      <c r="BP132" s="448" t="str">
        <f>_xlfn.IFNA(VLOOKUP($BK132,Programma!$F$3:$K$1101,6,0),"")</f>
        <v/>
      </c>
      <c r="BQ132" s="448" t="str">
        <f>_xlfn.IFNA(VLOOKUP($BK132,Programma!$F$3:$L$1101,7,0),"")</f>
        <v/>
      </c>
      <c r="BR132" s="448" t="str">
        <f>_xlfn.IFNA(VLOOKUP($BK132,Programma!$F$3:$M$1101,8,0),"")</f>
        <v/>
      </c>
      <c r="BS132" s="448" t="str">
        <f>_xlfn.IFNA(VLOOKUP($BK132,Programma!$F$3:$N$1101,9,0),"")</f>
        <v/>
      </c>
      <c r="BT132" s="448" t="str">
        <f>_xlfn.IFNA(VLOOKUP($BK132,Programma!$F$3:$O$1101,10,0),"")</f>
        <v/>
      </c>
      <c r="BU132" s="448" t="str">
        <f>_xlfn.IFNA(VLOOKUP($BK132,Programma!$F$3:$P$1101,11,0),"")</f>
        <v/>
      </c>
      <c r="BV132" s="448" t="str">
        <f>_xlfn.IFNA(VLOOKUP($BK132,Programma!$F$3:$Q$1101,12,0),"")</f>
        <v/>
      </c>
      <c r="BW132" s="448" t="str">
        <f>_xlfn.IFNA(VLOOKUP($BK132,Programma!$F$3:$R$1101,13,0),"")</f>
        <v/>
      </c>
      <c r="BX132" s="448" t="str">
        <f>_xlfn.IFNA(VLOOKUP($BK132,Programma!$F$3:$S$1101,14,0),"")</f>
        <v/>
      </c>
      <c r="BY132" s="448" t="str">
        <f>_xlfn.IFNA(VLOOKUP($BK132,Programma!$F$3:$T$1101,15,0),"")</f>
        <v/>
      </c>
      <c r="BZ132" s="448" t="str">
        <f>_xlfn.IFNA(VLOOKUP($BK132,Programma!$F$3:$U$1101,16,0),"")</f>
        <v/>
      </c>
      <c r="CA132" s="448" t="str">
        <f>_xlfn.IFNA(VLOOKUP($BK132,Programma!$F$3:$V$1101,17,0),"")</f>
        <v/>
      </c>
      <c r="CB132" s="448" t="str">
        <f>_xlfn.IFNA(VLOOKUP($BK132,Programma!$F$3:$W$1101,18,0),"")</f>
        <v/>
      </c>
      <c r="CC132" s="448" t="str">
        <f>_xlfn.IFNA(VLOOKUP($BK132,Programma!$F$3:$X$1101,19,0),"")</f>
        <v/>
      </c>
      <c r="CD132" s="448" t="str">
        <f>_xlfn.IFNA(VLOOKUP($BK132,Programma!$F$3:$Y$1101,20,0),"")</f>
        <v/>
      </c>
      <c r="CE132" s="327"/>
      <c r="CF132" s="327"/>
      <c r="CG132" s="327"/>
      <c r="CH132" s="327"/>
      <c r="CI132" s="327"/>
      <c r="CJ132" s="327"/>
      <c r="CK132" s="327"/>
      <c r="CL132" s="327"/>
      <c r="CM132" s="327"/>
      <c r="CN132" s="327"/>
      <c r="CO132" s="327"/>
      <c r="CP132" s="327"/>
      <c r="CQ132" s="327"/>
      <c r="CR132" s="327"/>
      <c r="CS132" s="327"/>
      <c r="CT132" s="327"/>
      <c r="CU132" s="327"/>
      <c r="CV132" s="327"/>
      <c r="CW132" s="327"/>
      <c r="CX132" s="327"/>
      <c r="CY132" s="327"/>
      <c r="CZ132" s="327"/>
      <c r="DA132" s="327"/>
      <c r="DB132" s="327"/>
      <c r="DC132" s="327"/>
      <c r="DD132" s="327"/>
      <c r="DE132" s="327"/>
      <c r="DF132" s="327"/>
      <c r="DG132" s="327"/>
      <c r="DH132" s="327"/>
      <c r="DI132" s="327"/>
      <c r="DJ132" s="327"/>
      <c r="DK132" s="327"/>
      <c r="DL132" s="327"/>
      <c r="DM132" s="327"/>
      <c r="DN132" s="327"/>
      <c r="DO132" s="327"/>
      <c r="DP132" s="327"/>
      <c r="DQ132" s="327"/>
      <c r="DR132" s="327"/>
      <c r="DS132" s="327"/>
      <c r="DT132" s="327"/>
      <c r="DU132" s="327"/>
      <c r="DV132" s="327"/>
      <c r="DW132" s="327"/>
      <c r="DX132" s="327"/>
      <c r="DY132" s="327"/>
      <c r="DZ132" s="327"/>
      <c r="EA132" s="327"/>
      <c r="EB132" s="327"/>
      <c r="EC132" s="327"/>
      <c r="ED132" s="327"/>
      <c r="EE132" s="327"/>
      <c r="EF132" s="327"/>
      <c r="EG132" s="327"/>
      <c r="EH132" s="327"/>
      <c r="EI132" s="327"/>
      <c r="EJ132" s="327"/>
      <c r="EK132" s="327"/>
      <c r="EL132" s="327"/>
      <c r="EM132" s="327"/>
      <c r="EN132" s="327"/>
      <c r="EO132" s="327"/>
      <c r="EP132" s="327"/>
      <c r="EQ132" s="327"/>
      <c r="ER132" s="327"/>
      <c r="ES132" s="327"/>
      <c r="ET132" s="327"/>
      <c r="EU132" s="327"/>
      <c r="EV132" s="327"/>
      <c r="EW132" s="327"/>
      <c r="EX132" s="327"/>
      <c r="EY132" s="327"/>
      <c r="EZ132" s="327"/>
      <c r="FA132" s="327"/>
      <c r="FB132" s="327"/>
      <c r="FC132" s="327"/>
      <c r="FD132" s="327"/>
      <c r="FE132" s="327"/>
      <c r="FF132" s="327"/>
      <c r="FG132" s="327"/>
      <c r="FH132" s="327"/>
      <c r="FI132" s="327"/>
      <c r="FJ132" s="327"/>
      <c r="FK132" s="327"/>
      <c r="FL132" s="327"/>
      <c r="FM132" s="327"/>
      <c r="FN132" s="327"/>
      <c r="FO132" s="327"/>
      <c r="FP132" s="327"/>
      <c r="FQ132" s="327"/>
      <c r="FR132" s="327"/>
      <c r="FS132" s="327"/>
      <c r="FT132" s="327"/>
      <c r="FU132" s="327"/>
      <c r="FV132" s="327"/>
      <c r="FW132" s="327"/>
      <c r="FX132" s="327"/>
      <c r="FY132" s="327"/>
      <c r="FZ132" s="327"/>
      <c r="GA132" s="327"/>
      <c r="GB132" s="327"/>
      <c r="GC132" s="327"/>
      <c r="GD132" s="327"/>
      <c r="GE132" s="327"/>
      <c r="GF132" s="327"/>
      <c r="GG132" s="327"/>
      <c r="GH132" s="327"/>
      <c r="GI132" s="327"/>
      <c r="GJ132" s="327"/>
      <c r="GK132" s="327"/>
      <c r="GL132" s="327"/>
      <c r="GM132" s="327"/>
      <c r="GN132" s="327"/>
      <c r="GO132" s="327"/>
      <c r="GP132" s="327"/>
      <c r="GQ132" s="327"/>
      <c r="GR132" s="327"/>
      <c r="GS132" s="327"/>
      <c r="GT132" s="327"/>
      <c r="GU132" s="327"/>
      <c r="GV132" s="327"/>
      <c r="GW132" s="327"/>
      <c r="GX132" s="327"/>
      <c r="GY132" s="327"/>
      <c r="GZ132" s="327"/>
      <c r="HA132" s="327"/>
      <c r="HB132" s="327"/>
      <c r="HC132" s="327"/>
      <c r="HD132" s="327"/>
      <c r="HE132" s="327"/>
      <c r="HF132" s="327"/>
      <c r="HG132" s="327"/>
      <c r="HH132" s="327"/>
      <c r="HI132" s="327"/>
      <c r="HJ132" s="327"/>
      <c r="HK132" s="327"/>
      <c r="HL132" s="327"/>
      <c r="HM132" s="327"/>
      <c r="HN132" s="327"/>
      <c r="HO132" s="327"/>
      <c r="HP132" s="327"/>
      <c r="HQ132" s="327"/>
      <c r="HR132" s="327"/>
      <c r="HS132" s="327"/>
    </row>
    <row r="133" spans="1:227" ht="15" customHeight="1">
      <c r="A133" s="330">
        <v>6</v>
      </c>
      <c r="B133" s="435" t="str">
        <f>VLOOKUP(Ruimtestaat[[#This Row],[Code]],Locaties[[Code]:[Locatie]],2,FALSE)</f>
        <v>IKC Het Zwanenbos</v>
      </c>
      <c r="C133" s="435" t="str">
        <f>VLOOKUP(Ruimtestaat[[#This Row],[Code]],Locaties[[#All],[Code]:[Adres]],4,FALSE)</f>
        <v>Kerkenbos 24-26</v>
      </c>
      <c r="D133" s="435" t="str">
        <f>VLOOKUP(Ruimtestaat[[#This Row],[Code]],Locaties[[#All],[Code]:[Postcode]],5,FALSE)</f>
        <v>2716 PH</v>
      </c>
      <c r="E133" s="435" t="str">
        <f>VLOOKUP(Ruimtestaat[[#This Row],[Code]],Locaties[#All],6,FALSE)</f>
        <v>Zoetermeer</v>
      </c>
      <c r="F133" s="434"/>
      <c r="G133" s="434" t="s">
        <v>1678</v>
      </c>
      <c r="H133" s="330">
        <v>25</v>
      </c>
      <c r="I133" s="450" t="s">
        <v>1673</v>
      </c>
      <c r="J133" s="330">
        <v>5</v>
      </c>
      <c r="K133" s="450" t="str">
        <f>VLOOKUP(Ruimtestaat[[#This Row],[Ruimte code]],Ruimtegroepen[[#All],[Code]:[Ruimte omschrijving]],2,FALSE)</f>
        <v>Sanitair</v>
      </c>
      <c r="L133" s="434" t="s">
        <v>102</v>
      </c>
      <c r="M133" s="437" t="s">
        <v>2105</v>
      </c>
      <c r="N133" s="439">
        <v>32</v>
      </c>
      <c r="O133" s="439"/>
      <c r="P133" s="439"/>
      <c r="Q133" s="439"/>
      <c r="R133" s="440" t="str">
        <f>VLOOKUP(Ruimtestaat[[#This Row],[Ruimte code]],Ruimtegroepen[],4,FALSE)</f>
        <v>Sa</v>
      </c>
      <c r="S133" s="434">
        <v>41</v>
      </c>
      <c r="T133" s="434" t="s">
        <v>2</v>
      </c>
      <c r="U133" s="434">
        <f>IF(S133&gt;0,IF(RIGHT(Ruimtestaat[[#This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33" s="434">
        <f>IF(U133&gt;0,VLOOKUP($J133,Ruimtegroepen[],3,FALSE)*VLOOKUP($L133,Vloersoorten[],3,FALSE)*VLOOKUP($T133,Frequenties[],3,FALSE)*VLOOKUP($A133,Locaties[],3,FALSE),0)</f>
        <v>0</v>
      </c>
      <c r="W133" s="434">
        <f>Ruimtestaat[[#This Row],[Uitvoeringen werkdagen]]*Ruimtestaat[[#This Row],[Oppervlak (netto)]]</f>
        <v>6560</v>
      </c>
      <c r="X133" s="441">
        <f>IF(V133&gt;0,Ruimtestaat[[#This Row],[Prest. (m2 /jaar) werkdagen]]/Ruimtestaat[[#This Row],[Norm (m2/uur) werkdagen]],0)</f>
        <v>0</v>
      </c>
      <c r="Y133" s="442">
        <f>Ruimtestaat[[#This Row],[Uitvoeringen werkdagen]]*Ruimtestaat[[#This Row],[Gedeeltelijk]]</f>
        <v>0</v>
      </c>
      <c r="Z133" s="443" t="e">
        <f>IF(U133&gt;0,Ruimtestaat[[#This Row],[Prest. (m2 / jaar) werkdagen gedeeld]]/Ruimtestaat[[#This Row],[Norm (m2/uur) werkdagen]],0)</f>
        <v>#DIV/0!</v>
      </c>
      <c r="AA133" s="441" t="e">
        <f>Ruimtestaat[[#This Row],[uren / jaar werkdagen gedeeld]]*Tariefsopbouw!$E$35</f>
        <v>#DIV/0!</v>
      </c>
      <c r="AB133" s="441">
        <f>Ruimtestaat[[#This Row],[Uitvoeringen werkdagen]]*Ruimtestaat[[#This Row],[BSO]]</f>
        <v>0</v>
      </c>
      <c r="AC133" s="443" t="e">
        <f>IF(U133&gt;0,Ruimtestaat[[#This Row],[Prest. (m2 / jaar) werkdagen BSO]]/Ruimtestaat[[#This Row],[Norm (m2/uur) werkdagen]],0)</f>
        <v>#DIV/0!</v>
      </c>
      <c r="AD133" s="443" t="e">
        <f>Ruimtestaat[[#This Row],[uren / jaar werkdagen BSO]]*Tariefsopbouw!$E$35</f>
        <v>#DIV/0!</v>
      </c>
      <c r="AE133" s="444">
        <f>Ruimtestaat[[#This Row],[uren / jaar werkdagen]]*Tariefsopbouw!$E$35</f>
        <v>0</v>
      </c>
      <c r="AF133" s="434"/>
      <c r="AG133" s="434">
        <f>IF(Ruimtestaat[[#This Row],[Frequentie weekend]]&gt;0,VALUE(LEFT(AF133,1))*S133,0)</f>
        <v>0</v>
      </c>
      <c r="AH133" s="445">
        <f>IF($AG133&gt;0,VLOOKUP($J133,Ruimtegroepen[],3,FALSE)*VLOOKUP($L133,Vloersoorten[],3,FALSE)*VLOOKUP($AF133,Frequenties[],3,FALSE)*VLOOKUP(Ruimtestaat[[#This Row],[Code]],Locaties[],3,FALSE),0)</f>
        <v>0</v>
      </c>
      <c r="AI133" s="445">
        <f>Ruimtestaat[[#This Row],[Uitvoeringen weekend]]*Ruimtestaat[[#This Row],[Oppervlak (netto)]]</f>
        <v>0</v>
      </c>
      <c r="AJ133" s="445">
        <f>IF(AH133&gt;0,Ruimtestaat[[#This Row],[Prest. (m2 /jaar) weekend]]/Ruimtestaat[[#This Row],[Norm (m2/uur) weekend]],0)</f>
        <v>0</v>
      </c>
      <c r="AK133" s="444">
        <f>Ruimtestaat[[#This Row],[uren / jaar weekend]]*Tariefsopbouw!$D$40</f>
        <v>0</v>
      </c>
      <c r="AL133" s="441">
        <f>Ruimtestaat[[#This Row],[Prest. (m2 /jaar) weekend]]+Ruimtestaat[[#This Row],[Prest. (m2 /jaar) werkdagen]]</f>
        <v>6560</v>
      </c>
      <c r="AM133" s="441">
        <f>Ruimtestaat[[#This Row],[uren / jaar weekend]]+Ruimtestaat[[#This Row],[uren / jaar werkdagen]]</f>
        <v>0</v>
      </c>
      <c r="AN133" s="446">
        <f>Ruimtestaat[[#This Row],[kosten / jaar weekend]]+Ruimtestaat[[#This Row],[kosten / jaar werkdagen]]</f>
        <v>0</v>
      </c>
      <c r="AO133" s="446"/>
      <c r="AP133" s="447" t="str">
        <f>IF(Ruimtestaat[[#This Row],[Frequentie werkdagen]]="","",_xlfn.CONCAT(Ruimtestaat[[#This Row],[Ruimte code]],"-",Ruimtestaat[[#This Row],[Frequentie werkdagen]]," ",Ruimtestaat[[#This Row],[Vloer code]]))</f>
        <v>5-5w P</v>
      </c>
      <c r="AQ133" s="448" t="str">
        <f>_xlfn.IFNA(VLOOKUP($AP133,Programma!$F$3:$G$1101,2,0),"")</f>
        <v>_</v>
      </c>
      <c r="AR133" s="448" t="str">
        <f>_xlfn.IFNA(VLOOKUP($AP133,Programma!$F$3:$H$1101,3,0),"")</f>
        <v>_</v>
      </c>
      <c r="AS133" s="448" t="str">
        <f>_xlfn.IFNA(VLOOKUP($AP133,Programma!$F$3:$I$1101,4,0),"")</f>
        <v>_</v>
      </c>
      <c r="AT133" s="448" t="str">
        <f>_xlfn.IFNA(VLOOKUP($AP133,Programma!$F$3:$J$1101,5,0),"")</f>
        <v>4w</v>
      </c>
      <c r="AU133" s="448" t="str">
        <f>_xlfn.IFNA(VLOOKUP($AP133,Programma!$F$3:$K$1101,6,0),"")</f>
        <v>1w</v>
      </c>
      <c r="AV133" s="448" t="str">
        <f>_xlfn.IFNA(VLOOKUP($AP133,Programma!$F$3:$L$1101,7,0),"")</f>
        <v>_</v>
      </c>
      <c r="AW133" s="448" t="str">
        <f>_xlfn.IFNA(VLOOKUP($AP133,Programma!$F$3:$M$1101,8,0),"")</f>
        <v>_</v>
      </c>
      <c r="AX133" s="448" t="str">
        <f>_xlfn.IFNA(VLOOKUP($AP133,Programma!$F$3:$N$1101,9,0),"")</f>
        <v>_</v>
      </c>
      <c r="AY133" s="448" t="str">
        <f>_xlfn.IFNA(VLOOKUP($AP133,Programma!$F$3:$O$1101,10,0),"")</f>
        <v>_</v>
      </c>
      <c r="AZ133" s="448" t="str">
        <f>_xlfn.IFNA(VLOOKUP($AP133,Programma!$F$3:$P$1101,11,0),"")</f>
        <v>_</v>
      </c>
      <c r="BA133" s="448" t="str">
        <f>_xlfn.IFNA(VLOOKUP($AP133,Programma!$F$3:$Q$1101,12,0),"")</f>
        <v>_</v>
      </c>
      <c r="BB133" s="448" t="str">
        <f>_xlfn.IFNA(VLOOKUP($AP133,Programma!$F$3:$R$1101,13,0),"")</f>
        <v>_</v>
      </c>
      <c r="BC133" s="448" t="str">
        <f>_xlfn.IFNA(VLOOKUP($AP133,Programma!$F$3:$S$1101,14,0),"")</f>
        <v>_</v>
      </c>
      <c r="BD133" s="448" t="str">
        <f>_xlfn.IFNA(VLOOKUP($AP133,Programma!$F$3:$T$1101,15,0),"")</f>
        <v>_</v>
      </c>
      <c r="BE133" s="448" t="str">
        <f>_xlfn.IFNA(VLOOKUP($AP133,Programma!$F$3:$U$1101,16,0),"")</f>
        <v>_</v>
      </c>
      <c r="BF133" s="448" t="str">
        <f>_xlfn.IFNA(VLOOKUP($AP133,Programma!$F$3:$V$1101,17,0),"")</f>
        <v>_</v>
      </c>
      <c r="BG133" s="448" t="str">
        <f>_xlfn.IFNA(VLOOKUP($AP133,Programma!$F$3:$W$1101,18,0),"")</f>
        <v>4w</v>
      </c>
      <c r="BH133" s="448" t="str">
        <f>_xlfn.IFNA(VLOOKUP($AP133,Programma!$F$3:$X$1101,19,0),"")</f>
        <v>1w</v>
      </c>
      <c r="BI133" s="448" t="str">
        <f>_xlfn.IFNA(VLOOKUP($AP133,Programma!$F$3:$Y$1101,20,0),"")</f>
        <v>_</v>
      </c>
      <c r="BJ133" s="449"/>
      <c r="BK133" s="447" t="str">
        <f>IF(Ruimtestaat[[#This Row],[Frequentie weekend]]="","",_xlfn.CONCAT(Ruimtestaat[[#This Row],[Ruimte code]],"-",Ruimtestaat[[#This Row],[Frequentie weekend]]," ",Ruimtestaat[[#This Row],[Vloer code]]))</f>
        <v/>
      </c>
      <c r="BL133" s="448" t="str">
        <f>_xlfn.IFNA(VLOOKUP($BK133,Programma!$F$3:$G$1101,2,0),"")</f>
        <v/>
      </c>
      <c r="BM133" s="448" t="str">
        <f>_xlfn.IFNA(VLOOKUP($BK133,Programma!$F$3:$H$1101,3,0),"")</f>
        <v/>
      </c>
      <c r="BN133" s="448" t="str">
        <f>_xlfn.IFNA(VLOOKUP($BK133,Programma!$F$3:$I$1101,4,0),"")</f>
        <v/>
      </c>
      <c r="BO133" s="448" t="str">
        <f>_xlfn.IFNA(VLOOKUP($BK133,Programma!$F$3:$J$1101,5,0),"")</f>
        <v/>
      </c>
      <c r="BP133" s="448" t="str">
        <f>_xlfn.IFNA(VLOOKUP($BK133,Programma!$F$3:$K$1101,6,0),"")</f>
        <v/>
      </c>
      <c r="BQ133" s="448" t="str">
        <f>_xlfn.IFNA(VLOOKUP($BK133,Programma!$F$3:$L$1101,7,0),"")</f>
        <v/>
      </c>
      <c r="BR133" s="448" t="str">
        <f>_xlfn.IFNA(VLOOKUP($BK133,Programma!$F$3:$M$1101,8,0),"")</f>
        <v/>
      </c>
      <c r="BS133" s="448" t="str">
        <f>_xlfn.IFNA(VLOOKUP($BK133,Programma!$F$3:$N$1101,9,0),"")</f>
        <v/>
      </c>
      <c r="BT133" s="448" t="str">
        <f>_xlfn.IFNA(VLOOKUP($BK133,Programma!$F$3:$O$1101,10,0),"")</f>
        <v/>
      </c>
      <c r="BU133" s="448" t="str">
        <f>_xlfn.IFNA(VLOOKUP($BK133,Programma!$F$3:$P$1101,11,0),"")</f>
        <v/>
      </c>
      <c r="BV133" s="448" t="str">
        <f>_xlfn.IFNA(VLOOKUP($BK133,Programma!$F$3:$Q$1101,12,0),"")</f>
        <v/>
      </c>
      <c r="BW133" s="448" t="str">
        <f>_xlfn.IFNA(VLOOKUP($BK133,Programma!$F$3:$R$1101,13,0),"")</f>
        <v/>
      </c>
      <c r="BX133" s="448" t="str">
        <f>_xlfn.IFNA(VLOOKUP($BK133,Programma!$F$3:$S$1101,14,0),"")</f>
        <v/>
      </c>
      <c r="BY133" s="448" t="str">
        <f>_xlfn.IFNA(VLOOKUP($BK133,Programma!$F$3:$T$1101,15,0),"")</f>
        <v/>
      </c>
      <c r="BZ133" s="448" t="str">
        <f>_xlfn.IFNA(VLOOKUP($BK133,Programma!$F$3:$U$1101,16,0),"")</f>
        <v/>
      </c>
      <c r="CA133" s="448" t="str">
        <f>_xlfn.IFNA(VLOOKUP($BK133,Programma!$F$3:$V$1101,17,0),"")</f>
        <v/>
      </c>
      <c r="CB133" s="448" t="str">
        <f>_xlfn.IFNA(VLOOKUP($BK133,Programma!$F$3:$W$1101,18,0),"")</f>
        <v/>
      </c>
      <c r="CC133" s="448" t="str">
        <f>_xlfn.IFNA(VLOOKUP($BK133,Programma!$F$3:$X$1101,19,0),"")</f>
        <v/>
      </c>
      <c r="CD133" s="448" t="str">
        <f>_xlfn.IFNA(VLOOKUP($BK133,Programma!$F$3:$Y$1101,20,0),"")</f>
        <v/>
      </c>
      <c r="CE133" s="327"/>
      <c r="CF133" s="327"/>
      <c r="CG133" s="327"/>
      <c r="CH133" s="327"/>
      <c r="CI133" s="327"/>
      <c r="CJ133" s="327"/>
      <c r="CK133" s="327"/>
      <c r="CL133" s="327"/>
      <c r="CM133" s="327"/>
      <c r="CN133" s="327"/>
      <c r="CO133" s="327"/>
      <c r="CP133" s="327"/>
      <c r="CQ133" s="327"/>
      <c r="CR133" s="327"/>
      <c r="CS133" s="327"/>
      <c r="CT133" s="327"/>
      <c r="CU133" s="327"/>
      <c r="CV133" s="327"/>
      <c r="CW133" s="327"/>
      <c r="CX133" s="327"/>
      <c r="CY133" s="327"/>
      <c r="CZ133" s="327"/>
      <c r="DA133" s="327"/>
      <c r="DB133" s="327"/>
      <c r="DC133" s="327"/>
      <c r="DD133" s="327"/>
      <c r="DE133" s="327"/>
      <c r="DF133" s="327"/>
      <c r="DG133" s="327"/>
      <c r="DH133" s="327"/>
      <c r="DI133" s="327"/>
      <c r="DJ133" s="327"/>
      <c r="DK133" s="327"/>
      <c r="DL133" s="327"/>
      <c r="DM133" s="327"/>
      <c r="DN133" s="327"/>
      <c r="DO133" s="327"/>
      <c r="DP133" s="327"/>
      <c r="DQ133" s="327"/>
      <c r="DR133" s="327"/>
      <c r="DS133" s="327"/>
      <c r="DT133" s="327"/>
      <c r="DU133" s="327"/>
      <c r="DV133" s="327"/>
      <c r="DW133" s="327"/>
      <c r="DX133" s="327"/>
      <c r="DY133" s="327"/>
      <c r="DZ133" s="327"/>
      <c r="EA133" s="327"/>
      <c r="EB133" s="327"/>
      <c r="EC133" s="327"/>
      <c r="ED133" s="327"/>
      <c r="EE133" s="327"/>
      <c r="EF133" s="327"/>
      <c r="EG133" s="327"/>
      <c r="EH133" s="327"/>
      <c r="EI133" s="327"/>
      <c r="EJ133" s="327"/>
      <c r="EK133" s="327"/>
      <c r="EL133" s="327"/>
      <c r="EM133" s="327"/>
      <c r="EN133" s="327"/>
      <c r="EO133" s="327"/>
      <c r="EP133" s="327"/>
      <c r="EQ133" s="327"/>
      <c r="ER133" s="327"/>
      <c r="ES133" s="327"/>
      <c r="ET133" s="327"/>
      <c r="EU133" s="327"/>
      <c r="EV133" s="327"/>
      <c r="EW133" s="327"/>
      <c r="EX133" s="327"/>
      <c r="EY133" s="327"/>
      <c r="EZ133" s="327"/>
      <c r="FA133" s="327"/>
      <c r="FB133" s="327"/>
      <c r="FC133" s="327"/>
      <c r="FD133" s="327"/>
      <c r="FE133" s="327"/>
      <c r="FF133" s="327"/>
      <c r="FG133" s="327"/>
      <c r="FH133" s="327"/>
      <c r="FI133" s="327"/>
      <c r="FJ133" s="327"/>
      <c r="FK133" s="327"/>
      <c r="FL133" s="327"/>
      <c r="FM133" s="327"/>
      <c r="FN133" s="327"/>
      <c r="FO133" s="327"/>
      <c r="FP133" s="327"/>
      <c r="FQ133" s="327"/>
      <c r="FR133" s="327"/>
      <c r="FS133" s="327"/>
      <c r="FT133" s="327"/>
      <c r="FU133" s="327"/>
      <c r="FV133" s="327"/>
      <c r="FW133" s="327"/>
      <c r="FX133" s="327"/>
      <c r="FY133" s="327"/>
      <c r="FZ133" s="327"/>
      <c r="GA133" s="327"/>
      <c r="GB133" s="327"/>
      <c r="GC133" s="327"/>
      <c r="GD133" s="327"/>
      <c r="GE133" s="327"/>
      <c r="GF133" s="327"/>
      <c r="GG133" s="327"/>
      <c r="GH133" s="327"/>
      <c r="GI133" s="327"/>
      <c r="GJ133" s="327"/>
      <c r="GK133" s="327"/>
      <c r="GL133" s="327"/>
      <c r="GM133" s="327"/>
      <c r="GN133" s="327"/>
      <c r="GO133" s="327"/>
      <c r="GP133" s="327"/>
      <c r="GQ133" s="327"/>
      <c r="GR133" s="327"/>
      <c r="GS133" s="327"/>
      <c r="GT133" s="327"/>
      <c r="GU133" s="327"/>
      <c r="GV133" s="327"/>
      <c r="GW133" s="327"/>
      <c r="GX133" s="327"/>
      <c r="GY133" s="327"/>
      <c r="GZ133" s="327"/>
      <c r="HA133" s="327"/>
      <c r="HB133" s="327"/>
      <c r="HC133" s="327"/>
      <c r="HD133" s="327"/>
      <c r="HE133" s="327"/>
      <c r="HF133" s="327"/>
      <c r="HG133" s="327"/>
      <c r="HH133" s="327"/>
      <c r="HI133" s="327"/>
      <c r="HJ133" s="327"/>
      <c r="HK133" s="327"/>
      <c r="HL133" s="327"/>
      <c r="HM133" s="327"/>
      <c r="HN133" s="327"/>
      <c r="HO133" s="327"/>
      <c r="HP133" s="327"/>
      <c r="HQ133" s="327"/>
      <c r="HR133" s="327"/>
      <c r="HS133" s="327"/>
    </row>
    <row r="134" spans="1:227" ht="15" customHeight="1">
      <c r="A134" s="330">
        <v>6</v>
      </c>
      <c r="B134" s="435" t="str">
        <f>VLOOKUP(Ruimtestaat[[#This Row],[Code]],Locaties[[Code]:[Locatie]],2,FALSE)</f>
        <v>IKC Het Zwanenbos</v>
      </c>
      <c r="C134" s="435" t="str">
        <f>VLOOKUP(Ruimtestaat[[#This Row],[Code]],Locaties[[#All],[Code]:[Adres]],4,FALSE)</f>
        <v>Kerkenbos 24-26</v>
      </c>
      <c r="D134" s="435" t="str">
        <f>VLOOKUP(Ruimtestaat[[#This Row],[Code]],Locaties[[#All],[Code]:[Postcode]],5,FALSE)</f>
        <v>2716 PH</v>
      </c>
      <c r="E134" s="435" t="str">
        <f>VLOOKUP(Ruimtestaat[[#This Row],[Code]],Locaties[#All],6,FALSE)</f>
        <v>Zoetermeer</v>
      </c>
      <c r="F134" s="434"/>
      <c r="G134" s="434" t="s">
        <v>1769</v>
      </c>
      <c r="H134" s="330">
        <v>26</v>
      </c>
      <c r="I134" s="450" t="s">
        <v>1664</v>
      </c>
      <c r="J134" s="330">
        <v>7</v>
      </c>
      <c r="K134" s="450" t="str">
        <f>VLOOKUP(Ruimtestaat[[#This Row],[Ruimte code]],Ruimtegroepen[[#All],[Code]:[Ruimte omschrijving]],2,FALSE)</f>
        <v>Entree</v>
      </c>
      <c r="L134" s="434" t="s">
        <v>99</v>
      </c>
      <c r="M134" s="437" t="s">
        <v>1758</v>
      </c>
      <c r="N134" s="439">
        <v>13</v>
      </c>
      <c r="O134" s="439"/>
      <c r="P134" s="439"/>
      <c r="Q134" s="439"/>
      <c r="R134" s="440" t="str">
        <f>VLOOKUP(Ruimtestaat[[#This Row],[Ruimte code]],Ruimtegroepen[],4,FALSE)</f>
        <v>Ve</v>
      </c>
      <c r="S134" s="434">
        <v>41</v>
      </c>
      <c r="T134" s="434" t="s">
        <v>2</v>
      </c>
      <c r="U134" s="434">
        <f>IF(S134&gt;0,IF(RIGHT(Ruimtestaat[[#This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34" s="434">
        <f>IF(U134&gt;0,VLOOKUP($J134,Ruimtegroepen[],3,FALSE)*VLOOKUP($L134,Vloersoorten[],3,FALSE)*VLOOKUP($T134,Frequenties[],3,FALSE)*VLOOKUP($A134,Locaties[],3,FALSE),0)</f>
        <v>0</v>
      </c>
      <c r="W134" s="434">
        <f>Ruimtestaat[[#This Row],[Uitvoeringen werkdagen]]*Ruimtestaat[[#This Row],[Oppervlak (netto)]]</f>
        <v>2665</v>
      </c>
      <c r="X134" s="441">
        <f>IF(V134&gt;0,Ruimtestaat[[#This Row],[Prest. (m2 /jaar) werkdagen]]/Ruimtestaat[[#This Row],[Norm (m2/uur) werkdagen]],0)</f>
        <v>0</v>
      </c>
      <c r="Y134" s="442">
        <f>Ruimtestaat[[#This Row],[Uitvoeringen werkdagen]]*Ruimtestaat[[#This Row],[Gedeeltelijk]]</f>
        <v>0</v>
      </c>
      <c r="Z134" s="443" t="e">
        <f>IF(U134&gt;0,Ruimtestaat[[#This Row],[Prest. (m2 / jaar) werkdagen gedeeld]]/Ruimtestaat[[#This Row],[Norm (m2/uur) werkdagen]],0)</f>
        <v>#DIV/0!</v>
      </c>
      <c r="AA134" s="441" t="e">
        <f>Ruimtestaat[[#This Row],[uren / jaar werkdagen gedeeld]]*Tariefsopbouw!$E$35</f>
        <v>#DIV/0!</v>
      </c>
      <c r="AB134" s="441">
        <f>Ruimtestaat[[#This Row],[Uitvoeringen werkdagen]]*Ruimtestaat[[#This Row],[BSO]]</f>
        <v>0</v>
      </c>
      <c r="AC134" s="443" t="e">
        <f>IF(U134&gt;0,Ruimtestaat[[#This Row],[Prest. (m2 / jaar) werkdagen BSO]]/Ruimtestaat[[#This Row],[Norm (m2/uur) werkdagen]],0)</f>
        <v>#DIV/0!</v>
      </c>
      <c r="AD134" s="443" t="e">
        <f>Ruimtestaat[[#This Row],[uren / jaar werkdagen BSO]]*Tariefsopbouw!$E$35</f>
        <v>#DIV/0!</v>
      </c>
      <c r="AE134" s="444">
        <f>Ruimtestaat[[#This Row],[uren / jaar werkdagen]]*Tariefsopbouw!$E$35</f>
        <v>0</v>
      </c>
      <c r="AF134" s="434"/>
      <c r="AG134" s="434">
        <f>IF(Ruimtestaat[[#This Row],[Frequentie weekend]]&gt;0,VALUE(LEFT(AF134,1))*S134,0)</f>
        <v>0</v>
      </c>
      <c r="AH134" s="445">
        <f>IF($AG134&gt;0,VLOOKUP($J134,Ruimtegroepen[],3,FALSE)*VLOOKUP($L134,Vloersoorten[],3,FALSE)*VLOOKUP($AF134,Frequenties[],3,FALSE)*VLOOKUP(Ruimtestaat[[#This Row],[Code]],Locaties[],3,FALSE),0)</f>
        <v>0</v>
      </c>
      <c r="AI134" s="445">
        <f>Ruimtestaat[[#This Row],[Uitvoeringen weekend]]*Ruimtestaat[[#This Row],[Oppervlak (netto)]]</f>
        <v>0</v>
      </c>
      <c r="AJ134" s="445">
        <f>IF(AH134&gt;0,Ruimtestaat[[#This Row],[Prest. (m2 /jaar) weekend]]/Ruimtestaat[[#This Row],[Norm (m2/uur) weekend]],0)</f>
        <v>0</v>
      </c>
      <c r="AK134" s="444">
        <f>Ruimtestaat[[#This Row],[uren / jaar weekend]]*Tariefsopbouw!$D$40</f>
        <v>0</v>
      </c>
      <c r="AL134" s="441">
        <f>Ruimtestaat[[#This Row],[Prest. (m2 /jaar) weekend]]+Ruimtestaat[[#This Row],[Prest. (m2 /jaar) werkdagen]]</f>
        <v>2665</v>
      </c>
      <c r="AM134" s="441">
        <f>Ruimtestaat[[#This Row],[uren / jaar weekend]]+Ruimtestaat[[#This Row],[uren / jaar werkdagen]]</f>
        <v>0</v>
      </c>
      <c r="AN134" s="446">
        <f>Ruimtestaat[[#This Row],[kosten / jaar weekend]]+Ruimtestaat[[#This Row],[kosten / jaar werkdagen]]</f>
        <v>0</v>
      </c>
      <c r="AO134" s="446"/>
      <c r="AP134" s="447" t="str">
        <f>IF(Ruimtestaat[[#This Row],[Frequentie werkdagen]]="","",_xlfn.CONCAT(Ruimtestaat[[#This Row],[Ruimte code]],"-",Ruimtestaat[[#This Row],[Frequentie werkdagen]]," ",Ruimtestaat[[#This Row],[Vloer code]]))</f>
        <v>7-5w T</v>
      </c>
      <c r="AQ134" s="448" t="str">
        <f>_xlfn.IFNA(VLOOKUP($AP134,Programma!$F$3:$G$1101,2,0),"")</f>
        <v>_</v>
      </c>
      <c r="AR134" s="448" t="str">
        <f>_xlfn.IFNA(VLOOKUP($AP134,Programma!$F$3:$H$1101,3,0),"")</f>
        <v>5w</v>
      </c>
      <c r="AS134" s="448" t="str">
        <f>_xlfn.IFNA(VLOOKUP($AP134,Programma!$F$3:$I$1101,4,0),"")</f>
        <v>_</v>
      </c>
      <c r="AT134" s="448" t="str">
        <f>_xlfn.IFNA(VLOOKUP($AP134,Programma!$F$3:$J$1101,5,0),"")</f>
        <v>_</v>
      </c>
      <c r="AU134" s="448" t="str">
        <f>_xlfn.IFNA(VLOOKUP($AP134,Programma!$F$3:$K$1101,6,0),"")</f>
        <v>_</v>
      </c>
      <c r="AV134" s="448" t="str">
        <f>_xlfn.IFNA(VLOOKUP($AP134,Programma!$F$3:$L$1101,7,0),"")</f>
        <v>_</v>
      </c>
      <c r="AW134" s="448" t="str">
        <f>_xlfn.IFNA(VLOOKUP($AP134,Programma!$F$3:$M$1101,8,0),"")</f>
        <v>_</v>
      </c>
      <c r="AX134" s="448" t="str">
        <f>_xlfn.IFNA(VLOOKUP($AP134,Programma!$F$3:$N$1101,9,0),"")</f>
        <v>_</v>
      </c>
      <c r="AY134" s="448" t="str">
        <f>_xlfn.IFNA(VLOOKUP($AP134,Programma!$F$3:$O$1101,10,0),"")</f>
        <v>5w</v>
      </c>
      <c r="AZ134" s="448" t="str">
        <f>_xlfn.IFNA(VLOOKUP($AP134,Programma!$F$3:$P$1101,11,0),"")</f>
        <v>5w</v>
      </c>
      <c r="BA134" s="448" t="str">
        <f>_xlfn.IFNA(VLOOKUP($AP134,Programma!$F$3:$Q$1101,12,0),"")</f>
        <v>1w</v>
      </c>
      <c r="BB134" s="448" t="str">
        <f>_xlfn.IFNA(VLOOKUP($AP134,Programma!$F$3:$R$1101,13,0),"")</f>
        <v>1w</v>
      </c>
      <c r="BC134" s="448" t="str">
        <f>_xlfn.IFNA(VLOOKUP($AP134,Programma!$F$3:$S$1101,14,0),"")</f>
        <v>1m</v>
      </c>
      <c r="BD134" s="448" t="str">
        <f>_xlfn.IFNA(VLOOKUP($AP134,Programma!$F$3:$T$1101,15,0),"")</f>
        <v>2j</v>
      </c>
      <c r="BE134" s="448" t="str">
        <f>_xlfn.IFNA(VLOOKUP($AP134,Programma!$F$3:$U$1101,16,0),"")</f>
        <v>1j</v>
      </c>
      <c r="BF134" s="448" t="str">
        <f>_xlfn.IFNA(VLOOKUP($AP134,Programma!$F$3:$V$1101,17,0),"")</f>
        <v>_</v>
      </c>
      <c r="BG134" s="448" t="str">
        <f>_xlfn.IFNA(VLOOKUP($AP134,Programma!$F$3:$W$1101,18,0),"")</f>
        <v>_</v>
      </c>
      <c r="BH134" s="448" t="str">
        <f>_xlfn.IFNA(VLOOKUP($AP134,Programma!$F$3:$X$1101,19,0),"")</f>
        <v>_</v>
      </c>
      <c r="BI134" s="448" t="str">
        <f>_xlfn.IFNA(VLOOKUP($AP134,Programma!$F$3:$Y$1101,20,0),"")</f>
        <v>_</v>
      </c>
      <c r="BJ134" s="449"/>
      <c r="BK134" s="447" t="str">
        <f>IF(Ruimtestaat[[#This Row],[Frequentie weekend]]="","",_xlfn.CONCAT(Ruimtestaat[[#This Row],[Ruimte code]],"-",Ruimtestaat[[#This Row],[Frequentie weekend]]," ",Ruimtestaat[[#This Row],[Vloer code]]))</f>
        <v/>
      </c>
      <c r="BL134" s="448" t="str">
        <f>_xlfn.IFNA(VLOOKUP($BK134,Programma!$F$3:$G$1101,2,0),"")</f>
        <v/>
      </c>
      <c r="BM134" s="448" t="str">
        <f>_xlfn.IFNA(VLOOKUP($BK134,Programma!$F$3:$H$1101,3,0),"")</f>
        <v/>
      </c>
      <c r="BN134" s="448" t="str">
        <f>_xlfn.IFNA(VLOOKUP($BK134,Programma!$F$3:$I$1101,4,0),"")</f>
        <v/>
      </c>
      <c r="BO134" s="448" t="str">
        <f>_xlfn.IFNA(VLOOKUP($BK134,Programma!$F$3:$J$1101,5,0),"")</f>
        <v/>
      </c>
      <c r="BP134" s="448" t="str">
        <f>_xlfn.IFNA(VLOOKUP($BK134,Programma!$F$3:$K$1101,6,0),"")</f>
        <v/>
      </c>
      <c r="BQ134" s="448" t="str">
        <f>_xlfn.IFNA(VLOOKUP($BK134,Programma!$F$3:$L$1101,7,0),"")</f>
        <v/>
      </c>
      <c r="BR134" s="448" t="str">
        <f>_xlfn.IFNA(VLOOKUP($BK134,Programma!$F$3:$M$1101,8,0),"")</f>
        <v/>
      </c>
      <c r="BS134" s="448" t="str">
        <f>_xlfn.IFNA(VLOOKUP($BK134,Programma!$F$3:$N$1101,9,0),"")</f>
        <v/>
      </c>
      <c r="BT134" s="448" t="str">
        <f>_xlfn.IFNA(VLOOKUP($BK134,Programma!$F$3:$O$1101,10,0),"")</f>
        <v/>
      </c>
      <c r="BU134" s="448" t="str">
        <f>_xlfn.IFNA(VLOOKUP($BK134,Programma!$F$3:$P$1101,11,0),"")</f>
        <v/>
      </c>
      <c r="BV134" s="448" t="str">
        <f>_xlfn.IFNA(VLOOKUP($BK134,Programma!$F$3:$Q$1101,12,0),"")</f>
        <v/>
      </c>
      <c r="BW134" s="448" t="str">
        <f>_xlfn.IFNA(VLOOKUP($BK134,Programma!$F$3:$R$1101,13,0),"")</f>
        <v/>
      </c>
      <c r="BX134" s="448" t="str">
        <f>_xlfn.IFNA(VLOOKUP($BK134,Programma!$F$3:$S$1101,14,0),"")</f>
        <v/>
      </c>
      <c r="BY134" s="448" t="str">
        <f>_xlfn.IFNA(VLOOKUP($BK134,Programma!$F$3:$T$1101,15,0),"")</f>
        <v/>
      </c>
      <c r="BZ134" s="448" t="str">
        <f>_xlfn.IFNA(VLOOKUP($BK134,Programma!$F$3:$U$1101,16,0),"")</f>
        <v/>
      </c>
      <c r="CA134" s="448" t="str">
        <f>_xlfn.IFNA(VLOOKUP($BK134,Programma!$F$3:$V$1101,17,0),"")</f>
        <v/>
      </c>
      <c r="CB134" s="448" t="str">
        <f>_xlfn.IFNA(VLOOKUP($BK134,Programma!$F$3:$W$1101,18,0),"")</f>
        <v/>
      </c>
      <c r="CC134" s="448" t="str">
        <f>_xlfn.IFNA(VLOOKUP($BK134,Programma!$F$3:$X$1101,19,0),"")</f>
        <v/>
      </c>
      <c r="CD134" s="448" t="str">
        <f>_xlfn.IFNA(VLOOKUP($BK134,Programma!$F$3:$Y$1101,20,0),"")</f>
        <v/>
      </c>
      <c r="CE134" s="327"/>
      <c r="CF134" s="327"/>
      <c r="CG134" s="327"/>
      <c r="CH134" s="327"/>
      <c r="CI134" s="327"/>
      <c r="CJ134" s="327"/>
      <c r="CK134" s="327"/>
      <c r="CL134" s="327"/>
      <c r="CM134" s="327"/>
      <c r="CN134" s="327"/>
      <c r="CO134" s="327"/>
      <c r="CP134" s="327"/>
      <c r="CQ134" s="327"/>
      <c r="CR134" s="327"/>
      <c r="CS134" s="327"/>
      <c r="CT134" s="327"/>
      <c r="CU134" s="327"/>
      <c r="CV134" s="327"/>
      <c r="CW134" s="327"/>
      <c r="CX134" s="327"/>
      <c r="CY134" s="327"/>
      <c r="CZ134" s="327"/>
      <c r="DA134" s="327"/>
      <c r="DB134" s="327"/>
      <c r="DC134" s="327"/>
      <c r="DD134" s="327"/>
      <c r="DE134" s="327"/>
      <c r="DF134" s="327"/>
      <c r="DG134" s="327"/>
      <c r="DH134" s="327"/>
      <c r="DI134" s="327"/>
      <c r="DJ134" s="327"/>
      <c r="DK134" s="327"/>
      <c r="DL134" s="327"/>
      <c r="DM134" s="327"/>
      <c r="DN134" s="327"/>
      <c r="DO134" s="327"/>
      <c r="DP134" s="327"/>
      <c r="DQ134" s="327"/>
      <c r="DR134" s="327"/>
      <c r="DS134" s="327"/>
      <c r="DT134" s="327"/>
      <c r="DU134" s="327"/>
      <c r="DV134" s="327"/>
      <c r="DW134" s="327"/>
      <c r="DX134" s="327"/>
      <c r="DY134" s="327"/>
      <c r="DZ134" s="327"/>
      <c r="EA134" s="327"/>
      <c r="EB134" s="327"/>
      <c r="EC134" s="327"/>
      <c r="ED134" s="327"/>
      <c r="EE134" s="327"/>
      <c r="EF134" s="327"/>
      <c r="EG134" s="327"/>
      <c r="EH134" s="327"/>
      <c r="EI134" s="327"/>
      <c r="EJ134" s="327"/>
      <c r="EK134" s="327"/>
      <c r="EL134" s="327"/>
      <c r="EM134" s="327"/>
      <c r="EN134" s="327"/>
      <c r="EO134" s="327"/>
      <c r="EP134" s="327"/>
      <c r="EQ134" s="327"/>
      <c r="ER134" s="327"/>
      <c r="ES134" s="327"/>
      <c r="ET134" s="327"/>
      <c r="EU134" s="327"/>
      <c r="EV134" s="327"/>
      <c r="EW134" s="327"/>
      <c r="EX134" s="327"/>
      <c r="EY134" s="327"/>
      <c r="EZ134" s="327"/>
      <c r="FA134" s="327"/>
      <c r="FB134" s="327"/>
      <c r="FC134" s="327"/>
      <c r="FD134" s="327"/>
      <c r="FE134" s="327"/>
      <c r="FF134" s="327"/>
      <c r="FG134" s="327"/>
      <c r="FH134" s="327"/>
      <c r="FI134" s="327"/>
      <c r="FJ134" s="327"/>
      <c r="FK134" s="327"/>
      <c r="FL134" s="327"/>
      <c r="FM134" s="327"/>
      <c r="FN134" s="327"/>
      <c r="FO134" s="327"/>
      <c r="FP134" s="327"/>
      <c r="FQ134" s="327"/>
      <c r="FR134" s="327"/>
      <c r="FS134" s="327"/>
      <c r="FT134" s="327"/>
      <c r="FU134" s="327"/>
      <c r="FV134" s="327"/>
      <c r="FW134" s="327"/>
      <c r="FX134" s="327"/>
      <c r="FY134" s="327"/>
      <c r="FZ134" s="327"/>
      <c r="GA134" s="327"/>
      <c r="GB134" s="327"/>
      <c r="GC134" s="327"/>
      <c r="GD134" s="327"/>
      <c r="GE134" s="327"/>
      <c r="GF134" s="327"/>
      <c r="GG134" s="327"/>
      <c r="GH134" s="327"/>
      <c r="GI134" s="327"/>
      <c r="GJ134" s="327"/>
      <c r="GK134" s="327"/>
      <c r="GL134" s="327"/>
      <c r="GM134" s="327"/>
      <c r="GN134" s="327"/>
      <c r="GO134" s="327"/>
      <c r="GP134" s="327"/>
      <c r="GQ134" s="327"/>
      <c r="GR134" s="327"/>
      <c r="GS134" s="327"/>
      <c r="GT134" s="327"/>
      <c r="GU134" s="327"/>
      <c r="GV134" s="327"/>
      <c r="GW134" s="327"/>
      <c r="GX134" s="327"/>
      <c r="GY134" s="327"/>
      <c r="GZ134" s="327"/>
      <c r="HA134" s="327"/>
      <c r="HB134" s="327"/>
      <c r="HC134" s="327"/>
      <c r="HD134" s="327"/>
      <c r="HE134" s="327"/>
      <c r="HF134" s="327"/>
      <c r="HG134" s="327"/>
      <c r="HH134" s="327"/>
      <c r="HI134" s="327"/>
      <c r="HJ134" s="327"/>
      <c r="HK134" s="327"/>
      <c r="HL134" s="327"/>
      <c r="HM134" s="327"/>
      <c r="HN134" s="327"/>
      <c r="HO134" s="327"/>
      <c r="HP134" s="327"/>
      <c r="HQ134" s="327"/>
      <c r="HR134" s="327"/>
      <c r="HS134" s="327"/>
    </row>
    <row r="135" spans="1:227" ht="15" customHeight="1">
      <c r="A135" s="330">
        <v>6</v>
      </c>
      <c r="B135" s="435" t="str">
        <f>VLOOKUP(Ruimtestaat[[#This Row],[Code]],Locaties[[Code]:[Locatie]],2,FALSE)</f>
        <v>IKC Het Zwanenbos</v>
      </c>
      <c r="C135" s="435" t="str">
        <f>VLOOKUP(Ruimtestaat[[#This Row],[Code]],Locaties[[#All],[Code]:[Adres]],4,FALSE)</f>
        <v>Kerkenbos 24-26</v>
      </c>
      <c r="D135" s="435" t="str">
        <f>VLOOKUP(Ruimtestaat[[#This Row],[Code]],Locaties[[#All],[Code]:[Postcode]],5,FALSE)</f>
        <v>2716 PH</v>
      </c>
      <c r="E135" s="435" t="str">
        <f>VLOOKUP(Ruimtestaat[[#This Row],[Code]],Locaties[#All],6,FALSE)</f>
        <v>Zoetermeer</v>
      </c>
      <c r="F135" s="434"/>
      <c r="G135" s="434" t="s">
        <v>1769</v>
      </c>
      <c r="H135" s="330" t="s">
        <v>1709</v>
      </c>
      <c r="I135" s="450" t="s">
        <v>1679</v>
      </c>
      <c r="J135" s="330">
        <v>16</v>
      </c>
      <c r="K135" s="450" t="str">
        <f>VLOOKUP(Ruimtestaat[[#This Row],[Ruimte code]],Ruimtegroepen[[#All],[Code]:[Ruimte omschrijving]],2,FALSE)</f>
        <v>Leslokalen</v>
      </c>
      <c r="L135" s="434" t="s">
        <v>100</v>
      </c>
      <c r="M135" s="437" t="s">
        <v>1759</v>
      </c>
      <c r="N135" s="439">
        <v>61</v>
      </c>
      <c r="O135" s="439"/>
      <c r="P135" s="439"/>
      <c r="Q135" s="439"/>
      <c r="R135" s="440" t="str">
        <f>VLOOKUP(Ruimtestaat[[#This Row],[Ruimte code]],Ruimtegroepen[],4,FALSE)</f>
        <v>Le</v>
      </c>
      <c r="S135" s="434">
        <v>40</v>
      </c>
      <c r="T135" s="434" t="s">
        <v>2</v>
      </c>
      <c r="U135" s="434">
        <f>IF(S135&gt;0,IF(RIGHT(Ruimtestaat[[#This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5" s="434">
        <f>IF(U135&gt;0,VLOOKUP($J135,Ruimtegroepen[],3,FALSE)*VLOOKUP($L135,Vloersoorten[],3,FALSE)*VLOOKUP($T135,Frequenties[],3,FALSE)*VLOOKUP($A135,Locaties[],3,FALSE),0)</f>
        <v>0</v>
      </c>
      <c r="W135" s="434">
        <f>Ruimtestaat[[#This Row],[Uitvoeringen werkdagen]]*Ruimtestaat[[#This Row],[Oppervlak (netto)]]</f>
        <v>12200</v>
      </c>
      <c r="X135" s="441">
        <f>IF(V135&gt;0,Ruimtestaat[[#This Row],[Prest. (m2 /jaar) werkdagen]]/Ruimtestaat[[#This Row],[Norm (m2/uur) werkdagen]],0)</f>
        <v>0</v>
      </c>
      <c r="Y135" s="442">
        <f>Ruimtestaat[[#This Row],[Uitvoeringen werkdagen]]*Ruimtestaat[[#This Row],[Gedeeltelijk]]</f>
        <v>0</v>
      </c>
      <c r="Z135" s="443" t="e">
        <f>IF(U135&gt;0,Ruimtestaat[[#This Row],[Prest. (m2 / jaar) werkdagen gedeeld]]/Ruimtestaat[[#This Row],[Norm (m2/uur) werkdagen]],0)</f>
        <v>#DIV/0!</v>
      </c>
      <c r="AA135" s="441" t="e">
        <f>Ruimtestaat[[#This Row],[uren / jaar werkdagen gedeeld]]*Tariefsopbouw!$E$35</f>
        <v>#DIV/0!</v>
      </c>
      <c r="AB135" s="441">
        <f>Ruimtestaat[[#This Row],[Uitvoeringen werkdagen]]*Ruimtestaat[[#This Row],[BSO]]</f>
        <v>0</v>
      </c>
      <c r="AC135" s="443" t="e">
        <f>IF(U135&gt;0,Ruimtestaat[[#This Row],[Prest. (m2 / jaar) werkdagen BSO]]/Ruimtestaat[[#This Row],[Norm (m2/uur) werkdagen]],0)</f>
        <v>#DIV/0!</v>
      </c>
      <c r="AD135" s="443" t="e">
        <f>Ruimtestaat[[#This Row],[uren / jaar werkdagen BSO]]*Tariefsopbouw!$E$35</f>
        <v>#DIV/0!</v>
      </c>
      <c r="AE135" s="444">
        <f>Ruimtestaat[[#This Row],[uren / jaar werkdagen]]*Tariefsopbouw!$E$35</f>
        <v>0</v>
      </c>
      <c r="AF135" s="434"/>
      <c r="AG135" s="434">
        <f>IF(Ruimtestaat[[#This Row],[Frequentie weekend]]&gt;0,VALUE(LEFT(AF135,1))*S135,0)</f>
        <v>0</v>
      </c>
      <c r="AH135" s="445">
        <f>IF($AG135&gt;0,VLOOKUP($J135,Ruimtegroepen[],3,FALSE)*VLOOKUP($L135,Vloersoorten[],3,FALSE)*VLOOKUP($AF135,Frequenties[],3,FALSE)*VLOOKUP(Ruimtestaat[[#This Row],[Code]],Locaties[],3,FALSE),0)</f>
        <v>0</v>
      </c>
      <c r="AI135" s="445">
        <f>Ruimtestaat[[#This Row],[Uitvoeringen weekend]]*Ruimtestaat[[#This Row],[Oppervlak (netto)]]</f>
        <v>0</v>
      </c>
      <c r="AJ135" s="445">
        <f>IF(AH135&gt;0,Ruimtestaat[[#This Row],[Prest. (m2 /jaar) weekend]]/Ruimtestaat[[#This Row],[Norm (m2/uur) weekend]],0)</f>
        <v>0</v>
      </c>
      <c r="AK135" s="444">
        <f>Ruimtestaat[[#This Row],[uren / jaar weekend]]*Tariefsopbouw!$D$40</f>
        <v>0</v>
      </c>
      <c r="AL135" s="441">
        <f>Ruimtestaat[[#This Row],[Prest. (m2 /jaar) weekend]]+Ruimtestaat[[#This Row],[Prest. (m2 /jaar) werkdagen]]</f>
        <v>12200</v>
      </c>
      <c r="AM135" s="441">
        <f>Ruimtestaat[[#This Row],[uren / jaar weekend]]+Ruimtestaat[[#This Row],[uren / jaar werkdagen]]</f>
        <v>0</v>
      </c>
      <c r="AN135" s="446">
        <f>Ruimtestaat[[#This Row],[kosten / jaar weekend]]+Ruimtestaat[[#This Row],[kosten / jaar werkdagen]]</f>
        <v>0</v>
      </c>
      <c r="AO135" s="446"/>
      <c r="AP135" s="447" t="str">
        <f>IF(Ruimtestaat[[#This Row],[Frequentie werkdagen]]="","",_xlfn.CONCAT(Ruimtestaat[[#This Row],[Ruimte code]],"-",Ruimtestaat[[#This Row],[Frequentie werkdagen]]," ",Ruimtestaat[[#This Row],[Vloer code]]))</f>
        <v>16-5w L</v>
      </c>
      <c r="AQ135" s="448" t="str">
        <f>_xlfn.IFNA(VLOOKUP($AP135,Programma!$F$3:$G$1101,2,0),"")</f>
        <v>_</v>
      </c>
      <c r="AR135" s="448" t="str">
        <f>_xlfn.IFNA(VLOOKUP($AP135,Programma!$F$3:$H$1101,3,0),"")</f>
        <v>_</v>
      </c>
      <c r="AS135" s="448" t="str">
        <f>_xlfn.IFNA(VLOOKUP($AP135,Programma!$F$3:$I$1101,4,0),"")</f>
        <v>4w</v>
      </c>
      <c r="AT135" s="448" t="str">
        <f>_xlfn.IFNA(VLOOKUP($AP135,Programma!$F$3:$J$1101,5,0),"")</f>
        <v>1w</v>
      </c>
      <c r="AU135" s="448" t="str">
        <f>_xlfn.IFNA(VLOOKUP($AP135,Programma!$F$3:$K$1101,6,0),"")</f>
        <v>_</v>
      </c>
      <c r="AV135" s="448" t="str">
        <f>_xlfn.IFNA(VLOOKUP($AP135,Programma!$F$3:$L$1101,7,0),"")</f>
        <v>_</v>
      </c>
      <c r="AW135" s="448" t="str">
        <f>_xlfn.IFNA(VLOOKUP($AP135,Programma!$F$3:$M$1101,8,0),"")</f>
        <v>_</v>
      </c>
      <c r="AX135" s="448" t="str">
        <f>_xlfn.IFNA(VLOOKUP($AP135,Programma!$F$3:$N$1101,9,0),"")</f>
        <v>_</v>
      </c>
      <c r="AY135" s="448" t="str">
        <f>_xlfn.IFNA(VLOOKUP($AP135,Programma!$F$3:$O$1101,10,0),"")</f>
        <v>5w</v>
      </c>
      <c r="AZ135" s="448" t="str">
        <f>_xlfn.IFNA(VLOOKUP($AP135,Programma!$F$3:$P$1101,11,0),"")</f>
        <v>5w</v>
      </c>
      <c r="BA135" s="448" t="str">
        <f>_xlfn.IFNA(VLOOKUP($AP135,Programma!$F$3:$Q$1101,12,0),"")</f>
        <v>1w</v>
      </c>
      <c r="BB135" s="448" t="str">
        <f>_xlfn.IFNA(VLOOKUP($AP135,Programma!$F$3:$R$1101,13,0),"")</f>
        <v>1w</v>
      </c>
      <c r="BC135" s="448" t="str">
        <f>_xlfn.IFNA(VLOOKUP($AP135,Programma!$F$3:$S$1101,14,0),"")</f>
        <v>1m</v>
      </c>
      <c r="BD135" s="448" t="str">
        <f>_xlfn.IFNA(VLOOKUP($AP135,Programma!$F$3:$T$1101,15,0),"")</f>
        <v>2j</v>
      </c>
      <c r="BE135" s="448" t="str">
        <f>_xlfn.IFNA(VLOOKUP($AP135,Programma!$F$3:$U$1101,16,0),"")</f>
        <v>1j</v>
      </c>
      <c r="BF135" s="448" t="str">
        <f>_xlfn.IFNA(VLOOKUP($AP135,Programma!$F$3:$V$1101,17,0),"")</f>
        <v>_</v>
      </c>
      <c r="BG135" s="448" t="str">
        <f>_xlfn.IFNA(VLOOKUP($AP135,Programma!$F$3:$W$1101,18,0),"")</f>
        <v>_</v>
      </c>
      <c r="BH135" s="448" t="str">
        <f>_xlfn.IFNA(VLOOKUP($AP135,Programma!$F$3:$X$1101,19,0),"")</f>
        <v>_</v>
      </c>
      <c r="BI135" s="448" t="str">
        <f>_xlfn.IFNA(VLOOKUP($AP135,Programma!$F$3:$Y$1101,20,0),"")</f>
        <v>_</v>
      </c>
      <c r="BJ135" s="449"/>
      <c r="BK135" s="447" t="str">
        <f>IF(Ruimtestaat[[#This Row],[Frequentie weekend]]="","",_xlfn.CONCAT(Ruimtestaat[[#This Row],[Ruimte code]],"-",Ruimtestaat[[#This Row],[Frequentie weekend]]," ",Ruimtestaat[[#This Row],[Vloer code]]))</f>
        <v/>
      </c>
      <c r="BL135" s="448" t="str">
        <f>_xlfn.IFNA(VLOOKUP($BK135,Programma!$F$3:$G$1101,2,0),"")</f>
        <v/>
      </c>
      <c r="BM135" s="448" t="str">
        <f>_xlfn.IFNA(VLOOKUP($BK135,Programma!$F$3:$H$1101,3,0),"")</f>
        <v/>
      </c>
      <c r="BN135" s="448" t="str">
        <f>_xlfn.IFNA(VLOOKUP($BK135,Programma!$F$3:$I$1101,4,0),"")</f>
        <v/>
      </c>
      <c r="BO135" s="448" t="str">
        <f>_xlfn.IFNA(VLOOKUP($BK135,Programma!$F$3:$J$1101,5,0),"")</f>
        <v/>
      </c>
      <c r="BP135" s="448" t="str">
        <f>_xlfn.IFNA(VLOOKUP($BK135,Programma!$F$3:$K$1101,6,0),"")</f>
        <v/>
      </c>
      <c r="BQ135" s="448" t="str">
        <f>_xlfn.IFNA(VLOOKUP($BK135,Programma!$F$3:$L$1101,7,0),"")</f>
        <v/>
      </c>
      <c r="BR135" s="448" t="str">
        <f>_xlfn.IFNA(VLOOKUP($BK135,Programma!$F$3:$M$1101,8,0),"")</f>
        <v/>
      </c>
      <c r="BS135" s="448" t="str">
        <f>_xlfn.IFNA(VLOOKUP($BK135,Programma!$F$3:$N$1101,9,0),"")</f>
        <v/>
      </c>
      <c r="BT135" s="448" t="str">
        <f>_xlfn.IFNA(VLOOKUP($BK135,Programma!$F$3:$O$1101,10,0),"")</f>
        <v/>
      </c>
      <c r="BU135" s="448" t="str">
        <f>_xlfn.IFNA(VLOOKUP($BK135,Programma!$F$3:$P$1101,11,0),"")</f>
        <v/>
      </c>
      <c r="BV135" s="448" t="str">
        <f>_xlfn.IFNA(VLOOKUP($BK135,Programma!$F$3:$Q$1101,12,0),"")</f>
        <v/>
      </c>
      <c r="BW135" s="448" t="str">
        <f>_xlfn.IFNA(VLOOKUP($BK135,Programma!$F$3:$R$1101,13,0),"")</f>
        <v/>
      </c>
      <c r="BX135" s="448" t="str">
        <f>_xlfn.IFNA(VLOOKUP($BK135,Programma!$F$3:$S$1101,14,0),"")</f>
        <v/>
      </c>
      <c r="BY135" s="448" t="str">
        <f>_xlfn.IFNA(VLOOKUP($BK135,Programma!$F$3:$T$1101,15,0),"")</f>
        <v/>
      </c>
      <c r="BZ135" s="448" t="str">
        <f>_xlfn.IFNA(VLOOKUP($BK135,Programma!$F$3:$U$1101,16,0),"")</f>
        <v/>
      </c>
      <c r="CA135" s="448" t="str">
        <f>_xlfn.IFNA(VLOOKUP($BK135,Programma!$F$3:$V$1101,17,0),"")</f>
        <v/>
      </c>
      <c r="CB135" s="448" t="str">
        <f>_xlfn.IFNA(VLOOKUP($BK135,Programma!$F$3:$W$1101,18,0),"")</f>
        <v/>
      </c>
      <c r="CC135" s="448" t="str">
        <f>_xlfn.IFNA(VLOOKUP($BK135,Programma!$F$3:$X$1101,19,0),"")</f>
        <v/>
      </c>
      <c r="CD135" s="448" t="str">
        <f>_xlfn.IFNA(VLOOKUP($BK135,Programma!$F$3:$Y$1101,20,0),"")</f>
        <v/>
      </c>
      <c r="CE135" s="327"/>
      <c r="CF135" s="327"/>
      <c r="CG135" s="327"/>
      <c r="CH135" s="327"/>
      <c r="CI135" s="327"/>
      <c r="CJ135" s="327"/>
      <c r="CK135" s="327"/>
      <c r="CL135" s="327"/>
      <c r="CM135" s="327"/>
      <c r="CN135" s="327"/>
      <c r="CO135" s="327"/>
      <c r="CP135" s="327"/>
      <c r="CQ135" s="327"/>
      <c r="CR135" s="327"/>
      <c r="CS135" s="327"/>
      <c r="CT135" s="327"/>
      <c r="CU135" s="327"/>
      <c r="CV135" s="327"/>
      <c r="CW135" s="327"/>
      <c r="CX135" s="327"/>
      <c r="CY135" s="327"/>
      <c r="CZ135" s="327"/>
      <c r="DA135" s="327"/>
      <c r="DB135" s="327"/>
      <c r="DC135" s="327"/>
      <c r="DD135" s="327"/>
      <c r="DE135" s="327"/>
      <c r="DF135" s="327"/>
      <c r="DG135" s="327"/>
      <c r="DH135" s="327"/>
      <c r="DI135" s="327"/>
      <c r="DJ135" s="327"/>
      <c r="DK135" s="327"/>
      <c r="DL135" s="327"/>
      <c r="DM135" s="327"/>
      <c r="DN135" s="327"/>
      <c r="DO135" s="327"/>
      <c r="DP135" s="327"/>
      <c r="DQ135" s="327"/>
      <c r="DR135" s="327"/>
      <c r="DS135" s="327"/>
      <c r="DT135" s="327"/>
      <c r="DU135" s="327"/>
      <c r="DV135" s="327"/>
      <c r="DW135" s="327"/>
      <c r="DX135" s="327"/>
      <c r="DY135" s="327"/>
      <c r="DZ135" s="327"/>
      <c r="EA135" s="327"/>
      <c r="EB135" s="327"/>
      <c r="EC135" s="327"/>
      <c r="ED135" s="327"/>
      <c r="EE135" s="327"/>
      <c r="EF135" s="327"/>
      <c r="EG135" s="327"/>
      <c r="EH135" s="327"/>
      <c r="EI135" s="327"/>
      <c r="EJ135" s="327"/>
      <c r="EK135" s="327"/>
      <c r="EL135" s="327"/>
      <c r="EM135" s="327"/>
      <c r="EN135" s="327"/>
      <c r="EO135" s="327"/>
      <c r="EP135" s="327"/>
      <c r="EQ135" s="327"/>
      <c r="ER135" s="327"/>
      <c r="ES135" s="327"/>
      <c r="ET135" s="327"/>
      <c r="EU135" s="327"/>
      <c r="EV135" s="327"/>
      <c r="EW135" s="327"/>
      <c r="EX135" s="327"/>
      <c r="EY135" s="327"/>
      <c r="EZ135" s="327"/>
      <c r="FA135" s="327"/>
      <c r="FB135" s="327"/>
      <c r="FC135" s="327"/>
      <c r="FD135" s="327"/>
      <c r="FE135" s="327"/>
      <c r="FF135" s="327"/>
      <c r="FG135" s="327"/>
      <c r="FH135" s="327"/>
      <c r="FI135" s="327"/>
      <c r="FJ135" s="327"/>
      <c r="FK135" s="327"/>
      <c r="FL135" s="327"/>
      <c r="FM135" s="327"/>
      <c r="FN135" s="327"/>
      <c r="FO135" s="327"/>
      <c r="FP135" s="327"/>
      <c r="FQ135" s="327"/>
      <c r="FR135" s="327"/>
      <c r="FS135" s="327"/>
      <c r="FT135" s="327"/>
      <c r="FU135" s="327"/>
      <c r="FV135" s="327"/>
      <c r="FW135" s="327"/>
      <c r="FX135" s="327"/>
      <c r="FY135" s="327"/>
      <c r="FZ135" s="327"/>
      <c r="GA135" s="327"/>
      <c r="GB135" s="327"/>
      <c r="GC135" s="327"/>
      <c r="GD135" s="327"/>
      <c r="GE135" s="327"/>
      <c r="GF135" s="327"/>
      <c r="GG135" s="327"/>
      <c r="GH135" s="327"/>
      <c r="GI135" s="327"/>
      <c r="GJ135" s="327"/>
      <c r="GK135" s="327"/>
      <c r="GL135" s="327"/>
      <c r="GM135" s="327"/>
      <c r="GN135" s="327"/>
      <c r="GO135" s="327"/>
      <c r="GP135" s="327"/>
      <c r="GQ135" s="327"/>
      <c r="GR135" s="327"/>
      <c r="GS135" s="327"/>
      <c r="GT135" s="327"/>
      <c r="GU135" s="327"/>
      <c r="GV135" s="327"/>
      <c r="GW135" s="327"/>
      <c r="GX135" s="327"/>
      <c r="GY135" s="327"/>
      <c r="GZ135" s="327"/>
      <c r="HA135" s="327"/>
      <c r="HB135" s="327"/>
      <c r="HC135" s="327"/>
      <c r="HD135" s="327"/>
      <c r="HE135" s="327"/>
      <c r="HF135" s="327"/>
      <c r="HG135" s="327"/>
      <c r="HH135" s="327"/>
      <c r="HI135" s="327"/>
      <c r="HJ135" s="327"/>
      <c r="HK135" s="327"/>
      <c r="HL135" s="327"/>
      <c r="HM135" s="327"/>
      <c r="HN135" s="327"/>
      <c r="HO135" s="327"/>
      <c r="HP135" s="327"/>
      <c r="HQ135" s="327"/>
      <c r="HR135" s="327"/>
      <c r="HS135" s="327"/>
    </row>
    <row r="136" spans="1:227" ht="15" customHeight="1">
      <c r="A136" s="330">
        <v>6</v>
      </c>
      <c r="B136" s="435" t="str">
        <f>VLOOKUP(Ruimtestaat[[#This Row],[Code]],Locaties[[Code]:[Locatie]],2,FALSE)</f>
        <v>IKC Het Zwanenbos</v>
      </c>
      <c r="C136" s="435" t="str">
        <f>VLOOKUP(Ruimtestaat[[#This Row],[Code]],Locaties[[#All],[Code]:[Adres]],4,FALSE)</f>
        <v>Kerkenbos 24-26</v>
      </c>
      <c r="D136" s="435" t="str">
        <f>VLOOKUP(Ruimtestaat[[#This Row],[Code]],Locaties[[#All],[Code]:[Postcode]],5,FALSE)</f>
        <v>2716 PH</v>
      </c>
      <c r="E136" s="435" t="str">
        <f>VLOOKUP(Ruimtestaat[[#This Row],[Code]],Locaties[#All],6,FALSE)</f>
        <v>Zoetermeer</v>
      </c>
      <c r="F136" s="434"/>
      <c r="G136" s="434" t="s">
        <v>1769</v>
      </c>
      <c r="H136" s="330" t="s">
        <v>1711</v>
      </c>
      <c r="I136" s="450" t="s">
        <v>1679</v>
      </c>
      <c r="J136" s="330">
        <v>16</v>
      </c>
      <c r="K136" s="450" t="str">
        <f>VLOOKUP(Ruimtestaat[[#This Row],[Ruimte code]],Ruimtegroepen[[#All],[Code]:[Ruimte omschrijving]],2,FALSE)</f>
        <v>Leslokalen</v>
      </c>
      <c r="L136" s="434" t="s">
        <v>100</v>
      </c>
      <c r="M136" s="437" t="s">
        <v>1759</v>
      </c>
      <c r="N136" s="439">
        <v>62</v>
      </c>
      <c r="O136" s="439"/>
      <c r="P136" s="439"/>
      <c r="Q136" s="439"/>
      <c r="R136" s="440" t="str">
        <f>VLOOKUP(Ruimtestaat[[#This Row],[Ruimte code]],Ruimtegroepen[],4,FALSE)</f>
        <v>Le</v>
      </c>
      <c r="S136" s="434">
        <v>40</v>
      </c>
      <c r="T136" s="434" t="s">
        <v>2</v>
      </c>
      <c r="U136" s="434">
        <f>IF(S136&gt;0,IF(RIGHT(Ruimtestaat[[#This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6" s="434">
        <f>IF(U136&gt;0,VLOOKUP($J136,Ruimtegroepen[],3,FALSE)*VLOOKUP($L136,Vloersoorten[],3,FALSE)*VLOOKUP($T136,Frequenties[],3,FALSE)*VLOOKUP($A136,Locaties[],3,FALSE),0)</f>
        <v>0</v>
      </c>
      <c r="W136" s="434">
        <f>Ruimtestaat[[#This Row],[Uitvoeringen werkdagen]]*Ruimtestaat[[#This Row],[Oppervlak (netto)]]</f>
        <v>12400</v>
      </c>
      <c r="X136" s="441">
        <f>IF(V136&gt;0,Ruimtestaat[[#This Row],[Prest. (m2 /jaar) werkdagen]]/Ruimtestaat[[#This Row],[Norm (m2/uur) werkdagen]],0)</f>
        <v>0</v>
      </c>
      <c r="Y136" s="442">
        <f>Ruimtestaat[[#This Row],[Uitvoeringen werkdagen]]*Ruimtestaat[[#This Row],[Gedeeltelijk]]</f>
        <v>0</v>
      </c>
      <c r="Z136" s="443" t="e">
        <f>IF(U136&gt;0,Ruimtestaat[[#This Row],[Prest. (m2 / jaar) werkdagen gedeeld]]/Ruimtestaat[[#This Row],[Norm (m2/uur) werkdagen]],0)</f>
        <v>#DIV/0!</v>
      </c>
      <c r="AA136" s="441" t="e">
        <f>Ruimtestaat[[#This Row],[uren / jaar werkdagen gedeeld]]*Tariefsopbouw!$E$35</f>
        <v>#DIV/0!</v>
      </c>
      <c r="AB136" s="441">
        <f>Ruimtestaat[[#This Row],[Uitvoeringen werkdagen]]*Ruimtestaat[[#This Row],[BSO]]</f>
        <v>0</v>
      </c>
      <c r="AC136" s="443" t="e">
        <f>IF(U136&gt;0,Ruimtestaat[[#This Row],[Prest. (m2 / jaar) werkdagen BSO]]/Ruimtestaat[[#This Row],[Norm (m2/uur) werkdagen]],0)</f>
        <v>#DIV/0!</v>
      </c>
      <c r="AD136" s="443" t="e">
        <f>Ruimtestaat[[#This Row],[uren / jaar werkdagen BSO]]*Tariefsopbouw!$E$35</f>
        <v>#DIV/0!</v>
      </c>
      <c r="AE136" s="444">
        <f>Ruimtestaat[[#This Row],[uren / jaar werkdagen]]*Tariefsopbouw!$E$35</f>
        <v>0</v>
      </c>
      <c r="AF136" s="434"/>
      <c r="AG136" s="434">
        <f>IF(Ruimtestaat[[#This Row],[Frequentie weekend]]&gt;0,VALUE(LEFT(AF136,1))*S136,0)</f>
        <v>0</v>
      </c>
      <c r="AH136" s="445">
        <f>IF($AG136&gt;0,VLOOKUP($J136,Ruimtegroepen[],3,FALSE)*VLOOKUP($L136,Vloersoorten[],3,FALSE)*VLOOKUP($AF136,Frequenties[],3,FALSE)*VLOOKUP(Ruimtestaat[[#This Row],[Code]],Locaties[],3,FALSE),0)</f>
        <v>0</v>
      </c>
      <c r="AI136" s="445">
        <f>Ruimtestaat[[#This Row],[Uitvoeringen weekend]]*Ruimtestaat[[#This Row],[Oppervlak (netto)]]</f>
        <v>0</v>
      </c>
      <c r="AJ136" s="445">
        <f>IF(AH136&gt;0,Ruimtestaat[[#This Row],[Prest. (m2 /jaar) weekend]]/Ruimtestaat[[#This Row],[Norm (m2/uur) weekend]],0)</f>
        <v>0</v>
      </c>
      <c r="AK136" s="444">
        <f>Ruimtestaat[[#This Row],[uren / jaar weekend]]*Tariefsopbouw!$D$40</f>
        <v>0</v>
      </c>
      <c r="AL136" s="441">
        <f>Ruimtestaat[[#This Row],[Prest. (m2 /jaar) weekend]]+Ruimtestaat[[#This Row],[Prest. (m2 /jaar) werkdagen]]</f>
        <v>12400</v>
      </c>
      <c r="AM136" s="441">
        <f>Ruimtestaat[[#This Row],[uren / jaar weekend]]+Ruimtestaat[[#This Row],[uren / jaar werkdagen]]</f>
        <v>0</v>
      </c>
      <c r="AN136" s="446">
        <f>Ruimtestaat[[#This Row],[kosten / jaar weekend]]+Ruimtestaat[[#This Row],[kosten / jaar werkdagen]]</f>
        <v>0</v>
      </c>
      <c r="AO136" s="446"/>
      <c r="AP136" s="447" t="str">
        <f>IF(Ruimtestaat[[#This Row],[Frequentie werkdagen]]="","",_xlfn.CONCAT(Ruimtestaat[[#This Row],[Ruimte code]],"-",Ruimtestaat[[#This Row],[Frequentie werkdagen]]," ",Ruimtestaat[[#This Row],[Vloer code]]))</f>
        <v>16-5w L</v>
      </c>
      <c r="AQ136" s="448" t="str">
        <f>_xlfn.IFNA(VLOOKUP($AP136,Programma!$F$3:$G$1101,2,0),"")</f>
        <v>_</v>
      </c>
      <c r="AR136" s="448" t="str">
        <f>_xlfn.IFNA(VLOOKUP($AP136,Programma!$F$3:$H$1101,3,0),"")</f>
        <v>_</v>
      </c>
      <c r="AS136" s="448" t="str">
        <f>_xlfn.IFNA(VLOOKUP($AP136,Programma!$F$3:$I$1101,4,0),"")</f>
        <v>4w</v>
      </c>
      <c r="AT136" s="448" t="str">
        <f>_xlfn.IFNA(VLOOKUP($AP136,Programma!$F$3:$J$1101,5,0),"")</f>
        <v>1w</v>
      </c>
      <c r="AU136" s="448" t="str">
        <f>_xlfn.IFNA(VLOOKUP($AP136,Programma!$F$3:$K$1101,6,0),"")</f>
        <v>_</v>
      </c>
      <c r="AV136" s="448" t="str">
        <f>_xlfn.IFNA(VLOOKUP($AP136,Programma!$F$3:$L$1101,7,0),"")</f>
        <v>_</v>
      </c>
      <c r="AW136" s="448" t="str">
        <f>_xlfn.IFNA(VLOOKUP($AP136,Programma!$F$3:$M$1101,8,0),"")</f>
        <v>_</v>
      </c>
      <c r="AX136" s="448" t="str">
        <f>_xlfn.IFNA(VLOOKUP($AP136,Programma!$F$3:$N$1101,9,0),"")</f>
        <v>_</v>
      </c>
      <c r="AY136" s="448" t="str">
        <f>_xlfn.IFNA(VLOOKUP($AP136,Programma!$F$3:$O$1101,10,0),"")</f>
        <v>5w</v>
      </c>
      <c r="AZ136" s="448" t="str">
        <f>_xlfn.IFNA(VLOOKUP($AP136,Programma!$F$3:$P$1101,11,0),"")</f>
        <v>5w</v>
      </c>
      <c r="BA136" s="448" t="str">
        <f>_xlfn.IFNA(VLOOKUP($AP136,Programma!$F$3:$Q$1101,12,0),"")</f>
        <v>1w</v>
      </c>
      <c r="BB136" s="448" t="str">
        <f>_xlfn.IFNA(VLOOKUP($AP136,Programma!$F$3:$R$1101,13,0),"")</f>
        <v>1w</v>
      </c>
      <c r="BC136" s="448" t="str">
        <f>_xlfn.IFNA(VLOOKUP($AP136,Programma!$F$3:$S$1101,14,0),"")</f>
        <v>1m</v>
      </c>
      <c r="BD136" s="448" t="str">
        <f>_xlfn.IFNA(VLOOKUP($AP136,Programma!$F$3:$T$1101,15,0),"")</f>
        <v>2j</v>
      </c>
      <c r="BE136" s="448" t="str">
        <f>_xlfn.IFNA(VLOOKUP($AP136,Programma!$F$3:$U$1101,16,0),"")</f>
        <v>1j</v>
      </c>
      <c r="BF136" s="448" t="str">
        <f>_xlfn.IFNA(VLOOKUP($AP136,Programma!$F$3:$V$1101,17,0),"")</f>
        <v>_</v>
      </c>
      <c r="BG136" s="448" t="str">
        <f>_xlfn.IFNA(VLOOKUP($AP136,Programma!$F$3:$W$1101,18,0),"")</f>
        <v>_</v>
      </c>
      <c r="BH136" s="448" t="str">
        <f>_xlfn.IFNA(VLOOKUP($AP136,Programma!$F$3:$X$1101,19,0),"")</f>
        <v>_</v>
      </c>
      <c r="BI136" s="448" t="str">
        <f>_xlfn.IFNA(VLOOKUP($AP136,Programma!$F$3:$Y$1101,20,0),"")</f>
        <v>_</v>
      </c>
      <c r="BJ136" s="449"/>
      <c r="BK136" s="447" t="str">
        <f>IF(Ruimtestaat[[#This Row],[Frequentie weekend]]="","",_xlfn.CONCAT(Ruimtestaat[[#This Row],[Ruimte code]],"-",Ruimtestaat[[#This Row],[Frequentie weekend]]," ",Ruimtestaat[[#This Row],[Vloer code]]))</f>
        <v/>
      </c>
      <c r="BL136" s="448" t="str">
        <f>_xlfn.IFNA(VLOOKUP($BK136,Programma!$F$3:$G$1101,2,0),"")</f>
        <v/>
      </c>
      <c r="BM136" s="448" t="str">
        <f>_xlfn.IFNA(VLOOKUP($BK136,Programma!$F$3:$H$1101,3,0),"")</f>
        <v/>
      </c>
      <c r="BN136" s="448" t="str">
        <f>_xlfn.IFNA(VLOOKUP($BK136,Programma!$F$3:$I$1101,4,0),"")</f>
        <v/>
      </c>
      <c r="BO136" s="448" t="str">
        <f>_xlfn.IFNA(VLOOKUP($BK136,Programma!$F$3:$J$1101,5,0),"")</f>
        <v/>
      </c>
      <c r="BP136" s="448" t="str">
        <f>_xlfn.IFNA(VLOOKUP($BK136,Programma!$F$3:$K$1101,6,0),"")</f>
        <v/>
      </c>
      <c r="BQ136" s="448" t="str">
        <f>_xlfn.IFNA(VLOOKUP($BK136,Programma!$F$3:$L$1101,7,0),"")</f>
        <v/>
      </c>
      <c r="BR136" s="448" t="str">
        <f>_xlfn.IFNA(VLOOKUP($BK136,Programma!$F$3:$M$1101,8,0),"")</f>
        <v/>
      </c>
      <c r="BS136" s="448" t="str">
        <f>_xlfn.IFNA(VLOOKUP($BK136,Programma!$F$3:$N$1101,9,0),"")</f>
        <v/>
      </c>
      <c r="BT136" s="448" t="str">
        <f>_xlfn.IFNA(VLOOKUP($BK136,Programma!$F$3:$O$1101,10,0),"")</f>
        <v/>
      </c>
      <c r="BU136" s="448" t="str">
        <f>_xlfn.IFNA(VLOOKUP($BK136,Programma!$F$3:$P$1101,11,0),"")</f>
        <v/>
      </c>
      <c r="BV136" s="448" t="str">
        <f>_xlfn.IFNA(VLOOKUP($BK136,Programma!$F$3:$Q$1101,12,0),"")</f>
        <v/>
      </c>
      <c r="BW136" s="448" t="str">
        <f>_xlfn.IFNA(VLOOKUP($BK136,Programma!$F$3:$R$1101,13,0),"")</f>
        <v/>
      </c>
      <c r="BX136" s="448" t="str">
        <f>_xlfn.IFNA(VLOOKUP($BK136,Programma!$F$3:$S$1101,14,0),"")</f>
        <v/>
      </c>
      <c r="BY136" s="448" t="str">
        <f>_xlfn.IFNA(VLOOKUP($BK136,Programma!$F$3:$T$1101,15,0),"")</f>
        <v/>
      </c>
      <c r="BZ136" s="448" t="str">
        <f>_xlfn.IFNA(VLOOKUP($BK136,Programma!$F$3:$U$1101,16,0),"")</f>
        <v/>
      </c>
      <c r="CA136" s="448" t="str">
        <f>_xlfn.IFNA(VLOOKUP($BK136,Programma!$F$3:$V$1101,17,0),"")</f>
        <v/>
      </c>
      <c r="CB136" s="448" t="str">
        <f>_xlfn.IFNA(VLOOKUP($BK136,Programma!$F$3:$W$1101,18,0),"")</f>
        <v/>
      </c>
      <c r="CC136" s="448" t="str">
        <f>_xlfn.IFNA(VLOOKUP($BK136,Programma!$F$3:$X$1101,19,0),"")</f>
        <v/>
      </c>
      <c r="CD136" s="448" t="str">
        <f>_xlfn.IFNA(VLOOKUP($BK136,Programma!$F$3:$Y$1101,20,0),"")</f>
        <v/>
      </c>
      <c r="CE136" s="327"/>
      <c r="CF136" s="327"/>
      <c r="CG136" s="327"/>
      <c r="CH136" s="327"/>
      <c r="CI136" s="327"/>
      <c r="CJ136" s="327"/>
      <c r="CK136" s="327"/>
      <c r="CL136" s="327"/>
      <c r="CM136" s="327"/>
      <c r="CN136" s="327"/>
      <c r="CO136" s="327"/>
      <c r="CP136" s="327"/>
      <c r="CQ136" s="327"/>
      <c r="CR136" s="327"/>
      <c r="CS136" s="327"/>
      <c r="CT136" s="327"/>
      <c r="CU136" s="327"/>
      <c r="CV136" s="327"/>
      <c r="CW136" s="327"/>
      <c r="CX136" s="327"/>
      <c r="CY136" s="327"/>
      <c r="CZ136" s="327"/>
      <c r="DA136" s="327"/>
      <c r="DB136" s="327"/>
      <c r="DC136" s="327"/>
      <c r="DD136" s="327"/>
      <c r="DE136" s="327"/>
      <c r="DF136" s="327"/>
      <c r="DG136" s="327"/>
      <c r="DH136" s="327"/>
      <c r="DI136" s="327"/>
      <c r="DJ136" s="327"/>
      <c r="DK136" s="327"/>
      <c r="DL136" s="327"/>
      <c r="DM136" s="327"/>
      <c r="DN136" s="327"/>
      <c r="DO136" s="327"/>
      <c r="DP136" s="327"/>
      <c r="DQ136" s="327"/>
      <c r="DR136" s="327"/>
      <c r="DS136" s="327"/>
      <c r="DT136" s="327"/>
      <c r="DU136" s="327"/>
      <c r="DV136" s="327"/>
      <c r="DW136" s="327"/>
      <c r="DX136" s="327"/>
      <c r="DY136" s="327"/>
      <c r="DZ136" s="327"/>
      <c r="EA136" s="327"/>
      <c r="EB136" s="327"/>
      <c r="EC136" s="327"/>
      <c r="ED136" s="327"/>
      <c r="EE136" s="327"/>
      <c r="EF136" s="327"/>
      <c r="EG136" s="327"/>
      <c r="EH136" s="327"/>
      <c r="EI136" s="327"/>
      <c r="EJ136" s="327"/>
      <c r="EK136" s="327"/>
      <c r="EL136" s="327"/>
      <c r="EM136" s="327"/>
      <c r="EN136" s="327"/>
      <c r="EO136" s="327"/>
      <c r="EP136" s="327"/>
      <c r="EQ136" s="327"/>
      <c r="ER136" s="327"/>
      <c r="ES136" s="327"/>
      <c r="ET136" s="327"/>
      <c r="EU136" s="327"/>
      <c r="EV136" s="327"/>
      <c r="EW136" s="327"/>
      <c r="EX136" s="327"/>
      <c r="EY136" s="327"/>
      <c r="EZ136" s="327"/>
      <c r="FA136" s="327"/>
      <c r="FB136" s="327"/>
      <c r="FC136" s="327"/>
      <c r="FD136" s="327"/>
      <c r="FE136" s="327"/>
      <c r="FF136" s="327"/>
      <c r="FG136" s="327"/>
      <c r="FH136" s="327"/>
      <c r="FI136" s="327"/>
      <c r="FJ136" s="327"/>
      <c r="FK136" s="327"/>
      <c r="FL136" s="327"/>
      <c r="FM136" s="327"/>
      <c r="FN136" s="327"/>
      <c r="FO136" s="327"/>
      <c r="FP136" s="327"/>
      <c r="FQ136" s="327"/>
      <c r="FR136" s="327"/>
      <c r="FS136" s="327"/>
      <c r="FT136" s="327"/>
      <c r="FU136" s="327"/>
      <c r="FV136" s="327"/>
      <c r="FW136" s="327"/>
      <c r="FX136" s="327"/>
      <c r="FY136" s="327"/>
      <c r="FZ136" s="327"/>
      <c r="GA136" s="327"/>
      <c r="GB136" s="327"/>
      <c r="GC136" s="327"/>
      <c r="GD136" s="327"/>
      <c r="GE136" s="327"/>
      <c r="GF136" s="327"/>
      <c r="GG136" s="327"/>
      <c r="GH136" s="327"/>
      <c r="GI136" s="327"/>
      <c r="GJ136" s="327"/>
      <c r="GK136" s="327"/>
      <c r="GL136" s="327"/>
      <c r="GM136" s="327"/>
      <c r="GN136" s="327"/>
      <c r="GO136" s="327"/>
      <c r="GP136" s="327"/>
      <c r="GQ136" s="327"/>
      <c r="GR136" s="327"/>
      <c r="GS136" s="327"/>
      <c r="GT136" s="327"/>
      <c r="GU136" s="327"/>
      <c r="GV136" s="327"/>
      <c r="GW136" s="327"/>
      <c r="GX136" s="327"/>
      <c r="GY136" s="327"/>
      <c r="GZ136" s="327"/>
      <c r="HA136" s="327"/>
      <c r="HB136" s="327"/>
      <c r="HC136" s="327"/>
      <c r="HD136" s="327"/>
      <c r="HE136" s="327"/>
      <c r="HF136" s="327"/>
      <c r="HG136" s="327"/>
      <c r="HH136" s="327"/>
      <c r="HI136" s="327"/>
      <c r="HJ136" s="327"/>
      <c r="HK136" s="327"/>
      <c r="HL136" s="327"/>
      <c r="HM136" s="327"/>
      <c r="HN136" s="327"/>
      <c r="HO136" s="327"/>
      <c r="HP136" s="327"/>
      <c r="HQ136" s="327"/>
      <c r="HR136" s="327"/>
      <c r="HS136" s="327"/>
    </row>
    <row r="137" spans="1:227" ht="15" customHeight="1">
      <c r="A137" s="330">
        <v>6</v>
      </c>
      <c r="B137" s="435" t="str">
        <f>VLOOKUP(Ruimtestaat[[#This Row],[Code]],Locaties[[Code]:[Locatie]],2,FALSE)</f>
        <v>IKC Het Zwanenbos</v>
      </c>
      <c r="C137" s="435" t="str">
        <f>VLOOKUP(Ruimtestaat[[#This Row],[Code]],Locaties[[#All],[Code]:[Adres]],4,FALSE)</f>
        <v>Kerkenbos 24-26</v>
      </c>
      <c r="D137" s="435" t="str">
        <f>VLOOKUP(Ruimtestaat[[#This Row],[Code]],Locaties[[#All],[Code]:[Postcode]],5,FALSE)</f>
        <v>2716 PH</v>
      </c>
      <c r="E137" s="435" t="str">
        <f>VLOOKUP(Ruimtestaat[[#This Row],[Code]],Locaties[#All],6,FALSE)</f>
        <v>Zoetermeer</v>
      </c>
      <c r="F137" s="434"/>
      <c r="G137" s="434" t="s">
        <v>1769</v>
      </c>
      <c r="H137" s="330" t="s">
        <v>1713</v>
      </c>
      <c r="I137" s="450" t="s">
        <v>1679</v>
      </c>
      <c r="J137" s="330">
        <v>16</v>
      </c>
      <c r="K137" s="450" t="str">
        <f>VLOOKUP(Ruimtestaat[[#This Row],[Ruimte code]],Ruimtegroepen[[#All],[Code]:[Ruimte omschrijving]],2,FALSE)</f>
        <v>Leslokalen</v>
      </c>
      <c r="L137" s="434" t="s">
        <v>100</v>
      </c>
      <c r="M137" s="437" t="s">
        <v>1759</v>
      </c>
      <c r="N137" s="439">
        <v>64</v>
      </c>
      <c r="O137" s="439"/>
      <c r="P137" s="439"/>
      <c r="Q137" s="439"/>
      <c r="R137" s="440" t="str">
        <f>VLOOKUP(Ruimtestaat[[#This Row],[Ruimte code]],Ruimtegroepen[],4,FALSE)</f>
        <v>Le</v>
      </c>
      <c r="S137" s="434">
        <v>40</v>
      </c>
      <c r="T137" s="434" t="s">
        <v>2</v>
      </c>
      <c r="U137" s="434">
        <f>IF(S137&gt;0,IF(RIGHT(Ruimtestaat[[#This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7" s="434">
        <f>IF(U137&gt;0,VLOOKUP($J137,Ruimtegroepen[],3,FALSE)*VLOOKUP($L137,Vloersoorten[],3,FALSE)*VLOOKUP($T137,Frequenties[],3,FALSE)*VLOOKUP($A137,Locaties[],3,FALSE),0)</f>
        <v>0</v>
      </c>
      <c r="W137" s="434">
        <f>Ruimtestaat[[#This Row],[Uitvoeringen werkdagen]]*Ruimtestaat[[#This Row],[Oppervlak (netto)]]</f>
        <v>12800</v>
      </c>
      <c r="X137" s="441">
        <f>IF(V137&gt;0,Ruimtestaat[[#This Row],[Prest. (m2 /jaar) werkdagen]]/Ruimtestaat[[#This Row],[Norm (m2/uur) werkdagen]],0)</f>
        <v>0</v>
      </c>
      <c r="Y137" s="442">
        <f>Ruimtestaat[[#This Row],[Uitvoeringen werkdagen]]*Ruimtestaat[[#This Row],[Gedeeltelijk]]</f>
        <v>0</v>
      </c>
      <c r="Z137" s="443" t="e">
        <f>IF(U137&gt;0,Ruimtestaat[[#This Row],[Prest. (m2 / jaar) werkdagen gedeeld]]/Ruimtestaat[[#This Row],[Norm (m2/uur) werkdagen]],0)</f>
        <v>#DIV/0!</v>
      </c>
      <c r="AA137" s="441" t="e">
        <f>Ruimtestaat[[#This Row],[uren / jaar werkdagen gedeeld]]*Tariefsopbouw!$E$35</f>
        <v>#DIV/0!</v>
      </c>
      <c r="AB137" s="441">
        <f>Ruimtestaat[[#This Row],[Uitvoeringen werkdagen]]*Ruimtestaat[[#This Row],[BSO]]</f>
        <v>0</v>
      </c>
      <c r="AC137" s="443" t="e">
        <f>IF(U137&gt;0,Ruimtestaat[[#This Row],[Prest. (m2 / jaar) werkdagen BSO]]/Ruimtestaat[[#This Row],[Norm (m2/uur) werkdagen]],0)</f>
        <v>#DIV/0!</v>
      </c>
      <c r="AD137" s="443" t="e">
        <f>Ruimtestaat[[#This Row],[uren / jaar werkdagen BSO]]*Tariefsopbouw!$E$35</f>
        <v>#DIV/0!</v>
      </c>
      <c r="AE137" s="444">
        <f>Ruimtestaat[[#This Row],[uren / jaar werkdagen]]*Tariefsopbouw!$E$35</f>
        <v>0</v>
      </c>
      <c r="AF137" s="434"/>
      <c r="AG137" s="434">
        <f>IF(Ruimtestaat[[#This Row],[Frequentie weekend]]&gt;0,VALUE(LEFT(AF137,1))*S137,0)</f>
        <v>0</v>
      </c>
      <c r="AH137" s="445">
        <f>IF($AG137&gt;0,VLOOKUP($J137,Ruimtegroepen[],3,FALSE)*VLOOKUP($L137,Vloersoorten[],3,FALSE)*VLOOKUP($AF137,Frequenties[],3,FALSE)*VLOOKUP(Ruimtestaat[[#This Row],[Code]],Locaties[],3,FALSE),0)</f>
        <v>0</v>
      </c>
      <c r="AI137" s="445">
        <f>Ruimtestaat[[#This Row],[Uitvoeringen weekend]]*Ruimtestaat[[#This Row],[Oppervlak (netto)]]</f>
        <v>0</v>
      </c>
      <c r="AJ137" s="445">
        <f>IF(AH137&gt;0,Ruimtestaat[[#This Row],[Prest. (m2 /jaar) weekend]]/Ruimtestaat[[#This Row],[Norm (m2/uur) weekend]],0)</f>
        <v>0</v>
      </c>
      <c r="AK137" s="444">
        <f>Ruimtestaat[[#This Row],[uren / jaar weekend]]*Tariefsopbouw!$D$40</f>
        <v>0</v>
      </c>
      <c r="AL137" s="441">
        <f>Ruimtestaat[[#This Row],[Prest. (m2 /jaar) weekend]]+Ruimtestaat[[#This Row],[Prest. (m2 /jaar) werkdagen]]</f>
        <v>12800</v>
      </c>
      <c r="AM137" s="441">
        <f>Ruimtestaat[[#This Row],[uren / jaar weekend]]+Ruimtestaat[[#This Row],[uren / jaar werkdagen]]</f>
        <v>0</v>
      </c>
      <c r="AN137" s="446">
        <f>Ruimtestaat[[#This Row],[kosten / jaar weekend]]+Ruimtestaat[[#This Row],[kosten / jaar werkdagen]]</f>
        <v>0</v>
      </c>
      <c r="AO137" s="446"/>
      <c r="AP137" s="447" t="str">
        <f>IF(Ruimtestaat[[#This Row],[Frequentie werkdagen]]="","",_xlfn.CONCAT(Ruimtestaat[[#This Row],[Ruimte code]],"-",Ruimtestaat[[#This Row],[Frequentie werkdagen]]," ",Ruimtestaat[[#This Row],[Vloer code]]))</f>
        <v>16-5w L</v>
      </c>
      <c r="AQ137" s="448" t="str">
        <f>_xlfn.IFNA(VLOOKUP($AP137,Programma!$F$3:$G$1101,2,0),"")</f>
        <v>_</v>
      </c>
      <c r="AR137" s="448" t="str">
        <f>_xlfn.IFNA(VLOOKUP($AP137,Programma!$F$3:$H$1101,3,0),"")</f>
        <v>_</v>
      </c>
      <c r="AS137" s="448" t="str">
        <f>_xlfn.IFNA(VLOOKUP($AP137,Programma!$F$3:$I$1101,4,0),"")</f>
        <v>4w</v>
      </c>
      <c r="AT137" s="448" t="str">
        <f>_xlfn.IFNA(VLOOKUP($AP137,Programma!$F$3:$J$1101,5,0),"")</f>
        <v>1w</v>
      </c>
      <c r="AU137" s="448" t="str">
        <f>_xlfn.IFNA(VLOOKUP($AP137,Programma!$F$3:$K$1101,6,0),"")</f>
        <v>_</v>
      </c>
      <c r="AV137" s="448" t="str">
        <f>_xlfn.IFNA(VLOOKUP($AP137,Programma!$F$3:$L$1101,7,0),"")</f>
        <v>_</v>
      </c>
      <c r="AW137" s="448" t="str">
        <f>_xlfn.IFNA(VLOOKUP($AP137,Programma!$F$3:$M$1101,8,0),"")</f>
        <v>_</v>
      </c>
      <c r="AX137" s="448" t="str">
        <f>_xlfn.IFNA(VLOOKUP($AP137,Programma!$F$3:$N$1101,9,0),"")</f>
        <v>_</v>
      </c>
      <c r="AY137" s="448" t="str">
        <f>_xlfn.IFNA(VLOOKUP($AP137,Programma!$F$3:$O$1101,10,0),"")</f>
        <v>5w</v>
      </c>
      <c r="AZ137" s="448" t="str">
        <f>_xlfn.IFNA(VLOOKUP($AP137,Programma!$F$3:$P$1101,11,0),"")</f>
        <v>5w</v>
      </c>
      <c r="BA137" s="448" t="str">
        <f>_xlfn.IFNA(VLOOKUP($AP137,Programma!$F$3:$Q$1101,12,0),"")</f>
        <v>1w</v>
      </c>
      <c r="BB137" s="448" t="str">
        <f>_xlfn.IFNA(VLOOKUP($AP137,Programma!$F$3:$R$1101,13,0),"")</f>
        <v>1w</v>
      </c>
      <c r="BC137" s="448" t="str">
        <f>_xlfn.IFNA(VLOOKUP($AP137,Programma!$F$3:$S$1101,14,0),"")</f>
        <v>1m</v>
      </c>
      <c r="BD137" s="448" t="str">
        <f>_xlfn.IFNA(VLOOKUP($AP137,Programma!$F$3:$T$1101,15,0),"")</f>
        <v>2j</v>
      </c>
      <c r="BE137" s="448" t="str">
        <f>_xlfn.IFNA(VLOOKUP($AP137,Programma!$F$3:$U$1101,16,0),"")</f>
        <v>1j</v>
      </c>
      <c r="BF137" s="448" t="str">
        <f>_xlfn.IFNA(VLOOKUP($AP137,Programma!$F$3:$V$1101,17,0),"")</f>
        <v>_</v>
      </c>
      <c r="BG137" s="448" t="str">
        <f>_xlfn.IFNA(VLOOKUP($AP137,Programma!$F$3:$W$1101,18,0),"")</f>
        <v>_</v>
      </c>
      <c r="BH137" s="448" t="str">
        <f>_xlfn.IFNA(VLOOKUP($AP137,Programma!$F$3:$X$1101,19,0),"")</f>
        <v>_</v>
      </c>
      <c r="BI137" s="448" t="str">
        <f>_xlfn.IFNA(VLOOKUP($AP137,Programma!$F$3:$Y$1101,20,0),"")</f>
        <v>_</v>
      </c>
      <c r="BJ137" s="449"/>
      <c r="BK137" s="447" t="str">
        <f>IF(Ruimtestaat[[#This Row],[Frequentie weekend]]="","",_xlfn.CONCAT(Ruimtestaat[[#This Row],[Ruimte code]],"-",Ruimtestaat[[#This Row],[Frequentie weekend]]," ",Ruimtestaat[[#This Row],[Vloer code]]))</f>
        <v/>
      </c>
      <c r="BL137" s="448" t="str">
        <f>_xlfn.IFNA(VLOOKUP($BK137,Programma!$F$3:$G$1101,2,0),"")</f>
        <v/>
      </c>
      <c r="BM137" s="448" t="str">
        <f>_xlfn.IFNA(VLOOKUP($BK137,Programma!$F$3:$H$1101,3,0),"")</f>
        <v/>
      </c>
      <c r="BN137" s="448" t="str">
        <f>_xlfn.IFNA(VLOOKUP($BK137,Programma!$F$3:$I$1101,4,0),"")</f>
        <v/>
      </c>
      <c r="BO137" s="448" t="str">
        <f>_xlfn.IFNA(VLOOKUP($BK137,Programma!$F$3:$J$1101,5,0),"")</f>
        <v/>
      </c>
      <c r="BP137" s="448" t="str">
        <f>_xlfn.IFNA(VLOOKUP($BK137,Programma!$F$3:$K$1101,6,0),"")</f>
        <v/>
      </c>
      <c r="BQ137" s="448" t="str">
        <f>_xlfn.IFNA(VLOOKUP($BK137,Programma!$F$3:$L$1101,7,0),"")</f>
        <v/>
      </c>
      <c r="BR137" s="448" t="str">
        <f>_xlfn.IFNA(VLOOKUP($BK137,Programma!$F$3:$M$1101,8,0),"")</f>
        <v/>
      </c>
      <c r="BS137" s="448" t="str">
        <f>_xlfn.IFNA(VLOOKUP($BK137,Programma!$F$3:$N$1101,9,0),"")</f>
        <v/>
      </c>
      <c r="BT137" s="448" t="str">
        <f>_xlfn.IFNA(VLOOKUP($BK137,Programma!$F$3:$O$1101,10,0),"")</f>
        <v/>
      </c>
      <c r="BU137" s="448" t="str">
        <f>_xlfn.IFNA(VLOOKUP($BK137,Programma!$F$3:$P$1101,11,0),"")</f>
        <v/>
      </c>
      <c r="BV137" s="448" t="str">
        <f>_xlfn.IFNA(VLOOKUP($BK137,Programma!$F$3:$Q$1101,12,0),"")</f>
        <v/>
      </c>
      <c r="BW137" s="448" t="str">
        <f>_xlfn.IFNA(VLOOKUP($BK137,Programma!$F$3:$R$1101,13,0),"")</f>
        <v/>
      </c>
      <c r="BX137" s="448" t="str">
        <f>_xlfn.IFNA(VLOOKUP($BK137,Programma!$F$3:$S$1101,14,0),"")</f>
        <v/>
      </c>
      <c r="BY137" s="448" t="str">
        <f>_xlfn.IFNA(VLOOKUP($BK137,Programma!$F$3:$T$1101,15,0),"")</f>
        <v/>
      </c>
      <c r="BZ137" s="448" t="str">
        <f>_xlfn.IFNA(VLOOKUP($BK137,Programma!$F$3:$U$1101,16,0),"")</f>
        <v/>
      </c>
      <c r="CA137" s="448" t="str">
        <f>_xlfn.IFNA(VLOOKUP($BK137,Programma!$F$3:$V$1101,17,0),"")</f>
        <v/>
      </c>
      <c r="CB137" s="448" t="str">
        <f>_xlfn.IFNA(VLOOKUP($BK137,Programma!$F$3:$W$1101,18,0),"")</f>
        <v/>
      </c>
      <c r="CC137" s="448" t="str">
        <f>_xlfn.IFNA(VLOOKUP($BK137,Programma!$F$3:$X$1101,19,0),"")</f>
        <v/>
      </c>
      <c r="CD137" s="448" t="str">
        <f>_xlfn.IFNA(VLOOKUP($BK137,Programma!$F$3:$Y$1101,20,0),"")</f>
        <v/>
      </c>
      <c r="CE137" s="327"/>
      <c r="CF137" s="327"/>
      <c r="CG137" s="327"/>
      <c r="CH137" s="327"/>
      <c r="CI137" s="327"/>
      <c r="CJ137" s="327"/>
      <c r="CK137" s="327"/>
      <c r="CL137" s="327"/>
      <c r="CM137" s="327"/>
      <c r="CN137" s="327"/>
      <c r="CO137" s="327"/>
      <c r="CP137" s="327"/>
      <c r="CQ137" s="327"/>
      <c r="CR137" s="327"/>
      <c r="CS137" s="327"/>
      <c r="CT137" s="327"/>
      <c r="CU137" s="327"/>
      <c r="CV137" s="327"/>
      <c r="CW137" s="327"/>
      <c r="CX137" s="327"/>
      <c r="CY137" s="327"/>
      <c r="CZ137" s="327"/>
      <c r="DA137" s="327"/>
      <c r="DB137" s="327"/>
      <c r="DC137" s="327"/>
      <c r="DD137" s="327"/>
      <c r="DE137" s="327"/>
      <c r="DF137" s="327"/>
      <c r="DG137" s="327"/>
      <c r="DH137" s="327"/>
      <c r="DI137" s="327"/>
      <c r="DJ137" s="327"/>
      <c r="DK137" s="327"/>
      <c r="DL137" s="327"/>
      <c r="DM137" s="327"/>
      <c r="DN137" s="327"/>
      <c r="DO137" s="327"/>
      <c r="DP137" s="327"/>
      <c r="DQ137" s="327"/>
      <c r="DR137" s="327"/>
      <c r="DS137" s="327"/>
      <c r="DT137" s="327"/>
      <c r="DU137" s="327"/>
      <c r="DV137" s="327"/>
      <c r="DW137" s="327"/>
      <c r="DX137" s="327"/>
      <c r="DY137" s="327"/>
      <c r="DZ137" s="327"/>
      <c r="EA137" s="327"/>
      <c r="EB137" s="327"/>
      <c r="EC137" s="327"/>
      <c r="ED137" s="327"/>
      <c r="EE137" s="327"/>
      <c r="EF137" s="327"/>
      <c r="EG137" s="327"/>
      <c r="EH137" s="327"/>
      <c r="EI137" s="327"/>
      <c r="EJ137" s="327"/>
      <c r="EK137" s="327"/>
      <c r="EL137" s="327"/>
      <c r="EM137" s="327"/>
      <c r="EN137" s="327"/>
      <c r="EO137" s="327"/>
      <c r="EP137" s="327"/>
      <c r="EQ137" s="327"/>
      <c r="ER137" s="327"/>
      <c r="ES137" s="327"/>
      <c r="ET137" s="327"/>
      <c r="EU137" s="327"/>
      <c r="EV137" s="327"/>
      <c r="EW137" s="327"/>
      <c r="EX137" s="327"/>
      <c r="EY137" s="327"/>
      <c r="EZ137" s="327"/>
      <c r="FA137" s="327"/>
      <c r="FB137" s="327"/>
      <c r="FC137" s="327"/>
      <c r="FD137" s="327"/>
      <c r="FE137" s="327"/>
      <c r="FF137" s="327"/>
      <c r="FG137" s="327"/>
      <c r="FH137" s="327"/>
      <c r="FI137" s="327"/>
      <c r="FJ137" s="327"/>
      <c r="FK137" s="327"/>
      <c r="FL137" s="327"/>
      <c r="FM137" s="327"/>
      <c r="FN137" s="327"/>
      <c r="FO137" s="327"/>
      <c r="FP137" s="327"/>
      <c r="FQ137" s="327"/>
      <c r="FR137" s="327"/>
      <c r="FS137" s="327"/>
      <c r="FT137" s="327"/>
      <c r="FU137" s="327"/>
      <c r="FV137" s="327"/>
      <c r="FW137" s="327"/>
      <c r="FX137" s="327"/>
      <c r="FY137" s="327"/>
      <c r="FZ137" s="327"/>
      <c r="GA137" s="327"/>
      <c r="GB137" s="327"/>
      <c r="GC137" s="327"/>
      <c r="GD137" s="327"/>
      <c r="GE137" s="327"/>
      <c r="GF137" s="327"/>
      <c r="GG137" s="327"/>
      <c r="GH137" s="327"/>
      <c r="GI137" s="327"/>
      <c r="GJ137" s="327"/>
      <c r="GK137" s="327"/>
      <c r="GL137" s="327"/>
      <c r="GM137" s="327"/>
      <c r="GN137" s="327"/>
      <c r="GO137" s="327"/>
      <c r="GP137" s="327"/>
      <c r="GQ137" s="327"/>
      <c r="GR137" s="327"/>
      <c r="GS137" s="327"/>
      <c r="GT137" s="327"/>
      <c r="GU137" s="327"/>
      <c r="GV137" s="327"/>
      <c r="GW137" s="327"/>
      <c r="GX137" s="327"/>
      <c r="GY137" s="327"/>
      <c r="GZ137" s="327"/>
      <c r="HA137" s="327"/>
      <c r="HB137" s="327"/>
      <c r="HC137" s="327"/>
      <c r="HD137" s="327"/>
      <c r="HE137" s="327"/>
      <c r="HF137" s="327"/>
      <c r="HG137" s="327"/>
      <c r="HH137" s="327"/>
      <c r="HI137" s="327"/>
      <c r="HJ137" s="327"/>
      <c r="HK137" s="327"/>
      <c r="HL137" s="327"/>
      <c r="HM137" s="327"/>
      <c r="HN137" s="327"/>
      <c r="HO137" s="327"/>
      <c r="HP137" s="327"/>
      <c r="HQ137" s="327"/>
      <c r="HR137" s="327"/>
      <c r="HS137" s="327"/>
    </row>
    <row r="138" spans="1:227" ht="15" customHeight="1">
      <c r="A138" s="330">
        <v>6</v>
      </c>
      <c r="B138" s="435" t="str">
        <f>VLOOKUP(Ruimtestaat[[#This Row],[Code]],Locaties[[Code]:[Locatie]],2,FALSE)</f>
        <v>IKC Het Zwanenbos</v>
      </c>
      <c r="C138" s="435" t="str">
        <f>VLOOKUP(Ruimtestaat[[#This Row],[Code]],Locaties[[#All],[Code]:[Adres]],4,FALSE)</f>
        <v>Kerkenbos 24-26</v>
      </c>
      <c r="D138" s="435" t="str">
        <f>VLOOKUP(Ruimtestaat[[#This Row],[Code]],Locaties[[#All],[Code]:[Postcode]],5,FALSE)</f>
        <v>2716 PH</v>
      </c>
      <c r="E138" s="435" t="str">
        <f>VLOOKUP(Ruimtestaat[[#This Row],[Code]],Locaties[#All],6,FALSE)</f>
        <v>Zoetermeer</v>
      </c>
      <c r="F138" s="434"/>
      <c r="G138" s="434" t="s">
        <v>1769</v>
      </c>
      <c r="H138" s="330" t="s">
        <v>1715</v>
      </c>
      <c r="I138" s="450" t="s">
        <v>1679</v>
      </c>
      <c r="J138" s="330">
        <v>16</v>
      </c>
      <c r="K138" s="450" t="str">
        <f>VLOOKUP(Ruimtestaat[[#This Row],[Ruimte code]],Ruimtegroepen[[#All],[Code]:[Ruimte omschrijving]],2,FALSE)</f>
        <v>Leslokalen</v>
      </c>
      <c r="L138" s="434" t="s">
        <v>100</v>
      </c>
      <c r="M138" s="437" t="s">
        <v>1759</v>
      </c>
      <c r="N138" s="439"/>
      <c r="O138" s="439"/>
      <c r="P138" s="439">
        <v>62</v>
      </c>
      <c r="Q138" s="439"/>
      <c r="R138" s="440" t="str">
        <f>VLOOKUP(Ruimtestaat[[#This Row],[Ruimte code]],Ruimtegroepen[],4,FALSE)</f>
        <v>Le</v>
      </c>
      <c r="S138" s="434">
        <v>40</v>
      </c>
      <c r="T138" s="434" t="s">
        <v>20</v>
      </c>
      <c r="U138" s="434">
        <f>IF(S138&gt;0,IF(RIGHT(Ruimtestaat[[#This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138" s="434">
        <f>IF(U138&gt;0,VLOOKUP($J138,Ruimtegroepen[],3,FALSE)*VLOOKUP($L138,Vloersoorten[],3,FALSE)*VLOOKUP($T138,Frequenties[],3,FALSE)*VLOOKUP($A138,Locaties[],3,FALSE),0)</f>
        <v>0</v>
      </c>
      <c r="W138" s="434">
        <f>Ruimtestaat[[#This Row],[Uitvoeringen werkdagen]]*Ruimtestaat[[#This Row],[Oppervlak (netto)]]</f>
        <v>0</v>
      </c>
      <c r="X138" s="441">
        <f>IF(V138&gt;0,Ruimtestaat[[#This Row],[Prest. (m2 /jaar) werkdagen]]/Ruimtestaat[[#This Row],[Norm (m2/uur) werkdagen]],0)</f>
        <v>0</v>
      </c>
      <c r="Y138" s="442">
        <f>Ruimtestaat[[#This Row],[Uitvoeringen werkdagen]]*Ruimtestaat[[#This Row],[Gedeeltelijk]]</f>
        <v>9920</v>
      </c>
      <c r="Z138" s="443" t="e">
        <f>IF(U138&gt;0,Ruimtestaat[[#This Row],[Prest. (m2 / jaar) werkdagen gedeeld]]/Ruimtestaat[[#This Row],[Norm (m2/uur) werkdagen]],0)</f>
        <v>#DIV/0!</v>
      </c>
      <c r="AA138" s="441" t="e">
        <f>Ruimtestaat[[#This Row],[uren / jaar werkdagen gedeeld]]*Tariefsopbouw!$E$35</f>
        <v>#DIV/0!</v>
      </c>
      <c r="AB138" s="441">
        <f>Ruimtestaat[[#This Row],[Uitvoeringen werkdagen]]*Ruimtestaat[[#This Row],[BSO]]</f>
        <v>0</v>
      </c>
      <c r="AC138" s="443" t="e">
        <f>IF(U138&gt;0,Ruimtestaat[[#This Row],[Prest. (m2 / jaar) werkdagen BSO]]/Ruimtestaat[[#This Row],[Norm (m2/uur) werkdagen]],0)</f>
        <v>#DIV/0!</v>
      </c>
      <c r="AD138" s="443" t="e">
        <f>Ruimtestaat[[#This Row],[uren / jaar werkdagen BSO]]*Tariefsopbouw!$E$35</f>
        <v>#DIV/0!</v>
      </c>
      <c r="AE138" s="444">
        <f>Ruimtestaat[[#This Row],[uren / jaar werkdagen]]*Tariefsopbouw!$E$35</f>
        <v>0</v>
      </c>
      <c r="AF138" s="434"/>
      <c r="AG138" s="434">
        <f>IF(Ruimtestaat[[#This Row],[Frequentie weekend]]&gt;0,VALUE(LEFT(AF138,1))*S138,0)</f>
        <v>0</v>
      </c>
      <c r="AH138" s="445">
        <f>IF($AG138&gt;0,VLOOKUP($J138,Ruimtegroepen[],3,FALSE)*VLOOKUP($L138,Vloersoorten[],3,FALSE)*VLOOKUP($AF138,Frequenties[],3,FALSE)*VLOOKUP(Ruimtestaat[[#This Row],[Code]],Locaties[],3,FALSE),0)</f>
        <v>0</v>
      </c>
      <c r="AI138" s="445">
        <f>Ruimtestaat[[#This Row],[Uitvoeringen weekend]]*Ruimtestaat[[#This Row],[Oppervlak (netto)]]</f>
        <v>0</v>
      </c>
      <c r="AJ138" s="445">
        <f>IF(AH138&gt;0,Ruimtestaat[[#This Row],[Prest. (m2 /jaar) weekend]]/Ruimtestaat[[#This Row],[Norm (m2/uur) weekend]],0)</f>
        <v>0</v>
      </c>
      <c r="AK138" s="444">
        <f>Ruimtestaat[[#This Row],[uren / jaar weekend]]*Tariefsopbouw!$D$40</f>
        <v>0</v>
      </c>
      <c r="AL138" s="441">
        <f>Ruimtestaat[[#This Row],[Prest. (m2 /jaar) weekend]]+Ruimtestaat[[#This Row],[Prest. (m2 /jaar) werkdagen]]</f>
        <v>0</v>
      </c>
      <c r="AM138" s="441">
        <f>Ruimtestaat[[#This Row],[uren / jaar weekend]]+Ruimtestaat[[#This Row],[uren / jaar werkdagen]]</f>
        <v>0</v>
      </c>
      <c r="AN138" s="446">
        <f>Ruimtestaat[[#This Row],[kosten / jaar weekend]]+Ruimtestaat[[#This Row],[kosten / jaar werkdagen]]</f>
        <v>0</v>
      </c>
      <c r="AO138" s="446"/>
      <c r="AP138" s="447" t="str">
        <f>IF(Ruimtestaat[[#This Row],[Frequentie werkdagen]]="","",_xlfn.CONCAT(Ruimtestaat[[#This Row],[Ruimte code]],"-",Ruimtestaat[[#This Row],[Frequentie werkdagen]]," ",Ruimtestaat[[#This Row],[Vloer code]]))</f>
        <v>16-4w L</v>
      </c>
      <c r="AQ138" s="448" t="str">
        <f>_xlfn.IFNA(VLOOKUP($AP138,Programma!$F$3:$G$1101,2,0),"")</f>
        <v>_</v>
      </c>
      <c r="AR138" s="448" t="str">
        <f>_xlfn.IFNA(VLOOKUP($AP138,Programma!$F$3:$H$1101,3,0),"")</f>
        <v>_</v>
      </c>
      <c r="AS138" s="448" t="str">
        <f>_xlfn.IFNA(VLOOKUP($AP138,Programma!$F$3:$I$1101,4,0),"")</f>
        <v>3w</v>
      </c>
      <c r="AT138" s="448" t="str">
        <f>_xlfn.IFNA(VLOOKUP($AP138,Programma!$F$3:$J$1101,5,0),"")</f>
        <v>1w</v>
      </c>
      <c r="AU138" s="448" t="str">
        <f>_xlfn.IFNA(VLOOKUP($AP138,Programma!$F$3:$K$1101,6,0),"")</f>
        <v>_</v>
      </c>
      <c r="AV138" s="448" t="str">
        <f>_xlfn.IFNA(VLOOKUP($AP138,Programma!$F$3:$L$1101,7,0),"")</f>
        <v>_</v>
      </c>
      <c r="AW138" s="448" t="str">
        <f>_xlfn.IFNA(VLOOKUP($AP138,Programma!$F$3:$M$1101,8,0),"")</f>
        <v>_</v>
      </c>
      <c r="AX138" s="448" t="str">
        <f>_xlfn.IFNA(VLOOKUP($AP138,Programma!$F$3:$N$1101,9,0),"")</f>
        <v>_</v>
      </c>
      <c r="AY138" s="448" t="str">
        <f>_xlfn.IFNA(VLOOKUP($AP138,Programma!$F$3:$O$1101,10,0),"")</f>
        <v>4w</v>
      </c>
      <c r="AZ138" s="448" t="str">
        <f>_xlfn.IFNA(VLOOKUP($AP138,Programma!$F$3:$P$1101,11,0),"")</f>
        <v>4w</v>
      </c>
      <c r="BA138" s="448" t="str">
        <f>_xlfn.IFNA(VLOOKUP($AP138,Programma!$F$3:$Q$1101,12,0),"")</f>
        <v>1w</v>
      </c>
      <c r="BB138" s="448" t="str">
        <f>_xlfn.IFNA(VLOOKUP($AP138,Programma!$F$3:$R$1101,13,0),"")</f>
        <v>1w</v>
      </c>
      <c r="BC138" s="448" t="str">
        <f>_xlfn.IFNA(VLOOKUP($AP138,Programma!$F$3:$S$1101,14,0),"")</f>
        <v>1m</v>
      </c>
      <c r="BD138" s="448" t="str">
        <f>_xlfn.IFNA(VLOOKUP($AP138,Programma!$F$3:$T$1101,15,0),"")</f>
        <v>2j</v>
      </c>
      <c r="BE138" s="448" t="str">
        <f>_xlfn.IFNA(VLOOKUP($AP138,Programma!$F$3:$U$1101,16,0),"")</f>
        <v>1j</v>
      </c>
      <c r="BF138" s="448" t="str">
        <f>_xlfn.IFNA(VLOOKUP($AP138,Programma!$F$3:$V$1101,17,0),"")</f>
        <v>_</v>
      </c>
      <c r="BG138" s="448" t="str">
        <f>_xlfn.IFNA(VLOOKUP($AP138,Programma!$F$3:$W$1101,18,0),"")</f>
        <v>_</v>
      </c>
      <c r="BH138" s="448" t="str">
        <f>_xlfn.IFNA(VLOOKUP($AP138,Programma!$F$3:$X$1101,19,0),"")</f>
        <v>_</v>
      </c>
      <c r="BI138" s="448" t="str">
        <f>_xlfn.IFNA(VLOOKUP($AP138,Programma!$F$3:$Y$1101,20,0),"")</f>
        <v>_</v>
      </c>
      <c r="BJ138" s="449"/>
      <c r="BK138" s="447" t="str">
        <f>IF(Ruimtestaat[[#This Row],[Frequentie weekend]]="","",_xlfn.CONCAT(Ruimtestaat[[#This Row],[Ruimte code]],"-",Ruimtestaat[[#This Row],[Frequentie weekend]]," ",Ruimtestaat[[#This Row],[Vloer code]]))</f>
        <v/>
      </c>
      <c r="BL138" s="448" t="str">
        <f>_xlfn.IFNA(VLOOKUP($BK138,Programma!$F$3:$G$1101,2,0),"")</f>
        <v/>
      </c>
      <c r="BM138" s="448" t="str">
        <f>_xlfn.IFNA(VLOOKUP($BK138,Programma!$F$3:$H$1101,3,0),"")</f>
        <v/>
      </c>
      <c r="BN138" s="448" t="str">
        <f>_xlfn.IFNA(VLOOKUP($BK138,Programma!$F$3:$I$1101,4,0),"")</f>
        <v/>
      </c>
      <c r="BO138" s="448" t="str">
        <f>_xlfn.IFNA(VLOOKUP($BK138,Programma!$F$3:$J$1101,5,0),"")</f>
        <v/>
      </c>
      <c r="BP138" s="448" t="str">
        <f>_xlfn.IFNA(VLOOKUP($BK138,Programma!$F$3:$K$1101,6,0),"")</f>
        <v/>
      </c>
      <c r="BQ138" s="448" t="str">
        <f>_xlfn.IFNA(VLOOKUP($BK138,Programma!$F$3:$L$1101,7,0),"")</f>
        <v/>
      </c>
      <c r="BR138" s="448" t="str">
        <f>_xlfn.IFNA(VLOOKUP($BK138,Programma!$F$3:$M$1101,8,0),"")</f>
        <v/>
      </c>
      <c r="BS138" s="448" t="str">
        <f>_xlfn.IFNA(VLOOKUP($BK138,Programma!$F$3:$N$1101,9,0),"")</f>
        <v/>
      </c>
      <c r="BT138" s="448" t="str">
        <f>_xlfn.IFNA(VLOOKUP($BK138,Programma!$F$3:$O$1101,10,0),"")</f>
        <v/>
      </c>
      <c r="BU138" s="448" t="str">
        <f>_xlfn.IFNA(VLOOKUP($BK138,Programma!$F$3:$P$1101,11,0),"")</f>
        <v/>
      </c>
      <c r="BV138" s="448" t="str">
        <f>_xlfn.IFNA(VLOOKUP($BK138,Programma!$F$3:$Q$1101,12,0),"")</f>
        <v/>
      </c>
      <c r="BW138" s="448" t="str">
        <f>_xlfn.IFNA(VLOOKUP($BK138,Programma!$F$3:$R$1101,13,0),"")</f>
        <v/>
      </c>
      <c r="BX138" s="448" t="str">
        <f>_xlfn.IFNA(VLOOKUP($BK138,Programma!$F$3:$S$1101,14,0),"")</f>
        <v/>
      </c>
      <c r="BY138" s="448" t="str">
        <f>_xlfn.IFNA(VLOOKUP($BK138,Programma!$F$3:$T$1101,15,0),"")</f>
        <v/>
      </c>
      <c r="BZ138" s="448" t="str">
        <f>_xlfn.IFNA(VLOOKUP($BK138,Programma!$F$3:$U$1101,16,0),"")</f>
        <v/>
      </c>
      <c r="CA138" s="448" t="str">
        <f>_xlfn.IFNA(VLOOKUP($BK138,Programma!$F$3:$V$1101,17,0),"")</f>
        <v/>
      </c>
      <c r="CB138" s="448" t="str">
        <f>_xlfn.IFNA(VLOOKUP($BK138,Programma!$F$3:$W$1101,18,0),"")</f>
        <v/>
      </c>
      <c r="CC138" s="448" t="str">
        <f>_xlfn.IFNA(VLOOKUP($BK138,Programma!$F$3:$X$1101,19,0),"")</f>
        <v/>
      </c>
      <c r="CD138" s="448" t="str">
        <f>_xlfn.IFNA(VLOOKUP($BK138,Programma!$F$3:$Y$1101,20,0),"")</f>
        <v/>
      </c>
      <c r="CE138" s="327"/>
      <c r="CF138" s="327"/>
      <c r="CG138" s="327"/>
      <c r="CH138" s="327"/>
      <c r="CI138" s="327"/>
      <c r="CJ138" s="327"/>
      <c r="CK138" s="327"/>
      <c r="CL138" s="327"/>
      <c r="CM138" s="327"/>
      <c r="CN138" s="327"/>
      <c r="CO138" s="327"/>
      <c r="CP138" s="327"/>
      <c r="CQ138" s="327"/>
      <c r="CR138" s="327"/>
      <c r="CS138" s="327"/>
      <c r="CT138" s="327"/>
      <c r="CU138" s="327"/>
      <c r="CV138" s="327"/>
      <c r="CW138" s="327"/>
      <c r="CX138" s="327"/>
      <c r="CY138" s="327"/>
      <c r="CZ138" s="327"/>
      <c r="DA138" s="327"/>
      <c r="DB138" s="327"/>
      <c r="DC138" s="327"/>
      <c r="DD138" s="327"/>
      <c r="DE138" s="327"/>
      <c r="DF138" s="327"/>
      <c r="DG138" s="327"/>
      <c r="DH138" s="327"/>
      <c r="DI138" s="327"/>
      <c r="DJ138" s="327"/>
      <c r="DK138" s="327"/>
      <c r="DL138" s="327"/>
      <c r="DM138" s="327"/>
      <c r="DN138" s="327"/>
      <c r="DO138" s="327"/>
      <c r="DP138" s="327"/>
      <c r="DQ138" s="327"/>
      <c r="DR138" s="327"/>
      <c r="DS138" s="327"/>
      <c r="DT138" s="327"/>
      <c r="DU138" s="327"/>
      <c r="DV138" s="327"/>
      <c r="DW138" s="327"/>
      <c r="DX138" s="327"/>
      <c r="DY138" s="327"/>
      <c r="DZ138" s="327"/>
      <c r="EA138" s="327"/>
      <c r="EB138" s="327"/>
      <c r="EC138" s="327"/>
      <c r="ED138" s="327"/>
      <c r="EE138" s="327"/>
      <c r="EF138" s="327"/>
      <c r="EG138" s="327"/>
      <c r="EH138" s="327"/>
      <c r="EI138" s="327"/>
      <c r="EJ138" s="327"/>
      <c r="EK138" s="327"/>
      <c r="EL138" s="327"/>
      <c r="EM138" s="327"/>
      <c r="EN138" s="327"/>
      <c r="EO138" s="327"/>
      <c r="EP138" s="327"/>
      <c r="EQ138" s="327"/>
      <c r="ER138" s="327"/>
      <c r="ES138" s="327"/>
      <c r="ET138" s="327"/>
      <c r="EU138" s="327"/>
      <c r="EV138" s="327"/>
      <c r="EW138" s="327"/>
      <c r="EX138" s="327"/>
      <c r="EY138" s="327"/>
      <c r="EZ138" s="327"/>
      <c r="FA138" s="327"/>
      <c r="FB138" s="327"/>
      <c r="FC138" s="327"/>
      <c r="FD138" s="327"/>
      <c r="FE138" s="327"/>
      <c r="FF138" s="327"/>
      <c r="FG138" s="327"/>
      <c r="FH138" s="327"/>
      <c r="FI138" s="327"/>
      <c r="FJ138" s="327"/>
      <c r="FK138" s="327"/>
      <c r="FL138" s="327"/>
      <c r="FM138" s="327"/>
      <c r="FN138" s="327"/>
      <c r="FO138" s="327"/>
      <c r="FP138" s="327"/>
      <c r="FQ138" s="327"/>
      <c r="FR138" s="327"/>
      <c r="FS138" s="327"/>
      <c r="FT138" s="327"/>
      <c r="FU138" s="327"/>
      <c r="FV138" s="327"/>
      <c r="FW138" s="327"/>
      <c r="FX138" s="327"/>
      <c r="FY138" s="327"/>
      <c r="FZ138" s="327"/>
      <c r="GA138" s="327"/>
      <c r="GB138" s="327"/>
      <c r="GC138" s="327"/>
      <c r="GD138" s="327"/>
      <c r="GE138" s="327"/>
      <c r="GF138" s="327"/>
      <c r="GG138" s="327"/>
      <c r="GH138" s="327"/>
      <c r="GI138" s="327"/>
      <c r="GJ138" s="327"/>
      <c r="GK138" s="327"/>
      <c r="GL138" s="327"/>
      <c r="GM138" s="327"/>
      <c r="GN138" s="327"/>
      <c r="GO138" s="327"/>
      <c r="GP138" s="327"/>
      <c r="GQ138" s="327"/>
      <c r="GR138" s="327"/>
      <c r="GS138" s="327"/>
      <c r="GT138" s="327"/>
      <c r="GU138" s="327"/>
      <c r="GV138" s="327"/>
      <c r="GW138" s="327"/>
      <c r="GX138" s="327"/>
      <c r="GY138" s="327"/>
      <c r="GZ138" s="327"/>
      <c r="HA138" s="327"/>
      <c r="HB138" s="327"/>
      <c r="HC138" s="327"/>
      <c r="HD138" s="327"/>
      <c r="HE138" s="327"/>
      <c r="HF138" s="327"/>
      <c r="HG138" s="327"/>
      <c r="HH138" s="327"/>
      <c r="HI138" s="327"/>
      <c r="HJ138" s="327"/>
      <c r="HK138" s="327"/>
      <c r="HL138" s="327"/>
      <c r="HM138" s="327"/>
      <c r="HN138" s="327"/>
      <c r="HO138" s="327"/>
      <c r="HP138" s="327"/>
      <c r="HQ138" s="327"/>
      <c r="HR138" s="327"/>
      <c r="HS138" s="327"/>
    </row>
    <row r="139" spans="1:227" ht="15" customHeight="1">
      <c r="A139" s="330">
        <v>6</v>
      </c>
      <c r="B139" s="435" t="str">
        <f>VLOOKUP(Ruimtestaat[[#This Row],[Code]],Locaties[[Code]:[Locatie]],2,FALSE)</f>
        <v>IKC Het Zwanenbos</v>
      </c>
      <c r="C139" s="435" t="str">
        <f>VLOOKUP(Ruimtestaat[[#This Row],[Code]],Locaties[[#All],[Code]:[Adres]],4,FALSE)</f>
        <v>Kerkenbos 24-26</v>
      </c>
      <c r="D139" s="435" t="str">
        <f>VLOOKUP(Ruimtestaat[[#This Row],[Code]],Locaties[[#All],[Code]:[Postcode]],5,FALSE)</f>
        <v>2716 PH</v>
      </c>
      <c r="E139" s="435" t="str">
        <f>VLOOKUP(Ruimtestaat[[#This Row],[Code]],Locaties[#All],6,FALSE)</f>
        <v>Zoetermeer</v>
      </c>
      <c r="F139" s="434"/>
      <c r="G139" s="434"/>
      <c r="H139" s="330" t="s">
        <v>1728</v>
      </c>
      <c r="I139" s="450" t="s">
        <v>1708</v>
      </c>
      <c r="J139" s="330">
        <v>6</v>
      </c>
      <c r="K139" s="450" t="str">
        <f>VLOOKUP(Ruimtestaat[[#This Row],[Ruimte code]],Ruimtegroepen[[#All],[Code]:[Ruimte omschrijving]],2,FALSE)</f>
        <v>Gangen/hallen</v>
      </c>
      <c r="L139" s="434" t="s">
        <v>100</v>
      </c>
      <c r="M139" s="437" t="s">
        <v>1759</v>
      </c>
      <c r="N139" s="439">
        <v>32</v>
      </c>
      <c r="O139" s="439"/>
      <c r="P139" s="439"/>
      <c r="Q139" s="439"/>
      <c r="R139" s="440" t="str">
        <f>VLOOKUP(Ruimtestaat[[#This Row],[Ruimte code]],Ruimtegroepen[],4,FALSE)</f>
        <v>Ve</v>
      </c>
      <c r="S139" s="434">
        <v>41</v>
      </c>
      <c r="T139" s="434" t="s">
        <v>2</v>
      </c>
      <c r="U139" s="434">
        <f>IF(S139&gt;0,IF(RIGHT(Ruimtestaat[[#This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39" s="434">
        <f>IF(U139&gt;0,VLOOKUP($J139,Ruimtegroepen[],3,FALSE)*VLOOKUP($L139,Vloersoorten[],3,FALSE)*VLOOKUP($T139,Frequenties[],3,FALSE)*VLOOKUP($A139,Locaties[],3,FALSE),0)</f>
        <v>0</v>
      </c>
      <c r="W139" s="434">
        <f>Ruimtestaat[[#This Row],[Uitvoeringen werkdagen]]*Ruimtestaat[[#This Row],[Oppervlak (netto)]]</f>
        <v>6560</v>
      </c>
      <c r="X139" s="441">
        <f>IF(V139&gt;0,Ruimtestaat[[#This Row],[Prest. (m2 /jaar) werkdagen]]/Ruimtestaat[[#This Row],[Norm (m2/uur) werkdagen]],0)</f>
        <v>0</v>
      </c>
      <c r="Y139" s="442">
        <f>Ruimtestaat[[#This Row],[Uitvoeringen werkdagen]]*Ruimtestaat[[#This Row],[Gedeeltelijk]]</f>
        <v>0</v>
      </c>
      <c r="Z139" s="443" t="e">
        <f>IF(U139&gt;0,Ruimtestaat[[#This Row],[Prest. (m2 / jaar) werkdagen gedeeld]]/Ruimtestaat[[#This Row],[Norm (m2/uur) werkdagen]],0)</f>
        <v>#DIV/0!</v>
      </c>
      <c r="AA139" s="441" t="e">
        <f>Ruimtestaat[[#This Row],[uren / jaar werkdagen gedeeld]]*Tariefsopbouw!$E$35</f>
        <v>#DIV/0!</v>
      </c>
      <c r="AB139" s="441">
        <f>Ruimtestaat[[#This Row],[Uitvoeringen werkdagen]]*Ruimtestaat[[#This Row],[BSO]]</f>
        <v>0</v>
      </c>
      <c r="AC139" s="443" t="e">
        <f>IF(U139&gt;0,Ruimtestaat[[#This Row],[Prest. (m2 / jaar) werkdagen BSO]]/Ruimtestaat[[#This Row],[Norm (m2/uur) werkdagen]],0)</f>
        <v>#DIV/0!</v>
      </c>
      <c r="AD139" s="443" t="e">
        <f>Ruimtestaat[[#This Row],[uren / jaar werkdagen BSO]]*Tariefsopbouw!$E$35</f>
        <v>#DIV/0!</v>
      </c>
      <c r="AE139" s="444">
        <f>Ruimtestaat[[#This Row],[uren / jaar werkdagen]]*Tariefsopbouw!$E$35</f>
        <v>0</v>
      </c>
      <c r="AF139" s="434"/>
      <c r="AG139" s="434">
        <f>IF(Ruimtestaat[[#This Row],[Frequentie weekend]]&gt;0,VALUE(LEFT(AF139,1))*S139,0)</f>
        <v>0</v>
      </c>
      <c r="AH139" s="445">
        <f>IF($AG139&gt;0,VLOOKUP($J139,Ruimtegroepen[],3,FALSE)*VLOOKUP($L139,Vloersoorten[],3,FALSE)*VLOOKUP($AF139,Frequenties[],3,FALSE)*VLOOKUP(Ruimtestaat[[#This Row],[Code]],Locaties[],3,FALSE),0)</f>
        <v>0</v>
      </c>
      <c r="AI139" s="445">
        <f>Ruimtestaat[[#This Row],[Uitvoeringen weekend]]*Ruimtestaat[[#This Row],[Oppervlak (netto)]]</f>
        <v>0</v>
      </c>
      <c r="AJ139" s="445">
        <f>IF(AH139&gt;0,Ruimtestaat[[#This Row],[Prest. (m2 /jaar) weekend]]/Ruimtestaat[[#This Row],[Norm (m2/uur) weekend]],0)</f>
        <v>0</v>
      </c>
      <c r="AK139" s="444">
        <f>Ruimtestaat[[#This Row],[uren / jaar weekend]]*Tariefsopbouw!$D$40</f>
        <v>0</v>
      </c>
      <c r="AL139" s="441">
        <f>Ruimtestaat[[#This Row],[Prest. (m2 /jaar) weekend]]+Ruimtestaat[[#This Row],[Prest. (m2 /jaar) werkdagen]]</f>
        <v>6560</v>
      </c>
      <c r="AM139" s="441">
        <f>Ruimtestaat[[#This Row],[uren / jaar weekend]]+Ruimtestaat[[#This Row],[uren / jaar werkdagen]]</f>
        <v>0</v>
      </c>
      <c r="AN139" s="446">
        <f>Ruimtestaat[[#This Row],[kosten / jaar weekend]]+Ruimtestaat[[#This Row],[kosten / jaar werkdagen]]</f>
        <v>0</v>
      </c>
      <c r="AO139" s="446"/>
      <c r="AP139" s="447" t="str">
        <f>IF(Ruimtestaat[[#This Row],[Frequentie werkdagen]]="","",_xlfn.CONCAT(Ruimtestaat[[#This Row],[Ruimte code]],"-",Ruimtestaat[[#This Row],[Frequentie werkdagen]]," ",Ruimtestaat[[#This Row],[Vloer code]]))</f>
        <v>6-5w L</v>
      </c>
      <c r="AQ139" s="448" t="str">
        <f>_xlfn.IFNA(VLOOKUP($AP139,Programma!$F$3:$G$1101,2,0),"")</f>
        <v>_</v>
      </c>
      <c r="AR139" s="448" t="str">
        <f>_xlfn.IFNA(VLOOKUP($AP139,Programma!$F$3:$H$1101,3,0),"")</f>
        <v>_</v>
      </c>
      <c r="AS139" s="448" t="str">
        <f>_xlfn.IFNA(VLOOKUP($AP139,Programma!$F$3:$I$1101,4,0),"")</f>
        <v>_</v>
      </c>
      <c r="AT139" s="448" t="str">
        <f>_xlfn.IFNA(VLOOKUP($AP139,Programma!$F$3:$J$1101,5,0),"")</f>
        <v>5w</v>
      </c>
      <c r="AU139" s="448" t="str">
        <f>_xlfn.IFNA(VLOOKUP($AP139,Programma!$F$3:$K$1101,6,0),"")</f>
        <v>_</v>
      </c>
      <c r="AV139" s="448" t="str">
        <f>_xlfn.IFNA(VLOOKUP($AP139,Programma!$F$3:$L$1101,7,0),"")</f>
        <v>_</v>
      </c>
      <c r="AW139" s="448" t="str">
        <f>_xlfn.IFNA(VLOOKUP($AP139,Programma!$F$3:$M$1101,8,0),"")</f>
        <v>_</v>
      </c>
      <c r="AX139" s="448" t="str">
        <f>_xlfn.IFNA(VLOOKUP($AP139,Programma!$F$3:$N$1101,9,0),"")</f>
        <v>_</v>
      </c>
      <c r="AY139" s="448" t="str">
        <f>_xlfn.IFNA(VLOOKUP($AP139,Programma!$F$3:$O$1101,10,0),"")</f>
        <v>5w</v>
      </c>
      <c r="AZ139" s="448" t="str">
        <f>_xlfn.IFNA(VLOOKUP($AP139,Programma!$F$3:$P$1101,11,0),"")</f>
        <v>5w</v>
      </c>
      <c r="BA139" s="448" t="str">
        <f>_xlfn.IFNA(VLOOKUP($AP139,Programma!$F$3:$Q$1101,12,0),"")</f>
        <v>1w</v>
      </c>
      <c r="BB139" s="448" t="str">
        <f>_xlfn.IFNA(VLOOKUP($AP139,Programma!$F$3:$R$1101,13,0),"")</f>
        <v>1w</v>
      </c>
      <c r="BC139" s="448" t="str">
        <f>_xlfn.IFNA(VLOOKUP($AP139,Programma!$F$3:$S$1101,14,0),"")</f>
        <v>1m</v>
      </c>
      <c r="BD139" s="448" t="str">
        <f>_xlfn.IFNA(VLOOKUP($AP139,Programma!$F$3:$T$1101,15,0),"")</f>
        <v>2j</v>
      </c>
      <c r="BE139" s="448" t="str">
        <f>_xlfn.IFNA(VLOOKUP($AP139,Programma!$F$3:$U$1101,16,0),"")</f>
        <v>1j</v>
      </c>
      <c r="BF139" s="448" t="str">
        <f>_xlfn.IFNA(VLOOKUP($AP139,Programma!$F$3:$V$1101,17,0),"")</f>
        <v>_</v>
      </c>
      <c r="BG139" s="448" t="str">
        <f>_xlfn.IFNA(VLOOKUP($AP139,Programma!$F$3:$W$1101,18,0),"")</f>
        <v>_</v>
      </c>
      <c r="BH139" s="448" t="str">
        <f>_xlfn.IFNA(VLOOKUP($AP139,Programma!$F$3:$X$1101,19,0),"")</f>
        <v>_</v>
      </c>
      <c r="BI139" s="448" t="str">
        <f>_xlfn.IFNA(VLOOKUP($AP139,Programma!$F$3:$Y$1101,20,0),"")</f>
        <v>_</v>
      </c>
      <c r="BJ139" s="449"/>
      <c r="BK139" s="447" t="str">
        <f>IF(Ruimtestaat[[#This Row],[Frequentie weekend]]="","",_xlfn.CONCAT(Ruimtestaat[[#This Row],[Ruimte code]],"-",Ruimtestaat[[#This Row],[Frequentie weekend]]," ",Ruimtestaat[[#This Row],[Vloer code]]))</f>
        <v/>
      </c>
      <c r="BL139" s="448" t="str">
        <f>_xlfn.IFNA(VLOOKUP($BK139,Programma!$F$3:$G$1101,2,0),"")</f>
        <v/>
      </c>
      <c r="BM139" s="448" t="str">
        <f>_xlfn.IFNA(VLOOKUP($BK139,Programma!$F$3:$H$1101,3,0),"")</f>
        <v/>
      </c>
      <c r="BN139" s="448" t="str">
        <f>_xlfn.IFNA(VLOOKUP($BK139,Programma!$F$3:$I$1101,4,0),"")</f>
        <v/>
      </c>
      <c r="BO139" s="448" t="str">
        <f>_xlfn.IFNA(VLOOKUP($BK139,Programma!$F$3:$J$1101,5,0),"")</f>
        <v/>
      </c>
      <c r="BP139" s="448" t="str">
        <f>_xlfn.IFNA(VLOOKUP($BK139,Programma!$F$3:$K$1101,6,0),"")</f>
        <v/>
      </c>
      <c r="BQ139" s="448" t="str">
        <f>_xlfn.IFNA(VLOOKUP($BK139,Programma!$F$3:$L$1101,7,0),"")</f>
        <v/>
      </c>
      <c r="BR139" s="448" t="str">
        <f>_xlfn.IFNA(VLOOKUP($BK139,Programma!$F$3:$M$1101,8,0),"")</f>
        <v/>
      </c>
      <c r="BS139" s="448" t="str">
        <f>_xlfn.IFNA(VLOOKUP($BK139,Programma!$F$3:$N$1101,9,0),"")</f>
        <v/>
      </c>
      <c r="BT139" s="448" t="str">
        <f>_xlfn.IFNA(VLOOKUP($BK139,Programma!$F$3:$O$1101,10,0),"")</f>
        <v/>
      </c>
      <c r="BU139" s="448" t="str">
        <f>_xlfn.IFNA(VLOOKUP($BK139,Programma!$F$3:$P$1101,11,0),"")</f>
        <v/>
      </c>
      <c r="BV139" s="448" t="str">
        <f>_xlfn.IFNA(VLOOKUP($BK139,Programma!$F$3:$Q$1101,12,0),"")</f>
        <v/>
      </c>
      <c r="BW139" s="448" t="str">
        <f>_xlfn.IFNA(VLOOKUP($BK139,Programma!$F$3:$R$1101,13,0),"")</f>
        <v/>
      </c>
      <c r="BX139" s="448" t="str">
        <f>_xlfn.IFNA(VLOOKUP($BK139,Programma!$F$3:$S$1101,14,0),"")</f>
        <v/>
      </c>
      <c r="BY139" s="448" t="str">
        <f>_xlfn.IFNA(VLOOKUP($BK139,Programma!$F$3:$T$1101,15,0),"")</f>
        <v/>
      </c>
      <c r="BZ139" s="448" t="str">
        <f>_xlfn.IFNA(VLOOKUP($BK139,Programma!$F$3:$U$1101,16,0),"")</f>
        <v/>
      </c>
      <c r="CA139" s="448" t="str">
        <f>_xlfn.IFNA(VLOOKUP($BK139,Programma!$F$3:$V$1101,17,0),"")</f>
        <v/>
      </c>
      <c r="CB139" s="448" t="str">
        <f>_xlfn.IFNA(VLOOKUP($BK139,Programma!$F$3:$W$1101,18,0),"")</f>
        <v/>
      </c>
      <c r="CC139" s="448" t="str">
        <f>_xlfn.IFNA(VLOOKUP($BK139,Programma!$F$3:$X$1101,19,0),"")</f>
        <v/>
      </c>
      <c r="CD139" s="448" t="str">
        <f>_xlfn.IFNA(VLOOKUP($BK139,Programma!$F$3:$Y$1101,20,0),"")</f>
        <v/>
      </c>
      <c r="CE139" s="327"/>
      <c r="CF139" s="327"/>
      <c r="CG139" s="327"/>
      <c r="CH139" s="327"/>
      <c r="CI139" s="327"/>
      <c r="CJ139" s="327"/>
      <c r="CK139" s="327"/>
      <c r="CL139" s="327"/>
      <c r="CM139" s="327"/>
      <c r="CN139" s="327"/>
      <c r="CO139" s="327"/>
      <c r="CP139" s="327"/>
      <c r="CQ139" s="327"/>
      <c r="CR139" s="327"/>
      <c r="CS139" s="327"/>
      <c r="CT139" s="327"/>
      <c r="CU139" s="327"/>
      <c r="CV139" s="327"/>
      <c r="CW139" s="327"/>
      <c r="CX139" s="327"/>
      <c r="CY139" s="327"/>
      <c r="CZ139" s="327"/>
      <c r="DA139" s="327"/>
      <c r="DB139" s="327"/>
      <c r="DC139" s="327"/>
      <c r="DD139" s="327"/>
      <c r="DE139" s="327"/>
      <c r="DF139" s="327"/>
      <c r="DG139" s="327"/>
      <c r="DH139" s="327"/>
      <c r="DI139" s="327"/>
      <c r="DJ139" s="327"/>
      <c r="DK139" s="327"/>
      <c r="DL139" s="327"/>
      <c r="DM139" s="327"/>
      <c r="DN139" s="327"/>
      <c r="DO139" s="327"/>
      <c r="DP139" s="327"/>
      <c r="DQ139" s="327"/>
      <c r="DR139" s="327"/>
      <c r="DS139" s="327"/>
      <c r="DT139" s="327"/>
      <c r="DU139" s="327"/>
      <c r="DV139" s="327"/>
      <c r="DW139" s="327"/>
      <c r="DX139" s="327"/>
      <c r="DY139" s="327"/>
      <c r="DZ139" s="327"/>
      <c r="EA139" s="327"/>
      <c r="EB139" s="327"/>
      <c r="EC139" s="327"/>
      <c r="ED139" s="327"/>
      <c r="EE139" s="327"/>
      <c r="EF139" s="327"/>
      <c r="EG139" s="327"/>
      <c r="EH139" s="327"/>
      <c r="EI139" s="327"/>
      <c r="EJ139" s="327"/>
      <c r="EK139" s="327"/>
      <c r="EL139" s="327"/>
      <c r="EM139" s="327"/>
      <c r="EN139" s="327"/>
      <c r="EO139" s="327"/>
      <c r="EP139" s="327"/>
      <c r="EQ139" s="327"/>
      <c r="ER139" s="327"/>
      <c r="ES139" s="327"/>
      <c r="ET139" s="327"/>
      <c r="EU139" s="327"/>
      <c r="EV139" s="327"/>
      <c r="EW139" s="327"/>
      <c r="EX139" s="327"/>
      <c r="EY139" s="327"/>
      <c r="EZ139" s="327"/>
      <c r="FA139" s="327"/>
      <c r="FB139" s="327"/>
      <c r="FC139" s="327"/>
      <c r="FD139" s="327"/>
      <c r="FE139" s="327"/>
      <c r="FF139" s="327"/>
      <c r="FG139" s="327"/>
      <c r="FH139" s="327"/>
      <c r="FI139" s="327"/>
      <c r="FJ139" s="327"/>
      <c r="FK139" s="327"/>
      <c r="FL139" s="327"/>
      <c r="FM139" s="327"/>
      <c r="FN139" s="327"/>
      <c r="FO139" s="327"/>
      <c r="FP139" s="327"/>
      <c r="FQ139" s="327"/>
      <c r="FR139" s="327"/>
      <c r="FS139" s="327"/>
      <c r="FT139" s="327"/>
      <c r="FU139" s="327"/>
      <c r="FV139" s="327"/>
      <c r="FW139" s="327"/>
      <c r="FX139" s="327"/>
      <c r="FY139" s="327"/>
      <c r="FZ139" s="327"/>
      <c r="GA139" s="327"/>
      <c r="GB139" s="327"/>
      <c r="GC139" s="327"/>
      <c r="GD139" s="327"/>
      <c r="GE139" s="327"/>
      <c r="GF139" s="327"/>
      <c r="GG139" s="327"/>
      <c r="GH139" s="327"/>
      <c r="GI139" s="327"/>
      <c r="GJ139" s="327"/>
      <c r="GK139" s="327"/>
      <c r="GL139" s="327"/>
      <c r="GM139" s="327"/>
      <c r="GN139" s="327"/>
      <c r="GO139" s="327"/>
      <c r="GP139" s="327"/>
      <c r="GQ139" s="327"/>
      <c r="GR139" s="327"/>
      <c r="GS139" s="327"/>
      <c r="GT139" s="327"/>
      <c r="GU139" s="327"/>
      <c r="GV139" s="327"/>
      <c r="GW139" s="327"/>
      <c r="GX139" s="327"/>
      <c r="GY139" s="327"/>
      <c r="GZ139" s="327"/>
      <c r="HA139" s="327"/>
      <c r="HB139" s="327"/>
      <c r="HC139" s="327"/>
      <c r="HD139" s="327"/>
      <c r="HE139" s="327"/>
      <c r="HF139" s="327"/>
      <c r="HG139" s="327"/>
      <c r="HH139" s="327"/>
      <c r="HI139" s="327"/>
      <c r="HJ139" s="327"/>
      <c r="HK139" s="327"/>
      <c r="HL139" s="327"/>
      <c r="HM139" s="327"/>
      <c r="HN139" s="327"/>
      <c r="HO139" s="327"/>
      <c r="HP139" s="327"/>
      <c r="HQ139" s="327"/>
      <c r="HR139" s="327"/>
      <c r="HS139" s="327"/>
    </row>
    <row r="140" spans="1:227" ht="15" customHeight="1">
      <c r="A140" s="330">
        <v>6</v>
      </c>
      <c r="B140" s="435" t="str">
        <f>VLOOKUP(Ruimtestaat[[#This Row],[Code]],Locaties[[Code]:[Locatie]],2,FALSE)</f>
        <v>IKC Het Zwanenbos</v>
      </c>
      <c r="C140" s="435" t="str">
        <f>VLOOKUP(Ruimtestaat[[#This Row],[Code]],Locaties[[#All],[Code]:[Adres]],4,FALSE)</f>
        <v>Kerkenbos 24-26</v>
      </c>
      <c r="D140" s="435" t="str">
        <f>VLOOKUP(Ruimtestaat[[#This Row],[Code]],Locaties[[#All],[Code]:[Postcode]],5,FALSE)</f>
        <v>2716 PH</v>
      </c>
      <c r="E140" s="435" t="str">
        <f>VLOOKUP(Ruimtestaat[[#This Row],[Code]],Locaties[#All],6,FALSE)</f>
        <v>Zoetermeer</v>
      </c>
      <c r="F140" s="434"/>
      <c r="G140" s="434" t="s">
        <v>1769</v>
      </c>
      <c r="I140" s="450" t="s">
        <v>1768</v>
      </c>
      <c r="J140" s="330">
        <v>10</v>
      </c>
      <c r="K140" s="450" t="str">
        <f>VLOOKUP(Ruimtestaat[[#This Row],[Ruimte code]],Ruimtegroepen[[#All],[Code]:[Ruimte omschrijving]],2,FALSE)</f>
        <v>Trappenhuizen/lift</v>
      </c>
      <c r="L140" s="434" t="s">
        <v>1309</v>
      </c>
      <c r="M140" s="437" t="s">
        <v>247</v>
      </c>
      <c r="N140" s="439">
        <v>7.2</v>
      </c>
      <c r="O140" s="439"/>
      <c r="P140" s="439"/>
      <c r="Q140" s="439"/>
      <c r="R140" s="440" t="str">
        <f>VLOOKUP(Ruimtestaat[[#This Row],[Ruimte code]],Ruimtegroepen[],4,FALSE)</f>
        <v>Ve</v>
      </c>
      <c r="S140" s="434">
        <v>41</v>
      </c>
      <c r="T140" s="434" t="s">
        <v>2</v>
      </c>
      <c r="U140" s="434">
        <f>IF(S140&gt;0,IF(RIGHT(Ruimtestaat[[#This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40" s="434">
        <f>IF(U140&gt;0,VLOOKUP($J140,Ruimtegroepen[],3,FALSE)*VLOOKUP($L140,Vloersoorten[],3,FALSE)*VLOOKUP($T140,Frequenties[],3,FALSE)*VLOOKUP($A140,Locaties[],3,FALSE),0)</f>
        <v>0</v>
      </c>
      <c r="W140" s="434">
        <f>Ruimtestaat[[#This Row],[Uitvoeringen werkdagen]]*Ruimtestaat[[#This Row],[Oppervlak (netto)]]</f>
        <v>1476</v>
      </c>
      <c r="X140" s="441">
        <f>IF(V140&gt;0,Ruimtestaat[[#This Row],[Prest. (m2 /jaar) werkdagen]]/Ruimtestaat[[#This Row],[Norm (m2/uur) werkdagen]],0)</f>
        <v>0</v>
      </c>
      <c r="Y140" s="442">
        <f>Ruimtestaat[[#This Row],[Uitvoeringen werkdagen]]*Ruimtestaat[[#This Row],[Gedeeltelijk]]</f>
        <v>0</v>
      </c>
      <c r="Z140" s="443" t="e">
        <f>IF(U140&gt;0,Ruimtestaat[[#This Row],[Prest. (m2 / jaar) werkdagen gedeeld]]/Ruimtestaat[[#This Row],[Norm (m2/uur) werkdagen]],0)</f>
        <v>#DIV/0!</v>
      </c>
      <c r="AA140" s="441" t="e">
        <f>Ruimtestaat[[#This Row],[uren / jaar werkdagen gedeeld]]*Tariefsopbouw!$E$35</f>
        <v>#DIV/0!</v>
      </c>
      <c r="AB140" s="441">
        <f>Ruimtestaat[[#This Row],[Uitvoeringen werkdagen]]*Ruimtestaat[[#This Row],[BSO]]</f>
        <v>0</v>
      </c>
      <c r="AC140" s="443" t="e">
        <f>IF(U140&gt;0,Ruimtestaat[[#This Row],[Prest. (m2 / jaar) werkdagen BSO]]/Ruimtestaat[[#This Row],[Norm (m2/uur) werkdagen]],0)</f>
        <v>#DIV/0!</v>
      </c>
      <c r="AD140" s="443" t="e">
        <f>Ruimtestaat[[#This Row],[uren / jaar werkdagen BSO]]*Tariefsopbouw!$E$35</f>
        <v>#DIV/0!</v>
      </c>
      <c r="AE140" s="444">
        <f>Ruimtestaat[[#This Row],[uren / jaar werkdagen]]*Tariefsopbouw!$E$35</f>
        <v>0</v>
      </c>
      <c r="AF140" s="434"/>
      <c r="AG140" s="434">
        <f>IF(Ruimtestaat[[#This Row],[Frequentie weekend]]&gt;0,VALUE(LEFT(AF140,1))*S140,0)</f>
        <v>0</v>
      </c>
      <c r="AH140" s="445">
        <f>IF($AG140&gt;0,VLOOKUP($J140,Ruimtegroepen[],3,FALSE)*VLOOKUP($L140,Vloersoorten[],3,FALSE)*VLOOKUP($AF140,Frequenties[],3,FALSE)*VLOOKUP(Ruimtestaat[[#This Row],[Code]],Locaties[],3,FALSE),0)</f>
        <v>0</v>
      </c>
      <c r="AI140" s="445">
        <f>Ruimtestaat[[#This Row],[Uitvoeringen weekend]]*Ruimtestaat[[#This Row],[Oppervlak (netto)]]</f>
        <v>0</v>
      </c>
      <c r="AJ140" s="445">
        <f>IF(AH140&gt;0,Ruimtestaat[[#This Row],[Prest. (m2 /jaar) weekend]]/Ruimtestaat[[#This Row],[Norm (m2/uur) weekend]],0)</f>
        <v>0</v>
      </c>
      <c r="AK140" s="444">
        <f>Ruimtestaat[[#This Row],[uren / jaar weekend]]*Tariefsopbouw!$D$40</f>
        <v>0</v>
      </c>
      <c r="AL140" s="441">
        <f>Ruimtestaat[[#This Row],[Prest. (m2 /jaar) weekend]]+Ruimtestaat[[#This Row],[Prest. (m2 /jaar) werkdagen]]</f>
        <v>1476</v>
      </c>
      <c r="AM140" s="441">
        <f>Ruimtestaat[[#This Row],[uren / jaar weekend]]+Ruimtestaat[[#This Row],[uren / jaar werkdagen]]</f>
        <v>0</v>
      </c>
      <c r="AN140" s="446">
        <f>Ruimtestaat[[#This Row],[kosten / jaar weekend]]+Ruimtestaat[[#This Row],[kosten / jaar werkdagen]]</f>
        <v>0</v>
      </c>
      <c r="AO140" s="446"/>
      <c r="AP140" s="447" t="str">
        <f>IF(Ruimtestaat[[#This Row],[Frequentie werkdagen]]="","",_xlfn.CONCAT(Ruimtestaat[[#This Row],[Ruimte code]],"-",Ruimtestaat[[#This Row],[Frequentie werkdagen]]," ",Ruimtestaat[[#This Row],[Vloer code]]))</f>
        <v>10-5w H</v>
      </c>
      <c r="AQ140" s="448" t="str">
        <f>_xlfn.IFNA(VLOOKUP($AP140,Programma!$F$3:$G$1101,2,0),"")</f>
        <v>_</v>
      </c>
      <c r="AR140" s="448" t="str">
        <f>_xlfn.IFNA(VLOOKUP($AP140,Programma!$F$3:$H$1101,3,0),"")</f>
        <v>_</v>
      </c>
      <c r="AS140" s="448" t="str">
        <f>_xlfn.IFNA(VLOOKUP($AP140,Programma!$F$3:$I$1101,4,0),"")</f>
        <v>5w</v>
      </c>
      <c r="AT140" s="448" t="str">
        <f>_xlfn.IFNA(VLOOKUP($AP140,Programma!$F$3:$J$1101,5,0),"")</f>
        <v>_</v>
      </c>
      <c r="AU140" s="448" t="str">
        <f>_xlfn.IFNA(VLOOKUP($AP140,Programma!$F$3:$K$1101,6,0),"")</f>
        <v>4j</v>
      </c>
      <c r="AV140" s="448" t="str">
        <f>_xlfn.IFNA(VLOOKUP($AP140,Programma!$F$3:$L$1101,7,0),"")</f>
        <v>_</v>
      </c>
      <c r="AW140" s="448" t="str">
        <f>_xlfn.IFNA(VLOOKUP($AP140,Programma!$F$3:$M$1101,8,0),"")</f>
        <v>_</v>
      </c>
      <c r="AX140" s="448" t="str">
        <f>_xlfn.IFNA(VLOOKUP($AP140,Programma!$F$3:$N$1101,9,0),"")</f>
        <v>_</v>
      </c>
      <c r="AY140" s="448" t="str">
        <f>_xlfn.IFNA(VLOOKUP($AP140,Programma!$F$3:$O$1101,10,0),"")</f>
        <v>5w</v>
      </c>
      <c r="AZ140" s="448" t="str">
        <f>_xlfn.IFNA(VLOOKUP($AP140,Programma!$F$3:$P$1101,11,0),"")</f>
        <v>5w</v>
      </c>
      <c r="BA140" s="448" t="str">
        <f>_xlfn.IFNA(VLOOKUP($AP140,Programma!$F$3:$Q$1101,12,0),"")</f>
        <v>1w</v>
      </c>
      <c r="BB140" s="448" t="str">
        <f>_xlfn.IFNA(VLOOKUP($AP140,Programma!$F$3:$R$1101,13,0),"")</f>
        <v>1w</v>
      </c>
      <c r="BC140" s="448" t="str">
        <f>_xlfn.IFNA(VLOOKUP($AP140,Programma!$F$3:$S$1101,14,0),"")</f>
        <v>1m</v>
      </c>
      <c r="BD140" s="448" t="str">
        <f>_xlfn.IFNA(VLOOKUP($AP140,Programma!$F$3:$T$1101,15,0),"")</f>
        <v>2j</v>
      </c>
      <c r="BE140" s="448" t="str">
        <f>_xlfn.IFNA(VLOOKUP($AP140,Programma!$F$3:$U$1101,16,0),"")</f>
        <v>1j</v>
      </c>
      <c r="BF140" s="448" t="str">
        <f>_xlfn.IFNA(VLOOKUP($AP140,Programma!$F$3:$V$1101,17,0),"")</f>
        <v>_</v>
      </c>
      <c r="BG140" s="448" t="str">
        <f>_xlfn.IFNA(VLOOKUP($AP140,Programma!$F$3:$W$1101,18,0),"")</f>
        <v>_</v>
      </c>
      <c r="BH140" s="448" t="str">
        <f>_xlfn.IFNA(VLOOKUP($AP140,Programma!$F$3:$X$1101,19,0),"")</f>
        <v>_</v>
      </c>
      <c r="BI140" s="448" t="str">
        <f>_xlfn.IFNA(VLOOKUP($AP140,Programma!$F$3:$Y$1101,20,0),"")</f>
        <v>_</v>
      </c>
      <c r="BJ140" s="449"/>
      <c r="BK140" s="447" t="str">
        <f>IF(Ruimtestaat[[#This Row],[Frequentie weekend]]="","",_xlfn.CONCAT(Ruimtestaat[[#This Row],[Ruimte code]],"-",Ruimtestaat[[#This Row],[Frequentie weekend]]," ",Ruimtestaat[[#This Row],[Vloer code]]))</f>
        <v/>
      </c>
      <c r="BL140" s="448" t="str">
        <f>_xlfn.IFNA(VLOOKUP($BK140,Programma!$F$3:$G$1101,2,0),"")</f>
        <v/>
      </c>
      <c r="BM140" s="448" t="str">
        <f>_xlfn.IFNA(VLOOKUP($BK140,Programma!$F$3:$H$1101,3,0),"")</f>
        <v/>
      </c>
      <c r="BN140" s="448" t="str">
        <f>_xlfn.IFNA(VLOOKUP($BK140,Programma!$F$3:$I$1101,4,0),"")</f>
        <v/>
      </c>
      <c r="BO140" s="448" t="str">
        <f>_xlfn.IFNA(VLOOKUP($BK140,Programma!$F$3:$J$1101,5,0),"")</f>
        <v/>
      </c>
      <c r="BP140" s="448" t="str">
        <f>_xlfn.IFNA(VLOOKUP($BK140,Programma!$F$3:$K$1101,6,0),"")</f>
        <v/>
      </c>
      <c r="BQ140" s="448" t="str">
        <f>_xlfn.IFNA(VLOOKUP($BK140,Programma!$F$3:$L$1101,7,0),"")</f>
        <v/>
      </c>
      <c r="BR140" s="448" t="str">
        <f>_xlfn.IFNA(VLOOKUP($BK140,Programma!$F$3:$M$1101,8,0),"")</f>
        <v/>
      </c>
      <c r="BS140" s="448" t="str">
        <f>_xlfn.IFNA(VLOOKUP($BK140,Programma!$F$3:$N$1101,9,0),"")</f>
        <v/>
      </c>
      <c r="BT140" s="448" t="str">
        <f>_xlfn.IFNA(VLOOKUP($BK140,Programma!$F$3:$O$1101,10,0),"")</f>
        <v/>
      </c>
      <c r="BU140" s="448" t="str">
        <f>_xlfn.IFNA(VLOOKUP($BK140,Programma!$F$3:$P$1101,11,0),"")</f>
        <v/>
      </c>
      <c r="BV140" s="448" t="str">
        <f>_xlfn.IFNA(VLOOKUP($BK140,Programma!$F$3:$Q$1101,12,0),"")</f>
        <v/>
      </c>
      <c r="BW140" s="448" t="str">
        <f>_xlfn.IFNA(VLOOKUP($BK140,Programma!$F$3:$R$1101,13,0),"")</f>
        <v/>
      </c>
      <c r="BX140" s="448" t="str">
        <f>_xlfn.IFNA(VLOOKUP($BK140,Programma!$F$3:$S$1101,14,0),"")</f>
        <v/>
      </c>
      <c r="BY140" s="448" t="str">
        <f>_xlfn.IFNA(VLOOKUP($BK140,Programma!$F$3:$T$1101,15,0),"")</f>
        <v/>
      </c>
      <c r="BZ140" s="448" t="str">
        <f>_xlfn.IFNA(VLOOKUP($BK140,Programma!$F$3:$U$1101,16,0),"")</f>
        <v/>
      </c>
      <c r="CA140" s="448" t="str">
        <f>_xlfn.IFNA(VLOOKUP($BK140,Programma!$F$3:$V$1101,17,0),"")</f>
        <v/>
      </c>
      <c r="CB140" s="448" t="str">
        <f>_xlfn.IFNA(VLOOKUP($BK140,Programma!$F$3:$W$1101,18,0),"")</f>
        <v/>
      </c>
      <c r="CC140" s="448" t="str">
        <f>_xlfn.IFNA(VLOOKUP($BK140,Programma!$F$3:$X$1101,19,0),"")</f>
        <v/>
      </c>
      <c r="CD140" s="448" t="str">
        <f>_xlfn.IFNA(VLOOKUP($BK140,Programma!$F$3:$Y$1101,20,0),"")</f>
        <v/>
      </c>
      <c r="CE140" s="327"/>
      <c r="CF140" s="327"/>
      <c r="CG140" s="327"/>
      <c r="CH140" s="327"/>
      <c r="CI140" s="327"/>
      <c r="CJ140" s="327"/>
      <c r="CK140" s="327"/>
      <c r="CL140" s="327"/>
      <c r="CM140" s="327"/>
      <c r="CN140" s="327"/>
      <c r="CO140" s="327"/>
      <c r="CP140" s="327"/>
      <c r="CQ140" s="327"/>
      <c r="CR140" s="327"/>
      <c r="CS140" s="327"/>
      <c r="CT140" s="327"/>
      <c r="CU140" s="327"/>
      <c r="CV140" s="327"/>
      <c r="CW140" s="327"/>
      <c r="CX140" s="327"/>
      <c r="CY140" s="327"/>
      <c r="CZ140" s="327"/>
      <c r="DA140" s="327"/>
      <c r="DB140" s="327"/>
      <c r="DC140" s="327"/>
      <c r="DD140" s="327"/>
      <c r="DE140" s="327"/>
      <c r="DF140" s="327"/>
      <c r="DG140" s="327"/>
      <c r="DH140" s="327"/>
      <c r="DI140" s="327"/>
      <c r="DJ140" s="327"/>
      <c r="DK140" s="327"/>
      <c r="DL140" s="327"/>
      <c r="DM140" s="327"/>
      <c r="DN140" s="327"/>
      <c r="DO140" s="327"/>
      <c r="DP140" s="327"/>
      <c r="DQ140" s="327"/>
      <c r="DR140" s="327"/>
      <c r="DS140" s="327"/>
      <c r="DT140" s="327"/>
      <c r="DU140" s="327"/>
      <c r="DV140" s="327"/>
      <c r="DW140" s="327"/>
      <c r="DX140" s="327"/>
      <c r="DY140" s="327"/>
      <c r="DZ140" s="327"/>
      <c r="EA140" s="327"/>
      <c r="EB140" s="327"/>
      <c r="EC140" s="327"/>
      <c r="ED140" s="327"/>
      <c r="EE140" s="327"/>
      <c r="EF140" s="327"/>
      <c r="EG140" s="327"/>
      <c r="EH140" s="327"/>
      <c r="EI140" s="327"/>
      <c r="EJ140" s="327"/>
      <c r="EK140" s="327"/>
      <c r="EL140" s="327"/>
      <c r="EM140" s="327"/>
      <c r="EN140" s="327"/>
      <c r="EO140" s="327"/>
      <c r="EP140" s="327"/>
      <c r="EQ140" s="327"/>
      <c r="ER140" s="327"/>
      <c r="ES140" s="327"/>
      <c r="ET140" s="327"/>
      <c r="EU140" s="327"/>
      <c r="EV140" s="327"/>
      <c r="EW140" s="327"/>
      <c r="EX140" s="327"/>
      <c r="EY140" s="327"/>
      <c r="EZ140" s="327"/>
      <c r="FA140" s="327"/>
      <c r="FB140" s="327"/>
      <c r="FC140" s="327"/>
      <c r="FD140" s="327"/>
      <c r="FE140" s="327"/>
      <c r="FF140" s="327"/>
      <c r="FG140" s="327"/>
      <c r="FH140" s="327"/>
      <c r="FI140" s="327"/>
      <c r="FJ140" s="327"/>
      <c r="FK140" s="327"/>
      <c r="FL140" s="327"/>
      <c r="FM140" s="327"/>
      <c r="FN140" s="327"/>
      <c r="FO140" s="327"/>
      <c r="FP140" s="327"/>
      <c r="FQ140" s="327"/>
      <c r="FR140" s="327"/>
      <c r="FS140" s="327"/>
      <c r="FT140" s="327"/>
      <c r="FU140" s="327"/>
      <c r="FV140" s="327"/>
      <c r="FW140" s="327"/>
      <c r="FX140" s="327"/>
      <c r="FY140" s="327"/>
      <c r="FZ140" s="327"/>
      <c r="GA140" s="327"/>
      <c r="GB140" s="327"/>
      <c r="GC140" s="327"/>
      <c r="GD140" s="327"/>
      <c r="GE140" s="327"/>
      <c r="GF140" s="327"/>
      <c r="GG140" s="327"/>
      <c r="GH140" s="327"/>
      <c r="GI140" s="327"/>
      <c r="GJ140" s="327"/>
      <c r="GK140" s="327"/>
      <c r="GL140" s="327"/>
      <c r="GM140" s="327"/>
      <c r="GN140" s="327"/>
      <c r="GO140" s="327"/>
      <c r="GP140" s="327"/>
      <c r="GQ140" s="327"/>
      <c r="GR140" s="327"/>
      <c r="GS140" s="327"/>
      <c r="GT140" s="327"/>
      <c r="GU140" s="327"/>
      <c r="GV140" s="327"/>
      <c r="GW140" s="327"/>
      <c r="GX140" s="327"/>
      <c r="GY140" s="327"/>
      <c r="GZ140" s="327"/>
      <c r="HA140" s="327"/>
      <c r="HB140" s="327"/>
      <c r="HC140" s="327"/>
      <c r="HD140" s="327"/>
      <c r="HE140" s="327"/>
      <c r="HF140" s="327"/>
      <c r="HG140" s="327"/>
      <c r="HH140" s="327"/>
      <c r="HI140" s="327"/>
      <c r="HJ140" s="327"/>
      <c r="HK140" s="327"/>
      <c r="HL140" s="327"/>
      <c r="HM140" s="327"/>
      <c r="HN140" s="327"/>
      <c r="HO140" s="327"/>
      <c r="HP140" s="327"/>
      <c r="HQ140" s="327"/>
      <c r="HR140" s="327"/>
      <c r="HS140" s="327"/>
    </row>
    <row r="141" spans="1:227" ht="15" customHeight="1">
      <c r="A141" s="330">
        <v>6</v>
      </c>
      <c r="B141" s="435" t="str">
        <f>VLOOKUP(Ruimtestaat[[#This Row],[Code]],Locaties[[Code]:[Locatie]],2,FALSE)</f>
        <v>IKC Het Zwanenbos</v>
      </c>
      <c r="C141" s="435" t="str">
        <f>VLOOKUP(Ruimtestaat[[#This Row],[Code]],Locaties[[#All],[Code]:[Adres]],4,FALSE)</f>
        <v>Kerkenbos 24-26</v>
      </c>
      <c r="D141" s="435" t="str">
        <f>VLOOKUP(Ruimtestaat[[#This Row],[Code]],Locaties[[#All],[Code]:[Postcode]],5,FALSE)</f>
        <v>2716 PH</v>
      </c>
      <c r="E141" s="435" t="str">
        <f>VLOOKUP(Ruimtestaat[[#This Row],[Code]],Locaties[#All],6,FALSE)</f>
        <v>Zoetermeer</v>
      </c>
      <c r="F141" s="434"/>
      <c r="G141" s="434" t="s">
        <v>1769</v>
      </c>
      <c r="H141" s="330" t="s">
        <v>1730</v>
      </c>
      <c r="I141" s="450" t="s">
        <v>1679</v>
      </c>
      <c r="J141" s="330">
        <v>16</v>
      </c>
      <c r="K141" s="450" t="str">
        <f>VLOOKUP(Ruimtestaat[[#This Row],[Ruimte code]],Ruimtegroepen[[#All],[Code]:[Ruimte omschrijving]],2,FALSE)</f>
        <v>Leslokalen</v>
      </c>
      <c r="L141" s="434" t="s">
        <v>100</v>
      </c>
      <c r="M141" s="437" t="s">
        <v>1759</v>
      </c>
      <c r="N141" s="439">
        <v>39</v>
      </c>
      <c r="O141" s="439"/>
      <c r="P141" s="439"/>
      <c r="Q141" s="439"/>
      <c r="R141" s="440" t="str">
        <f>VLOOKUP(Ruimtestaat[[#This Row],[Ruimte code]],Ruimtegroepen[],4,FALSE)</f>
        <v>Le</v>
      </c>
      <c r="S141" s="434">
        <v>40</v>
      </c>
      <c r="T141" s="434" t="s">
        <v>2</v>
      </c>
      <c r="U141" s="434">
        <f>IF(S141&gt;0,IF(RIGHT(Ruimtestaat[[#This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1" s="434">
        <f>IF(U141&gt;0,VLOOKUP($J141,Ruimtegroepen[],3,FALSE)*VLOOKUP($L141,Vloersoorten[],3,FALSE)*VLOOKUP($T141,Frequenties[],3,FALSE)*VLOOKUP($A141,Locaties[],3,FALSE),0)</f>
        <v>0</v>
      </c>
      <c r="W141" s="434">
        <f>Ruimtestaat[[#This Row],[Uitvoeringen werkdagen]]*Ruimtestaat[[#This Row],[Oppervlak (netto)]]</f>
        <v>7800</v>
      </c>
      <c r="X141" s="441">
        <f>IF(V141&gt;0,Ruimtestaat[[#This Row],[Prest. (m2 /jaar) werkdagen]]/Ruimtestaat[[#This Row],[Norm (m2/uur) werkdagen]],0)</f>
        <v>0</v>
      </c>
      <c r="Y141" s="442">
        <f>Ruimtestaat[[#This Row],[Uitvoeringen werkdagen]]*Ruimtestaat[[#This Row],[Gedeeltelijk]]</f>
        <v>0</v>
      </c>
      <c r="Z141" s="443" t="e">
        <f>IF(U141&gt;0,Ruimtestaat[[#This Row],[Prest. (m2 / jaar) werkdagen gedeeld]]/Ruimtestaat[[#This Row],[Norm (m2/uur) werkdagen]],0)</f>
        <v>#DIV/0!</v>
      </c>
      <c r="AA141" s="441" t="e">
        <f>Ruimtestaat[[#This Row],[uren / jaar werkdagen gedeeld]]*Tariefsopbouw!$E$35</f>
        <v>#DIV/0!</v>
      </c>
      <c r="AB141" s="441">
        <f>Ruimtestaat[[#This Row],[Uitvoeringen werkdagen]]*Ruimtestaat[[#This Row],[BSO]]</f>
        <v>0</v>
      </c>
      <c r="AC141" s="443" t="e">
        <f>IF(U141&gt;0,Ruimtestaat[[#This Row],[Prest. (m2 / jaar) werkdagen BSO]]/Ruimtestaat[[#This Row],[Norm (m2/uur) werkdagen]],0)</f>
        <v>#DIV/0!</v>
      </c>
      <c r="AD141" s="443" t="e">
        <f>Ruimtestaat[[#This Row],[uren / jaar werkdagen BSO]]*Tariefsopbouw!$E$35</f>
        <v>#DIV/0!</v>
      </c>
      <c r="AE141" s="444">
        <f>Ruimtestaat[[#This Row],[uren / jaar werkdagen]]*Tariefsopbouw!$E$35</f>
        <v>0</v>
      </c>
      <c r="AF141" s="434"/>
      <c r="AG141" s="434">
        <f>IF(Ruimtestaat[[#This Row],[Frequentie weekend]]&gt;0,VALUE(LEFT(AF141,1))*S141,0)</f>
        <v>0</v>
      </c>
      <c r="AH141" s="445">
        <f>IF($AG141&gt;0,VLOOKUP($J141,Ruimtegroepen[],3,FALSE)*VLOOKUP($L141,Vloersoorten[],3,FALSE)*VLOOKUP($AF141,Frequenties[],3,FALSE)*VLOOKUP(Ruimtestaat[[#This Row],[Code]],Locaties[],3,FALSE),0)</f>
        <v>0</v>
      </c>
      <c r="AI141" s="445">
        <f>Ruimtestaat[[#This Row],[Uitvoeringen weekend]]*Ruimtestaat[[#This Row],[Oppervlak (netto)]]</f>
        <v>0</v>
      </c>
      <c r="AJ141" s="445">
        <f>IF(AH141&gt;0,Ruimtestaat[[#This Row],[Prest. (m2 /jaar) weekend]]/Ruimtestaat[[#This Row],[Norm (m2/uur) weekend]],0)</f>
        <v>0</v>
      </c>
      <c r="AK141" s="444">
        <f>Ruimtestaat[[#This Row],[uren / jaar weekend]]*Tariefsopbouw!$D$40</f>
        <v>0</v>
      </c>
      <c r="AL141" s="441">
        <f>Ruimtestaat[[#This Row],[Prest. (m2 /jaar) weekend]]+Ruimtestaat[[#This Row],[Prest. (m2 /jaar) werkdagen]]</f>
        <v>7800</v>
      </c>
      <c r="AM141" s="441">
        <f>Ruimtestaat[[#This Row],[uren / jaar weekend]]+Ruimtestaat[[#This Row],[uren / jaar werkdagen]]</f>
        <v>0</v>
      </c>
      <c r="AN141" s="446">
        <f>Ruimtestaat[[#This Row],[kosten / jaar weekend]]+Ruimtestaat[[#This Row],[kosten / jaar werkdagen]]</f>
        <v>0</v>
      </c>
      <c r="AO141" s="446"/>
      <c r="AP141" s="447" t="str">
        <f>IF(Ruimtestaat[[#This Row],[Frequentie werkdagen]]="","",_xlfn.CONCAT(Ruimtestaat[[#This Row],[Ruimte code]],"-",Ruimtestaat[[#This Row],[Frequentie werkdagen]]," ",Ruimtestaat[[#This Row],[Vloer code]]))</f>
        <v>16-5w L</v>
      </c>
      <c r="AQ141" s="448" t="str">
        <f>_xlfn.IFNA(VLOOKUP($AP141,Programma!$F$3:$G$1101,2,0),"")</f>
        <v>_</v>
      </c>
      <c r="AR141" s="448" t="str">
        <f>_xlfn.IFNA(VLOOKUP($AP141,Programma!$F$3:$H$1101,3,0),"")</f>
        <v>_</v>
      </c>
      <c r="AS141" s="448" t="str">
        <f>_xlfn.IFNA(VLOOKUP($AP141,Programma!$F$3:$I$1101,4,0),"")</f>
        <v>4w</v>
      </c>
      <c r="AT141" s="448" t="str">
        <f>_xlfn.IFNA(VLOOKUP($AP141,Programma!$F$3:$J$1101,5,0),"")</f>
        <v>1w</v>
      </c>
      <c r="AU141" s="448" t="str">
        <f>_xlfn.IFNA(VLOOKUP($AP141,Programma!$F$3:$K$1101,6,0),"")</f>
        <v>_</v>
      </c>
      <c r="AV141" s="448" t="str">
        <f>_xlfn.IFNA(VLOOKUP($AP141,Programma!$F$3:$L$1101,7,0),"")</f>
        <v>_</v>
      </c>
      <c r="AW141" s="448" t="str">
        <f>_xlfn.IFNA(VLOOKUP($AP141,Programma!$F$3:$M$1101,8,0),"")</f>
        <v>_</v>
      </c>
      <c r="AX141" s="448" t="str">
        <f>_xlfn.IFNA(VLOOKUP($AP141,Programma!$F$3:$N$1101,9,0),"")</f>
        <v>_</v>
      </c>
      <c r="AY141" s="448" t="str">
        <f>_xlfn.IFNA(VLOOKUP($AP141,Programma!$F$3:$O$1101,10,0),"")</f>
        <v>5w</v>
      </c>
      <c r="AZ141" s="448" t="str">
        <f>_xlfn.IFNA(VLOOKUP($AP141,Programma!$F$3:$P$1101,11,0),"")</f>
        <v>5w</v>
      </c>
      <c r="BA141" s="448" t="str">
        <f>_xlfn.IFNA(VLOOKUP($AP141,Programma!$F$3:$Q$1101,12,0),"")</f>
        <v>1w</v>
      </c>
      <c r="BB141" s="448" t="str">
        <f>_xlfn.IFNA(VLOOKUP($AP141,Programma!$F$3:$R$1101,13,0),"")</f>
        <v>1w</v>
      </c>
      <c r="BC141" s="448" t="str">
        <f>_xlfn.IFNA(VLOOKUP($AP141,Programma!$F$3:$S$1101,14,0),"")</f>
        <v>1m</v>
      </c>
      <c r="BD141" s="448" t="str">
        <f>_xlfn.IFNA(VLOOKUP($AP141,Programma!$F$3:$T$1101,15,0),"")</f>
        <v>2j</v>
      </c>
      <c r="BE141" s="448" t="str">
        <f>_xlfn.IFNA(VLOOKUP($AP141,Programma!$F$3:$U$1101,16,0),"")</f>
        <v>1j</v>
      </c>
      <c r="BF141" s="448" t="str">
        <f>_xlfn.IFNA(VLOOKUP($AP141,Programma!$F$3:$V$1101,17,0),"")</f>
        <v>_</v>
      </c>
      <c r="BG141" s="448" t="str">
        <f>_xlfn.IFNA(VLOOKUP($AP141,Programma!$F$3:$W$1101,18,0),"")</f>
        <v>_</v>
      </c>
      <c r="BH141" s="448" t="str">
        <f>_xlfn.IFNA(VLOOKUP($AP141,Programma!$F$3:$X$1101,19,0),"")</f>
        <v>_</v>
      </c>
      <c r="BI141" s="448" t="str">
        <f>_xlfn.IFNA(VLOOKUP($AP141,Programma!$F$3:$Y$1101,20,0),"")</f>
        <v>_</v>
      </c>
      <c r="BJ141" s="449"/>
      <c r="BK141" s="447" t="str">
        <f>IF(Ruimtestaat[[#This Row],[Frequentie weekend]]="","",_xlfn.CONCAT(Ruimtestaat[[#This Row],[Ruimte code]],"-",Ruimtestaat[[#This Row],[Frequentie weekend]]," ",Ruimtestaat[[#This Row],[Vloer code]]))</f>
        <v/>
      </c>
      <c r="BL141" s="448" t="str">
        <f>_xlfn.IFNA(VLOOKUP($BK141,Programma!$F$3:$G$1101,2,0),"")</f>
        <v/>
      </c>
      <c r="BM141" s="448" t="str">
        <f>_xlfn.IFNA(VLOOKUP($BK141,Programma!$F$3:$H$1101,3,0),"")</f>
        <v/>
      </c>
      <c r="BN141" s="448" t="str">
        <f>_xlfn.IFNA(VLOOKUP($BK141,Programma!$F$3:$I$1101,4,0),"")</f>
        <v/>
      </c>
      <c r="BO141" s="448" t="str">
        <f>_xlfn.IFNA(VLOOKUP($BK141,Programma!$F$3:$J$1101,5,0),"")</f>
        <v/>
      </c>
      <c r="BP141" s="448" t="str">
        <f>_xlfn.IFNA(VLOOKUP($BK141,Programma!$F$3:$K$1101,6,0),"")</f>
        <v/>
      </c>
      <c r="BQ141" s="448" t="str">
        <f>_xlfn.IFNA(VLOOKUP($BK141,Programma!$F$3:$L$1101,7,0),"")</f>
        <v/>
      </c>
      <c r="BR141" s="448" t="str">
        <f>_xlfn.IFNA(VLOOKUP($BK141,Programma!$F$3:$M$1101,8,0),"")</f>
        <v/>
      </c>
      <c r="BS141" s="448" t="str">
        <f>_xlfn.IFNA(VLOOKUP($BK141,Programma!$F$3:$N$1101,9,0),"")</f>
        <v/>
      </c>
      <c r="BT141" s="448" t="str">
        <f>_xlfn.IFNA(VLOOKUP($BK141,Programma!$F$3:$O$1101,10,0),"")</f>
        <v/>
      </c>
      <c r="BU141" s="448" t="str">
        <f>_xlfn.IFNA(VLOOKUP($BK141,Programma!$F$3:$P$1101,11,0),"")</f>
        <v/>
      </c>
      <c r="BV141" s="448" t="str">
        <f>_xlfn.IFNA(VLOOKUP($BK141,Programma!$F$3:$Q$1101,12,0),"")</f>
        <v/>
      </c>
      <c r="BW141" s="448" t="str">
        <f>_xlfn.IFNA(VLOOKUP($BK141,Programma!$F$3:$R$1101,13,0),"")</f>
        <v/>
      </c>
      <c r="BX141" s="448" t="str">
        <f>_xlfn.IFNA(VLOOKUP($BK141,Programma!$F$3:$S$1101,14,0),"")</f>
        <v/>
      </c>
      <c r="BY141" s="448" t="str">
        <f>_xlfn.IFNA(VLOOKUP($BK141,Programma!$F$3:$T$1101,15,0),"")</f>
        <v/>
      </c>
      <c r="BZ141" s="448" t="str">
        <f>_xlfn.IFNA(VLOOKUP($BK141,Programma!$F$3:$U$1101,16,0),"")</f>
        <v/>
      </c>
      <c r="CA141" s="448" t="str">
        <f>_xlfn.IFNA(VLOOKUP($BK141,Programma!$F$3:$V$1101,17,0),"")</f>
        <v/>
      </c>
      <c r="CB141" s="448" t="str">
        <f>_xlfn.IFNA(VLOOKUP($BK141,Programma!$F$3:$W$1101,18,0),"")</f>
        <v/>
      </c>
      <c r="CC141" s="448" t="str">
        <f>_xlfn.IFNA(VLOOKUP($BK141,Programma!$F$3:$X$1101,19,0),"")</f>
        <v/>
      </c>
      <c r="CD141" s="448" t="str">
        <f>_xlfn.IFNA(VLOOKUP($BK141,Programma!$F$3:$Y$1101,20,0),"")</f>
        <v/>
      </c>
      <c r="CE141" s="327"/>
      <c r="CF141" s="327"/>
      <c r="CG141" s="327"/>
      <c r="CH141" s="327"/>
      <c r="CI141" s="327"/>
      <c r="CJ141" s="327"/>
      <c r="CK141" s="327"/>
      <c r="CL141" s="327"/>
      <c r="CM141" s="327"/>
      <c r="CN141" s="327"/>
      <c r="CO141" s="327"/>
      <c r="CP141" s="327"/>
      <c r="CQ141" s="327"/>
      <c r="CR141" s="327"/>
      <c r="CS141" s="327"/>
      <c r="CT141" s="327"/>
      <c r="CU141" s="327"/>
      <c r="CV141" s="327"/>
      <c r="CW141" s="327"/>
      <c r="CX141" s="327"/>
      <c r="CY141" s="327"/>
      <c r="CZ141" s="327"/>
      <c r="DA141" s="327"/>
      <c r="DB141" s="327"/>
      <c r="DC141" s="327"/>
      <c r="DD141" s="327"/>
      <c r="DE141" s="327"/>
      <c r="DF141" s="327"/>
      <c r="DG141" s="327"/>
      <c r="DH141" s="327"/>
      <c r="DI141" s="327"/>
      <c r="DJ141" s="327"/>
      <c r="DK141" s="327"/>
      <c r="DL141" s="327"/>
      <c r="DM141" s="327"/>
      <c r="DN141" s="327"/>
      <c r="DO141" s="327"/>
      <c r="DP141" s="327"/>
      <c r="DQ141" s="327"/>
      <c r="DR141" s="327"/>
      <c r="DS141" s="327"/>
      <c r="DT141" s="327"/>
      <c r="DU141" s="327"/>
      <c r="DV141" s="327"/>
      <c r="DW141" s="327"/>
      <c r="DX141" s="327"/>
      <c r="DY141" s="327"/>
      <c r="DZ141" s="327"/>
      <c r="EA141" s="327"/>
      <c r="EB141" s="327"/>
      <c r="EC141" s="327"/>
      <c r="ED141" s="327"/>
      <c r="EE141" s="327"/>
      <c r="EF141" s="327"/>
      <c r="EG141" s="327"/>
      <c r="EH141" s="327"/>
      <c r="EI141" s="327"/>
      <c r="EJ141" s="327"/>
      <c r="EK141" s="327"/>
      <c r="EL141" s="327"/>
      <c r="EM141" s="327"/>
      <c r="EN141" s="327"/>
      <c r="EO141" s="327"/>
      <c r="EP141" s="327"/>
      <c r="EQ141" s="327"/>
      <c r="ER141" s="327"/>
      <c r="ES141" s="327"/>
      <c r="ET141" s="327"/>
      <c r="EU141" s="327"/>
      <c r="EV141" s="327"/>
      <c r="EW141" s="327"/>
      <c r="EX141" s="327"/>
      <c r="EY141" s="327"/>
      <c r="EZ141" s="327"/>
      <c r="FA141" s="327"/>
      <c r="FB141" s="327"/>
      <c r="FC141" s="327"/>
      <c r="FD141" s="327"/>
      <c r="FE141" s="327"/>
      <c r="FF141" s="327"/>
      <c r="FG141" s="327"/>
      <c r="FH141" s="327"/>
      <c r="FI141" s="327"/>
      <c r="FJ141" s="327"/>
      <c r="FK141" s="327"/>
      <c r="FL141" s="327"/>
      <c r="FM141" s="327"/>
      <c r="FN141" s="327"/>
      <c r="FO141" s="327"/>
      <c r="FP141" s="327"/>
      <c r="FQ141" s="327"/>
      <c r="FR141" s="327"/>
      <c r="FS141" s="327"/>
      <c r="FT141" s="327"/>
      <c r="FU141" s="327"/>
      <c r="FV141" s="327"/>
      <c r="FW141" s="327"/>
      <c r="FX141" s="327"/>
      <c r="FY141" s="327"/>
      <c r="FZ141" s="327"/>
      <c r="GA141" s="327"/>
      <c r="GB141" s="327"/>
      <c r="GC141" s="327"/>
      <c r="GD141" s="327"/>
      <c r="GE141" s="327"/>
      <c r="GF141" s="327"/>
      <c r="GG141" s="327"/>
      <c r="GH141" s="327"/>
      <c r="GI141" s="327"/>
      <c r="GJ141" s="327"/>
      <c r="GK141" s="327"/>
      <c r="GL141" s="327"/>
      <c r="GM141" s="327"/>
      <c r="GN141" s="327"/>
      <c r="GO141" s="327"/>
      <c r="GP141" s="327"/>
      <c r="GQ141" s="327"/>
      <c r="GR141" s="327"/>
      <c r="GS141" s="327"/>
      <c r="GT141" s="327"/>
      <c r="GU141" s="327"/>
      <c r="GV141" s="327"/>
      <c r="GW141" s="327"/>
      <c r="GX141" s="327"/>
      <c r="GY141" s="327"/>
      <c r="GZ141" s="327"/>
      <c r="HA141" s="327"/>
      <c r="HB141" s="327"/>
      <c r="HC141" s="327"/>
      <c r="HD141" s="327"/>
      <c r="HE141" s="327"/>
      <c r="HF141" s="327"/>
      <c r="HG141" s="327"/>
      <c r="HH141" s="327"/>
      <c r="HI141" s="327"/>
      <c r="HJ141" s="327"/>
      <c r="HK141" s="327"/>
      <c r="HL141" s="327"/>
      <c r="HM141" s="327"/>
      <c r="HN141" s="327"/>
      <c r="HO141" s="327"/>
      <c r="HP141" s="327"/>
      <c r="HQ141" s="327"/>
      <c r="HR141" s="327"/>
      <c r="HS141" s="327"/>
    </row>
    <row r="142" spans="1:227" ht="15" customHeight="1">
      <c r="A142" s="330">
        <v>6</v>
      </c>
      <c r="B142" s="435" t="str">
        <f>VLOOKUP(Ruimtestaat[[#This Row],[Code]],Locaties[[Code]:[Locatie]],2,FALSE)</f>
        <v>IKC Het Zwanenbos</v>
      </c>
      <c r="C142" s="435" t="str">
        <f>VLOOKUP(Ruimtestaat[[#This Row],[Code]],Locaties[[#All],[Code]:[Adres]],4,FALSE)</f>
        <v>Kerkenbos 24-26</v>
      </c>
      <c r="D142" s="435" t="str">
        <f>VLOOKUP(Ruimtestaat[[#This Row],[Code]],Locaties[[#All],[Code]:[Postcode]],5,FALSE)</f>
        <v>2716 PH</v>
      </c>
      <c r="E142" s="435" t="str">
        <f>VLOOKUP(Ruimtestaat[[#This Row],[Code]],Locaties[#All],6,FALSE)</f>
        <v>Zoetermeer</v>
      </c>
      <c r="F142" s="434"/>
      <c r="G142" s="434" t="s">
        <v>1769</v>
      </c>
      <c r="H142" s="330" t="s">
        <v>1732</v>
      </c>
      <c r="I142" s="450" t="s">
        <v>1708</v>
      </c>
      <c r="J142" s="330">
        <v>6</v>
      </c>
      <c r="K142" s="450" t="str">
        <f>VLOOKUP(Ruimtestaat[[#This Row],[Ruimte code]],Ruimtegroepen[[#All],[Code]:[Ruimte omschrijving]],2,FALSE)</f>
        <v>Gangen/hallen</v>
      </c>
      <c r="L142" s="434" t="s">
        <v>100</v>
      </c>
      <c r="M142" s="437" t="s">
        <v>1759</v>
      </c>
      <c r="N142" s="439">
        <v>9</v>
      </c>
      <c r="O142" s="439"/>
      <c r="P142" s="439"/>
      <c r="Q142" s="439"/>
      <c r="R142" s="440" t="str">
        <f>VLOOKUP(Ruimtestaat[[#This Row],[Ruimte code]],Ruimtegroepen[],4,FALSE)</f>
        <v>Ve</v>
      </c>
      <c r="S142" s="434">
        <v>41</v>
      </c>
      <c r="T142" s="434" t="s">
        <v>2</v>
      </c>
      <c r="U142" s="434">
        <f>IF(S142&gt;0,IF(RIGHT(Ruimtestaat[[#This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42" s="434">
        <f>IF(U142&gt;0,VLOOKUP($J142,Ruimtegroepen[],3,FALSE)*VLOOKUP($L142,Vloersoorten[],3,FALSE)*VLOOKUP($T142,Frequenties[],3,FALSE)*VLOOKUP($A142,Locaties[],3,FALSE),0)</f>
        <v>0</v>
      </c>
      <c r="W142" s="434">
        <f>Ruimtestaat[[#This Row],[Uitvoeringen werkdagen]]*Ruimtestaat[[#This Row],[Oppervlak (netto)]]</f>
        <v>1845</v>
      </c>
      <c r="X142" s="441">
        <f>IF(V142&gt;0,Ruimtestaat[[#This Row],[Prest. (m2 /jaar) werkdagen]]/Ruimtestaat[[#This Row],[Norm (m2/uur) werkdagen]],0)</f>
        <v>0</v>
      </c>
      <c r="Y142" s="442">
        <f>Ruimtestaat[[#This Row],[Uitvoeringen werkdagen]]*Ruimtestaat[[#This Row],[Gedeeltelijk]]</f>
        <v>0</v>
      </c>
      <c r="Z142" s="443" t="e">
        <f>IF(U142&gt;0,Ruimtestaat[[#This Row],[Prest. (m2 / jaar) werkdagen gedeeld]]/Ruimtestaat[[#This Row],[Norm (m2/uur) werkdagen]],0)</f>
        <v>#DIV/0!</v>
      </c>
      <c r="AA142" s="441" t="e">
        <f>Ruimtestaat[[#This Row],[uren / jaar werkdagen gedeeld]]*Tariefsopbouw!$E$35</f>
        <v>#DIV/0!</v>
      </c>
      <c r="AB142" s="441">
        <f>Ruimtestaat[[#This Row],[Uitvoeringen werkdagen]]*Ruimtestaat[[#This Row],[BSO]]</f>
        <v>0</v>
      </c>
      <c r="AC142" s="443" t="e">
        <f>IF(U142&gt;0,Ruimtestaat[[#This Row],[Prest. (m2 / jaar) werkdagen BSO]]/Ruimtestaat[[#This Row],[Norm (m2/uur) werkdagen]],0)</f>
        <v>#DIV/0!</v>
      </c>
      <c r="AD142" s="443" t="e">
        <f>Ruimtestaat[[#This Row],[uren / jaar werkdagen BSO]]*Tariefsopbouw!$E$35</f>
        <v>#DIV/0!</v>
      </c>
      <c r="AE142" s="444">
        <f>Ruimtestaat[[#This Row],[uren / jaar werkdagen]]*Tariefsopbouw!$E$35</f>
        <v>0</v>
      </c>
      <c r="AF142" s="434"/>
      <c r="AG142" s="434">
        <f>IF(Ruimtestaat[[#This Row],[Frequentie weekend]]&gt;0,VALUE(LEFT(AF142,1))*S142,0)</f>
        <v>0</v>
      </c>
      <c r="AH142" s="445">
        <f>IF($AG142&gt;0,VLOOKUP($J142,Ruimtegroepen[],3,FALSE)*VLOOKUP($L142,Vloersoorten[],3,FALSE)*VLOOKUP($AF142,Frequenties[],3,FALSE)*VLOOKUP(Ruimtestaat[[#This Row],[Code]],Locaties[],3,FALSE),0)</f>
        <v>0</v>
      </c>
      <c r="AI142" s="445">
        <f>Ruimtestaat[[#This Row],[Uitvoeringen weekend]]*Ruimtestaat[[#This Row],[Oppervlak (netto)]]</f>
        <v>0</v>
      </c>
      <c r="AJ142" s="445">
        <f>IF(AH142&gt;0,Ruimtestaat[[#This Row],[Prest. (m2 /jaar) weekend]]/Ruimtestaat[[#This Row],[Norm (m2/uur) weekend]],0)</f>
        <v>0</v>
      </c>
      <c r="AK142" s="444">
        <f>Ruimtestaat[[#This Row],[uren / jaar weekend]]*Tariefsopbouw!$D$40</f>
        <v>0</v>
      </c>
      <c r="AL142" s="441">
        <f>Ruimtestaat[[#This Row],[Prest. (m2 /jaar) weekend]]+Ruimtestaat[[#This Row],[Prest. (m2 /jaar) werkdagen]]</f>
        <v>1845</v>
      </c>
      <c r="AM142" s="441">
        <f>Ruimtestaat[[#This Row],[uren / jaar weekend]]+Ruimtestaat[[#This Row],[uren / jaar werkdagen]]</f>
        <v>0</v>
      </c>
      <c r="AN142" s="446">
        <f>Ruimtestaat[[#This Row],[kosten / jaar weekend]]+Ruimtestaat[[#This Row],[kosten / jaar werkdagen]]</f>
        <v>0</v>
      </c>
      <c r="AO142" s="446"/>
      <c r="AP142" s="447" t="str">
        <f>IF(Ruimtestaat[[#This Row],[Frequentie werkdagen]]="","",_xlfn.CONCAT(Ruimtestaat[[#This Row],[Ruimte code]],"-",Ruimtestaat[[#This Row],[Frequentie werkdagen]]," ",Ruimtestaat[[#This Row],[Vloer code]]))</f>
        <v>6-5w L</v>
      </c>
      <c r="AQ142" s="448" t="str">
        <f>_xlfn.IFNA(VLOOKUP($AP142,Programma!$F$3:$G$1101,2,0),"")</f>
        <v>_</v>
      </c>
      <c r="AR142" s="448" t="str">
        <f>_xlfn.IFNA(VLOOKUP($AP142,Programma!$F$3:$H$1101,3,0),"")</f>
        <v>_</v>
      </c>
      <c r="AS142" s="448" t="str">
        <f>_xlfn.IFNA(VLOOKUP($AP142,Programma!$F$3:$I$1101,4,0),"")</f>
        <v>_</v>
      </c>
      <c r="AT142" s="448" t="str">
        <f>_xlfn.IFNA(VLOOKUP($AP142,Programma!$F$3:$J$1101,5,0),"")</f>
        <v>5w</v>
      </c>
      <c r="AU142" s="448" t="str">
        <f>_xlfn.IFNA(VLOOKUP($AP142,Programma!$F$3:$K$1101,6,0),"")</f>
        <v>_</v>
      </c>
      <c r="AV142" s="448" t="str">
        <f>_xlfn.IFNA(VLOOKUP($AP142,Programma!$F$3:$L$1101,7,0),"")</f>
        <v>_</v>
      </c>
      <c r="AW142" s="448" t="str">
        <f>_xlfn.IFNA(VLOOKUP($AP142,Programma!$F$3:$M$1101,8,0),"")</f>
        <v>_</v>
      </c>
      <c r="AX142" s="448" t="str">
        <f>_xlfn.IFNA(VLOOKUP($AP142,Programma!$F$3:$N$1101,9,0),"")</f>
        <v>_</v>
      </c>
      <c r="AY142" s="448" t="str">
        <f>_xlfn.IFNA(VLOOKUP($AP142,Programma!$F$3:$O$1101,10,0),"")</f>
        <v>5w</v>
      </c>
      <c r="AZ142" s="448" t="str">
        <f>_xlfn.IFNA(VLOOKUP($AP142,Programma!$F$3:$P$1101,11,0),"")</f>
        <v>5w</v>
      </c>
      <c r="BA142" s="448" t="str">
        <f>_xlfn.IFNA(VLOOKUP($AP142,Programma!$F$3:$Q$1101,12,0),"")</f>
        <v>1w</v>
      </c>
      <c r="BB142" s="448" t="str">
        <f>_xlfn.IFNA(VLOOKUP($AP142,Programma!$F$3:$R$1101,13,0),"")</f>
        <v>1w</v>
      </c>
      <c r="BC142" s="448" t="str">
        <f>_xlfn.IFNA(VLOOKUP($AP142,Programma!$F$3:$S$1101,14,0),"")</f>
        <v>1m</v>
      </c>
      <c r="BD142" s="448" t="str">
        <f>_xlfn.IFNA(VLOOKUP($AP142,Programma!$F$3:$T$1101,15,0),"")</f>
        <v>2j</v>
      </c>
      <c r="BE142" s="448" t="str">
        <f>_xlfn.IFNA(VLOOKUP($AP142,Programma!$F$3:$U$1101,16,0),"")</f>
        <v>1j</v>
      </c>
      <c r="BF142" s="448" t="str">
        <f>_xlfn.IFNA(VLOOKUP($AP142,Programma!$F$3:$V$1101,17,0),"")</f>
        <v>_</v>
      </c>
      <c r="BG142" s="448" t="str">
        <f>_xlfn.IFNA(VLOOKUP($AP142,Programma!$F$3:$W$1101,18,0),"")</f>
        <v>_</v>
      </c>
      <c r="BH142" s="448" t="str">
        <f>_xlfn.IFNA(VLOOKUP($AP142,Programma!$F$3:$X$1101,19,0),"")</f>
        <v>_</v>
      </c>
      <c r="BI142" s="448" t="str">
        <f>_xlfn.IFNA(VLOOKUP($AP142,Programma!$F$3:$Y$1101,20,0),"")</f>
        <v>_</v>
      </c>
      <c r="BJ142" s="449"/>
      <c r="BK142" s="447" t="str">
        <f>IF(Ruimtestaat[[#This Row],[Frequentie weekend]]="","",_xlfn.CONCAT(Ruimtestaat[[#This Row],[Ruimte code]],"-",Ruimtestaat[[#This Row],[Frequentie weekend]]," ",Ruimtestaat[[#This Row],[Vloer code]]))</f>
        <v/>
      </c>
      <c r="BL142" s="448" t="str">
        <f>_xlfn.IFNA(VLOOKUP($BK142,Programma!$F$3:$G$1101,2,0),"")</f>
        <v/>
      </c>
      <c r="BM142" s="448" t="str">
        <f>_xlfn.IFNA(VLOOKUP($BK142,Programma!$F$3:$H$1101,3,0),"")</f>
        <v/>
      </c>
      <c r="BN142" s="448" t="str">
        <f>_xlfn.IFNA(VLOOKUP($BK142,Programma!$F$3:$I$1101,4,0),"")</f>
        <v/>
      </c>
      <c r="BO142" s="448" t="str">
        <f>_xlfn.IFNA(VLOOKUP($BK142,Programma!$F$3:$J$1101,5,0),"")</f>
        <v/>
      </c>
      <c r="BP142" s="448" t="str">
        <f>_xlfn.IFNA(VLOOKUP($BK142,Programma!$F$3:$K$1101,6,0),"")</f>
        <v/>
      </c>
      <c r="BQ142" s="448" t="str">
        <f>_xlfn.IFNA(VLOOKUP($BK142,Programma!$F$3:$L$1101,7,0),"")</f>
        <v/>
      </c>
      <c r="BR142" s="448" t="str">
        <f>_xlfn.IFNA(VLOOKUP($BK142,Programma!$F$3:$M$1101,8,0),"")</f>
        <v/>
      </c>
      <c r="BS142" s="448" t="str">
        <f>_xlfn.IFNA(VLOOKUP($BK142,Programma!$F$3:$N$1101,9,0),"")</f>
        <v/>
      </c>
      <c r="BT142" s="448" t="str">
        <f>_xlfn.IFNA(VLOOKUP($BK142,Programma!$F$3:$O$1101,10,0),"")</f>
        <v/>
      </c>
      <c r="BU142" s="448" t="str">
        <f>_xlfn.IFNA(VLOOKUP($BK142,Programma!$F$3:$P$1101,11,0),"")</f>
        <v/>
      </c>
      <c r="BV142" s="448" t="str">
        <f>_xlfn.IFNA(VLOOKUP($BK142,Programma!$F$3:$Q$1101,12,0),"")</f>
        <v/>
      </c>
      <c r="BW142" s="448" t="str">
        <f>_xlfn.IFNA(VLOOKUP($BK142,Programma!$F$3:$R$1101,13,0),"")</f>
        <v/>
      </c>
      <c r="BX142" s="448" t="str">
        <f>_xlfn.IFNA(VLOOKUP($BK142,Programma!$F$3:$S$1101,14,0),"")</f>
        <v/>
      </c>
      <c r="BY142" s="448" t="str">
        <f>_xlfn.IFNA(VLOOKUP($BK142,Programma!$F$3:$T$1101,15,0),"")</f>
        <v/>
      </c>
      <c r="BZ142" s="448" t="str">
        <f>_xlfn.IFNA(VLOOKUP($BK142,Programma!$F$3:$U$1101,16,0),"")</f>
        <v/>
      </c>
      <c r="CA142" s="448" t="str">
        <f>_xlfn.IFNA(VLOOKUP($BK142,Programma!$F$3:$V$1101,17,0),"")</f>
        <v/>
      </c>
      <c r="CB142" s="448" t="str">
        <f>_xlfn.IFNA(VLOOKUP($BK142,Programma!$F$3:$W$1101,18,0),"")</f>
        <v/>
      </c>
      <c r="CC142" s="448" t="str">
        <f>_xlfn.IFNA(VLOOKUP($BK142,Programma!$F$3:$X$1101,19,0),"")</f>
        <v/>
      </c>
      <c r="CD142" s="448" t="str">
        <f>_xlfn.IFNA(VLOOKUP($BK142,Programma!$F$3:$Y$1101,20,0),"")</f>
        <v/>
      </c>
      <c r="CE142" s="327"/>
      <c r="CF142" s="327"/>
      <c r="CG142" s="327"/>
      <c r="CH142" s="327"/>
      <c r="CI142" s="327"/>
      <c r="CJ142" s="327"/>
      <c r="CK142" s="327"/>
      <c r="CL142" s="327"/>
      <c r="CM142" s="327"/>
      <c r="CN142" s="327"/>
      <c r="CO142" s="327"/>
      <c r="CP142" s="327"/>
      <c r="CQ142" s="327"/>
      <c r="CR142" s="327"/>
      <c r="CS142" s="327"/>
      <c r="CT142" s="327"/>
      <c r="CU142" s="327"/>
      <c r="CV142" s="327"/>
      <c r="CW142" s="327"/>
      <c r="CX142" s="327"/>
      <c r="CY142" s="327"/>
      <c r="CZ142" s="327"/>
      <c r="DA142" s="327"/>
      <c r="DB142" s="327"/>
      <c r="DC142" s="327"/>
      <c r="DD142" s="327"/>
      <c r="DE142" s="327"/>
      <c r="DF142" s="327"/>
      <c r="DG142" s="327"/>
      <c r="DH142" s="327"/>
      <c r="DI142" s="327"/>
      <c r="DJ142" s="327"/>
      <c r="DK142" s="327"/>
      <c r="DL142" s="327"/>
      <c r="DM142" s="327"/>
      <c r="DN142" s="327"/>
      <c r="DO142" s="327"/>
      <c r="DP142" s="327"/>
      <c r="DQ142" s="327"/>
      <c r="DR142" s="327"/>
      <c r="DS142" s="327"/>
      <c r="DT142" s="327"/>
      <c r="DU142" s="327"/>
      <c r="DV142" s="327"/>
      <c r="DW142" s="327"/>
      <c r="DX142" s="327"/>
      <c r="DY142" s="327"/>
      <c r="DZ142" s="327"/>
      <c r="EA142" s="327"/>
      <c r="EB142" s="327"/>
      <c r="EC142" s="327"/>
      <c r="ED142" s="327"/>
      <c r="EE142" s="327"/>
      <c r="EF142" s="327"/>
      <c r="EG142" s="327"/>
      <c r="EH142" s="327"/>
      <c r="EI142" s="327"/>
      <c r="EJ142" s="327"/>
      <c r="EK142" s="327"/>
      <c r="EL142" s="327"/>
      <c r="EM142" s="327"/>
      <c r="EN142" s="327"/>
      <c r="EO142" s="327"/>
      <c r="EP142" s="327"/>
      <c r="EQ142" s="327"/>
      <c r="ER142" s="327"/>
      <c r="ES142" s="327"/>
      <c r="ET142" s="327"/>
      <c r="EU142" s="327"/>
      <c r="EV142" s="327"/>
      <c r="EW142" s="327"/>
      <c r="EX142" s="327"/>
      <c r="EY142" s="327"/>
      <c r="EZ142" s="327"/>
      <c r="FA142" s="327"/>
      <c r="FB142" s="327"/>
      <c r="FC142" s="327"/>
      <c r="FD142" s="327"/>
      <c r="FE142" s="327"/>
      <c r="FF142" s="327"/>
      <c r="FG142" s="327"/>
      <c r="FH142" s="327"/>
      <c r="FI142" s="327"/>
      <c r="FJ142" s="327"/>
      <c r="FK142" s="327"/>
      <c r="FL142" s="327"/>
      <c r="FM142" s="327"/>
      <c r="FN142" s="327"/>
      <c r="FO142" s="327"/>
      <c r="FP142" s="327"/>
      <c r="FQ142" s="327"/>
      <c r="FR142" s="327"/>
      <c r="FS142" s="327"/>
      <c r="FT142" s="327"/>
      <c r="FU142" s="327"/>
      <c r="FV142" s="327"/>
      <c r="FW142" s="327"/>
      <c r="FX142" s="327"/>
      <c r="FY142" s="327"/>
      <c r="FZ142" s="327"/>
      <c r="GA142" s="327"/>
      <c r="GB142" s="327"/>
      <c r="GC142" s="327"/>
      <c r="GD142" s="327"/>
      <c r="GE142" s="327"/>
      <c r="GF142" s="327"/>
      <c r="GG142" s="327"/>
      <c r="GH142" s="327"/>
      <c r="GI142" s="327"/>
      <c r="GJ142" s="327"/>
      <c r="GK142" s="327"/>
      <c r="GL142" s="327"/>
      <c r="GM142" s="327"/>
      <c r="GN142" s="327"/>
      <c r="GO142" s="327"/>
      <c r="GP142" s="327"/>
      <c r="GQ142" s="327"/>
      <c r="GR142" s="327"/>
      <c r="GS142" s="327"/>
      <c r="GT142" s="327"/>
      <c r="GU142" s="327"/>
      <c r="GV142" s="327"/>
      <c r="GW142" s="327"/>
      <c r="GX142" s="327"/>
      <c r="GY142" s="327"/>
      <c r="GZ142" s="327"/>
      <c r="HA142" s="327"/>
      <c r="HB142" s="327"/>
      <c r="HC142" s="327"/>
      <c r="HD142" s="327"/>
      <c r="HE142" s="327"/>
      <c r="HF142" s="327"/>
      <c r="HG142" s="327"/>
      <c r="HH142" s="327"/>
      <c r="HI142" s="327"/>
      <c r="HJ142" s="327"/>
      <c r="HK142" s="327"/>
      <c r="HL142" s="327"/>
      <c r="HM142" s="327"/>
      <c r="HN142" s="327"/>
      <c r="HO142" s="327"/>
      <c r="HP142" s="327"/>
      <c r="HQ142" s="327"/>
      <c r="HR142" s="327"/>
      <c r="HS142" s="327"/>
    </row>
    <row r="143" spans="1:227" ht="15" customHeight="1">
      <c r="A143" s="330">
        <v>6</v>
      </c>
      <c r="B143" s="435" t="str">
        <f>VLOOKUP(Ruimtestaat[[#This Row],[Code]],Locaties[[Code]:[Locatie]],2,FALSE)</f>
        <v>IKC Het Zwanenbos</v>
      </c>
      <c r="C143" s="435" t="str">
        <f>VLOOKUP(Ruimtestaat[[#This Row],[Code]],Locaties[[#All],[Code]:[Adres]],4,FALSE)</f>
        <v>Kerkenbos 24-26</v>
      </c>
      <c r="D143" s="435" t="str">
        <f>VLOOKUP(Ruimtestaat[[#This Row],[Code]],Locaties[[#All],[Code]:[Postcode]],5,FALSE)</f>
        <v>2716 PH</v>
      </c>
      <c r="E143" s="435" t="str">
        <f>VLOOKUP(Ruimtestaat[[#This Row],[Code]],Locaties[#All],6,FALSE)</f>
        <v>Zoetermeer</v>
      </c>
      <c r="F143" s="434"/>
      <c r="G143" s="434"/>
      <c r="H143" s="330" t="s">
        <v>1734</v>
      </c>
      <c r="I143" s="450" t="s">
        <v>1708</v>
      </c>
      <c r="J143" s="330">
        <v>6</v>
      </c>
      <c r="K143" s="450" t="str">
        <f>VLOOKUP(Ruimtestaat[[#This Row],[Ruimte code]],Ruimtegroepen[[#All],[Code]:[Ruimte omschrijving]],2,FALSE)</f>
        <v>Gangen/hallen</v>
      </c>
      <c r="L143" s="434" t="s">
        <v>100</v>
      </c>
      <c r="M143" s="437" t="s">
        <v>1759</v>
      </c>
      <c r="N143" s="439">
        <v>35</v>
      </c>
      <c r="O143" s="439"/>
      <c r="P143" s="439"/>
      <c r="Q143" s="439"/>
      <c r="R143" s="440" t="str">
        <f>VLOOKUP(Ruimtestaat[[#This Row],[Ruimte code]],Ruimtegroepen[],4,FALSE)</f>
        <v>Ve</v>
      </c>
      <c r="S143" s="434">
        <v>41</v>
      </c>
      <c r="T143" s="434" t="s">
        <v>2</v>
      </c>
      <c r="U143" s="434">
        <f>IF(S143&gt;0,IF(RIGHT(Ruimtestaat[[#This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43" s="434">
        <f>IF(U143&gt;0,VLOOKUP($J143,Ruimtegroepen[],3,FALSE)*VLOOKUP($L143,Vloersoorten[],3,FALSE)*VLOOKUP($T143,Frequenties[],3,FALSE)*VLOOKUP($A143,Locaties[],3,FALSE),0)</f>
        <v>0</v>
      </c>
      <c r="W143" s="434">
        <f>Ruimtestaat[[#This Row],[Uitvoeringen werkdagen]]*Ruimtestaat[[#This Row],[Oppervlak (netto)]]</f>
        <v>7175</v>
      </c>
      <c r="X143" s="441">
        <f>IF(V143&gt;0,Ruimtestaat[[#This Row],[Prest. (m2 /jaar) werkdagen]]/Ruimtestaat[[#This Row],[Norm (m2/uur) werkdagen]],0)</f>
        <v>0</v>
      </c>
      <c r="Y143" s="442">
        <f>Ruimtestaat[[#This Row],[Uitvoeringen werkdagen]]*Ruimtestaat[[#This Row],[Gedeeltelijk]]</f>
        <v>0</v>
      </c>
      <c r="Z143" s="443" t="e">
        <f>IF(U143&gt;0,Ruimtestaat[[#This Row],[Prest. (m2 / jaar) werkdagen gedeeld]]/Ruimtestaat[[#This Row],[Norm (m2/uur) werkdagen]],0)</f>
        <v>#DIV/0!</v>
      </c>
      <c r="AA143" s="441" t="e">
        <f>Ruimtestaat[[#This Row],[uren / jaar werkdagen gedeeld]]*Tariefsopbouw!$E$35</f>
        <v>#DIV/0!</v>
      </c>
      <c r="AB143" s="441">
        <f>Ruimtestaat[[#This Row],[Uitvoeringen werkdagen]]*Ruimtestaat[[#This Row],[BSO]]</f>
        <v>0</v>
      </c>
      <c r="AC143" s="443" t="e">
        <f>IF(U143&gt;0,Ruimtestaat[[#This Row],[Prest. (m2 / jaar) werkdagen BSO]]/Ruimtestaat[[#This Row],[Norm (m2/uur) werkdagen]],0)</f>
        <v>#DIV/0!</v>
      </c>
      <c r="AD143" s="443" t="e">
        <f>Ruimtestaat[[#This Row],[uren / jaar werkdagen BSO]]*Tariefsopbouw!$E$35</f>
        <v>#DIV/0!</v>
      </c>
      <c r="AE143" s="444">
        <f>Ruimtestaat[[#This Row],[uren / jaar werkdagen]]*Tariefsopbouw!$E$35</f>
        <v>0</v>
      </c>
      <c r="AF143" s="434"/>
      <c r="AG143" s="434">
        <f>IF(Ruimtestaat[[#This Row],[Frequentie weekend]]&gt;0,VALUE(LEFT(AF143,1))*S143,0)</f>
        <v>0</v>
      </c>
      <c r="AH143" s="445">
        <f>IF($AG143&gt;0,VLOOKUP($J143,Ruimtegroepen[],3,FALSE)*VLOOKUP($L143,Vloersoorten[],3,FALSE)*VLOOKUP($AF143,Frequenties[],3,FALSE)*VLOOKUP(Ruimtestaat[[#This Row],[Code]],Locaties[],3,FALSE),0)</f>
        <v>0</v>
      </c>
      <c r="AI143" s="445">
        <f>Ruimtestaat[[#This Row],[Uitvoeringen weekend]]*Ruimtestaat[[#This Row],[Oppervlak (netto)]]</f>
        <v>0</v>
      </c>
      <c r="AJ143" s="445">
        <f>IF(AH143&gt;0,Ruimtestaat[[#This Row],[Prest. (m2 /jaar) weekend]]/Ruimtestaat[[#This Row],[Norm (m2/uur) weekend]],0)</f>
        <v>0</v>
      </c>
      <c r="AK143" s="444">
        <f>Ruimtestaat[[#This Row],[uren / jaar weekend]]*Tariefsopbouw!$D$40</f>
        <v>0</v>
      </c>
      <c r="AL143" s="441">
        <f>Ruimtestaat[[#This Row],[Prest. (m2 /jaar) weekend]]+Ruimtestaat[[#This Row],[Prest. (m2 /jaar) werkdagen]]</f>
        <v>7175</v>
      </c>
      <c r="AM143" s="441">
        <f>Ruimtestaat[[#This Row],[uren / jaar weekend]]+Ruimtestaat[[#This Row],[uren / jaar werkdagen]]</f>
        <v>0</v>
      </c>
      <c r="AN143" s="446">
        <f>Ruimtestaat[[#This Row],[kosten / jaar weekend]]+Ruimtestaat[[#This Row],[kosten / jaar werkdagen]]</f>
        <v>0</v>
      </c>
      <c r="AO143" s="446"/>
      <c r="AP143" s="447" t="str">
        <f>IF(Ruimtestaat[[#This Row],[Frequentie werkdagen]]="","",_xlfn.CONCAT(Ruimtestaat[[#This Row],[Ruimte code]],"-",Ruimtestaat[[#This Row],[Frequentie werkdagen]]," ",Ruimtestaat[[#This Row],[Vloer code]]))</f>
        <v>6-5w L</v>
      </c>
      <c r="AQ143" s="448" t="str">
        <f>_xlfn.IFNA(VLOOKUP($AP143,Programma!$F$3:$G$1101,2,0),"")</f>
        <v>_</v>
      </c>
      <c r="AR143" s="448" t="str">
        <f>_xlfn.IFNA(VLOOKUP($AP143,Programma!$F$3:$H$1101,3,0),"")</f>
        <v>_</v>
      </c>
      <c r="AS143" s="448" t="str">
        <f>_xlfn.IFNA(VLOOKUP($AP143,Programma!$F$3:$I$1101,4,0),"")</f>
        <v>_</v>
      </c>
      <c r="AT143" s="448" t="str">
        <f>_xlfn.IFNA(VLOOKUP($AP143,Programma!$F$3:$J$1101,5,0),"")</f>
        <v>5w</v>
      </c>
      <c r="AU143" s="448" t="str">
        <f>_xlfn.IFNA(VLOOKUP($AP143,Programma!$F$3:$K$1101,6,0),"")</f>
        <v>_</v>
      </c>
      <c r="AV143" s="448" t="str">
        <f>_xlfn.IFNA(VLOOKUP($AP143,Programma!$F$3:$L$1101,7,0),"")</f>
        <v>_</v>
      </c>
      <c r="AW143" s="448" t="str">
        <f>_xlfn.IFNA(VLOOKUP($AP143,Programma!$F$3:$M$1101,8,0),"")</f>
        <v>_</v>
      </c>
      <c r="AX143" s="448" t="str">
        <f>_xlfn.IFNA(VLOOKUP($AP143,Programma!$F$3:$N$1101,9,0),"")</f>
        <v>_</v>
      </c>
      <c r="AY143" s="448" t="str">
        <f>_xlfn.IFNA(VLOOKUP($AP143,Programma!$F$3:$O$1101,10,0),"")</f>
        <v>5w</v>
      </c>
      <c r="AZ143" s="448" t="str">
        <f>_xlfn.IFNA(VLOOKUP($AP143,Programma!$F$3:$P$1101,11,0),"")</f>
        <v>5w</v>
      </c>
      <c r="BA143" s="448" t="str">
        <f>_xlfn.IFNA(VLOOKUP($AP143,Programma!$F$3:$Q$1101,12,0),"")</f>
        <v>1w</v>
      </c>
      <c r="BB143" s="448" t="str">
        <f>_xlfn.IFNA(VLOOKUP($AP143,Programma!$F$3:$R$1101,13,0),"")</f>
        <v>1w</v>
      </c>
      <c r="BC143" s="448" t="str">
        <f>_xlfn.IFNA(VLOOKUP($AP143,Programma!$F$3:$S$1101,14,0),"")</f>
        <v>1m</v>
      </c>
      <c r="BD143" s="448" t="str">
        <f>_xlfn.IFNA(VLOOKUP($AP143,Programma!$F$3:$T$1101,15,0),"")</f>
        <v>2j</v>
      </c>
      <c r="BE143" s="448" t="str">
        <f>_xlfn.IFNA(VLOOKUP($AP143,Programma!$F$3:$U$1101,16,0),"")</f>
        <v>1j</v>
      </c>
      <c r="BF143" s="448" t="str">
        <f>_xlfn.IFNA(VLOOKUP($AP143,Programma!$F$3:$V$1101,17,0),"")</f>
        <v>_</v>
      </c>
      <c r="BG143" s="448" t="str">
        <f>_xlfn.IFNA(VLOOKUP($AP143,Programma!$F$3:$W$1101,18,0),"")</f>
        <v>_</v>
      </c>
      <c r="BH143" s="448" t="str">
        <f>_xlfn.IFNA(VLOOKUP($AP143,Programma!$F$3:$X$1101,19,0),"")</f>
        <v>_</v>
      </c>
      <c r="BI143" s="448" t="str">
        <f>_xlfn.IFNA(VLOOKUP($AP143,Programma!$F$3:$Y$1101,20,0),"")</f>
        <v>_</v>
      </c>
      <c r="BJ143" s="449"/>
      <c r="BK143" s="447" t="str">
        <f>IF(Ruimtestaat[[#This Row],[Frequentie weekend]]="","",_xlfn.CONCAT(Ruimtestaat[[#This Row],[Ruimte code]],"-",Ruimtestaat[[#This Row],[Frequentie weekend]]," ",Ruimtestaat[[#This Row],[Vloer code]]))</f>
        <v/>
      </c>
      <c r="BL143" s="448" t="str">
        <f>_xlfn.IFNA(VLOOKUP($BK143,Programma!$F$3:$G$1101,2,0),"")</f>
        <v/>
      </c>
      <c r="BM143" s="448" t="str">
        <f>_xlfn.IFNA(VLOOKUP($BK143,Programma!$F$3:$H$1101,3,0),"")</f>
        <v/>
      </c>
      <c r="BN143" s="448" t="str">
        <f>_xlfn.IFNA(VLOOKUP($BK143,Programma!$F$3:$I$1101,4,0),"")</f>
        <v/>
      </c>
      <c r="BO143" s="448" t="str">
        <f>_xlfn.IFNA(VLOOKUP($BK143,Programma!$F$3:$J$1101,5,0),"")</f>
        <v/>
      </c>
      <c r="BP143" s="448" t="str">
        <f>_xlfn.IFNA(VLOOKUP($BK143,Programma!$F$3:$K$1101,6,0),"")</f>
        <v/>
      </c>
      <c r="BQ143" s="448" t="str">
        <f>_xlfn.IFNA(VLOOKUP($BK143,Programma!$F$3:$L$1101,7,0),"")</f>
        <v/>
      </c>
      <c r="BR143" s="448" t="str">
        <f>_xlfn.IFNA(VLOOKUP($BK143,Programma!$F$3:$M$1101,8,0),"")</f>
        <v/>
      </c>
      <c r="BS143" s="448" t="str">
        <f>_xlfn.IFNA(VLOOKUP($BK143,Programma!$F$3:$N$1101,9,0),"")</f>
        <v/>
      </c>
      <c r="BT143" s="448" t="str">
        <f>_xlfn.IFNA(VLOOKUP($BK143,Programma!$F$3:$O$1101,10,0),"")</f>
        <v/>
      </c>
      <c r="BU143" s="448" t="str">
        <f>_xlfn.IFNA(VLOOKUP($BK143,Programma!$F$3:$P$1101,11,0),"")</f>
        <v/>
      </c>
      <c r="BV143" s="448" t="str">
        <f>_xlfn.IFNA(VLOOKUP($BK143,Programma!$F$3:$Q$1101,12,0),"")</f>
        <v/>
      </c>
      <c r="BW143" s="448" t="str">
        <f>_xlfn.IFNA(VLOOKUP($BK143,Programma!$F$3:$R$1101,13,0),"")</f>
        <v/>
      </c>
      <c r="BX143" s="448" t="str">
        <f>_xlfn.IFNA(VLOOKUP($BK143,Programma!$F$3:$S$1101,14,0),"")</f>
        <v/>
      </c>
      <c r="BY143" s="448" t="str">
        <f>_xlfn.IFNA(VLOOKUP($BK143,Programma!$F$3:$T$1101,15,0),"")</f>
        <v/>
      </c>
      <c r="BZ143" s="448" t="str">
        <f>_xlfn.IFNA(VLOOKUP($BK143,Programma!$F$3:$U$1101,16,0),"")</f>
        <v/>
      </c>
      <c r="CA143" s="448" t="str">
        <f>_xlfn.IFNA(VLOOKUP($BK143,Programma!$F$3:$V$1101,17,0),"")</f>
        <v/>
      </c>
      <c r="CB143" s="448" t="str">
        <f>_xlfn.IFNA(VLOOKUP($BK143,Programma!$F$3:$W$1101,18,0),"")</f>
        <v/>
      </c>
      <c r="CC143" s="448" t="str">
        <f>_xlfn.IFNA(VLOOKUP($BK143,Programma!$F$3:$X$1101,19,0),"")</f>
        <v/>
      </c>
      <c r="CD143" s="448" t="str">
        <f>_xlfn.IFNA(VLOOKUP($BK143,Programma!$F$3:$Y$1101,20,0),"")</f>
        <v/>
      </c>
      <c r="CE143" s="327"/>
      <c r="CF143" s="327"/>
      <c r="CG143" s="327"/>
      <c r="CH143" s="327"/>
      <c r="CI143" s="327"/>
      <c r="CJ143" s="327"/>
      <c r="CK143" s="327"/>
      <c r="CL143" s="327"/>
      <c r="CM143" s="327"/>
      <c r="CN143" s="327"/>
      <c r="CO143" s="327"/>
      <c r="CP143" s="327"/>
      <c r="CQ143" s="327"/>
      <c r="CR143" s="327"/>
      <c r="CS143" s="327"/>
      <c r="CT143" s="327"/>
      <c r="CU143" s="327"/>
      <c r="CV143" s="327"/>
      <c r="CW143" s="327"/>
      <c r="CX143" s="327"/>
      <c r="CY143" s="327"/>
      <c r="CZ143" s="327"/>
      <c r="DA143" s="327"/>
      <c r="DB143" s="327"/>
      <c r="DC143" s="327"/>
      <c r="DD143" s="327"/>
      <c r="DE143" s="327"/>
      <c r="DF143" s="327"/>
      <c r="DG143" s="327"/>
      <c r="DH143" s="327"/>
      <c r="DI143" s="327"/>
      <c r="DJ143" s="327"/>
      <c r="DK143" s="327"/>
      <c r="DL143" s="327"/>
      <c r="DM143" s="327"/>
      <c r="DN143" s="327"/>
      <c r="DO143" s="327"/>
      <c r="DP143" s="327"/>
      <c r="DQ143" s="327"/>
      <c r="DR143" s="327"/>
      <c r="DS143" s="327"/>
      <c r="DT143" s="327"/>
      <c r="DU143" s="327"/>
      <c r="DV143" s="327"/>
      <c r="DW143" s="327"/>
      <c r="DX143" s="327"/>
      <c r="DY143" s="327"/>
      <c r="DZ143" s="327"/>
      <c r="EA143" s="327"/>
      <c r="EB143" s="327"/>
      <c r="EC143" s="327"/>
      <c r="ED143" s="327"/>
      <c r="EE143" s="327"/>
      <c r="EF143" s="327"/>
      <c r="EG143" s="327"/>
      <c r="EH143" s="327"/>
      <c r="EI143" s="327"/>
      <c r="EJ143" s="327"/>
      <c r="EK143" s="327"/>
      <c r="EL143" s="327"/>
      <c r="EM143" s="327"/>
      <c r="EN143" s="327"/>
      <c r="EO143" s="327"/>
      <c r="EP143" s="327"/>
      <c r="EQ143" s="327"/>
      <c r="ER143" s="327"/>
      <c r="ES143" s="327"/>
      <c r="ET143" s="327"/>
      <c r="EU143" s="327"/>
      <c r="EV143" s="327"/>
      <c r="EW143" s="327"/>
      <c r="EX143" s="327"/>
      <c r="EY143" s="327"/>
      <c r="EZ143" s="327"/>
      <c r="FA143" s="327"/>
      <c r="FB143" s="327"/>
      <c r="FC143" s="327"/>
      <c r="FD143" s="327"/>
      <c r="FE143" s="327"/>
      <c r="FF143" s="327"/>
      <c r="FG143" s="327"/>
      <c r="FH143" s="327"/>
      <c r="FI143" s="327"/>
      <c r="FJ143" s="327"/>
      <c r="FK143" s="327"/>
      <c r="FL143" s="327"/>
      <c r="FM143" s="327"/>
      <c r="FN143" s="327"/>
      <c r="FO143" s="327"/>
      <c r="FP143" s="327"/>
      <c r="FQ143" s="327"/>
      <c r="FR143" s="327"/>
      <c r="FS143" s="327"/>
      <c r="FT143" s="327"/>
      <c r="FU143" s="327"/>
      <c r="FV143" s="327"/>
      <c r="FW143" s="327"/>
      <c r="FX143" s="327"/>
      <c r="FY143" s="327"/>
      <c r="FZ143" s="327"/>
      <c r="GA143" s="327"/>
      <c r="GB143" s="327"/>
      <c r="GC143" s="327"/>
      <c r="GD143" s="327"/>
      <c r="GE143" s="327"/>
      <c r="GF143" s="327"/>
      <c r="GG143" s="327"/>
      <c r="GH143" s="327"/>
      <c r="GI143" s="327"/>
      <c r="GJ143" s="327"/>
      <c r="GK143" s="327"/>
      <c r="GL143" s="327"/>
      <c r="GM143" s="327"/>
      <c r="GN143" s="327"/>
      <c r="GO143" s="327"/>
      <c r="GP143" s="327"/>
      <c r="GQ143" s="327"/>
      <c r="GR143" s="327"/>
      <c r="GS143" s="327"/>
      <c r="GT143" s="327"/>
      <c r="GU143" s="327"/>
      <c r="GV143" s="327"/>
      <c r="GW143" s="327"/>
      <c r="GX143" s="327"/>
      <c r="GY143" s="327"/>
      <c r="GZ143" s="327"/>
      <c r="HA143" s="327"/>
      <c r="HB143" s="327"/>
      <c r="HC143" s="327"/>
      <c r="HD143" s="327"/>
      <c r="HE143" s="327"/>
      <c r="HF143" s="327"/>
      <c r="HG143" s="327"/>
      <c r="HH143" s="327"/>
      <c r="HI143" s="327"/>
      <c r="HJ143" s="327"/>
      <c r="HK143" s="327"/>
      <c r="HL143" s="327"/>
      <c r="HM143" s="327"/>
      <c r="HN143" s="327"/>
      <c r="HO143" s="327"/>
      <c r="HP143" s="327"/>
      <c r="HQ143" s="327"/>
      <c r="HR143" s="327"/>
      <c r="HS143" s="327"/>
    </row>
    <row r="144" spans="1:227" ht="15" customHeight="1">
      <c r="A144" s="330">
        <v>6</v>
      </c>
      <c r="B144" s="435" t="str">
        <f>VLOOKUP(Ruimtestaat[[#This Row],[Code]],Locaties[[Code]:[Locatie]],2,FALSE)</f>
        <v>IKC Het Zwanenbos</v>
      </c>
      <c r="C144" s="435" t="str">
        <f>VLOOKUP(Ruimtestaat[[#This Row],[Code]],Locaties[[#All],[Code]:[Adres]],4,FALSE)</f>
        <v>Kerkenbos 24-26</v>
      </c>
      <c r="D144" s="435" t="str">
        <f>VLOOKUP(Ruimtestaat[[#This Row],[Code]],Locaties[[#All],[Code]:[Postcode]],5,FALSE)</f>
        <v>2716 PH</v>
      </c>
      <c r="E144" s="435" t="str">
        <f>VLOOKUP(Ruimtestaat[[#This Row],[Code]],Locaties[#All],6,FALSE)</f>
        <v>Zoetermeer</v>
      </c>
      <c r="F144" s="434"/>
      <c r="G144" s="434"/>
      <c r="I144" s="450" t="s">
        <v>1768</v>
      </c>
      <c r="J144" s="330">
        <v>10</v>
      </c>
      <c r="K144" s="450" t="str">
        <f>VLOOKUP(Ruimtestaat[[#This Row],[Ruimte code]],Ruimtegroepen[[#All],[Code]:[Ruimte omschrijving]],2,FALSE)</f>
        <v>Trappenhuizen/lift</v>
      </c>
      <c r="L144" s="434" t="s">
        <v>1309</v>
      </c>
      <c r="M144" s="437" t="s">
        <v>247</v>
      </c>
      <c r="N144" s="439">
        <v>7.2</v>
      </c>
      <c r="O144" s="439"/>
      <c r="P144" s="439"/>
      <c r="Q144" s="439"/>
      <c r="R144" s="440" t="str">
        <f>VLOOKUP(Ruimtestaat[[#This Row],[Ruimte code]],Ruimtegroepen[],4,FALSE)</f>
        <v>Ve</v>
      </c>
      <c r="S144" s="434">
        <v>41</v>
      </c>
      <c r="T144" s="434" t="s">
        <v>2</v>
      </c>
      <c r="U144" s="434">
        <f>IF(S144&gt;0,IF(RIGHT(Ruimtestaat[[#This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44" s="434">
        <f>IF(U144&gt;0,VLOOKUP($J144,Ruimtegroepen[],3,FALSE)*VLOOKUP($L144,Vloersoorten[],3,FALSE)*VLOOKUP($T144,Frequenties[],3,FALSE)*VLOOKUP($A144,Locaties[],3,FALSE),0)</f>
        <v>0</v>
      </c>
      <c r="W144" s="434">
        <f>Ruimtestaat[[#This Row],[Uitvoeringen werkdagen]]*Ruimtestaat[[#This Row],[Oppervlak (netto)]]</f>
        <v>1476</v>
      </c>
      <c r="X144" s="441">
        <f>IF(V144&gt;0,Ruimtestaat[[#This Row],[Prest. (m2 /jaar) werkdagen]]/Ruimtestaat[[#This Row],[Norm (m2/uur) werkdagen]],0)</f>
        <v>0</v>
      </c>
      <c r="Y144" s="442">
        <f>Ruimtestaat[[#This Row],[Uitvoeringen werkdagen]]*Ruimtestaat[[#This Row],[Gedeeltelijk]]</f>
        <v>0</v>
      </c>
      <c r="Z144" s="443" t="e">
        <f>IF(U144&gt;0,Ruimtestaat[[#This Row],[Prest. (m2 / jaar) werkdagen gedeeld]]/Ruimtestaat[[#This Row],[Norm (m2/uur) werkdagen]],0)</f>
        <v>#DIV/0!</v>
      </c>
      <c r="AA144" s="441" t="e">
        <f>Ruimtestaat[[#This Row],[uren / jaar werkdagen gedeeld]]*Tariefsopbouw!$E$35</f>
        <v>#DIV/0!</v>
      </c>
      <c r="AB144" s="441">
        <f>Ruimtestaat[[#This Row],[Uitvoeringen werkdagen]]*Ruimtestaat[[#This Row],[BSO]]</f>
        <v>0</v>
      </c>
      <c r="AC144" s="443" t="e">
        <f>IF(U144&gt;0,Ruimtestaat[[#This Row],[Prest. (m2 / jaar) werkdagen BSO]]/Ruimtestaat[[#This Row],[Norm (m2/uur) werkdagen]],0)</f>
        <v>#DIV/0!</v>
      </c>
      <c r="AD144" s="443" t="e">
        <f>Ruimtestaat[[#This Row],[uren / jaar werkdagen BSO]]*Tariefsopbouw!$E$35</f>
        <v>#DIV/0!</v>
      </c>
      <c r="AE144" s="444">
        <f>Ruimtestaat[[#This Row],[uren / jaar werkdagen]]*Tariefsopbouw!$E$35</f>
        <v>0</v>
      </c>
      <c r="AF144" s="434"/>
      <c r="AG144" s="434">
        <f>IF(Ruimtestaat[[#This Row],[Frequentie weekend]]&gt;0,VALUE(LEFT(AF144,1))*S144,0)</f>
        <v>0</v>
      </c>
      <c r="AH144" s="445">
        <f>IF($AG144&gt;0,VLOOKUP($J144,Ruimtegroepen[],3,FALSE)*VLOOKUP($L144,Vloersoorten[],3,FALSE)*VLOOKUP($AF144,Frequenties[],3,FALSE)*VLOOKUP(Ruimtestaat[[#This Row],[Code]],Locaties[],3,FALSE),0)</f>
        <v>0</v>
      </c>
      <c r="AI144" s="445">
        <f>Ruimtestaat[[#This Row],[Uitvoeringen weekend]]*Ruimtestaat[[#This Row],[Oppervlak (netto)]]</f>
        <v>0</v>
      </c>
      <c r="AJ144" s="445">
        <f>IF(AH144&gt;0,Ruimtestaat[[#This Row],[Prest. (m2 /jaar) weekend]]/Ruimtestaat[[#This Row],[Norm (m2/uur) weekend]],0)</f>
        <v>0</v>
      </c>
      <c r="AK144" s="444">
        <f>Ruimtestaat[[#This Row],[uren / jaar weekend]]*Tariefsopbouw!$D$40</f>
        <v>0</v>
      </c>
      <c r="AL144" s="441">
        <f>Ruimtestaat[[#This Row],[Prest. (m2 /jaar) weekend]]+Ruimtestaat[[#This Row],[Prest. (m2 /jaar) werkdagen]]</f>
        <v>1476</v>
      </c>
      <c r="AM144" s="441">
        <f>Ruimtestaat[[#This Row],[uren / jaar weekend]]+Ruimtestaat[[#This Row],[uren / jaar werkdagen]]</f>
        <v>0</v>
      </c>
      <c r="AN144" s="446">
        <f>Ruimtestaat[[#This Row],[kosten / jaar weekend]]+Ruimtestaat[[#This Row],[kosten / jaar werkdagen]]</f>
        <v>0</v>
      </c>
      <c r="AO144" s="446"/>
      <c r="AP144" s="447" t="str">
        <f>IF(Ruimtestaat[[#This Row],[Frequentie werkdagen]]="","",_xlfn.CONCAT(Ruimtestaat[[#This Row],[Ruimte code]],"-",Ruimtestaat[[#This Row],[Frequentie werkdagen]]," ",Ruimtestaat[[#This Row],[Vloer code]]))</f>
        <v>10-5w H</v>
      </c>
      <c r="AQ144" s="448" t="str">
        <f>_xlfn.IFNA(VLOOKUP($AP144,Programma!$F$3:$G$1101,2,0),"")</f>
        <v>_</v>
      </c>
      <c r="AR144" s="448" t="str">
        <f>_xlfn.IFNA(VLOOKUP($AP144,Programma!$F$3:$H$1101,3,0),"")</f>
        <v>_</v>
      </c>
      <c r="AS144" s="448" t="str">
        <f>_xlfn.IFNA(VLOOKUP($AP144,Programma!$F$3:$I$1101,4,0),"")</f>
        <v>5w</v>
      </c>
      <c r="AT144" s="448" t="str">
        <f>_xlfn.IFNA(VLOOKUP($AP144,Programma!$F$3:$J$1101,5,0),"")</f>
        <v>_</v>
      </c>
      <c r="AU144" s="448" t="str">
        <f>_xlfn.IFNA(VLOOKUP($AP144,Programma!$F$3:$K$1101,6,0),"")</f>
        <v>4j</v>
      </c>
      <c r="AV144" s="448" t="str">
        <f>_xlfn.IFNA(VLOOKUP($AP144,Programma!$F$3:$L$1101,7,0),"")</f>
        <v>_</v>
      </c>
      <c r="AW144" s="448" t="str">
        <f>_xlfn.IFNA(VLOOKUP($AP144,Programma!$F$3:$M$1101,8,0),"")</f>
        <v>_</v>
      </c>
      <c r="AX144" s="448" t="str">
        <f>_xlfn.IFNA(VLOOKUP($AP144,Programma!$F$3:$N$1101,9,0),"")</f>
        <v>_</v>
      </c>
      <c r="AY144" s="448" t="str">
        <f>_xlfn.IFNA(VLOOKUP($AP144,Programma!$F$3:$O$1101,10,0),"")</f>
        <v>5w</v>
      </c>
      <c r="AZ144" s="448" t="str">
        <f>_xlfn.IFNA(VLOOKUP($AP144,Programma!$F$3:$P$1101,11,0),"")</f>
        <v>5w</v>
      </c>
      <c r="BA144" s="448" t="str">
        <f>_xlfn.IFNA(VLOOKUP($AP144,Programma!$F$3:$Q$1101,12,0),"")</f>
        <v>1w</v>
      </c>
      <c r="BB144" s="448" t="str">
        <f>_xlfn.IFNA(VLOOKUP($AP144,Programma!$F$3:$R$1101,13,0),"")</f>
        <v>1w</v>
      </c>
      <c r="BC144" s="448" t="str">
        <f>_xlfn.IFNA(VLOOKUP($AP144,Programma!$F$3:$S$1101,14,0),"")</f>
        <v>1m</v>
      </c>
      <c r="BD144" s="448" t="str">
        <f>_xlfn.IFNA(VLOOKUP($AP144,Programma!$F$3:$T$1101,15,0),"")</f>
        <v>2j</v>
      </c>
      <c r="BE144" s="448" t="str">
        <f>_xlfn.IFNA(VLOOKUP($AP144,Programma!$F$3:$U$1101,16,0),"")</f>
        <v>1j</v>
      </c>
      <c r="BF144" s="448" t="str">
        <f>_xlfn.IFNA(VLOOKUP($AP144,Programma!$F$3:$V$1101,17,0),"")</f>
        <v>_</v>
      </c>
      <c r="BG144" s="448" t="str">
        <f>_xlfn.IFNA(VLOOKUP($AP144,Programma!$F$3:$W$1101,18,0),"")</f>
        <v>_</v>
      </c>
      <c r="BH144" s="448" t="str">
        <f>_xlfn.IFNA(VLOOKUP($AP144,Programma!$F$3:$X$1101,19,0),"")</f>
        <v>_</v>
      </c>
      <c r="BI144" s="448" t="str">
        <f>_xlfn.IFNA(VLOOKUP($AP144,Programma!$F$3:$Y$1101,20,0),"")</f>
        <v>_</v>
      </c>
      <c r="BJ144" s="449"/>
      <c r="BK144" s="447" t="str">
        <f>IF(Ruimtestaat[[#This Row],[Frequentie weekend]]="","",_xlfn.CONCAT(Ruimtestaat[[#This Row],[Ruimte code]],"-",Ruimtestaat[[#This Row],[Frequentie weekend]]," ",Ruimtestaat[[#This Row],[Vloer code]]))</f>
        <v/>
      </c>
      <c r="BL144" s="448" t="str">
        <f>_xlfn.IFNA(VLOOKUP($BK144,Programma!$F$3:$G$1101,2,0),"")</f>
        <v/>
      </c>
      <c r="BM144" s="448" t="str">
        <f>_xlfn.IFNA(VLOOKUP($BK144,Programma!$F$3:$H$1101,3,0),"")</f>
        <v/>
      </c>
      <c r="BN144" s="448" t="str">
        <f>_xlfn.IFNA(VLOOKUP($BK144,Programma!$F$3:$I$1101,4,0),"")</f>
        <v/>
      </c>
      <c r="BO144" s="448" t="str">
        <f>_xlfn.IFNA(VLOOKUP($BK144,Programma!$F$3:$J$1101,5,0),"")</f>
        <v/>
      </c>
      <c r="BP144" s="448" t="str">
        <f>_xlfn.IFNA(VLOOKUP($BK144,Programma!$F$3:$K$1101,6,0),"")</f>
        <v/>
      </c>
      <c r="BQ144" s="448" t="str">
        <f>_xlfn.IFNA(VLOOKUP($BK144,Programma!$F$3:$L$1101,7,0),"")</f>
        <v/>
      </c>
      <c r="BR144" s="448" t="str">
        <f>_xlfn.IFNA(VLOOKUP($BK144,Programma!$F$3:$M$1101,8,0),"")</f>
        <v/>
      </c>
      <c r="BS144" s="448" t="str">
        <f>_xlfn.IFNA(VLOOKUP($BK144,Programma!$F$3:$N$1101,9,0),"")</f>
        <v/>
      </c>
      <c r="BT144" s="448" t="str">
        <f>_xlfn.IFNA(VLOOKUP($BK144,Programma!$F$3:$O$1101,10,0),"")</f>
        <v/>
      </c>
      <c r="BU144" s="448" t="str">
        <f>_xlfn.IFNA(VLOOKUP($BK144,Programma!$F$3:$P$1101,11,0),"")</f>
        <v/>
      </c>
      <c r="BV144" s="448" t="str">
        <f>_xlfn.IFNA(VLOOKUP($BK144,Programma!$F$3:$Q$1101,12,0),"")</f>
        <v/>
      </c>
      <c r="BW144" s="448" t="str">
        <f>_xlfn.IFNA(VLOOKUP($BK144,Programma!$F$3:$R$1101,13,0),"")</f>
        <v/>
      </c>
      <c r="BX144" s="448" t="str">
        <f>_xlfn.IFNA(VLOOKUP($BK144,Programma!$F$3:$S$1101,14,0),"")</f>
        <v/>
      </c>
      <c r="BY144" s="448" t="str">
        <f>_xlfn.IFNA(VLOOKUP($BK144,Programma!$F$3:$T$1101,15,0),"")</f>
        <v/>
      </c>
      <c r="BZ144" s="448" t="str">
        <f>_xlfn.IFNA(VLOOKUP($BK144,Programma!$F$3:$U$1101,16,0),"")</f>
        <v/>
      </c>
      <c r="CA144" s="448" t="str">
        <f>_xlfn.IFNA(VLOOKUP($BK144,Programma!$F$3:$V$1101,17,0),"")</f>
        <v/>
      </c>
      <c r="CB144" s="448" t="str">
        <f>_xlfn.IFNA(VLOOKUP($BK144,Programma!$F$3:$W$1101,18,0),"")</f>
        <v/>
      </c>
      <c r="CC144" s="448" t="str">
        <f>_xlfn.IFNA(VLOOKUP($BK144,Programma!$F$3:$X$1101,19,0),"")</f>
        <v/>
      </c>
      <c r="CD144" s="448" t="str">
        <f>_xlfn.IFNA(VLOOKUP($BK144,Programma!$F$3:$Y$1101,20,0),"")</f>
        <v/>
      </c>
      <c r="CE144" s="327"/>
      <c r="CF144" s="327"/>
      <c r="CG144" s="327"/>
      <c r="CH144" s="327"/>
      <c r="CI144" s="327"/>
      <c r="CJ144" s="327"/>
      <c r="CK144" s="327"/>
      <c r="CL144" s="327"/>
      <c r="CM144" s="327"/>
      <c r="CN144" s="327"/>
      <c r="CO144" s="327"/>
      <c r="CP144" s="327"/>
      <c r="CQ144" s="327"/>
      <c r="CR144" s="327"/>
      <c r="CS144" s="327"/>
      <c r="CT144" s="327"/>
      <c r="CU144" s="327"/>
      <c r="CV144" s="327"/>
      <c r="CW144" s="327"/>
      <c r="CX144" s="327"/>
      <c r="CY144" s="327"/>
      <c r="CZ144" s="327"/>
      <c r="DA144" s="327"/>
      <c r="DB144" s="327"/>
      <c r="DC144" s="327"/>
      <c r="DD144" s="327"/>
      <c r="DE144" s="327"/>
      <c r="DF144" s="327"/>
      <c r="DG144" s="327"/>
      <c r="DH144" s="327"/>
      <c r="DI144" s="327"/>
      <c r="DJ144" s="327"/>
      <c r="DK144" s="327"/>
      <c r="DL144" s="327"/>
      <c r="DM144" s="327"/>
      <c r="DN144" s="327"/>
      <c r="DO144" s="327"/>
      <c r="DP144" s="327"/>
      <c r="DQ144" s="327"/>
      <c r="DR144" s="327"/>
      <c r="DS144" s="327"/>
      <c r="DT144" s="327"/>
      <c r="DU144" s="327"/>
      <c r="DV144" s="327"/>
      <c r="DW144" s="327"/>
      <c r="DX144" s="327"/>
      <c r="DY144" s="327"/>
      <c r="DZ144" s="327"/>
      <c r="EA144" s="327"/>
      <c r="EB144" s="327"/>
      <c r="EC144" s="327"/>
      <c r="ED144" s="327"/>
      <c r="EE144" s="327"/>
      <c r="EF144" s="327"/>
      <c r="EG144" s="327"/>
      <c r="EH144" s="327"/>
      <c r="EI144" s="327"/>
      <c r="EJ144" s="327"/>
      <c r="EK144" s="327"/>
      <c r="EL144" s="327"/>
      <c r="EM144" s="327"/>
      <c r="EN144" s="327"/>
      <c r="EO144" s="327"/>
      <c r="EP144" s="327"/>
      <c r="EQ144" s="327"/>
      <c r="ER144" s="327"/>
      <c r="ES144" s="327"/>
      <c r="ET144" s="327"/>
      <c r="EU144" s="327"/>
      <c r="EV144" s="327"/>
      <c r="EW144" s="327"/>
      <c r="EX144" s="327"/>
      <c r="EY144" s="327"/>
      <c r="EZ144" s="327"/>
      <c r="FA144" s="327"/>
      <c r="FB144" s="327"/>
      <c r="FC144" s="327"/>
      <c r="FD144" s="327"/>
      <c r="FE144" s="327"/>
      <c r="FF144" s="327"/>
      <c r="FG144" s="327"/>
      <c r="FH144" s="327"/>
      <c r="FI144" s="327"/>
      <c r="FJ144" s="327"/>
      <c r="FK144" s="327"/>
      <c r="FL144" s="327"/>
      <c r="FM144" s="327"/>
      <c r="FN144" s="327"/>
      <c r="FO144" s="327"/>
      <c r="FP144" s="327"/>
      <c r="FQ144" s="327"/>
      <c r="FR144" s="327"/>
      <c r="FS144" s="327"/>
      <c r="FT144" s="327"/>
      <c r="FU144" s="327"/>
      <c r="FV144" s="327"/>
      <c r="FW144" s="327"/>
      <c r="FX144" s="327"/>
      <c r="FY144" s="327"/>
      <c r="FZ144" s="327"/>
      <c r="GA144" s="327"/>
      <c r="GB144" s="327"/>
      <c r="GC144" s="327"/>
      <c r="GD144" s="327"/>
      <c r="GE144" s="327"/>
      <c r="GF144" s="327"/>
      <c r="GG144" s="327"/>
      <c r="GH144" s="327"/>
      <c r="GI144" s="327"/>
      <c r="GJ144" s="327"/>
      <c r="GK144" s="327"/>
      <c r="GL144" s="327"/>
      <c r="GM144" s="327"/>
      <c r="GN144" s="327"/>
      <c r="GO144" s="327"/>
      <c r="GP144" s="327"/>
      <c r="GQ144" s="327"/>
      <c r="GR144" s="327"/>
      <c r="GS144" s="327"/>
      <c r="GT144" s="327"/>
      <c r="GU144" s="327"/>
      <c r="GV144" s="327"/>
      <c r="GW144" s="327"/>
      <c r="GX144" s="327"/>
      <c r="GY144" s="327"/>
      <c r="GZ144" s="327"/>
      <c r="HA144" s="327"/>
      <c r="HB144" s="327"/>
      <c r="HC144" s="327"/>
      <c r="HD144" s="327"/>
      <c r="HE144" s="327"/>
      <c r="HF144" s="327"/>
      <c r="HG144" s="327"/>
      <c r="HH144" s="327"/>
      <c r="HI144" s="327"/>
      <c r="HJ144" s="327"/>
      <c r="HK144" s="327"/>
      <c r="HL144" s="327"/>
      <c r="HM144" s="327"/>
      <c r="HN144" s="327"/>
      <c r="HO144" s="327"/>
      <c r="HP144" s="327"/>
      <c r="HQ144" s="327"/>
      <c r="HR144" s="327"/>
      <c r="HS144" s="327"/>
    </row>
    <row r="145" spans="1:227" ht="15" customHeight="1">
      <c r="A145" s="330">
        <v>7</v>
      </c>
      <c r="B145" s="435" t="str">
        <f>VLOOKUP(Ruimtestaat[[#This Row],[Code]],Locaties[[Code]:[Locatie]],2,FALSE)</f>
        <v>IKC De Baanbreker</v>
      </c>
      <c r="C145" s="435" t="str">
        <f>VLOOKUP(Ruimtestaat[[#This Row],[Code]],Locaties[[#All],[Code]:[Adres]],4,FALSE)</f>
        <v>Lijnbaan 319</v>
      </c>
      <c r="D145" s="435" t="str">
        <f>VLOOKUP(Ruimtestaat[[#This Row],[Code]],Locaties[[#All],[Code]:[Postcode]],5,FALSE)</f>
        <v>2728 AG</v>
      </c>
      <c r="E145" s="435" t="str">
        <f>VLOOKUP(Ruimtestaat[[#This Row],[Code]],Locaties[#All],6,FALSE)</f>
        <v>Zoetermeer</v>
      </c>
      <c r="F145" s="434"/>
      <c r="G145" s="434" t="s">
        <v>1678</v>
      </c>
      <c r="H145" s="330" t="s">
        <v>1662</v>
      </c>
      <c r="I145" s="450" t="s">
        <v>1664</v>
      </c>
      <c r="J145" s="330">
        <v>7</v>
      </c>
      <c r="K145" s="450" t="str">
        <f>VLOOKUP(Ruimtestaat[[#This Row],[Ruimte code]],Ruimtegroepen[[#All],[Code]:[Ruimte omschrijving]],2,FALSE)</f>
        <v>Entree</v>
      </c>
      <c r="L145" s="434" t="s">
        <v>99</v>
      </c>
      <c r="M145" s="437" t="s">
        <v>1758</v>
      </c>
      <c r="N145" s="439">
        <v>7</v>
      </c>
      <c r="O145" s="439"/>
      <c r="P145" s="439"/>
      <c r="Q145" s="439"/>
      <c r="R145" s="440" t="str">
        <f>VLOOKUP(Ruimtestaat[[#This Row],[Ruimte code]],Ruimtegroepen[],4,FALSE)</f>
        <v>Ve</v>
      </c>
      <c r="S145" s="434">
        <v>41</v>
      </c>
      <c r="T145" s="434" t="s">
        <v>2</v>
      </c>
      <c r="U145" s="434">
        <f>IF(S145&gt;0,IF(RIGHT(Ruimtestaat[[#This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45" s="434">
        <f>IF(U145&gt;0,VLOOKUP($J145,Ruimtegroepen[],3,FALSE)*VLOOKUP($L145,Vloersoorten[],3,FALSE)*VLOOKUP($T145,Frequenties[],3,FALSE)*VLOOKUP($A145,Locaties[],3,FALSE),0)</f>
        <v>0</v>
      </c>
      <c r="W145" s="434">
        <f>Ruimtestaat[[#This Row],[Uitvoeringen werkdagen]]*Ruimtestaat[[#This Row],[Oppervlak (netto)]]</f>
        <v>1435</v>
      </c>
      <c r="X145" s="441">
        <f>IF(V145&gt;0,Ruimtestaat[[#This Row],[Prest. (m2 /jaar) werkdagen]]/Ruimtestaat[[#This Row],[Norm (m2/uur) werkdagen]],0)</f>
        <v>0</v>
      </c>
      <c r="Y145" s="442">
        <f>Ruimtestaat[[#This Row],[Uitvoeringen werkdagen]]*Ruimtestaat[[#This Row],[Gedeeltelijk]]</f>
        <v>0</v>
      </c>
      <c r="Z145" s="443" t="e">
        <f>IF(U145&gt;0,Ruimtestaat[[#This Row],[Prest. (m2 / jaar) werkdagen gedeeld]]/Ruimtestaat[[#This Row],[Norm (m2/uur) werkdagen]],0)</f>
        <v>#DIV/0!</v>
      </c>
      <c r="AA145" s="441" t="e">
        <f>Ruimtestaat[[#This Row],[uren / jaar werkdagen gedeeld]]*Tariefsopbouw!$E$35</f>
        <v>#DIV/0!</v>
      </c>
      <c r="AB145" s="441">
        <f>Ruimtestaat[[#This Row],[Uitvoeringen werkdagen]]*Ruimtestaat[[#This Row],[BSO]]</f>
        <v>0</v>
      </c>
      <c r="AC145" s="443" t="e">
        <f>IF(U145&gt;0,Ruimtestaat[[#This Row],[Prest. (m2 / jaar) werkdagen BSO]]/Ruimtestaat[[#This Row],[Norm (m2/uur) werkdagen]],0)</f>
        <v>#DIV/0!</v>
      </c>
      <c r="AD145" s="443" t="e">
        <f>Ruimtestaat[[#This Row],[uren / jaar werkdagen BSO]]*Tariefsopbouw!$E$35</f>
        <v>#DIV/0!</v>
      </c>
      <c r="AE145" s="444">
        <f>Ruimtestaat[[#This Row],[uren / jaar werkdagen]]*Tariefsopbouw!$E$35</f>
        <v>0</v>
      </c>
      <c r="AF145" s="434"/>
      <c r="AG145" s="434">
        <f>IF(Ruimtestaat[[#This Row],[Frequentie weekend]]&gt;0,VALUE(LEFT(AF145,1))*S145,0)</f>
        <v>0</v>
      </c>
      <c r="AH145" s="445">
        <f>IF($AG145&gt;0,VLOOKUP($J145,Ruimtegroepen[],3,FALSE)*VLOOKUP($L145,Vloersoorten[],3,FALSE)*VLOOKUP($AF145,Frequenties[],3,FALSE)*VLOOKUP(Ruimtestaat[[#This Row],[Code]],Locaties[],3,FALSE),0)</f>
        <v>0</v>
      </c>
      <c r="AI145" s="445">
        <f>Ruimtestaat[[#This Row],[Uitvoeringen weekend]]*Ruimtestaat[[#This Row],[Oppervlak (netto)]]</f>
        <v>0</v>
      </c>
      <c r="AJ145" s="445">
        <f>IF(AH145&gt;0,Ruimtestaat[[#This Row],[Prest. (m2 /jaar) weekend]]/Ruimtestaat[[#This Row],[Norm (m2/uur) weekend]],0)</f>
        <v>0</v>
      </c>
      <c r="AK145" s="444">
        <f>Ruimtestaat[[#This Row],[uren / jaar weekend]]*Tariefsopbouw!$D$40</f>
        <v>0</v>
      </c>
      <c r="AL145" s="441">
        <f>Ruimtestaat[[#This Row],[Prest. (m2 /jaar) weekend]]+Ruimtestaat[[#This Row],[Prest. (m2 /jaar) werkdagen]]</f>
        <v>1435</v>
      </c>
      <c r="AM145" s="441">
        <f>Ruimtestaat[[#This Row],[uren / jaar weekend]]+Ruimtestaat[[#This Row],[uren / jaar werkdagen]]</f>
        <v>0</v>
      </c>
      <c r="AN145" s="446">
        <f>Ruimtestaat[[#This Row],[kosten / jaar weekend]]+Ruimtestaat[[#This Row],[kosten / jaar werkdagen]]</f>
        <v>0</v>
      </c>
      <c r="AO145" s="446"/>
      <c r="AP145" s="447" t="str">
        <f>IF(Ruimtestaat[[#This Row],[Frequentie werkdagen]]="","",_xlfn.CONCAT(Ruimtestaat[[#This Row],[Ruimte code]],"-",Ruimtestaat[[#This Row],[Frequentie werkdagen]]," ",Ruimtestaat[[#This Row],[Vloer code]]))</f>
        <v>7-5w T</v>
      </c>
      <c r="AQ145" s="448" t="str">
        <f>_xlfn.IFNA(VLOOKUP($AP145,Programma!$F$3:$G$1101,2,0),"")</f>
        <v>_</v>
      </c>
      <c r="AR145" s="448" t="str">
        <f>_xlfn.IFNA(VLOOKUP($AP145,Programma!$F$3:$H$1101,3,0),"")</f>
        <v>5w</v>
      </c>
      <c r="AS145" s="448" t="str">
        <f>_xlfn.IFNA(VLOOKUP($AP145,Programma!$F$3:$I$1101,4,0),"")</f>
        <v>_</v>
      </c>
      <c r="AT145" s="448" t="str">
        <f>_xlfn.IFNA(VLOOKUP($AP145,Programma!$F$3:$J$1101,5,0),"")</f>
        <v>_</v>
      </c>
      <c r="AU145" s="448" t="str">
        <f>_xlfn.IFNA(VLOOKUP($AP145,Programma!$F$3:$K$1101,6,0),"")</f>
        <v>_</v>
      </c>
      <c r="AV145" s="448" t="str">
        <f>_xlfn.IFNA(VLOOKUP($AP145,Programma!$F$3:$L$1101,7,0),"")</f>
        <v>_</v>
      </c>
      <c r="AW145" s="448" t="str">
        <f>_xlfn.IFNA(VLOOKUP($AP145,Programma!$F$3:$M$1101,8,0),"")</f>
        <v>_</v>
      </c>
      <c r="AX145" s="448" t="str">
        <f>_xlfn.IFNA(VLOOKUP($AP145,Programma!$F$3:$N$1101,9,0),"")</f>
        <v>_</v>
      </c>
      <c r="AY145" s="448" t="str">
        <f>_xlfn.IFNA(VLOOKUP($AP145,Programma!$F$3:$O$1101,10,0),"")</f>
        <v>5w</v>
      </c>
      <c r="AZ145" s="448" t="str">
        <f>_xlfn.IFNA(VLOOKUP($AP145,Programma!$F$3:$P$1101,11,0),"")</f>
        <v>5w</v>
      </c>
      <c r="BA145" s="448" t="str">
        <f>_xlfn.IFNA(VLOOKUP($AP145,Programma!$F$3:$Q$1101,12,0),"")</f>
        <v>1w</v>
      </c>
      <c r="BB145" s="448" t="str">
        <f>_xlfn.IFNA(VLOOKUP($AP145,Programma!$F$3:$R$1101,13,0),"")</f>
        <v>1w</v>
      </c>
      <c r="BC145" s="448" t="str">
        <f>_xlfn.IFNA(VLOOKUP($AP145,Programma!$F$3:$S$1101,14,0),"")</f>
        <v>1m</v>
      </c>
      <c r="BD145" s="448" t="str">
        <f>_xlfn.IFNA(VLOOKUP($AP145,Programma!$F$3:$T$1101,15,0),"")</f>
        <v>2j</v>
      </c>
      <c r="BE145" s="448" t="str">
        <f>_xlfn.IFNA(VLOOKUP($AP145,Programma!$F$3:$U$1101,16,0),"")</f>
        <v>1j</v>
      </c>
      <c r="BF145" s="448" t="str">
        <f>_xlfn.IFNA(VLOOKUP($AP145,Programma!$F$3:$V$1101,17,0),"")</f>
        <v>_</v>
      </c>
      <c r="BG145" s="448" t="str">
        <f>_xlfn.IFNA(VLOOKUP($AP145,Programma!$F$3:$W$1101,18,0),"")</f>
        <v>_</v>
      </c>
      <c r="BH145" s="448" t="str">
        <f>_xlfn.IFNA(VLOOKUP($AP145,Programma!$F$3:$X$1101,19,0),"")</f>
        <v>_</v>
      </c>
      <c r="BI145" s="448" t="str">
        <f>_xlfn.IFNA(VLOOKUP($AP145,Programma!$F$3:$Y$1101,20,0),"")</f>
        <v>_</v>
      </c>
      <c r="BJ145" s="449"/>
      <c r="BK145" s="447" t="str">
        <f>IF(Ruimtestaat[[#This Row],[Frequentie weekend]]="","",_xlfn.CONCAT(Ruimtestaat[[#This Row],[Ruimte code]],"-",Ruimtestaat[[#This Row],[Frequentie weekend]]," ",Ruimtestaat[[#This Row],[Vloer code]]))</f>
        <v/>
      </c>
      <c r="BL145" s="448" t="str">
        <f>_xlfn.IFNA(VLOOKUP($BK145,Programma!$F$3:$G$1101,2,0),"")</f>
        <v/>
      </c>
      <c r="BM145" s="448" t="str">
        <f>_xlfn.IFNA(VLOOKUP($BK145,Programma!$F$3:$H$1101,3,0),"")</f>
        <v/>
      </c>
      <c r="BN145" s="448" t="str">
        <f>_xlfn.IFNA(VLOOKUP($BK145,Programma!$F$3:$I$1101,4,0),"")</f>
        <v/>
      </c>
      <c r="BO145" s="448" t="str">
        <f>_xlfn.IFNA(VLOOKUP($BK145,Programma!$F$3:$J$1101,5,0),"")</f>
        <v/>
      </c>
      <c r="BP145" s="448" t="str">
        <f>_xlfn.IFNA(VLOOKUP($BK145,Programma!$F$3:$K$1101,6,0),"")</f>
        <v/>
      </c>
      <c r="BQ145" s="448" t="str">
        <f>_xlfn.IFNA(VLOOKUP($BK145,Programma!$F$3:$L$1101,7,0),"")</f>
        <v/>
      </c>
      <c r="BR145" s="448" t="str">
        <f>_xlfn.IFNA(VLOOKUP($BK145,Programma!$F$3:$M$1101,8,0),"")</f>
        <v/>
      </c>
      <c r="BS145" s="448" t="str">
        <f>_xlfn.IFNA(VLOOKUP($BK145,Programma!$F$3:$N$1101,9,0),"")</f>
        <v/>
      </c>
      <c r="BT145" s="448" t="str">
        <f>_xlfn.IFNA(VLOOKUP($BK145,Programma!$F$3:$O$1101,10,0),"")</f>
        <v/>
      </c>
      <c r="BU145" s="448" t="str">
        <f>_xlfn.IFNA(VLOOKUP($BK145,Programma!$F$3:$P$1101,11,0),"")</f>
        <v/>
      </c>
      <c r="BV145" s="448" t="str">
        <f>_xlfn.IFNA(VLOOKUP($BK145,Programma!$F$3:$Q$1101,12,0),"")</f>
        <v/>
      </c>
      <c r="BW145" s="448" t="str">
        <f>_xlfn.IFNA(VLOOKUP($BK145,Programma!$F$3:$R$1101,13,0),"")</f>
        <v/>
      </c>
      <c r="BX145" s="448" t="str">
        <f>_xlfn.IFNA(VLOOKUP($BK145,Programma!$F$3:$S$1101,14,0),"")</f>
        <v/>
      </c>
      <c r="BY145" s="448" t="str">
        <f>_xlfn.IFNA(VLOOKUP($BK145,Programma!$F$3:$T$1101,15,0),"")</f>
        <v/>
      </c>
      <c r="BZ145" s="448" t="str">
        <f>_xlfn.IFNA(VLOOKUP($BK145,Programma!$F$3:$U$1101,16,0),"")</f>
        <v/>
      </c>
      <c r="CA145" s="448" t="str">
        <f>_xlfn.IFNA(VLOOKUP($BK145,Programma!$F$3:$V$1101,17,0),"")</f>
        <v/>
      </c>
      <c r="CB145" s="448" t="str">
        <f>_xlfn.IFNA(VLOOKUP($BK145,Programma!$F$3:$W$1101,18,0),"")</f>
        <v/>
      </c>
      <c r="CC145" s="448" t="str">
        <f>_xlfn.IFNA(VLOOKUP($BK145,Programma!$F$3:$X$1101,19,0),"")</f>
        <v/>
      </c>
      <c r="CD145" s="448" t="str">
        <f>_xlfn.IFNA(VLOOKUP($BK145,Programma!$F$3:$Y$1101,20,0),"")</f>
        <v/>
      </c>
      <c r="CE145" s="327"/>
      <c r="CF145" s="327"/>
      <c r="CG145" s="327"/>
      <c r="CH145" s="327"/>
      <c r="CI145" s="327"/>
      <c r="CJ145" s="327"/>
      <c r="CK145" s="327"/>
      <c r="CL145" s="327"/>
      <c r="CM145" s="327"/>
      <c r="CN145" s="327"/>
      <c r="CO145" s="327"/>
      <c r="CP145" s="327"/>
      <c r="CQ145" s="327"/>
      <c r="CR145" s="327"/>
      <c r="CS145" s="327"/>
      <c r="CT145" s="327"/>
      <c r="CU145" s="327"/>
      <c r="CV145" s="327"/>
      <c r="CW145" s="327"/>
      <c r="CX145" s="327"/>
      <c r="CY145" s="327"/>
      <c r="CZ145" s="327"/>
      <c r="DA145" s="327"/>
      <c r="DB145" s="327"/>
      <c r="DC145" s="327"/>
      <c r="DD145" s="327"/>
      <c r="DE145" s="327"/>
      <c r="DF145" s="327"/>
      <c r="DG145" s="327"/>
      <c r="DH145" s="327"/>
      <c r="DI145" s="327"/>
      <c r="DJ145" s="327"/>
      <c r="DK145" s="327"/>
      <c r="DL145" s="327"/>
      <c r="DM145" s="327"/>
      <c r="DN145" s="327"/>
      <c r="DO145" s="327"/>
      <c r="DP145" s="327"/>
      <c r="DQ145" s="327"/>
      <c r="DR145" s="327"/>
      <c r="DS145" s="327"/>
      <c r="DT145" s="327"/>
      <c r="DU145" s="327"/>
      <c r="DV145" s="327"/>
      <c r="DW145" s="327"/>
      <c r="DX145" s="327"/>
      <c r="DY145" s="327"/>
      <c r="DZ145" s="327"/>
      <c r="EA145" s="327"/>
      <c r="EB145" s="327"/>
      <c r="EC145" s="327"/>
      <c r="ED145" s="327"/>
      <c r="EE145" s="327"/>
      <c r="EF145" s="327"/>
      <c r="EG145" s="327"/>
      <c r="EH145" s="327"/>
      <c r="EI145" s="327"/>
      <c r="EJ145" s="327"/>
      <c r="EK145" s="327"/>
      <c r="EL145" s="327"/>
      <c r="EM145" s="327"/>
      <c r="EN145" s="327"/>
      <c r="EO145" s="327"/>
      <c r="EP145" s="327"/>
      <c r="EQ145" s="327"/>
      <c r="ER145" s="327"/>
      <c r="ES145" s="327"/>
      <c r="ET145" s="327"/>
      <c r="EU145" s="327"/>
      <c r="EV145" s="327"/>
      <c r="EW145" s="327"/>
      <c r="EX145" s="327"/>
      <c r="EY145" s="327"/>
      <c r="EZ145" s="327"/>
      <c r="FA145" s="327"/>
      <c r="FB145" s="327"/>
      <c r="FC145" s="327"/>
      <c r="FD145" s="327"/>
      <c r="FE145" s="327"/>
      <c r="FF145" s="327"/>
      <c r="FG145" s="327"/>
      <c r="FH145" s="327"/>
      <c r="FI145" s="327"/>
      <c r="FJ145" s="327"/>
      <c r="FK145" s="327"/>
      <c r="FL145" s="327"/>
      <c r="FM145" s="327"/>
      <c r="FN145" s="327"/>
      <c r="FO145" s="327"/>
      <c r="FP145" s="327"/>
      <c r="FQ145" s="327"/>
      <c r="FR145" s="327"/>
      <c r="FS145" s="327"/>
      <c r="FT145" s="327"/>
      <c r="FU145" s="327"/>
      <c r="FV145" s="327"/>
      <c r="FW145" s="327"/>
      <c r="FX145" s="327"/>
      <c r="FY145" s="327"/>
      <c r="FZ145" s="327"/>
      <c r="GA145" s="327"/>
      <c r="GB145" s="327"/>
      <c r="GC145" s="327"/>
      <c r="GD145" s="327"/>
      <c r="GE145" s="327"/>
      <c r="GF145" s="327"/>
      <c r="GG145" s="327"/>
      <c r="GH145" s="327"/>
      <c r="GI145" s="327"/>
      <c r="GJ145" s="327"/>
      <c r="GK145" s="327"/>
      <c r="GL145" s="327"/>
      <c r="GM145" s="327"/>
      <c r="GN145" s="327"/>
      <c r="GO145" s="327"/>
      <c r="GP145" s="327"/>
      <c r="GQ145" s="327"/>
      <c r="GR145" s="327"/>
      <c r="GS145" s="327"/>
      <c r="GT145" s="327"/>
      <c r="GU145" s="327"/>
      <c r="GV145" s="327"/>
      <c r="GW145" s="327"/>
      <c r="GX145" s="327"/>
      <c r="GY145" s="327"/>
      <c r="GZ145" s="327"/>
      <c r="HA145" s="327"/>
      <c r="HB145" s="327"/>
      <c r="HC145" s="327"/>
      <c r="HD145" s="327"/>
      <c r="HE145" s="327"/>
      <c r="HF145" s="327"/>
      <c r="HG145" s="327"/>
      <c r="HH145" s="327"/>
      <c r="HI145" s="327"/>
      <c r="HJ145" s="327"/>
      <c r="HK145" s="327"/>
      <c r="HL145" s="327"/>
      <c r="HM145" s="327"/>
      <c r="HN145" s="327"/>
      <c r="HO145" s="327"/>
      <c r="HP145" s="327"/>
      <c r="HQ145" s="327"/>
      <c r="HR145" s="327"/>
      <c r="HS145" s="327"/>
    </row>
    <row r="146" spans="1:227" ht="15" customHeight="1">
      <c r="A146" s="330">
        <v>7</v>
      </c>
      <c r="B146" s="435" t="str">
        <f>VLOOKUP(Ruimtestaat[[#This Row],[Code]],Locaties[[Code]:[Locatie]],2,FALSE)</f>
        <v>IKC De Baanbreker</v>
      </c>
      <c r="C146" s="435" t="str">
        <f>VLOOKUP(Ruimtestaat[[#This Row],[Code]],Locaties[[#All],[Code]:[Adres]],4,FALSE)</f>
        <v>Lijnbaan 319</v>
      </c>
      <c r="D146" s="435" t="str">
        <f>VLOOKUP(Ruimtestaat[[#This Row],[Code]],Locaties[[#All],[Code]:[Postcode]],5,FALSE)</f>
        <v>2728 AG</v>
      </c>
      <c r="E146" s="435" t="str">
        <f>VLOOKUP(Ruimtestaat[[#This Row],[Code]],Locaties[#All],6,FALSE)</f>
        <v>Zoetermeer</v>
      </c>
      <c r="F146" s="434"/>
      <c r="G146" s="434" t="s">
        <v>1678</v>
      </c>
      <c r="H146" s="330" t="s">
        <v>1665</v>
      </c>
      <c r="I146" s="450" t="s">
        <v>1666</v>
      </c>
      <c r="J146" s="330">
        <v>2</v>
      </c>
      <c r="K146" s="450" t="str">
        <f>VLOOKUP(Ruimtestaat[[#This Row],[Ruimte code]],Ruimtegroepen[[#All],[Code]:[Ruimte omschrijving]],2,FALSE)</f>
        <v>Kantoren</v>
      </c>
      <c r="L146" s="434" t="s">
        <v>99</v>
      </c>
      <c r="M146" s="437" t="s">
        <v>36</v>
      </c>
      <c r="N146" s="439">
        <v>9</v>
      </c>
      <c r="O146" s="439"/>
      <c r="P146" s="439"/>
      <c r="Q146" s="439"/>
      <c r="R146" s="440" t="str">
        <f>VLOOKUP(Ruimtestaat[[#This Row],[Ruimte code]],Ruimtegroepen[],4,FALSE)</f>
        <v>Bu</v>
      </c>
      <c r="S146" s="434">
        <v>41</v>
      </c>
      <c r="T146" s="434" t="s">
        <v>17</v>
      </c>
      <c r="U146" s="434">
        <f>IF(S146&gt;0,IF(RIGHT(Ruimtestaat[[#This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46" s="434">
        <f>IF(U146&gt;0,VLOOKUP($J146,Ruimtegroepen[],3,FALSE)*VLOOKUP($L146,Vloersoorten[],3,FALSE)*VLOOKUP($T146,Frequenties[],3,FALSE)*VLOOKUP($A146,Locaties[],3,FALSE),0)</f>
        <v>0</v>
      </c>
      <c r="W146" s="434">
        <f>Ruimtestaat[[#This Row],[Uitvoeringen werkdagen]]*Ruimtestaat[[#This Row],[Oppervlak (netto)]]</f>
        <v>738</v>
      </c>
      <c r="X146" s="441">
        <f>IF(V146&gt;0,Ruimtestaat[[#This Row],[Prest. (m2 /jaar) werkdagen]]/Ruimtestaat[[#This Row],[Norm (m2/uur) werkdagen]],0)</f>
        <v>0</v>
      </c>
      <c r="Y146" s="442">
        <f>Ruimtestaat[[#This Row],[Uitvoeringen werkdagen]]*Ruimtestaat[[#This Row],[Gedeeltelijk]]</f>
        <v>0</v>
      </c>
      <c r="Z146" s="443" t="e">
        <f>IF(U146&gt;0,Ruimtestaat[[#This Row],[Prest. (m2 / jaar) werkdagen gedeeld]]/Ruimtestaat[[#This Row],[Norm (m2/uur) werkdagen]],0)</f>
        <v>#DIV/0!</v>
      </c>
      <c r="AA146" s="441" t="e">
        <f>Ruimtestaat[[#This Row],[uren / jaar werkdagen gedeeld]]*Tariefsopbouw!$E$35</f>
        <v>#DIV/0!</v>
      </c>
      <c r="AB146" s="441">
        <f>Ruimtestaat[[#This Row],[Uitvoeringen werkdagen]]*Ruimtestaat[[#This Row],[BSO]]</f>
        <v>0</v>
      </c>
      <c r="AC146" s="443" t="e">
        <f>IF(U146&gt;0,Ruimtestaat[[#This Row],[Prest. (m2 / jaar) werkdagen BSO]]/Ruimtestaat[[#This Row],[Norm (m2/uur) werkdagen]],0)</f>
        <v>#DIV/0!</v>
      </c>
      <c r="AD146" s="443" t="e">
        <f>Ruimtestaat[[#This Row],[uren / jaar werkdagen BSO]]*Tariefsopbouw!$E$35</f>
        <v>#DIV/0!</v>
      </c>
      <c r="AE146" s="444">
        <f>Ruimtestaat[[#This Row],[uren / jaar werkdagen]]*Tariefsopbouw!$E$35</f>
        <v>0</v>
      </c>
      <c r="AF146" s="434"/>
      <c r="AG146" s="434">
        <f>IF(Ruimtestaat[[#This Row],[Frequentie weekend]]&gt;0,VALUE(LEFT(AF146,1))*S146,0)</f>
        <v>0</v>
      </c>
      <c r="AH146" s="445">
        <f>IF($AG146&gt;0,VLOOKUP($J146,Ruimtegroepen[],3,FALSE)*VLOOKUP($L146,Vloersoorten[],3,FALSE)*VLOOKUP($AF146,Frequenties[],3,FALSE)*VLOOKUP(Ruimtestaat[[#This Row],[Code]],Locaties[],3,FALSE),0)</f>
        <v>0</v>
      </c>
      <c r="AI146" s="445">
        <f>Ruimtestaat[[#This Row],[Uitvoeringen weekend]]*Ruimtestaat[[#This Row],[Oppervlak (netto)]]</f>
        <v>0</v>
      </c>
      <c r="AJ146" s="445">
        <f>IF(AH146&gt;0,Ruimtestaat[[#This Row],[Prest. (m2 /jaar) weekend]]/Ruimtestaat[[#This Row],[Norm (m2/uur) weekend]],0)</f>
        <v>0</v>
      </c>
      <c r="AK146" s="444">
        <f>Ruimtestaat[[#This Row],[uren / jaar weekend]]*Tariefsopbouw!$D$40</f>
        <v>0</v>
      </c>
      <c r="AL146" s="441">
        <f>Ruimtestaat[[#This Row],[Prest. (m2 /jaar) weekend]]+Ruimtestaat[[#This Row],[Prest. (m2 /jaar) werkdagen]]</f>
        <v>738</v>
      </c>
      <c r="AM146" s="441">
        <f>Ruimtestaat[[#This Row],[uren / jaar weekend]]+Ruimtestaat[[#This Row],[uren / jaar werkdagen]]</f>
        <v>0</v>
      </c>
      <c r="AN146" s="446">
        <f>Ruimtestaat[[#This Row],[kosten / jaar weekend]]+Ruimtestaat[[#This Row],[kosten / jaar werkdagen]]</f>
        <v>0</v>
      </c>
      <c r="AO146" s="446"/>
      <c r="AP146" s="447" t="str">
        <f>IF(Ruimtestaat[[#This Row],[Frequentie werkdagen]]="","",_xlfn.CONCAT(Ruimtestaat[[#This Row],[Ruimte code]],"-",Ruimtestaat[[#This Row],[Frequentie werkdagen]]," ",Ruimtestaat[[#This Row],[Vloer code]]))</f>
        <v>2-2w T</v>
      </c>
      <c r="AQ146" s="448" t="str">
        <f>_xlfn.IFNA(VLOOKUP($AP146,Programma!$F$3:$G$1101,2,0),"")</f>
        <v>1w</v>
      </c>
      <c r="AR146" s="448" t="str">
        <f>_xlfn.IFNA(VLOOKUP($AP146,Programma!$F$3:$H$1101,3,0),"")</f>
        <v>1w</v>
      </c>
      <c r="AS146" s="448" t="str">
        <f>_xlfn.IFNA(VLOOKUP($AP146,Programma!$F$3:$I$1101,4,0),"")</f>
        <v>_</v>
      </c>
      <c r="AT146" s="448" t="str">
        <f>_xlfn.IFNA(VLOOKUP($AP146,Programma!$F$3:$J$1101,5,0),"")</f>
        <v>_</v>
      </c>
      <c r="AU146" s="448" t="str">
        <f>_xlfn.IFNA(VLOOKUP($AP146,Programma!$F$3:$K$1101,6,0),"")</f>
        <v>_</v>
      </c>
      <c r="AV146" s="448" t="str">
        <f>_xlfn.IFNA(VLOOKUP($AP146,Programma!$F$3:$L$1101,7,0),"")</f>
        <v>_</v>
      </c>
      <c r="AW146" s="448" t="str">
        <f>_xlfn.IFNA(VLOOKUP($AP146,Programma!$F$3:$M$1101,8,0),"")</f>
        <v>_</v>
      </c>
      <c r="AX146" s="448" t="str">
        <f>_xlfn.IFNA(VLOOKUP($AP146,Programma!$F$3:$N$1101,9,0),"")</f>
        <v>_</v>
      </c>
      <c r="AY146" s="448" t="str">
        <f>_xlfn.IFNA(VLOOKUP($AP146,Programma!$F$3:$O$1101,10,0),"")</f>
        <v>2w</v>
      </c>
      <c r="AZ146" s="448" t="str">
        <f>_xlfn.IFNA(VLOOKUP($AP146,Programma!$F$3:$P$1101,11,0),"")</f>
        <v>2w</v>
      </c>
      <c r="BA146" s="448" t="str">
        <f>_xlfn.IFNA(VLOOKUP($AP146,Programma!$F$3:$Q$1101,12,0),"")</f>
        <v>1w</v>
      </c>
      <c r="BB146" s="448" t="str">
        <f>_xlfn.IFNA(VLOOKUP($AP146,Programma!$F$3:$R$1101,13,0),"")</f>
        <v>1w</v>
      </c>
      <c r="BC146" s="448" t="str">
        <f>_xlfn.IFNA(VLOOKUP($AP146,Programma!$F$3:$S$1101,14,0),"")</f>
        <v>1m</v>
      </c>
      <c r="BD146" s="448" t="str">
        <f>_xlfn.IFNA(VLOOKUP($AP146,Programma!$F$3:$T$1101,15,0),"")</f>
        <v>2j</v>
      </c>
      <c r="BE146" s="448" t="str">
        <f>_xlfn.IFNA(VLOOKUP($AP146,Programma!$F$3:$U$1101,16,0),"")</f>
        <v>1j</v>
      </c>
      <c r="BF146" s="448" t="str">
        <f>_xlfn.IFNA(VLOOKUP($AP146,Programma!$F$3:$V$1101,17,0),"")</f>
        <v>_</v>
      </c>
      <c r="BG146" s="448" t="str">
        <f>_xlfn.IFNA(VLOOKUP($AP146,Programma!$F$3:$W$1101,18,0),"")</f>
        <v>_</v>
      </c>
      <c r="BH146" s="448" t="str">
        <f>_xlfn.IFNA(VLOOKUP($AP146,Programma!$F$3:$X$1101,19,0),"")</f>
        <v>_</v>
      </c>
      <c r="BI146" s="448" t="str">
        <f>_xlfn.IFNA(VLOOKUP($AP146,Programma!$F$3:$Y$1101,20,0),"")</f>
        <v>_</v>
      </c>
      <c r="BJ146" s="449"/>
      <c r="BK146" s="447" t="str">
        <f>IF(Ruimtestaat[[#This Row],[Frequentie weekend]]="","",_xlfn.CONCAT(Ruimtestaat[[#This Row],[Ruimte code]],"-",Ruimtestaat[[#This Row],[Frequentie weekend]]," ",Ruimtestaat[[#This Row],[Vloer code]]))</f>
        <v/>
      </c>
      <c r="BL146" s="448" t="str">
        <f>_xlfn.IFNA(VLOOKUP($BK146,Programma!$F$3:$G$1101,2,0),"")</f>
        <v/>
      </c>
      <c r="BM146" s="448" t="str">
        <f>_xlfn.IFNA(VLOOKUP($BK146,Programma!$F$3:$H$1101,3,0),"")</f>
        <v/>
      </c>
      <c r="BN146" s="448" t="str">
        <f>_xlfn.IFNA(VLOOKUP($BK146,Programma!$F$3:$I$1101,4,0),"")</f>
        <v/>
      </c>
      <c r="BO146" s="448" t="str">
        <f>_xlfn.IFNA(VLOOKUP($BK146,Programma!$F$3:$J$1101,5,0),"")</f>
        <v/>
      </c>
      <c r="BP146" s="448" t="str">
        <f>_xlfn.IFNA(VLOOKUP($BK146,Programma!$F$3:$K$1101,6,0),"")</f>
        <v/>
      </c>
      <c r="BQ146" s="448" t="str">
        <f>_xlfn.IFNA(VLOOKUP($BK146,Programma!$F$3:$L$1101,7,0),"")</f>
        <v/>
      </c>
      <c r="BR146" s="448" t="str">
        <f>_xlfn.IFNA(VLOOKUP($BK146,Programma!$F$3:$M$1101,8,0),"")</f>
        <v/>
      </c>
      <c r="BS146" s="448" t="str">
        <f>_xlfn.IFNA(VLOOKUP($BK146,Programma!$F$3:$N$1101,9,0),"")</f>
        <v/>
      </c>
      <c r="BT146" s="448" t="str">
        <f>_xlfn.IFNA(VLOOKUP($BK146,Programma!$F$3:$O$1101,10,0),"")</f>
        <v/>
      </c>
      <c r="BU146" s="448" t="str">
        <f>_xlfn.IFNA(VLOOKUP($BK146,Programma!$F$3:$P$1101,11,0),"")</f>
        <v/>
      </c>
      <c r="BV146" s="448" t="str">
        <f>_xlfn.IFNA(VLOOKUP($BK146,Programma!$F$3:$Q$1101,12,0),"")</f>
        <v/>
      </c>
      <c r="BW146" s="448" t="str">
        <f>_xlfn.IFNA(VLOOKUP($BK146,Programma!$F$3:$R$1101,13,0),"")</f>
        <v/>
      </c>
      <c r="BX146" s="448" t="str">
        <f>_xlfn.IFNA(VLOOKUP($BK146,Programma!$F$3:$S$1101,14,0),"")</f>
        <v/>
      </c>
      <c r="BY146" s="448" t="str">
        <f>_xlfn.IFNA(VLOOKUP($BK146,Programma!$F$3:$T$1101,15,0),"")</f>
        <v/>
      </c>
      <c r="BZ146" s="448" t="str">
        <f>_xlfn.IFNA(VLOOKUP($BK146,Programma!$F$3:$U$1101,16,0),"")</f>
        <v/>
      </c>
      <c r="CA146" s="448" t="str">
        <f>_xlfn.IFNA(VLOOKUP($BK146,Programma!$F$3:$V$1101,17,0),"")</f>
        <v/>
      </c>
      <c r="CB146" s="448" t="str">
        <f>_xlfn.IFNA(VLOOKUP($BK146,Programma!$F$3:$W$1101,18,0),"")</f>
        <v/>
      </c>
      <c r="CC146" s="448" t="str">
        <f>_xlfn.IFNA(VLOOKUP($BK146,Programma!$F$3:$X$1101,19,0),"")</f>
        <v/>
      </c>
      <c r="CD146" s="448" t="str">
        <f>_xlfn.IFNA(VLOOKUP($BK146,Programma!$F$3:$Y$1101,20,0),"")</f>
        <v/>
      </c>
      <c r="CE146" s="327"/>
      <c r="CF146" s="327"/>
      <c r="CG146" s="327"/>
      <c r="CH146" s="327"/>
      <c r="CI146" s="327"/>
      <c r="CJ146" s="327"/>
      <c r="CK146" s="327"/>
      <c r="CL146" s="327"/>
      <c r="CM146" s="327"/>
      <c r="CN146" s="327"/>
      <c r="CO146" s="327"/>
      <c r="CP146" s="327"/>
      <c r="CQ146" s="327"/>
      <c r="CR146" s="327"/>
      <c r="CS146" s="327"/>
      <c r="CT146" s="327"/>
      <c r="CU146" s="327"/>
      <c r="CV146" s="327"/>
      <c r="CW146" s="327"/>
      <c r="CX146" s="327"/>
      <c r="CY146" s="327"/>
      <c r="CZ146" s="327"/>
      <c r="DA146" s="327"/>
      <c r="DB146" s="327"/>
      <c r="DC146" s="327"/>
      <c r="DD146" s="327"/>
      <c r="DE146" s="327"/>
      <c r="DF146" s="327"/>
      <c r="DG146" s="327"/>
      <c r="DH146" s="327"/>
      <c r="DI146" s="327"/>
      <c r="DJ146" s="327"/>
      <c r="DK146" s="327"/>
      <c r="DL146" s="327"/>
      <c r="DM146" s="327"/>
      <c r="DN146" s="327"/>
      <c r="DO146" s="327"/>
      <c r="DP146" s="327"/>
      <c r="DQ146" s="327"/>
      <c r="DR146" s="327"/>
      <c r="DS146" s="327"/>
      <c r="DT146" s="327"/>
      <c r="DU146" s="327"/>
      <c r="DV146" s="327"/>
      <c r="DW146" s="327"/>
      <c r="DX146" s="327"/>
      <c r="DY146" s="327"/>
      <c r="DZ146" s="327"/>
      <c r="EA146" s="327"/>
      <c r="EB146" s="327"/>
      <c r="EC146" s="327"/>
      <c r="ED146" s="327"/>
      <c r="EE146" s="327"/>
      <c r="EF146" s="327"/>
      <c r="EG146" s="327"/>
      <c r="EH146" s="327"/>
      <c r="EI146" s="327"/>
      <c r="EJ146" s="327"/>
      <c r="EK146" s="327"/>
      <c r="EL146" s="327"/>
      <c r="EM146" s="327"/>
      <c r="EN146" s="327"/>
      <c r="EO146" s="327"/>
      <c r="EP146" s="327"/>
      <c r="EQ146" s="327"/>
      <c r="ER146" s="327"/>
      <c r="ES146" s="327"/>
      <c r="ET146" s="327"/>
      <c r="EU146" s="327"/>
      <c r="EV146" s="327"/>
      <c r="EW146" s="327"/>
      <c r="EX146" s="327"/>
      <c r="EY146" s="327"/>
      <c r="EZ146" s="327"/>
      <c r="FA146" s="327"/>
      <c r="FB146" s="327"/>
      <c r="FC146" s="327"/>
      <c r="FD146" s="327"/>
      <c r="FE146" s="327"/>
      <c r="FF146" s="327"/>
      <c r="FG146" s="327"/>
      <c r="FH146" s="327"/>
      <c r="FI146" s="327"/>
      <c r="FJ146" s="327"/>
      <c r="FK146" s="327"/>
      <c r="FL146" s="327"/>
      <c r="FM146" s="327"/>
      <c r="FN146" s="327"/>
      <c r="FO146" s="327"/>
      <c r="FP146" s="327"/>
      <c r="FQ146" s="327"/>
      <c r="FR146" s="327"/>
      <c r="FS146" s="327"/>
      <c r="FT146" s="327"/>
      <c r="FU146" s="327"/>
      <c r="FV146" s="327"/>
      <c r="FW146" s="327"/>
      <c r="FX146" s="327"/>
      <c r="FY146" s="327"/>
      <c r="FZ146" s="327"/>
      <c r="GA146" s="327"/>
      <c r="GB146" s="327"/>
      <c r="GC146" s="327"/>
      <c r="GD146" s="327"/>
      <c r="GE146" s="327"/>
      <c r="GF146" s="327"/>
      <c r="GG146" s="327"/>
      <c r="GH146" s="327"/>
      <c r="GI146" s="327"/>
      <c r="GJ146" s="327"/>
      <c r="GK146" s="327"/>
      <c r="GL146" s="327"/>
      <c r="GM146" s="327"/>
      <c r="GN146" s="327"/>
      <c r="GO146" s="327"/>
      <c r="GP146" s="327"/>
      <c r="GQ146" s="327"/>
      <c r="GR146" s="327"/>
      <c r="GS146" s="327"/>
      <c r="GT146" s="327"/>
      <c r="GU146" s="327"/>
      <c r="GV146" s="327"/>
      <c r="GW146" s="327"/>
      <c r="GX146" s="327"/>
      <c r="GY146" s="327"/>
      <c r="GZ146" s="327"/>
      <c r="HA146" s="327"/>
      <c r="HB146" s="327"/>
      <c r="HC146" s="327"/>
      <c r="HD146" s="327"/>
      <c r="HE146" s="327"/>
      <c r="HF146" s="327"/>
      <c r="HG146" s="327"/>
      <c r="HH146" s="327"/>
      <c r="HI146" s="327"/>
      <c r="HJ146" s="327"/>
      <c r="HK146" s="327"/>
      <c r="HL146" s="327"/>
      <c r="HM146" s="327"/>
      <c r="HN146" s="327"/>
      <c r="HO146" s="327"/>
      <c r="HP146" s="327"/>
      <c r="HQ146" s="327"/>
      <c r="HR146" s="327"/>
      <c r="HS146" s="327"/>
    </row>
    <row r="147" spans="1:227" ht="15" customHeight="1">
      <c r="A147" s="330">
        <v>7</v>
      </c>
      <c r="B147" s="435" t="str">
        <f>VLOOKUP(Ruimtestaat[[#This Row],[Code]],Locaties[[Code]:[Locatie]],2,FALSE)</f>
        <v>IKC De Baanbreker</v>
      </c>
      <c r="C147" s="435" t="str">
        <f>VLOOKUP(Ruimtestaat[[#This Row],[Code]],Locaties[[#All],[Code]:[Adres]],4,FALSE)</f>
        <v>Lijnbaan 319</v>
      </c>
      <c r="D147" s="435" t="str">
        <f>VLOOKUP(Ruimtestaat[[#This Row],[Code]],Locaties[[#All],[Code]:[Postcode]],5,FALSE)</f>
        <v>2728 AG</v>
      </c>
      <c r="E147" s="435" t="str">
        <f>VLOOKUP(Ruimtestaat[[#This Row],[Code]],Locaties[#All],6,FALSE)</f>
        <v>Zoetermeer</v>
      </c>
      <c r="F147" s="434"/>
      <c r="G147" s="434" t="s">
        <v>1678</v>
      </c>
      <c r="H147" s="330" t="s">
        <v>1667</v>
      </c>
      <c r="I147" s="450" t="s">
        <v>1679</v>
      </c>
      <c r="J147" s="330">
        <v>16</v>
      </c>
      <c r="K147" s="450" t="str">
        <f>VLOOKUP(Ruimtestaat[[#This Row],[Ruimte code]],Ruimtegroepen[[#All],[Code]:[Ruimte omschrijving]],2,FALSE)</f>
        <v>Leslokalen</v>
      </c>
      <c r="L147" s="434" t="s">
        <v>100</v>
      </c>
      <c r="M147" s="437" t="s">
        <v>1759</v>
      </c>
      <c r="N147" s="439">
        <v>54</v>
      </c>
      <c r="O147" s="439"/>
      <c r="P147" s="439"/>
      <c r="Q147" s="439"/>
      <c r="R147" s="440" t="str">
        <f>VLOOKUP(Ruimtestaat[[#This Row],[Ruimte code]],Ruimtegroepen[],4,FALSE)</f>
        <v>Le</v>
      </c>
      <c r="S147" s="434">
        <v>40</v>
      </c>
      <c r="T147" s="434" t="s">
        <v>2</v>
      </c>
      <c r="U147" s="434">
        <f>IF(S147&gt;0,IF(RIGHT(Ruimtestaat[[#This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7" s="434">
        <f>IF(U147&gt;0,VLOOKUP($J147,Ruimtegroepen[],3,FALSE)*VLOOKUP($L147,Vloersoorten[],3,FALSE)*VLOOKUP($T147,Frequenties[],3,FALSE)*VLOOKUP($A147,Locaties[],3,FALSE),0)</f>
        <v>0</v>
      </c>
      <c r="W147" s="434">
        <f>Ruimtestaat[[#This Row],[Uitvoeringen werkdagen]]*Ruimtestaat[[#This Row],[Oppervlak (netto)]]</f>
        <v>10800</v>
      </c>
      <c r="X147" s="441">
        <f>IF(V147&gt;0,Ruimtestaat[[#This Row],[Prest. (m2 /jaar) werkdagen]]/Ruimtestaat[[#This Row],[Norm (m2/uur) werkdagen]],0)</f>
        <v>0</v>
      </c>
      <c r="Y147" s="442">
        <f>Ruimtestaat[[#This Row],[Uitvoeringen werkdagen]]*Ruimtestaat[[#This Row],[Gedeeltelijk]]</f>
        <v>0</v>
      </c>
      <c r="Z147" s="443" t="e">
        <f>IF(U147&gt;0,Ruimtestaat[[#This Row],[Prest. (m2 / jaar) werkdagen gedeeld]]/Ruimtestaat[[#This Row],[Norm (m2/uur) werkdagen]],0)</f>
        <v>#DIV/0!</v>
      </c>
      <c r="AA147" s="441" t="e">
        <f>Ruimtestaat[[#This Row],[uren / jaar werkdagen gedeeld]]*Tariefsopbouw!$E$35</f>
        <v>#DIV/0!</v>
      </c>
      <c r="AB147" s="441">
        <f>Ruimtestaat[[#This Row],[Uitvoeringen werkdagen]]*Ruimtestaat[[#This Row],[BSO]]</f>
        <v>0</v>
      </c>
      <c r="AC147" s="443" t="e">
        <f>IF(U147&gt;0,Ruimtestaat[[#This Row],[Prest. (m2 / jaar) werkdagen BSO]]/Ruimtestaat[[#This Row],[Norm (m2/uur) werkdagen]],0)</f>
        <v>#DIV/0!</v>
      </c>
      <c r="AD147" s="443" t="e">
        <f>Ruimtestaat[[#This Row],[uren / jaar werkdagen BSO]]*Tariefsopbouw!$E$35</f>
        <v>#DIV/0!</v>
      </c>
      <c r="AE147" s="444">
        <f>Ruimtestaat[[#This Row],[uren / jaar werkdagen]]*Tariefsopbouw!$E$35</f>
        <v>0</v>
      </c>
      <c r="AF147" s="434"/>
      <c r="AG147" s="434">
        <f>IF(Ruimtestaat[[#This Row],[Frequentie weekend]]&gt;0,VALUE(LEFT(AF147,1))*S147,0)</f>
        <v>0</v>
      </c>
      <c r="AH147" s="445">
        <f>IF($AG147&gt;0,VLOOKUP($J147,Ruimtegroepen[],3,FALSE)*VLOOKUP($L147,Vloersoorten[],3,FALSE)*VLOOKUP($AF147,Frequenties[],3,FALSE)*VLOOKUP(Ruimtestaat[[#This Row],[Code]],Locaties[],3,FALSE),0)</f>
        <v>0</v>
      </c>
      <c r="AI147" s="445">
        <f>Ruimtestaat[[#This Row],[Uitvoeringen weekend]]*Ruimtestaat[[#This Row],[Oppervlak (netto)]]</f>
        <v>0</v>
      </c>
      <c r="AJ147" s="445">
        <f>IF(AH147&gt;0,Ruimtestaat[[#This Row],[Prest. (m2 /jaar) weekend]]/Ruimtestaat[[#This Row],[Norm (m2/uur) weekend]],0)</f>
        <v>0</v>
      </c>
      <c r="AK147" s="444">
        <f>Ruimtestaat[[#This Row],[uren / jaar weekend]]*Tariefsopbouw!$D$40</f>
        <v>0</v>
      </c>
      <c r="AL147" s="441">
        <f>Ruimtestaat[[#This Row],[Prest. (m2 /jaar) weekend]]+Ruimtestaat[[#This Row],[Prest. (m2 /jaar) werkdagen]]</f>
        <v>10800</v>
      </c>
      <c r="AM147" s="441">
        <f>Ruimtestaat[[#This Row],[uren / jaar weekend]]+Ruimtestaat[[#This Row],[uren / jaar werkdagen]]</f>
        <v>0</v>
      </c>
      <c r="AN147" s="446">
        <f>Ruimtestaat[[#This Row],[kosten / jaar weekend]]+Ruimtestaat[[#This Row],[kosten / jaar werkdagen]]</f>
        <v>0</v>
      </c>
      <c r="AO147" s="446"/>
      <c r="AP147" s="447" t="str">
        <f>IF(Ruimtestaat[[#This Row],[Frequentie werkdagen]]="","",_xlfn.CONCAT(Ruimtestaat[[#This Row],[Ruimte code]],"-",Ruimtestaat[[#This Row],[Frequentie werkdagen]]," ",Ruimtestaat[[#This Row],[Vloer code]]))</f>
        <v>16-5w L</v>
      </c>
      <c r="AQ147" s="448" t="str">
        <f>_xlfn.IFNA(VLOOKUP($AP147,Programma!$F$3:$G$1101,2,0),"")</f>
        <v>_</v>
      </c>
      <c r="AR147" s="448" t="str">
        <f>_xlfn.IFNA(VLOOKUP($AP147,Programma!$F$3:$H$1101,3,0),"")</f>
        <v>_</v>
      </c>
      <c r="AS147" s="448" t="str">
        <f>_xlfn.IFNA(VLOOKUP($AP147,Programma!$F$3:$I$1101,4,0),"")</f>
        <v>4w</v>
      </c>
      <c r="AT147" s="448" t="str">
        <f>_xlfn.IFNA(VLOOKUP($AP147,Programma!$F$3:$J$1101,5,0),"")</f>
        <v>1w</v>
      </c>
      <c r="AU147" s="448" t="str">
        <f>_xlfn.IFNA(VLOOKUP($AP147,Programma!$F$3:$K$1101,6,0),"")</f>
        <v>_</v>
      </c>
      <c r="AV147" s="448" t="str">
        <f>_xlfn.IFNA(VLOOKUP($AP147,Programma!$F$3:$L$1101,7,0),"")</f>
        <v>_</v>
      </c>
      <c r="AW147" s="448" t="str">
        <f>_xlfn.IFNA(VLOOKUP($AP147,Programma!$F$3:$M$1101,8,0),"")</f>
        <v>_</v>
      </c>
      <c r="AX147" s="448" t="str">
        <f>_xlfn.IFNA(VLOOKUP($AP147,Programma!$F$3:$N$1101,9,0),"")</f>
        <v>_</v>
      </c>
      <c r="AY147" s="448" t="str">
        <f>_xlfn.IFNA(VLOOKUP($AP147,Programma!$F$3:$O$1101,10,0),"")</f>
        <v>5w</v>
      </c>
      <c r="AZ147" s="448" t="str">
        <f>_xlfn.IFNA(VLOOKUP($AP147,Programma!$F$3:$P$1101,11,0),"")</f>
        <v>5w</v>
      </c>
      <c r="BA147" s="448" t="str">
        <f>_xlfn.IFNA(VLOOKUP($AP147,Programma!$F$3:$Q$1101,12,0),"")</f>
        <v>1w</v>
      </c>
      <c r="BB147" s="448" t="str">
        <f>_xlfn.IFNA(VLOOKUP($AP147,Programma!$F$3:$R$1101,13,0),"")</f>
        <v>1w</v>
      </c>
      <c r="BC147" s="448" t="str">
        <f>_xlfn.IFNA(VLOOKUP($AP147,Programma!$F$3:$S$1101,14,0),"")</f>
        <v>1m</v>
      </c>
      <c r="BD147" s="448" t="str">
        <f>_xlfn.IFNA(VLOOKUP($AP147,Programma!$F$3:$T$1101,15,0),"")</f>
        <v>2j</v>
      </c>
      <c r="BE147" s="448" t="str">
        <f>_xlfn.IFNA(VLOOKUP($AP147,Programma!$F$3:$U$1101,16,0),"")</f>
        <v>1j</v>
      </c>
      <c r="BF147" s="448" t="str">
        <f>_xlfn.IFNA(VLOOKUP($AP147,Programma!$F$3:$V$1101,17,0),"")</f>
        <v>_</v>
      </c>
      <c r="BG147" s="448" t="str">
        <f>_xlfn.IFNA(VLOOKUP($AP147,Programma!$F$3:$W$1101,18,0),"")</f>
        <v>_</v>
      </c>
      <c r="BH147" s="448" t="str">
        <f>_xlfn.IFNA(VLOOKUP($AP147,Programma!$F$3:$X$1101,19,0),"")</f>
        <v>_</v>
      </c>
      <c r="BI147" s="448" t="str">
        <f>_xlfn.IFNA(VLOOKUP($AP147,Programma!$F$3:$Y$1101,20,0),"")</f>
        <v>_</v>
      </c>
      <c r="BJ147" s="449"/>
      <c r="BK147" s="447" t="str">
        <f>IF(Ruimtestaat[[#This Row],[Frequentie weekend]]="","",_xlfn.CONCAT(Ruimtestaat[[#This Row],[Ruimte code]],"-",Ruimtestaat[[#This Row],[Frequentie weekend]]," ",Ruimtestaat[[#This Row],[Vloer code]]))</f>
        <v/>
      </c>
      <c r="BL147" s="448" t="str">
        <f>_xlfn.IFNA(VLOOKUP($BK147,Programma!$F$3:$G$1101,2,0),"")</f>
        <v/>
      </c>
      <c r="BM147" s="448" t="str">
        <f>_xlfn.IFNA(VLOOKUP($BK147,Programma!$F$3:$H$1101,3,0),"")</f>
        <v/>
      </c>
      <c r="BN147" s="448" t="str">
        <f>_xlfn.IFNA(VLOOKUP($BK147,Programma!$F$3:$I$1101,4,0),"")</f>
        <v/>
      </c>
      <c r="BO147" s="448" t="str">
        <f>_xlfn.IFNA(VLOOKUP($BK147,Programma!$F$3:$J$1101,5,0),"")</f>
        <v/>
      </c>
      <c r="BP147" s="448" t="str">
        <f>_xlfn.IFNA(VLOOKUP($BK147,Programma!$F$3:$K$1101,6,0),"")</f>
        <v/>
      </c>
      <c r="BQ147" s="448" t="str">
        <f>_xlfn.IFNA(VLOOKUP($BK147,Programma!$F$3:$L$1101,7,0),"")</f>
        <v/>
      </c>
      <c r="BR147" s="448" t="str">
        <f>_xlfn.IFNA(VLOOKUP($BK147,Programma!$F$3:$M$1101,8,0),"")</f>
        <v/>
      </c>
      <c r="BS147" s="448" t="str">
        <f>_xlfn.IFNA(VLOOKUP($BK147,Programma!$F$3:$N$1101,9,0),"")</f>
        <v/>
      </c>
      <c r="BT147" s="448" t="str">
        <f>_xlfn.IFNA(VLOOKUP($BK147,Programma!$F$3:$O$1101,10,0),"")</f>
        <v/>
      </c>
      <c r="BU147" s="448" t="str">
        <f>_xlfn.IFNA(VLOOKUP($BK147,Programma!$F$3:$P$1101,11,0),"")</f>
        <v/>
      </c>
      <c r="BV147" s="448" t="str">
        <f>_xlfn.IFNA(VLOOKUP($BK147,Programma!$F$3:$Q$1101,12,0),"")</f>
        <v/>
      </c>
      <c r="BW147" s="448" t="str">
        <f>_xlfn.IFNA(VLOOKUP($BK147,Programma!$F$3:$R$1101,13,0),"")</f>
        <v/>
      </c>
      <c r="BX147" s="448" t="str">
        <f>_xlfn.IFNA(VLOOKUP($BK147,Programma!$F$3:$S$1101,14,0),"")</f>
        <v/>
      </c>
      <c r="BY147" s="448" t="str">
        <f>_xlfn.IFNA(VLOOKUP($BK147,Programma!$F$3:$T$1101,15,0),"")</f>
        <v/>
      </c>
      <c r="BZ147" s="448" t="str">
        <f>_xlfn.IFNA(VLOOKUP($BK147,Programma!$F$3:$U$1101,16,0),"")</f>
        <v/>
      </c>
      <c r="CA147" s="448" t="str">
        <f>_xlfn.IFNA(VLOOKUP($BK147,Programma!$F$3:$V$1101,17,0),"")</f>
        <v/>
      </c>
      <c r="CB147" s="448" t="str">
        <f>_xlfn.IFNA(VLOOKUP($BK147,Programma!$F$3:$W$1101,18,0),"")</f>
        <v/>
      </c>
      <c r="CC147" s="448" t="str">
        <f>_xlfn.IFNA(VLOOKUP($BK147,Programma!$F$3:$X$1101,19,0),"")</f>
        <v/>
      </c>
      <c r="CD147" s="448" t="str">
        <f>_xlfn.IFNA(VLOOKUP($BK147,Programma!$F$3:$Y$1101,20,0),"")</f>
        <v/>
      </c>
      <c r="CE147" s="327"/>
      <c r="CF147" s="327"/>
      <c r="CG147" s="327"/>
      <c r="CH147" s="327"/>
      <c r="CI147" s="327"/>
      <c r="CJ147" s="327"/>
      <c r="CK147" s="327"/>
      <c r="CL147" s="327"/>
      <c r="CM147" s="327"/>
      <c r="CN147" s="327"/>
      <c r="CO147" s="327"/>
      <c r="CP147" s="327"/>
      <c r="CQ147" s="327"/>
      <c r="CR147" s="327"/>
      <c r="CS147" s="327"/>
      <c r="CT147" s="327"/>
      <c r="CU147" s="327"/>
      <c r="CV147" s="327"/>
      <c r="CW147" s="327"/>
      <c r="CX147" s="327"/>
      <c r="CY147" s="327"/>
      <c r="CZ147" s="327"/>
      <c r="DA147" s="327"/>
      <c r="DB147" s="327"/>
      <c r="DC147" s="327"/>
      <c r="DD147" s="327"/>
      <c r="DE147" s="327"/>
      <c r="DF147" s="327"/>
      <c r="DG147" s="327"/>
      <c r="DH147" s="327"/>
      <c r="DI147" s="327"/>
      <c r="DJ147" s="327"/>
      <c r="DK147" s="327"/>
      <c r="DL147" s="327"/>
      <c r="DM147" s="327"/>
      <c r="DN147" s="327"/>
      <c r="DO147" s="327"/>
      <c r="DP147" s="327"/>
      <c r="DQ147" s="327"/>
      <c r="DR147" s="327"/>
      <c r="DS147" s="327"/>
      <c r="DT147" s="327"/>
      <c r="DU147" s="327"/>
      <c r="DV147" s="327"/>
      <c r="DW147" s="327"/>
      <c r="DX147" s="327"/>
      <c r="DY147" s="327"/>
      <c r="DZ147" s="327"/>
      <c r="EA147" s="327"/>
      <c r="EB147" s="327"/>
      <c r="EC147" s="327"/>
      <c r="ED147" s="327"/>
      <c r="EE147" s="327"/>
      <c r="EF147" s="327"/>
      <c r="EG147" s="327"/>
      <c r="EH147" s="327"/>
      <c r="EI147" s="327"/>
      <c r="EJ147" s="327"/>
      <c r="EK147" s="327"/>
      <c r="EL147" s="327"/>
      <c r="EM147" s="327"/>
      <c r="EN147" s="327"/>
      <c r="EO147" s="327"/>
      <c r="EP147" s="327"/>
      <c r="EQ147" s="327"/>
      <c r="ER147" s="327"/>
      <c r="ES147" s="327"/>
      <c r="ET147" s="327"/>
      <c r="EU147" s="327"/>
      <c r="EV147" s="327"/>
      <c r="EW147" s="327"/>
      <c r="EX147" s="327"/>
      <c r="EY147" s="327"/>
      <c r="EZ147" s="327"/>
      <c r="FA147" s="327"/>
      <c r="FB147" s="327"/>
      <c r="FC147" s="327"/>
      <c r="FD147" s="327"/>
      <c r="FE147" s="327"/>
      <c r="FF147" s="327"/>
      <c r="FG147" s="327"/>
      <c r="FH147" s="327"/>
      <c r="FI147" s="327"/>
      <c r="FJ147" s="327"/>
      <c r="FK147" s="327"/>
      <c r="FL147" s="327"/>
      <c r="FM147" s="327"/>
      <c r="FN147" s="327"/>
      <c r="FO147" s="327"/>
      <c r="FP147" s="327"/>
      <c r="FQ147" s="327"/>
      <c r="FR147" s="327"/>
      <c r="FS147" s="327"/>
      <c r="FT147" s="327"/>
      <c r="FU147" s="327"/>
      <c r="FV147" s="327"/>
      <c r="FW147" s="327"/>
      <c r="FX147" s="327"/>
      <c r="FY147" s="327"/>
      <c r="FZ147" s="327"/>
      <c r="GA147" s="327"/>
      <c r="GB147" s="327"/>
      <c r="GC147" s="327"/>
      <c r="GD147" s="327"/>
      <c r="GE147" s="327"/>
      <c r="GF147" s="327"/>
      <c r="GG147" s="327"/>
      <c r="GH147" s="327"/>
      <c r="GI147" s="327"/>
      <c r="GJ147" s="327"/>
      <c r="GK147" s="327"/>
      <c r="GL147" s="327"/>
      <c r="GM147" s="327"/>
      <c r="GN147" s="327"/>
      <c r="GO147" s="327"/>
      <c r="GP147" s="327"/>
      <c r="GQ147" s="327"/>
      <c r="GR147" s="327"/>
      <c r="GS147" s="327"/>
      <c r="GT147" s="327"/>
      <c r="GU147" s="327"/>
      <c r="GV147" s="327"/>
      <c r="GW147" s="327"/>
      <c r="GX147" s="327"/>
      <c r="GY147" s="327"/>
      <c r="GZ147" s="327"/>
      <c r="HA147" s="327"/>
      <c r="HB147" s="327"/>
      <c r="HC147" s="327"/>
      <c r="HD147" s="327"/>
      <c r="HE147" s="327"/>
      <c r="HF147" s="327"/>
      <c r="HG147" s="327"/>
      <c r="HH147" s="327"/>
      <c r="HI147" s="327"/>
      <c r="HJ147" s="327"/>
      <c r="HK147" s="327"/>
      <c r="HL147" s="327"/>
      <c r="HM147" s="327"/>
      <c r="HN147" s="327"/>
      <c r="HO147" s="327"/>
      <c r="HP147" s="327"/>
      <c r="HQ147" s="327"/>
      <c r="HR147" s="327"/>
      <c r="HS147" s="327"/>
    </row>
    <row r="148" spans="1:227" ht="15" customHeight="1">
      <c r="A148" s="330">
        <v>7</v>
      </c>
      <c r="B148" s="435" t="str">
        <f>VLOOKUP(Ruimtestaat[[#This Row],[Code]],Locaties[[Code]:[Locatie]],2,FALSE)</f>
        <v>IKC De Baanbreker</v>
      </c>
      <c r="C148" s="435" t="str">
        <f>VLOOKUP(Ruimtestaat[[#This Row],[Code]],Locaties[[#All],[Code]:[Adres]],4,FALSE)</f>
        <v>Lijnbaan 319</v>
      </c>
      <c r="D148" s="435" t="str">
        <f>VLOOKUP(Ruimtestaat[[#This Row],[Code]],Locaties[[#All],[Code]:[Postcode]],5,FALSE)</f>
        <v>2728 AG</v>
      </c>
      <c r="E148" s="435" t="str">
        <f>VLOOKUP(Ruimtestaat[[#This Row],[Code]],Locaties[#All],6,FALSE)</f>
        <v>Zoetermeer</v>
      </c>
      <c r="F148" s="434"/>
      <c r="G148" s="434" t="s">
        <v>1678</v>
      </c>
      <c r="H148" s="330" t="s">
        <v>1668</v>
      </c>
      <c r="I148" s="450" t="s">
        <v>1679</v>
      </c>
      <c r="J148" s="330">
        <v>16</v>
      </c>
      <c r="K148" s="450" t="str">
        <f>VLOOKUP(Ruimtestaat[[#This Row],[Ruimte code]],Ruimtegroepen[[#All],[Code]:[Ruimte omschrijving]],2,FALSE)</f>
        <v>Leslokalen</v>
      </c>
      <c r="L148" s="434" t="s">
        <v>100</v>
      </c>
      <c r="M148" s="437" t="s">
        <v>1759</v>
      </c>
      <c r="N148" s="439">
        <v>54</v>
      </c>
      <c r="O148" s="439"/>
      <c r="P148" s="439"/>
      <c r="Q148" s="439"/>
      <c r="R148" s="440" t="str">
        <f>VLOOKUP(Ruimtestaat[[#This Row],[Ruimte code]],Ruimtegroepen[],4,FALSE)</f>
        <v>Le</v>
      </c>
      <c r="S148" s="434">
        <v>40</v>
      </c>
      <c r="T148" s="434" t="s">
        <v>2</v>
      </c>
      <c r="U148" s="434">
        <f>IF(S148&gt;0,IF(RIGHT(Ruimtestaat[[#This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8" s="434">
        <f>IF(U148&gt;0,VLOOKUP($J148,Ruimtegroepen[],3,FALSE)*VLOOKUP($L148,Vloersoorten[],3,FALSE)*VLOOKUP($T148,Frequenties[],3,FALSE)*VLOOKUP($A148,Locaties[],3,FALSE),0)</f>
        <v>0</v>
      </c>
      <c r="W148" s="434">
        <f>Ruimtestaat[[#This Row],[Uitvoeringen werkdagen]]*Ruimtestaat[[#This Row],[Oppervlak (netto)]]</f>
        <v>10800</v>
      </c>
      <c r="X148" s="441">
        <f>IF(V148&gt;0,Ruimtestaat[[#This Row],[Prest. (m2 /jaar) werkdagen]]/Ruimtestaat[[#This Row],[Norm (m2/uur) werkdagen]],0)</f>
        <v>0</v>
      </c>
      <c r="Y148" s="442">
        <f>Ruimtestaat[[#This Row],[Uitvoeringen werkdagen]]*Ruimtestaat[[#This Row],[Gedeeltelijk]]</f>
        <v>0</v>
      </c>
      <c r="Z148" s="443" t="e">
        <f>IF(U148&gt;0,Ruimtestaat[[#This Row],[Prest. (m2 / jaar) werkdagen gedeeld]]/Ruimtestaat[[#This Row],[Norm (m2/uur) werkdagen]],0)</f>
        <v>#DIV/0!</v>
      </c>
      <c r="AA148" s="441" t="e">
        <f>Ruimtestaat[[#This Row],[uren / jaar werkdagen gedeeld]]*Tariefsopbouw!$E$35</f>
        <v>#DIV/0!</v>
      </c>
      <c r="AB148" s="441">
        <f>Ruimtestaat[[#This Row],[Uitvoeringen werkdagen]]*Ruimtestaat[[#This Row],[BSO]]</f>
        <v>0</v>
      </c>
      <c r="AC148" s="443" t="e">
        <f>IF(U148&gt;0,Ruimtestaat[[#This Row],[Prest. (m2 / jaar) werkdagen BSO]]/Ruimtestaat[[#This Row],[Norm (m2/uur) werkdagen]],0)</f>
        <v>#DIV/0!</v>
      </c>
      <c r="AD148" s="443" t="e">
        <f>Ruimtestaat[[#This Row],[uren / jaar werkdagen BSO]]*Tariefsopbouw!$E$35</f>
        <v>#DIV/0!</v>
      </c>
      <c r="AE148" s="444">
        <f>Ruimtestaat[[#This Row],[uren / jaar werkdagen]]*Tariefsopbouw!$E$35</f>
        <v>0</v>
      </c>
      <c r="AF148" s="434"/>
      <c r="AG148" s="434">
        <f>IF(Ruimtestaat[[#This Row],[Frequentie weekend]]&gt;0,VALUE(LEFT(AF148,1))*S148,0)</f>
        <v>0</v>
      </c>
      <c r="AH148" s="445">
        <f>IF($AG148&gt;0,VLOOKUP($J148,Ruimtegroepen[],3,FALSE)*VLOOKUP($L148,Vloersoorten[],3,FALSE)*VLOOKUP($AF148,Frequenties[],3,FALSE)*VLOOKUP(Ruimtestaat[[#This Row],[Code]],Locaties[],3,FALSE),0)</f>
        <v>0</v>
      </c>
      <c r="AI148" s="445">
        <f>Ruimtestaat[[#This Row],[Uitvoeringen weekend]]*Ruimtestaat[[#This Row],[Oppervlak (netto)]]</f>
        <v>0</v>
      </c>
      <c r="AJ148" s="445">
        <f>IF(AH148&gt;0,Ruimtestaat[[#This Row],[Prest. (m2 /jaar) weekend]]/Ruimtestaat[[#This Row],[Norm (m2/uur) weekend]],0)</f>
        <v>0</v>
      </c>
      <c r="AK148" s="444">
        <f>Ruimtestaat[[#This Row],[uren / jaar weekend]]*Tariefsopbouw!$D$40</f>
        <v>0</v>
      </c>
      <c r="AL148" s="441">
        <f>Ruimtestaat[[#This Row],[Prest. (m2 /jaar) weekend]]+Ruimtestaat[[#This Row],[Prest. (m2 /jaar) werkdagen]]</f>
        <v>10800</v>
      </c>
      <c r="AM148" s="441">
        <f>Ruimtestaat[[#This Row],[uren / jaar weekend]]+Ruimtestaat[[#This Row],[uren / jaar werkdagen]]</f>
        <v>0</v>
      </c>
      <c r="AN148" s="446">
        <f>Ruimtestaat[[#This Row],[kosten / jaar weekend]]+Ruimtestaat[[#This Row],[kosten / jaar werkdagen]]</f>
        <v>0</v>
      </c>
      <c r="AO148" s="446"/>
      <c r="AP148" s="447" t="str">
        <f>IF(Ruimtestaat[[#This Row],[Frequentie werkdagen]]="","",_xlfn.CONCAT(Ruimtestaat[[#This Row],[Ruimte code]],"-",Ruimtestaat[[#This Row],[Frequentie werkdagen]]," ",Ruimtestaat[[#This Row],[Vloer code]]))</f>
        <v>16-5w L</v>
      </c>
      <c r="AQ148" s="448" t="str">
        <f>_xlfn.IFNA(VLOOKUP($AP148,Programma!$F$3:$G$1101,2,0),"")</f>
        <v>_</v>
      </c>
      <c r="AR148" s="448" t="str">
        <f>_xlfn.IFNA(VLOOKUP($AP148,Programma!$F$3:$H$1101,3,0),"")</f>
        <v>_</v>
      </c>
      <c r="AS148" s="448" t="str">
        <f>_xlfn.IFNA(VLOOKUP($AP148,Programma!$F$3:$I$1101,4,0),"")</f>
        <v>4w</v>
      </c>
      <c r="AT148" s="448" t="str">
        <f>_xlfn.IFNA(VLOOKUP($AP148,Programma!$F$3:$J$1101,5,0),"")</f>
        <v>1w</v>
      </c>
      <c r="AU148" s="448" t="str">
        <f>_xlfn.IFNA(VLOOKUP($AP148,Programma!$F$3:$K$1101,6,0),"")</f>
        <v>_</v>
      </c>
      <c r="AV148" s="448" t="str">
        <f>_xlfn.IFNA(VLOOKUP($AP148,Programma!$F$3:$L$1101,7,0),"")</f>
        <v>_</v>
      </c>
      <c r="AW148" s="448" t="str">
        <f>_xlfn.IFNA(VLOOKUP($AP148,Programma!$F$3:$M$1101,8,0),"")</f>
        <v>_</v>
      </c>
      <c r="AX148" s="448" t="str">
        <f>_xlfn.IFNA(VLOOKUP($AP148,Programma!$F$3:$N$1101,9,0),"")</f>
        <v>_</v>
      </c>
      <c r="AY148" s="448" t="str">
        <f>_xlfn.IFNA(VLOOKUP($AP148,Programma!$F$3:$O$1101,10,0),"")</f>
        <v>5w</v>
      </c>
      <c r="AZ148" s="448" t="str">
        <f>_xlfn.IFNA(VLOOKUP($AP148,Programma!$F$3:$P$1101,11,0),"")</f>
        <v>5w</v>
      </c>
      <c r="BA148" s="448" t="str">
        <f>_xlfn.IFNA(VLOOKUP($AP148,Programma!$F$3:$Q$1101,12,0),"")</f>
        <v>1w</v>
      </c>
      <c r="BB148" s="448" t="str">
        <f>_xlfn.IFNA(VLOOKUP($AP148,Programma!$F$3:$R$1101,13,0),"")</f>
        <v>1w</v>
      </c>
      <c r="BC148" s="448" t="str">
        <f>_xlfn.IFNA(VLOOKUP($AP148,Programma!$F$3:$S$1101,14,0),"")</f>
        <v>1m</v>
      </c>
      <c r="BD148" s="448" t="str">
        <f>_xlfn.IFNA(VLOOKUP($AP148,Programma!$F$3:$T$1101,15,0),"")</f>
        <v>2j</v>
      </c>
      <c r="BE148" s="448" t="str">
        <f>_xlfn.IFNA(VLOOKUP($AP148,Programma!$F$3:$U$1101,16,0),"")</f>
        <v>1j</v>
      </c>
      <c r="BF148" s="448" t="str">
        <f>_xlfn.IFNA(VLOOKUP($AP148,Programma!$F$3:$V$1101,17,0),"")</f>
        <v>_</v>
      </c>
      <c r="BG148" s="448" t="str">
        <f>_xlfn.IFNA(VLOOKUP($AP148,Programma!$F$3:$W$1101,18,0),"")</f>
        <v>_</v>
      </c>
      <c r="BH148" s="448" t="str">
        <f>_xlfn.IFNA(VLOOKUP($AP148,Programma!$F$3:$X$1101,19,0),"")</f>
        <v>_</v>
      </c>
      <c r="BI148" s="448" t="str">
        <f>_xlfn.IFNA(VLOOKUP($AP148,Programma!$F$3:$Y$1101,20,0),"")</f>
        <v>_</v>
      </c>
      <c r="BJ148" s="449"/>
      <c r="BK148" s="447" t="str">
        <f>IF(Ruimtestaat[[#This Row],[Frequentie weekend]]="","",_xlfn.CONCAT(Ruimtestaat[[#This Row],[Ruimte code]],"-",Ruimtestaat[[#This Row],[Frequentie weekend]]," ",Ruimtestaat[[#This Row],[Vloer code]]))</f>
        <v/>
      </c>
      <c r="BL148" s="448" t="str">
        <f>_xlfn.IFNA(VLOOKUP($BK148,Programma!$F$3:$G$1101,2,0),"")</f>
        <v/>
      </c>
      <c r="BM148" s="448" t="str">
        <f>_xlfn.IFNA(VLOOKUP($BK148,Programma!$F$3:$H$1101,3,0),"")</f>
        <v/>
      </c>
      <c r="BN148" s="448" t="str">
        <f>_xlfn.IFNA(VLOOKUP($BK148,Programma!$F$3:$I$1101,4,0),"")</f>
        <v/>
      </c>
      <c r="BO148" s="448" t="str">
        <f>_xlfn.IFNA(VLOOKUP($BK148,Programma!$F$3:$J$1101,5,0),"")</f>
        <v/>
      </c>
      <c r="BP148" s="448" t="str">
        <f>_xlfn.IFNA(VLOOKUP($BK148,Programma!$F$3:$K$1101,6,0),"")</f>
        <v/>
      </c>
      <c r="BQ148" s="448" t="str">
        <f>_xlfn.IFNA(VLOOKUP($BK148,Programma!$F$3:$L$1101,7,0),"")</f>
        <v/>
      </c>
      <c r="BR148" s="448" t="str">
        <f>_xlfn.IFNA(VLOOKUP($BK148,Programma!$F$3:$M$1101,8,0),"")</f>
        <v/>
      </c>
      <c r="BS148" s="448" t="str">
        <f>_xlfn.IFNA(VLOOKUP($BK148,Programma!$F$3:$N$1101,9,0),"")</f>
        <v/>
      </c>
      <c r="BT148" s="448" t="str">
        <f>_xlfn.IFNA(VLOOKUP($BK148,Programma!$F$3:$O$1101,10,0),"")</f>
        <v/>
      </c>
      <c r="BU148" s="448" t="str">
        <f>_xlfn.IFNA(VLOOKUP($BK148,Programma!$F$3:$P$1101,11,0),"")</f>
        <v/>
      </c>
      <c r="BV148" s="448" t="str">
        <f>_xlfn.IFNA(VLOOKUP($BK148,Programma!$F$3:$Q$1101,12,0),"")</f>
        <v/>
      </c>
      <c r="BW148" s="448" t="str">
        <f>_xlfn.IFNA(VLOOKUP($BK148,Programma!$F$3:$R$1101,13,0),"")</f>
        <v/>
      </c>
      <c r="BX148" s="448" t="str">
        <f>_xlfn.IFNA(VLOOKUP($BK148,Programma!$F$3:$S$1101,14,0),"")</f>
        <v/>
      </c>
      <c r="BY148" s="448" t="str">
        <f>_xlfn.IFNA(VLOOKUP($BK148,Programma!$F$3:$T$1101,15,0),"")</f>
        <v/>
      </c>
      <c r="BZ148" s="448" t="str">
        <f>_xlfn.IFNA(VLOOKUP($BK148,Programma!$F$3:$U$1101,16,0),"")</f>
        <v/>
      </c>
      <c r="CA148" s="448" t="str">
        <f>_xlfn.IFNA(VLOOKUP($BK148,Programma!$F$3:$V$1101,17,0),"")</f>
        <v/>
      </c>
      <c r="CB148" s="448" t="str">
        <f>_xlfn.IFNA(VLOOKUP($BK148,Programma!$F$3:$W$1101,18,0),"")</f>
        <v/>
      </c>
      <c r="CC148" s="448" t="str">
        <f>_xlfn.IFNA(VLOOKUP($BK148,Programma!$F$3:$X$1101,19,0),"")</f>
        <v/>
      </c>
      <c r="CD148" s="448" t="str">
        <f>_xlfn.IFNA(VLOOKUP($BK148,Programma!$F$3:$Y$1101,20,0),"")</f>
        <v/>
      </c>
      <c r="CE148" s="327"/>
      <c r="CF148" s="327"/>
      <c r="CG148" s="327"/>
      <c r="CH148" s="327"/>
      <c r="CI148" s="327"/>
      <c r="CJ148" s="327"/>
      <c r="CK148" s="327"/>
      <c r="CL148" s="327"/>
      <c r="CM148" s="327"/>
      <c r="CN148" s="327"/>
      <c r="CO148" s="327"/>
      <c r="CP148" s="327"/>
      <c r="CQ148" s="327"/>
      <c r="CR148" s="327"/>
      <c r="CS148" s="327"/>
      <c r="CT148" s="327"/>
      <c r="CU148" s="327"/>
      <c r="CV148" s="327"/>
      <c r="CW148" s="327"/>
      <c r="CX148" s="327"/>
      <c r="CY148" s="327"/>
      <c r="CZ148" s="327"/>
      <c r="DA148" s="327"/>
      <c r="DB148" s="327"/>
      <c r="DC148" s="327"/>
      <c r="DD148" s="327"/>
      <c r="DE148" s="327"/>
      <c r="DF148" s="327"/>
      <c r="DG148" s="327"/>
      <c r="DH148" s="327"/>
      <c r="DI148" s="327"/>
      <c r="DJ148" s="327"/>
      <c r="DK148" s="327"/>
      <c r="DL148" s="327"/>
      <c r="DM148" s="327"/>
      <c r="DN148" s="327"/>
      <c r="DO148" s="327"/>
      <c r="DP148" s="327"/>
      <c r="DQ148" s="327"/>
      <c r="DR148" s="327"/>
      <c r="DS148" s="327"/>
      <c r="DT148" s="327"/>
      <c r="DU148" s="327"/>
      <c r="DV148" s="327"/>
      <c r="DW148" s="327"/>
      <c r="DX148" s="327"/>
      <c r="DY148" s="327"/>
      <c r="DZ148" s="327"/>
      <c r="EA148" s="327"/>
      <c r="EB148" s="327"/>
      <c r="EC148" s="327"/>
      <c r="ED148" s="327"/>
      <c r="EE148" s="327"/>
      <c r="EF148" s="327"/>
      <c r="EG148" s="327"/>
      <c r="EH148" s="327"/>
      <c r="EI148" s="327"/>
      <c r="EJ148" s="327"/>
      <c r="EK148" s="327"/>
      <c r="EL148" s="327"/>
      <c r="EM148" s="327"/>
      <c r="EN148" s="327"/>
      <c r="EO148" s="327"/>
      <c r="EP148" s="327"/>
      <c r="EQ148" s="327"/>
      <c r="ER148" s="327"/>
      <c r="ES148" s="327"/>
      <c r="ET148" s="327"/>
      <c r="EU148" s="327"/>
      <c r="EV148" s="327"/>
      <c r="EW148" s="327"/>
      <c r="EX148" s="327"/>
      <c r="EY148" s="327"/>
      <c r="EZ148" s="327"/>
      <c r="FA148" s="327"/>
      <c r="FB148" s="327"/>
      <c r="FC148" s="327"/>
      <c r="FD148" s="327"/>
      <c r="FE148" s="327"/>
      <c r="FF148" s="327"/>
      <c r="FG148" s="327"/>
      <c r="FH148" s="327"/>
      <c r="FI148" s="327"/>
      <c r="FJ148" s="327"/>
      <c r="FK148" s="327"/>
      <c r="FL148" s="327"/>
      <c r="FM148" s="327"/>
      <c r="FN148" s="327"/>
      <c r="FO148" s="327"/>
      <c r="FP148" s="327"/>
      <c r="FQ148" s="327"/>
      <c r="FR148" s="327"/>
      <c r="FS148" s="327"/>
      <c r="FT148" s="327"/>
      <c r="FU148" s="327"/>
      <c r="FV148" s="327"/>
      <c r="FW148" s="327"/>
      <c r="FX148" s="327"/>
      <c r="FY148" s="327"/>
      <c r="FZ148" s="327"/>
      <c r="GA148" s="327"/>
      <c r="GB148" s="327"/>
      <c r="GC148" s="327"/>
      <c r="GD148" s="327"/>
      <c r="GE148" s="327"/>
      <c r="GF148" s="327"/>
      <c r="GG148" s="327"/>
      <c r="GH148" s="327"/>
      <c r="GI148" s="327"/>
      <c r="GJ148" s="327"/>
      <c r="GK148" s="327"/>
      <c r="GL148" s="327"/>
      <c r="GM148" s="327"/>
      <c r="GN148" s="327"/>
      <c r="GO148" s="327"/>
      <c r="GP148" s="327"/>
      <c r="GQ148" s="327"/>
      <c r="GR148" s="327"/>
      <c r="GS148" s="327"/>
      <c r="GT148" s="327"/>
      <c r="GU148" s="327"/>
      <c r="GV148" s="327"/>
      <c r="GW148" s="327"/>
      <c r="GX148" s="327"/>
      <c r="GY148" s="327"/>
      <c r="GZ148" s="327"/>
      <c r="HA148" s="327"/>
      <c r="HB148" s="327"/>
      <c r="HC148" s="327"/>
      <c r="HD148" s="327"/>
      <c r="HE148" s="327"/>
      <c r="HF148" s="327"/>
      <c r="HG148" s="327"/>
      <c r="HH148" s="327"/>
      <c r="HI148" s="327"/>
      <c r="HJ148" s="327"/>
      <c r="HK148" s="327"/>
      <c r="HL148" s="327"/>
      <c r="HM148" s="327"/>
      <c r="HN148" s="327"/>
      <c r="HO148" s="327"/>
      <c r="HP148" s="327"/>
      <c r="HQ148" s="327"/>
      <c r="HR148" s="327"/>
      <c r="HS148" s="327"/>
    </row>
    <row r="149" spans="1:227" ht="15" customHeight="1">
      <c r="A149" s="330">
        <v>7</v>
      </c>
      <c r="B149" s="435" t="str">
        <f>VLOOKUP(Ruimtestaat[[#This Row],[Code]],Locaties[[Code]:[Locatie]],2,FALSE)</f>
        <v>IKC De Baanbreker</v>
      </c>
      <c r="C149" s="435" t="str">
        <f>VLOOKUP(Ruimtestaat[[#This Row],[Code]],Locaties[[#All],[Code]:[Adres]],4,FALSE)</f>
        <v>Lijnbaan 319</v>
      </c>
      <c r="D149" s="435" t="str">
        <f>VLOOKUP(Ruimtestaat[[#This Row],[Code]],Locaties[[#All],[Code]:[Postcode]],5,FALSE)</f>
        <v>2728 AG</v>
      </c>
      <c r="E149" s="435" t="str">
        <f>VLOOKUP(Ruimtestaat[[#This Row],[Code]],Locaties[#All],6,FALSE)</f>
        <v>Zoetermeer</v>
      </c>
      <c r="F149" s="434"/>
      <c r="G149" s="434" t="s">
        <v>1678</v>
      </c>
      <c r="H149" s="330" t="s">
        <v>1669</v>
      </c>
      <c r="I149" s="450" t="s">
        <v>1664</v>
      </c>
      <c r="J149" s="330">
        <v>7</v>
      </c>
      <c r="K149" s="450" t="str">
        <f>VLOOKUP(Ruimtestaat[[#This Row],[Ruimte code]],Ruimtegroepen[[#All],[Code]:[Ruimte omschrijving]],2,FALSE)</f>
        <v>Entree</v>
      </c>
      <c r="L149" s="434" t="s">
        <v>99</v>
      </c>
      <c r="M149" s="437" t="s">
        <v>1758</v>
      </c>
      <c r="N149" s="439">
        <v>8</v>
      </c>
      <c r="O149" s="439"/>
      <c r="P149" s="439"/>
      <c r="Q149" s="439"/>
      <c r="R149" s="440" t="str">
        <f>VLOOKUP(Ruimtestaat[[#This Row],[Ruimte code]],Ruimtegroepen[],4,FALSE)</f>
        <v>Ve</v>
      </c>
      <c r="S149" s="434">
        <v>41</v>
      </c>
      <c r="T149" s="434" t="s">
        <v>2</v>
      </c>
      <c r="U149" s="434">
        <f>IF(S149&gt;0,IF(RIGHT(Ruimtestaat[[#This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49" s="434">
        <f>IF(U149&gt;0,VLOOKUP($J149,Ruimtegroepen[],3,FALSE)*VLOOKUP($L149,Vloersoorten[],3,FALSE)*VLOOKUP($T149,Frequenties[],3,FALSE)*VLOOKUP($A149,Locaties[],3,FALSE),0)</f>
        <v>0</v>
      </c>
      <c r="W149" s="434">
        <f>Ruimtestaat[[#This Row],[Uitvoeringen werkdagen]]*Ruimtestaat[[#This Row],[Oppervlak (netto)]]</f>
        <v>1640</v>
      </c>
      <c r="X149" s="441">
        <f>IF(V149&gt;0,Ruimtestaat[[#This Row],[Prest. (m2 /jaar) werkdagen]]/Ruimtestaat[[#This Row],[Norm (m2/uur) werkdagen]],0)</f>
        <v>0</v>
      </c>
      <c r="Y149" s="442">
        <f>Ruimtestaat[[#This Row],[Uitvoeringen werkdagen]]*Ruimtestaat[[#This Row],[Gedeeltelijk]]</f>
        <v>0</v>
      </c>
      <c r="Z149" s="443" t="e">
        <f>IF(U149&gt;0,Ruimtestaat[[#This Row],[Prest. (m2 / jaar) werkdagen gedeeld]]/Ruimtestaat[[#This Row],[Norm (m2/uur) werkdagen]],0)</f>
        <v>#DIV/0!</v>
      </c>
      <c r="AA149" s="441" t="e">
        <f>Ruimtestaat[[#This Row],[uren / jaar werkdagen gedeeld]]*Tariefsopbouw!$E$35</f>
        <v>#DIV/0!</v>
      </c>
      <c r="AB149" s="441">
        <f>Ruimtestaat[[#This Row],[Uitvoeringen werkdagen]]*Ruimtestaat[[#This Row],[BSO]]</f>
        <v>0</v>
      </c>
      <c r="AC149" s="443" t="e">
        <f>IF(U149&gt;0,Ruimtestaat[[#This Row],[Prest. (m2 / jaar) werkdagen BSO]]/Ruimtestaat[[#This Row],[Norm (m2/uur) werkdagen]],0)</f>
        <v>#DIV/0!</v>
      </c>
      <c r="AD149" s="443" t="e">
        <f>Ruimtestaat[[#This Row],[uren / jaar werkdagen BSO]]*Tariefsopbouw!$E$35</f>
        <v>#DIV/0!</v>
      </c>
      <c r="AE149" s="444">
        <f>Ruimtestaat[[#This Row],[uren / jaar werkdagen]]*Tariefsopbouw!$E$35</f>
        <v>0</v>
      </c>
      <c r="AF149" s="434"/>
      <c r="AG149" s="434">
        <f>IF(Ruimtestaat[[#This Row],[Frequentie weekend]]&gt;0,VALUE(LEFT(AF149,1))*S149,0)</f>
        <v>0</v>
      </c>
      <c r="AH149" s="445">
        <f>IF($AG149&gt;0,VLOOKUP($J149,Ruimtegroepen[],3,FALSE)*VLOOKUP($L149,Vloersoorten[],3,FALSE)*VLOOKUP($AF149,Frequenties[],3,FALSE)*VLOOKUP(Ruimtestaat[[#This Row],[Code]],Locaties[],3,FALSE),0)</f>
        <v>0</v>
      </c>
      <c r="AI149" s="445">
        <f>Ruimtestaat[[#This Row],[Uitvoeringen weekend]]*Ruimtestaat[[#This Row],[Oppervlak (netto)]]</f>
        <v>0</v>
      </c>
      <c r="AJ149" s="445">
        <f>IF(AH149&gt;0,Ruimtestaat[[#This Row],[Prest. (m2 /jaar) weekend]]/Ruimtestaat[[#This Row],[Norm (m2/uur) weekend]],0)</f>
        <v>0</v>
      </c>
      <c r="AK149" s="444">
        <f>Ruimtestaat[[#This Row],[uren / jaar weekend]]*Tariefsopbouw!$D$40</f>
        <v>0</v>
      </c>
      <c r="AL149" s="441">
        <f>Ruimtestaat[[#This Row],[Prest. (m2 /jaar) weekend]]+Ruimtestaat[[#This Row],[Prest. (m2 /jaar) werkdagen]]</f>
        <v>1640</v>
      </c>
      <c r="AM149" s="441">
        <f>Ruimtestaat[[#This Row],[uren / jaar weekend]]+Ruimtestaat[[#This Row],[uren / jaar werkdagen]]</f>
        <v>0</v>
      </c>
      <c r="AN149" s="446">
        <f>Ruimtestaat[[#This Row],[kosten / jaar weekend]]+Ruimtestaat[[#This Row],[kosten / jaar werkdagen]]</f>
        <v>0</v>
      </c>
      <c r="AO149" s="446"/>
      <c r="AP149" s="447" t="str">
        <f>IF(Ruimtestaat[[#This Row],[Frequentie werkdagen]]="","",_xlfn.CONCAT(Ruimtestaat[[#This Row],[Ruimte code]],"-",Ruimtestaat[[#This Row],[Frequentie werkdagen]]," ",Ruimtestaat[[#This Row],[Vloer code]]))</f>
        <v>7-5w T</v>
      </c>
      <c r="AQ149" s="448" t="str">
        <f>_xlfn.IFNA(VLOOKUP($AP149,Programma!$F$3:$G$1101,2,0),"")</f>
        <v>_</v>
      </c>
      <c r="AR149" s="448" t="str">
        <f>_xlfn.IFNA(VLOOKUP($AP149,Programma!$F$3:$H$1101,3,0),"")</f>
        <v>5w</v>
      </c>
      <c r="AS149" s="448" t="str">
        <f>_xlfn.IFNA(VLOOKUP($AP149,Programma!$F$3:$I$1101,4,0),"")</f>
        <v>_</v>
      </c>
      <c r="AT149" s="448" t="str">
        <f>_xlfn.IFNA(VLOOKUP($AP149,Programma!$F$3:$J$1101,5,0),"")</f>
        <v>_</v>
      </c>
      <c r="AU149" s="448" t="str">
        <f>_xlfn.IFNA(VLOOKUP($AP149,Programma!$F$3:$K$1101,6,0),"")</f>
        <v>_</v>
      </c>
      <c r="AV149" s="448" t="str">
        <f>_xlfn.IFNA(VLOOKUP($AP149,Programma!$F$3:$L$1101,7,0),"")</f>
        <v>_</v>
      </c>
      <c r="AW149" s="448" t="str">
        <f>_xlfn.IFNA(VLOOKUP($AP149,Programma!$F$3:$M$1101,8,0),"")</f>
        <v>_</v>
      </c>
      <c r="AX149" s="448" t="str">
        <f>_xlfn.IFNA(VLOOKUP($AP149,Programma!$F$3:$N$1101,9,0),"")</f>
        <v>_</v>
      </c>
      <c r="AY149" s="448" t="str">
        <f>_xlfn.IFNA(VLOOKUP($AP149,Programma!$F$3:$O$1101,10,0),"")</f>
        <v>5w</v>
      </c>
      <c r="AZ149" s="448" t="str">
        <f>_xlfn.IFNA(VLOOKUP($AP149,Programma!$F$3:$P$1101,11,0),"")</f>
        <v>5w</v>
      </c>
      <c r="BA149" s="448" t="str">
        <f>_xlfn.IFNA(VLOOKUP($AP149,Programma!$F$3:$Q$1101,12,0),"")</f>
        <v>1w</v>
      </c>
      <c r="BB149" s="448" t="str">
        <f>_xlfn.IFNA(VLOOKUP($AP149,Programma!$F$3:$R$1101,13,0),"")</f>
        <v>1w</v>
      </c>
      <c r="BC149" s="448" t="str">
        <f>_xlfn.IFNA(VLOOKUP($AP149,Programma!$F$3:$S$1101,14,0),"")</f>
        <v>1m</v>
      </c>
      <c r="BD149" s="448" t="str">
        <f>_xlfn.IFNA(VLOOKUP($AP149,Programma!$F$3:$T$1101,15,0),"")</f>
        <v>2j</v>
      </c>
      <c r="BE149" s="448" t="str">
        <f>_xlfn.IFNA(VLOOKUP($AP149,Programma!$F$3:$U$1101,16,0),"")</f>
        <v>1j</v>
      </c>
      <c r="BF149" s="448" t="str">
        <f>_xlfn.IFNA(VLOOKUP($AP149,Programma!$F$3:$V$1101,17,0),"")</f>
        <v>_</v>
      </c>
      <c r="BG149" s="448" t="str">
        <f>_xlfn.IFNA(VLOOKUP($AP149,Programma!$F$3:$W$1101,18,0),"")</f>
        <v>_</v>
      </c>
      <c r="BH149" s="448" t="str">
        <f>_xlfn.IFNA(VLOOKUP($AP149,Programma!$F$3:$X$1101,19,0),"")</f>
        <v>_</v>
      </c>
      <c r="BI149" s="448" t="str">
        <f>_xlfn.IFNA(VLOOKUP($AP149,Programma!$F$3:$Y$1101,20,0),"")</f>
        <v>_</v>
      </c>
      <c r="BJ149" s="449"/>
      <c r="BK149" s="447" t="str">
        <f>IF(Ruimtestaat[[#This Row],[Frequentie weekend]]="","",_xlfn.CONCAT(Ruimtestaat[[#This Row],[Ruimte code]],"-",Ruimtestaat[[#This Row],[Frequentie weekend]]," ",Ruimtestaat[[#This Row],[Vloer code]]))</f>
        <v/>
      </c>
      <c r="BL149" s="448" t="str">
        <f>_xlfn.IFNA(VLOOKUP($BK149,Programma!$F$3:$G$1101,2,0),"")</f>
        <v/>
      </c>
      <c r="BM149" s="448" t="str">
        <f>_xlfn.IFNA(VLOOKUP($BK149,Programma!$F$3:$H$1101,3,0),"")</f>
        <v/>
      </c>
      <c r="BN149" s="448" t="str">
        <f>_xlfn.IFNA(VLOOKUP($BK149,Programma!$F$3:$I$1101,4,0),"")</f>
        <v/>
      </c>
      <c r="BO149" s="448" t="str">
        <f>_xlfn.IFNA(VLOOKUP($BK149,Programma!$F$3:$J$1101,5,0),"")</f>
        <v/>
      </c>
      <c r="BP149" s="448" t="str">
        <f>_xlfn.IFNA(VLOOKUP($BK149,Programma!$F$3:$K$1101,6,0),"")</f>
        <v/>
      </c>
      <c r="BQ149" s="448" t="str">
        <f>_xlfn.IFNA(VLOOKUP($BK149,Programma!$F$3:$L$1101,7,0),"")</f>
        <v/>
      </c>
      <c r="BR149" s="448" t="str">
        <f>_xlfn.IFNA(VLOOKUP($BK149,Programma!$F$3:$M$1101,8,0),"")</f>
        <v/>
      </c>
      <c r="BS149" s="448" t="str">
        <f>_xlfn.IFNA(VLOOKUP($BK149,Programma!$F$3:$N$1101,9,0),"")</f>
        <v/>
      </c>
      <c r="BT149" s="448" t="str">
        <f>_xlfn.IFNA(VLOOKUP($BK149,Programma!$F$3:$O$1101,10,0),"")</f>
        <v/>
      </c>
      <c r="BU149" s="448" t="str">
        <f>_xlfn.IFNA(VLOOKUP($BK149,Programma!$F$3:$P$1101,11,0),"")</f>
        <v/>
      </c>
      <c r="BV149" s="448" t="str">
        <f>_xlfn.IFNA(VLOOKUP($BK149,Programma!$F$3:$Q$1101,12,0),"")</f>
        <v/>
      </c>
      <c r="BW149" s="448" t="str">
        <f>_xlfn.IFNA(VLOOKUP($BK149,Programma!$F$3:$R$1101,13,0),"")</f>
        <v/>
      </c>
      <c r="BX149" s="448" t="str">
        <f>_xlfn.IFNA(VLOOKUP($BK149,Programma!$F$3:$S$1101,14,0),"")</f>
        <v/>
      </c>
      <c r="BY149" s="448" t="str">
        <f>_xlfn.IFNA(VLOOKUP($BK149,Programma!$F$3:$T$1101,15,0),"")</f>
        <v/>
      </c>
      <c r="BZ149" s="448" t="str">
        <f>_xlfn.IFNA(VLOOKUP($BK149,Programma!$F$3:$U$1101,16,0),"")</f>
        <v/>
      </c>
      <c r="CA149" s="448" t="str">
        <f>_xlfn.IFNA(VLOOKUP($BK149,Programma!$F$3:$V$1101,17,0),"")</f>
        <v/>
      </c>
      <c r="CB149" s="448" t="str">
        <f>_xlfn.IFNA(VLOOKUP($BK149,Programma!$F$3:$W$1101,18,0),"")</f>
        <v/>
      </c>
      <c r="CC149" s="448" t="str">
        <f>_xlfn.IFNA(VLOOKUP($BK149,Programma!$F$3:$X$1101,19,0),"")</f>
        <v/>
      </c>
      <c r="CD149" s="448" t="str">
        <f>_xlfn.IFNA(VLOOKUP($BK149,Programma!$F$3:$Y$1101,20,0),"")</f>
        <v/>
      </c>
      <c r="CE149" s="327"/>
      <c r="CF149" s="327"/>
      <c r="CG149" s="327"/>
      <c r="CH149" s="327"/>
      <c r="CI149" s="327"/>
      <c r="CJ149" s="327"/>
      <c r="CK149" s="327"/>
      <c r="CL149" s="327"/>
      <c r="CM149" s="327"/>
      <c r="CN149" s="327"/>
      <c r="CO149" s="327"/>
      <c r="CP149" s="327"/>
      <c r="CQ149" s="327"/>
      <c r="CR149" s="327"/>
      <c r="CS149" s="327"/>
      <c r="CT149" s="327"/>
      <c r="CU149" s="327"/>
      <c r="CV149" s="327"/>
      <c r="CW149" s="327"/>
      <c r="CX149" s="327"/>
      <c r="CY149" s="327"/>
      <c r="CZ149" s="327"/>
      <c r="DA149" s="327"/>
      <c r="DB149" s="327"/>
      <c r="DC149" s="327"/>
      <c r="DD149" s="327"/>
      <c r="DE149" s="327"/>
      <c r="DF149" s="327"/>
      <c r="DG149" s="327"/>
      <c r="DH149" s="327"/>
      <c r="DI149" s="327"/>
      <c r="DJ149" s="327"/>
      <c r="DK149" s="327"/>
      <c r="DL149" s="327"/>
      <c r="DM149" s="327"/>
      <c r="DN149" s="327"/>
      <c r="DO149" s="327"/>
      <c r="DP149" s="327"/>
      <c r="DQ149" s="327"/>
      <c r="DR149" s="327"/>
      <c r="DS149" s="327"/>
      <c r="DT149" s="327"/>
      <c r="DU149" s="327"/>
      <c r="DV149" s="327"/>
      <c r="DW149" s="327"/>
      <c r="DX149" s="327"/>
      <c r="DY149" s="327"/>
      <c r="DZ149" s="327"/>
      <c r="EA149" s="327"/>
      <c r="EB149" s="327"/>
      <c r="EC149" s="327"/>
      <c r="ED149" s="327"/>
      <c r="EE149" s="327"/>
      <c r="EF149" s="327"/>
      <c r="EG149" s="327"/>
      <c r="EH149" s="327"/>
      <c r="EI149" s="327"/>
      <c r="EJ149" s="327"/>
      <c r="EK149" s="327"/>
      <c r="EL149" s="327"/>
      <c r="EM149" s="327"/>
      <c r="EN149" s="327"/>
      <c r="EO149" s="327"/>
      <c r="EP149" s="327"/>
      <c r="EQ149" s="327"/>
      <c r="ER149" s="327"/>
      <c r="ES149" s="327"/>
      <c r="ET149" s="327"/>
      <c r="EU149" s="327"/>
      <c r="EV149" s="327"/>
      <c r="EW149" s="327"/>
      <c r="EX149" s="327"/>
      <c r="EY149" s="327"/>
      <c r="EZ149" s="327"/>
      <c r="FA149" s="327"/>
      <c r="FB149" s="327"/>
      <c r="FC149" s="327"/>
      <c r="FD149" s="327"/>
      <c r="FE149" s="327"/>
      <c r="FF149" s="327"/>
      <c r="FG149" s="327"/>
      <c r="FH149" s="327"/>
      <c r="FI149" s="327"/>
      <c r="FJ149" s="327"/>
      <c r="FK149" s="327"/>
      <c r="FL149" s="327"/>
      <c r="FM149" s="327"/>
      <c r="FN149" s="327"/>
      <c r="FO149" s="327"/>
      <c r="FP149" s="327"/>
      <c r="FQ149" s="327"/>
      <c r="FR149" s="327"/>
      <c r="FS149" s="327"/>
      <c r="FT149" s="327"/>
      <c r="FU149" s="327"/>
      <c r="FV149" s="327"/>
      <c r="FW149" s="327"/>
      <c r="FX149" s="327"/>
      <c r="FY149" s="327"/>
      <c r="FZ149" s="327"/>
      <c r="GA149" s="327"/>
      <c r="GB149" s="327"/>
      <c r="GC149" s="327"/>
      <c r="GD149" s="327"/>
      <c r="GE149" s="327"/>
      <c r="GF149" s="327"/>
      <c r="GG149" s="327"/>
      <c r="GH149" s="327"/>
      <c r="GI149" s="327"/>
      <c r="GJ149" s="327"/>
      <c r="GK149" s="327"/>
      <c r="GL149" s="327"/>
      <c r="GM149" s="327"/>
      <c r="GN149" s="327"/>
      <c r="GO149" s="327"/>
      <c r="GP149" s="327"/>
      <c r="GQ149" s="327"/>
      <c r="GR149" s="327"/>
      <c r="GS149" s="327"/>
      <c r="GT149" s="327"/>
      <c r="GU149" s="327"/>
      <c r="GV149" s="327"/>
      <c r="GW149" s="327"/>
      <c r="GX149" s="327"/>
      <c r="GY149" s="327"/>
      <c r="GZ149" s="327"/>
      <c r="HA149" s="327"/>
      <c r="HB149" s="327"/>
      <c r="HC149" s="327"/>
      <c r="HD149" s="327"/>
      <c r="HE149" s="327"/>
      <c r="HF149" s="327"/>
      <c r="HG149" s="327"/>
      <c r="HH149" s="327"/>
      <c r="HI149" s="327"/>
      <c r="HJ149" s="327"/>
      <c r="HK149" s="327"/>
      <c r="HL149" s="327"/>
      <c r="HM149" s="327"/>
      <c r="HN149" s="327"/>
      <c r="HO149" s="327"/>
      <c r="HP149" s="327"/>
      <c r="HQ149" s="327"/>
      <c r="HR149" s="327"/>
      <c r="HS149" s="327"/>
    </row>
    <row r="150" spans="1:227" ht="15" customHeight="1">
      <c r="A150" s="330">
        <v>7</v>
      </c>
      <c r="B150" s="435" t="str">
        <f>VLOOKUP(Ruimtestaat[[#This Row],[Code]],Locaties[[Code]:[Locatie]],2,FALSE)</f>
        <v>IKC De Baanbreker</v>
      </c>
      <c r="C150" s="435" t="str">
        <f>VLOOKUP(Ruimtestaat[[#This Row],[Code]],Locaties[[#All],[Code]:[Adres]],4,FALSE)</f>
        <v>Lijnbaan 319</v>
      </c>
      <c r="D150" s="435" t="str">
        <f>VLOOKUP(Ruimtestaat[[#This Row],[Code]],Locaties[[#All],[Code]:[Postcode]],5,FALSE)</f>
        <v>2728 AG</v>
      </c>
      <c r="E150" s="435" t="str">
        <f>VLOOKUP(Ruimtestaat[[#This Row],[Code]],Locaties[#All],6,FALSE)</f>
        <v>Zoetermeer</v>
      </c>
      <c r="F150" s="434"/>
      <c r="G150" s="434" t="s">
        <v>1678</v>
      </c>
      <c r="H150" s="330" t="s">
        <v>1670</v>
      </c>
      <c r="I150" s="450" t="s">
        <v>1666</v>
      </c>
      <c r="J150" s="330">
        <v>2</v>
      </c>
      <c r="K150" s="450" t="str">
        <f>VLOOKUP(Ruimtestaat[[#This Row],[Ruimte code]],Ruimtegroepen[[#All],[Code]:[Ruimte omschrijving]],2,FALSE)</f>
        <v>Kantoren</v>
      </c>
      <c r="L150" s="434" t="s">
        <v>99</v>
      </c>
      <c r="M150" s="437" t="s">
        <v>36</v>
      </c>
      <c r="N150" s="439">
        <v>19</v>
      </c>
      <c r="O150" s="439"/>
      <c r="P150" s="439"/>
      <c r="Q150" s="439"/>
      <c r="R150" s="440" t="str">
        <f>VLOOKUP(Ruimtestaat[[#This Row],[Ruimte code]],Ruimtegroepen[],4,FALSE)</f>
        <v>Bu</v>
      </c>
      <c r="S150" s="434">
        <v>41</v>
      </c>
      <c r="T150" s="434" t="s">
        <v>17</v>
      </c>
      <c r="U150" s="434">
        <f>IF(S150&gt;0,IF(RIGHT(Ruimtestaat[[#This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50" s="434">
        <f>IF(U150&gt;0,VLOOKUP($J150,Ruimtegroepen[],3,FALSE)*VLOOKUP($L150,Vloersoorten[],3,FALSE)*VLOOKUP($T150,Frequenties[],3,FALSE)*VLOOKUP($A150,Locaties[],3,FALSE),0)</f>
        <v>0</v>
      </c>
      <c r="W150" s="434">
        <f>Ruimtestaat[[#This Row],[Uitvoeringen werkdagen]]*Ruimtestaat[[#This Row],[Oppervlak (netto)]]</f>
        <v>1558</v>
      </c>
      <c r="X150" s="441">
        <f>IF(V150&gt;0,Ruimtestaat[[#This Row],[Prest. (m2 /jaar) werkdagen]]/Ruimtestaat[[#This Row],[Norm (m2/uur) werkdagen]],0)</f>
        <v>0</v>
      </c>
      <c r="Y150" s="442">
        <f>Ruimtestaat[[#This Row],[Uitvoeringen werkdagen]]*Ruimtestaat[[#This Row],[Gedeeltelijk]]</f>
        <v>0</v>
      </c>
      <c r="Z150" s="443" t="e">
        <f>IF(U150&gt;0,Ruimtestaat[[#This Row],[Prest. (m2 / jaar) werkdagen gedeeld]]/Ruimtestaat[[#This Row],[Norm (m2/uur) werkdagen]],0)</f>
        <v>#DIV/0!</v>
      </c>
      <c r="AA150" s="441" t="e">
        <f>Ruimtestaat[[#This Row],[uren / jaar werkdagen gedeeld]]*Tariefsopbouw!$E$35</f>
        <v>#DIV/0!</v>
      </c>
      <c r="AB150" s="441">
        <f>Ruimtestaat[[#This Row],[Uitvoeringen werkdagen]]*Ruimtestaat[[#This Row],[BSO]]</f>
        <v>0</v>
      </c>
      <c r="AC150" s="443" t="e">
        <f>IF(U150&gt;0,Ruimtestaat[[#This Row],[Prest. (m2 / jaar) werkdagen BSO]]/Ruimtestaat[[#This Row],[Norm (m2/uur) werkdagen]],0)</f>
        <v>#DIV/0!</v>
      </c>
      <c r="AD150" s="443" t="e">
        <f>Ruimtestaat[[#This Row],[uren / jaar werkdagen BSO]]*Tariefsopbouw!$E$35</f>
        <v>#DIV/0!</v>
      </c>
      <c r="AE150" s="444">
        <f>Ruimtestaat[[#This Row],[uren / jaar werkdagen]]*Tariefsopbouw!$E$35</f>
        <v>0</v>
      </c>
      <c r="AF150" s="434"/>
      <c r="AG150" s="434">
        <f>IF(Ruimtestaat[[#This Row],[Frequentie weekend]]&gt;0,VALUE(LEFT(AF150,1))*S150,0)</f>
        <v>0</v>
      </c>
      <c r="AH150" s="445">
        <f>IF($AG150&gt;0,VLOOKUP($J150,Ruimtegroepen[],3,FALSE)*VLOOKUP($L150,Vloersoorten[],3,FALSE)*VLOOKUP($AF150,Frequenties[],3,FALSE)*VLOOKUP(Ruimtestaat[[#This Row],[Code]],Locaties[],3,FALSE),0)</f>
        <v>0</v>
      </c>
      <c r="AI150" s="445">
        <f>Ruimtestaat[[#This Row],[Uitvoeringen weekend]]*Ruimtestaat[[#This Row],[Oppervlak (netto)]]</f>
        <v>0</v>
      </c>
      <c r="AJ150" s="445">
        <f>IF(AH150&gt;0,Ruimtestaat[[#This Row],[Prest. (m2 /jaar) weekend]]/Ruimtestaat[[#This Row],[Norm (m2/uur) weekend]],0)</f>
        <v>0</v>
      </c>
      <c r="AK150" s="444">
        <f>Ruimtestaat[[#This Row],[uren / jaar weekend]]*Tariefsopbouw!$D$40</f>
        <v>0</v>
      </c>
      <c r="AL150" s="441">
        <f>Ruimtestaat[[#This Row],[Prest. (m2 /jaar) weekend]]+Ruimtestaat[[#This Row],[Prest. (m2 /jaar) werkdagen]]</f>
        <v>1558</v>
      </c>
      <c r="AM150" s="441">
        <f>Ruimtestaat[[#This Row],[uren / jaar weekend]]+Ruimtestaat[[#This Row],[uren / jaar werkdagen]]</f>
        <v>0</v>
      </c>
      <c r="AN150" s="446">
        <f>Ruimtestaat[[#This Row],[kosten / jaar weekend]]+Ruimtestaat[[#This Row],[kosten / jaar werkdagen]]</f>
        <v>0</v>
      </c>
      <c r="AO150" s="446"/>
      <c r="AP150" s="447" t="str">
        <f>IF(Ruimtestaat[[#This Row],[Frequentie werkdagen]]="","",_xlfn.CONCAT(Ruimtestaat[[#This Row],[Ruimte code]],"-",Ruimtestaat[[#This Row],[Frequentie werkdagen]]," ",Ruimtestaat[[#This Row],[Vloer code]]))</f>
        <v>2-2w T</v>
      </c>
      <c r="AQ150" s="448" t="str">
        <f>_xlfn.IFNA(VLOOKUP($AP150,Programma!$F$3:$G$1101,2,0),"")</f>
        <v>1w</v>
      </c>
      <c r="AR150" s="448" t="str">
        <f>_xlfn.IFNA(VLOOKUP($AP150,Programma!$F$3:$H$1101,3,0),"")</f>
        <v>1w</v>
      </c>
      <c r="AS150" s="448" t="str">
        <f>_xlfn.IFNA(VLOOKUP($AP150,Programma!$F$3:$I$1101,4,0),"")</f>
        <v>_</v>
      </c>
      <c r="AT150" s="448" t="str">
        <f>_xlfn.IFNA(VLOOKUP($AP150,Programma!$F$3:$J$1101,5,0),"")</f>
        <v>_</v>
      </c>
      <c r="AU150" s="448" t="str">
        <f>_xlfn.IFNA(VLOOKUP($AP150,Programma!$F$3:$K$1101,6,0),"")</f>
        <v>_</v>
      </c>
      <c r="AV150" s="448" t="str">
        <f>_xlfn.IFNA(VLOOKUP($AP150,Programma!$F$3:$L$1101,7,0),"")</f>
        <v>_</v>
      </c>
      <c r="AW150" s="448" t="str">
        <f>_xlfn.IFNA(VLOOKUP($AP150,Programma!$F$3:$M$1101,8,0),"")</f>
        <v>_</v>
      </c>
      <c r="AX150" s="448" t="str">
        <f>_xlfn.IFNA(VLOOKUP($AP150,Programma!$F$3:$N$1101,9,0),"")</f>
        <v>_</v>
      </c>
      <c r="AY150" s="448" t="str">
        <f>_xlfn.IFNA(VLOOKUP($AP150,Programma!$F$3:$O$1101,10,0),"")</f>
        <v>2w</v>
      </c>
      <c r="AZ150" s="448" t="str">
        <f>_xlfn.IFNA(VLOOKUP($AP150,Programma!$F$3:$P$1101,11,0),"")</f>
        <v>2w</v>
      </c>
      <c r="BA150" s="448" t="str">
        <f>_xlfn.IFNA(VLOOKUP($AP150,Programma!$F$3:$Q$1101,12,0),"")</f>
        <v>1w</v>
      </c>
      <c r="BB150" s="448" t="str">
        <f>_xlfn.IFNA(VLOOKUP($AP150,Programma!$F$3:$R$1101,13,0),"")</f>
        <v>1w</v>
      </c>
      <c r="BC150" s="448" t="str">
        <f>_xlfn.IFNA(VLOOKUP($AP150,Programma!$F$3:$S$1101,14,0),"")</f>
        <v>1m</v>
      </c>
      <c r="BD150" s="448" t="str">
        <f>_xlfn.IFNA(VLOOKUP($AP150,Programma!$F$3:$T$1101,15,0),"")</f>
        <v>2j</v>
      </c>
      <c r="BE150" s="448" t="str">
        <f>_xlfn.IFNA(VLOOKUP($AP150,Programma!$F$3:$U$1101,16,0),"")</f>
        <v>1j</v>
      </c>
      <c r="BF150" s="448" t="str">
        <f>_xlfn.IFNA(VLOOKUP($AP150,Programma!$F$3:$V$1101,17,0),"")</f>
        <v>_</v>
      </c>
      <c r="BG150" s="448" t="str">
        <f>_xlfn.IFNA(VLOOKUP($AP150,Programma!$F$3:$W$1101,18,0),"")</f>
        <v>_</v>
      </c>
      <c r="BH150" s="448" t="str">
        <f>_xlfn.IFNA(VLOOKUP($AP150,Programma!$F$3:$X$1101,19,0),"")</f>
        <v>_</v>
      </c>
      <c r="BI150" s="448" t="str">
        <f>_xlfn.IFNA(VLOOKUP($AP150,Programma!$F$3:$Y$1101,20,0),"")</f>
        <v>_</v>
      </c>
      <c r="BJ150" s="449"/>
      <c r="BK150" s="447" t="str">
        <f>IF(Ruimtestaat[[#This Row],[Frequentie weekend]]="","",_xlfn.CONCAT(Ruimtestaat[[#This Row],[Ruimte code]],"-",Ruimtestaat[[#This Row],[Frequentie weekend]]," ",Ruimtestaat[[#This Row],[Vloer code]]))</f>
        <v/>
      </c>
      <c r="BL150" s="448" t="str">
        <f>_xlfn.IFNA(VLOOKUP($BK150,Programma!$F$3:$G$1101,2,0),"")</f>
        <v/>
      </c>
      <c r="BM150" s="448" t="str">
        <f>_xlfn.IFNA(VLOOKUP($BK150,Programma!$F$3:$H$1101,3,0),"")</f>
        <v/>
      </c>
      <c r="BN150" s="448" t="str">
        <f>_xlfn.IFNA(VLOOKUP($BK150,Programma!$F$3:$I$1101,4,0),"")</f>
        <v/>
      </c>
      <c r="BO150" s="448" t="str">
        <f>_xlfn.IFNA(VLOOKUP($BK150,Programma!$F$3:$J$1101,5,0),"")</f>
        <v/>
      </c>
      <c r="BP150" s="448" t="str">
        <f>_xlfn.IFNA(VLOOKUP($BK150,Programma!$F$3:$K$1101,6,0),"")</f>
        <v/>
      </c>
      <c r="BQ150" s="448" t="str">
        <f>_xlfn.IFNA(VLOOKUP($BK150,Programma!$F$3:$L$1101,7,0),"")</f>
        <v/>
      </c>
      <c r="BR150" s="448" t="str">
        <f>_xlfn.IFNA(VLOOKUP($BK150,Programma!$F$3:$M$1101,8,0),"")</f>
        <v/>
      </c>
      <c r="BS150" s="448" t="str">
        <f>_xlfn.IFNA(VLOOKUP($BK150,Programma!$F$3:$N$1101,9,0),"")</f>
        <v/>
      </c>
      <c r="BT150" s="448" t="str">
        <f>_xlfn.IFNA(VLOOKUP($BK150,Programma!$F$3:$O$1101,10,0),"")</f>
        <v/>
      </c>
      <c r="BU150" s="448" t="str">
        <f>_xlfn.IFNA(VLOOKUP($BK150,Programma!$F$3:$P$1101,11,0),"")</f>
        <v/>
      </c>
      <c r="BV150" s="448" t="str">
        <f>_xlfn.IFNA(VLOOKUP($BK150,Programma!$F$3:$Q$1101,12,0),"")</f>
        <v/>
      </c>
      <c r="BW150" s="448" t="str">
        <f>_xlfn.IFNA(VLOOKUP($BK150,Programma!$F$3:$R$1101,13,0),"")</f>
        <v/>
      </c>
      <c r="BX150" s="448" t="str">
        <f>_xlfn.IFNA(VLOOKUP($BK150,Programma!$F$3:$S$1101,14,0),"")</f>
        <v/>
      </c>
      <c r="BY150" s="448" t="str">
        <f>_xlfn.IFNA(VLOOKUP($BK150,Programma!$F$3:$T$1101,15,0),"")</f>
        <v/>
      </c>
      <c r="BZ150" s="448" t="str">
        <f>_xlfn.IFNA(VLOOKUP($BK150,Programma!$F$3:$U$1101,16,0),"")</f>
        <v/>
      </c>
      <c r="CA150" s="448" t="str">
        <f>_xlfn.IFNA(VLOOKUP($BK150,Programma!$F$3:$V$1101,17,0),"")</f>
        <v/>
      </c>
      <c r="CB150" s="448" t="str">
        <f>_xlfn.IFNA(VLOOKUP($BK150,Programma!$F$3:$W$1101,18,0),"")</f>
        <v/>
      </c>
      <c r="CC150" s="448" t="str">
        <f>_xlfn.IFNA(VLOOKUP($BK150,Programma!$F$3:$X$1101,19,0),"")</f>
        <v/>
      </c>
      <c r="CD150" s="448" t="str">
        <f>_xlfn.IFNA(VLOOKUP($BK150,Programma!$F$3:$Y$1101,20,0),"")</f>
        <v/>
      </c>
      <c r="CE150" s="327"/>
      <c r="CF150" s="327"/>
      <c r="CG150" s="327"/>
      <c r="CH150" s="327"/>
      <c r="CI150" s="327"/>
      <c r="CJ150" s="327"/>
      <c r="CK150" s="327"/>
      <c r="CL150" s="327"/>
      <c r="CM150" s="327"/>
      <c r="CN150" s="327"/>
      <c r="CO150" s="327"/>
      <c r="CP150" s="327"/>
      <c r="CQ150" s="327"/>
      <c r="CR150" s="327"/>
      <c r="CS150" s="327"/>
      <c r="CT150" s="327"/>
      <c r="CU150" s="327"/>
      <c r="CV150" s="327"/>
      <c r="CW150" s="327"/>
      <c r="CX150" s="327"/>
      <c r="CY150" s="327"/>
      <c r="CZ150" s="327"/>
      <c r="DA150" s="327"/>
      <c r="DB150" s="327"/>
      <c r="DC150" s="327"/>
      <c r="DD150" s="327"/>
      <c r="DE150" s="327"/>
      <c r="DF150" s="327"/>
      <c r="DG150" s="327"/>
      <c r="DH150" s="327"/>
      <c r="DI150" s="327"/>
      <c r="DJ150" s="327"/>
      <c r="DK150" s="327"/>
      <c r="DL150" s="327"/>
      <c r="DM150" s="327"/>
      <c r="DN150" s="327"/>
      <c r="DO150" s="327"/>
      <c r="DP150" s="327"/>
      <c r="DQ150" s="327"/>
      <c r="DR150" s="327"/>
      <c r="DS150" s="327"/>
      <c r="DT150" s="327"/>
      <c r="DU150" s="327"/>
      <c r="DV150" s="327"/>
      <c r="DW150" s="327"/>
      <c r="DX150" s="327"/>
      <c r="DY150" s="327"/>
      <c r="DZ150" s="327"/>
      <c r="EA150" s="327"/>
      <c r="EB150" s="327"/>
      <c r="EC150" s="327"/>
      <c r="ED150" s="327"/>
      <c r="EE150" s="327"/>
      <c r="EF150" s="327"/>
      <c r="EG150" s="327"/>
      <c r="EH150" s="327"/>
      <c r="EI150" s="327"/>
      <c r="EJ150" s="327"/>
      <c r="EK150" s="327"/>
      <c r="EL150" s="327"/>
      <c r="EM150" s="327"/>
      <c r="EN150" s="327"/>
      <c r="EO150" s="327"/>
      <c r="EP150" s="327"/>
      <c r="EQ150" s="327"/>
      <c r="ER150" s="327"/>
      <c r="ES150" s="327"/>
      <c r="ET150" s="327"/>
      <c r="EU150" s="327"/>
      <c r="EV150" s="327"/>
      <c r="EW150" s="327"/>
      <c r="EX150" s="327"/>
      <c r="EY150" s="327"/>
      <c r="EZ150" s="327"/>
      <c r="FA150" s="327"/>
      <c r="FB150" s="327"/>
      <c r="FC150" s="327"/>
      <c r="FD150" s="327"/>
      <c r="FE150" s="327"/>
      <c r="FF150" s="327"/>
      <c r="FG150" s="327"/>
      <c r="FH150" s="327"/>
      <c r="FI150" s="327"/>
      <c r="FJ150" s="327"/>
      <c r="FK150" s="327"/>
      <c r="FL150" s="327"/>
      <c r="FM150" s="327"/>
      <c r="FN150" s="327"/>
      <c r="FO150" s="327"/>
      <c r="FP150" s="327"/>
      <c r="FQ150" s="327"/>
      <c r="FR150" s="327"/>
      <c r="FS150" s="327"/>
      <c r="FT150" s="327"/>
      <c r="FU150" s="327"/>
      <c r="FV150" s="327"/>
      <c r="FW150" s="327"/>
      <c r="FX150" s="327"/>
      <c r="FY150" s="327"/>
      <c r="FZ150" s="327"/>
      <c r="GA150" s="327"/>
      <c r="GB150" s="327"/>
      <c r="GC150" s="327"/>
      <c r="GD150" s="327"/>
      <c r="GE150" s="327"/>
      <c r="GF150" s="327"/>
      <c r="GG150" s="327"/>
      <c r="GH150" s="327"/>
      <c r="GI150" s="327"/>
      <c r="GJ150" s="327"/>
      <c r="GK150" s="327"/>
      <c r="GL150" s="327"/>
      <c r="GM150" s="327"/>
      <c r="GN150" s="327"/>
      <c r="GO150" s="327"/>
      <c r="GP150" s="327"/>
      <c r="GQ150" s="327"/>
      <c r="GR150" s="327"/>
      <c r="GS150" s="327"/>
      <c r="GT150" s="327"/>
      <c r="GU150" s="327"/>
      <c r="GV150" s="327"/>
      <c r="GW150" s="327"/>
      <c r="GX150" s="327"/>
      <c r="GY150" s="327"/>
      <c r="GZ150" s="327"/>
      <c r="HA150" s="327"/>
      <c r="HB150" s="327"/>
      <c r="HC150" s="327"/>
      <c r="HD150" s="327"/>
      <c r="HE150" s="327"/>
      <c r="HF150" s="327"/>
      <c r="HG150" s="327"/>
      <c r="HH150" s="327"/>
      <c r="HI150" s="327"/>
      <c r="HJ150" s="327"/>
      <c r="HK150" s="327"/>
      <c r="HL150" s="327"/>
      <c r="HM150" s="327"/>
      <c r="HN150" s="327"/>
      <c r="HO150" s="327"/>
      <c r="HP150" s="327"/>
      <c r="HQ150" s="327"/>
      <c r="HR150" s="327"/>
      <c r="HS150" s="327"/>
    </row>
    <row r="151" spans="1:227" ht="15" customHeight="1">
      <c r="A151" s="330">
        <v>7</v>
      </c>
      <c r="B151" s="435" t="str">
        <f>VLOOKUP(Ruimtestaat[[#This Row],[Code]],Locaties[[Code]:[Locatie]],2,FALSE)</f>
        <v>IKC De Baanbreker</v>
      </c>
      <c r="C151" s="435" t="str">
        <f>VLOOKUP(Ruimtestaat[[#This Row],[Code]],Locaties[[#All],[Code]:[Adres]],4,FALSE)</f>
        <v>Lijnbaan 319</v>
      </c>
      <c r="D151" s="435" t="str">
        <f>VLOOKUP(Ruimtestaat[[#This Row],[Code]],Locaties[[#All],[Code]:[Postcode]],5,FALSE)</f>
        <v>2728 AG</v>
      </c>
      <c r="E151" s="435" t="str">
        <f>VLOOKUP(Ruimtestaat[[#This Row],[Code]],Locaties[#All],6,FALSE)</f>
        <v>Zoetermeer</v>
      </c>
      <c r="F151" s="434"/>
      <c r="G151" s="434" t="s">
        <v>1678</v>
      </c>
      <c r="H151" s="330" t="s">
        <v>1672</v>
      </c>
      <c r="I151" s="450" t="s">
        <v>1666</v>
      </c>
      <c r="J151" s="330">
        <v>2</v>
      </c>
      <c r="K151" s="450" t="str">
        <f>VLOOKUP(Ruimtestaat[[#This Row],[Ruimte code]],Ruimtegroepen[[#All],[Code]:[Ruimte omschrijving]],2,FALSE)</f>
        <v>Kantoren</v>
      </c>
      <c r="L151" s="434" t="s">
        <v>99</v>
      </c>
      <c r="M151" s="437" t="s">
        <v>36</v>
      </c>
      <c r="N151" s="439">
        <v>20</v>
      </c>
      <c r="O151" s="439"/>
      <c r="P151" s="439"/>
      <c r="Q151" s="439"/>
      <c r="R151" s="440" t="str">
        <f>VLOOKUP(Ruimtestaat[[#This Row],[Ruimte code]],Ruimtegroepen[],4,FALSE)</f>
        <v>Bu</v>
      </c>
      <c r="S151" s="434">
        <v>41</v>
      </c>
      <c r="T151" s="434" t="s">
        <v>17</v>
      </c>
      <c r="U151" s="434">
        <f>IF(S151&gt;0,IF(RIGHT(Ruimtestaat[[#This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51" s="434">
        <f>IF(U151&gt;0,VLOOKUP($J151,Ruimtegroepen[],3,FALSE)*VLOOKUP($L151,Vloersoorten[],3,FALSE)*VLOOKUP($T151,Frequenties[],3,FALSE)*VLOOKUP($A151,Locaties[],3,FALSE),0)</f>
        <v>0</v>
      </c>
      <c r="W151" s="434">
        <f>Ruimtestaat[[#This Row],[Uitvoeringen werkdagen]]*Ruimtestaat[[#This Row],[Oppervlak (netto)]]</f>
        <v>1640</v>
      </c>
      <c r="X151" s="441">
        <f>IF(V151&gt;0,Ruimtestaat[[#This Row],[Prest. (m2 /jaar) werkdagen]]/Ruimtestaat[[#This Row],[Norm (m2/uur) werkdagen]],0)</f>
        <v>0</v>
      </c>
      <c r="Y151" s="442">
        <f>Ruimtestaat[[#This Row],[Uitvoeringen werkdagen]]*Ruimtestaat[[#This Row],[Gedeeltelijk]]</f>
        <v>0</v>
      </c>
      <c r="Z151" s="443" t="e">
        <f>IF(U151&gt;0,Ruimtestaat[[#This Row],[Prest. (m2 / jaar) werkdagen gedeeld]]/Ruimtestaat[[#This Row],[Norm (m2/uur) werkdagen]],0)</f>
        <v>#DIV/0!</v>
      </c>
      <c r="AA151" s="441" t="e">
        <f>Ruimtestaat[[#This Row],[uren / jaar werkdagen gedeeld]]*Tariefsopbouw!$E$35</f>
        <v>#DIV/0!</v>
      </c>
      <c r="AB151" s="441">
        <f>Ruimtestaat[[#This Row],[Uitvoeringen werkdagen]]*Ruimtestaat[[#This Row],[BSO]]</f>
        <v>0</v>
      </c>
      <c r="AC151" s="443" t="e">
        <f>IF(U151&gt;0,Ruimtestaat[[#This Row],[Prest. (m2 / jaar) werkdagen BSO]]/Ruimtestaat[[#This Row],[Norm (m2/uur) werkdagen]],0)</f>
        <v>#DIV/0!</v>
      </c>
      <c r="AD151" s="443" t="e">
        <f>Ruimtestaat[[#This Row],[uren / jaar werkdagen BSO]]*Tariefsopbouw!$E$35</f>
        <v>#DIV/0!</v>
      </c>
      <c r="AE151" s="444">
        <f>Ruimtestaat[[#This Row],[uren / jaar werkdagen]]*Tariefsopbouw!$E$35</f>
        <v>0</v>
      </c>
      <c r="AF151" s="434"/>
      <c r="AG151" s="434">
        <f>IF(Ruimtestaat[[#This Row],[Frequentie weekend]]&gt;0,VALUE(LEFT(AF151,1))*S151,0)</f>
        <v>0</v>
      </c>
      <c r="AH151" s="445">
        <f>IF($AG151&gt;0,VLOOKUP($J151,Ruimtegroepen[],3,FALSE)*VLOOKUP($L151,Vloersoorten[],3,FALSE)*VLOOKUP($AF151,Frequenties[],3,FALSE)*VLOOKUP(Ruimtestaat[[#This Row],[Code]],Locaties[],3,FALSE),0)</f>
        <v>0</v>
      </c>
      <c r="AI151" s="445">
        <f>Ruimtestaat[[#This Row],[Uitvoeringen weekend]]*Ruimtestaat[[#This Row],[Oppervlak (netto)]]</f>
        <v>0</v>
      </c>
      <c r="AJ151" s="445">
        <f>IF(AH151&gt;0,Ruimtestaat[[#This Row],[Prest. (m2 /jaar) weekend]]/Ruimtestaat[[#This Row],[Norm (m2/uur) weekend]],0)</f>
        <v>0</v>
      </c>
      <c r="AK151" s="444">
        <f>Ruimtestaat[[#This Row],[uren / jaar weekend]]*Tariefsopbouw!$D$40</f>
        <v>0</v>
      </c>
      <c r="AL151" s="441">
        <f>Ruimtestaat[[#This Row],[Prest. (m2 /jaar) weekend]]+Ruimtestaat[[#This Row],[Prest. (m2 /jaar) werkdagen]]</f>
        <v>1640</v>
      </c>
      <c r="AM151" s="441">
        <f>Ruimtestaat[[#This Row],[uren / jaar weekend]]+Ruimtestaat[[#This Row],[uren / jaar werkdagen]]</f>
        <v>0</v>
      </c>
      <c r="AN151" s="446">
        <f>Ruimtestaat[[#This Row],[kosten / jaar weekend]]+Ruimtestaat[[#This Row],[kosten / jaar werkdagen]]</f>
        <v>0</v>
      </c>
      <c r="AO151" s="446"/>
      <c r="AP151" s="447" t="str">
        <f>IF(Ruimtestaat[[#This Row],[Frequentie werkdagen]]="","",_xlfn.CONCAT(Ruimtestaat[[#This Row],[Ruimte code]],"-",Ruimtestaat[[#This Row],[Frequentie werkdagen]]," ",Ruimtestaat[[#This Row],[Vloer code]]))</f>
        <v>2-2w T</v>
      </c>
      <c r="AQ151" s="448" t="str">
        <f>_xlfn.IFNA(VLOOKUP($AP151,Programma!$F$3:$G$1101,2,0),"")</f>
        <v>1w</v>
      </c>
      <c r="AR151" s="448" t="str">
        <f>_xlfn.IFNA(VLOOKUP($AP151,Programma!$F$3:$H$1101,3,0),"")</f>
        <v>1w</v>
      </c>
      <c r="AS151" s="448" t="str">
        <f>_xlfn.IFNA(VLOOKUP($AP151,Programma!$F$3:$I$1101,4,0),"")</f>
        <v>_</v>
      </c>
      <c r="AT151" s="448" t="str">
        <f>_xlfn.IFNA(VLOOKUP($AP151,Programma!$F$3:$J$1101,5,0),"")</f>
        <v>_</v>
      </c>
      <c r="AU151" s="448" t="str">
        <f>_xlfn.IFNA(VLOOKUP($AP151,Programma!$F$3:$K$1101,6,0),"")</f>
        <v>_</v>
      </c>
      <c r="AV151" s="448" t="str">
        <f>_xlfn.IFNA(VLOOKUP($AP151,Programma!$F$3:$L$1101,7,0),"")</f>
        <v>_</v>
      </c>
      <c r="AW151" s="448" t="str">
        <f>_xlfn.IFNA(VLOOKUP($AP151,Programma!$F$3:$M$1101,8,0),"")</f>
        <v>_</v>
      </c>
      <c r="AX151" s="448" t="str">
        <f>_xlfn.IFNA(VLOOKUP($AP151,Programma!$F$3:$N$1101,9,0),"")</f>
        <v>_</v>
      </c>
      <c r="AY151" s="448" t="str">
        <f>_xlfn.IFNA(VLOOKUP($AP151,Programma!$F$3:$O$1101,10,0),"")</f>
        <v>2w</v>
      </c>
      <c r="AZ151" s="448" t="str">
        <f>_xlfn.IFNA(VLOOKUP($AP151,Programma!$F$3:$P$1101,11,0),"")</f>
        <v>2w</v>
      </c>
      <c r="BA151" s="448" t="str">
        <f>_xlfn.IFNA(VLOOKUP($AP151,Programma!$F$3:$Q$1101,12,0),"")</f>
        <v>1w</v>
      </c>
      <c r="BB151" s="448" t="str">
        <f>_xlfn.IFNA(VLOOKUP($AP151,Programma!$F$3:$R$1101,13,0),"")</f>
        <v>1w</v>
      </c>
      <c r="BC151" s="448" t="str">
        <f>_xlfn.IFNA(VLOOKUP($AP151,Programma!$F$3:$S$1101,14,0),"")</f>
        <v>1m</v>
      </c>
      <c r="BD151" s="448" t="str">
        <f>_xlfn.IFNA(VLOOKUP($AP151,Programma!$F$3:$T$1101,15,0),"")</f>
        <v>2j</v>
      </c>
      <c r="BE151" s="448" t="str">
        <f>_xlfn.IFNA(VLOOKUP($AP151,Programma!$F$3:$U$1101,16,0),"")</f>
        <v>1j</v>
      </c>
      <c r="BF151" s="448" t="str">
        <f>_xlfn.IFNA(VLOOKUP($AP151,Programma!$F$3:$V$1101,17,0),"")</f>
        <v>_</v>
      </c>
      <c r="BG151" s="448" t="str">
        <f>_xlfn.IFNA(VLOOKUP($AP151,Programma!$F$3:$W$1101,18,0),"")</f>
        <v>_</v>
      </c>
      <c r="BH151" s="448" t="str">
        <f>_xlfn.IFNA(VLOOKUP($AP151,Programma!$F$3:$X$1101,19,0),"")</f>
        <v>_</v>
      </c>
      <c r="BI151" s="448" t="str">
        <f>_xlfn.IFNA(VLOOKUP($AP151,Programma!$F$3:$Y$1101,20,0),"")</f>
        <v>_</v>
      </c>
      <c r="BJ151" s="449"/>
      <c r="BK151" s="447" t="str">
        <f>IF(Ruimtestaat[[#This Row],[Frequentie weekend]]="","",_xlfn.CONCAT(Ruimtestaat[[#This Row],[Ruimte code]],"-",Ruimtestaat[[#This Row],[Frequentie weekend]]," ",Ruimtestaat[[#This Row],[Vloer code]]))</f>
        <v/>
      </c>
      <c r="BL151" s="448" t="str">
        <f>_xlfn.IFNA(VLOOKUP($BK151,Programma!$F$3:$G$1101,2,0),"")</f>
        <v/>
      </c>
      <c r="BM151" s="448" t="str">
        <f>_xlfn.IFNA(VLOOKUP($BK151,Programma!$F$3:$H$1101,3,0),"")</f>
        <v/>
      </c>
      <c r="BN151" s="448" t="str">
        <f>_xlfn.IFNA(VLOOKUP($BK151,Programma!$F$3:$I$1101,4,0),"")</f>
        <v/>
      </c>
      <c r="BO151" s="448" t="str">
        <f>_xlfn.IFNA(VLOOKUP($BK151,Programma!$F$3:$J$1101,5,0),"")</f>
        <v/>
      </c>
      <c r="BP151" s="448" t="str">
        <f>_xlfn.IFNA(VLOOKUP($BK151,Programma!$F$3:$K$1101,6,0),"")</f>
        <v/>
      </c>
      <c r="BQ151" s="448" t="str">
        <f>_xlfn.IFNA(VLOOKUP($BK151,Programma!$F$3:$L$1101,7,0),"")</f>
        <v/>
      </c>
      <c r="BR151" s="448" t="str">
        <f>_xlfn.IFNA(VLOOKUP($BK151,Programma!$F$3:$M$1101,8,0),"")</f>
        <v/>
      </c>
      <c r="BS151" s="448" t="str">
        <f>_xlfn.IFNA(VLOOKUP($BK151,Programma!$F$3:$N$1101,9,0),"")</f>
        <v/>
      </c>
      <c r="BT151" s="448" t="str">
        <f>_xlfn.IFNA(VLOOKUP($BK151,Programma!$F$3:$O$1101,10,0),"")</f>
        <v/>
      </c>
      <c r="BU151" s="448" t="str">
        <f>_xlfn.IFNA(VLOOKUP($BK151,Programma!$F$3:$P$1101,11,0),"")</f>
        <v/>
      </c>
      <c r="BV151" s="448" t="str">
        <f>_xlfn.IFNA(VLOOKUP($BK151,Programma!$F$3:$Q$1101,12,0),"")</f>
        <v/>
      </c>
      <c r="BW151" s="448" t="str">
        <f>_xlfn.IFNA(VLOOKUP($BK151,Programma!$F$3:$R$1101,13,0),"")</f>
        <v/>
      </c>
      <c r="BX151" s="448" t="str">
        <f>_xlfn.IFNA(VLOOKUP($BK151,Programma!$F$3:$S$1101,14,0),"")</f>
        <v/>
      </c>
      <c r="BY151" s="448" t="str">
        <f>_xlfn.IFNA(VLOOKUP($BK151,Programma!$F$3:$T$1101,15,0),"")</f>
        <v/>
      </c>
      <c r="BZ151" s="448" t="str">
        <f>_xlfn.IFNA(VLOOKUP($BK151,Programma!$F$3:$U$1101,16,0),"")</f>
        <v/>
      </c>
      <c r="CA151" s="448" t="str">
        <f>_xlfn.IFNA(VLOOKUP($BK151,Programma!$F$3:$V$1101,17,0),"")</f>
        <v/>
      </c>
      <c r="CB151" s="448" t="str">
        <f>_xlfn.IFNA(VLOOKUP($BK151,Programma!$F$3:$W$1101,18,0),"")</f>
        <v/>
      </c>
      <c r="CC151" s="448" t="str">
        <f>_xlfn.IFNA(VLOOKUP($BK151,Programma!$F$3:$X$1101,19,0),"")</f>
        <v/>
      </c>
      <c r="CD151" s="448" t="str">
        <f>_xlfn.IFNA(VLOOKUP($BK151,Programma!$F$3:$Y$1101,20,0),"")</f>
        <v/>
      </c>
      <c r="CE151" s="327"/>
      <c r="CF151" s="327"/>
      <c r="CG151" s="327"/>
      <c r="CH151" s="327"/>
      <c r="CI151" s="327"/>
      <c r="CJ151" s="327"/>
      <c r="CK151" s="327"/>
      <c r="CL151" s="327"/>
      <c r="CM151" s="327"/>
      <c r="CN151" s="327"/>
      <c r="CO151" s="327"/>
      <c r="CP151" s="327"/>
      <c r="CQ151" s="327"/>
      <c r="CR151" s="327"/>
      <c r="CS151" s="327"/>
      <c r="CT151" s="327"/>
      <c r="CU151" s="327"/>
      <c r="CV151" s="327"/>
      <c r="CW151" s="327"/>
      <c r="CX151" s="327"/>
      <c r="CY151" s="327"/>
      <c r="CZ151" s="327"/>
      <c r="DA151" s="327"/>
      <c r="DB151" s="327"/>
      <c r="DC151" s="327"/>
      <c r="DD151" s="327"/>
      <c r="DE151" s="327"/>
      <c r="DF151" s="327"/>
      <c r="DG151" s="327"/>
      <c r="DH151" s="327"/>
      <c r="DI151" s="327"/>
      <c r="DJ151" s="327"/>
      <c r="DK151" s="327"/>
      <c r="DL151" s="327"/>
      <c r="DM151" s="327"/>
      <c r="DN151" s="327"/>
      <c r="DO151" s="327"/>
      <c r="DP151" s="327"/>
      <c r="DQ151" s="327"/>
      <c r="DR151" s="327"/>
      <c r="DS151" s="327"/>
      <c r="DT151" s="327"/>
      <c r="DU151" s="327"/>
      <c r="DV151" s="327"/>
      <c r="DW151" s="327"/>
      <c r="DX151" s="327"/>
      <c r="DY151" s="327"/>
      <c r="DZ151" s="327"/>
      <c r="EA151" s="327"/>
      <c r="EB151" s="327"/>
      <c r="EC151" s="327"/>
      <c r="ED151" s="327"/>
      <c r="EE151" s="327"/>
      <c r="EF151" s="327"/>
      <c r="EG151" s="327"/>
      <c r="EH151" s="327"/>
      <c r="EI151" s="327"/>
      <c r="EJ151" s="327"/>
      <c r="EK151" s="327"/>
      <c r="EL151" s="327"/>
      <c r="EM151" s="327"/>
      <c r="EN151" s="327"/>
      <c r="EO151" s="327"/>
      <c r="EP151" s="327"/>
      <c r="EQ151" s="327"/>
      <c r="ER151" s="327"/>
      <c r="ES151" s="327"/>
      <c r="ET151" s="327"/>
      <c r="EU151" s="327"/>
      <c r="EV151" s="327"/>
      <c r="EW151" s="327"/>
      <c r="EX151" s="327"/>
      <c r="EY151" s="327"/>
      <c r="EZ151" s="327"/>
      <c r="FA151" s="327"/>
      <c r="FB151" s="327"/>
      <c r="FC151" s="327"/>
      <c r="FD151" s="327"/>
      <c r="FE151" s="327"/>
      <c r="FF151" s="327"/>
      <c r="FG151" s="327"/>
      <c r="FH151" s="327"/>
      <c r="FI151" s="327"/>
      <c r="FJ151" s="327"/>
      <c r="FK151" s="327"/>
      <c r="FL151" s="327"/>
      <c r="FM151" s="327"/>
      <c r="FN151" s="327"/>
      <c r="FO151" s="327"/>
      <c r="FP151" s="327"/>
      <c r="FQ151" s="327"/>
      <c r="FR151" s="327"/>
      <c r="FS151" s="327"/>
      <c r="FT151" s="327"/>
      <c r="FU151" s="327"/>
      <c r="FV151" s="327"/>
      <c r="FW151" s="327"/>
      <c r="FX151" s="327"/>
      <c r="FY151" s="327"/>
      <c r="FZ151" s="327"/>
      <c r="GA151" s="327"/>
      <c r="GB151" s="327"/>
      <c r="GC151" s="327"/>
      <c r="GD151" s="327"/>
      <c r="GE151" s="327"/>
      <c r="GF151" s="327"/>
      <c r="GG151" s="327"/>
      <c r="GH151" s="327"/>
      <c r="GI151" s="327"/>
      <c r="GJ151" s="327"/>
      <c r="GK151" s="327"/>
      <c r="GL151" s="327"/>
      <c r="GM151" s="327"/>
      <c r="GN151" s="327"/>
      <c r="GO151" s="327"/>
      <c r="GP151" s="327"/>
      <c r="GQ151" s="327"/>
      <c r="GR151" s="327"/>
      <c r="GS151" s="327"/>
      <c r="GT151" s="327"/>
      <c r="GU151" s="327"/>
      <c r="GV151" s="327"/>
      <c r="GW151" s="327"/>
      <c r="GX151" s="327"/>
      <c r="GY151" s="327"/>
      <c r="GZ151" s="327"/>
      <c r="HA151" s="327"/>
      <c r="HB151" s="327"/>
      <c r="HC151" s="327"/>
      <c r="HD151" s="327"/>
      <c r="HE151" s="327"/>
      <c r="HF151" s="327"/>
      <c r="HG151" s="327"/>
      <c r="HH151" s="327"/>
      <c r="HI151" s="327"/>
      <c r="HJ151" s="327"/>
      <c r="HK151" s="327"/>
      <c r="HL151" s="327"/>
      <c r="HM151" s="327"/>
      <c r="HN151" s="327"/>
      <c r="HO151" s="327"/>
      <c r="HP151" s="327"/>
      <c r="HQ151" s="327"/>
      <c r="HR151" s="327"/>
      <c r="HS151" s="327"/>
    </row>
    <row r="152" spans="1:227" ht="15" customHeight="1">
      <c r="A152" s="330">
        <v>7</v>
      </c>
      <c r="B152" s="435" t="str">
        <f>VLOOKUP(Ruimtestaat[[#This Row],[Code]],Locaties[[Code]:[Locatie]],2,FALSE)</f>
        <v>IKC De Baanbreker</v>
      </c>
      <c r="C152" s="435" t="str">
        <f>VLOOKUP(Ruimtestaat[[#This Row],[Code]],Locaties[[#All],[Code]:[Adres]],4,FALSE)</f>
        <v>Lijnbaan 319</v>
      </c>
      <c r="D152" s="435" t="str">
        <f>VLOOKUP(Ruimtestaat[[#This Row],[Code]],Locaties[[#All],[Code]:[Postcode]],5,FALSE)</f>
        <v>2728 AG</v>
      </c>
      <c r="E152" s="435" t="str">
        <f>VLOOKUP(Ruimtestaat[[#This Row],[Code]],Locaties[#All],6,FALSE)</f>
        <v>Zoetermeer</v>
      </c>
      <c r="F152" s="434"/>
      <c r="G152" s="434" t="s">
        <v>1678</v>
      </c>
      <c r="H152" s="330" t="s">
        <v>1674</v>
      </c>
      <c r="I152" s="450" t="s">
        <v>1770</v>
      </c>
      <c r="J152" s="330">
        <v>6</v>
      </c>
      <c r="K152" s="450" t="str">
        <f>VLOOKUP(Ruimtestaat[[#This Row],[Ruimte code]],Ruimtegroepen[[#All],[Code]:[Ruimte omschrijving]],2,FALSE)</f>
        <v>Gangen/hallen</v>
      </c>
      <c r="L152" s="434" t="s">
        <v>100</v>
      </c>
      <c r="M152" s="437" t="s">
        <v>1759</v>
      </c>
      <c r="N152" s="439">
        <v>28</v>
      </c>
      <c r="O152" s="439"/>
      <c r="P152" s="439"/>
      <c r="Q152" s="439"/>
      <c r="R152" s="440" t="str">
        <f>VLOOKUP(Ruimtestaat[[#This Row],[Ruimte code]],Ruimtegroepen[],4,FALSE)</f>
        <v>Ve</v>
      </c>
      <c r="S152" s="434">
        <v>41</v>
      </c>
      <c r="T152" s="434" t="s">
        <v>2</v>
      </c>
      <c r="U152" s="434">
        <f>IF(S152&gt;0,IF(RIGHT(Ruimtestaat[[#This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52" s="434">
        <f>IF(U152&gt;0,VLOOKUP($J152,Ruimtegroepen[],3,FALSE)*VLOOKUP($L152,Vloersoorten[],3,FALSE)*VLOOKUP($T152,Frequenties[],3,FALSE)*VLOOKUP($A152,Locaties[],3,FALSE),0)</f>
        <v>0</v>
      </c>
      <c r="W152" s="434">
        <f>Ruimtestaat[[#This Row],[Uitvoeringen werkdagen]]*Ruimtestaat[[#This Row],[Oppervlak (netto)]]</f>
        <v>5740</v>
      </c>
      <c r="X152" s="441">
        <f>IF(V152&gt;0,Ruimtestaat[[#This Row],[Prest. (m2 /jaar) werkdagen]]/Ruimtestaat[[#This Row],[Norm (m2/uur) werkdagen]],0)</f>
        <v>0</v>
      </c>
      <c r="Y152" s="442">
        <f>Ruimtestaat[[#This Row],[Uitvoeringen werkdagen]]*Ruimtestaat[[#This Row],[Gedeeltelijk]]</f>
        <v>0</v>
      </c>
      <c r="Z152" s="443" t="e">
        <f>IF(U152&gt;0,Ruimtestaat[[#This Row],[Prest. (m2 / jaar) werkdagen gedeeld]]/Ruimtestaat[[#This Row],[Norm (m2/uur) werkdagen]],0)</f>
        <v>#DIV/0!</v>
      </c>
      <c r="AA152" s="441" t="e">
        <f>Ruimtestaat[[#This Row],[uren / jaar werkdagen gedeeld]]*Tariefsopbouw!$E$35</f>
        <v>#DIV/0!</v>
      </c>
      <c r="AB152" s="441">
        <f>Ruimtestaat[[#This Row],[Uitvoeringen werkdagen]]*Ruimtestaat[[#This Row],[BSO]]</f>
        <v>0</v>
      </c>
      <c r="AC152" s="443" t="e">
        <f>IF(U152&gt;0,Ruimtestaat[[#This Row],[Prest. (m2 / jaar) werkdagen BSO]]/Ruimtestaat[[#This Row],[Norm (m2/uur) werkdagen]],0)</f>
        <v>#DIV/0!</v>
      </c>
      <c r="AD152" s="443" t="e">
        <f>Ruimtestaat[[#This Row],[uren / jaar werkdagen BSO]]*Tariefsopbouw!$E$35</f>
        <v>#DIV/0!</v>
      </c>
      <c r="AE152" s="444">
        <f>Ruimtestaat[[#This Row],[uren / jaar werkdagen]]*Tariefsopbouw!$E$35</f>
        <v>0</v>
      </c>
      <c r="AF152" s="434"/>
      <c r="AG152" s="434">
        <f>IF(Ruimtestaat[[#This Row],[Frequentie weekend]]&gt;0,VALUE(LEFT(AF152,1))*S152,0)</f>
        <v>0</v>
      </c>
      <c r="AH152" s="445">
        <f>IF($AG152&gt;0,VLOOKUP($J152,Ruimtegroepen[],3,FALSE)*VLOOKUP($L152,Vloersoorten[],3,FALSE)*VLOOKUP($AF152,Frequenties[],3,FALSE)*VLOOKUP(Ruimtestaat[[#This Row],[Code]],Locaties[],3,FALSE),0)</f>
        <v>0</v>
      </c>
      <c r="AI152" s="445">
        <f>Ruimtestaat[[#This Row],[Uitvoeringen weekend]]*Ruimtestaat[[#This Row],[Oppervlak (netto)]]</f>
        <v>0</v>
      </c>
      <c r="AJ152" s="445">
        <f>IF(AH152&gt;0,Ruimtestaat[[#This Row],[Prest. (m2 /jaar) weekend]]/Ruimtestaat[[#This Row],[Norm (m2/uur) weekend]],0)</f>
        <v>0</v>
      </c>
      <c r="AK152" s="444">
        <f>Ruimtestaat[[#This Row],[uren / jaar weekend]]*Tariefsopbouw!$D$40</f>
        <v>0</v>
      </c>
      <c r="AL152" s="441">
        <f>Ruimtestaat[[#This Row],[Prest. (m2 /jaar) weekend]]+Ruimtestaat[[#This Row],[Prest. (m2 /jaar) werkdagen]]</f>
        <v>5740</v>
      </c>
      <c r="AM152" s="441">
        <f>Ruimtestaat[[#This Row],[uren / jaar weekend]]+Ruimtestaat[[#This Row],[uren / jaar werkdagen]]</f>
        <v>0</v>
      </c>
      <c r="AN152" s="446">
        <f>Ruimtestaat[[#This Row],[kosten / jaar weekend]]+Ruimtestaat[[#This Row],[kosten / jaar werkdagen]]</f>
        <v>0</v>
      </c>
      <c r="AO152" s="446"/>
      <c r="AP152" s="447" t="str">
        <f>IF(Ruimtestaat[[#This Row],[Frequentie werkdagen]]="","",_xlfn.CONCAT(Ruimtestaat[[#This Row],[Ruimte code]],"-",Ruimtestaat[[#This Row],[Frequentie werkdagen]]," ",Ruimtestaat[[#This Row],[Vloer code]]))</f>
        <v>6-5w L</v>
      </c>
      <c r="AQ152" s="448" t="str">
        <f>_xlfn.IFNA(VLOOKUP($AP152,Programma!$F$3:$G$1101,2,0),"")</f>
        <v>_</v>
      </c>
      <c r="AR152" s="448" t="str">
        <f>_xlfn.IFNA(VLOOKUP($AP152,Programma!$F$3:$H$1101,3,0),"")</f>
        <v>_</v>
      </c>
      <c r="AS152" s="448" t="str">
        <f>_xlfn.IFNA(VLOOKUP($AP152,Programma!$F$3:$I$1101,4,0),"")</f>
        <v>_</v>
      </c>
      <c r="AT152" s="448" t="str">
        <f>_xlfn.IFNA(VLOOKUP($AP152,Programma!$F$3:$J$1101,5,0),"")</f>
        <v>5w</v>
      </c>
      <c r="AU152" s="448" t="str">
        <f>_xlfn.IFNA(VLOOKUP($AP152,Programma!$F$3:$K$1101,6,0),"")</f>
        <v>_</v>
      </c>
      <c r="AV152" s="448" t="str">
        <f>_xlfn.IFNA(VLOOKUP($AP152,Programma!$F$3:$L$1101,7,0),"")</f>
        <v>_</v>
      </c>
      <c r="AW152" s="448" t="str">
        <f>_xlfn.IFNA(VLOOKUP($AP152,Programma!$F$3:$M$1101,8,0),"")</f>
        <v>_</v>
      </c>
      <c r="AX152" s="448" t="str">
        <f>_xlfn.IFNA(VLOOKUP($AP152,Programma!$F$3:$N$1101,9,0),"")</f>
        <v>_</v>
      </c>
      <c r="AY152" s="448" t="str">
        <f>_xlfn.IFNA(VLOOKUP($AP152,Programma!$F$3:$O$1101,10,0),"")</f>
        <v>5w</v>
      </c>
      <c r="AZ152" s="448" t="str">
        <f>_xlfn.IFNA(VLOOKUP($AP152,Programma!$F$3:$P$1101,11,0),"")</f>
        <v>5w</v>
      </c>
      <c r="BA152" s="448" t="str">
        <f>_xlfn.IFNA(VLOOKUP($AP152,Programma!$F$3:$Q$1101,12,0),"")</f>
        <v>1w</v>
      </c>
      <c r="BB152" s="448" t="str">
        <f>_xlfn.IFNA(VLOOKUP($AP152,Programma!$F$3:$R$1101,13,0),"")</f>
        <v>1w</v>
      </c>
      <c r="BC152" s="448" t="str">
        <f>_xlfn.IFNA(VLOOKUP($AP152,Programma!$F$3:$S$1101,14,0),"")</f>
        <v>1m</v>
      </c>
      <c r="BD152" s="448" t="str">
        <f>_xlfn.IFNA(VLOOKUP($AP152,Programma!$F$3:$T$1101,15,0),"")</f>
        <v>2j</v>
      </c>
      <c r="BE152" s="448" t="str">
        <f>_xlfn.IFNA(VLOOKUP($AP152,Programma!$F$3:$U$1101,16,0),"")</f>
        <v>1j</v>
      </c>
      <c r="BF152" s="448" t="str">
        <f>_xlfn.IFNA(VLOOKUP($AP152,Programma!$F$3:$V$1101,17,0),"")</f>
        <v>_</v>
      </c>
      <c r="BG152" s="448" t="str">
        <f>_xlfn.IFNA(VLOOKUP($AP152,Programma!$F$3:$W$1101,18,0),"")</f>
        <v>_</v>
      </c>
      <c r="BH152" s="448" t="str">
        <f>_xlfn.IFNA(VLOOKUP($AP152,Programma!$F$3:$X$1101,19,0),"")</f>
        <v>_</v>
      </c>
      <c r="BI152" s="448" t="str">
        <f>_xlfn.IFNA(VLOOKUP($AP152,Programma!$F$3:$Y$1101,20,0),"")</f>
        <v>_</v>
      </c>
      <c r="BJ152" s="449"/>
      <c r="BK152" s="447" t="str">
        <f>IF(Ruimtestaat[[#This Row],[Frequentie weekend]]="","",_xlfn.CONCAT(Ruimtestaat[[#This Row],[Ruimte code]],"-",Ruimtestaat[[#This Row],[Frequentie weekend]]," ",Ruimtestaat[[#This Row],[Vloer code]]))</f>
        <v/>
      </c>
      <c r="BL152" s="448" t="str">
        <f>_xlfn.IFNA(VLOOKUP($BK152,Programma!$F$3:$G$1101,2,0),"")</f>
        <v/>
      </c>
      <c r="BM152" s="448" t="str">
        <f>_xlfn.IFNA(VLOOKUP($BK152,Programma!$F$3:$H$1101,3,0),"")</f>
        <v/>
      </c>
      <c r="BN152" s="448" t="str">
        <f>_xlfn.IFNA(VLOOKUP($BK152,Programma!$F$3:$I$1101,4,0),"")</f>
        <v/>
      </c>
      <c r="BO152" s="448" t="str">
        <f>_xlfn.IFNA(VLOOKUP($BK152,Programma!$F$3:$J$1101,5,0),"")</f>
        <v/>
      </c>
      <c r="BP152" s="448" t="str">
        <f>_xlfn.IFNA(VLOOKUP($BK152,Programma!$F$3:$K$1101,6,0),"")</f>
        <v/>
      </c>
      <c r="BQ152" s="448" t="str">
        <f>_xlfn.IFNA(VLOOKUP($BK152,Programma!$F$3:$L$1101,7,0),"")</f>
        <v/>
      </c>
      <c r="BR152" s="448" t="str">
        <f>_xlfn.IFNA(VLOOKUP($BK152,Programma!$F$3:$M$1101,8,0),"")</f>
        <v/>
      </c>
      <c r="BS152" s="448" t="str">
        <f>_xlfn.IFNA(VLOOKUP($BK152,Programma!$F$3:$N$1101,9,0),"")</f>
        <v/>
      </c>
      <c r="BT152" s="448" t="str">
        <f>_xlfn.IFNA(VLOOKUP($BK152,Programma!$F$3:$O$1101,10,0),"")</f>
        <v/>
      </c>
      <c r="BU152" s="448" t="str">
        <f>_xlfn.IFNA(VLOOKUP($BK152,Programma!$F$3:$P$1101,11,0),"")</f>
        <v/>
      </c>
      <c r="BV152" s="448" t="str">
        <f>_xlfn.IFNA(VLOOKUP($BK152,Programma!$F$3:$Q$1101,12,0),"")</f>
        <v/>
      </c>
      <c r="BW152" s="448" t="str">
        <f>_xlfn.IFNA(VLOOKUP($BK152,Programma!$F$3:$R$1101,13,0),"")</f>
        <v/>
      </c>
      <c r="BX152" s="448" t="str">
        <f>_xlfn.IFNA(VLOOKUP($BK152,Programma!$F$3:$S$1101,14,0),"")</f>
        <v/>
      </c>
      <c r="BY152" s="448" t="str">
        <f>_xlfn.IFNA(VLOOKUP($BK152,Programma!$F$3:$T$1101,15,0),"")</f>
        <v/>
      </c>
      <c r="BZ152" s="448" t="str">
        <f>_xlfn.IFNA(VLOOKUP($BK152,Programma!$F$3:$U$1101,16,0),"")</f>
        <v/>
      </c>
      <c r="CA152" s="448" t="str">
        <f>_xlfn.IFNA(VLOOKUP($BK152,Programma!$F$3:$V$1101,17,0),"")</f>
        <v/>
      </c>
      <c r="CB152" s="448" t="str">
        <f>_xlfn.IFNA(VLOOKUP($BK152,Programma!$F$3:$W$1101,18,0),"")</f>
        <v/>
      </c>
      <c r="CC152" s="448" t="str">
        <f>_xlfn.IFNA(VLOOKUP($BK152,Programma!$F$3:$X$1101,19,0),"")</f>
        <v/>
      </c>
      <c r="CD152" s="448" t="str">
        <f>_xlfn.IFNA(VLOOKUP($BK152,Programma!$F$3:$Y$1101,20,0),"")</f>
        <v/>
      </c>
      <c r="CE152" s="327"/>
      <c r="CF152" s="327"/>
      <c r="CG152" s="327"/>
      <c r="CH152" s="327"/>
      <c r="CI152" s="327"/>
      <c r="CJ152" s="327"/>
      <c r="CK152" s="327"/>
      <c r="CL152" s="327"/>
      <c r="CM152" s="327"/>
      <c r="CN152" s="327"/>
      <c r="CO152" s="327"/>
      <c r="CP152" s="327"/>
      <c r="CQ152" s="327"/>
      <c r="CR152" s="327"/>
      <c r="CS152" s="327"/>
      <c r="CT152" s="327"/>
      <c r="CU152" s="327"/>
      <c r="CV152" s="327"/>
      <c r="CW152" s="327"/>
      <c r="CX152" s="327"/>
      <c r="CY152" s="327"/>
      <c r="CZ152" s="327"/>
      <c r="DA152" s="327"/>
      <c r="DB152" s="327"/>
      <c r="DC152" s="327"/>
      <c r="DD152" s="327"/>
      <c r="DE152" s="327"/>
      <c r="DF152" s="327"/>
      <c r="DG152" s="327"/>
      <c r="DH152" s="327"/>
      <c r="DI152" s="327"/>
      <c r="DJ152" s="327"/>
      <c r="DK152" s="327"/>
      <c r="DL152" s="327"/>
      <c r="DM152" s="327"/>
      <c r="DN152" s="327"/>
      <c r="DO152" s="327"/>
      <c r="DP152" s="327"/>
      <c r="DQ152" s="327"/>
      <c r="DR152" s="327"/>
      <c r="DS152" s="327"/>
      <c r="DT152" s="327"/>
      <c r="DU152" s="327"/>
      <c r="DV152" s="327"/>
      <c r="DW152" s="327"/>
      <c r="DX152" s="327"/>
      <c r="DY152" s="327"/>
      <c r="DZ152" s="327"/>
      <c r="EA152" s="327"/>
      <c r="EB152" s="327"/>
      <c r="EC152" s="327"/>
      <c r="ED152" s="327"/>
      <c r="EE152" s="327"/>
      <c r="EF152" s="327"/>
      <c r="EG152" s="327"/>
      <c r="EH152" s="327"/>
      <c r="EI152" s="327"/>
      <c r="EJ152" s="327"/>
      <c r="EK152" s="327"/>
      <c r="EL152" s="327"/>
      <c r="EM152" s="327"/>
      <c r="EN152" s="327"/>
      <c r="EO152" s="327"/>
      <c r="EP152" s="327"/>
      <c r="EQ152" s="327"/>
      <c r="ER152" s="327"/>
      <c r="ES152" s="327"/>
      <c r="ET152" s="327"/>
      <c r="EU152" s="327"/>
      <c r="EV152" s="327"/>
      <c r="EW152" s="327"/>
      <c r="EX152" s="327"/>
      <c r="EY152" s="327"/>
      <c r="EZ152" s="327"/>
      <c r="FA152" s="327"/>
      <c r="FB152" s="327"/>
      <c r="FC152" s="327"/>
      <c r="FD152" s="327"/>
      <c r="FE152" s="327"/>
      <c r="FF152" s="327"/>
      <c r="FG152" s="327"/>
      <c r="FH152" s="327"/>
      <c r="FI152" s="327"/>
      <c r="FJ152" s="327"/>
      <c r="FK152" s="327"/>
      <c r="FL152" s="327"/>
      <c r="FM152" s="327"/>
      <c r="FN152" s="327"/>
      <c r="FO152" s="327"/>
      <c r="FP152" s="327"/>
      <c r="FQ152" s="327"/>
      <c r="FR152" s="327"/>
      <c r="FS152" s="327"/>
      <c r="FT152" s="327"/>
      <c r="FU152" s="327"/>
      <c r="FV152" s="327"/>
      <c r="FW152" s="327"/>
      <c r="FX152" s="327"/>
      <c r="FY152" s="327"/>
      <c r="FZ152" s="327"/>
      <c r="GA152" s="327"/>
      <c r="GB152" s="327"/>
      <c r="GC152" s="327"/>
      <c r="GD152" s="327"/>
      <c r="GE152" s="327"/>
      <c r="GF152" s="327"/>
      <c r="GG152" s="327"/>
      <c r="GH152" s="327"/>
      <c r="GI152" s="327"/>
      <c r="GJ152" s="327"/>
      <c r="GK152" s="327"/>
      <c r="GL152" s="327"/>
      <c r="GM152" s="327"/>
      <c r="GN152" s="327"/>
      <c r="GO152" s="327"/>
      <c r="GP152" s="327"/>
      <c r="GQ152" s="327"/>
      <c r="GR152" s="327"/>
      <c r="GS152" s="327"/>
      <c r="GT152" s="327"/>
      <c r="GU152" s="327"/>
      <c r="GV152" s="327"/>
      <c r="GW152" s="327"/>
      <c r="GX152" s="327"/>
      <c r="GY152" s="327"/>
      <c r="GZ152" s="327"/>
      <c r="HA152" s="327"/>
      <c r="HB152" s="327"/>
      <c r="HC152" s="327"/>
      <c r="HD152" s="327"/>
      <c r="HE152" s="327"/>
      <c r="HF152" s="327"/>
      <c r="HG152" s="327"/>
      <c r="HH152" s="327"/>
      <c r="HI152" s="327"/>
      <c r="HJ152" s="327"/>
      <c r="HK152" s="327"/>
      <c r="HL152" s="327"/>
      <c r="HM152" s="327"/>
      <c r="HN152" s="327"/>
      <c r="HO152" s="327"/>
      <c r="HP152" s="327"/>
      <c r="HQ152" s="327"/>
      <c r="HR152" s="327"/>
      <c r="HS152" s="327"/>
    </row>
    <row r="153" spans="1:227" ht="15" customHeight="1">
      <c r="A153" s="330">
        <v>7</v>
      </c>
      <c r="B153" s="435" t="str">
        <f>VLOOKUP(Ruimtestaat[[#This Row],[Code]],Locaties[[Code]:[Locatie]],2,FALSE)</f>
        <v>IKC De Baanbreker</v>
      </c>
      <c r="C153" s="435" t="str">
        <f>VLOOKUP(Ruimtestaat[[#This Row],[Code]],Locaties[[#All],[Code]:[Adres]],4,FALSE)</f>
        <v>Lijnbaan 319</v>
      </c>
      <c r="D153" s="435" t="str">
        <f>VLOOKUP(Ruimtestaat[[#This Row],[Code]],Locaties[[#All],[Code]:[Postcode]],5,FALSE)</f>
        <v>2728 AG</v>
      </c>
      <c r="E153" s="435" t="str">
        <f>VLOOKUP(Ruimtestaat[[#This Row],[Code]],Locaties[#All],6,FALSE)</f>
        <v>Zoetermeer</v>
      </c>
      <c r="F153" s="434"/>
      <c r="G153" s="434" t="s">
        <v>1678</v>
      </c>
      <c r="H153" s="330" t="s">
        <v>1680</v>
      </c>
      <c r="I153" s="450" t="s">
        <v>1767</v>
      </c>
      <c r="J153" s="330">
        <v>2</v>
      </c>
      <c r="K153" s="450" t="str">
        <f>VLOOKUP(Ruimtestaat[[#This Row],[Ruimte code]],Ruimtegroepen[[#All],[Code]:[Ruimte omschrijving]],2,FALSE)</f>
        <v>Kantoren</v>
      </c>
      <c r="L153" s="434" t="s">
        <v>100</v>
      </c>
      <c r="M153" s="437" t="s">
        <v>1759</v>
      </c>
      <c r="N153" s="439">
        <v>23</v>
      </c>
      <c r="O153" s="439"/>
      <c r="P153" s="439"/>
      <c r="Q153" s="439"/>
      <c r="R153" s="440" t="str">
        <f>VLOOKUP(Ruimtestaat[[#This Row],[Ruimte code]],Ruimtegroepen[],4,FALSE)</f>
        <v>Bu</v>
      </c>
      <c r="S153" s="434">
        <v>41</v>
      </c>
      <c r="T153" s="434" t="s">
        <v>2</v>
      </c>
      <c r="U153" s="434">
        <f>IF(S153&gt;0,IF(RIGHT(Ruimtestaat[[#This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53" s="434">
        <f>IF(U153&gt;0,VLOOKUP($J153,Ruimtegroepen[],3,FALSE)*VLOOKUP($L153,Vloersoorten[],3,FALSE)*VLOOKUP($T153,Frequenties[],3,FALSE)*VLOOKUP($A153,Locaties[],3,FALSE),0)</f>
        <v>0</v>
      </c>
      <c r="W153" s="434">
        <f>Ruimtestaat[[#This Row],[Uitvoeringen werkdagen]]*Ruimtestaat[[#This Row],[Oppervlak (netto)]]</f>
        <v>4715</v>
      </c>
      <c r="X153" s="441">
        <f>IF(V153&gt;0,Ruimtestaat[[#This Row],[Prest. (m2 /jaar) werkdagen]]/Ruimtestaat[[#This Row],[Norm (m2/uur) werkdagen]],0)</f>
        <v>0</v>
      </c>
      <c r="Y153" s="442">
        <f>Ruimtestaat[[#This Row],[Uitvoeringen werkdagen]]*Ruimtestaat[[#This Row],[Gedeeltelijk]]</f>
        <v>0</v>
      </c>
      <c r="Z153" s="443" t="e">
        <f>IF(U153&gt;0,Ruimtestaat[[#This Row],[Prest. (m2 / jaar) werkdagen gedeeld]]/Ruimtestaat[[#This Row],[Norm (m2/uur) werkdagen]],0)</f>
        <v>#DIV/0!</v>
      </c>
      <c r="AA153" s="441" t="e">
        <f>Ruimtestaat[[#This Row],[uren / jaar werkdagen gedeeld]]*Tariefsopbouw!$E$35</f>
        <v>#DIV/0!</v>
      </c>
      <c r="AB153" s="441">
        <f>Ruimtestaat[[#This Row],[Uitvoeringen werkdagen]]*Ruimtestaat[[#This Row],[BSO]]</f>
        <v>0</v>
      </c>
      <c r="AC153" s="443" t="e">
        <f>IF(U153&gt;0,Ruimtestaat[[#This Row],[Prest. (m2 / jaar) werkdagen BSO]]/Ruimtestaat[[#This Row],[Norm (m2/uur) werkdagen]],0)</f>
        <v>#DIV/0!</v>
      </c>
      <c r="AD153" s="443" t="e">
        <f>Ruimtestaat[[#This Row],[uren / jaar werkdagen BSO]]*Tariefsopbouw!$E$35</f>
        <v>#DIV/0!</v>
      </c>
      <c r="AE153" s="444">
        <f>Ruimtestaat[[#This Row],[uren / jaar werkdagen]]*Tariefsopbouw!$E$35</f>
        <v>0</v>
      </c>
      <c r="AF153" s="434"/>
      <c r="AG153" s="434">
        <f>IF(Ruimtestaat[[#This Row],[Frequentie weekend]]&gt;0,VALUE(LEFT(AF153,1))*S153,0)</f>
        <v>0</v>
      </c>
      <c r="AH153" s="445">
        <f>IF($AG153&gt;0,VLOOKUP($J153,Ruimtegroepen[],3,FALSE)*VLOOKUP($L153,Vloersoorten[],3,FALSE)*VLOOKUP($AF153,Frequenties[],3,FALSE)*VLOOKUP(Ruimtestaat[[#This Row],[Code]],Locaties[],3,FALSE),0)</f>
        <v>0</v>
      </c>
      <c r="AI153" s="445">
        <f>Ruimtestaat[[#This Row],[Uitvoeringen weekend]]*Ruimtestaat[[#This Row],[Oppervlak (netto)]]</f>
        <v>0</v>
      </c>
      <c r="AJ153" s="445">
        <f>IF(AH153&gt;0,Ruimtestaat[[#This Row],[Prest. (m2 /jaar) weekend]]/Ruimtestaat[[#This Row],[Norm (m2/uur) weekend]],0)</f>
        <v>0</v>
      </c>
      <c r="AK153" s="444">
        <f>Ruimtestaat[[#This Row],[uren / jaar weekend]]*Tariefsopbouw!$D$40</f>
        <v>0</v>
      </c>
      <c r="AL153" s="441">
        <f>Ruimtestaat[[#This Row],[Prest. (m2 /jaar) weekend]]+Ruimtestaat[[#This Row],[Prest. (m2 /jaar) werkdagen]]</f>
        <v>4715</v>
      </c>
      <c r="AM153" s="441">
        <f>Ruimtestaat[[#This Row],[uren / jaar weekend]]+Ruimtestaat[[#This Row],[uren / jaar werkdagen]]</f>
        <v>0</v>
      </c>
      <c r="AN153" s="446">
        <f>Ruimtestaat[[#This Row],[kosten / jaar weekend]]+Ruimtestaat[[#This Row],[kosten / jaar werkdagen]]</f>
        <v>0</v>
      </c>
      <c r="AO153" s="446"/>
      <c r="AP153" s="447" t="str">
        <f>IF(Ruimtestaat[[#This Row],[Frequentie werkdagen]]="","",_xlfn.CONCAT(Ruimtestaat[[#This Row],[Ruimte code]],"-",Ruimtestaat[[#This Row],[Frequentie werkdagen]]," ",Ruimtestaat[[#This Row],[Vloer code]]))</f>
        <v>2-5w L</v>
      </c>
      <c r="AQ153" s="448" t="str">
        <f>_xlfn.IFNA(VLOOKUP($AP153,Programma!$F$3:$G$1101,2,0),"")</f>
        <v>_</v>
      </c>
      <c r="AR153" s="448" t="str">
        <f>_xlfn.IFNA(VLOOKUP($AP153,Programma!$F$3:$H$1101,3,0),"")</f>
        <v>_</v>
      </c>
      <c r="AS153" s="448" t="str">
        <f>_xlfn.IFNA(VLOOKUP($AP153,Programma!$F$3:$I$1101,4,0),"")</f>
        <v>4w</v>
      </c>
      <c r="AT153" s="448" t="str">
        <f>_xlfn.IFNA(VLOOKUP($AP153,Programma!$F$3:$J$1101,5,0),"")</f>
        <v>1w</v>
      </c>
      <c r="AU153" s="448" t="str">
        <f>_xlfn.IFNA(VLOOKUP($AP153,Programma!$F$3:$K$1101,6,0),"")</f>
        <v>_</v>
      </c>
      <c r="AV153" s="448" t="str">
        <f>_xlfn.IFNA(VLOOKUP($AP153,Programma!$F$3:$L$1101,7,0),"")</f>
        <v>_</v>
      </c>
      <c r="AW153" s="448" t="str">
        <f>_xlfn.IFNA(VLOOKUP($AP153,Programma!$F$3:$M$1101,8,0),"")</f>
        <v>_</v>
      </c>
      <c r="AX153" s="448" t="str">
        <f>_xlfn.IFNA(VLOOKUP($AP153,Programma!$F$3:$N$1101,9,0),"")</f>
        <v>_</v>
      </c>
      <c r="AY153" s="448" t="str">
        <f>_xlfn.IFNA(VLOOKUP($AP153,Programma!$F$3:$O$1101,10,0),"")</f>
        <v>5w</v>
      </c>
      <c r="AZ153" s="448" t="str">
        <f>_xlfn.IFNA(VLOOKUP($AP153,Programma!$F$3:$P$1101,11,0),"")</f>
        <v>5w</v>
      </c>
      <c r="BA153" s="448" t="str">
        <f>_xlfn.IFNA(VLOOKUP($AP153,Programma!$F$3:$Q$1101,12,0),"")</f>
        <v>1w</v>
      </c>
      <c r="BB153" s="448" t="str">
        <f>_xlfn.IFNA(VLOOKUP($AP153,Programma!$F$3:$R$1101,13,0),"")</f>
        <v>1w</v>
      </c>
      <c r="BC153" s="448" t="str">
        <f>_xlfn.IFNA(VLOOKUP($AP153,Programma!$F$3:$S$1101,14,0),"")</f>
        <v>1m</v>
      </c>
      <c r="BD153" s="448" t="str">
        <f>_xlfn.IFNA(VLOOKUP($AP153,Programma!$F$3:$T$1101,15,0),"")</f>
        <v>2j</v>
      </c>
      <c r="BE153" s="448" t="str">
        <f>_xlfn.IFNA(VLOOKUP($AP153,Programma!$F$3:$U$1101,16,0),"")</f>
        <v>1j</v>
      </c>
      <c r="BF153" s="448" t="str">
        <f>_xlfn.IFNA(VLOOKUP($AP153,Programma!$F$3:$V$1101,17,0),"")</f>
        <v>_</v>
      </c>
      <c r="BG153" s="448" t="str">
        <f>_xlfn.IFNA(VLOOKUP($AP153,Programma!$F$3:$W$1101,18,0),"")</f>
        <v>_</v>
      </c>
      <c r="BH153" s="448" t="str">
        <f>_xlfn.IFNA(VLOOKUP($AP153,Programma!$F$3:$X$1101,19,0),"")</f>
        <v>_</v>
      </c>
      <c r="BI153" s="448" t="str">
        <f>_xlfn.IFNA(VLOOKUP($AP153,Programma!$F$3:$Y$1101,20,0),"")</f>
        <v>_</v>
      </c>
      <c r="BJ153" s="449"/>
      <c r="BK153" s="447" t="str">
        <f>IF(Ruimtestaat[[#This Row],[Frequentie weekend]]="","",_xlfn.CONCAT(Ruimtestaat[[#This Row],[Ruimte code]],"-",Ruimtestaat[[#This Row],[Frequentie weekend]]," ",Ruimtestaat[[#This Row],[Vloer code]]))</f>
        <v/>
      </c>
      <c r="BL153" s="448" t="str">
        <f>_xlfn.IFNA(VLOOKUP($BK153,Programma!$F$3:$G$1101,2,0),"")</f>
        <v/>
      </c>
      <c r="BM153" s="448" t="str">
        <f>_xlfn.IFNA(VLOOKUP($BK153,Programma!$F$3:$H$1101,3,0),"")</f>
        <v/>
      </c>
      <c r="BN153" s="448" t="str">
        <f>_xlfn.IFNA(VLOOKUP($BK153,Programma!$F$3:$I$1101,4,0),"")</f>
        <v/>
      </c>
      <c r="BO153" s="448" t="str">
        <f>_xlfn.IFNA(VLOOKUP($BK153,Programma!$F$3:$J$1101,5,0),"")</f>
        <v/>
      </c>
      <c r="BP153" s="448" t="str">
        <f>_xlfn.IFNA(VLOOKUP($BK153,Programma!$F$3:$K$1101,6,0),"")</f>
        <v/>
      </c>
      <c r="BQ153" s="448" t="str">
        <f>_xlfn.IFNA(VLOOKUP($BK153,Programma!$F$3:$L$1101,7,0),"")</f>
        <v/>
      </c>
      <c r="BR153" s="448" t="str">
        <f>_xlfn.IFNA(VLOOKUP($BK153,Programma!$F$3:$M$1101,8,0),"")</f>
        <v/>
      </c>
      <c r="BS153" s="448" t="str">
        <f>_xlfn.IFNA(VLOOKUP($BK153,Programma!$F$3:$N$1101,9,0),"")</f>
        <v/>
      </c>
      <c r="BT153" s="448" t="str">
        <f>_xlfn.IFNA(VLOOKUP($BK153,Programma!$F$3:$O$1101,10,0),"")</f>
        <v/>
      </c>
      <c r="BU153" s="448" t="str">
        <f>_xlfn.IFNA(VLOOKUP($BK153,Programma!$F$3:$P$1101,11,0),"")</f>
        <v/>
      </c>
      <c r="BV153" s="448" t="str">
        <f>_xlfn.IFNA(VLOOKUP($BK153,Programma!$F$3:$Q$1101,12,0),"")</f>
        <v/>
      </c>
      <c r="BW153" s="448" t="str">
        <f>_xlfn.IFNA(VLOOKUP($BK153,Programma!$F$3:$R$1101,13,0),"")</f>
        <v/>
      </c>
      <c r="BX153" s="448" t="str">
        <f>_xlfn.IFNA(VLOOKUP($BK153,Programma!$F$3:$S$1101,14,0),"")</f>
        <v/>
      </c>
      <c r="BY153" s="448" t="str">
        <f>_xlfn.IFNA(VLOOKUP($BK153,Programma!$F$3:$T$1101,15,0),"")</f>
        <v/>
      </c>
      <c r="BZ153" s="448" t="str">
        <f>_xlfn.IFNA(VLOOKUP($BK153,Programma!$F$3:$U$1101,16,0),"")</f>
        <v/>
      </c>
      <c r="CA153" s="448" t="str">
        <f>_xlfn.IFNA(VLOOKUP($BK153,Programma!$F$3:$V$1101,17,0),"")</f>
        <v/>
      </c>
      <c r="CB153" s="448" t="str">
        <f>_xlfn.IFNA(VLOOKUP($BK153,Programma!$F$3:$W$1101,18,0),"")</f>
        <v/>
      </c>
      <c r="CC153" s="448" t="str">
        <f>_xlfn.IFNA(VLOOKUP($BK153,Programma!$F$3:$X$1101,19,0),"")</f>
        <v/>
      </c>
      <c r="CD153" s="448" t="str">
        <f>_xlfn.IFNA(VLOOKUP($BK153,Programma!$F$3:$Y$1101,20,0),"")</f>
        <v/>
      </c>
      <c r="CE153" s="327"/>
      <c r="CF153" s="327"/>
      <c r="CG153" s="327"/>
      <c r="CH153" s="327"/>
      <c r="CI153" s="327"/>
      <c r="CJ153" s="327"/>
      <c r="CK153" s="327"/>
      <c r="CL153" s="327"/>
      <c r="CM153" s="327"/>
      <c r="CN153" s="327"/>
      <c r="CO153" s="327"/>
      <c r="CP153" s="327"/>
      <c r="CQ153" s="327"/>
      <c r="CR153" s="327"/>
      <c r="CS153" s="327"/>
      <c r="CT153" s="327"/>
      <c r="CU153" s="327"/>
      <c r="CV153" s="327"/>
      <c r="CW153" s="327"/>
      <c r="CX153" s="327"/>
      <c r="CY153" s="327"/>
      <c r="CZ153" s="327"/>
      <c r="DA153" s="327"/>
      <c r="DB153" s="327"/>
      <c r="DC153" s="327"/>
      <c r="DD153" s="327"/>
      <c r="DE153" s="327"/>
      <c r="DF153" s="327"/>
      <c r="DG153" s="327"/>
      <c r="DH153" s="327"/>
      <c r="DI153" s="327"/>
      <c r="DJ153" s="327"/>
      <c r="DK153" s="327"/>
      <c r="DL153" s="327"/>
      <c r="DM153" s="327"/>
      <c r="DN153" s="327"/>
      <c r="DO153" s="327"/>
      <c r="DP153" s="327"/>
      <c r="DQ153" s="327"/>
      <c r="DR153" s="327"/>
      <c r="DS153" s="327"/>
      <c r="DT153" s="327"/>
      <c r="DU153" s="327"/>
      <c r="DV153" s="327"/>
      <c r="DW153" s="327"/>
      <c r="DX153" s="327"/>
      <c r="DY153" s="327"/>
      <c r="DZ153" s="327"/>
      <c r="EA153" s="327"/>
      <c r="EB153" s="327"/>
      <c r="EC153" s="327"/>
      <c r="ED153" s="327"/>
      <c r="EE153" s="327"/>
      <c r="EF153" s="327"/>
      <c r="EG153" s="327"/>
      <c r="EH153" s="327"/>
      <c r="EI153" s="327"/>
      <c r="EJ153" s="327"/>
      <c r="EK153" s="327"/>
      <c r="EL153" s="327"/>
      <c r="EM153" s="327"/>
      <c r="EN153" s="327"/>
      <c r="EO153" s="327"/>
      <c r="EP153" s="327"/>
      <c r="EQ153" s="327"/>
      <c r="ER153" s="327"/>
      <c r="ES153" s="327"/>
      <c r="ET153" s="327"/>
      <c r="EU153" s="327"/>
      <c r="EV153" s="327"/>
      <c r="EW153" s="327"/>
      <c r="EX153" s="327"/>
      <c r="EY153" s="327"/>
      <c r="EZ153" s="327"/>
      <c r="FA153" s="327"/>
      <c r="FB153" s="327"/>
      <c r="FC153" s="327"/>
      <c r="FD153" s="327"/>
      <c r="FE153" s="327"/>
      <c r="FF153" s="327"/>
      <c r="FG153" s="327"/>
      <c r="FH153" s="327"/>
      <c r="FI153" s="327"/>
      <c r="FJ153" s="327"/>
      <c r="FK153" s="327"/>
      <c r="FL153" s="327"/>
      <c r="FM153" s="327"/>
      <c r="FN153" s="327"/>
      <c r="FO153" s="327"/>
      <c r="FP153" s="327"/>
      <c r="FQ153" s="327"/>
      <c r="FR153" s="327"/>
      <c r="FS153" s="327"/>
      <c r="FT153" s="327"/>
      <c r="FU153" s="327"/>
      <c r="FV153" s="327"/>
      <c r="FW153" s="327"/>
      <c r="FX153" s="327"/>
      <c r="FY153" s="327"/>
      <c r="FZ153" s="327"/>
      <c r="GA153" s="327"/>
      <c r="GB153" s="327"/>
      <c r="GC153" s="327"/>
      <c r="GD153" s="327"/>
      <c r="GE153" s="327"/>
      <c r="GF153" s="327"/>
      <c r="GG153" s="327"/>
      <c r="GH153" s="327"/>
      <c r="GI153" s="327"/>
      <c r="GJ153" s="327"/>
      <c r="GK153" s="327"/>
      <c r="GL153" s="327"/>
      <c r="GM153" s="327"/>
      <c r="GN153" s="327"/>
      <c r="GO153" s="327"/>
      <c r="GP153" s="327"/>
      <c r="GQ153" s="327"/>
      <c r="GR153" s="327"/>
      <c r="GS153" s="327"/>
      <c r="GT153" s="327"/>
      <c r="GU153" s="327"/>
      <c r="GV153" s="327"/>
      <c r="GW153" s="327"/>
      <c r="GX153" s="327"/>
      <c r="GY153" s="327"/>
      <c r="GZ153" s="327"/>
      <c r="HA153" s="327"/>
      <c r="HB153" s="327"/>
      <c r="HC153" s="327"/>
      <c r="HD153" s="327"/>
      <c r="HE153" s="327"/>
      <c r="HF153" s="327"/>
      <c r="HG153" s="327"/>
      <c r="HH153" s="327"/>
      <c r="HI153" s="327"/>
      <c r="HJ153" s="327"/>
      <c r="HK153" s="327"/>
      <c r="HL153" s="327"/>
      <c r="HM153" s="327"/>
      <c r="HN153" s="327"/>
      <c r="HO153" s="327"/>
      <c r="HP153" s="327"/>
      <c r="HQ153" s="327"/>
      <c r="HR153" s="327"/>
      <c r="HS153" s="327"/>
    </row>
    <row r="154" spans="1:227" ht="15" customHeight="1">
      <c r="A154" s="330">
        <v>7</v>
      </c>
      <c r="B154" s="435" t="str">
        <f>VLOOKUP(Ruimtestaat[[#This Row],[Code]],Locaties[[Code]:[Locatie]],2,FALSE)</f>
        <v>IKC De Baanbreker</v>
      </c>
      <c r="C154" s="435" t="str">
        <f>VLOOKUP(Ruimtestaat[[#This Row],[Code]],Locaties[[#All],[Code]:[Adres]],4,FALSE)</f>
        <v>Lijnbaan 319</v>
      </c>
      <c r="D154" s="435" t="str">
        <f>VLOOKUP(Ruimtestaat[[#This Row],[Code]],Locaties[[#All],[Code]:[Postcode]],5,FALSE)</f>
        <v>2728 AG</v>
      </c>
      <c r="E154" s="435" t="str">
        <f>VLOOKUP(Ruimtestaat[[#This Row],[Code]],Locaties[#All],6,FALSE)</f>
        <v>Zoetermeer</v>
      </c>
      <c r="F154" s="434"/>
      <c r="G154" s="434" t="s">
        <v>1678</v>
      </c>
      <c r="H154" s="330" t="s">
        <v>1681</v>
      </c>
      <c r="I154" s="450" t="s">
        <v>121</v>
      </c>
      <c r="J154" s="330">
        <v>15</v>
      </c>
      <c r="K154" s="450" t="str">
        <f>VLOOKUP(Ruimtestaat[[#This Row],[Ruimte code]],Ruimtegroepen[[#All],[Code]:[Ruimte omschrijving]],2,FALSE)</f>
        <v>Keuken/pantry</v>
      </c>
      <c r="L154" s="434" t="s">
        <v>100</v>
      </c>
      <c r="M154" s="437" t="s">
        <v>1759</v>
      </c>
      <c r="N154" s="439">
        <v>10</v>
      </c>
      <c r="O154" s="439"/>
      <c r="P154" s="439"/>
      <c r="Q154" s="439"/>
      <c r="R154" s="440" t="str">
        <f>VLOOKUP(Ruimtestaat[[#This Row],[Ruimte code]],Ruimtegroepen[],4,FALSE)</f>
        <v>Ve</v>
      </c>
      <c r="S154" s="434">
        <v>41</v>
      </c>
      <c r="T154" s="434" t="s">
        <v>2</v>
      </c>
      <c r="U154" s="434">
        <f>IF(S154&gt;0,IF(RIGHT(Ruimtestaat[[#This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54" s="434">
        <f>IF(U154&gt;0,VLOOKUP($J154,Ruimtegroepen[],3,FALSE)*VLOOKUP($L154,Vloersoorten[],3,FALSE)*VLOOKUP($T154,Frequenties[],3,FALSE)*VLOOKUP($A154,Locaties[],3,FALSE),0)</f>
        <v>0</v>
      </c>
      <c r="W154" s="434">
        <f>Ruimtestaat[[#This Row],[Uitvoeringen werkdagen]]*Ruimtestaat[[#This Row],[Oppervlak (netto)]]</f>
        <v>2050</v>
      </c>
      <c r="X154" s="441">
        <f>IF(V154&gt;0,Ruimtestaat[[#This Row],[Prest. (m2 /jaar) werkdagen]]/Ruimtestaat[[#This Row],[Norm (m2/uur) werkdagen]],0)</f>
        <v>0</v>
      </c>
      <c r="Y154" s="442">
        <f>Ruimtestaat[[#This Row],[Uitvoeringen werkdagen]]*Ruimtestaat[[#This Row],[Gedeeltelijk]]</f>
        <v>0</v>
      </c>
      <c r="Z154" s="443" t="e">
        <f>IF(U154&gt;0,Ruimtestaat[[#This Row],[Prest. (m2 / jaar) werkdagen gedeeld]]/Ruimtestaat[[#This Row],[Norm (m2/uur) werkdagen]],0)</f>
        <v>#DIV/0!</v>
      </c>
      <c r="AA154" s="441" t="e">
        <f>Ruimtestaat[[#This Row],[uren / jaar werkdagen gedeeld]]*Tariefsopbouw!$E$35</f>
        <v>#DIV/0!</v>
      </c>
      <c r="AB154" s="441">
        <f>Ruimtestaat[[#This Row],[Uitvoeringen werkdagen]]*Ruimtestaat[[#This Row],[BSO]]</f>
        <v>0</v>
      </c>
      <c r="AC154" s="443" t="e">
        <f>IF(U154&gt;0,Ruimtestaat[[#This Row],[Prest. (m2 / jaar) werkdagen BSO]]/Ruimtestaat[[#This Row],[Norm (m2/uur) werkdagen]],0)</f>
        <v>#DIV/0!</v>
      </c>
      <c r="AD154" s="443" t="e">
        <f>Ruimtestaat[[#This Row],[uren / jaar werkdagen BSO]]*Tariefsopbouw!$E$35</f>
        <v>#DIV/0!</v>
      </c>
      <c r="AE154" s="444">
        <f>Ruimtestaat[[#This Row],[uren / jaar werkdagen]]*Tariefsopbouw!$E$35</f>
        <v>0</v>
      </c>
      <c r="AF154" s="434"/>
      <c r="AG154" s="434">
        <f>IF(Ruimtestaat[[#This Row],[Frequentie weekend]]&gt;0,VALUE(LEFT(AF154,1))*S154,0)</f>
        <v>0</v>
      </c>
      <c r="AH154" s="445">
        <f>IF($AG154&gt;0,VLOOKUP($J154,Ruimtegroepen[],3,FALSE)*VLOOKUP($L154,Vloersoorten[],3,FALSE)*VLOOKUP($AF154,Frequenties[],3,FALSE)*VLOOKUP(Ruimtestaat[[#This Row],[Code]],Locaties[],3,FALSE),0)</f>
        <v>0</v>
      </c>
      <c r="AI154" s="445">
        <f>Ruimtestaat[[#This Row],[Uitvoeringen weekend]]*Ruimtestaat[[#This Row],[Oppervlak (netto)]]</f>
        <v>0</v>
      </c>
      <c r="AJ154" s="445">
        <f>IF(AH154&gt;0,Ruimtestaat[[#This Row],[Prest. (m2 /jaar) weekend]]/Ruimtestaat[[#This Row],[Norm (m2/uur) weekend]],0)</f>
        <v>0</v>
      </c>
      <c r="AK154" s="444">
        <f>Ruimtestaat[[#This Row],[uren / jaar weekend]]*Tariefsopbouw!$D$40</f>
        <v>0</v>
      </c>
      <c r="AL154" s="441">
        <f>Ruimtestaat[[#This Row],[Prest. (m2 /jaar) weekend]]+Ruimtestaat[[#This Row],[Prest. (m2 /jaar) werkdagen]]</f>
        <v>2050</v>
      </c>
      <c r="AM154" s="441">
        <f>Ruimtestaat[[#This Row],[uren / jaar weekend]]+Ruimtestaat[[#This Row],[uren / jaar werkdagen]]</f>
        <v>0</v>
      </c>
      <c r="AN154" s="446">
        <f>Ruimtestaat[[#This Row],[kosten / jaar weekend]]+Ruimtestaat[[#This Row],[kosten / jaar werkdagen]]</f>
        <v>0</v>
      </c>
      <c r="AO154" s="446"/>
      <c r="AP154" s="447" t="str">
        <f>IF(Ruimtestaat[[#This Row],[Frequentie werkdagen]]="","",_xlfn.CONCAT(Ruimtestaat[[#This Row],[Ruimte code]],"-",Ruimtestaat[[#This Row],[Frequentie werkdagen]]," ",Ruimtestaat[[#This Row],[Vloer code]]))</f>
        <v>15-5w L</v>
      </c>
      <c r="AQ154" s="448" t="str">
        <f>_xlfn.IFNA(VLOOKUP($AP154,Programma!$F$3:$G$1101,2,0),"")</f>
        <v>_</v>
      </c>
      <c r="AR154" s="448" t="str">
        <f>_xlfn.IFNA(VLOOKUP($AP154,Programma!$F$3:$H$1101,3,0),"")</f>
        <v>_</v>
      </c>
      <c r="AS154" s="448" t="str">
        <f>_xlfn.IFNA(VLOOKUP($AP154,Programma!$F$3:$I$1101,4,0),"")</f>
        <v>_</v>
      </c>
      <c r="AT154" s="448" t="str">
        <f>_xlfn.IFNA(VLOOKUP($AP154,Programma!$F$3:$J$1101,5,0),"")</f>
        <v>5w</v>
      </c>
      <c r="AU154" s="448" t="str">
        <f>_xlfn.IFNA(VLOOKUP($AP154,Programma!$F$3:$K$1101,6,0),"")</f>
        <v>_</v>
      </c>
      <c r="AV154" s="448" t="str">
        <f>_xlfn.IFNA(VLOOKUP($AP154,Programma!$F$3:$L$1101,7,0),"")</f>
        <v>_</v>
      </c>
      <c r="AW154" s="448" t="str">
        <f>_xlfn.IFNA(VLOOKUP($AP154,Programma!$F$3:$M$1101,8,0),"")</f>
        <v>_</v>
      </c>
      <c r="AX154" s="448" t="str">
        <f>_xlfn.IFNA(VLOOKUP($AP154,Programma!$F$3:$N$1101,9,0),"")</f>
        <v>_</v>
      </c>
      <c r="AY154" s="448" t="str">
        <f>_xlfn.IFNA(VLOOKUP($AP154,Programma!$F$3:$O$1101,10,0),"")</f>
        <v>5w</v>
      </c>
      <c r="AZ154" s="448" t="str">
        <f>_xlfn.IFNA(VLOOKUP($AP154,Programma!$F$3:$P$1101,11,0),"")</f>
        <v>5w</v>
      </c>
      <c r="BA154" s="448" t="str">
        <f>_xlfn.IFNA(VLOOKUP($AP154,Programma!$F$3:$Q$1101,12,0),"")</f>
        <v>1w</v>
      </c>
      <c r="BB154" s="448" t="str">
        <f>_xlfn.IFNA(VLOOKUP($AP154,Programma!$F$3:$R$1101,13,0),"")</f>
        <v>1w</v>
      </c>
      <c r="BC154" s="448" t="str">
        <f>_xlfn.IFNA(VLOOKUP($AP154,Programma!$F$3:$S$1101,14,0),"")</f>
        <v>1m</v>
      </c>
      <c r="BD154" s="448" t="str">
        <f>_xlfn.IFNA(VLOOKUP($AP154,Programma!$F$3:$T$1101,15,0),"")</f>
        <v>2j</v>
      </c>
      <c r="BE154" s="448" t="str">
        <f>_xlfn.IFNA(VLOOKUP($AP154,Programma!$F$3:$U$1101,16,0),"")</f>
        <v>1j</v>
      </c>
      <c r="BF154" s="448" t="str">
        <f>_xlfn.IFNA(VLOOKUP($AP154,Programma!$F$3:$V$1101,17,0),"")</f>
        <v>_</v>
      </c>
      <c r="BG154" s="448" t="str">
        <f>_xlfn.IFNA(VLOOKUP($AP154,Programma!$F$3:$W$1101,18,0),"")</f>
        <v>_</v>
      </c>
      <c r="BH154" s="448" t="str">
        <f>_xlfn.IFNA(VLOOKUP($AP154,Programma!$F$3:$X$1101,19,0),"")</f>
        <v>_</v>
      </c>
      <c r="BI154" s="448" t="str">
        <f>_xlfn.IFNA(VLOOKUP($AP154,Programma!$F$3:$Y$1101,20,0),"")</f>
        <v>_</v>
      </c>
      <c r="BJ154" s="449"/>
      <c r="BK154" s="447" t="str">
        <f>IF(Ruimtestaat[[#This Row],[Frequentie weekend]]="","",_xlfn.CONCAT(Ruimtestaat[[#This Row],[Ruimte code]],"-",Ruimtestaat[[#This Row],[Frequentie weekend]]," ",Ruimtestaat[[#This Row],[Vloer code]]))</f>
        <v/>
      </c>
      <c r="BL154" s="448" t="str">
        <f>_xlfn.IFNA(VLOOKUP($BK154,Programma!$F$3:$G$1101,2,0),"")</f>
        <v/>
      </c>
      <c r="BM154" s="448" t="str">
        <f>_xlfn.IFNA(VLOOKUP($BK154,Programma!$F$3:$H$1101,3,0),"")</f>
        <v/>
      </c>
      <c r="BN154" s="448" t="str">
        <f>_xlfn.IFNA(VLOOKUP($BK154,Programma!$F$3:$I$1101,4,0),"")</f>
        <v/>
      </c>
      <c r="BO154" s="448" t="str">
        <f>_xlfn.IFNA(VLOOKUP($BK154,Programma!$F$3:$J$1101,5,0),"")</f>
        <v/>
      </c>
      <c r="BP154" s="448" t="str">
        <f>_xlfn.IFNA(VLOOKUP($BK154,Programma!$F$3:$K$1101,6,0),"")</f>
        <v/>
      </c>
      <c r="BQ154" s="448" t="str">
        <f>_xlfn.IFNA(VLOOKUP($BK154,Programma!$F$3:$L$1101,7,0),"")</f>
        <v/>
      </c>
      <c r="BR154" s="448" t="str">
        <f>_xlfn.IFNA(VLOOKUP($BK154,Programma!$F$3:$M$1101,8,0),"")</f>
        <v/>
      </c>
      <c r="BS154" s="448" t="str">
        <f>_xlfn.IFNA(VLOOKUP($BK154,Programma!$F$3:$N$1101,9,0),"")</f>
        <v/>
      </c>
      <c r="BT154" s="448" t="str">
        <f>_xlfn.IFNA(VLOOKUP($BK154,Programma!$F$3:$O$1101,10,0),"")</f>
        <v/>
      </c>
      <c r="BU154" s="448" t="str">
        <f>_xlfn.IFNA(VLOOKUP($BK154,Programma!$F$3:$P$1101,11,0),"")</f>
        <v/>
      </c>
      <c r="BV154" s="448" t="str">
        <f>_xlfn.IFNA(VLOOKUP($BK154,Programma!$F$3:$Q$1101,12,0),"")</f>
        <v/>
      </c>
      <c r="BW154" s="448" t="str">
        <f>_xlfn.IFNA(VLOOKUP($BK154,Programma!$F$3:$R$1101,13,0),"")</f>
        <v/>
      </c>
      <c r="BX154" s="448" t="str">
        <f>_xlfn.IFNA(VLOOKUP($BK154,Programma!$F$3:$S$1101,14,0),"")</f>
        <v/>
      </c>
      <c r="BY154" s="448" t="str">
        <f>_xlfn.IFNA(VLOOKUP($BK154,Programma!$F$3:$T$1101,15,0),"")</f>
        <v/>
      </c>
      <c r="BZ154" s="448" t="str">
        <f>_xlfn.IFNA(VLOOKUP($BK154,Programma!$F$3:$U$1101,16,0),"")</f>
        <v/>
      </c>
      <c r="CA154" s="448" t="str">
        <f>_xlfn.IFNA(VLOOKUP($BK154,Programma!$F$3:$V$1101,17,0),"")</f>
        <v/>
      </c>
      <c r="CB154" s="448" t="str">
        <f>_xlfn.IFNA(VLOOKUP($BK154,Programma!$F$3:$W$1101,18,0),"")</f>
        <v/>
      </c>
      <c r="CC154" s="448" t="str">
        <f>_xlfn.IFNA(VLOOKUP($BK154,Programma!$F$3:$X$1101,19,0),"")</f>
        <v/>
      </c>
      <c r="CD154" s="448" t="str">
        <f>_xlfn.IFNA(VLOOKUP($BK154,Programma!$F$3:$Y$1101,20,0),"")</f>
        <v/>
      </c>
      <c r="CE154" s="327"/>
      <c r="CF154" s="327"/>
      <c r="CG154" s="327"/>
      <c r="CH154" s="327"/>
      <c r="CI154" s="327"/>
      <c r="CJ154" s="327"/>
      <c r="CK154" s="327"/>
      <c r="CL154" s="327"/>
      <c r="CM154" s="327"/>
      <c r="CN154" s="327"/>
      <c r="CO154" s="327"/>
      <c r="CP154" s="327"/>
      <c r="CQ154" s="327"/>
      <c r="CR154" s="327"/>
      <c r="CS154" s="327"/>
      <c r="CT154" s="327"/>
      <c r="CU154" s="327"/>
      <c r="CV154" s="327"/>
      <c r="CW154" s="327"/>
      <c r="CX154" s="327"/>
      <c r="CY154" s="327"/>
      <c r="CZ154" s="327"/>
      <c r="DA154" s="327"/>
      <c r="DB154" s="327"/>
      <c r="DC154" s="327"/>
      <c r="DD154" s="327"/>
      <c r="DE154" s="327"/>
      <c r="DF154" s="327"/>
      <c r="DG154" s="327"/>
      <c r="DH154" s="327"/>
      <c r="DI154" s="327"/>
      <c r="DJ154" s="327"/>
      <c r="DK154" s="327"/>
      <c r="DL154" s="327"/>
      <c r="DM154" s="327"/>
      <c r="DN154" s="327"/>
      <c r="DO154" s="327"/>
      <c r="DP154" s="327"/>
      <c r="DQ154" s="327"/>
      <c r="DR154" s="327"/>
      <c r="DS154" s="327"/>
      <c r="DT154" s="327"/>
      <c r="DU154" s="327"/>
      <c r="DV154" s="327"/>
      <c r="DW154" s="327"/>
      <c r="DX154" s="327"/>
      <c r="DY154" s="327"/>
      <c r="DZ154" s="327"/>
      <c r="EA154" s="327"/>
      <c r="EB154" s="327"/>
      <c r="EC154" s="327"/>
      <c r="ED154" s="327"/>
      <c r="EE154" s="327"/>
      <c r="EF154" s="327"/>
      <c r="EG154" s="327"/>
      <c r="EH154" s="327"/>
      <c r="EI154" s="327"/>
      <c r="EJ154" s="327"/>
      <c r="EK154" s="327"/>
      <c r="EL154" s="327"/>
      <c r="EM154" s="327"/>
      <c r="EN154" s="327"/>
      <c r="EO154" s="327"/>
      <c r="EP154" s="327"/>
      <c r="EQ154" s="327"/>
      <c r="ER154" s="327"/>
      <c r="ES154" s="327"/>
      <c r="ET154" s="327"/>
      <c r="EU154" s="327"/>
      <c r="EV154" s="327"/>
      <c r="EW154" s="327"/>
      <c r="EX154" s="327"/>
      <c r="EY154" s="327"/>
      <c r="EZ154" s="327"/>
      <c r="FA154" s="327"/>
      <c r="FB154" s="327"/>
      <c r="FC154" s="327"/>
      <c r="FD154" s="327"/>
      <c r="FE154" s="327"/>
      <c r="FF154" s="327"/>
      <c r="FG154" s="327"/>
      <c r="FH154" s="327"/>
      <c r="FI154" s="327"/>
      <c r="FJ154" s="327"/>
      <c r="FK154" s="327"/>
      <c r="FL154" s="327"/>
      <c r="FM154" s="327"/>
      <c r="FN154" s="327"/>
      <c r="FO154" s="327"/>
      <c r="FP154" s="327"/>
      <c r="FQ154" s="327"/>
      <c r="FR154" s="327"/>
      <c r="FS154" s="327"/>
      <c r="FT154" s="327"/>
      <c r="FU154" s="327"/>
      <c r="FV154" s="327"/>
      <c r="FW154" s="327"/>
      <c r="FX154" s="327"/>
      <c r="FY154" s="327"/>
      <c r="FZ154" s="327"/>
      <c r="GA154" s="327"/>
      <c r="GB154" s="327"/>
      <c r="GC154" s="327"/>
      <c r="GD154" s="327"/>
      <c r="GE154" s="327"/>
      <c r="GF154" s="327"/>
      <c r="GG154" s="327"/>
      <c r="GH154" s="327"/>
      <c r="GI154" s="327"/>
      <c r="GJ154" s="327"/>
      <c r="GK154" s="327"/>
      <c r="GL154" s="327"/>
      <c r="GM154" s="327"/>
      <c r="GN154" s="327"/>
      <c r="GO154" s="327"/>
      <c r="GP154" s="327"/>
      <c r="GQ154" s="327"/>
      <c r="GR154" s="327"/>
      <c r="GS154" s="327"/>
      <c r="GT154" s="327"/>
      <c r="GU154" s="327"/>
      <c r="GV154" s="327"/>
      <c r="GW154" s="327"/>
      <c r="GX154" s="327"/>
      <c r="GY154" s="327"/>
      <c r="GZ154" s="327"/>
      <c r="HA154" s="327"/>
      <c r="HB154" s="327"/>
      <c r="HC154" s="327"/>
      <c r="HD154" s="327"/>
      <c r="HE154" s="327"/>
      <c r="HF154" s="327"/>
      <c r="HG154" s="327"/>
      <c r="HH154" s="327"/>
      <c r="HI154" s="327"/>
      <c r="HJ154" s="327"/>
      <c r="HK154" s="327"/>
      <c r="HL154" s="327"/>
      <c r="HM154" s="327"/>
      <c r="HN154" s="327"/>
      <c r="HO154" s="327"/>
      <c r="HP154" s="327"/>
      <c r="HQ154" s="327"/>
      <c r="HR154" s="327"/>
      <c r="HS154" s="327"/>
    </row>
    <row r="155" spans="1:227" ht="15" customHeight="1">
      <c r="A155" s="330">
        <v>7</v>
      </c>
      <c r="B155" s="435" t="str">
        <f>VLOOKUP(Ruimtestaat[[#This Row],[Code]],Locaties[[Code]:[Locatie]],2,FALSE)</f>
        <v>IKC De Baanbreker</v>
      </c>
      <c r="C155" s="435" t="str">
        <f>VLOOKUP(Ruimtestaat[[#This Row],[Code]],Locaties[[#All],[Code]:[Adres]],4,FALSE)</f>
        <v>Lijnbaan 319</v>
      </c>
      <c r="D155" s="435" t="str">
        <f>VLOOKUP(Ruimtestaat[[#This Row],[Code]],Locaties[[#All],[Code]:[Postcode]],5,FALSE)</f>
        <v>2728 AG</v>
      </c>
      <c r="E155" s="435" t="str">
        <f>VLOOKUP(Ruimtestaat[[#This Row],[Code]],Locaties[#All],6,FALSE)</f>
        <v>Zoetermeer</v>
      </c>
      <c r="F155" s="434"/>
      <c r="G155" s="434" t="s">
        <v>1678</v>
      </c>
      <c r="H155" s="330" t="s">
        <v>1682</v>
      </c>
      <c r="I155" s="450" t="s">
        <v>1771</v>
      </c>
      <c r="J155" s="330">
        <v>20</v>
      </c>
      <c r="K155" s="450" t="str">
        <f>VLOOKUP(Ruimtestaat[[#This Row],[Ruimte code]],Ruimtegroepen[[#All],[Code]:[Ruimte omschrijving]],2,FALSE)</f>
        <v>Niet in Onderhoud</v>
      </c>
      <c r="L155" s="434" t="s">
        <v>100</v>
      </c>
      <c r="M155" s="437" t="s">
        <v>1759</v>
      </c>
      <c r="N155" s="439"/>
      <c r="O155" s="439">
        <v>66</v>
      </c>
      <c r="P155" s="439"/>
      <c r="Q155" s="439"/>
      <c r="R155" s="440">
        <f>VLOOKUP(Ruimtestaat[[#This Row],[Ruimte code]],Ruimtegroepen[],4,FALSE)</f>
        <v>0</v>
      </c>
      <c r="S155" s="434"/>
      <c r="T155" s="434"/>
      <c r="U155" s="434">
        <f>IF(S155&gt;0,IF(RIGHT(Ruimtestaat[[#This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55" s="434">
        <f>IF(U155&gt;0,VLOOKUP($J155,Ruimtegroepen[],3,FALSE)*VLOOKUP($L155,Vloersoorten[],3,FALSE)*VLOOKUP($T155,Frequenties[],3,FALSE)*VLOOKUP($A155,Locaties[],3,FALSE),0)</f>
        <v>0</v>
      </c>
      <c r="W155" s="434">
        <f>Ruimtestaat[[#This Row],[Uitvoeringen werkdagen]]*Ruimtestaat[[#This Row],[Oppervlak (netto)]]</f>
        <v>0</v>
      </c>
      <c r="X155" s="441">
        <f>IF(V155&gt;0,Ruimtestaat[[#This Row],[Prest. (m2 /jaar) werkdagen]]/Ruimtestaat[[#This Row],[Norm (m2/uur) werkdagen]],0)</f>
        <v>0</v>
      </c>
      <c r="Y155" s="442">
        <f>Ruimtestaat[[#This Row],[Uitvoeringen werkdagen]]*Ruimtestaat[[#This Row],[Gedeeltelijk]]</f>
        <v>0</v>
      </c>
      <c r="Z155" s="443">
        <f>IF(U155&gt;0,Ruimtestaat[[#This Row],[Prest. (m2 / jaar) werkdagen gedeeld]]/Ruimtestaat[[#This Row],[Norm (m2/uur) werkdagen]],0)</f>
        <v>0</v>
      </c>
      <c r="AA155" s="441">
        <f>Ruimtestaat[[#This Row],[uren / jaar werkdagen gedeeld]]*Tariefsopbouw!$E$35</f>
        <v>0</v>
      </c>
      <c r="AB155" s="441">
        <f>Ruimtestaat[[#This Row],[Uitvoeringen werkdagen]]*Ruimtestaat[[#This Row],[BSO]]</f>
        <v>0</v>
      </c>
      <c r="AC155" s="443">
        <f>IF(U155&gt;0,Ruimtestaat[[#This Row],[Prest. (m2 / jaar) werkdagen BSO]]/Ruimtestaat[[#This Row],[Norm (m2/uur) werkdagen]],0)</f>
        <v>0</v>
      </c>
      <c r="AD155" s="443">
        <f>Ruimtestaat[[#This Row],[uren / jaar werkdagen BSO]]*Tariefsopbouw!$E$35</f>
        <v>0</v>
      </c>
      <c r="AE155" s="444">
        <f>Ruimtestaat[[#This Row],[uren / jaar werkdagen]]*Tariefsopbouw!$E$35</f>
        <v>0</v>
      </c>
      <c r="AF155" s="434"/>
      <c r="AG155" s="434">
        <f>IF(Ruimtestaat[[#This Row],[Frequentie weekend]]&gt;0,VALUE(LEFT(AF155,1))*S155,0)</f>
        <v>0</v>
      </c>
      <c r="AH155" s="445">
        <f>IF($AG155&gt;0,VLOOKUP($J155,Ruimtegroepen[],3,FALSE)*VLOOKUP($L155,Vloersoorten[],3,FALSE)*VLOOKUP($AF155,Frequenties[],3,FALSE)*VLOOKUP(Ruimtestaat[[#This Row],[Code]],Locaties[],3,FALSE),0)</f>
        <v>0</v>
      </c>
      <c r="AI155" s="445">
        <f>Ruimtestaat[[#This Row],[Uitvoeringen weekend]]*Ruimtestaat[[#This Row],[Oppervlak (netto)]]</f>
        <v>0</v>
      </c>
      <c r="AJ155" s="445">
        <f>IF(AH155&gt;0,Ruimtestaat[[#This Row],[Prest. (m2 /jaar) weekend]]/Ruimtestaat[[#This Row],[Norm (m2/uur) weekend]],0)</f>
        <v>0</v>
      </c>
      <c r="AK155" s="444">
        <f>Ruimtestaat[[#This Row],[uren / jaar weekend]]*Tariefsopbouw!$D$40</f>
        <v>0</v>
      </c>
      <c r="AL155" s="441">
        <f>Ruimtestaat[[#This Row],[Prest. (m2 /jaar) weekend]]+Ruimtestaat[[#This Row],[Prest. (m2 /jaar) werkdagen]]</f>
        <v>0</v>
      </c>
      <c r="AM155" s="441">
        <f>Ruimtestaat[[#This Row],[uren / jaar weekend]]+Ruimtestaat[[#This Row],[uren / jaar werkdagen]]</f>
        <v>0</v>
      </c>
      <c r="AN155" s="446">
        <f>Ruimtestaat[[#This Row],[kosten / jaar weekend]]+Ruimtestaat[[#This Row],[kosten / jaar werkdagen]]</f>
        <v>0</v>
      </c>
      <c r="AO155" s="446"/>
      <c r="AP155" s="447" t="str">
        <f>IF(Ruimtestaat[[#This Row],[Frequentie werkdagen]]="","",_xlfn.CONCAT(Ruimtestaat[[#This Row],[Ruimte code]],"-",Ruimtestaat[[#This Row],[Frequentie werkdagen]]," ",Ruimtestaat[[#This Row],[Vloer code]]))</f>
        <v/>
      </c>
      <c r="AQ155" s="448" t="str">
        <f>_xlfn.IFNA(VLOOKUP($AP155,Programma!$F$3:$G$1101,2,0),"")</f>
        <v/>
      </c>
      <c r="AR155" s="448" t="str">
        <f>_xlfn.IFNA(VLOOKUP($AP155,Programma!$F$3:$H$1101,3,0),"")</f>
        <v/>
      </c>
      <c r="AS155" s="448" t="str">
        <f>_xlfn.IFNA(VLOOKUP($AP155,Programma!$F$3:$I$1101,4,0),"")</f>
        <v/>
      </c>
      <c r="AT155" s="448" t="str">
        <f>_xlfn.IFNA(VLOOKUP($AP155,Programma!$F$3:$J$1101,5,0),"")</f>
        <v/>
      </c>
      <c r="AU155" s="448" t="str">
        <f>_xlfn.IFNA(VLOOKUP($AP155,Programma!$F$3:$K$1101,6,0),"")</f>
        <v/>
      </c>
      <c r="AV155" s="448" t="str">
        <f>_xlfn.IFNA(VLOOKUP($AP155,Programma!$F$3:$L$1101,7,0),"")</f>
        <v/>
      </c>
      <c r="AW155" s="448" t="str">
        <f>_xlfn.IFNA(VLOOKUP($AP155,Programma!$F$3:$M$1101,8,0),"")</f>
        <v/>
      </c>
      <c r="AX155" s="448" t="str">
        <f>_xlfn.IFNA(VLOOKUP($AP155,Programma!$F$3:$N$1101,9,0),"")</f>
        <v/>
      </c>
      <c r="AY155" s="448" t="str">
        <f>_xlfn.IFNA(VLOOKUP($AP155,Programma!$F$3:$O$1101,10,0),"")</f>
        <v/>
      </c>
      <c r="AZ155" s="448" t="str">
        <f>_xlfn.IFNA(VLOOKUP($AP155,Programma!$F$3:$P$1101,11,0),"")</f>
        <v/>
      </c>
      <c r="BA155" s="448" t="str">
        <f>_xlfn.IFNA(VLOOKUP($AP155,Programma!$F$3:$Q$1101,12,0),"")</f>
        <v/>
      </c>
      <c r="BB155" s="448" t="str">
        <f>_xlfn.IFNA(VLOOKUP($AP155,Programma!$F$3:$R$1101,13,0),"")</f>
        <v/>
      </c>
      <c r="BC155" s="448" t="str">
        <f>_xlfn.IFNA(VLOOKUP($AP155,Programma!$F$3:$S$1101,14,0),"")</f>
        <v/>
      </c>
      <c r="BD155" s="448" t="str">
        <f>_xlfn.IFNA(VLOOKUP($AP155,Programma!$F$3:$T$1101,15,0),"")</f>
        <v/>
      </c>
      <c r="BE155" s="448" t="str">
        <f>_xlfn.IFNA(VLOOKUP($AP155,Programma!$F$3:$U$1101,16,0),"")</f>
        <v/>
      </c>
      <c r="BF155" s="448" t="str">
        <f>_xlfn.IFNA(VLOOKUP($AP155,Programma!$F$3:$V$1101,17,0),"")</f>
        <v/>
      </c>
      <c r="BG155" s="448" t="str">
        <f>_xlfn.IFNA(VLOOKUP($AP155,Programma!$F$3:$W$1101,18,0),"")</f>
        <v/>
      </c>
      <c r="BH155" s="448" t="str">
        <f>_xlfn.IFNA(VLOOKUP($AP155,Programma!$F$3:$X$1101,19,0),"")</f>
        <v/>
      </c>
      <c r="BI155" s="448" t="str">
        <f>_xlfn.IFNA(VLOOKUP($AP155,Programma!$F$3:$Y$1101,20,0),"")</f>
        <v/>
      </c>
      <c r="BJ155" s="449"/>
      <c r="BK155" s="447" t="str">
        <f>IF(Ruimtestaat[[#This Row],[Frequentie weekend]]="","",_xlfn.CONCAT(Ruimtestaat[[#This Row],[Ruimte code]],"-",Ruimtestaat[[#This Row],[Frequentie weekend]]," ",Ruimtestaat[[#This Row],[Vloer code]]))</f>
        <v/>
      </c>
      <c r="BL155" s="448" t="str">
        <f>_xlfn.IFNA(VLOOKUP($BK155,Programma!$F$3:$G$1101,2,0),"")</f>
        <v/>
      </c>
      <c r="BM155" s="448" t="str">
        <f>_xlfn.IFNA(VLOOKUP($BK155,Programma!$F$3:$H$1101,3,0),"")</f>
        <v/>
      </c>
      <c r="BN155" s="448" t="str">
        <f>_xlfn.IFNA(VLOOKUP($BK155,Programma!$F$3:$I$1101,4,0),"")</f>
        <v/>
      </c>
      <c r="BO155" s="448" t="str">
        <f>_xlfn.IFNA(VLOOKUP($BK155,Programma!$F$3:$J$1101,5,0),"")</f>
        <v/>
      </c>
      <c r="BP155" s="448" t="str">
        <f>_xlfn.IFNA(VLOOKUP($BK155,Programma!$F$3:$K$1101,6,0),"")</f>
        <v/>
      </c>
      <c r="BQ155" s="448" t="str">
        <f>_xlfn.IFNA(VLOOKUP($BK155,Programma!$F$3:$L$1101,7,0),"")</f>
        <v/>
      </c>
      <c r="BR155" s="448" t="str">
        <f>_xlfn.IFNA(VLOOKUP($BK155,Programma!$F$3:$M$1101,8,0),"")</f>
        <v/>
      </c>
      <c r="BS155" s="448" t="str">
        <f>_xlfn.IFNA(VLOOKUP($BK155,Programma!$F$3:$N$1101,9,0),"")</f>
        <v/>
      </c>
      <c r="BT155" s="448" t="str">
        <f>_xlfn.IFNA(VLOOKUP($BK155,Programma!$F$3:$O$1101,10,0),"")</f>
        <v/>
      </c>
      <c r="BU155" s="448" t="str">
        <f>_xlfn.IFNA(VLOOKUP($BK155,Programma!$F$3:$P$1101,11,0),"")</f>
        <v/>
      </c>
      <c r="BV155" s="448" t="str">
        <f>_xlfn.IFNA(VLOOKUP($BK155,Programma!$F$3:$Q$1101,12,0),"")</f>
        <v/>
      </c>
      <c r="BW155" s="448" t="str">
        <f>_xlfn.IFNA(VLOOKUP($BK155,Programma!$F$3:$R$1101,13,0),"")</f>
        <v/>
      </c>
      <c r="BX155" s="448" t="str">
        <f>_xlfn.IFNA(VLOOKUP($BK155,Programma!$F$3:$S$1101,14,0),"")</f>
        <v/>
      </c>
      <c r="BY155" s="448" t="str">
        <f>_xlfn.IFNA(VLOOKUP($BK155,Programma!$F$3:$T$1101,15,0),"")</f>
        <v/>
      </c>
      <c r="BZ155" s="448" t="str">
        <f>_xlfn.IFNA(VLOOKUP($BK155,Programma!$F$3:$U$1101,16,0),"")</f>
        <v/>
      </c>
      <c r="CA155" s="448" t="str">
        <f>_xlfn.IFNA(VLOOKUP($BK155,Programma!$F$3:$V$1101,17,0),"")</f>
        <v/>
      </c>
      <c r="CB155" s="448" t="str">
        <f>_xlfn.IFNA(VLOOKUP($BK155,Programma!$F$3:$W$1101,18,0),"")</f>
        <v/>
      </c>
      <c r="CC155" s="448" t="str">
        <f>_xlfn.IFNA(VLOOKUP($BK155,Programma!$F$3:$X$1101,19,0),"")</f>
        <v/>
      </c>
      <c r="CD155" s="448" t="str">
        <f>_xlfn.IFNA(VLOOKUP($BK155,Programma!$F$3:$Y$1101,20,0),"")</f>
        <v/>
      </c>
      <c r="CE155" s="327"/>
      <c r="CF155" s="327"/>
      <c r="CG155" s="327"/>
      <c r="CH155" s="327"/>
      <c r="CI155" s="327"/>
      <c r="CJ155" s="327"/>
      <c r="CK155" s="327"/>
      <c r="CL155" s="327"/>
      <c r="CM155" s="327"/>
      <c r="CN155" s="327"/>
      <c r="CO155" s="327"/>
      <c r="CP155" s="327"/>
      <c r="CQ155" s="327"/>
      <c r="CR155" s="327"/>
      <c r="CS155" s="327"/>
      <c r="CT155" s="327"/>
      <c r="CU155" s="327"/>
      <c r="CV155" s="327"/>
      <c r="CW155" s="327"/>
      <c r="CX155" s="327"/>
      <c r="CY155" s="327"/>
      <c r="CZ155" s="327"/>
      <c r="DA155" s="327"/>
      <c r="DB155" s="327"/>
      <c r="DC155" s="327"/>
      <c r="DD155" s="327"/>
      <c r="DE155" s="327"/>
      <c r="DF155" s="327"/>
      <c r="DG155" s="327"/>
      <c r="DH155" s="327"/>
      <c r="DI155" s="327"/>
      <c r="DJ155" s="327"/>
      <c r="DK155" s="327"/>
      <c r="DL155" s="327"/>
      <c r="DM155" s="327"/>
      <c r="DN155" s="327"/>
      <c r="DO155" s="327"/>
      <c r="DP155" s="327"/>
      <c r="DQ155" s="327"/>
      <c r="DR155" s="327"/>
      <c r="DS155" s="327"/>
      <c r="DT155" s="327"/>
      <c r="DU155" s="327"/>
      <c r="DV155" s="327"/>
      <c r="DW155" s="327"/>
      <c r="DX155" s="327"/>
      <c r="DY155" s="327"/>
      <c r="DZ155" s="327"/>
      <c r="EA155" s="327"/>
      <c r="EB155" s="327"/>
      <c r="EC155" s="327"/>
      <c r="ED155" s="327"/>
      <c r="EE155" s="327"/>
      <c r="EF155" s="327"/>
      <c r="EG155" s="327"/>
      <c r="EH155" s="327"/>
      <c r="EI155" s="327"/>
      <c r="EJ155" s="327"/>
      <c r="EK155" s="327"/>
      <c r="EL155" s="327"/>
      <c r="EM155" s="327"/>
      <c r="EN155" s="327"/>
      <c r="EO155" s="327"/>
      <c r="EP155" s="327"/>
      <c r="EQ155" s="327"/>
      <c r="ER155" s="327"/>
      <c r="ES155" s="327"/>
      <c r="ET155" s="327"/>
      <c r="EU155" s="327"/>
      <c r="EV155" s="327"/>
      <c r="EW155" s="327"/>
      <c r="EX155" s="327"/>
      <c r="EY155" s="327"/>
      <c r="EZ155" s="327"/>
      <c r="FA155" s="327"/>
      <c r="FB155" s="327"/>
      <c r="FC155" s="327"/>
      <c r="FD155" s="327"/>
      <c r="FE155" s="327"/>
      <c r="FF155" s="327"/>
      <c r="FG155" s="327"/>
      <c r="FH155" s="327"/>
      <c r="FI155" s="327"/>
      <c r="FJ155" s="327"/>
      <c r="FK155" s="327"/>
      <c r="FL155" s="327"/>
      <c r="FM155" s="327"/>
      <c r="FN155" s="327"/>
      <c r="FO155" s="327"/>
      <c r="FP155" s="327"/>
      <c r="FQ155" s="327"/>
      <c r="FR155" s="327"/>
      <c r="FS155" s="327"/>
      <c r="FT155" s="327"/>
      <c r="FU155" s="327"/>
      <c r="FV155" s="327"/>
      <c r="FW155" s="327"/>
      <c r="FX155" s="327"/>
      <c r="FY155" s="327"/>
      <c r="FZ155" s="327"/>
      <c r="GA155" s="327"/>
      <c r="GB155" s="327"/>
      <c r="GC155" s="327"/>
      <c r="GD155" s="327"/>
      <c r="GE155" s="327"/>
      <c r="GF155" s="327"/>
      <c r="GG155" s="327"/>
      <c r="GH155" s="327"/>
      <c r="GI155" s="327"/>
      <c r="GJ155" s="327"/>
      <c r="GK155" s="327"/>
      <c r="GL155" s="327"/>
      <c r="GM155" s="327"/>
      <c r="GN155" s="327"/>
      <c r="GO155" s="327"/>
      <c r="GP155" s="327"/>
      <c r="GQ155" s="327"/>
      <c r="GR155" s="327"/>
      <c r="GS155" s="327"/>
      <c r="GT155" s="327"/>
      <c r="GU155" s="327"/>
      <c r="GV155" s="327"/>
      <c r="GW155" s="327"/>
      <c r="GX155" s="327"/>
      <c r="GY155" s="327"/>
      <c r="GZ155" s="327"/>
      <c r="HA155" s="327"/>
      <c r="HB155" s="327"/>
      <c r="HC155" s="327"/>
      <c r="HD155" s="327"/>
      <c r="HE155" s="327"/>
      <c r="HF155" s="327"/>
      <c r="HG155" s="327"/>
      <c r="HH155" s="327"/>
      <c r="HI155" s="327"/>
      <c r="HJ155" s="327"/>
      <c r="HK155" s="327"/>
      <c r="HL155" s="327"/>
      <c r="HM155" s="327"/>
      <c r="HN155" s="327"/>
      <c r="HO155" s="327"/>
      <c r="HP155" s="327"/>
      <c r="HQ155" s="327"/>
      <c r="HR155" s="327"/>
      <c r="HS155" s="327"/>
    </row>
    <row r="156" spans="1:227" ht="15" customHeight="1">
      <c r="A156" s="330">
        <v>7</v>
      </c>
      <c r="B156" s="435" t="str">
        <f>VLOOKUP(Ruimtestaat[[#This Row],[Code]],Locaties[[Code]:[Locatie]],2,FALSE)</f>
        <v>IKC De Baanbreker</v>
      </c>
      <c r="C156" s="435" t="str">
        <f>VLOOKUP(Ruimtestaat[[#This Row],[Code]],Locaties[[#All],[Code]:[Adres]],4,FALSE)</f>
        <v>Lijnbaan 319</v>
      </c>
      <c r="D156" s="435" t="str">
        <f>VLOOKUP(Ruimtestaat[[#This Row],[Code]],Locaties[[#All],[Code]:[Postcode]],5,FALSE)</f>
        <v>2728 AG</v>
      </c>
      <c r="E156" s="435" t="str">
        <f>VLOOKUP(Ruimtestaat[[#This Row],[Code]],Locaties[#All],6,FALSE)</f>
        <v>Zoetermeer</v>
      </c>
      <c r="F156" s="434"/>
      <c r="G156" s="434" t="s">
        <v>1678</v>
      </c>
      <c r="H156" s="330" t="s">
        <v>1701</v>
      </c>
      <c r="I156" s="450" t="s">
        <v>1771</v>
      </c>
      <c r="J156" s="330">
        <v>9</v>
      </c>
      <c r="K156" s="450" t="str">
        <f>VLOOKUP(Ruimtestaat[[#This Row],[Ruimte code]],Ruimtegroepen[[#All],[Code]:[Ruimte omschrijving]],2,FALSE)</f>
        <v>Bibliotheek/OLC</v>
      </c>
      <c r="L156" s="434" t="s">
        <v>100</v>
      </c>
      <c r="M156" s="437" t="s">
        <v>1759</v>
      </c>
      <c r="N156" s="439">
        <v>69</v>
      </c>
      <c r="O156" s="439"/>
      <c r="P156" s="439"/>
      <c r="Q156" s="439"/>
      <c r="R156" s="440" t="str">
        <f>VLOOKUP(Ruimtestaat[[#This Row],[Ruimte code]],Ruimtegroepen[],4,FALSE)</f>
        <v>Le</v>
      </c>
      <c r="S156" s="434">
        <v>40</v>
      </c>
      <c r="T156" s="434" t="s">
        <v>2</v>
      </c>
      <c r="U156" s="434">
        <f>IF(S156&gt;0,IF(RIGHT(Ruimtestaat[[#This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6" s="434">
        <f>IF(U156&gt;0,VLOOKUP($J156,Ruimtegroepen[],3,FALSE)*VLOOKUP($L156,Vloersoorten[],3,FALSE)*VLOOKUP($T156,Frequenties[],3,FALSE)*VLOOKUP($A156,Locaties[],3,FALSE),0)</f>
        <v>0</v>
      </c>
      <c r="W156" s="434">
        <f>Ruimtestaat[[#This Row],[Uitvoeringen werkdagen]]*Ruimtestaat[[#This Row],[Oppervlak (netto)]]</f>
        <v>13800</v>
      </c>
      <c r="X156" s="441">
        <f>IF(V156&gt;0,Ruimtestaat[[#This Row],[Prest. (m2 /jaar) werkdagen]]/Ruimtestaat[[#This Row],[Norm (m2/uur) werkdagen]],0)</f>
        <v>0</v>
      </c>
      <c r="Y156" s="442">
        <f>Ruimtestaat[[#This Row],[Uitvoeringen werkdagen]]*Ruimtestaat[[#This Row],[Gedeeltelijk]]</f>
        <v>0</v>
      </c>
      <c r="Z156" s="443" t="e">
        <f>IF(U156&gt;0,Ruimtestaat[[#This Row],[Prest. (m2 / jaar) werkdagen gedeeld]]/Ruimtestaat[[#This Row],[Norm (m2/uur) werkdagen]],0)</f>
        <v>#DIV/0!</v>
      </c>
      <c r="AA156" s="441" t="e">
        <f>Ruimtestaat[[#This Row],[uren / jaar werkdagen gedeeld]]*Tariefsopbouw!$E$35</f>
        <v>#DIV/0!</v>
      </c>
      <c r="AB156" s="441">
        <f>Ruimtestaat[[#This Row],[Uitvoeringen werkdagen]]*Ruimtestaat[[#This Row],[BSO]]</f>
        <v>0</v>
      </c>
      <c r="AC156" s="443" t="e">
        <f>IF(U156&gt;0,Ruimtestaat[[#This Row],[Prest. (m2 / jaar) werkdagen BSO]]/Ruimtestaat[[#This Row],[Norm (m2/uur) werkdagen]],0)</f>
        <v>#DIV/0!</v>
      </c>
      <c r="AD156" s="443" t="e">
        <f>Ruimtestaat[[#This Row],[uren / jaar werkdagen BSO]]*Tariefsopbouw!$E$35</f>
        <v>#DIV/0!</v>
      </c>
      <c r="AE156" s="444">
        <f>Ruimtestaat[[#This Row],[uren / jaar werkdagen]]*Tariefsopbouw!$E$35</f>
        <v>0</v>
      </c>
      <c r="AF156" s="434"/>
      <c r="AG156" s="434">
        <f>IF(Ruimtestaat[[#This Row],[Frequentie weekend]]&gt;0,VALUE(LEFT(AF156,1))*S156,0)</f>
        <v>0</v>
      </c>
      <c r="AH156" s="445">
        <f>IF($AG156&gt;0,VLOOKUP($J156,Ruimtegroepen[],3,FALSE)*VLOOKUP($L156,Vloersoorten[],3,FALSE)*VLOOKUP($AF156,Frequenties[],3,FALSE)*VLOOKUP(Ruimtestaat[[#This Row],[Code]],Locaties[],3,FALSE),0)</f>
        <v>0</v>
      </c>
      <c r="AI156" s="445">
        <f>Ruimtestaat[[#This Row],[Uitvoeringen weekend]]*Ruimtestaat[[#This Row],[Oppervlak (netto)]]</f>
        <v>0</v>
      </c>
      <c r="AJ156" s="445">
        <f>IF(AH156&gt;0,Ruimtestaat[[#This Row],[Prest. (m2 /jaar) weekend]]/Ruimtestaat[[#This Row],[Norm (m2/uur) weekend]],0)</f>
        <v>0</v>
      </c>
      <c r="AK156" s="444">
        <f>Ruimtestaat[[#This Row],[uren / jaar weekend]]*Tariefsopbouw!$D$40</f>
        <v>0</v>
      </c>
      <c r="AL156" s="441">
        <f>Ruimtestaat[[#This Row],[Prest. (m2 /jaar) weekend]]+Ruimtestaat[[#This Row],[Prest. (m2 /jaar) werkdagen]]</f>
        <v>13800</v>
      </c>
      <c r="AM156" s="441">
        <f>Ruimtestaat[[#This Row],[uren / jaar weekend]]+Ruimtestaat[[#This Row],[uren / jaar werkdagen]]</f>
        <v>0</v>
      </c>
      <c r="AN156" s="446">
        <f>Ruimtestaat[[#This Row],[kosten / jaar weekend]]+Ruimtestaat[[#This Row],[kosten / jaar werkdagen]]</f>
        <v>0</v>
      </c>
      <c r="AO156" s="446"/>
      <c r="AP156" s="447" t="str">
        <f>IF(Ruimtestaat[[#This Row],[Frequentie werkdagen]]="","",_xlfn.CONCAT(Ruimtestaat[[#This Row],[Ruimte code]],"-",Ruimtestaat[[#This Row],[Frequentie werkdagen]]," ",Ruimtestaat[[#This Row],[Vloer code]]))</f>
        <v>9-5w L</v>
      </c>
      <c r="AQ156" s="448" t="str">
        <f>_xlfn.IFNA(VLOOKUP($AP156,Programma!$F$3:$G$1101,2,0),"")</f>
        <v>_</v>
      </c>
      <c r="AR156" s="448" t="str">
        <f>_xlfn.IFNA(VLOOKUP($AP156,Programma!$F$3:$H$1101,3,0),"")</f>
        <v>_</v>
      </c>
      <c r="AS156" s="448" t="str">
        <f>_xlfn.IFNA(VLOOKUP($AP156,Programma!$F$3:$I$1101,4,0),"")</f>
        <v>4w</v>
      </c>
      <c r="AT156" s="448" t="str">
        <f>_xlfn.IFNA(VLOOKUP($AP156,Programma!$F$3:$J$1101,5,0),"")</f>
        <v>1w</v>
      </c>
      <c r="AU156" s="448" t="str">
        <f>_xlfn.IFNA(VLOOKUP($AP156,Programma!$F$3:$K$1101,6,0),"")</f>
        <v>_</v>
      </c>
      <c r="AV156" s="448" t="str">
        <f>_xlfn.IFNA(VLOOKUP($AP156,Programma!$F$3:$L$1101,7,0),"")</f>
        <v>_</v>
      </c>
      <c r="AW156" s="448" t="str">
        <f>_xlfn.IFNA(VLOOKUP($AP156,Programma!$F$3:$M$1101,8,0),"")</f>
        <v>_</v>
      </c>
      <c r="AX156" s="448" t="str">
        <f>_xlfn.IFNA(VLOOKUP($AP156,Programma!$F$3:$N$1101,9,0),"")</f>
        <v>_</v>
      </c>
      <c r="AY156" s="448" t="str">
        <f>_xlfn.IFNA(VLOOKUP($AP156,Programma!$F$3:$O$1101,10,0),"")</f>
        <v>5w</v>
      </c>
      <c r="AZ156" s="448" t="str">
        <f>_xlfn.IFNA(VLOOKUP($AP156,Programma!$F$3:$P$1101,11,0),"")</f>
        <v>5w</v>
      </c>
      <c r="BA156" s="448" t="str">
        <f>_xlfn.IFNA(VLOOKUP($AP156,Programma!$F$3:$Q$1101,12,0),"")</f>
        <v>1w</v>
      </c>
      <c r="BB156" s="448" t="str">
        <f>_xlfn.IFNA(VLOOKUP($AP156,Programma!$F$3:$R$1101,13,0),"")</f>
        <v>1w</v>
      </c>
      <c r="BC156" s="448" t="str">
        <f>_xlfn.IFNA(VLOOKUP($AP156,Programma!$F$3:$S$1101,14,0),"")</f>
        <v>1m</v>
      </c>
      <c r="BD156" s="448" t="str">
        <f>_xlfn.IFNA(VLOOKUP($AP156,Programma!$F$3:$T$1101,15,0),"")</f>
        <v>2j</v>
      </c>
      <c r="BE156" s="448" t="str">
        <f>_xlfn.IFNA(VLOOKUP($AP156,Programma!$F$3:$U$1101,16,0),"")</f>
        <v>1j</v>
      </c>
      <c r="BF156" s="448" t="str">
        <f>_xlfn.IFNA(VLOOKUP($AP156,Programma!$F$3:$V$1101,17,0),"")</f>
        <v>_</v>
      </c>
      <c r="BG156" s="448" t="str">
        <f>_xlfn.IFNA(VLOOKUP($AP156,Programma!$F$3:$W$1101,18,0),"")</f>
        <v>_</v>
      </c>
      <c r="BH156" s="448" t="str">
        <f>_xlfn.IFNA(VLOOKUP($AP156,Programma!$F$3:$X$1101,19,0),"")</f>
        <v>_</v>
      </c>
      <c r="BI156" s="448" t="str">
        <f>_xlfn.IFNA(VLOOKUP($AP156,Programma!$F$3:$Y$1101,20,0),"")</f>
        <v>_</v>
      </c>
      <c r="BJ156" s="449"/>
      <c r="BK156" s="447" t="str">
        <f>IF(Ruimtestaat[[#This Row],[Frequentie weekend]]="","",_xlfn.CONCAT(Ruimtestaat[[#This Row],[Ruimte code]],"-",Ruimtestaat[[#This Row],[Frequentie weekend]]," ",Ruimtestaat[[#This Row],[Vloer code]]))</f>
        <v/>
      </c>
      <c r="BL156" s="448" t="str">
        <f>_xlfn.IFNA(VLOOKUP($BK156,Programma!$F$3:$G$1101,2,0),"")</f>
        <v/>
      </c>
      <c r="BM156" s="448" t="str">
        <f>_xlfn.IFNA(VLOOKUP($BK156,Programma!$F$3:$H$1101,3,0),"")</f>
        <v/>
      </c>
      <c r="BN156" s="448" t="str">
        <f>_xlfn.IFNA(VLOOKUP($BK156,Programma!$F$3:$I$1101,4,0),"")</f>
        <v/>
      </c>
      <c r="BO156" s="448" t="str">
        <f>_xlfn.IFNA(VLOOKUP($BK156,Programma!$F$3:$J$1101,5,0),"")</f>
        <v/>
      </c>
      <c r="BP156" s="448" t="str">
        <f>_xlfn.IFNA(VLOOKUP($BK156,Programma!$F$3:$K$1101,6,0),"")</f>
        <v/>
      </c>
      <c r="BQ156" s="448" t="str">
        <f>_xlfn.IFNA(VLOOKUP($BK156,Programma!$F$3:$L$1101,7,0),"")</f>
        <v/>
      </c>
      <c r="BR156" s="448" t="str">
        <f>_xlfn.IFNA(VLOOKUP($BK156,Programma!$F$3:$M$1101,8,0),"")</f>
        <v/>
      </c>
      <c r="BS156" s="448" t="str">
        <f>_xlfn.IFNA(VLOOKUP($BK156,Programma!$F$3:$N$1101,9,0),"")</f>
        <v/>
      </c>
      <c r="BT156" s="448" t="str">
        <f>_xlfn.IFNA(VLOOKUP($BK156,Programma!$F$3:$O$1101,10,0),"")</f>
        <v/>
      </c>
      <c r="BU156" s="448" t="str">
        <f>_xlfn.IFNA(VLOOKUP($BK156,Programma!$F$3:$P$1101,11,0),"")</f>
        <v/>
      </c>
      <c r="BV156" s="448" t="str">
        <f>_xlfn.IFNA(VLOOKUP($BK156,Programma!$F$3:$Q$1101,12,0),"")</f>
        <v/>
      </c>
      <c r="BW156" s="448" t="str">
        <f>_xlfn.IFNA(VLOOKUP($BK156,Programma!$F$3:$R$1101,13,0),"")</f>
        <v/>
      </c>
      <c r="BX156" s="448" t="str">
        <f>_xlfn.IFNA(VLOOKUP($BK156,Programma!$F$3:$S$1101,14,0),"")</f>
        <v/>
      </c>
      <c r="BY156" s="448" t="str">
        <f>_xlfn.IFNA(VLOOKUP($BK156,Programma!$F$3:$T$1101,15,0),"")</f>
        <v/>
      </c>
      <c r="BZ156" s="448" t="str">
        <f>_xlfn.IFNA(VLOOKUP($BK156,Programma!$F$3:$U$1101,16,0),"")</f>
        <v/>
      </c>
      <c r="CA156" s="448" t="str">
        <f>_xlfn.IFNA(VLOOKUP($BK156,Programma!$F$3:$V$1101,17,0),"")</f>
        <v/>
      </c>
      <c r="CB156" s="448" t="str">
        <f>_xlfn.IFNA(VLOOKUP($BK156,Programma!$F$3:$W$1101,18,0),"")</f>
        <v/>
      </c>
      <c r="CC156" s="448" t="str">
        <f>_xlfn.IFNA(VLOOKUP($BK156,Programma!$F$3:$X$1101,19,0),"")</f>
        <v/>
      </c>
      <c r="CD156" s="448" t="str">
        <f>_xlfn.IFNA(VLOOKUP($BK156,Programma!$F$3:$Y$1101,20,0),"")</f>
        <v/>
      </c>
      <c r="CE156" s="327"/>
      <c r="CF156" s="327"/>
      <c r="CG156" s="327"/>
      <c r="CH156" s="327"/>
      <c r="CI156" s="327"/>
      <c r="CJ156" s="327"/>
      <c r="CK156" s="327"/>
      <c r="CL156" s="327"/>
      <c r="CM156" s="327"/>
      <c r="CN156" s="327"/>
      <c r="CO156" s="327"/>
      <c r="CP156" s="327"/>
      <c r="CQ156" s="327"/>
      <c r="CR156" s="327"/>
      <c r="CS156" s="327"/>
      <c r="CT156" s="327"/>
      <c r="CU156" s="327"/>
      <c r="CV156" s="327"/>
      <c r="CW156" s="327"/>
      <c r="CX156" s="327"/>
      <c r="CY156" s="327"/>
      <c r="CZ156" s="327"/>
      <c r="DA156" s="327"/>
      <c r="DB156" s="327"/>
      <c r="DC156" s="327"/>
      <c r="DD156" s="327"/>
      <c r="DE156" s="327"/>
      <c r="DF156" s="327"/>
      <c r="DG156" s="327"/>
      <c r="DH156" s="327"/>
      <c r="DI156" s="327"/>
      <c r="DJ156" s="327"/>
      <c r="DK156" s="327"/>
      <c r="DL156" s="327"/>
      <c r="DM156" s="327"/>
      <c r="DN156" s="327"/>
      <c r="DO156" s="327"/>
      <c r="DP156" s="327"/>
      <c r="DQ156" s="327"/>
      <c r="DR156" s="327"/>
      <c r="DS156" s="327"/>
      <c r="DT156" s="327"/>
      <c r="DU156" s="327"/>
      <c r="DV156" s="327"/>
      <c r="DW156" s="327"/>
      <c r="DX156" s="327"/>
      <c r="DY156" s="327"/>
      <c r="DZ156" s="327"/>
      <c r="EA156" s="327"/>
      <c r="EB156" s="327"/>
      <c r="EC156" s="327"/>
      <c r="ED156" s="327"/>
      <c r="EE156" s="327"/>
      <c r="EF156" s="327"/>
      <c r="EG156" s="327"/>
      <c r="EH156" s="327"/>
      <c r="EI156" s="327"/>
      <c r="EJ156" s="327"/>
      <c r="EK156" s="327"/>
      <c r="EL156" s="327"/>
      <c r="EM156" s="327"/>
      <c r="EN156" s="327"/>
      <c r="EO156" s="327"/>
      <c r="EP156" s="327"/>
      <c r="EQ156" s="327"/>
      <c r="ER156" s="327"/>
      <c r="ES156" s="327"/>
      <c r="ET156" s="327"/>
      <c r="EU156" s="327"/>
      <c r="EV156" s="327"/>
      <c r="EW156" s="327"/>
      <c r="EX156" s="327"/>
      <c r="EY156" s="327"/>
      <c r="EZ156" s="327"/>
      <c r="FA156" s="327"/>
      <c r="FB156" s="327"/>
      <c r="FC156" s="327"/>
      <c r="FD156" s="327"/>
      <c r="FE156" s="327"/>
      <c r="FF156" s="327"/>
      <c r="FG156" s="327"/>
      <c r="FH156" s="327"/>
      <c r="FI156" s="327"/>
      <c r="FJ156" s="327"/>
      <c r="FK156" s="327"/>
      <c r="FL156" s="327"/>
      <c r="FM156" s="327"/>
      <c r="FN156" s="327"/>
      <c r="FO156" s="327"/>
      <c r="FP156" s="327"/>
      <c r="FQ156" s="327"/>
      <c r="FR156" s="327"/>
      <c r="FS156" s="327"/>
      <c r="FT156" s="327"/>
      <c r="FU156" s="327"/>
      <c r="FV156" s="327"/>
      <c r="FW156" s="327"/>
      <c r="FX156" s="327"/>
      <c r="FY156" s="327"/>
      <c r="FZ156" s="327"/>
      <c r="GA156" s="327"/>
      <c r="GB156" s="327"/>
      <c r="GC156" s="327"/>
      <c r="GD156" s="327"/>
      <c r="GE156" s="327"/>
      <c r="GF156" s="327"/>
      <c r="GG156" s="327"/>
      <c r="GH156" s="327"/>
      <c r="GI156" s="327"/>
      <c r="GJ156" s="327"/>
      <c r="GK156" s="327"/>
      <c r="GL156" s="327"/>
      <c r="GM156" s="327"/>
      <c r="GN156" s="327"/>
      <c r="GO156" s="327"/>
      <c r="GP156" s="327"/>
      <c r="GQ156" s="327"/>
      <c r="GR156" s="327"/>
      <c r="GS156" s="327"/>
      <c r="GT156" s="327"/>
      <c r="GU156" s="327"/>
      <c r="GV156" s="327"/>
      <c r="GW156" s="327"/>
      <c r="GX156" s="327"/>
      <c r="GY156" s="327"/>
      <c r="GZ156" s="327"/>
      <c r="HA156" s="327"/>
      <c r="HB156" s="327"/>
      <c r="HC156" s="327"/>
      <c r="HD156" s="327"/>
      <c r="HE156" s="327"/>
      <c r="HF156" s="327"/>
      <c r="HG156" s="327"/>
      <c r="HH156" s="327"/>
      <c r="HI156" s="327"/>
      <c r="HJ156" s="327"/>
      <c r="HK156" s="327"/>
      <c r="HL156" s="327"/>
      <c r="HM156" s="327"/>
      <c r="HN156" s="327"/>
      <c r="HO156" s="327"/>
      <c r="HP156" s="327"/>
      <c r="HQ156" s="327"/>
      <c r="HR156" s="327"/>
      <c r="HS156" s="327"/>
    </row>
    <row r="157" spans="1:227" ht="15" customHeight="1">
      <c r="A157" s="330">
        <v>7</v>
      </c>
      <c r="B157" s="435" t="str">
        <f>VLOOKUP(Ruimtestaat[[#This Row],[Code]],Locaties[[Code]:[Locatie]],2,FALSE)</f>
        <v>IKC De Baanbreker</v>
      </c>
      <c r="C157" s="435" t="str">
        <f>VLOOKUP(Ruimtestaat[[#This Row],[Code]],Locaties[[#All],[Code]:[Adres]],4,FALSE)</f>
        <v>Lijnbaan 319</v>
      </c>
      <c r="D157" s="435" t="str">
        <f>VLOOKUP(Ruimtestaat[[#This Row],[Code]],Locaties[[#All],[Code]:[Postcode]],5,FALSE)</f>
        <v>2728 AG</v>
      </c>
      <c r="E157" s="435" t="str">
        <f>VLOOKUP(Ruimtestaat[[#This Row],[Code]],Locaties[#All],6,FALSE)</f>
        <v>Zoetermeer</v>
      </c>
      <c r="F157" s="434"/>
      <c r="G157" s="434" t="s">
        <v>1678</v>
      </c>
      <c r="H157" s="330" t="s">
        <v>1683</v>
      </c>
      <c r="I157" s="450" t="s">
        <v>1772</v>
      </c>
      <c r="J157" s="330">
        <v>6</v>
      </c>
      <c r="K157" s="450" t="str">
        <f>VLOOKUP(Ruimtestaat[[#This Row],[Ruimte code]],Ruimtegroepen[[#All],[Code]:[Ruimte omschrijving]],2,FALSE)</f>
        <v>Gangen/hallen</v>
      </c>
      <c r="L157" s="434" t="s">
        <v>100</v>
      </c>
      <c r="M157" s="437" t="s">
        <v>1759</v>
      </c>
      <c r="N157" s="439">
        <v>107</v>
      </c>
      <c r="O157" s="439"/>
      <c r="P157" s="439"/>
      <c r="Q157" s="439"/>
      <c r="R157" s="440" t="str">
        <f>VLOOKUP(Ruimtestaat[[#This Row],[Ruimte code]],Ruimtegroepen[],4,FALSE)</f>
        <v>Ve</v>
      </c>
      <c r="S157" s="434">
        <v>41</v>
      </c>
      <c r="T157" s="434" t="s">
        <v>2</v>
      </c>
      <c r="U157" s="434">
        <f>IF(S157&gt;0,IF(RIGHT(Ruimtestaat[[#This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57" s="434">
        <f>IF(U157&gt;0,VLOOKUP($J157,Ruimtegroepen[],3,FALSE)*VLOOKUP($L157,Vloersoorten[],3,FALSE)*VLOOKUP($T157,Frequenties[],3,FALSE)*VLOOKUP($A157,Locaties[],3,FALSE),0)</f>
        <v>0</v>
      </c>
      <c r="W157" s="434">
        <f>Ruimtestaat[[#This Row],[Uitvoeringen werkdagen]]*Ruimtestaat[[#This Row],[Oppervlak (netto)]]</f>
        <v>21935</v>
      </c>
      <c r="X157" s="441">
        <f>IF(V157&gt;0,Ruimtestaat[[#This Row],[Prest. (m2 /jaar) werkdagen]]/Ruimtestaat[[#This Row],[Norm (m2/uur) werkdagen]],0)</f>
        <v>0</v>
      </c>
      <c r="Y157" s="442">
        <f>Ruimtestaat[[#This Row],[Uitvoeringen werkdagen]]*Ruimtestaat[[#This Row],[Gedeeltelijk]]</f>
        <v>0</v>
      </c>
      <c r="Z157" s="443" t="e">
        <f>IF(U157&gt;0,Ruimtestaat[[#This Row],[Prest. (m2 / jaar) werkdagen gedeeld]]/Ruimtestaat[[#This Row],[Norm (m2/uur) werkdagen]],0)</f>
        <v>#DIV/0!</v>
      </c>
      <c r="AA157" s="441" t="e">
        <f>Ruimtestaat[[#This Row],[uren / jaar werkdagen gedeeld]]*Tariefsopbouw!$E$35</f>
        <v>#DIV/0!</v>
      </c>
      <c r="AB157" s="441">
        <f>Ruimtestaat[[#This Row],[Uitvoeringen werkdagen]]*Ruimtestaat[[#This Row],[BSO]]</f>
        <v>0</v>
      </c>
      <c r="AC157" s="443" t="e">
        <f>IF(U157&gt;0,Ruimtestaat[[#This Row],[Prest. (m2 / jaar) werkdagen BSO]]/Ruimtestaat[[#This Row],[Norm (m2/uur) werkdagen]],0)</f>
        <v>#DIV/0!</v>
      </c>
      <c r="AD157" s="443" t="e">
        <f>Ruimtestaat[[#This Row],[uren / jaar werkdagen BSO]]*Tariefsopbouw!$E$35</f>
        <v>#DIV/0!</v>
      </c>
      <c r="AE157" s="444">
        <f>Ruimtestaat[[#This Row],[uren / jaar werkdagen]]*Tariefsopbouw!$E$35</f>
        <v>0</v>
      </c>
      <c r="AF157" s="434"/>
      <c r="AG157" s="434">
        <f>IF(Ruimtestaat[[#This Row],[Frequentie weekend]]&gt;0,VALUE(LEFT(AF157,1))*S157,0)</f>
        <v>0</v>
      </c>
      <c r="AH157" s="445">
        <f>IF($AG157&gt;0,VLOOKUP($J157,Ruimtegroepen[],3,FALSE)*VLOOKUP($L157,Vloersoorten[],3,FALSE)*VLOOKUP($AF157,Frequenties[],3,FALSE)*VLOOKUP(Ruimtestaat[[#This Row],[Code]],Locaties[],3,FALSE),0)</f>
        <v>0</v>
      </c>
      <c r="AI157" s="445">
        <f>Ruimtestaat[[#This Row],[Uitvoeringen weekend]]*Ruimtestaat[[#This Row],[Oppervlak (netto)]]</f>
        <v>0</v>
      </c>
      <c r="AJ157" s="445">
        <f>IF(AH157&gt;0,Ruimtestaat[[#This Row],[Prest. (m2 /jaar) weekend]]/Ruimtestaat[[#This Row],[Norm (m2/uur) weekend]],0)</f>
        <v>0</v>
      </c>
      <c r="AK157" s="444">
        <f>Ruimtestaat[[#This Row],[uren / jaar weekend]]*Tariefsopbouw!$D$40</f>
        <v>0</v>
      </c>
      <c r="AL157" s="441">
        <f>Ruimtestaat[[#This Row],[Prest. (m2 /jaar) weekend]]+Ruimtestaat[[#This Row],[Prest. (m2 /jaar) werkdagen]]</f>
        <v>21935</v>
      </c>
      <c r="AM157" s="441">
        <f>Ruimtestaat[[#This Row],[uren / jaar weekend]]+Ruimtestaat[[#This Row],[uren / jaar werkdagen]]</f>
        <v>0</v>
      </c>
      <c r="AN157" s="446">
        <f>Ruimtestaat[[#This Row],[kosten / jaar weekend]]+Ruimtestaat[[#This Row],[kosten / jaar werkdagen]]</f>
        <v>0</v>
      </c>
      <c r="AO157" s="446"/>
      <c r="AP157" s="447" t="str">
        <f>IF(Ruimtestaat[[#This Row],[Frequentie werkdagen]]="","",_xlfn.CONCAT(Ruimtestaat[[#This Row],[Ruimte code]],"-",Ruimtestaat[[#This Row],[Frequentie werkdagen]]," ",Ruimtestaat[[#This Row],[Vloer code]]))</f>
        <v>6-5w L</v>
      </c>
      <c r="AQ157" s="448" t="str">
        <f>_xlfn.IFNA(VLOOKUP($AP157,Programma!$F$3:$G$1101,2,0),"")</f>
        <v>_</v>
      </c>
      <c r="AR157" s="448" t="str">
        <f>_xlfn.IFNA(VLOOKUP($AP157,Programma!$F$3:$H$1101,3,0),"")</f>
        <v>_</v>
      </c>
      <c r="AS157" s="448" t="str">
        <f>_xlfn.IFNA(VLOOKUP($AP157,Programma!$F$3:$I$1101,4,0),"")</f>
        <v>_</v>
      </c>
      <c r="AT157" s="448" t="str">
        <f>_xlfn.IFNA(VLOOKUP($AP157,Programma!$F$3:$J$1101,5,0),"")</f>
        <v>5w</v>
      </c>
      <c r="AU157" s="448" t="str">
        <f>_xlfn.IFNA(VLOOKUP($AP157,Programma!$F$3:$K$1101,6,0),"")</f>
        <v>_</v>
      </c>
      <c r="AV157" s="448" t="str">
        <f>_xlfn.IFNA(VLOOKUP($AP157,Programma!$F$3:$L$1101,7,0),"")</f>
        <v>_</v>
      </c>
      <c r="AW157" s="448" t="str">
        <f>_xlfn.IFNA(VLOOKUP($AP157,Programma!$F$3:$M$1101,8,0),"")</f>
        <v>_</v>
      </c>
      <c r="AX157" s="448" t="str">
        <f>_xlfn.IFNA(VLOOKUP($AP157,Programma!$F$3:$N$1101,9,0),"")</f>
        <v>_</v>
      </c>
      <c r="AY157" s="448" t="str">
        <f>_xlfn.IFNA(VLOOKUP($AP157,Programma!$F$3:$O$1101,10,0),"")</f>
        <v>5w</v>
      </c>
      <c r="AZ157" s="448" t="str">
        <f>_xlfn.IFNA(VLOOKUP($AP157,Programma!$F$3:$P$1101,11,0),"")</f>
        <v>5w</v>
      </c>
      <c r="BA157" s="448" t="str">
        <f>_xlfn.IFNA(VLOOKUP($AP157,Programma!$F$3:$Q$1101,12,0),"")</f>
        <v>1w</v>
      </c>
      <c r="BB157" s="448" t="str">
        <f>_xlfn.IFNA(VLOOKUP($AP157,Programma!$F$3:$R$1101,13,0),"")</f>
        <v>1w</v>
      </c>
      <c r="BC157" s="448" t="str">
        <f>_xlfn.IFNA(VLOOKUP($AP157,Programma!$F$3:$S$1101,14,0),"")</f>
        <v>1m</v>
      </c>
      <c r="BD157" s="448" t="str">
        <f>_xlfn.IFNA(VLOOKUP($AP157,Programma!$F$3:$T$1101,15,0),"")</f>
        <v>2j</v>
      </c>
      <c r="BE157" s="448" t="str">
        <f>_xlfn.IFNA(VLOOKUP($AP157,Programma!$F$3:$U$1101,16,0),"")</f>
        <v>1j</v>
      </c>
      <c r="BF157" s="448" t="str">
        <f>_xlfn.IFNA(VLOOKUP($AP157,Programma!$F$3:$V$1101,17,0),"")</f>
        <v>_</v>
      </c>
      <c r="BG157" s="448" t="str">
        <f>_xlfn.IFNA(VLOOKUP($AP157,Programma!$F$3:$W$1101,18,0),"")</f>
        <v>_</v>
      </c>
      <c r="BH157" s="448" t="str">
        <f>_xlfn.IFNA(VLOOKUP($AP157,Programma!$F$3:$X$1101,19,0),"")</f>
        <v>_</v>
      </c>
      <c r="BI157" s="448" t="str">
        <f>_xlfn.IFNA(VLOOKUP($AP157,Programma!$F$3:$Y$1101,20,0),"")</f>
        <v>_</v>
      </c>
      <c r="BJ157" s="449"/>
      <c r="BK157" s="447" t="str">
        <f>IF(Ruimtestaat[[#This Row],[Frequentie weekend]]="","",_xlfn.CONCAT(Ruimtestaat[[#This Row],[Ruimte code]],"-",Ruimtestaat[[#This Row],[Frequentie weekend]]," ",Ruimtestaat[[#This Row],[Vloer code]]))</f>
        <v/>
      </c>
      <c r="BL157" s="448" t="str">
        <f>_xlfn.IFNA(VLOOKUP($BK157,Programma!$F$3:$G$1101,2,0),"")</f>
        <v/>
      </c>
      <c r="BM157" s="448" t="str">
        <f>_xlfn.IFNA(VLOOKUP($BK157,Programma!$F$3:$H$1101,3,0),"")</f>
        <v/>
      </c>
      <c r="BN157" s="448" t="str">
        <f>_xlfn.IFNA(VLOOKUP($BK157,Programma!$F$3:$I$1101,4,0),"")</f>
        <v/>
      </c>
      <c r="BO157" s="448" t="str">
        <f>_xlfn.IFNA(VLOOKUP($BK157,Programma!$F$3:$J$1101,5,0),"")</f>
        <v/>
      </c>
      <c r="BP157" s="448" t="str">
        <f>_xlfn.IFNA(VLOOKUP($BK157,Programma!$F$3:$K$1101,6,0),"")</f>
        <v/>
      </c>
      <c r="BQ157" s="448" t="str">
        <f>_xlfn.IFNA(VLOOKUP($BK157,Programma!$F$3:$L$1101,7,0),"")</f>
        <v/>
      </c>
      <c r="BR157" s="448" t="str">
        <f>_xlfn.IFNA(VLOOKUP($BK157,Programma!$F$3:$M$1101,8,0),"")</f>
        <v/>
      </c>
      <c r="BS157" s="448" t="str">
        <f>_xlfn.IFNA(VLOOKUP($BK157,Programma!$F$3:$N$1101,9,0),"")</f>
        <v/>
      </c>
      <c r="BT157" s="448" t="str">
        <f>_xlfn.IFNA(VLOOKUP($BK157,Programma!$F$3:$O$1101,10,0),"")</f>
        <v/>
      </c>
      <c r="BU157" s="448" t="str">
        <f>_xlfn.IFNA(VLOOKUP($BK157,Programma!$F$3:$P$1101,11,0),"")</f>
        <v/>
      </c>
      <c r="BV157" s="448" t="str">
        <f>_xlfn.IFNA(VLOOKUP($BK157,Programma!$F$3:$Q$1101,12,0),"")</f>
        <v/>
      </c>
      <c r="BW157" s="448" t="str">
        <f>_xlfn.IFNA(VLOOKUP($BK157,Programma!$F$3:$R$1101,13,0),"")</f>
        <v/>
      </c>
      <c r="BX157" s="448" t="str">
        <f>_xlfn.IFNA(VLOOKUP($BK157,Programma!$F$3:$S$1101,14,0),"")</f>
        <v/>
      </c>
      <c r="BY157" s="448" t="str">
        <f>_xlfn.IFNA(VLOOKUP($BK157,Programma!$F$3:$T$1101,15,0),"")</f>
        <v/>
      </c>
      <c r="BZ157" s="448" t="str">
        <f>_xlfn.IFNA(VLOOKUP($BK157,Programma!$F$3:$U$1101,16,0),"")</f>
        <v/>
      </c>
      <c r="CA157" s="448" t="str">
        <f>_xlfn.IFNA(VLOOKUP($BK157,Programma!$F$3:$V$1101,17,0),"")</f>
        <v/>
      </c>
      <c r="CB157" s="448" t="str">
        <f>_xlfn.IFNA(VLOOKUP($BK157,Programma!$F$3:$W$1101,18,0),"")</f>
        <v/>
      </c>
      <c r="CC157" s="448" t="str">
        <f>_xlfn.IFNA(VLOOKUP($BK157,Programma!$F$3:$X$1101,19,0),"")</f>
        <v/>
      </c>
      <c r="CD157" s="448" t="str">
        <f>_xlfn.IFNA(VLOOKUP($BK157,Programma!$F$3:$Y$1101,20,0),"")</f>
        <v/>
      </c>
      <c r="CE157" s="327"/>
      <c r="CF157" s="327"/>
      <c r="CG157" s="327"/>
      <c r="CH157" s="327"/>
      <c r="CI157" s="327"/>
      <c r="CJ157" s="327"/>
      <c r="CK157" s="327"/>
      <c r="CL157" s="327"/>
      <c r="CM157" s="327"/>
      <c r="CN157" s="327"/>
      <c r="CO157" s="327"/>
      <c r="CP157" s="327"/>
      <c r="CQ157" s="327"/>
      <c r="CR157" s="327"/>
      <c r="CS157" s="327"/>
      <c r="CT157" s="327"/>
      <c r="CU157" s="327"/>
      <c r="CV157" s="327"/>
      <c r="CW157" s="327"/>
      <c r="CX157" s="327"/>
      <c r="CY157" s="327"/>
      <c r="CZ157" s="327"/>
      <c r="DA157" s="327"/>
      <c r="DB157" s="327"/>
      <c r="DC157" s="327"/>
      <c r="DD157" s="327"/>
      <c r="DE157" s="327"/>
      <c r="DF157" s="327"/>
      <c r="DG157" s="327"/>
      <c r="DH157" s="327"/>
      <c r="DI157" s="327"/>
      <c r="DJ157" s="327"/>
      <c r="DK157" s="327"/>
      <c r="DL157" s="327"/>
      <c r="DM157" s="327"/>
      <c r="DN157" s="327"/>
      <c r="DO157" s="327"/>
      <c r="DP157" s="327"/>
      <c r="DQ157" s="327"/>
      <c r="DR157" s="327"/>
      <c r="DS157" s="327"/>
      <c r="DT157" s="327"/>
      <c r="DU157" s="327"/>
      <c r="DV157" s="327"/>
      <c r="DW157" s="327"/>
      <c r="DX157" s="327"/>
      <c r="DY157" s="327"/>
      <c r="DZ157" s="327"/>
      <c r="EA157" s="327"/>
      <c r="EB157" s="327"/>
      <c r="EC157" s="327"/>
      <c r="ED157" s="327"/>
      <c r="EE157" s="327"/>
      <c r="EF157" s="327"/>
      <c r="EG157" s="327"/>
      <c r="EH157" s="327"/>
      <c r="EI157" s="327"/>
      <c r="EJ157" s="327"/>
      <c r="EK157" s="327"/>
      <c r="EL157" s="327"/>
      <c r="EM157" s="327"/>
      <c r="EN157" s="327"/>
      <c r="EO157" s="327"/>
      <c r="EP157" s="327"/>
      <c r="EQ157" s="327"/>
      <c r="ER157" s="327"/>
      <c r="ES157" s="327"/>
      <c r="ET157" s="327"/>
      <c r="EU157" s="327"/>
      <c r="EV157" s="327"/>
      <c r="EW157" s="327"/>
      <c r="EX157" s="327"/>
      <c r="EY157" s="327"/>
      <c r="EZ157" s="327"/>
      <c r="FA157" s="327"/>
      <c r="FB157" s="327"/>
      <c r="FC157" s="327"/>
      <c r="FD157" s="327"/>
      <c r="FE157" s="327"/>
      <c r="FF157" s="327"/>
      <c r="FG157" s="327"/>
      <c r="FH157" s="327"/>
      <c r="FI157" s="327"/>
      <c r="FJ157" s="327"/>
      <c r="FK157" s="327"/>
      <c r="FL157" s="327"/>
      <c r="FM157" s="327"/>
      <c r="FN157" s="327"/>
      <c r="FO157" s="327"/>
      <c r="FP157" s="327"/>
      <c r="FQ157" s="327"/>
      <c r="FR157" s="327"/>
      <c r="FS157" s="327"/>
      <c r="FT157" s="327"/>
      <c r="FU157" s="327"/>
      <c r="FV157" s="327"/>
      <c r="FW157" s="327"/>
      <c r="FX157" s="327"/>
      <c r="FY157" s="327"/>
      <c r="FZ157" s="327"/>
      <c r="GA157" s="327"/>
      <c r="GB157" s="327"/>
      <c r="GC157" s="327"/>
      <c r="GD157" s="327"/>
      <c r="GE157" s="327"/>
      <c r="GF157" s="327"/>
      <c r="GG157" s="327"/>
      <c r="GH157" s="327"/>
      <c r="GI157" s="327"/>
      <c r="GJ157" s="327"/>
      <c r="GK157" s="327"/>
      <c r="GL157" s="327"/>
      <c r="GM157" s="327"/>
      <c r="GN157" s="327"/>
      <c r="GO157" s="327"/>
      <c r="GP157" s="327"/>
      <c r="GQ157" s="327"/>
      <c r="GR157" s="327"/>
      <c r="GS157" s="327"/>
      <c r="GT157" s="327"/>
      <c r="GU157" s="327"/>
      <c r="GV157" s="327"/>
      <c r="GW157" s="327"/>
      <c r="GX157" s="327"/>
      <c r="GY157" s="327"/>
      <c r="GZ157" s="327"/>
      <c r="HA157" s="327"/>
      <c r="HB157" s="327"/>
      <c r="HC157" s="327"/>
      <c r="HD157" s="327"/>
      <c r="HE157" s="327"/>
      <c r="HF157" s="327"/>
      <c r="HG157" s="327"/>
      <c r="HH157" s="327"/>
      <c r="HI157" s="327"/>
      <c r="HJ157" s="327"/>
      <c r="HK157" s="327"/>
      <c r="HL157" s="327"/>
      <c r="HM157" s="327"/>
      <c r="HN157" s="327"/>
      <c r="HO157" s="327"/>
      <c r="HP157" s="327"/>
      <c r="HQ157" s="327"/>
      <c r="HR157" s="327"/>
      <c r="HS157" s="327"/>
    </row>
    <row r="158" spans="1:227" ht="15" customHeight="1">
      <c r="A158" s="330">
        <v>7</v>
      </c>
      <c r="B158" s="435" t="str">
        <f>VLOOKUP(Ruimtestaat[[#This Row],[Code]],Locaties[[Code]:[Locatie]],2,FALSE)</f>
        <v>IKC De Baanbreker</v>
      </c>
      <c r="C158" s="435" t="str">
        <f>VLOOKUP(Ruimtestaat[[#This Row],[Code]],Locaties[[#All],[Code]:[Adres]],4,FALSE)</f>
        <v>Lijnbaan 319</v>
      </c>
      <c r="D158" s="435" t="str">
        <f>VLOOKUP(Ruimtestaat[[#This Row],[Code]],Locaties[[#All],[Code]:[Postcode]],5,FALSE)</f>
        <v>2728 AG</v>
      </c>
      <c r="E158" s="435" t="str">
        <f>VLOOKUP(Ruimtestaat[[#This Row],[Code]],Locaties[#All],6,FALSE)</f>
        <v>Zoetermeer</v>
      </c>
      <c r="F158" s="434"/>
      <c r="G158" s="434" t="s">
        <v>1678</v>
      </c>
      <c r="H158" s="330" t="s">
        <v>1761</v>
      </c>
      <c r="I158" s="450" t="s">
        <v>1679</v>
      </c>
      <c r="J158" s="330">
        <v>16</v>
      </c>
      <c r="K158" s="450" t="str">
        <f>VLOOKUP(Ruimtestaat[[#This Row],[Ruimte code]],Ruimtegroepen[[#All],[Code]:[Ruimte omschrijving]],2,FALSE)</f>
        <v>Leslokalen</v>
      </c>
      <c r="L158" s="434" t="s">
        <v>100</v>
      </c>
      <c r="M158" s="437" t="s">
        <v>1759</v>
      </c>
      <c r="N158" s="439">
        <v>54</v>
      </c>
      <c r="O158" s="439"/>
      <c r="P158" s="439"/>
      <c r="Q158" s="439"/>
      <c r="R158" s="440" t="str">
        <f>VLOOKUP(Ruimtestaat[[#This Row],[Ruimte code]],Ruimtegroepen[],4,FALSE)</f>
        <v>Le</v>
      </c>
      <c r="S158" s="434">
        <v>40</v>
      </c>
      <c r="T158" s="434" t="s">
        <v>2</v>
      </c>
      <c r="U158" s="434">
        <f>IF(S158&gt;0,IF(RIGHT(Ruimtestaat[[#This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8" s="434">
        <f>IF(U158&gt;0,VLOOKUP($J158,Ruimtegroepen[],3,FALSE)*VLOOKUP($L158,Vloersoorten[],3,FALSE)*VLOOKUP($T158,Frequenties[],3,FALSE)*VLOOKUP($A158,Locaties[],3,FALSE),0)</f>
        <v>0</v>
      </c>
      <c r="W158" s="434">
        <f>Ruimtestaat[[#This Row],[Uitvoeringen werkdagen]]*Ruimtestaat[[#This Row],[Oppervlak (netto)]]</f>
        <v>10800</v>
      </c>
      <c r="X158" s="441">
        <f>IF(V158&gt;0,Ruimtestaat[[#This Row],[Prest. (m2 /jaar) werkdagen]]/Ruimtestaat[[#This Row],[Norm (m2/uur) werkdagen]],0)</f>
        <v>0</v>
      </c>
      <c r="Y158" s="442">
        <f>Ruimtestaat[[#This Row],[Uitvoeringen werkdagen]]*Ruimtestaat[[#This Row],[Gedeeltelijk]]</f>
        <v>0</v>
      </c>
      <c r="Z158" s="443" t="e">
        <f>IF(U158&gt;0,Ruimtestaat[[#This Row],[Prest. (m2 / jaar) werkdagen gedeeld]]/Ruimtestaat[[#This Row],[Norm (m2/uur) werkdagen]],0)</f>
        <v>#DIV/0!</v>
      </c>
      <c r="AA158" s="441" t="e">
        <f>Ruimtestaat[[#This Row],[uren / jaar werkdagen gedeeld]]*Tariefsopbouw!$E$35</f>
        <v>#DIV/0!</v>
      </c>
      <c r="AB158" s="441">
        <f>Ruimtestaat[[#This Row],[Uitvoeringen werkdagen]]*Ruimtestaat[[#This Row],[BSO]]</f>
        <v>0</v>
      </c>
      <c r="AC158" s="443" t="e">
        <f>IF(U158&gt;0,Ruimtestaat[[#This Row],[Prest. (m2 / jaar) werkdagen BSO]]/Ruimtestaat[[#This Row],[Norm (m2/uur) werkdagen]],0)</f>
        <v>#DIV/0!</v>
      </c>
      <c r="AD158" s="443" t="e">
        <f>Ruimtestaat[[#This Row],[uren / jaar werkdagen BSO]]*Tariefsopbouw!$E$35</f>
        <v>#DIV/0!</v>
      </c>
      <c r="AE158" s="444">
        <f>Ruimtestaat[[#This Row],[uren / jaar werkdagen]]*Tariefsopbouw!$E$35</f>
        <v>0</v>
      </c>
      <c r="AF158" s="434"/>
      <c r="AG158" s="434">
        <f>IF(Ruimtestaat[[#This Row],[Frequentie weekend]]&gt;0,VALUE(LEFT(AF158,1))*S158,0)</f>
        <v>0</v>
      </c>
      <c r="AH158" s="445">
        <f>IF($AG158&gt;0,VLOOKUP($J158,Ruimtegroepen[],3,FALSE)*VLOOKUP($L158,Vloersoorten[],3,FALSE)*VLOOKUP($AF158,Frequenties[],3,FALSE)*VLOOKUP(Ruimtestaat[[#This Row],[Code]],Locaties[],3,FALSE),0)</f>
        <v>0</v>
      </c>
      <c r="AI158" s="445">
        <f>Ruimtestaat[[#This Row],[Uitvoeringen weekend]]*Ruimtestaat[[#This Row],[Oppervlak (netto)]]</f>
        <v>0</v>
      </c>
      <c r="AJ158" s="445">
        <f>IF(AH158&gt;0,Ruimtestaat[[#This Row],[Prest. (m2 /jaar) weekend]]/Ruimtestaat[[#This Row],[Norm (m2/uur) weekend]],0)</f>
        <v>0</v>
      </c>
      <c r="AK158" s="444">
        <f>Ruimtestaat[[#This Row],[uren / jaar weekend]]*Tariefsopbouw!$D$40</f>
        <v>0</v>
      </c>
      <c r="AL158" s="441">
        <f>Ruimtestaat[[#This Row],[Prest. (m2 /jaar) weekend]]+Ruimtestaat[[#This Row],[Prest. (m2 /jaar) werkdagen]]</f>
        <v>10800</v>
      </c>
      <c r="AM158" s="441">
        <f>Ruimtestaat[[#This Row],[uren / jaar weekend]]+Ruimtestaat[[#This Row],[uren / jaar werkdagen]]</f>
        <v>0</v>
      </c>
      <c r="AN158" s="446">
        <f>Ruimtestaat[[#This Row],[kosten / jaar weekend]]+Ruimtestaat[[#This Row],[kosten / jaar werkdagen]]</f>
        <v>0</v>
      </c>
      <c r="AO158" s="446"/>
      <c r="AP158" s="447" t="str">
        <f>IF(Ruimtestaat[[#This Row],[Frequentie werkdagen]]="","",_xlfn.CONCAT(Ruimtestaat[[#This Row],[Ruimte code]],"-",Ruimtestaat[[#This Row],[Frequentie werkdagen]]," ",Ruimtestaat[[#This Row],[Vloer code]]))</f>
        <v>16-5w L</v>
      </c>
      <c r="AQ158" s="448" t="str">
        <f>_xlfn.IFNA(VLOOKUP($AP158,Programma!$F$3:$G$1101,2,0),"")</f>
        <v>_</v>
      </c>
      <c r="AR158" s="448" t="str">
        <f>_xlfn.IFNA(VLOOKUP($AP158,Programma!$F$3:$H$1101,3,0),"")</f>
        <v>_</v>
      </c>
      <c r="AS158" s="448" t="str">
        <f>_xlfn.IFNA(VLOOKUP($AP158,Programma!$F$3:$I$1101,4,0),"")</f>
        <v>4w</v>
      </c>
      <c r="AT158" s="448" t="str">
        <f>_xlfn.IFNA(VLOOKUP($AP158,Programma!$F$3:$J$1101,5,0),"")</f>
        <v>1w</v>
      </c>
      <c r="AU158" s="448" t="str">
        <f>_xlfn.IFNA(VLOOKUP($AP158,Programma!$F$3:$K$1101,6,0),"")</f>
        <v>_</v>
      </c>
      <c r="AV158" s="448" t="str">
        <f>_xlfn.IFNA(VLOOKUP($AP158,Programma!$F$3:$L$1101,7,0),"")</f>
        <v>_</v>
      </c>
      <c r="AW158" s="448" t="str">
        <f>_xlfn.IFNA(VLOOKUP($AP158,Programma!$F$3:$M$1101,8,0),"")</f>
        <v>_</v>
      </c>
      <c r="AX158" s="448" t="str">
        <f>_xlfn.IFNA(VLOOKUP($AP158,Programma!$F$3:$N$1101,9,0),"")</f>
        <v>_</v>
      </c>
      <c r="AY158" s="448" t="str">
        <f>_xlfn.IFNA(VLOOKUP($AP158,Programma!$F$3:$O$1101,10,0),"")</f>
        <v>5w</v>
      </c>
      <c r="AZ158" s="448" t="str">
        <f>_xlfn.IFNA(VLOOKUP($AP158,Programma!$F$3:$P$1101,11,0),"")</f>
        <v>5w</v>
      </c>
      <c r="BA158" s="448" t="str">
        <f>_xlfn.IFNA(VLOOKUP($AP158,Programma!$F$3:$Q$1101,12,0),"")</f>
        <v>1w</v>
      </c>
      <c r="BB158" s="448" t="str">
        <f>_xlfn.IFNA(VLOOKUP($AP158,Programma!$F$3:$R$1101,13,0),"")</f>
        <v>1w</v>
      </c>
      <c r="BC158" s="448" t="str">
        <f>_xlfn.IFNA(VLOOKUP($AP158,Programma!$F$3:$S$1101,14,0),"")</f>
        <v>1m</v>
      </c>
      <c r="BD158" s="448" t="str">
        <f>_xlfn.IFNA(VLOOKUP($AP158,Programma!$F$3:$T$1101,15,0),"")</f>
        <v>2j</v>
      </c>
      <c r="BE158" s="448" t="str">
        <f>_xlfn.IFNA(VLOOKUP($AP158,Programma!$F$3:$U$1101,16,0),"")</f>
        <v>1j</v>
      </c>
      <c r="BF158" s="448" t="str">
        <f>_xlfn.IFNA(VLOOKUP($AP158,Programma!$F$3:$V$1101,17,0),"")</f>
        <v>_</v>
      </c>
      <c r="BG158" s="448" t="str">
        <f>_xlfn.IFNA(VLOOKUP($AP158,Programma!$F$3:$W$1101,18,0),"")</f>
        <v>_</v>
      </c>
      <c r="BH158" s="448" t="str">
        <f>_xlfn.IFNA(VLOOKUP($AP158,Programma!$F$3:$X$1101,19,0),"")</f>
        <v>_</v>
      </c>
      <c r="BI158" s="448" t="str">
        <f>_xlfn.IFNA(VLOOKUP($AP158,Programma!$F$3:$Y$1101,20,0),"")</f>
        <v>_</v>
      </c>
      <c r="BJ158" s="449"/>
      <c r="BK158" s="447" t="str">
        <f>IF(Ruimtestaat[[#This Row],[Frequentie weekend]]="","",_xlfn.CONCAT(Ruimtestaat[[#This Row],[Ruimte code]],"-",Ruimtestaat[[#This Row],[Frequentie weekend]]," ",Ruimtestaat[[#This Row],[Vloer code]]))</f>
        <v/>
      </c>
      <c r="BL158" s="448" t="str">
        <f>_xlfn.IFNA(VLOOKUP($BK158,Programma!$F$3:$G$1101,2,0),"")</f>
        <v/>
      </c>
      <c r="BM158" s="448" t="str">
        <f>_xlfn.IFNA(VLOOKUP($BK158,Programma!$F$3:$H$1101,3,0),"")</f>
        <v/>
      </c>
      <c r="BN158" s="448" t="str">
        <f>_xlfn.IFNA(VLOOKUP($BK158,Programma!$F$3:$I$1101,4,0),"")</f>
        <v/>
      </c>
      <c r="BO158" s="448" t="str">
        <f>_xlfn.IFNA(VLOOKUP($BK158,Programma!$F$3:$J$1101,5,0),"")</f>
        <v/>
      </c>
      <c r="BP158" s="448" t="str">
        <f>_xlfn.IFNA(VLOOKUP($BK158,Programma!$F$3:$K$1101,6,0),"")</f>
        <v/>
      </c>
      <c r="BQ158" s="448" t="str">
        <f>_xlfn.IFNA(VLOOKUP($BK158,Programma!$F$3:$L$1101,7,0),"")</f>
        <v/>
      </c>
      <c r="BR158" s="448" t="str">
        <f>_xlfn.IFNA(VLOOKUP($BK158,Programma!$F$3:$M$1101,8,0),"")</f>
        <v/>
      </c>
      <c r="BS158" s="448" t="str">
        <f>_xlfn.IFNA(VLOOKUP($BK158,Programma!$F$3:$N$1101,9,0),"")</f>
        <v/>
      </c>
      <c r="BT158" s="448" t="str">
        <f>_xlfn.IFNA(VLOOKUP($BK158,Programma!$F$3:$O$1101,10,0),"")</f>
        <v/>
      </c>
      <c r="BU158" s="448" t="str">
        <f>_xlfn.IFNA(VLOOKUP($BK158,Programma!$F$3:$P$1101,11,0),"")</f>
        <v/>
      </c>
      <c r="BV158" s="448" t="str">
        <f>_xlfn.IFNA(VLOOKUP($BK158,Programma!$F$3:$Q$1101,12,0),"")</f>
        <v/>
      </c>
      <c r="BW158" s="448" t="str">
        <f>_xlfn.IFNA(VLOOKUP($BK158,Programma!$F$3:$R$1101,13,0),"")</f>
        <v/>
      </c>
      <c r="BX158" s="448" t="str">
        <f>_xlfn.IFNA(VLOOKUP($BK158,Programma!$F$3:$S$1101,14,0),"")</f>
        <v/>
      </c>
      <c r="BY158" s="448" t="str">
        <f>_xlfn.IFNA(VLOOKUP($BK158,Programma!$F$3:$T$1101,15,0),"")</f>
        <v/>
      </c>
      <c r="BZ158" s="448" t="str">
        <f>_xlfn.IFNA(VLOOKUP($BK158,Programma!$F$3:$U$1101,16,0),"")</f>
        <v/>
      </c>
      <c r="CA158" s="448" t="str">
        <f>_xlfn.IFNA(VLOOKUP($BK158,Programma!$F$3:$V$1101,17,0),"")</f>
        <v/>
      </c>
      <c r="CB158" s="448" t="str">
        <f>_xlfn.IFNA(VLOOKUP($BK158,Programma!$F$3:$W$1101,18,0),"")</f>
        <v/>
      </c>
      <c r="CC158" s="448" t="str">
        <f>_xlfn.IFNA(VLOOKUP($BK158,Programma!$F$3:$X$1101,19,0),"")</f>
        <v/>
      </c>
      <c r="CD158" s="448" t="str">
        <f>_xlfn.IFNA(VLOOKUP($BK158,Programma!$F$3:$Y$1101,20,0),"")</f>
        <v/>
      </c>
      <c r="CE158" s="327"/>
      <c r="CF158" s="327"/>
      <c r="CG158" s="327"/>
      <c r="CH158" s="327"/>
      <c r="CI158" s="327"/>
      <c r="CJ158" s="327"/>
      <c r="CK158" s="327"/>
      <c r="CL158" s="327"/>
      <c r="CM158" s="327"/>
      <c r="CN158" s="327"/>
      <c r="CO158" s="327"/>
      <c r="CP158" s="327"/>
      <c r="CQ158" s="327"/>
      <c r="CR158" s="327"/>
      <c r="CS158" s="327"/>
      <c r="CT158" s="327"/>
      <c r="CU158" s="327"/>
      <c r="CV158" s="327"/>
      <c r="CW158" s="327"/>
      <c r="CX158" s="327"/>
      <c r="CY158" s="327"/>
      <c r="CZ158" s="327"/>
      <c r="DA158" s="327"/>
      <c r="DB158" s="327"/>
      <c r="DC158" s="327"/>
      <c r="DD158" s="327"/>
      <c r="DE158" s="327"/>
      <c r="DF158" s="327"/>
      <c r="DG158" s="327"/>
      <c r="DH158" s="327"/>
      <c r="DI158" s="327"/>
      <c r="DJ158" s="327"/>
      <c r="DK158" s="327"/>
      <c r="DL158" s="327"/>
      <c r="DM158" s="327"/>
      <c r="DN158" s="327"/>
      <c r="DO158" s="327"/>
      <c r="DP158" s="327"/>
      <c r="DQ158" s="327"/>
      <c r="DR158" s="327"/>
      <c r="DS158" s="327"/>
      <c r="DT158" s="327"/>
      <c r="DU158" s="327"/>
      <c r="DV158" s="327"/>
      <c r="DW158" s="327"/>
      <c r="DX158" s="327"/>
      <c r="DY158" s="327"/>
      <c r="DZ158" s="327"/>
      <c r="EA158" s="327"/>
      <c r="EB158" s="327"/>
      <c r="EC158" s="327"/>
      <c r="ED158" s="327"/>
      <c r="EE158" s="327"/>
      <c r="EF158" s="327"/>
      <c r="EG158" s="327"/>
      <c r="EH158" s="327"/>
      <c r="EI158" s="327"/>
      <c r="EJ158" s="327"/>
      <c r="EK158" s="327"/>
      <c r="EL158" s="327"/>
      <c r="EM158" s="327"/>
      <c r="EN158" s="327"/>
      <c r="EO158" s="327"/>
      <c r="EP158" s="327"/>
      <c r="EQ158" s="327"/>
      <c r="ER158" s="327"/>
      <c r="ES158" s="327"/>
      <c r="ET158" s="327"/>
      <c r="EU158" s="327"/>
      <c r="EV158" s="327"/>
      <c r="EW158" s="327"/>
      <c r="EX158" s="327"/>
      <c r="EY158" s="327"/>
      <c r="EZ158" s="327"/>
      <c r="FA158" s="327"/>
      <c r="FB158" s="327"/>
      <c r="FC158" s="327"/>
      <c r="FD158" s="327"/>
      <c r="FE158" s="327"/>
      <c r="FF158" s="327"/>
      <c r="FG158" s="327"/>
      <c r="FH158" s="327"/>
      <c r="FI158" s="327"/>
      <c r="FJ158" s="327"/>
      <c r="FK158" s="327"/>
      <c r="FL158" s="327"/>
      <c r="FM158" s="327"/>
      <c r="FN158" s="327"/>
      <c r="FO158" s="327"/>
      <c r="FP158" s="327"/>
      <c r="FQ158" s="327"/>
      <c r="FR158" s="327"/>
      <c r="FS158" s="327"/>
      <c r="FT158" s="327"/>
      <c r="FU158" s="327"/>
      <c r="FV158" s="327"/>
      <c r="FW158" s="327"/>
      <c r="FX158" s="327"/>
      <c r="FY158" s="327"/>
      <c r="FZ158" s="327"/>
      <c r="GA158" s="327"/>
      <c r="GB158" s="327"/>
      <c r="GC158" s="327"/>
      <c r="GD158" s="327"/>
      <c r="GE158" s="327"/>
      <c r="GF158" s="327"/>
      <c r="GG158" s="327"/>
      <c r="GH158" s="327"/>
      <c r="GI158" s="327"/>
      <c r="GJ158" s="327"/>
      <c r="GK158" s="327"/>
      <c r="GL158" s="327"/>
      <c r="GM158" s="327"/>
      <c r="GN158" s="327"/>
      <c r="GO158" s="327"/>
      <c r="GP158" s="327"/>
      <c r="GQ158" s="327"/>
      <c r="GR158" s="327"/>
      <c r="GS158" s="327"/>
      <c r="GT158" s="327"/>
      <c r="GU158" s="327"/>
      <c r="GV158" s="327"/>
      <c r="GW158" s="327"/>
      <c r="GX158" s="327"/>
      <c r="GY158" s="327"/>
      <c r="GZ158" s="327"/>
      <c r="HA158" s="327"/>
      <c r="HB158" s="327"/>
      <c r="HC158" s="327"/>
      <c r="HD158" s="327"/>
      <c r="HE158" s="327"/>
      <c r="HF158" s="327"/>
      <c r="HG158" s="327"/>
      <c r="HH158" s="327"/>
      <c r="HI158" s="327"/>
      <c r="HJ158" s="327"/>
      <c r="HK158" s="327"/>
      <c r="HL158" s="327"/>
      <c r="HM158" s="327"/>
      <c r="HN158" s="327"/>
      <c r="HO158" s="327"/>
      <c r="HP158" s="327"/>
      <c r="HQ158" s="327"/>
      <c r="HR158" s="327"/>
      <c r="HS158" s="327"/>
    </row>
    <row r="159" spans="1:227" ht="15" customHeight="1">
      <c r="A159" s="330">
        <v>7</v>
      </c>
      <c r="B159" s="435" t="str">
        <f>VLOOKUP(Ruimtestaat[[#This Row],[Code]],Locaties[[Code]:[Locatie]],2,FALSE)</f>
        <v>IKC De Baanbreker</v>
      </c>
      <c r="C159" s="435" t="str">
        <f>VLOOKUP(Ruimtestaat[[#This Row],[Code]],Locaties[[#All],[Code]:[Adres]],4,FALSE)</f>
        <v>Lijnbaan 319</v>
      </c>
      <c r="D159" s="435" t="str">
        <f>VLOOKUP(Ruimtestaat[[#This Row],[Code]],Locaties[[#All],[Code]:[Postcode]],5,FALSE)</f>
        <v>2728 AG</v>
      </c>
      <c r="E159" s="435" t="str">
        <f>VLOOKUP(Ruimtestaat[[#This Row],[Code]],Locaties[#All],6,FALSE)</f>
        <v>Zoetermeer</v>
      </c>
      <c r="F159" s="434"/>
      <c r="G159" s="434" t="s">
        <v>1678</v>
      </c>
      <c r="H159" s="330" t="s">
        <v>1689</v>
      </c>
      <c r="I159" s="450" t="s">
        <v>1679</v>
      </c>
      <c r="J159" s="330">
        <v>16</v>
      </c>
      <c r="K159" s="450" t="str">
        <f>VLOOKUP(Ruimtestaat[[#This Row],[Ruimte code]],Ruimtegroepen[[#All],[Code]:[Ruimte omschrijving]],2,FALSE)</f>
        <v>Leslokalen</v>
      </c>
      <c r="L159" s="434" t="s">
        <v>100</v>
      </c>
      <c r="M159" s="437" t="s">
        <v>1759</v>
      </c>
      <c r="N159" s="439">
        <v>54</v>
      </c>
      <c r="O159" s="439"/>
      <c r="P159" s="439"/>
      <c r="Q159" s="439"/>
      <c r="R159" s="440" t="str">
        <f>VLOOKUP(Ruimtestaat[[#This Row],[Ruimte code]],Ruimtegroepen[],4,FALSE)</f>
        <v>Le</v>
      </c>
      <c r="S159" s="434">
        <v>40</v>
      </c>
      <c r="T159" s="434" t="s">
        <v>2</v>
      </c>
      <c r="U159" s="434">
        <f>IF(S159&gt;0,IF(RIGHT(Ruimtestaat[[#This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9" s="434">
        <f>IF(U159&gt;0,VLOOKUP($J159,Ruimtegroepen[],3,FALSE)*VLOOKUP($L159,Vloersoorten[],3,FALSE)*VLOOKUP($T159,Frequenties[],3,FALSE)*VLOOKUP($A159,Locaties[],3,FALSE),0)</f>
        <v>0</v>
      </c>
      <c r="W159" s="434">
        <f>Ruimtestaat[[#This Row],[Uitvoeringen werkdagen]]*Ruimtestaat[[#This Row],[Oppervlak (netto)]]</f>
        <v>10800</v>
      </c>
      <c r="X159" s="441">
        <f>IF(V159&gt;0,Ruimtestaat[[#This Row],[Prest. (m2 /jaar) werkdagen]]/Ruimtestaat[[#This Row],[Norm (m2/uur) werkdagen]],0)</f>
        <v>0</v>
      </c>
      <c r="Y159" s="442">
        <f>Ruimtestaat[[#This Row],[Uitvoeringen werkdagen]]*Ruimtestaat[[#This Row],[Gedeeltelijk]]</f>
        <v>0</v>
      </c>
      <c r="Z159" s="443" t="e">
        <f>IF(U159&gt;0,Ruimtestaat[[#This Row],[Prest. (m2 / jaar) werkdagen gedeeld]]/Ruimtestaat[[#This Row],[Norm (m2/uur) werkdagen]],0)</f>
        <v>#DIV/0!</v>
      </c>
      <c r="AA159" s="441" t="e">
        <f>Ruimtestaat[[#This Row],[uren / jaar werkdagen gedeeld]]*Tariefsopbouw!$E$35</f>
        <v>#DIV/0!</v>
      </c>
      <c r="AB159" s="441">
        <f>Ruimtestaat[[#This Row],[Uitvoeringen werkdagen]]*Ruimtestaat[[#This Row],[BSO]]</f>
        <v>0</v>
      </c>
      <c r="AC159" s="443" t="e">
        <f>IF(U159&gt;0,Ruimtestaat[[#This Row],[Prest. (m2 / jaar) werkdagen BSO]]/Ruimtestaat[[#This Row],[Norm (m2/uur) werkdagen]],0)</f>
        <v>#DIV/0!</v>
      </c>
      <c r="AD159" s="443" t="e">
        <f>Ruimtestaat[[#This Row],[uren / jaar werkdagen BSO]]*Tariefsopbouw!$E$35</f>
        <v>#DIV/0!</v>
      </c>
      <c r="AE159" s="444">
        <f>Ruimtestaat[[#This Row],[uren / jaar werkdagen]]*Tariefsopbouw!$E$35</f>
        <v>0</v>
      </c>
      <c r="AF159" s="434"/>
      <c r="AG159" s="434">
        <f>IF(Ruimtestaat[[#This Row],[Frequentie weekend]]&gt;0,VALUE(LEFT(AF159,1))*S159,0)</f>
        <v>0</v>
      </c>
      <c r="AH159" s="445">
        <f>IF($AG159&gt;0,VLOOKUP($J159,Ruimtegroepen[],3,FALSE)*VLOOKUP($L159,Vloersoorten[],3,FALSE)*VLOOKUP($AF159,Frequenties[],3,FALSE)*VLOOKUP(Ruimtestaat[[#This Row],[Code]],Locaties[],3,FALSE),0)</f>
        <v>0</v>
      </c>
      <c r="AI159" s="445">
        <f>Ruimtestaat[[#This Row],[Uitvoeringen weekend]]*Ruimtestaat[[#This Row],[Oppervlak (netto)]]</f>
        <v>0</v>
      </c>
      <c r="AJ159" s="445">
        <f>IF(AH159&gt;0,Ruimtestaat[[#This Row],[Prest. (m2 /jaar) weekend]]/Ruimtestaat[[#This Row],[Norm (m2/uur) weekend]],0)</f>
        <v>0</v>
      </c>
      <c r="AK159" s="444">
        <f>Ruimtestaat[[#This Row],[uren / jaar weekend]]*Tariefsopbouw!$D$40</f>
        <v>0</v>
      </c>
      <c r="AL159" s="441">
        <f>Ruimtestaat[[#This Row],[Prest. (m2 /jaar) weekend]]+Ruimtestaat[[#This Row],[Prest. (m2 /jaar) werkdagen]]</f>
        <v>10800</v>
      </c>
      <c r="AM159" s="441">
        <f>Ruimtestaat[[#This Row],[uren / jaar weekend]]+Ruimtestaat[[#This Row],[uren / jaar werkdagen]]</f>
        <v>0</v>
      </c>
      <c r="AN159" s="446">
        <f>Ruimtestaat[[#This Row],[kosten / jaar weekend]]+Ruimtestaat[[#This Row],[kosten / jaar werkdagen]]</f>
        <v>0</v>
      </c>
      <c r="AO159" s="446"/>
      <c r="AP159" s="447" t="str">
        <f>IF(Ruimtestaat[[#This Row],[Frequentie werkdagen]]="","",_xlfn.CONCAT(Ruimtestaat[[#This Row],[Ruimte code]],"-",Ruimtestaat[[#This Row],[Frequentie werkdagen]]," ",Ruimtestaat[[#This Row],[Vloer code]]))</f>
        <v>16-5w L</v>
      </c>
      <c r="AQ159" s="448" t="str">
        <f>_xlfn.IFNA(VLOOKUP($AP159,Programma!$F$3:$G$1101,2,0),"")</f>
        <v>_</v>
      </c>
      <c r="AR159" s="448" t="str">
        <f>_xlfn.IFNA(VLOOKUP($AP159,Programma!$F$3:$H$1101,3,0),"")</f>
        <v>_</v>
      </c>
      <c r="AS159" s="448" t="str">
        <f>_xlfn.IFNA(VLOOKUP($AP159,Programma!$F$3:$I$1101,4,0),"")</f>
        <v>4w</v>
      </c>
      <c r="AT159" s="448" t="str">
        <f>_xlfn.IFNA(VLOOKUP($AP159,Programma!$F$3:$J$1101,5,0),"")</f>
        <v>1w</v>
      </c>
      <c r="AU159" s="448" t="str">
        <f>_xlfn.IFNA(VLOOKUP($AP159,Programma!$F$3:$K$1101,6,0),"")</f>
        <v>_</v>
      </c>
      <c r="AV159" s="448" t="str">
        <f>_xlfn.IFNA(VLOOKUP($AP159,Programma!$F$3:$L$1101,7,0),"")</f>
        <v>_</v>
      </c>
      <c r="AW159" s="448" t="str">
        <f>_xlfn.IFNA(VLOOKUP($AP159,Programma!$F$3:$M$1101,8,0),"")</f>
        <v>_</v>
      </c>
      <c r="AX159" s="448" t="str">
        <f>_xlfn.IFNA(VLOOKUP($AP159,Programma!$F$3:$N$1101,9,0),"")</f>
        <v>_</v>
      </c>
      <c r="AY159" s="448" t="str">
        <f>_xlfn.IFNA(VLOOKUP($AP159,Programma!$F$3:$O$1101,10,0),"")</f>
        <v>5w</v>
      </c>
      <c r="AZ159" s="448" t="str">
        <f>_xlfn.IFNA(VLOOKUP($AP159,Programma!$F$3:$P$1101,11,0),"")</f>
        <v>5w</v>
      </c>
      <c r="BA159" s="448" t="str">
        <f>_xlfn.IFNA(VLOOKUP($AP159,Programma!$F$3:$Q$1101,12,0),"")</f>
        <v>1w</v>
      </c>
      <c r="BB159" s="448" t="str">
        <f>_xlfn.IFNA(VLOOKUP($AP159,Programma!$F$3:$R$1101,13,0),"")</f>
        <v>1w</v>
      </c>
      <c r="BC159" s="448" t="str">
        <f>_xlfn.IFNA(VLOOKUP($AP159,Programma!$F$3:$S$1101,14,0),"")</f>
        <v>1m</v>
      </c>
      <c r="BD159" s="448" t="str">
        <f>_xlfn.IFNA(VLOOKUP($AP159,Programma!$F$3:$T$1101,15,0),"")</f>
        <v>2j</v>
      </c>
      <c r="BE159" s="448" t="str">
        <f>_xlfn.IFNA(VLOOKUP($AP159,Programma!$F$3:$U$1101,16,0),"")</f>
        <v>1j</v>
      </c>
      <c r="BF159" s="448" t="str">
        <f>_xlfn.IFNA(VLOOKUP($AP159,Programma!$F$3:$V$1101,17,0),"")</f>
        <v>_</v>
      </c>
      <c r="BG159" s="448" t="str">
        <f>_xlfn.IFNA(VLOOKUP($AP159,Programma!$F$3:$W$1101,18,0),"")</f>
        <v>_</v>
      </c>
      <c r="BH159" s="448" t="str">
        <f>_xlfn.IFNA(VLOOKUP($AP159,Programma!$F$3:$X$1101,19,0),"")</f>
        <v>_</v>
      </c>
      <c r="BI159" s="448" t="str">
        <f>_xlfn.IFNA(VLOOKUP($AP159,Programma!$F$3:$Y$1101,20,0),"")</f>
        <v>_</v>
      </c>
      <c r="BJ159" s="449"/>
      <c r="BK159" s="447" t="str">
        <f>IF(Ruimtestaat[[#This Row],[Frequentie weekend]]="","",_xlfn.CONCAT(Ruimtestaat[[#This Row],[Ruimte code]],"-",Ruimtestaat[[#This Row],[Frequentie weekend]]," ",Ruimtestaat[[#This Row],[Vloer code]]))</f>
        <v/>
      </c>
      <c r="BL159" s="448" t="str">
        <f>_xlfn.IFNA(VLOOKUP($BK159,Programma!$F$3:$G$1101,2,0),"")</f>
        <v/>
      </c>
      <c r="BM159" s="448" t="str">
        <f>_xlfn.IFNA(VLOOKUP($BK159,Programma!$F$3:$H$1101,3,0),"")</f>
        <v/>
      </c>
      <c r="BN159" s="448" t="str">
        <f>_xlfn.IFNA(VLOOKUP($BK159,Programma!$F$3:$I$1101,4,0),"")</f>
        <v/>
      </c>
      <c r="BO159" s="448" t="str">
        <f>_xlfn.IFNA(VLOOKUP($BK159,Programma!$F$3:$J$1101,5,0),"")</f>
        <v/>
      </c>
      <c r="BP159" s="448" t="str">
        <f>_xlfn.IFNA(VLOOKUP($BK159,Programma!$F$3:$K$1101,6,0),"")</f>
        <v/>
      </c>
      <c r="BQ159" s="448" t="str">
        <f>_xlfn.IFNA(VLOOKUP($BK159,Programma!$F$3:$L$1101,7,0),"")</f>
        <v/>
      </c>
      <c r="BR159" s="448" t="str">
        <f>_xlfn.IFNA(VLOOKUP($BK159,Programma!$F$3:$M$1101,8,0),"")</f>
        <v/>
      </c>
      <c r="BS159" s="448" t="str">
        <f>_xlfn.IFNA(VLOOKUP($BK159,Programma!$F$3:$N$1101,9,0),"")</f>
        <v/>
      </c>
      <c r="BT159" s="448" t="str">
        <f>_xlfn.IFNA(VLOOKUP($BK159,Programma!$F$3:$O$1101,10,0),"")</f>
        <v/>
      </c>
      <c r="BU159" s="448" t="str">
        <f>_xlfn.IFNA(VLOOKUP($BK159,Programma!$F$3:$P$1101,11,0),"")</f>
        <v/>
      </c>
      <c r="BV159" s="448" t="str">
        <f>_xlfn.IFNA(VLOOKUP($BK159,Programma!$F$3:$Q$1101,12,0),"")</f>
        <v/>
      </c>
      <c r="BW159" s="448" t="str">
        <f>_xlfn.IFNA(VLOOKUP($BK159,Programma!$F$3:$R$1101,13,0),"")</f>
        <v/>
      </c>
      <c r="BX159" s="448" t="str">
        <f>_xlfn.IFNA(VLOOKUP($BK159,Programma!$F$3:$S$1101,14,0),"")</f>
        <v/>
      </c>
      <c r="BY159" s="448" t="str">
        <f>_xlfn.IFNA(VLOOKUP($BK159,Programma!$F$3:$T$1101,15,0),"")</f>
        <v/>
      </c>
      <c r="BZ159" s="448" t="str">
        <f>_xlfn.IFNA(VLOOKUP($BK159,Programma!$F$3:$U$1101,16,0),"")</f>
        <v/>
      </c>
      <c r="CA159" s="448" t="str">
        <f>_xlfn.IFNA(VLOOKUP($BK159,Programma!$F$3:$V$1101,17,0),"")</f>
        <v/>
      </c>
      <c r="CB159" s="448" t="str">
        <f>_xlfn.IFNA(VLOOKUP($BK159,Programma!$F$3:$W$1101,18,0),"")</f>
        <v/>
      </c>
      <c r="CC159" s="448" t="str">
        <f>_xlfn.IFNA(VLOOKUP($BK159,Programma!$F$3:$X$1101,19,0),"")</f>
        <v/>
      </c>
      <c r="CD159" s="448" t="str">
        <f>_xlfn.IFNA(VLOOKUP($BK159,Programma!$F$3:$Y$1101,20,0),"")</f>
        <v/>
      </c>
      <c r="CE159" s="327"/>
      <c r="CF159" s="327"/>
      <c r="CG159" s="327"/>
      <c r="CH159" s="327"/>
      <c r="CI159" s="327"/>
      <c r="CJ159" s="327"/>
      <c r="CK159" s="327"/>
      <c r="CL159" s="327"/>
      <c r="CM159" s="327"/>
      <c r="CN159" s="327"/>
      <c r="CO159" s="327"/>
      <c r="CP159" s="327"/>
      <c r="CQ159" s="327"/>
      <c r="CR159" s="327"/>
      <c r="CS159" s="327"/>
      <c r="CT159" s="327"/>
      <c r="CU159" s="327"/>
      <c r="CV159" s="327"/>
      <c r="CW159" s="327"/>
      <c r="CX159" s="327"/>
      <c r="CY159" s="327"/>
      <c r="CZ159" s="327"/>
      <c r="DA159" s="327"/>
      <c r="DB159" s="327"/>
      <c r="DC159" s="327"/>
      <c r="DD159" s="327"/>
      <c r="DE159" s="327"/>
      <c r="DF159" s="327"/>
      <c r="DG159" s="327"/>
      <c r="DH159" s="327"/>
      <c r="DI159" s="327"/>
      <c r="DJ159" s="327"/>
      <c r="DK159" s="327"/>
      <c r="DL159" s="327"/>
      <c r="DM159" s="327"/>
      <c r="DN159" s="327"/>
      <c r="DO159" s="327"/>
      <c r="DP159" s="327"/>
      <c r="DQ159" s="327"/>
      <c r="DR159" s="327"/>
      <c r="DS159" s="327"/>
      <c r="DT159" s="327"/>
      <c r="DU159" s="327"/>
      <c r="DV159" s="327"/>
      <c r="DW159" s="327"/>
      <c r="DX159" s="327"/>
      <c r="DY159" s="327"/>
      <c r="DZ159" s="327"/>
      <c r="EA159" s="327"/>
      <c r="EB159" s="327"/>
      <c r="EC159" s="327"/>
      <c r="ED159" s="327"/>
      <c r="EE159" s="327"/>
      <c r="EF159" s="327"/>
      <c r="EG159" s="327"/>
      <c r="EH159" s="327"/>
      <c r="EI159" s="327"/>
      <c r="EJ159" s="327"/>
      <c r="EK159" s="327"/>
      <c r="EL159" s="327"/>
      <c r="EM159" s="327"/>
      <c r="EN159" s="327"/>
      <c r="EO159" s="327"/>
      <c r="EP159" s="327"/>
      <c r="EQ159" s="327"/>
      <c r="ER159" s="327"/>
      <c r="ES159" s="327"/>
      <c r="ET159" s="327"/>
      <c r="EU159" s="327"/>
      <c r="EV159" s="327"/>
      <c r="EW159" s="327"/>
      <c r="EX159" s="327"/>
      <c r="EY159" s="327"/>
      <c r="EZ159" s="327"/>
      <c r="FA159" s="327"/>
      <c r="FB159" s="327"/>
      <c r="FC159" s="327"/>
      <c r="FD159" s="327"/>
      <c r="FE159" s="327"/>
      <c r="FF159" s="327"/>
      <c r="FG159" s="327"/>
      <c r="FH159" s="327"/>
      <c r="FI159" s="327"/>
      <c r="FJ159" s="327"/>
      <c r="FK159" s="327"/>
      <c r="FL159" s="327"/>
      <c r="FM159" s="327"/>
      <c r="FN159" s="327"/>
      <c r="FO159" s="327"/>
      <c r="FP159" s="327"/>
      <c r="FQ159" s="327"/>
      <c r="FR159" s="327"/>
      <c r="FS159" s="327"/>
      <c r="FT159" s="327"/>
      <c r="FU159" s="327"/>
      <c r="FV159" s="327"/>
      <c r="FW159" s="327"/>
      <c r="FX159" s="327"/>
      <c r="FY159" s="327"/>
      <c r="FZ159" s="327"/>
      <c r="GA159" s="327"/>
      <c r="GB159" s="327"/>
      <c r="GC159" s="327"/>
      <c r="GD159" s="327"/>
      <c r="GE159" s="327"/>
      <c r="GF159" s="327"/>
      <c r="GG159" s="327"/>
      <c r="GH159" s="327"/>
      <c r="GI159" s="327"/>
      <c r="GJ159" s="327"/>
      <c r="GK159" s="327"/>
      <c r="GL159" s="327"/>
      <c r="GM159" s="327"/>
      <c r="GN159" s="327"/>
      <c r="GO159" s="327"/>
      <c r="GP159" s="327"/>
      <c r="GQ159" s="327"/>
      <c r="GR159" s="327"/>
      <c r="GS159" s="327"/>
      <c r="GT159" s="327"/>
      <c r="GU159" s="327"/>
      <c r="GV159" s="327"/>
      <c r="GW159" s="327"/>
      <c r="GX159" s="327"/>
      <c r="GY159" s="327"/>
      <c r="GZ159" s="327"/>
      <c r="HA159" s="327"/>
      <c r="HB159" s="327"/>
      <c r="HC159" s="327"/>
      <c r="HD159" s="327"/>
      <c r="HE159" s="327"/>
      <c r="HF159" s="327"/>
      <c r="HG159" s="327"/>
      <c r="HH159" s="327"/>
      <c r="HI159" s="327"/>
      <c r="HJ159" s="327"/>
      <c r="HK159" s="327"/>
      <c r="HL159" s="327"/>
      <c r="HM159" s="327"/>
      <c r="HN159" s="327"/>
      <c r="HO159" s="327"/>
      <c r="HP159" s="327"/>
      <c r="HQ159" s="327"/>
      <c r="HR159" s="327"/>
      <c r="HS159" s="327"/>
    </row>
    <row r="160" spans="1:227" ht="15" customHeight="1">
      <c r="A160" s="330">
        <v>7</v>
      </c>
      <c r="B160" s="435" t="str">
        <f>VLOOKUP(Ruimtestaat[[#This Row],[Code]],Locaties[[Code]:[Locatie]],2,FALSE)</f>
        <v>IKC De Baanbreker</v>
      </c>
      <c r="C160" s="435" t="str">
        <f>VLOOKUP(Ruimtestaat[[#This Row],[Code]],Locaties[[#All],[Code]:[Adres]],4,FALSE)</f>
        <v>Lijnbaan 319</v>
      </c>
      <c r="D160" s="435" t="str">
        <f>VLOOKUP(Ruimtestaat[[#This Row],[Code]],Locaties[[#All],[Code]:[Postcode]],5,FALSE)</f>
        <v>2728 AG</v>
      </c>
      <c r="E160" s="435" t="str">
        <f>VLOOKUP(Ruimtestaat[[#This Row],[Code]],Locaties[#All],6,FALSE)</f>
        <v>Zoetermeer</v>
      </c>
      <c r="F160" s="434"/>
      <c r="G160" s="434" t="s">
        <v>1678</v>
      </c>
      <c r="H160" s="330" t="s">
        <v>1691</v>
      </c>
      <c r="I160" s="450" t="s">
        <v>1679</v>
      </c>
      <c r="J160" s="330">
        <v>16</v>
      </c>
      <c r="K160" s="450" t="str">
        <f>VLOOKUP(Ruimtestaat[[#This Row],[Ruimte code]],Ruimtegroepen[[#All],[Code]:[Ruimte omschrijving]],2,FALSE)</f>
        <v>Leslokalen</v>
      </c>
      <c r="L160" s="434" t="s">
        <v>100</v>
      </c>
      <c r="M160" s="437" t="s">
        <v>1759</v>
      </c>
      <c r="N160" s="439">
        <v>60</v>
      </c>
      <c r="O160" s="439"/>
      <c r="P160" s="439"/>
      <c r="Q160" s="439"/>
      <c r="R160" s="440" t="str">
        <f>VLOOKUP(Ruimtestaat[[#This Row],[Ruimte code]],Ruimtegroepen[],4,FALSE)</f>
        <v>Le</v>
      </c>
      <c r="S160" s="434">
        <v>40</v>
      </c>
      <c r="T160" s="434" t="s">
        <v>2</v>
      </c>
      <c r="U160" s="434">
        <f>IF(S160&gt;0,IF(RIGHT(Ruimtestaat[[#This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0" s="434">
        <f>IF(U160&gt;0,VLOOKUP($J160,Ruimtegroepen[],3,FALSE)*VLOOKUP($L160,Vloersoorten[],3,FALSE)*VLOOKUP($T160,Frequenties[],3,FALSE)*VLOOKUP($A160,Locaties[],3,FALSE),0)</f>
        <v>0</v>
      </c>
      <c r="W160" s="434">
        <f>Ruimtestaat[[#This Row],[Uitvoeringen werkdagen]]*Ruimtestaat[[#This Row],[Oppervlak (netto)]]</f>
        <v>12000</v>
      </c>
      <c r="X160" s="441">
        <f>IF(V160&gt;0,Ruimtestaat[[#This Row],[Prest. (m2 /jaar) werkdagen]]/Ruimtestaat[[#This Row],[Norm (m2/uur) werkdagen]],0)</f>
        <v>0</v>
      </c>
      <c r="Y160" s="442">
        <f>Ruimtestaat[[#This Row],[Uitvoeringen werkdagen]]*Ruimtestaat[[#This Row],[Gedeeltelijk]]</f>
        <v>0</v>
      </c>
      <c r="Z160" s="443" t="e">
        <f>IF(U160&gt;0,Ruimtestaat[[#This Row],[Prest. (m2 / jaar) werkdagen gedeeld]]/Ruimtestaat[[#This Row],[Norm (m2/uur) werkdagen]],0)</f>
        <v>#DIV/0!</v>
      </c>
      <c r="AA160" s="441" t="e">
        <f>Ruimtestaat[[#This Row],[uren / jaar werkdagen gedeeld]]*Tariefsopbouw!$E$35</f>
        <v>#DIV/0!</v>
      </c>
      <c r="AB160" s="441">
        <f>Ruimtestaat[[#This Row],[Uitvoeringen werkdagen]]*Ruimtestaat[[#This Row],[BSO]]</f>
        <v>0</v>
      </c>
      <c r="AC160" s="443" t="e">
        <f>IF(U160&gt;0,Ruimtestaat[[#This Row],[Prest. (m2 / jaar) werkdagen BSO]]/Ruimtestaat[[#This Row],[Norm (m2/uur) werkdagen]],0)</f>
        <v>#DIV/0!</v>
      </c>
      <c r="AD160" s="443" t="e">
        <f>Ruimtestaat[[#This Row],[uren / jaar werkdagen BSO]]*Tariefsopbouw!$E$35</f>
        <v>#DIV/0!</v>
      </c>
      <c r="AE160" s="444">
        <f>Ruimtestaat[[#This Row],[uren / jaar werkdagen]]*Tariefsopbouw!$E$35</f>
        <v>0</v>
      </c>
      <c r="AF160" s="434"/>
      <c r="AG160" s="434">
        <f>IF(Ruimtestaat[[#This Row],[Frequentie weekend]]&gt;0,VALUE(LEFT(AF160,1))*S160,0)</f>
        <v>0</v>
      </c>
      <c r="AH160" s="445">
        <f>IF($AG160&gt;0,VLOOKUP($J160,Ruimtegroepen[],3,FALSE)*VLOOKUP($L160,Vloersoorten[],3,FALSE)*VLOOKUP($AF160,Frequenties[],3,FALSE)*VLOOKUP(Ruimtestaat[[#This Row],[Code]],Locaties[],3,FALSE),0)</f>
        <v>0</v>
      </c>
      <c r="AI160" s="445">
        <f>Ruimtestaat[[#This Row],[Uitvoeringen weekend]]*Ruimtestaat[[#This Row],[Oppervlak (netto)]]</f>
        <v>0</v>
      </c>
      <c r="AJ160" s="445">
        <f>IF(AH160&gt;0,Ruimtestaat[[#This Row],[Prest. (m2 /jaar) weekend]]/Ruimtestaat[[#This Row],[Norm (m2/uur) weekend]],0)</f>
        <v>0</v>
      </c>
      <c r="AK160" s="444">
        <f>Ruimtestaat[[#This Row],[uren / jaar weekend]]*Tariefsopbouw!$D$40</f>
        <v>0</v>
      </c>
      <c r="AL160" s="441">
        <f>Ruimtestaat[[#This Row],[Prest. (m2 /jaar) weekend]]+Ruimtestaat[[#This Row],[Prest. (m2 /jaar) werkdagen]]</f>
        <v>12000</v>
      </c>
      <c r="AM160" s="441">
        <f>Ruimtestaat[[#This Row],[uren / jaar weekend]]+Ruimtestaat[[#This Row],[uren / jaar werkdagen]]</f>
        <v>0</v>
      </c>
      <c r="AN160" s="446">
        <f>Ruimtestaat[[#This Row],[kosten / jaar weekend]]+Ruimtestaat[[#This Row],[kosten / jaar werkdagen]]</f>
        <v>0</v>
      </c>
      <c r="AO160" s="446"/>
      <c r="AP160" s="447" t="str">
        <f>IF(Ruimtestaat[[#This Row],[Frequentie werkdagen]]="","",_xlfn.CONCAT(Ruimtestaat[[#This Row],[Ruimte code]],"-",Ruimtestaat[[#This Row],[Frequentie werkdagen]]," ",Ruimtestaat[[#This Row],[Vloer code]]))</f>
        <v>16-5w L</v>
      </c>
      <c r="AQ160" s="448" t="str">
        <f>_xlfn.IFNA(VLOOKUP($AP160,Programma!$F$3:$G$1101,2,0),"")</f>
        <v>_</v>
      </c>
      <c r="AR160" s="448" t="str">
        <f>_xlfn.IFNA(VLOOKUP($AP160,Programma!$F$3:$H$1101,3,0),"")</f>
        <v>_</v>
      </c>
      <c r="AS160" s="448" t="str">
        <f>_xlfn.IFNA(VLOOKUP($AP160,Programma!$F$3:$I$1101,4,0),"")</f>
        <v>4w</v>
      </c>
      <c r="AT160" s="448" t="str">
        <f>_xlfn.IFNA(VLOOKUP($AP160,Programma!$F$3:$J$1101,5,0),"")</f>
        <v>1w</v>
      </c>
      <c r="AU160" s="448" t="str">
        <f>_xlfn.IFNA(VLOOKUP($AP160,Programma!$F$3:$K$1101,6,0),"")</f>
        <v>_</v>
      </c>
      <c r="AV160" s="448" t="str">
        <f>_xlfn.IFNA(VLOOKUP($AP160,Programma!$F$3:$L$1101,7,0),"")</f>
        <v>_</v>
      </c>
      <c r="AW160" s="448" t="str">
        <f>_xlfn.IFNA(VLOOKUP($AP160,Programma!$F$3:$M$1101,8,0),"")</f>
        <v>_</v>
      </c>
      <c r="AX160" s="448" t="str">
        <f>_xlfn.IFNA(VLOOKUP($AP160,Programma!$F$3:$N$1101,9,0),"")</f>
        <v>_</v>
      </c>
      <c r="AY160" s="448" t="str">
        <f>_xlfn.IFNA(VLOOKUP($AP160,Programma!$F$3:$O$1101,10,0),"")</f>
        <v>5w</v>
      </c>
      <c r="AZ160" s="448" t="str">
        <f>_xlfn.IFNA(VLOOKUP($AP160,Programma!$F$3:$P$1101,11,0),"")</f>
        <v>5w</v>
      </c>
      <c r="BA160" s="448" t="str">
        <f>_xlfn.IFNA(VLOOKUP($AP160,Programma!$F$3:$Q$1101,12,0),"")</f>
        <v>1w</v>
      </c>
      <c r="BB160" s="448" t="str">
        <f>_xlfn.IFNA(VLOOKUP($AP160,Programma!$F$3:$R$1101,13,0),"")</f>
        <v>1w</v>
      </c>
      <c r="BC160" s="448" t="str">
        <f>_xlfn.IFNA(VLOOKUP($AP160,Programma!$F$3:$S$1101,14,0),"")</f>
        <v>1m</v>
      </c>
      <c r="BD160" s="448" t="str">
        <f>_xlfn.IFNA(VLOOKUP($AP160,Programma!$F$3:$T$1101,15,0),"")</f>
        <v>2j</v>
      </c>
      <c r="BE160" s="448" t="str">
        <f>_xlfn.IFNA(VLOOKUP($AP160,Programma!$F$3:$U$1101,16,0),"")</f>
        <v>1j</v>
      </c>
      <c r="BF160" s="448" t="str">
        <f>_xlfn.IFNA(VLOOKUP($AP160,Programma!$F$3:$V$1101,17,0),"")</f>
        <v>_</v>
      </c>
      <c r="BG160" s="448" t="str">
        <f>_xlfn.IFNA(VLOOKUP($AP160,Programma!$F$3:$W$1101,18,0),"")</f>
        <v>_</v>
      </c>
      <c r="BH160" s="448" t="str">
        <f>_xlfn.IFNA(VLOOKUP($AP160,Programma!$F$3:$X$1101,19,0),"")</f>
        <v>_</v>
      </c>
      <c r="BI160" s="448" t="str">
        <f>_xlfn.IFNA(VLOOKUP($AP160,Programma!$F$3:$Y$1101,20,0),"")</f>
        <v>_</v>
      </c>
      <c r="BJ160" s="449"/>
      <c r="BK160" s="447" t="str">
        <f>IF(Ruimtestaat[[#This Row],[Frequentie weekend]]="","",_xlfn.CONCAT(Ruimtestaat[[#This Row],[Ruimte code]],"-",Ruimtestaat[[#This Row],[Frequentie weekend]]," ",Ruimtestaat[[#This Row],[Vloer code]]))</f>
        <v/>
      </c>
      <c r="BL160" s="448" t="str">
        <f>_xlfn.IFNA(VLOOKUP($BK160,Programma!$F$3:$G$1101,2,0),"")</f>
        <v/>
      </c>
      <c r="BM160" s="448" t="str">
        <f>_xlfn.IFNA(VLOOKUP($BK160,Programma!$F$3:$H$1101,3,0),"")</f>
        <v/>
      </c>
      <c r="BN160" s="448" t="str">
        <f>_xlfn.IFNA(VLOOKUP($BK160,Programma!$F$3:$I$1101,4,0),"")</f>
        <v/>
      </c>
      <c r="BO160" s="448" t="str">
        <f>_xlfn.IFNA(VLOOKUP($BK160,Programma!$F$3:$J$1101,5,0),"")</f>
        <v/>
      </c>
      <c r="BP160" s="448" t="str">
        <f>_xlfn.IFNA(VLOOKUP($BK160,Programma!$F$3:$K$1101,6,0),"")</f>
        <v/>
      </c>
      <c r="BQ160" s="448" t="str">
        <f>_xlfn.IFNA(VLOOKUP($BK160,Programma!$F$3:$L$1101,7,0),"")</f>
        <v/>
      </c>
      <c r="BR160" s="448" t="str">
        <f>_xlfn.IFNA(VLOOKUP($BK160,Programma!$F$3:$M$1101,8,0),"")</f>
        <v/>
      </c>
      <c r="BS160" s="448" t="str">
        <f>_xlfn.IFNA(VLOOKUP($BK160,Programma!$F$3:$N$1101,9,0),"")</f>
        <v/>
      </c>
      <c r="BT160" s="448" t="str">
        <f>_xlfn.IFNA(VLOOKUP($BK160,Programma!$F$3:$O$1101,10,0),"")</f>
        <v/>
      </c>
      <c r="BU160" s="448" t="str">
        <f>_xlfn.IFNA(VLOOKUP($BK160,Programma!$F$3:$P$1101,11,0),"")</f>
        <v/>
      </c>
      <c r="BV160" s="448" t="str">
        <f>_xlfn.IFNA(VLOOKUP($BK160,Programma!$F$3:$Q$1101,12,0),"")</f>
        <v/>
      </c>
      <c r="BW160" s="448" t="str">
        <f>_xlfn.IFNA(VLOOKUP($BK160,Programma!$F$3:$R$1101,13,0),"")</f>
        <v/>
      </c>
      <c r="BX160" s="448" t="str">
        <f>_xlfn.IFNA(VLOOKUP($BK160,Programma!$F$3:$S$1101,14,0),"")</f>
        <v/>
      </c>
      <c r="BY160" s="448" t="str">
        <f>_xlfn.IFNA(VLOOKUP($BK160,Programma!$F$3:$T$1101,15,0),"")</f>
        <v/>
      </c>
      <c r="BZ160" s="448" t="str">
        <f>_xlfn.IFNA(VLOOKUP($BK160,Programma!$F$3:$U$1101,16,0),"")</f>
        <v/>
      </c>
      <c r="CA160" s="448" t="str">
        <f>_xlfn.IFNA(VLOOKUP($BK160,Programma!$F$3:$V$1101,17,0),"")</f>
        <v/>
      </c>
      <c r="CB160" s="448" t="str">
        <f>_xlfn.IFNA(VLOOKUP($BK160,Programma!$F$3:$W$1101,18,0),"")</f>
        <v/>
      </c>
      <c r="CC160" s="448" t="str">
        <f>_xlfn.IFNA(VLOOKUP($BK160,Programma!$F$3:$X$1101,19,0),"")</f>
        <v/>
      </c>
      <c r="CD160" s="448" t="str">
        <f>_xlfn.IFNA(VLOOKUP($BK160,Programma!$F$3:$Y$1101,20,0),"")</f>
        <v/>
      </c>
      <c r="CE160" s="327"/>
      <c r="CF160" s="327"/>
      <c r="CG160" s="327"/>
      <c r="CH160" s="327"/>
      <c r="CI160" s="327"/>
      <c r="CJ160" s="327"/>
      <c r="CK160" s="327"/>
      <c r="CL160" s="327"/>
      <c r="CM160" s="327"/>
      <c r="CN160" s="327"/>
      <c r="CO160" s="327"/>
      <c r="CP160" s="327"/>
      <c r="CQ160" s="327"/>
      <c r="CR160" s="327"/>
      <c r="CS160" s="327"/>
      <c r="CT160" s="327"/>
      <c r="CU160" s="327"/>
      <c r="CV160" s="327"/>
      <c r="CW160" s="327"/>
      <c r="CX160" s="327"/>
      <c r="CY160" s="327"/>
      <c r="CZ160" s="327"/>
      <c r="DA160" s="327"/>
      <c r="DB160" s="327"/>
      <c r="DC160" s="327"/>
      <c r="DD160" s="327"/>
      <c r="DE160" s="327"/>
      <c r="DF160" s="327"/>
      <c r="DG160" s="327"/>
      <c r="DH160" s="327"/>
      <c r="DI160" s="327"/>
      <c r="DJ160" s="327"/>
      <c r="DK160" s="327"/>
      <c r="DL160" s="327"/>
      <c r="DM160" s="327"/>
      <c r="DN160" s="327"/>
      <c r="DO160" s="327"/>
      <c r="DP160" s="327"/>
      <c r="DQ160" s="327"/>
      <c r="DR160" s="327"/>
      <c r="DS160" s="327"/>
      <c r="DT160" s="327"/>
      <c r="DU160" s="327"/>
      <c r="DV160" s="327"/>
      <c r="DW160" s="327"/>
      <c r="DX160" s="327"/>
      <c r="DY160" s="327"/>
      <c r="DZ160" s="327"/>
      <c r="EA160" s="327"/>
      <c r="EB160" s="327"/>
      <c r="EC160" s="327"/>
      <c r="ED160" s="327"/>
      <c r="EE160" s="327"/>
      <c r="EF160" s="327"/>
      <c r="EG160" s="327"/>
      <c r="EH160" s="327"/>
      <c r="EI160" s="327"/>
      <c r="EJ160" s="327"/>
      <c r="EK160" s="327"/>
      <c r="EL160" s="327"/>
      <c r="EM160" s="327"/>
      <c r="EN160" s="327"/>
      <c r="EO160" s="327"/>
      <c r="EP160" s="327"/>
      <c r="EQ160" s="327"/>
      <c r="ER160" s="327"/>
      <c r="ES160" s="327"/>
      <c r="ET160" s="327"/>
      <c r="EU160" s="327"/>
      <c r="EV160" s="327"/>
      <c r="EW160" s="327"/>
      <c r="EX160" s="327"/>
      <c r="EY160" s="327"/>
      <c r="EZ160" s="327"/>
      <c r="FA160" s="327"/>
      <c r="FB160" s="327"/>
      <c r="FC160" s="327"/>
      <c r="FD160" s="327"/>
      <c r="FE160" s="327"/>
      <c r="FF160" s="327"/>
      <c r="FG160" s="327"/>
      <c r="FH160" s="327"/>
      <c r="FI160" s="327"/>
      <c r="FJ160" s="327"/>
      <c r="FK160" s="327"/>
      <c r="FL160" s="327"/>
      <c r="FM160" s="327"/>
      <c r="FN160" s="327"/>
      <c r="FO160" s="327"/>
      <c r="FP160" s="327"/>
      <c r="FQ160" s="327"/>
      <c r="FR160" s="327"/>
      <c r="FS160" s="327"/>
      <c r="FT160" s="327"/>
      <c r="FU160" s="327"/>
      <c r="FV160" s="327"/>
      <c r="FW160" s="327"/>
      <c r="FX160" s="327"/>
      <c r="FY160" s="327"/>
      <c r="FZ160" s="327"/>
      <c r="GA160" s="327"/>
      <c r="GB160" s="327"/>
      <c r="GC160" s="327"/>
      <c r="GD160" s="327"/>
      <c r="GE160" s="327"/>
      <c r="GF160" s="327"/>
      <c r="GG160" s="327"/>
      <c r="GH160" s="327"/>
      <c r="GI160" s="327"/>
      <c r="GJ160" s="327"/>
      <c r="GK160" s="327"/>
      <c r="GL160" s="327"/>
      <c r="GM160" s="327"/>
      <c r="GN160" s="327"/>
      <c r="GO160" s="327"/>
      <c r="GP160" s="327"/>
      <c r="GQ160" s="327"/>
      <c r="GR160" s="327"/>
      <c r="GS160" s="327"/>
      <c r="GT160" s="327"/>
      <c r="GU160" s="327"/>
      <c r="GV160" s="327"/>
      <c r="GW160" s="327"/>
      <c r="GX160" s="327"/>
      <c r="GY160" s="327"/>
      <c r="GZ160" s="327"/>
      <c r="HA160" s="327"/>
      <c r="HB160" s="327"/>
      <c r="HC160" s="327"/>
      <c r="HD160" s="327"/>
      <c r="HE160" s="327"/>
      <c r="HF160" s="327"/>
      <c r="HG160" s="327"/>
      <c r="HH160" s="327"/>
      <c r="HI160" s="327"/>
      <c r="HJ160" s="327"/>
      <c r="HK160" s="327"/>
      <c r="HL160" s="327"/>
      <c r="HM160" s="327"/>
      <c r="HN160" s="327"/>
      <c r="HO160" s="327"/>
      <c r="HP160" s="327"/>
      <c r="HQ160" s="327"/>
      <c r="HR160" s="327"/>
      <c r="HS160" s="327"/>
    </row>
    <row r="161" spans="1:227" ht="15" customHeight="1">
      <c r="A161" s="330">
        <v>7</v>
      </c>
      <c r="B161" s="435" t="str">
        <f>VLOOKUP(Ruimtestaat[[#This Row],[Code]],Locaties[[Code]:[Locatie]],2,FALSE)</f>
        <v>IKC De Baanbreker</v>
      </c>
      <c r="C161" s="435" t="str">
        <f>VLOOKUP(Ruimtestaat[[#This Row],[Code]],Locaties[[#All],[Code]:[Adres]],4,FALSE)</f>
        <v>Lijnbaan 319</v>
      </c>
      <c r="D161" s="435" t="str">
        <f>VLOOKUP(Ruimtestaat[[#This Row],[Code]],Locaties[[#All],[Code]:[Postcode]],5,FALSE)</f>
        <v>2728 AG</v>
      </c>
      <c r="E161" s="435" t="str">
        <f>VLOOKUP(Ruimtestaat[[#This Row],[Code]],Locaties[#All],6,FALSE)</f>
        <v>Zoetermeer</v>
      </c>
      <c r="F161" s="434"/>
      <c r="G161" s="434" t="s">
        <v>1678</v>
      </c>
      <c r="H161" s="330" t="s">
        <v>1692</v>
      </c>
      <c r="I161" s="450" t="s">
        <v>1679</v>
      </c>
      <c r="J161" s="330">
        <v>16</v>
      </c>
      <c r="K161" s="450" t="str">
        <f>VLOOKUP(Ruimtestaat[[#This Row],[Ruimte code]],Ruimtegroepen[[#All],[Code]:[Ruimte omschrijving]],2,FALSE)</f>
        <v>Leslokalen</v>
      </c>
      <c r="L161" s="434" t="s">
        <v>100</v>
      </c>
      <c r="M161" s="437" t="s">
        <v>1759</v>
      </c>
      <c r="N161" s="439">
        <v>84</v>
      </c>
      <c r="O161" s="439"/>
      <c r="P161" s="439"/>
      <c r="Q161" s="439"/>
      <c r="R161" s="440" t="str">
        <f>VLOOKUP(Ruimtestaat[[#This Row],[Ruimte code]],Ruimtegroepen[],4,FALSE)</f>
        <v>Le</v>
      </c>
      <c r="S161" s="434">
        <v>40</v>
      </c>
      <c r="T161" s="434" t="s">
        <v>2</v>
      </c>
      <c r="U161" s="434">
        <f>IF(S161&gt;0,IF(RIGHT(Ruimtestaat[[#This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1" s="434">
        <f>IF(U161&gt;0,VLOOKUP($J161,Ruimtegroepen[],3,FALSE)*VLOOKUP($L161,Vloersoorten[],3,FALSE)*VLOOKUP($T161,Frequenties[],3,FALSE)*VLOOKUP($A161,Locaties[],3,FALSE),0)</f>
        <v>0</v>
      </c>
      <c r="W161" s="434">
        <f>Ruimtestaat[[#This Row],[Uitvoeringen werkdagen]]*Ruimtestaat[[#This Row],[Oppervlak (netto)]]</f>
        <v>16800</v>
      </c>
      <c r="X161" s="441">
        <f>IF(V161&gt;0,Ruimtestaat[[#This Row],[Prest. (m2 /jaar) werkdagen]]/Ruimtestaat[[#This Row],[Norm (m2/uur) werkdagen]],0)</f>
        <v>0</v>
      </c>
      <c r="Y161" s="442">
        <f>Ruimtestaat[[#This Row],[Uitvoeringen werkdagen]]*Ruimtestaat[[#This Row],[Gedeeltelijk]]</f>
        <v>0</v>
      </c>
      <c r="Z161" s="443" t="e">
        <f>IF(U161&gt;0,Ruimtestaat[[#This Row],[Prest. (m2 / jaar) werkdagen gedeeld]]/Ruimtestaat[[#This Row],[Norm (m2/uur) werkdagen]],0)</f>
        <v>#DIV/0!</v>
      </c>
      <c r="AA161" s="441" t="e">
        <f>Ruimtestaat[[#This Row],[uren / jaar werkdagen gedeeld]]*Tariefsopbouw!$E$35</f>
        <v>#DIV/0!</v>
      </c>
      <c r="AB161" s="441">
        <f>Ruimtestaat[[#This Row],[Uitvoeringen werkdagen]]*Ruimtestaat[[#This Row],[BSO]]</f>
        <v>0</v>
      </c>
      <c r="AC161" s="443" t="e">
        <f>IF(U161&gt;0,Ruimtestaat[[#This Row],[Prest. (m2 / jaar) werkdagen BSO]]/Ruimtestaat[[#This Row],[Norm (m2/uur) werkdagen]],0)</f>
        <v>#DIV/0!</v>
      </c>
      <c r="AD161" s="443" t="e">
        <f>Ruimtestaat[[#This Row],[uren / jaar werkdagen BSO]]*Tariefsopbouw!$E$35</f>
        <v>#DIV/0!</v>
      </c>
      <c r="AE161" s="444">
        <f>Ruimtestaat[[#This Row],[uren / jaar werkdagen]]*Tariefsopbouw!$E$35</f>
        <v>0</v>
      </c>
      <c r="AF161" s="434"/>
      <c r="AG161" s="434">
        <f>IF(Ruimtestaat[[#This Row],[Frequentie weekend]]&gt;0,VALUE(LEFT(AF161,1))*S161,0)</f>
        <v>0</v>
      </c>
      <c r="AH161" s="445">
        <f>IF($AG161&gt;0,VLOOKUP($J161,Ruimtegroepen[],3,FALSE)*VLOOKUP($L161,Vloersoorten[],3,FALSE)*VLOOKUP($AF161,Frequenties[],3,FALSE)*VLOOKUP(Ruimtestaat[[#This Row],[Code]],Locaties[],3,FALSE),0)</f>
        <v>0</v>
      </c>
      <c r="AI161" s="445">
        <f>Ruimtestaat[[#This Row],[Uitvoeringen weekend]]*Ruimtestaat[[#This Row],[Oppervlak (netto)]]</f>
        <v>0</v>
      </c>
      <c r="AJ161" s="445">
        <f>IF(AH161&gt;0,Ruimtestaat[[#This Row],[Prest. (m2 /jaar) weekend]]/Ruimtestaat[[#This Row],[Norm (m2/uur) weekend]],0)</f>
        <v>0</v>
      </c>
      <c r="AK161" s="444">
        <f>Ruimtestaat[[#This Row],[uren / jaar weekend]]*Tariefsopbouw!$D$40</f>
        <v>0</v>
      </c>
      <c r="AL161" s="441">
        <f>Ruimtestaat[[#This Row],[Prest. (m2 /jaar) weekend]]+Ruimtestaat[[#This Row],[Prest. (m2 /jaar) werkdagen]]</f>
        <v>16800</v>
      </c>
      <c r="AM161" s="441">
        <f>Ruimtestaat[[#This Row],[uren / jaar weekend]]+Ruimtestaat[[#This Row],[uren / jaar werkdagen]]</f>
        <v>0</v>
      </c>
      <c r="AN161" s="446">
        <f>Ruimtestaat[[#This Row],[kosten / jaar weekend]]+Ruimtestaat[[#This Row],[kosten / jaar werkdagen]]</f>
        <v>0</v>
      </c>
      <c r="AO161" s="446"/>
      <c r="AP161" s="447" t="str">
        <f>IF(Ruimtestaat[[#This Row],[Frequentie werkdagen]]="","",_xlfn.CONCAT(Ruimtestaat[[#This Row],[Ruimte code]],"-",Ruimtestaat[[#This Row],[Frequentie werkdagen]]," ",Ruimtestaat[[#This Row],[Vloer code]]))</f>
        <v>16-5w L</v>
      </c>
      <c r="AQ161" s="448" t="str">
        <f>_xlfn.IFNA(VLOOKUP($AP161,Programma!$F$3:$G$1101,2,0),"")</f>
        <v>_</v>
      </c>
      <c r="AR161" s="448" t="str">
        <f>_xlfn.IFNA(VLOOKUP($AP161,Programma!$F$3:$H$1101,3,0),"")</f>
        <v>_</v>
      </c>
      <c r="AS161" s="448" t="str">
        <f>_xlfn.IFNA(VLOOKUP($AP161,Programma!$F$3:$I$1101,4,0),"")</f>
        <v>4w</v>
      </c>
      <c r="AT161" s="448" t="str">
        <f>_xlfn.IFNA(VLOOKUP($AP161,Programma!$F$3:$J$1101,5,0),"")</f>
        <v>1w</v>
      </c>
      <c r="AU161" s="448" t="str">
        <f>_xlfn.IFNA(VLOOKUP($AP161,Programma!$F$3:$K$1101,6,0),"")</f>
        <v>_</v>
      </c>
      <c r="AV161" s="448" t="str">
        <f>_xlfn.IFNA(VLOOKUP($AP161,Programma!$F$3:$L$1101,7,0),"")</f>
        <v>_</v>
      </c>
      <c r="AW161" s="448" t="str">
        <f>_xlfn.IFNA(VLOOKUP($AP161,Programma!$F$3:$M$1101,8,0),"")</f>
        <v>_</v>
      </c>
      <c r="AX161" s="448" t="str">
        <f>_xlfn.IFNA(VLOOKUP($AP161,Programma!$F$3:$N$1101,9,0),"")</f>
        <v>_</v>
      </c>
      <c r="AY161" s="448" t="str">
        <f>_xlfn.IFNA(VLOOKUP($AP161,Programma!$F$3:$O$1101,10,0),"")</f>
        <v>5w</v>
      </c>
      <c r="AZ161" s="448" t="str">
        <f>_xlfn.IFNA(VLOOKUP($AP161,Programma!$F$3:$P$1101,11,0),"")</f>
        <v>5w</v>
      </c>
      <c r="BA161" s="448" t="str">
        <f>_xlfn.IFNA(VLOOKUP($AP161,Programma!$F$3:$Q$1101,12,0),"")</f>
        <v>1w</v>
      </c>
      <c r="BB161" s="448" t="str">
        <f>_xlfn.IFNA(VLOOKUP($AP161,Programma!$F$3:$R$1101,13,0),"")</f>
        <v>1w</v>
      </c>
      <c r="BC161" s="448" t="str">
        <f>_xlfn.IFNA(VLOOKUP($AP161,Programma!$F$3:$S$1101,14,0),"")</f>
        <v>1m</v>
      </c>
      <c r="BD161" s="448" t="str">
        <f>_xlfn.IFNA(VLOOKUP($AP161,Programma!$F$3:$T$1101,15,0),"")</f>
        <v>2j</v>
      </c>
      <c r="BE161" s="448" t="str">
        <f>_xlfn.IFNA(VLOOKUP($AP161,Programma!$F$3:$U$1101,16,0),"")</f>
        <v>1j</v>
      </c>
      <c r="BF161" s="448" t="str">
        <f>_xlfn.IFNA(VLOOKUP($AP161,Programma!$F$3:$V$1101,17,0),"")</f>
        <v>_</v>
      </c>
      <c r="BG161" s="448" t="str">
        <f>_xlfn.IFNA(VLOOKUP($AP161,Programma!$F$3:$W$1101,18,0),"")</f>
        <v>_</v>
      </c>
      <c r="BH161" s="448" t="str">
        <f>_xlfn.IFNA(VLOOKUP($AP161,Programma!$F$3:$X$1101,19,0),"")</f>
        <v>_</v>
      </c>
      <c r="BI161" s="448" t="str">
        <f>_xlfn.IFNA(VLOOKUP($AP161,Programma!$F$3:$Y$1101,20,0),"")</f>
        <v>_</v>
      </c>
      <c r="BJ161" s="449"/>
      <c r="BK161" s="447" t="str">
        <f>IF(Ruimtestaat[[#This Row],[Frequentie weekend]]="","",_xlfn.CONCAT(Ruimtestaat[[#This Row],[Ruimte code]],"-",Ruimtestaat[[#This Row],[Frequentie weekend]]," ",Ruimtestaat[[#This Row],[Vloer code]]))</f>
        <v/>
      </c>
      <c r="BL161" s="448" t="str">
        <f>_xlfn.IFNA(VLOOKUP($BK161,Programma!$F$3:$G$1101,2,0),"")</f>
        <v/>
      </c>
      <c r="BM161" s="448" t="str">
        <f>_xlfn.IFNA(VLOOKUP($BK161,Programma!$F$3:$H$1101,3,0),"")</f>
        <v/>
      </c>
      <c r="BN161" s="448" t="str">
        <f>_xlfn.IFNA(VLOOKUP($BK161,Programma!$F$3:$I$1101,4,0),"")</f>
        <v/>
      </c>
      <c r="BO161" s="448" t="str">
        <f>_xlfn.IFNA(VLOOKUP($BK161,Programma!$F$3:$J$1101,5,0),"")</f>
        <v/>
      </c>
      <c r="BP161" s="448" t="str">
        <f>_xlfn.IFNA(VLOOKUP($BK161,Programma!$F$3:$K$1101,6,0),"")</f>
        <v/>
      </c>
      <c r="BQ161" s="448" t="str">
        <f>_xlfn.IFNA(VLOOKUP($BK161,Programma!$F$3:$L$1101,7,0),"")</f>
        <v/>
      </c>
      <c r="BR161" s="448" t="str">
        <f>_xlfn.IFNA(VLOOKUP($BK161,Programma!$F$3:$M$1101,8,0),"")</f>
        <v/>
      </c>
      <c r="BS161" s="448" t="str">
        <f>_xlfn.IFNA(VLOOKUP($BK161,Programma!$F$3:$N$1101,9,0),"")</f>
        <v/>
      </c>
      <c r="BT161" s="448" t="str">
        <f>_xlfn.IFNA(VLOOKUP($BK161,Programma!$F$3:$O$1101,10,0),"")</f>
        <v/>
      </c>
      <c r="BU161" s="448" t="str">
        <f>_xlfn.IFNA(VLOOKUP($BK161,Programma!$F$3:$P$1101,11,0),"")</f>
        <v/>
      </c>
      <c r="BV161" s="448" t="str">
        <f>_xlfn.IFNA(VLOOKUP($BK161,Programma!$F$3:$Q$1101,12,0),"")</f>
        <v/>
      </c>
      <c r="BW161" s="448" t="str">
        <f>_xlfn.IFNA(VLOOKUP($BK161,Programma!$F$3:$R$1101,13,0),"")</f>
        <v/>
      </c>
      <c r="BX161" s="448" t="str">
        <f>_xlfn.IFNA(VLOOKUP($BK161,Programma!$F$3:$S$1101,14,0),"")</f>
        <v/>
      </c>
      <c r="BY161" s="448" t="str">
        <f>_xlfn.IFNA(VLOOKUP($BK161,Programma!$F$3:$T$1101,15,0),"")</f>
        <v/>
      </c>
      <c r="BZ161" s="448" t="str">
        <f>_xlfn.IFNA(VLOOKUP($BK161,Programma!$F$3:$U$1101,16,0),"")</f>
        <v/>
      </c>
      <c r="CA161" s="448" t="str">
        <f>_xlfn.IFNA(VLOOKUP($BK161,Programma!$F$3:$V$1101,17,0),"")</f>
        <v/>
      </c>
      <c r="CB161" s="448" t="str">
        <f>_xlfn.IFNA(VLOOKUP($BK161,Programma!$F$3:$W$1101,18,0),"")</f>
        <v/>
      </c>
      <c r="CC161" s="448" t="str">
        <f>_xlfn.IFNA(VLOOKUP($BK161,Programma!$F$3:$X$1101,19,0),"")</f>
        <v/>
      </c>
      <c r="CD161" s="448" t="str">
        <f>_xlfn.IFNA(VLOOKUP($BK161,Programma!$F$3:$Y$1101,20,0),"")</f>
        <v/>
      </c>
      <c r="CE161" s="327"/>
      <c r="CF161" s="327"/>
      <c r="CG161" s="327"/>
      <c r="CH161" s="327"/>
      <c r="CI161" s="327"/>
      <c r="CJ161" s="327"/>
      <c r="CK161" s="327"/>
      <c r="CL161" s="327"/>
      <c r="CM161" s="327"/>
      <c r="CN161" s="327"/>
      <c r="CO161" s="327"/>
      <c r="CP161" s="327"/>
      <c r="CQ161" s="327"/>
      <c r="CR161" s="327"/>
      <c r="CS161" s="327"/>
      <c r="CT161" s="327"/>
      <c r="CU161" s="327"/>
      <c r="CV161" s="327"/>
      <c r="CW161" s="327"/>
      <c r="CX161" s="327"/>
      <c r="CY161" s="327"/>
      <c r="CZ161" s="327"/>
      <c r="DA161" s="327"/>
      <c r="DB161" s="327"/>
      <c r="DC161" s="327"/>
      <c r="DD161" s="327"/>
      <c r="DE161" s="327"/>
      <c r="DF161" s="327"/>
      <c r="DG161" s="327"/>
      <c r="DH161" s="327"/>
      <c r="DI161" s="327"/>
      <c r="DJ161" s="327"/>
      <c r="DK161" s="327"/>
      <c r="DL161" s="327"/>
      <c r="DM161" s="327"/>
      <c r="DN161" s="327"/>
      <c r="DO161" s="327"/>
      <c r="DP161" s="327"/>
      <c r="DQ161" s="327"/>
      <c r="DR161" s="327"/>
      <c r="DS161" s="327"/>
      <c r="DT161" s="327"/>
      <c r="DU161" s="327"/>
      <c r="DV161" s="327"/>
      <c r="DW161" s="327"/>
      <c r="DX161" s="327"/>
      <c r="DY161" s="327"/>
      <c r="DZ161" s="327"/>
      <c r="EA161" s="327"/>
      <c r="EB161" s="327"/>
      <c r="EC161" s="327"/>
      <c r="ED161" s="327"/>
      <c r="EE161" s="327"/>
      <c r="EF161" s="327"/>
      <c r="EG161" s="327"/>
      <c r="EH161" s="327"/>
      <c r="EI161" s="327"/>
      <c r="EJ161" s="327"/>
      <c r="EK161" s="327"/>
      <c r="EL161" s="327"/>
      <c r="EM161" s="327"/>
      <c r="EN161" s="327"/>
      <c r="EO161" s="327"/>
      <c r="EP161" s="327"/>
      <c r="EQ161" s="327"/>
      <c r="ER161" s="327"/>
      <c r="ES161" s="327"/>
      <c r="ET161" s="327"/>
      <c r="EU161" s="327"/>
      <c r="EV161" s="327"/>
      <c r="EW161" s="327"/>
      <c r="EX161" s="327"/>
      <c r="EY161" s="327"/>
      <c r="EZ161" s="327"/>
      <c r="FA161" s="327"/>
      <c r="FB161" s="327"/>
      <c r="FC161" s="327"/>
      <c r="FD161" s="327"/>
      <c r="FE161" s="327"/>
      <c r="FF161" s="327"/>
      <c r="FG161" s="327"/>
      <c r="FH161" s="327"/>
      <c r="FI161" s="327"/>
      <c r="FJ161" s="327"/>
      <c r="FK161" s="327"/>
      <c r="FL161" s="327"/>
      <c r="FM161" s="327"/>
      <c r="FN161" s="327"/>
      <c r="FO161" s="327"/>
      <c r="FP161" s="327"/>
      <c r="FQ161" s="327"/>
      <c r="FR161" s="327"/>
      <c r="FS161" s="327"/>
      <c r="FT161" s="327"/>
      <c r="FU161" s="327"/>
      <c r="FV161" s="327"/>
      <c r="FW161" s="327"/>
      <c r="FX161" s="327"/>
      <c r="FY161" s="327"/>
      <c r="FZ161" s="327"/>
      <c r="GA161" s="327"/>
      <c r="GB161" s="327"/>
      <c r="GC161" s="327"/>
      <c r="GD161" s="327"/>
      <c r="GE161" s="327"/>
      <c r="GF161" s="327"/>
      <c r="GG161" s="327"/>
      <c r="GH161" s="327"/>
      <c r="GI161" s="327"/>
      <c r="GJ161" s="327"/>
      <c r="GK161" s="327"/>
      <c r="GL161" s="327"/>
      <c r="GM161" s="327"/>
      <c r="GN161" s="327"/>
      <c r="GO161" s="327"/>
      <c r="GP161" s="327"/>
      <c r="GQ161" s="327"/>
      <c r="GR161" s="327"/>
      <c r="GS161" s="327"/>
      <c r="GT161" s="327"/>
      <c r="GU161" s="327"/>
      <c r="GV161" s="327"/>
      <c r="GW161" s="327"/>
      <c r="GX161" s="327"/>
      <c r="GY161" s="327"/>
      <c r="GZ161" s="327"/>
      <c r="HA161" s="327"/>
      <c r="HB161" s="327"/>
      <c r="HC161" s="327"/>
      <c r="HD161" s="327"/>
      <c r="HE161" s="327"/>
      <c r="HF161" s="327"/>
      <c r="HG161" s="327"/>
      <c r="HH161" s="327"/>
      <c r="HI161" s="327"/>
      <c r="HJ161" s="327"/>
      <c r="HK161" s="327"/>
      <c r="HL161" s="327"/>
      <c r="HM161" s="327"/>
      <c r="HN161" s="327"/>
      <c r="HO161" s="327"/>
      <c r="HP161" s="327"/>
      <c r="HQ161" s="327"/>
      <c r="HR161" s="327"/>
      <c r="HS161" s="327"/>
    </row>
    <row r="162" spans="1:227" ht="15" customHeight="1">
      <c r="A162" s="330">
        <v>7</v>
      </c>
      <c r="B162" s="435" t="str">
        <f>VLOOKUP(Ruimtestaat[[#This Row],[Code]],Locaties[[Code]:[Locatie]],2,FALSE)</f>
        <v>IKC De Baanbreker</v>
      </c>
      <c r="C162" s="435" t="str">
        <f>VLOOKUP(Ruimtestaat[[#This Row],[Code]],Locaties[[#All],[Code]:[Adres]],4,FALSE)</f>
        <v>Lijnbaan 319</v>
      </c>
      <c r="D162" s="435" t="str">
        <f>VLOOKUP(Ruimtestaat[[#This Row],[Code]],Locaties[[#All],[Code]:[Postcode]],5,FALSE)</f>
        <v>2728 AG</v>
      </c>
      <c r="E162" s="435" t="str">
        <f>VLOOKUP(Ruimtestaat[[#This Row],[Code]],Locaties[#All],6,FALSE)</f>
        <v>Zoetermeer</v>
      </c>
      <c r="F162" s="434"/>
      <c r="G162" s="434" t="s">
        <v>1678</v>
      </c>
      <c r="H162" s="330" t="s">
        <v>1693</v>
      </c>
      <c r="I162" s="450" t="s">
        <v>1673</v>
      </c>
      <c r="J162" s="330">
        <v>5</v>
      </c>
      <c r="K162" s="450" t="str">
        <f>VLOOKUP(Ruimtestaat[[#This Row],[Ruimte code]],Ruimtegroepen[[#All],[Code]:[Ruimte omschrijving]],2,FALSE)</f>
        <v>Sanitair</v>
      </c>
      <c r="L162" s="434" t="s">
        <v>101</v>
      </c>
      <c r="M162" s="437" t="s">
        <v>119</v>
      </c>
      <c r="N162" s="439">
        <v>22</v>
      </c>
      <c r="O162" s="439"/>
      <c r="P162" s="439"/>
      <c r="Q162" s="439"/>
      <c r="R162" s="440" t="str">
        <f>VLOOKUP(Ruimtestaat[[#This Row],[Ruimte code]],Ruimtegroepen[],4,FALSE)</f>
        <v>Sa</v>
      </c>
      <c r="S162" s="434">
        <v>41</v>
      </c>
      <c r="T162" s="434" t="s">
        <v>2</v>
      </c>
      <c r="U162" s="434">
        <f>IF(S162&gt;0,IF(RIGHT(Ruimtestaat[[#This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62" s="434">
        <f>IF(U162&gt;0,VLOOKUP($J162,Ruimtegroepen[],3,FALSE)*VLOOKUP($L162,Vloersoorten[],3,FALSE)*VLOOKUP($T162,Frequenties[],3,FALSE)*VLOOKUP($A162,Locaties[],3,FALSE),0)</f>
        <v>0</v>
      </c>
      <c r="W162" s="434">
        <f>Ruimtestaat[[#This Row],[Uitvoeringen werkdagen]]*Ruimtestaat[[#This Row],[Oppervlak (netto)]]</f>
        <v>4510</v>
      </c>
      <c r="X162" s="441">
        <f>IF(V162&gt;0,Ruimtestaat[[#This Row],[Prest. (m2 /jaar) werkdagen]]/Ruimtestaat[[#This Row],[Norm (m2/uur) werkdagen]],0)</f>
        <v>0</v>
      </c>
      <c r="Y162" s="442">
        <f>Ruimtestaat[[#This Row],[Uitvoeringen werkdagen]]*Ruimtestaat[[#This Row],[Gedeeltelijk]]</f>
        <v>0</v>
      </c>
      <c r="Z162" s="443" t="e">
        <f>IF(U162&gt;0,Ruimtestaat[[#This Row],[Prest. (m2 / jaar) werkdagen gedeeld]]/Ruimtestaat[[#This Row],[Norm (m2/uur) werkdagen]],0)</f>
        <v>#DIV/0!</v>
      </c>
      <c r="AA162" s="441" t="e">
        <f>Ruimtestaat[[#This Row],[uren / jaar werkdagen gedeeld]]*Tariefsopbouw!$E$35</f>
        <v>#DIV/0!</v>
      </c>
      <c r="AB162" s="441">
        <f>Ruimtestaat[[#This Row],[Uitvoeringen werkdagen]]*Ruimtestaat[[#This Row],[BSO]]</f>
        <v>0</v>
      </c>
      <c r="AC162" s="443" t="e">
        <f>IF(U162&gt;0,Ruimtestaat[[#This Row],[Prest. (m2 / jaar) werkdagen BSO]]/Ruimtestaat[[#This Row],[Norm (m2/uur) werkdagen]],0)</f>
        <v>#DIV/0!</v>
      </c>
      <c r="AD162" s="443" t="e">
        <f>Ruimtestaat[[#This Row],[uren / jaar werkdagen BSO]]*Tariefsopbouw!$E$35</f>
        <v>#DIV/0!</v>
      </c>
      <c r="AE162" s="444">
        <f>Ruimtestaat[[#This Row],[uren / jaar werkdagen]]*Tariefsopbouw!$E$35</f>
        <v>0</v>
      </c>
      <c r="AF162" s="434"/>
      <c r="AG162" s="434">
        <f>IF(Ruimtestaat[[#This Row],[Frequentie weekend]]&gt;0,VALUE(LEFT(AF162,1))*S162,0)</f>
        <v>0</v>
      </c>
      <c r="AH162" s="445">
        <f>IF($AG162&gt;0,VLOOKUP($J162,Ruimtegroepen[],3,FALSE)*VLOOKUP($L162,Vloersoorten[],3,FALSE)*VLOOKUP($AF162,Frequenties[],3,FALSE)*VLOOKUP(Ruimtestaat[[#This Row],[Code]],Locaties[],3,FALSE),0)</f>
        <v>0</v>
      </c>
      <c r="AI162" s="445">
        <f>Ruimtestaat[[#This Row],[Uitvoeringen weekend]]*Ruimtestaat[[#This Row],[Oppervlak (netto)]]</f>
        <v>0</v>
      </c>
      <c r="AJ162" s="445">
        <f>IF(AH162&gt;0,Ruimtestaat[[#This Row],[Prest. (m2 /jaar) weekend]]/Ruimtestaat[[#This Row],[Norm (m2/uur) weekend]],0)</f>
        <v>0</v>
      </c>
      <c r="AK162" s="444">
        <f>Ruimtestaat[[#This Row],[uren / jaar weekend]]*Tariefsopbouw!$D$40</f>
        <v>0</v>
      </c>
      <c r="AL162" s="441">
        <f>Ruimtestaat[[#This Row],[Prest. (m2 /jaar) weekend]]+Ruimtestaat[[#This Row],[Prest. (m2 /jaar) werkdagen]]</f>
        <v>4510</v>
      </c>
      <c r="AM162" s="441">
        <f>Ruimtestaat[[#This Row],[uren / jaar weekend]]+Ruimtestaat[[#This Row],[uren / jaar werkdagen]]</f>
        <v>0</v>
      </c>
      <c r="AN162" s="446">
        <f>Ruimtestaat[[#This Row],[kosten / jaar weekend]]+Ruimtestaat[[#This Row],[kosten / jaar werkdagen]]</f>
        <v>0</v>
      </c>
      <c r="AO162" s="446"/>
      <c r="AP162" s="447" t="str">
        <f>IF(Ruimtestaat[[#This Row],[Frequentie werkdagen]]="","",_xlfn.CONCAT(Ruimtestaat[[#This Row],[Ruimte code]],"-",Ruimtestaat[[#This Row],[Frequentie werkdagen]]," ",Ruimtestaat[[#This Row],[Vloer code]]))</f>
        <v>5-5w S</v>
      </c>
      <c r="AQ162" s="448" t="str">
        <f>_xlfn.IFNA(VLOOKUP($AP162,Programma!$F$3:$G$1101,2,0),"")</f>
        <v>_</v>
      </c>
      <c r="AR162" s="448" t="str">
        <f>_xlfn.IFNA(VLOOKUP($AP162,Programma!$F$3:$H$1101,3,0),"")</f>
        <v>_</v>
      </c>
      <c r="AS162" s="448" t="str">
        <f>_xlfn.IFNA(VLOOKUP($AP162,Programma!$F$3:$I$1101,4,0),"")</f>
        <v>_</v>
      </c>
      <c r="AT162" s="448" t="str">
        <f>_xlfn.IFNA(VLOOKUP($AP162,Programma!$F$3:$J$1101,5,0),"")</f>
        <v>4w</v>
      </c>
      <c r="AU162" s="448" t="str">
        <f>_xlfn.IFNA(VLOOKUP($AP162,Programma!$F$3:$K$1101,6,0),"")</f>
        <v>1w</v>
      </c>
      <c r="AV162" s="448" t="str">
        <f>_xlfn.IFNA(VLOOKUP($AP162,Programma!$F$3:$L$1101,7,0),"")</f>
        <v>_</v>
      </c>
      <c r="AW162" s="448" t="str">
        <f>_xlfn.IFNA(VLOOKUP($AP162,Programma!$F$3:$M$1101,8,0),"")</f>
        <v>_</v>
      </c>
      <c r="AX162" s="448" t="str">
        <f>_xlfn.IFNA(VLOOKUP($AP162,Programma!$F$3:$N$1101,9,0),"")</f>
        <v>_</v>
      </c>
      <c r="AY162" s="448" t="str">
        <f>_xlfn.IFNA(VLOOKUP($AP162,Programma!$F$3:$O$1101,10,0),"")</f>
        <v>_</v>
      </c>
      <c r="AZ162" s="448" t="str">
        <f>_xlfn.IFNA(VLOOKUP($AP162,Programma!$F$3:$P$1101,11,0),"")</f>
        <v>_</v>
      </c>
      <c r="BA162" s="448" t="str">
        <f>_xlfn.IFNA(VLOOKUP($AP162,Programma!$F$3:$Q$1101,12,0),"")</f>
        <v>_</v>
      </c>
      <c r="BB162" s="448" t="str">
        <f>_xlfn.IFNA(VLOOKUP($AP162,Programma!$F$3:$R$1101,13,0),"")</f>
        <v>_</v>
      </c>
      <c r="BC162" s="448" t="str">
        <f>_xlfn.IFNA(VLOOKUP($AP162,Programma!$F$3:$S$1101,14,0),"")</f>
        <v>_</v>
      </c>
      <c r="BD162" s="448" t="str">
        <f>_xlfn.IFNA(VLOOKUP($AP162,Programma!$F$3:$T$1101,15,0),"")</f>
        <v>_</v>
      </c>
      <c r="BE162" s="448" t="str">
        <f>_xlfn.IFNA(VLOOKUP($AP162,Programma!$F$3:$U$1101,16,0),"")</f>
        <v>_</v>
      </c>
      <c r="BF162" s="448" t="str">
        <f>_xlfn.IFNA(VLOOKUP($AP162,Programma!$F$3:$V$1101,17,0),"")</f>
        <v>_</v>
      </c>
      <c r="BG162" s="448" t="str">
        <f>_xlfn.IFNA(VLOOKUP($AP162,Programma!$F$3:$W$1101,18,0),"")</f>
        <v>4w</v>
      </c>
      <c r="BH162" s="448" t="str">
        <f>_xlfn.IFNA(VLOOKUP($AP162,Programma!$F$3:$X$1101,19,0),"")</f>
        <v>1w</v>
      </c>
      <c r="BI162" s="448" t="str">
        <f>_xlfn.IFNA(VLOOKUP($AP162,Programma!$F$3:$Y$1101,20,0),"")</f>
        <v>_</v>
      </c>
      <c r="BJ162" s="449"/>
      <c r="BK162" s="447" t="str">
        <f>IF(Ruimtestaat[[#This Row],[Frequentie weekend]]="","",_xlfn.CONCAT(Ruimtestaat[[#This Row],[Ruimte code]],"-",Ruimtestaat[[#This Row],[Frequentie weekend]]," ",Ruimtestaat[[#This Row],[Vloer code]]))</f>
        <v/>
      </c>
      <c r="BL162" s="448" t="str">
        <f>_xlfn.IFNA(VLOOKUP($BK162,Programma!$F$3:$G$1101,2,0),"")</f>
        <v/>
      </c>
      <c r="BM162" s="448" t="str">
        <f>_xlfn.IFNA(VLOOKUP($BK162,Programma!$F$3:$H$1101,3,0),"")</f>
        <v/>
      </c>
      <c r="BN162" s="448" t="str">
        <f>_xlfn.IFNA(VLOOKUP($BK162,Programma!$F$3:$I$1101,4,0),"")</f>
        <v/>
      </c>
      <c r="BO162" s="448" t="str">
        <f>_xlfn.IFNA(VLOOKUP($BK162,Programma!$F$3:$J$1101,5,0),"")</f>
        <v/>
      </c>
      <c r="BP162" s="448" t="str">
        <f>_xlfn.IFNA(VLOOKUP($BK162,Programma!$F$3:$K$1101,6,0),"")</f>
        <v/>
      </c>
      <c r="BQ162" s="448" t="str">
        <f>_xlfn.IFNA(VLOOKUP($BK162,Programma!$F$3:$L$1101,7,0),"")</f>
        <v/>
      </c>
      <c r="BR162" s="448" t="str">
        <f>_xlfn.IFNA(VLOOKUP($BK162,Programma!$F$3:$M$1101,8,0),"")</f>
        <v/>
      </c>
      <c r="BS162" s="448" t="str">
        <f>_xlfn.IFNA(VLOOKUP($BK162,Programma!$F$3:$N$1101,9,0),"")</f>
        <v/>
      </c>
      <c r="BT162" s="448" t="str">
        <f>_xlfn.IFNA(VLOOKUP($BK162,Programma!$F$3:$O$1101,10,0),"")</f>
        <v/>
      </c>
      <c r="BU162" s="448" t="str">
        <f>_xlfn.IFNA(VLOOKUP($BK162,Programma!$F$3:$P$1101,11,0),"")</f>
        <v/>
      </c>
      <c r="BV162" s="448" t="str">
        <f>_xlfn.IFNA(VLOOKUP($BK162,Programma!$F$3:$Q$1101,12,0),"")</f>
        <v/>
      </c>
      <c r="BW162" s="448" t="str">
        <f>_xlfn.IFNA(VLOOKUP($BK162,Programma!$F$3:$R$1101,13,0),"")</f>
        <v/>
      </c>
      <c r="BX162" s="448" t="str">
        <f>_xlfn.IFNA(VLOOKUP($BK162,Programma!$F$3:$S$1101,14,0),"")</f>
        <v/>
      </c>
      <c r="BY162" s="448" t="str">
        <f>_xlfn.IFNA(VLOOKUP($BK162,Programma!$F$3:$T$1101,15,0),"")</f>
        <v/>
      </c>
      <c r="BZ162" s="448" t="str">
        <f>_xlfn.IFNA(VLOOKUP($BK162,Programma!$F$3:$U$1101,16,0),"")</f>
        <v/>
      </c>
      <c r="CA162" s="448" t="str">
        <f>_xlfn.IFNA(VLOOKUP($BK162,Programma!$F$3:$V$1101,17,0),"")</f>
        <v/>
      </c>
      <c r="CB162" s="448" t="str">
        <f>_xlfn.IFNA(VLOOKUP($BK162,Programma!$F$3:$W$1101,18,0),"")</f>
        <v/>
      </c>
      <c r="CC162" s="448" t="str">
        <f>_xlfn.IFNA(VLOOKUP($BK162,Programma!$F$3:$X$1101,19,0),"")</f>
        <v/>
      </c>
      <c r="CD162" s="448" t="str">
        <f>_xlfn.IFNA(VLOOKUP($BK162,Programma!$F$3:$Y$1101,20,0),"")</f>
        <v/>
      </c>
      <c r="CE162" s="327"/>
      <c r="CF162" s="327"/>
      <c r="CG162" s="327"/>
      <c r="CH162" s="327"/>
      <c r="CI162" s="327"/>
      <c r="CJ162" s="327"/>
      <c r="CK162" s="327"/>
      <c r="CL162" s="327"/>
      <c r="CM162" s="327"/>
      <c r="CN162" s="327"/>
      <c r="CO162" s="327"/>
      <c r="CP162" s="327"/>
      <c r="CQ162" s="327"/>
      <c r="CR162" s="327"/>
      <c r="CS162" s="327"/>
      <c r="CT162" s="327"/>
      <c r="CU162" s="327"/>
      <c r="CV162" s="327"/>
      <c r="CW162" s="327"/>
      <c r="CX162" s="327"/>
      <c r="CY162" s="327"/>
      <c r="CZ162" s="327"/>
      <c r="DA162" s="327"/>
      <c r="DB162" s="327"/>
      <c r="DC162" s="327"/>
      <c r="DD162" s="327"/>
      <c r="DE162" s="327"/>
      <c r="DF162" s="327"/>
      <c r="DG162" s="327"/>
      <c r="DH162" s="327"/>
      <c r="DI162" s="327"/>
      <c r="DJ162" s="327"/>
      <c r="DK162" s="327"/>
      <c r="DL162" s="327"/>
      <c r="DM162" s="327"/>
      <c r="DN162" s="327"/>
      <c r="DO162" s="327"/>
      <c r="DP162" s="327"/>
      <c r="DQ162" s="327"/>
      <c r="DR162" s="327"/>
      <c r="DS162" s="327"/>
      <c r="DT162" s="327"/>
      <c r="DU162" s="327"/>
      <c r="DV162" s="327"/>
      <c r="DW162" s="327"/>
      <c r="DX162" s="327"/>
      <c r="DY162" s="327"/>
      <c r="DZ162" s="327"/>
      <c r="EA162" s="327"/>
      <c r="EB162" s="327"/>
      <c r="EC162" s="327"/>
      <c r="ED162" s="327"/>
      <c r="EE162" s="327"/>
      <c r="EF162" s="327"/>
      <c r="EG162" s="327"/>
      <c r="EH162" s="327"/>
      <c r="EI162" s="327"/>
      <c r="EJ162" s="327"/>
      <c r="EK162" s="327"/>
      <c r="EL162" s="327"/>
      <c r="EM162" s="327"/>
      <c r="EN162" s="327"/>
      <c r="EO162" s="327"/>
      <c r="EP162" s="327"/>
      <c r="EQ162" s="327"/>
      <c r="ER162" s="327"/>
      <c r="ES162" s="327"/>
      <c r="ET162" s="327"/>
      <c r="EU162" s="327"/>
      <c r="EV162" s="327"/>
      <c r="EW162" s="327"/>
      <c r="EX162" s="327"/>
      <c r="EY162" s="327"/>
      <c r="EZ162" s="327"/>
      <c r="FA162" s="327"/>
      <c r="FB162" s="327"/>
      <c r="FC162" s="327"/>
      <c r="FD162" s="327"/>
      <c r="FE162" s="327"/>
      <c r="FF162" s="327"/>
      <c r="FG162" s="327"/>
      <c r="FH162" s="327"/>
      <c r="FI162" s="327"/>
      <c r="FJ162" s="327"/>
      <c r="FK162" s="327"/>
      <c r="FL162" s="327"/>
      <c r="FM162" s="327"/>
      <c r="FN162" s="327"/>
      <c r="FO162" s="327"/>
      <c r="FP162" s="327"/>
      <c r="FQ162" s="327"/>
      <c r="FR162" s="327"/>
      <c r="FS162" s="327"/>
      <c r="FT162" s="327"/>
      <c r="FU162" s="327"/>
      <c r="FV162" s="327"/>
      <c r="FW162" s="327"/>
      <c r="FX162" s="327"/>
      <c r="FY162" s="327"/>
      <c r="FZ162" s="327"/>
      <c r="GA162" s="327"/>
      <c r="GB162" s="327"/>
      <c r="GC162" s="327"/>
      <c r="GD162" s="327"/>
      <c r="GE162" s="327"/>
      <c r="GF162" s="327"/>
      <c r="GG162" s="327"/>
      <c r="GH162" s="327"/>
      <c r="GI162" s="327"/>
      <c r="GJ162" s="327"/>
      <c r="GK162" s="327"/>
      <c r="GL162" s="327"/>
      <c r="GM162" s="327"/>
      <c r="GN162" s="327"/>
      <c r="GO162" s="327"/>
      <c r="GP162" s="327"/>
      <c r="GQ162" s="327"/>
      <c r="GR162" s="327"/>
      <c r="GS162" s="327"/>
      <c r="GT162" s="327"/>
      <c r="GU162" s="327"/>
      <c r="GV162" s="327"/>
      <c r="GW162" s="327"/>
      <c r="GX162" s="327"/>
      <c r="GY162" s="327"/>
      <c r="GZ162" s="327"/>
      <c r="HA162" s="327"/>
      <c r="HB162" s="327"/>
      <c r="HC162" s="327"/>
      <c r="HD162" s="327"/>
      <c r="HE162" s="327"/>
      <c r="HF162" s="327"/>
      <c r="HG162" s="327"/>
      <c r="HH162" s="327"/>
      <c r="HI162" s="327"/>
      <c r="HJ162" s="327"/>
      <c r="HK162" s="327"/>
      <c r="HL162" s="327"/>
      <c r="HM162" s="327"/>
      <c r="HN162" s="327"/>
      <c r="HO162" s="327"/>
      <c r="HP162" s="327"/>
      <c r="HQ162" s="327"/>
      <c r="HR162" s="327"/>
      <c r="HS162" s="327"/>
    </row>
    <row r="163" spans="1:227" ht="15" customHeight="1">
      <c r="A163" s="330">
        <v>7</v>
      </c>
      <c r="B163" s="435" t="str">
        <f>VLOOKUP(Ruimtestaat[[#This Row],[Code]],Locaties[[Code]:[Locatie]],2,FALSE)</f>
        <v>IKC De Baanbreker</v>
      </c>
      <c r="C163" s="435" t="str">
        <f>VLOOKUP(Ruimtestaat[[#This Row],[Code]],Locaties[[#All],[Code]:[Adres]],4,FALSE)</f>
        <v>Lijnbaan 319</v>
      </c>
      <c r="D163" s="435" t="str">
        <f>VLOOKUP(Ruimtestaat[[#This Row],[Code]],Locaties[[#All],[Code]:[Postcode]],5,FALSE)</f>
        <v>2728 AG</v>
      </c>
      <c r="E163" s="435" t="str">
        <f>VLOOKUP(Ruimtestaat[[#This Row],[Code]],Locaties[#All],6,FALSE)</f>
        <v>Zoetermeer</v>
      </c>
      <c r="F163" s="434"/>
      <c r="G163" s="434" t="s">
        <v>1678</v>
      </c>
      <c r="H163" s="330" t="s">
        <v>1699</v>
      </c>
      <c r="I163" s="450" t="s">
        <v>1673</v>
      </c>
      <c r="J163" s="330">
        <v>5</v>
      </c>
      <c r="K163" s="450" t="str">
        <f>VLOOKUP(Ruimtestaat[[#This Row],[Ruimte code]],Ruimtegroepen[[#All],[Code]:[Ruimte omschrijving]],2,FALSE)</f>
        <v>Sanitair</v>
      </c>
      <c r="L163" s="434" t="s">
        <v>101</v>
      </c>
      <c r="M163" s="437" t="s">
        <v>1947</v>
      </c>
      <c r="N163" s="439">
        <v>6</v>
      </c>
      <c r="O163" s="439"/>
      <c r="P163" s="439"/>
      <c r="Q163" s="439"/>
      <c r="R163" s="440" t="str">
        <f>VLOOKUP(Ruimtestaat[[#This Row],[Ruimte code]],Ruimtegroepen[],4,FALSE)</f>
        <v>Sa</v>
      </c>
      <c r="S163" s="434">
        <v>41</v>
      </c>
      <c r="T163" s="434" t="s">
        <v>2</v>
      </c>
      <c r="U163" s="434">
        <f>IF(S163&gt;0,IF(RIGHT(Ruimtestaat[[#This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63" s="434">
        <f>IF(U163&gt;0,VLOOKUP($J163,Ruimtegroepen[],3,FALSE)*VLOOKUP($L163,Vloersoorten[],3,FALSE)*VLOOKUP($T163,Frequenties[],3,FALSE)*VLOOKUP($A163,Locaties[],3,FALSE),0)</f>
        <v>0</v>
      </c>
      <c r="W163" s="434">
        <f>Ruimtestaat[[#This Row],[Uitvoeringen werkdagen]]*Ruimtestaat[[#This Row],[Oppervlak (netto)]]</f>
        <v>1230</v>
      </c>
      <c r="X163" s="441">
        <f>IF(V163&gt;0,Ruimtestaat[[#This Row],[Prest. (m2 /jaar) werkdagen]]/Ruimtestaat[[#This Row],[Norm (m2/uur) werkdagen]],0)</f>
        <v>0</v>
      </c>
      <c r="Y163" s="442">
        <f>Ruimtestaat[[#This Row],[Uitvoeringen werkdagen]]*Ruimtestaat[[#This Row],[Gedeeltelijk]]</f>
        <v>0</v>
      </c>
      <c r="Z163" s="443" t="e">
        <f>IF(U163&gt;0,Ruimtestaat[[#This Row],[Prest. (m2 / jaar) werkdagen gedeeld]]/Ruimtestaat[[#This Row],[Norm (m2/uur) werkdagen]],0)</f>
        <v>#DIV/0!</v>
      </c>
      <c r="AA163" s="441" t="e">
        <f>Ruimtestaat[[#This Row],[uren / jaar werkdagen gedeeld]]*Tariefsopbouw!$E$35</f>
        <v>#DIV/0!</v>
      </c>
      <c r="AB163" s="441">
        <f>Ruimtestaat[[#This Row],[Uitvoeringen werkdagen]]*Ruimtestaat[[#This Row],[BSO]]</f>
        <v>0</v>
      </c>
      <c r="AC163" s="443" t="e">
        <f>IF(U163&gt;0,Ruimtestaat[[#This Row],[Prest. (m2 / jaar) werkdagen BSO]]/Ruimtestaat[[#This Row],[Norm (m2/uur) werkdagen]],0)</f>
        <v>#DIV/0!</v>
      </c>
      <c r="AD163" s="443" t="e">
        <f>Ruimtestaat[[#This Row],[uren / jaar werkdagen BSO]]*Tariefsopbouw!$E$35</f>
        <v>#DIV/0!</v>
      </c>
      <c r="AE163" s="444">
        <f>Ruimtestaat[[#This Row],[uren / jaar werkdagen]]*Tariefsopbouw!$E$35</f>
        <v>0</v>
      </c>
      <c r="AF163" s="434"/>
      <c r="AG163" s="434">
        <f>IF(Ruimtestaat[[#This Row],[Frequentie weekend]]&gt;0,VALUE(LEFT(AF163,1))*S163,0)</f>
        <v>0</v>
      </c>
      <c r="AH163" s="445">
        <f>IF($AG163&gt;0,VLOOKUP($J163,Ruimtegroepen[],3,FALSE)*VLOOKUP($L163,Vloersoorten[],3,FALSE)*VLOOKUP($AF163,Frequenties[],3,FALSE)*VLOOKUP(Ruimtestaat[[#This Row],[Code]],Locaties[],3,FALSE),0)</f>
        <v>0</v>
      </c>
      <c r="AI163" s="445">
        <f>Ruimtestaat[[#This Row],[Uitvoeringen weekend]]*Ruimtestaat[[#This Row],[Oppervlak (netto)]]</f>
        <v>0</v>
      </c>
      <c r="AJ163" s="445">
        <f>IF(AH163&gt;0,Ruimtestaat[[#This Row],[Prest. (m2 /jaar) weekend]]/Ruimtestaat[[#This Row],[Norm (m2/uur) weekend]],0)</f>
        <v>0</v>
      </c>
      <c r="AK163" s="444">
        <f>Ruimtestaat[[#This Row],[uren / jaar weekend]]*Tariefsopbouw!$D$40</f>
        <v>0</v>
      </c>
      <c r="AL163" s="441">
        <f>Ruimtestaat[[#This Row],[Prest. (m2 /jaar) weekend]]+Ruimtestaat[[#This Row],[Prest. (m2 /jaar) werkdagen]]</f>
        <v>1230</v>
      </c>
      <c r="AM163" s="441">
        <f>Ruimtestaat[[#This Row],[uren / jaar weekend]]+Ruimtestaat[[#This Row],[uren / jaar werkdagen]]</f>
        <v>0</v>
      </c>
      <c r="AN163" s="446">
        <f>Ruimtestaat[[#This Row],[kosten / jaar weekend]]+Ruimtestaat[[#This Row],[kosten / jaar werkdagen]]</f>
        <v>0</v>
      </c>
      <c r="AO163" s="446"/>
      <c r="AP163" s="447" t="str">
        <f>IF(Ruimtestaat[[#This Row],[Frequentie werkdagen]]="","",_xlfn.CONCAT(Ruimtestaat[[#This Row],[Ruimte code]],"-",Ruimtestaat[[#This Row],[Frequentie werkdagen]]," ",Ruimtestaat[[#This Row],[Vloer code]]))</f>
        <v>5-5w S</v>
      </c>
      <c r="AQ163" s="448" t="str">
        <f>_xlfn.IFNA(VLOOKUP($AP163,Programma!$F$3:$G$1101,2,0),"")</f>
        <v>_</v>
      </c>
      <c r="AR163" s="448" t="str">
        <f>_xlfn.IFNA(VLOOKUP($AP163,Programma!$F$3:$H$1101,3,0),"")</f>
        <v>_</v>
      </c>
      <c r="AS163" s="448" t="str">
        <f>_xlfn.IFNA(VLOOKUP($AP163,Programma!$F$3:$I$1101,4,0),"")</f>
        <v>_</v>
      </c>
      <c r="AT163" s="448" t="str">
        <f>_xlfn.IFNA(VLOOKUP($AP163,Programma!$F$3:$J$1101,5,0),"")</f>
        <v>4w</v>
      </c>
      <c r="AU163" s="448" t="str">
        <f>_xlfn.IFNA(VLOOKUP($AP163,Programma!$F$3:$K$1101,6,0),"")</f>
        <v>1w</v>
      </c>
      <c r="AV163" s="448" t="str">
        <f>_xlfn.IFNA(VLOOKUP($AP163,Programma!$F$3:$L$1101,7,0),"")</f>
        <v>_</v>
      </c>
      <c r="AW163" s="448" t="str">
        <f>_xlfn.IFNA(VLOOKUP($AP163,Programma!$F$3:$M$1101,8,0),"")</f>
        <v>_</v>
      </c>
      <c r="AX163" s="448" t="str">
        <f>_xlfn.IFNA(VLOOKUP($AP163,Programma!$F$3:$N$1101,9,0),"")</f>
        <v>_</v>
      </c>
      <c r="AY163" s="448" t="str">
        <f>_xlfn.IFNA(VLOOKUP($AP163,Programma!$F$3:$O$1101,10,0),"")</f>
        <v>_</v>
      </c>
      <c r="AZ163" s="448" t="str">
        <f>_xlfn.IFNA(VLOOKUP($AP163,Programma!$F$3:$P$1101,11,0),"")</f>
        <v>_</v>
      </c>
      <c r="BA163" s="448" t="str">
        <f>_xlfn.IFNA(VLOOKUP($AP163,Programma!$F$3:$Q$1101,12,0),"")</f>
        <v>_</v>
      </c>
      <c r="BB163" s="448" t="str">
        <f>_xlfn.IFNA(VLOOKUP($AP163,Programma!$F$3:$R$1101,13,0),"")</f>
        <v>_</v>
      </c>
      <c r="BC163" s="448" t="str">
        <f>_xlfn.IFNA(VLOOKUP($AP163,Programma!$F$3:$S$1101,14,0),"")</f>
        <v>_</v>
      </c>
      <c r="BD163" s="448" t="str">
        <f>_xlfn.IFNA(VLOOKUP($AP163,Programma!$F$3:$T$1101,15,0),"")</f>
        <v>_</v>
      </c>
      <c r="BE163" s="448" t="str">
        <f>_xlfn.IFNA(VLOOKUP($AP163,Programma!$F$3:$U$1101,16,0),"")</f>
        <v>_</v>
      </c>
      <c r="BF163" s="448" t="str">
        <f>_xlfn.IFNA(VLOOKUP($AP163,Programma!$F$3:$V$1101,17,0),"")</f>
        <v>_</v>
      </c>
      <c r="BG163" s="448" t="str">
        <f>_xlfn.IFNA(VLOOKUP($AP163,Programma!$F$3:$W$1101,18,0),"")</f>
        <v>4w</v>
      </c>
      <c r="BH163" s="448" t="str">
        <f>_xlfn.IFNA(VLOOKUP($AP163,Programma!$F$3:$X$1101,19,0),"")</f>
        <v>1w</v>
      </c>
      <c r="BI163" s="448" t="str">
        <f>_xlfn.IFNA(VLOOKUP($AP163,Programma!$F$3:$Y$1101,20,0),"")</f>
        <v>_</v>
      </c>
      <c r="BJ163" s="449"/>
      <c r="BK163" s="447" t="str">
        <f>IF(Ruimtestaat[[#This Row],[Frequentie weekend]]="","",_xlfn.CONCAT(Ruimtestaat[[#This Row],[Ruimte code]],"-",Ruimtestaat[[#This Row],[Frequentie weekend]]," ",Ruimtestaat[[#This Row],[Vloer code]]))</f>
        <v/>
      </c>
      <c r="BL163" s="448" t="str">
        <f>_xlfn.IFNA(VLOOKUP($BK163,Programma!$F$3:$G$1101,2,0),"")</f>
        <v/>
      </c>
      <c r="BM163" s="448" t="str">
        <f>_xlfn.IFNA(VLOOKUP($BK163,Programma!$F$3:$H$1101,3,0),"")</f>
        <v/>
      </c>
      <c r="BN163" s="448" t="str">
        <f>_xlfn.IFNA(VLOOKUP($BK163,Programma!$F$3:$I$1101,4,0),"")</f>
        <v/>
      </c>
      <c r="BO163" s="448" t="str">
        <f>_xlfn.IFNA(VLOOKUP($BK163,Programma!$F$3:$J$1101,5,0),"")</f>
        <v/>
      </c>
      <c r="BP163" s="448" t="str">
        <f>_xlfn.IFNA(VLOOKUP($BK163,Programma!$F$3:$K$1101,6,0),"")</f>
        <v/>
      </c>
      <c r="BQ163" s="448" t="str">
        <f>_xlfn.IFNA(VLOOKUP($BK163,Programma!$F$3:$L$1101,7,0),"")</f>
        <v/>
      </c>
      <c r="BR163" s="448" t="str">
        <f>_xlfn.IFNA(VLOOKUP($BK163,Programma!$F$3:$M$1101,8,0),"")</f>
        <v/>
      </c>
      <c r="BS163" s="448" t="str">
        <f>_xlfn.IFNA(VLOOKUP($BK163,Programma!$F$3:$N$1101,9,0),"")</f>
        <v/>
      </c>
      <c r="BT163" s="448" t="str">
        <f>_xlfn.IFNA(VLOOKUP($BK163,Programma!$F$3:$O$1101,10,0),"")</f>
        <v/>
      </c>
      <c r="BU163" s="448" t="str">
        <f>_xlfn.IFNA(VLOOKUP($BK163,Programma!$F$3:$P$1101,11,0),"")</f>
        <v/>
      </c>
      <c r="BV163" s="448" t="str">
        <f>_xlfn.IFNA(VLOOKUP($BK163,Programma!$F$3:$Q$1101,12,0),"")</f>
        <v/>
      </c>
      <c r="BW163" s="448" t="str">
        <f>_xlfn.IFNA(VLOOKUP($BK163,Programma!$F$3:$R$1101,13,0),"")</f>
        <v/>
      </c>
      <c r="BX163" s="448" t="str">
        <f>_xlfn.IFNA(VLOOKUP($BK163,Programma!$F$3:$S$1101,14,0),"")</f>
        <v/>
      </c>
      <c r="BY163" s="448" t="str">
        <f>_xlfn.IFNA(VLOOKUP($BK163,Programma!$F$3:$T$1101,15,0),"")</f>
        <v/>
      </c>
      <c r="BZ163" s="448" t="str">
        <f>_xlfn.IFNA(VLOOKUP($BK163,Programma!$F$3:$U$1101,16,0),"")</f>
        <v/>
      </c>
      <c r="CA163" s="448" t="str">
        <f>_xlfn.IFNA(VLOOKUP($BK163,Programma!$F$3:$V$1101,17,0),"")</f>
        <v/>
      </c>
      <c r="CB163" s="448" t="str">
        <f>_xlfn.IFNA(VLOOKUP($BK163,Programma!$F$3:$W$1101,18,0),"")</f>
        <v/>
      </c>
      <c r="CC163" s="448" t="str">
        <f>_xlfn.IFNA(VLOOKUP($BK163,Programma!$F$3:$X$1101,19,0),"")</f>
        <v/>
      </c>
      <c r="CD163" s="448" t="str">
        <f>_xlfn.IFNA(VLOOKUP($BK163,Programma!$F$3:$Y$1101,20,0),"")</f>
        <v/>
      </c>
      <c r="CE163" s="327"/>
      <c r="CF163" s="327"/>
      <c r="CG163" s="327"/>
      <c r="CH163" s="327"/>
      <c r="CI163" s="327"/>
      <c r="CJ163" s="327"/>
      <c r="CK163" s="327"/>
      <c r="CL163" s="327"/>
      <c r="CM163" s="327"/>
      <c r="CN163" s="327"/>
      <c r="CO163" s="327"/>
      <c r="CP163" s="327"/>
      <c r="CQ163" s="327"/>
      <c r="CR163" s="327"/>
      <c r="CS163" s="327"/>
      <c r="CT163" s="327"/>
      <c r="CU163" s="327"/>
      <c r="CV163" s="327"/>
      <c r="CW163" s="327"/>
      <c r="CX163" s="327"/>
      <c r="CY163" s="327"/>
      <c r="CZ163" s="327"/>
      <c r="DA163" s="327"/>
      <c r="DB163" s="327"/>
      <c r="DC163" s="327"/>
      <c r="DD163" s="327"/>
      <c r="DE163" s="327"/>
      <c r="DF163" s="327"/>
      <c r="DG163" s="327"/>
      <c r="DH163" s="327"/>
      <c r="DI163" s="327"/>
      <c r="DJ163" s="327"/>
      <c r="DK163" s="327"/>
      <c r="DL163" s="327"/>
      <c r="DM163" s="327"/>
      <c r="DN163" s="327"/>
      <c r="DO163" s="327"/>
      <c r="DP163" s="327"/>
      <c r="DQ163" s="327"/>
      <c r="DR163" s="327"/>
      <c r="DS163" s="327"/>
      <c r="DT163" s="327"/>
      <c r="DU163" s="327"/>
      <c r="DV163" s="327"/>
      <c r="DW163" s="327"/>
      <c r="DX163" s="327"/>
      <c r="DY163" s="327"/>
      <c r="DZ163" s="327"/>
      <c r="EA163" s="327"/>
      <c r="EB163" s="327"/>
      <c r="EC163" s="327"/>
      <c r="ED163" s="327"/>
      <c r="EE163" s="327"/>
      <c r="EF163" s="327"/>
      <c r="EG163" s="327"/>
      <c r="EH163" s="327"/>
      <c r="EI163" s="327"/>
      <c r="EJ163" s="327"/>
      <c r="EK163" s="327"/>
      <c r="EL163" s="327"/>
      <c r="EM163" s="327"/>
      <c r="EN163" s="327"/>
      <c r="EO163" s="327"/>
      <c r="EP163" s="327"/>
      <c r="EQ163" s="327"/>
      <c r="ER163" s="327"/>
      <c r="ES163" s="327"/>
      <c r="ET163" s="327"/>
      <c r="EU163" s="327"/>
      <c r="EV163" s="327"/>
      <c r="EW163" s="327"/>
      <c r="EX163" s="327"/>
      <c r="EY163" s="327"/>
      <c r="EZ163" s="327"/>
      <c r="FA163" s="327"/>
      <c r="FB163" s="327"/>
      <c r="FC163" s="327"/>
      <c r="FD163" s="327"/>
      <c r="FE163" s="327"/>
      <c r="FF163" s="327"/>
      <c r="FG163" s="327"/>
      <c r="FH163" s="327"/>
      <c r="FI163" s="327"/>
      <c r="FJ163" s="327"/>
      <c r="FK163" s="327"/>
      <c r="FL163" s="327"/>
      <c r="FM163" s="327"/>
      <c r="FN163" s="327"/>
      <c r="FO163" s="327"/>
      <c r="FP163" s="327"/>
      <c r="FQ163" s="327"/>
      <c r="FR163" s="327"/>
      <c r="FS163" s="327"/>
      <c r="FT163" s="327"/>
      <c r="FU163" s="327"/>
      <c r="FV163" s="327"/>
      <c r="FW163" s="327"/>
      <c r="FX163" s="327"/>
      <c r="FY163" s="327"/>
      <c r="FZ163" s="327"/>
      <c r="GA163" s="327"/>
      <c r="GB163" s="327"/>
      <c r="GC163" s="327"/>
      <c r="GD163" s="327"/>
      <c r="GE163" s="327"/>
      <c r="GF163" s="327"/>
      <c r="GG163" s="327"/>
      <c r="GH163" s="327"/>
      <c r="GI163" s="327"/>
      <c r="GJ163" s="327"/>
      <c r="GK163" s="327"/>
      <c r="GL163" s="327"/>
      <c r="GM163" s="327"/>
      <c r="GN163" s="327"/>
      <c r="GO163" s="327"/>
      <c r="GP163" s="327"/>
      <c r="GQ163" s="327"/>
      <c r="GR163" s="327"/>
      <c r="GS163" s="327"/>
      <c r="GT163" s="327"/>
      <c r="GU163" s="327"/>
      <c r="GV163" s="327"/>
      <c r="GW163" s="327"/>
      <c r="GX163" s="327"/>
      <c r="GY163" s="327"/>
      <c r="GZ163" s="327"/>
      <c r="HA163" s="327"/>
      <c r="HB163" s="327"/>
      <c r="HC163" s="327"/>
      <c r="HD163" s="327"/>
      <c r="HE163" s="327"/>
      <c r="HF163" s="327"/>
      <c r="HG163" s="327"/>
      <c r="HH163" s="327"/>
      <c r="HI163" s="327"/>
      <c r="HJ163" s="327"/>
      <c r="HK163" s="327"/>
      <c r="HL163" s="327"/>
      <c r="HM163" s="327"/>
      <c r="HN163" s="327"/>
      <c r="HO163" s="327"/>
      <c r="HP163" s="327"/>
      <c r="HQ163" s="327"/>
      <c r="HR163" s="327"/>
      <c r="HS163" s="327"/>
    </row>
    <row r="164" spans="1:227" ht="15" customHeight="1">
      <c r="A164" s="330">
        <v>7</v>
      </c>
      <c r="B164" s="435" t="str">
        <f>VLOOKUP(Ruimtestaat[[#This Row],[Code]],Locaties[[Code]:[Locatie]],2,FALSE)</f>
        <v>IKC De Baanbreker</v>
      </c>
      <c r="C164" s="435" t="str">
        <f>VLOOKUP(Ruimtestaat[[#This Row],[Code]],Locaties[[#All],[Code]:[Adres]],4,FALSE)</f>
        <v>Lijnbaan 319</v>
      </c>
      <c r="D164" s="435" t="str">
        <f>VLOOKUP(Ruimtestaat[[#This Row],[Code]],Locaties[[#All],[Code]:[Postcode]],5,FALSE)</f>
        <v>2728 AG</v>
      </c>
      <c r="E164" s="435" t="str">
        <f>VLOOKUP(Ruimtestaat[[#This Row],[Code]],Locaties[#All],6,FALSE)</f>
        <v>Zoetermeer</v>
      </c>
      <c r="F164" s="434"/>
      <c r="G164" s="434" t="s">
        <v>1678</v>
      </c>
      <c r="I164" s="450" t="s">
        <v>1773</v>
      </c>
      <c r="J164" s="330">
        <v>10</v>
      </c>
      <c r="K164" s="450" t="str">
        <f>VLOOKUP(Ruimtestaat[[#This Row],[Ruimte code]],Ruimtegroepen[[#All],[Code]:[Ruimte omschrijving]],2,FALSE)</f>
        <v>Trappenhuizen/lift</v>
      </c>
      <c r="L164" s="434" t="s">
        <v>101</v>
      </c>
      <c r="M164" s="437" t="s">
        <v>2103</v>
      </c>
      <c r="N164" s="439">
        <v>9.5</v>
      </c>
      <c r="O164" s="439"/>
      <c r="P164" s="439"/>
      <c r="Q164" s="439"/>
      <c r="R164" s="440" t="str">
        <f>VLOOKUP(Ruimtestaat[[#This Row],[Ruimte code]],Ruimtegroepen[],4,FALSE)</f>
        <v>Ve</v>
      </c>
      <c r="S164" s="434">
        <v>41</v>
      </c>
      <c r="T164" s="434" t="s">
        <v>2</v>
      </c>
      <c r="U164" s="434">
        <f>IF(S164&gt;0,IF(RIGHT(Ruimtestaat[[#This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64" s="434">
        <f>IF(U164&gt;0,VLOOKUP($J164,Ruimtegroepen[],3,FALSE)*VLOOKUP($L164,Vloersoorten[],3,FALSE)*VLOOKUP($T164,Frequenties[],3,FALSE)*VLOOKUP($A164,Locaties[],3,FALSE),0)</f>
        <v>0</v>
      </c>
      <c r="W164" s="434">
        <f>Ruimtestaat[[#This Row],[Uitvoeringen werkdagen]]*Ruimtestaat[[#This Row],[Oppervlak (netto)]]</f>
        <v>1947.5</v>
      </c>
      <c r="X164" s="441">
        <f>IF(V164&gt;0,Ruimtestaat[[#This Row],[Prest. (m2 /jaar) werkdagen]]/Ruimtestaat[[#This Row],[Norm (m2/uur) werkdagen]],0)</f>
        <v>0</v>
      </c>
      <c r="Y164" s="442">
        <f>Ruimtestaat[[#This Row],[Uitvoeringen werkdagen]]*Ruimtestaat[[#This Row],[Gedeeltelijk]]</f>
        <v>0</v>
      </c>
      <c r="Z164" s="443" t="e">
        <f>IF(U164&gt;0,Ruimtestaat[[#This Row],[Prest. (m2 / jaar) werkdagen gedeeld]]/Ruimtestaat[[#This Row],[Norm (m2/uur) werkdagen]],0)</f>
        <v>#DIV/0!</v>
      </c>
      <c r="AA164" s="441" t="e">
        <f>Ruimtestaat[[#This Row],[uren / jaar werkdagen gedeeld]]*Tariefsopbouw!$E$35</f>
        <v>#DIV/0!</v>
      </c>
      <c r="AB164" s="441">
        <f>Ruimtestaat[[#This Row],[Uitvoeringen werkdagen]]*Ruimtestaat[[#This Row],[BSO]]</f>
        <v>0</v>
      </c>
      <c r="AC164" s="443" t="e">
        <f>IF(U164&gt;0,Ruimtestaat[[#This Row],[Prest. (m2 / jaar) werkdagen BSO]]/Ruimtestaat[[#This Row],[Norm (m2/uur) werkdagen]],0)</f>
        <v>#DIV/0!</v>
      </c>
      <c r="AD164" s="443" t="e">
        <f>Ruimtestaat[[#This Row],[uren / jaar werkdagen BSO]]*Tariefsopbouw!$E$35</f>
        <v>#DIV/0!</v>
      </c>
      <c r="AE164" s="444">
        <f>Ruimtestaat[[#This Row],[uren / jaar werkdagen]]*Tariefsopbouw!$E$35</f>
        <v>0</v>
      </c>
      <c r="AF164" s="434"/>
      <c r="AG164" s="434">
        <f>IF(Ruimtestaat[[#This Row],[Frequentie weekend]]&gt;0,VALUE(LEFT(AF164,1))*S164,0)</f>
        <v>0</v>
      </c>
      <c r="AH164" s="445">
        <f>IF($AG164&gt;0,VLOOKUP($J164,Ruimtegroepen[],3,FALSE)*VLOOKUP($L164,Vloersoorten[],3,FALSE)*VLOOKUP($AF164,Frequenties[],3,FALSE)*VLOOKUP(Ruimtestaat[[#This Row],[Code]],Locaties[],3,FALSE),0)</f>
        <v>0</v>
      </c>
      <c r="AI164" s="445">
        <f>Ruimtestaat[[#This Row],[Uitvoeringen weekend]]*Ruimtestaat[[#This Row],[Oppervlak (netto)]]</f>
        <v>0</v>
      </c>
      <c r="AJ164" s="445">
        <f>IF(AH164&gt;0,Ruimtestaat[[#This Row],[Prest. (m2 /jaar) weekend]]/Ruimtestaat[[#This Row],[Norm (m2/uur) weekend]],0)</f>
        <v>0</v>
      </c>
      <c r="AK164" s="444">
        <f>Ruimtestaat[[#This Row],[uren / jaar weekend]]*Tariefsopbouw!$D$40</f>
        <v>0</v>
      </c>
      <c r="AL164" s="441">
        <f>Ruimtestaat[[#This Row],[Prest. (m2 /jaar) weekend]]+Ruimtestaat[[#This Row],[Prest. (m2 /jaar) werkdagen]]</f>
        <v>1947.5</v>
      </c>
      <c r="AM164" s="441">
        <f>Ruimtestaat[[#This Row],[uren / jaar weekend]]+Ruimtestaat[[#This Row],[uren / jaar werkdagen]]</f>
        <v>0</v>
      </c>
      <c r="AN164" s="446">
        <f>Ruimtestaat[[#This Row],[kosten / jaar weekend]]+Ruimtestaat[[#This Row],[kosten / jaar werkdagen]]</f>
        <v>0</v>
      </c>
      <c r="AO164" s="446"/>
      <c r="AP164" s="447" t="str">
        <f>IF(Ruimtestaat[[#This Row],[Frequentie werkdagen]]="","",_xlfn.CONCAT(Ruimtestaat[[#This Row],[Ruimte code]],"-",Ruimtestaat[[#This Row],[Frequentie werkdagen]]," ",Ruimtestaat[[#This Row],[Vloer code]]))</f>
        <v>10-5w S</v>
      </c>
      <c r="AQ164" s="448" t="str">
        <f>_xlfn.IFNA(VLOOKUP($AP164,Programma!$F$3:$G$1101,2,0),"")</f>
        <v>_</v>
      </c>
      <c r="AR164" s="448" t="str">
        <f>_xlfn.IFNA(VLOOKUP($AP164,Programma!$F$3:$H$1101,3,0),"")</f>
        <v>_</v>
      </c>
      <c r="AS164" s="448" t="str">
        <f>_xlfn.IFNA(VLOOKUP($AP164,Programma!$F$3:$I$1101,4,0),"")</f>
        <v>4w</v>
      </c>
      <c r="AT164" s="448" t="str">
        <f>_xlfn.IFNA(VLOOKUP($AP164,Programma!$F$3:$J$1101,5,0),"")</f>
        <v>1w</v>
      </c>
      <c r="AU164" s="448" t="str">
        <f>_xlfn.IFNA(VLOOKUP($AP164,Programma!$F$3:$K$1101,6,0),"")</f>
        <v>4j</v>
      </c>
      <c r="AV164" s="448" t="str">
        <f>_xlfn.IFNA(VLOOKUP($AP164,Programma!$F$3:$L$1101,7,0),"")</f>
        <v>_</v>
      </c>
      <c r="AW164" s="448" t="str">
        <f>_xlfn.IFNA(VLOOKUP($AP164,Programma!$F$3:$M$1101,8,0),"")</f>
        <v>_</v>
      </c>
      <c r="AX164" s="448" t="str">
        <f>_xlfn.IFNA(VLOOKUP($AP164,Programma!$F$3:$N$1101,9,0),"")</f>
        <v>_</v>
      </c>
      <c r="AY164" s="448" t="str">
        <f>_xlfn.IFNA(VLOOKUP($AP164,Programma!$F$3:$O$1101,10,0),"")</f>
        <v>5w</v>
      </c>
      <c r="AZ164" s="448" t="str">
        <f>_xlfn.IFNA(VLOOKUP($AP164,Programma!$F$3:$P$1101,11,0),"")</f>
        <v>5w</v>
      </c>
      <c r="BA164" s="448" t="str">
        <f>_xlfn.IFNA(VLOOKUP($AP164,Programma!$F$3:$Q$1101,12,0),"")</f>
        <v>1w</v>
      </c>
      <c r="BB164" s="448" t="str">
        <f>_xlfn.IFNA(VLOOKUP($AP164,Programma!$F$3:$R$1101,13,0),"")</f>
        <v>1w</v>
      </c>
      <c r="BC164" s="448" t="str">
        <f>_xlfn.IFNA(VLOOKUP($AP164,Programma!$F$3:$S$1101,14,0),"")</f>
        <v>1m</v>
      </c>
      <c r="BD164" s="448" t="str">
        <f>_xlfn.IFNA(VLOOKUP($AP164,Programma!$F$3:$T$1101,15,0),"")</f>
        <v>2j</v>
      </c>
      <c r="BE164" s="448" t="str">
        <f>_xlfn.IFNA(VLOOKUP($AP164,Programma!$F$3:$U$1101,16,0),"")</f>
        <v>1j</v>
      </c>
      <c r="BF164" s="448" t="str">
        <f>_xlfn.IFNA(VLOOKUP($AP164,Programma!$F$3:$V$1101,17,0),"")</f>
        <v>_</v>
      </c>
      <c r="BG164" s="448" t="str">
        <f>_xlfn.IFNA(VLOOKUP($AP164,Programma!$F$3:$W$1101,18,0),"")</f>
        <v>_</v>
      </c>
      <c r="BH164" s="448" t="str">
        <f>_xlfn.IFNA(VLOOKUP($AP164,Programma!$F$3:$X$1101,19,0),"")</f>
        <v>_</v>
      </c>
      <c r="BI164" s="448" t="str">
        <f>_xlfn.IFNA(VLOOKUP($AP164,Programma!$F$3:$Y$1101,20,0),"")</f>
        <v>_</v>
      </c>
      <c r="BJ164" s="449"/>
      <c r="BK164" s="447" t="str">
        <f>IF(Ruimtestaat[[#This Row],[Frequentie weekend]]="","",_xlfn.CONCAT(Ruimtestaat[[#This Row],[Ruimte code]],"-",Ruimtestaat[[#This Row],[Frequentie weekend]]," ",Ruimtestaat[[#This Row],[Vloer code]]))</f>
        <v/>
      </c>
      <c r="BL164" s="448" t="str">
        <f>_xlfn.IFNA(VLOOKUP($BK164,Programma!$F$3:$G$1101,2,0),"")</f>
        <v/>
      </c>
      <c r="BM164" s="448" t="str">
        <f>_xlfn.IFNA(VLOOKUP($BK164,Programma!$F$3:$H$1101,3,0),"")</f>
        <v/>
      </c>
      <c r="BN164" s="448" t="str">
        <f>_xlfn.IFNA(VLOOKUP($BK164,Programma!$F$3:$I$1101,4,0),"")</f>
        <v/>
      </c>
      <c r="BO164" s="448" t="str">
        <f>_xlfn.IFNA(VLOOKUP($BK164,Programma!$F$3:$J$1101,5,0),"")</f>
        <v/>
      </c>
      <c r="BP164" s="448" t="str">
        <f>_xlfn.IFNA(VLOOKUP($BK164,Programma!$F$3:$K$1101,6,0),"")</f>
        <v/>
      </c>
      <c r="BQ164" s="448" t="str">
        <f>_xlfn.IFNA(VLOOKUP($BK164,Programma!$F$3:$L$1101,7,0),"")</f>
        <v/>
      </c>
      <c r="BR164" s="448" t="str">
        <f>_xlfn.IFNA(VLOOKUP($BK164,Programma!$F$3:$M$1101,8,0),"")</f>
        <v/>
      </c>
      <c r="BS164" s="448" t="str">
        <f>_xlfn.IFNA(VLOOKUP($BK164,Programma!$F$3:$N$1101,9,0),"")</f>
        <v/>
      </c>
      <c r="BT164" s="448" t="str">
        <f>_xlfn.IFNA(VLOOKUP($BK164,Programma!$F$3:$O$1101,10,0),"")</f>
        <v/>
      </c>
      <c r="BU164" s="448" t="str">
        <f>_xlfn.IFNA(VLOOKUP($BK164,Programma!$F$3:$P$1101,11,0),"")</f>
        <v/>
      </c>
      <c r="BV164" s="448" t="str">
        <f>_xlfn.IFNA(VLOOKUP($BK164,Programma!$F$3:$Q$1101,12,0),"")</f>
        <v/>
      </c>
      <c r="BW164" s="448" t="str">
        <f>_xlfn.IFNA(VLOOKUP($BK164,Programma!$F$3:$R$1101,13,0),"")</f>
        <v/>
      </c>
      <c r="BX164" s="448" t="str">
        <f>_xlfn.IFNA(VLOOKUP($BK164,Programma!$F$3:$S$1101,14,0),"")</f>
        <v/>
      </c>
      <c r="BY164" s="448" t="str">
        <f>_xlfn.IFNA(VLOOKUP($BK164,Programma!$F$3:$T$1101,15,0),"")</f>
        <v/>
      </c>
      <c r="BZ164" s="448" t="str">
        <f>_xlfn.IFNA(VLOOKUP($BK164,Programma!$F$3:$U$1101,16,0),"")</f>
        <v/>
      </c>
      <c r="CA164" s="448" t="str">
        <f>_xlfn.IFNA(VLOOKUP($BK164,Programma!$F$3:$V$1101,17,0),"")</f>
        <v/>
      </c>
      <c r="CB164" s="448" t="str">
        <f>_xlfn.IFNA(VLOOKUP($BK164,Programma!$F$3:$W$1101,18,0),"")</f>
        <v/>
      </c>
      <c r="CC164" s="448" t="str">
        <f>_xlfn.IFNA(VLOOKUP($BK164,Programma!$F$3:$X$1101,19,0),"")</f>
        <v/>
      </c>
      <c r="CD164" s="448" t="str">
        <f>_xlfn.IFNA(VLOOKUP($BK164,Programma!$F$3:$Y$1101,20,0),"")</f>
        <v/>
      </c>
      <c r="CE164" s="327"/>
      <c r="CF164" s="327"/>
      <c r="CG164" s="327"/>
      <c r="CH164" s="327"/>
      <c r="CI164" s="327"/>
      <c r="CJ164" s="327"/>
      <c r="CK164" s="327"/>
      <c r="CL164" s="327"/>
      <c r="CM164" s="327"/>
      <c r="CN164" s="327"/>
      <c r="CO164" s="327"/>
      <c r="CP164" s="327"/>
      <c r="CQ164" s="327"/>
      <c r="CR164" s="327"/>
      <c r="CS164" s="327"/>
      <c r="CT164" s="327"/>
      <c r="CU164" s="327"/>
      <c r="CV164" s="327"/>
      <c r="CW164" s="327"/>
      <c r="CX164" s="327"/>
      <c r="CY164" s="327"/>
      <c r="CZ164" s="327"/>
      <c r="DA164" s="327"/>
      <c r="DB164" s="327"/>
      <c r="DC164" s="327"/>
      <c r="DD164" s="327"/>
      <c r="DE164" s="327"/>
      <c r="DF164" s="327"/>
      <c r="DG164" s="327"/>
      <c r="DH164" s="327"/>
      <c r="DI164" s="327"/>
      <c r="DJ164" s="327"/>
      <c r="DK164" s="327"/>
      <c r="DL164" s="327"/>
      <c r="DM164" s="327"/>
      <c r="DN164" s="327"/>
      <c r="DO164" s="327"/>
      <c r="DP164" s="327"/>
      <c r="DQ164" s="327"/>
      <c r="DR164" s="327"/>
      <c r="DS164" s="327"/>
      <c r="DT164" s="327"/>
      <c r="DU164" s="327"/>
      <c r="DV164" s="327"/>
      <c r="DW164" s="327"/>
      <c r="DX164" s="327"/>
      <c r="DY164" s="327"/>
      <c r="DZ164" s="327"/>
      <c r="EA164" s="327"/>
      <c r="EB164" s="327"/>
      <c r="EC164" s="327"/>
      <c r="ED164" s="327"/>
      <c r="EE164" s="327"/>
      <c r="EF164" s="327"/>
      <c r="EG164" s="327"/>
      <c r="EH164" s="327"/>
      <c r="EI164" s="327"/>
      <c r="EJ164" s="327"/>
      <c r="EK164" s="327"/>
      <c r="EL164" s="327"/>
      <c r="EM164" s="327"/>
      <c r="EN164" s="327"/>
      <c r="EO164" s="327"/>
      <c r="EP164" s="327"/>
      <c r="EQ164" s="327"/>
      <c r="ER164" s="327"/>
      <c r="ES164" s="327"/>
      <c r="ET164" s="327"/>
      <c r="EU164" s="327"/>
      <c r="EV164" s="327"/>
      <c r="EW164" s="327"/>
      <c r="EX164" s="327"/>
      <c r="EY164" s="327"/>
      <c r="EZ164" s="327"/>
      <c r="FA164" s="327"/>
      <c r="FB164" s="327"/>
      <c r="FC164" s="327"/>
      <c r="FD164" s="327"/>
      <c r="FE164" s="327"/>
      <c r="FF164" s="327"/>
      <c r="FG164" s="327"/>
      <c r="FH164" s="327"/>
      <c r="FI164" s="327"/>
      <c r="FJ164" s="327"/>
      <c r="FK164" s="327"/>
      <c r="FL164" s="327"/>
      <c r="FM164" s="327"/>
      <c r="FN164" s="327"/>
      <c r="FO164" s="327"/>
      <c r="FP164" s="327"/>
      <c r="FQ164" s="327"/>
      <c r="FR164" s="327"/>
      <c r="FS164" s="327"/>
      <c r="FT164" s="327"/>
      <c r="FU164" s="327"/>
      <c r="FV164" s="327"/>
      <c r="FW164" s="327"/>
      <c r="FX164" s="327"/>
      <c r="FY164" s="327"/>
      <c r="FZ164" s="327"/>
      <c r="GA164" s="327"/>
      <c r="GB164" s="327"/>
      <c r="GC164" s="327"/>
      <c r="GD164" s="327"/>
      <c r="GE164" s="327"/>
      <c r="GF164" s="327"/>
      <c r="GG164" s="327"/>
      <c r="GH164" s="327"/>
      <c r="GI164" s="327"/>
      <c r="GJ164" s="327"/>
      <c r="GK164" s="327"/>
      <c r="GL164" s="327"/>
      <c r="GM164" s="327"/>
      <c r="GN164" s="327"/>
      <c r="GO164" s="327"/>
      <c r="GP164" s="327"/>
      <c r="GQ164" s="327"/>
      <c r="GR164" s="327"/>
      <c r="GS164" s="327"/>
      <c r="GT164" s="327"/>
      <c r="GU164" s="327"/>
      <c r="GV164" s="327"/>
      <c r="GW164" s="327"/>
      <c r="GX164" s="327"/>
      <c r="GY164" s="327"/>
      <c r="GZ164" s="327"/>
      <c r="HA164" s="327"/>
      <c r="HB164" s="327"/>
      <c r="HC164" s="327"/>
      <c r="HD164" s="327"/>
      <c r="HE164" s="327"/>
      <c r="HF164" s="327"/>
      <c r="HG164" s="327"/>
      <c r="HH164" s="327"/>
      <c r="HI164" s="327"/>
      <c r="HJ164" s="327"/>
      <c r="HK164" s="327"/>
      <c r="HL164" s="327"/>
      <c r="HM164" s="327"/>
      <c r="HN164" s="327"/>
      <c r="HO164" s="327"/>
      <c r="HP164" s="327"/>
      <c r="HQ164" s="327"/>
      <c r="HR164" s="327"/>
      <c r="HS164" s="327"/>
    </row>
    <row r="165" spans="1:227" ht="15" customHeight="1">
      <c r="A165" s="330">
        <v>7</v>
      </c>
      <c r="B165" s="435" t="str">
        <f>VLOOKUP(Ruimtestaat[[#This Row],[Code]],Locaties[[Code]:[Locatie]],2,FALSE)</f>
        <v>IKC De Baanbreker</v>
      </c>
      <c r="C165" s="435" t="str">
        <f>VLOOKUP(Ruimtestaat[[#This Row],[Code]],Locaties[[#All],[Code]:[Adres]],4,FALSE)</f>
        <v>Lijnbaan 319</v>
      </c>
      <c r="D165" s="435" t="str">
        <f>VLOOKUP(Ruimtestaat[[#This Row],[Code]],Locaties[[#All],[Code]:[Postcode]],5,FALSE)</f>
        <v>2728 AG</v>
      </c>
      <c r="E165" s="435" t="str">
        <f>VLOOKUP(Ruimtestaat[[#This Row],[Code]],Locaties[#All],6,FALSE)</f>
        <v>Zoetermeer</v>
      </c>
      <c r="F165" s="434"/>
      <c r="G165" s="434" t="s">
        <v>1769</v>
      </c>
      <c r="H165" s="330" t="s">
        <v>1709</v>
      </c>
      <c r="I165" s="450" t="s">
        <v>1679</v>
      </c>
      <c r="J165" s="330">
        <v>16</v>
      </c>
      <c r="K165" s="450" t="str">
        <f>VLOOKUP(Ruimtestaat[[#This Row],[Ruimte code]],Ruimtegroepen[[#All],[Code]:[Ruimte omschrijving]],2,FALSE)</f>
        <v>Leslokalen</v>
      </c>
      <c r="L165" s="434" t="s">
        <v>100</v>
      </c>
      <c r="M165" s="437" t="s">
        <v>1759</v>
      </c>
      <c r="N165" s="439">
        <v>54</v>
      </c>
      <c r="O165" s="439"/>
      <c r="P165" s="439"/>
      <c r="Q165" s="439"/>
      <c r="R165" s="440" t="str">
        <f>VLOOKUP(Ruimtestaat[[#This Row],[Ruimte code]],Ruimtegroepen[],4,FALSE)</f>
        <v>Le</v>
      </c>
      <c r="S165" s="434">
        <v>40</v>
      </c>
      <c r="T165" s="434" t="s">
        <v>2</v>
      </c>
      <c r="U165" s="434">
        <f>IF(S165&gt;0,IF(RIGHT(Ruimtestaat[[#This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5" s="434">
        <f>IF(U165&gt;0,VLOOKUP($J165,Ruimtegroepen[],3,FALSE)*VLOOKUP($L165,Vloersoorten[],3,FALSE)*VLOOKUP($T165,Frequenties[],3,FALSE)*VLOOKUP($A165,Locaties[],3,FALSE),0)</f>
        <v>0</v>
      </c>
      <c r="W165" s="434">
        <f>Ruimtestaat[[#This Row],[Uitvoeringen werkdagen]]*Ruimtestaat[[#This Row],[Oppervlak (netto)]]</f>
        <v>10800</v>
      </c>
      <c r="X165" s="441">
        <f>IF(V165&gt;0,Ruimtestaat[[#This Row],[Prest. (m2 /jaar) werkdagen]]/Ruimtestaat[[#This Row],[Norm (m2/uur) werkdagen]],0)</f>
        <v>0</v>
      </c>
      <c r="Y165" s="442">
        <f>Ruimtestaat[[#This Row],[Uitvoeringen werkdagen]]*Ruimtestaat[[#This Row],[Gedeeltelijk]]</f>
        <v>0</v>
      </c>
      <c r="Z165" s="443" t="e">
        <f>IF(U165&gt;0,Ruimtestaat[[#This Row],[Prest. (m2 / jaar) werkdagen gedeeld]]/Ruimtestaat[[#This Row],[Norm (m2/uur) werkdagen]],0)</f>
        <v>#DIV/0!</v>
      </c>
      <c r="AA165" s="441" t="e">
        <f>Ruimtestaat[[#This Row],[uren / jaar werkdagen gedeeld]]*Tariefsopbouw!$E$35</f>
        <v>#DIV/0!</v>
      </c>
      <c r="AB165" s="441">
        <f>Ruimtestaat[[#This Row],[Uitvoeringen werkdagen]]*Ruimtestaat[[#This Row],[BSO]]</f>
        <v>0</v>
      </c>
      <c r="AC165" s="443" t="e">
        <f>IF(U165&gt;0,Ruimtestaat[[#This Row],[Prest. (m2 / jaar) werkdagen BSO]]/Ruimtestaat[[#This Row],[Norm (m2/uur) werkdagen]],0)</f>
        <v>#DIV/0!</v>
      </c>
      <c r="AD165" s="443" t="e">
        <f>Ruimtestaat[[#This Row],[uren / jaar werkdagen BSO]]*Tariefsopbouw!$E$35</f>
        <v>#DIV/0!</v>
      </c>
      <c r="AE165" s="444">
        <f>Ruimtestaat[[#This Row],[uren / jaar werkdagen]]*Tariefsopbouw!$E$35</f>
        <v>0</v>
      </c>
      <c r="AF165" s="434"/>
      <c r="AG165" s="434">
        <f>IF(Ruimtestaat[[#This Row],[Frequentie weekend]]&gt;0,VALUE(LEFT(AF165,1))*S165,0)</f>
        <v>0</v>
      </c>
      <c r="AH165" s="445">
        <f>IF($AG165&gt;0,VLOOKUP($J165,Ruimtegroepen[],3,FALSE)*VLOOKUP($L165,Vloersoorten[],3,FALSE)*VLOOKUP($AF165,Frequenties[],3,FALSE)*VLOOKUP(Ruimtestaat[[#This Row],[Code]],Locaties[],3,FALSE),0)</f>
        <v>0</v>
      </c>
      <c r="AI165" s="445">
        <f>Ruimtestaat[[#This Row],[Uitvoeringen weekend]]*Ruimtestaat[[#This Row],[Oppervlak (netto)]]</f>
        <v>0</v>
      </c>
      <c r="AJ165" s="445">
        <f>IF(AH165&gt;0,Ruimtestaat[[#This Row],[Prest. (m2 /jaar) weekend]]/Ruimtestaat[[#This Row],[Norm (m2/uur) weekend]],0)</f>
        <v>0</v>
      </c>
      <c r="AK165" s="444">
        <f>Ruimtestaat[[#This Row],[uren / jaar weekend]]*Tariefsopbouw!$D$40</f>
        <v>0</v>
      </c>
      <c r="AL165" s="441">
        <f>Ruimtestaat[[#This Row],[Prest. (m2 /jaar) weekend]]+Ruimtestaat[[#This Row],[Prest. (m2 /jaar) werkdagen]]</f>
        <v>10800</v>
      </c>
      <c r="AM165" s="441">
        <f>Ruimtestaat[[#This Row],[uren / jaar weekend]]+Ruimtestaat[[#This Row],[uren / jaar werkdagen]]</f>
        <v>0</v>
      </c>
      <c r="AN165" s="446">
        <f>Ruimtestaat[[#This Row],[kosten / jaar weekend]]+Ruimtestaat[[#This Row],[kosten / jaar werkdagen]]</f>
        <v>0</v>
      </c>
      <c r="AO165" s="446"/>
      <c r="AP165" s="447" t="str">
        <f>IF(Ruimtestaat[[#This Row],[Frequentie werkdagen]]="","",_xlfn.CONCAT(Ruimtestaat[[#This Row],[Ruimte code]],"-",Ruimtestaat[[#This Row],[Frequentie werkdagen]]," ",Ruimtestaat[[#This Row],[Vloer code]]))</f>
        <v>16-5w L</v>
      </c>
      <c r="AQ165" s="448" t="str">
        <f>_xlfn.IFNA(VLOOKUP($AP165,Programma!$F$3:$G$1101,2,0),"")</f>
        <v>_</v>
      </c>
      <c r="AR165" s="448" t="str">
        <f>_xlfn.IFNA(VLOOKUP($AP165,Programma!$F$3:$H$1101,3,0),"")</f>
        <v>_</v>
      </c>
      <c r="AS165" s="448" t="str">
        <f>_xlfn.IFNA(VLOOKUP($AP165,Programma!$F$3:$I$1101,4,0),"")</f>
        <v>4w</v>
      </c>
      <c r="AT165" s="448" t="str">
        <f>_xlfn.IFNA(VLOOKUP($AP165,Programma!$F$3:$J$1101,5,0),"")</f>
        <v>1w</v>
      </c>
      <c r="AU165" s="448" t="str">
        <f>_xlfn.IFNA(VLOOKUP($AP165,Programma!$F$3:$K$1101,6,0),"")</f>
        <v>_</v>
      </c>
      <c r="AV165" s="448" t="str">
        <f>_xlfn.IFNA(VLOOKUP($AP165,Programma!$F$3:$L$1101,7,0),"")</f>
        <v>_</v>
      </c>
      <c r="AW165" s="448" t="str">
        <f>_xlfn.IFNA(VLOOKUP($AP165,Programma!$F$3:$M$1101,8,0),"")</f>
        <v>_</v>
      </c>
      <c r="AX165" s="448" t="str">
        <f>_xlfn.IFNA(VLOOKUP($AP165,Programma!$F$3:$N$1101,9,0),"")</f>
        <v>_</v>
      </c>
      <c r="AY165" s="448" t="str">
        <f>_xlfn.IFNA(VLOOKUP($AP165,Programma!$F$3:$O$1101,10,0),"")</f>
        <v>5w</v>
      </c>
      <c r="AZ165" s="448" t="str">
        <f>_xlfn.IFNA(VLOOKUP($AP165,Programma!$F$3:$P$1101,11,0),"")</f>
        <v>5w</v>
      </c>
      <c r="BA165" s="448" t="str">
        <f>_xlfn.IFNA(VLOOKUP($AP165,Programma!$F$3:$Q$1101,12,0),"")</f>
        <v>1w</v>
      </c>
      <c r="BB165" s="448" t="str">
        <f>_xlfn.IFNA(VLOOKUP($AP165,Programma!$F$3:$R$1101,13,0),"")</f>
        <v>1w</v>
      </c>
      <c r="BC165" s="448" t="str">
        <f>_xlfn.IFNA(VLOOKUP($AP165,Programma!$F$3:$S$1101,14,0),"")</f>
        <v>1m</v>
      </c>
      <c r="BD165" s="448" t="str">
        <f>_xlfn.IFNA(VLOOKUP($AP165,Programma!$F$3:$T$1101,15,0),"")</f>
        <v>2j</v>
      </c>
      <c r="BE165" s="448" t="str">
        <f>_xlfn.IFNA(VLOOKUP($AP165,Programma!$F$3:$U$1101,16,0),"")</f>
        <v>1j</v>
      </c>
      <c r="BF165" s="448" t="str">
        <f>_xlfn.IFNA(VLOOKUP($AP165,Programma!$F$3:$V$1101,17,0),"")</f>
        <v>_</v>
      </c>
      <c r="BG165" s="448" t="str">
        <f>_xlfn.IFNA(VLOOKUP($AP165,Programma!$F$3:$W$1101,18,0),"")</f>
        <v>_</v>
      </c>
      <c r="BH165" s="448" t="str">
        <f>_xlfn.IFNA(VLOOKUP($AP165,Programma!$F$3:$X$1101,19,0),"")</f>
        <v>_</v>
      </c>
      <c r="BI165" s="448" t="str">
        <f>_xlfn.IFNA(VLOOKUP($AP165,Programma!$F$3:$Y$1101,20,0),"")</f>
        <v>_</v>
      </c>
      <c r="BJ165" s="449"/>
      <c r="BK165" s="447" t="str">
        <f>IF(Ruimtestaat[[#This Row],[Frequentie weekend]]="","",_xlfn.CONCAT(Ruimtestaat[[#This Row],[Ruimte code]],"-",Ruimtestaat[[#This Row],[Frequentie weekend]]," ",Ruimtestaat[[#This Row],[Vloer code]]))</f>
        <v/>
      </c>
      <c r="BL165" s="448" t="str">
        <f>_xlfn.IFNA(VLOOKUP($BK165,Programma!$F$3:$G$1101,2,0),"")</f>
        <v/>
      </c>
      <c r="BM165" s="448" t="str">
        <f>_xlfn.IFNA(VLOOKUP($BK165,Programma!$F$3:$H$1101,3,0),"")</f>
        <v/>
      </c>
      <c r="BN165" s="448" t="str">
        <f>_xlfn.IFNA(VLOOKUP($BK165,Programma!$F$3:$I$1101,4,0),"")</f>
        <v/>
      </c>
      <c r="BO165" s="448" t="str">
        <f>_xlfn.IFNA(VLOOKUP($BK165,Programma!$F$3:$J$1101,5,0),"")</f>
        <v/>
      </c>
      <c r="BP165" s="448" t="str">
        <f>_xlfn.IFNA(VLOOKUP($BK165,Programma!$F$3:$K$1101,6,0),"")</f>
        <v/>
      </c>
      <c r="BQ165" s="448" t="str">
        <f>_xlfn.IFNA(VLOOKUP($BK165,Programma!$F$3:$L$1101,7,0),"")</f>
        <v/>
      </c>
      <c r="BR165" s="448" t="str">
        <f>_xlfn.IFNA(VLOOKUP($BK165,Programma!$F$3:$M$1101,8,0),"")</f>
        <v/>
      </c>
      <c r="BS165" s="448" t="str">
        <f>_xlfn.IFNA(VLOOKUP($BK165,Programma!$F$3:$N$1101,9,0),"")</f>
        <v/>
      </c>
      <c r="BT165" s="448" t="str">
        <f>_xlfn.IFNA(VLOOKUP($BK165,Programma!$F$3:$O$1101,10,0),"")</f>
        <v/>
      </c>
      <c r="BU165" s="448" t="str">
        <f>_xlfn.IFNA(VLOOKUP($BK165,Programma!$F$3:$P$1101,11,0),"")</f>
        <v/>
      </c>
      <c r="BV165" s="448" t="str">
        <f>_xlfn.IFNA(VLOOKUP($BK165,Programma!$F$3:$Q$1101,12,0),"")</f>
        <v/>
      </c>
      <c r="BW165" s="448" t="str">
        <f>_xlfn.IFNA(VLOOKUP($BK165,Programma!$F$3:$R$1101,13,0),"")</f>
        <v/>
      </c>
      <c r="BX165" s="448" t="str">
        <f>_xlfn.IFNA(VLOOKUP($BK165,Programma!$F$3:$S$1101,14,0),"")</f>
        <v/>
      </c>
      <c r="BY165" s="448" t="str">
        <f>_xlfn.IFNA(VLOOKUP($BK165,Programma!$F$3:$T$1101,15,0),"")</f>
        <v/>
      </c>
      <c r="BZ165" s="448" t="str">
        <f>_xlfn.IFNA(VLOOKUP($BK165,Programma!$F$3:$U$1101,16,0),"")</f>
        <v/>
      </c>
      <c r="CA165" s="448" t="str">
        <f>_xlfn.IFNA(VLOOKUP($BK165,Programma!$F$3:$V$1101,17,0),"")</f>
        <v/>
      </c>
      <c r="CB165" s="448" t="str">
        <f>_xlfn.IFNA(VLOOKUP($BK165,Programma!$F$3:$W$1101,18,0),"")</f>
        <v/>
      </c>
      <c r="CC165" s="448" t="str">
        <f>_xlfn.IFNA(VLOOKUP($BK165,Programma!$F$3:$X$1101,19,0),"")</f>
        <v/>
      </c>
      <c r="CD165" s="448" t="str">
        <f>_xlfn.IFNA(VLOOKUP($BK165,Programma!$F$3:$Y$1101,20,0),"")</f>
        <v/>
      </c>
      <c r="CE165" s="327"/>
      <c r="CF165" s="327"/>
      <c r="CG165" s="327"/>
      <c r="CH165" s="327"/>
      <c r="CI165" s="327"/>
      <c r="CJ165" s="327"/>
      <c r="CK165" s="327"/>
      <c r="CL165" s="327"/>
      <c r="CM165" s="327"/>
      <c r="CN165" s="327"/>
      <c r="CO165" s="327"/>
      <c r="CP165" s="327"/>
      <c r="CQ165" s="327"/>
      <c r="CR165" s="327"/>
      <c r="CS165" s="327"/>
      <c r="CT165" s="327"/>
      <c r="CU165" s="327"/>
      <c r="CV165" s="327"/>
      <c r="CW165" s="327"/>
      <c r="CX165" s="327"/>
      <c r="CY165" s="327"/>
      <c r="CZ165" s="327"/>
      <c r="DA165" s="327"/>
      <c r="DB165" s="327"/>
      <c r="DC165" s="327"/>
      <c r="DD165" s="327"/>
      <c r="DE165" s="327"/>
      <c r="DF165" s="327"/>
      <c r="DG165" s="327"/>
      <c r="DH165" s="327"/>
      <c r="DI165" s="327"/>
      <c r="DJ165" s="327"/>
      <c r="DK165" s="327"/>
      <c r="DL165" s="327"/>
      <c r="DM165" s="327"/>
      <c r="DN165" s="327"/>
      <c r="DO165" s="327"/>
      <c r="DP165" s="327"/>
      <c r="DQ165" s="327"/>
      <c r="DR165" s="327"/>
      <c r="DS165" s="327"/>
      <c r="DT165" s="327"/>
      <c r="DU165" s="327"/>
      <c r="DV165" s="327"/>
      <c r="DW165" s="327"/>
      <c r="DX165" s="327"/>
      <c r="DY165" s="327"/>
      <c r="DZ165" s="327"/>
      <c r="EA165" s="327"/>
      <c r="EB165" s="327"/>
      <c r="EC165" s="327"/>
      <c r="ED165" s="327"/>
      <c r="EE165" s="327"/>
      <c r="EF165" s="327"/>
      <c r="EG165" s="327"/>
      <c r="EH165" s="327"/>
      <c r="EI165" s="327"/>
      <c r="EJ165" s="327"/>
      <c r="EK165" s="327"/>
      <c r="EL165" s="327"/>
      <c r="EM165" s="327"/>
      <c r="EN165" s="327"/>
      <c r="EO165" s="327"/>
      <c r="EP165" s="327"/>
      <c r="EQ165" s="327"/>
      <c r="ER165" s="327"/>
      <c r="ES165" s="327"/>
      <c r="ET165" s="327"/>
      <c r="EU165" s="327"/>
      <c r="EV165" s="327"/>
      <c r="EW165" s="327"/>
      <c r="EX165" s="327"/>
      <c r="EY165" s="327"/>
      <c r="EZ165" s="327"/>
      <c r="FA165" s="327"/>
      <c r="FB165" s="327"/>
      <c r="FC165" s="327"/>
      <c r="FD165" s="327"/>
      <c r="FE165" s="327"/>
      <c r="FF165" s="327"/>
      <c r="FG165" s="327"/>
      <c r="FH165" s="327"/>
      <c r="FI165" s="327"/>
      <c r="FJ165" s="327"/>
      <c r="FK165" s="327"/>
      <c r="FL165" s="327"/>
      <c r="FM165" s="327"/>
      <c r="FN165" s="327"/>
      <c r="FO165" s="327"/>
      <c r="FP165" s="327"/>
      <c r="FQ165" s="327"/>
      <c r="FR165" s="327"/>
      <c r="FS165" s="327"/>
      <c r="FT165" s="327"/>
      <c r="FU165" s="327"/>
      <c r="FV165" s="327"/>
      <c r="FW165" s="327"/>
      <c r="FX165" s="327"/>
      <c r="FY165" s="327"/>
      <c r="FZ165" s="327"/>
      <c r="GA165" s="327"/>
      <c r="GB165" s="327"/>
      <c r="GC165" s="327"/>
      <c r="GD165" s="327"/>
      <c r="GE165" s="327"/>
      <c r="GF165" s="327"/>
      <c r="GG165" s="327"/>
      <c r="GH165" s="327"/>
      <c r="GI165" s="327"/>
      <c r="GJ165" s="327"/>
      <c r="GK165" s="327"/>
      <c r="GL165" s="327"/>
      <c r="GM165" s="327"/>
      <c r="GN165" s="327"/>
      <c r="GO165" s="327"/>
      <c r="GP165" s="327"/>
      <c r="GQ165" s="327"/>
      <c r="GR165" s="327"/>
      <c r="GS165" s="327"/>
      <c r="GT165" s="327"/>
      <c r="GU165" s="327"/>
      <c r="GV165" s="327"/>
      <c r="GW165" s="327"/>
      <c r="GX165" s="327"/>
      <c r="GY165" s="327"/>
      <c r="GZ165" s="327"/>
      <c r="HA165" s="327"/>
      <c r="HB165" s="327"/>
      <c r="HC165" s="327"/>
      <c r="HD165" s="327"/>
      <c r="HE165" s="327"/>
      <c r="HF165" s="327"/>
      <c r="HG165" s="327"/>
      <c r="HH165" s="327"/>
      <c r="HI165" s="327"/>
      <c r="HJ165" s="327"/>
      <c r="HK165" s="327"/>
      <c r="HL165" s="327"/>
      <c r="HM165" s="327"/>
      <c r="HN165" s="327"/>
      <c r="HO165" s="327"/>
      <c r="HP165" s="327"/>
      <c r="HQ165" s="327"/>
      <c r="HR165" s="327"/>
      <c r="HS165" s="327"/>
    </row>
    <row r="166" spans="1:227" ht="15" customHeight="1">
      <c r="A166" s="330">
        <v>7</v>
      </c>
      <c r="B166" s="435" t="str">
        <f>VLOOKUP(Ruimtestaat[[#This Row],[Code]],Locaties[[Code]:[Locatie]],2,FALSE)</f>
        <v>IKC De Baanbreker</v>
      </c>
      <c r="C166" s="435" t="str">
        <f>VLOOKUP(Ruimtestaat[[#This Row],[Code]],Locaties[[#All],[Code]:[Adres]],4,FALSE)</f>
        <v>Lijnbaan 319</v>
      </c>
      <c r="D166" s="435" t="str">
        <f>VLOOKUP(Ruimtestaat[[#This Row],[Code]],Locaties[[#All],[Code]:[Postcode]],5,FALSE)</f>
        <v>2728 AG</v>
      </c>
      <c r="E166" s="435" t="str">
        <f>VLOOKUP(Ruimtestaat[[#This Row],[Code]],Locaties[#All],6,FALSE)</f>
        <v>Zoetermeer</v>
      </c>
      <c r="F166" s="434"/>
      <c r="G166" s="434" t="s">
        <v>1769</v>
      </c>
      <c r="H166" s="330" t="s">
        <v>1711</v>
      </c>
      <c r="I166" s="450" t="s">
        <v>1679</v>
      </c>
      <c r="J166" s="330">
        <v>16</v>
      </c>
      <c r="K166" s="450" t="str">
        <f>VLOOKUP(Ruimtestaat[[#This Row],[Ruimte code]],Ruimtegroepen[[#All],[Code]:[Ruimte omschrijving]],2,FALSE)</f>
        <v>Leslokalen</v>
      </c>
      <c r="L166" s="434" t="s">
        <v>100</v>
      </c>
      <c r="M166" s="437" t="s">
        <v>1759</v>
      </c>
      <c r="N166" s="439">
        <v>54</v>
      </c>
      <c r="O166" s="439"/>
      <c r="P166" s="439"/>
      <c r="Q166" s="439"/>
      <c r="R166" s="440" t="str">
        <f>VLOOKUP(Ruimtestaat[[#This Row],[Ruimte code]],Ruimtegroepen[],4,FALSE)</f>
        <v>Le</v>
      </c>
      <c r="S166" s="434">
        <v>40</v>
      </c>
      <c r="T166" s="434" t="s">
        <v>2</v>
      </c>
      <c r="U166" s="434">
        <f>IF(S166&gt;0,IF(RIGHT(Ruimtestaat[[#This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6" s="434">
        <f>IF(U166&gt;0,VLOOKUP($J166,Ruimtegroepen[],3,FALSE)*VLOOKUP($L166,Vloersoorten[],3,FALSE)*VLOOKUP($T166,Frequenties[],3,FALSE)*VLOOKUP($A166,Locaties[],3,FALSE),0)</f>
        <v>0</v>
      </c>
      <c r="W166" s="434">
        <f>Ruimtestaat[[#This Row],[Uitvoeringen werkdagen]]*Ruimtestaat[[#This Row],[Oppervlak (netto)]]</f>
        <v>10800</v>
      </c>
      <c r="X166" s="441">
        <f>IF(V166&gt;0,Ruimtestaat[[#This Row],[Prest. (m2 /jaar) werkdagen]]/Ruimtestaat[[#This Row],[Norm (m2/uur) werkdagen]],0)</f>
        <v>0</v>
      </c>
      <c r="Y166" s="442">
        <f>Ruimtestaat[[#This Row],[Uitvoeringen werkdagen]]*Ruimtestaat[[#This Row],[Gedeeltelijk]]</f>
        <v>0</v>
      </c>
      <c r="Z166" s="443" t="e">
        <f>IF(U166&gt;0,Ruimtestaat[[#This Row],[Prest. (m2 / jaar) werkdagen gedeeld]]/Ruimtestaat[[#This Row],[Norm (m2/uur) werkdagen]],0)</f>
        <v>#DIV/0!</v>
      </c>
      <c r="AA166" s="441" t="e">
        <f>Ruimtestaat[[#This Row],[uren / jaar werkdagen gedeeld]]*Tariefsopbouw!$E$35</f>
        <v>#DIV/0!</v>
      </c>
      <c r="AB166" s="441">
        <f>Ruimtestaat[[#This Row],[Uitvoeringen werkdagen]]*Ruimtestaat[[#This Row],[BSO]]</f>
        <v>0</v>
      </c>
      <c r="AC166" s="443" t="e">
        <f>IF(U166&gt;0,Ruimtestaat[[#This Row],[Prest. (m2 / jaar) werkdagen BSO]]/Ruimtestaat[[#This Row],[Norm (m2/uur) werkdagen]],0)</f>
        <v>#DIV/0!</v>
      </c>
      <c r="AD166" s="443" t="e">
        <f>Ruimtestaat[[#This Row],[uren / jaar werkdagen BSO]]*Tariefsopbouw!$E$35</f>
        <v>#DIV/0!</v>
      </c>
      <c r="AE166" s="444">
        <f>Ruimtestaat[[#This Row],[uren / jaar werkdagen]]*Tariefsopbouw!$E$35</f>
        <v>0</v>
      </c>
      <c r="AF166" s="434"/>
      <c r="AG166" s="434">
        <f>IF(Ruimtestaat[[#This Row],[Frequentie weekend]]&gt;0,VALUE(LEFT(AF166,1))*S166,0)</f>
        <v>0</v>
      </c>
      <c r="AH166" s="445">
        <f>IF($AG166&gt;0,VLOOKUP($J166,Ruimtegroepen[],3,FALSE)*VLOOKUP($L166,Vloersoorten[],3,FALSE)*VLOOKUP($AF166,Frequenties[],3,FALSE)*VLOOKUP(Ruimtestaat[[#This Row],[Code]],Locaties[],3,FALSE),0)</f>
        <v>0</v>
      </c>
      <c r="AI166" s="445">
        <f>Ruimtestaat[[#This Row],[Uitvoeringen weekend]]*Ruimtestaat[[#This Row],[Oppervlak (netto)]]</f>
        <v>0</v>
      </c>
      <c r="AJ166" s="445">
        <f>IF(AH166&gt;0,Ruimtestaat[[#This Row],[Prest. (m2 /jaar) weekend]]/Ruimtestaat[[#This Row],[Norm (m2/uur) weekend]],0)</f>
        <v>0</v>
      </c>
      <c r="AK166" s="444">
        <f>Ruimtestaat[[#This Row],[uren / jaar weekend]]*Tariefsopbouw!$D$40</f>
        <v>0</v>
      </c>
      <c r="AL166" s="441">
        <f>Ruimtestaat[[#This Row],[Prest. (m2 /jaar) weekend]]+Ruimtestaat[[#This Row],[Prest. (m2 /jaar) werkdagen]]</f>
        <v>10800</v>
      </c>
      <c r="AM166" s="441">
        <f>Ruimtestaat[[#This Row],[uren / jaar weekend]]+Ruimtestaat[[#This Row],[uren / jaar werkdagen]]</f>
        <v>0</v>
      </c>
      <c r="AN166" s="446">
        <f>Ruimtestaat[[#This Row],[kosten / jaar weekend]]+Ruimtestaat[[#This Row],[kosten / jaar werkdagen]]</f>
        <v>0</v>
      </c>
      <c r="AO166" s="446"/>
      <c r="AP166" s="447" t="str">
        <f>IF(Ruimtestaat[[#This Row],[Frequentie werkdagen]]="","",_xlfn.CONCAT(Ruimtestaat[[#This Row],[Ruimte code]],"-",Ruimtestaat[[#This Row],[Frequentie werkdagen]]," ",Ruimtestaat[[#This Row],[Vloer code]]))</f>
        <v>16-5w L</v>
      </c>
      <c r="AQ166" s="448" t="str">
        <f>_xlfn.IFNA(VLOOKUP($AP166,Programma!$F$3:$G$1101,2,0),"")</f>
        <v>_</v>
      </c>
      <c r="AR166" s="448" t="str">
        <f>_xlfn.IFNA(VLOOKUP($AP166,Programma!$F$3:$H$1101,3,0),"")</f>
        <v>_</v>
      </c>
      <c r="AS166" s="448" t="str">
        <f>_xlfn.IFNA(VLOOKUP($AP166,Programma!$F$3:$I$1101,4,0),"")</f>
        <v>4w</v>
      </c>
      <c r="AT166" s="448" t="str">
        <f>_xlfn.IFNA(VLOOKUP($AP166,Programma!$F$3:$J$1101,5,0),"")</f>
        <v>1w</v>
      </c>
      <c r="AU166" s="448" t="str">
        <f>_xlfn.IFNA(VLOOKUP($AP166,Programma!$F$3:$K$1101,6,0),"")</f>
        <v>_</v>
      </c>
      <c r="AV166" s="448" t="str">
        <f>_xlfn.IFNA(VLOOKUP($AP166,Programma!$F$3:$L$1101,7,0),"")</f>
        <v>_</v>
      </c>
      <c r="AW166" s="448" t="str">
        <f>_xlfn.IFNA(VLOOKUP($AP166,Programma!$F$3:$M$1101,8,0),"")</f>
        <v>_</v>
      </c>
      <c r="AX166" s="448" t="str">
        <f>_xlfn.IFNA(VLOOKUP($AP166,Programma!$F$3:$N$1101,9,0),"")</f>
        <v>_</v>
      </c>
      <c r="AY166" s="448" t="str">
        <f>_xlfn.IFNA(VLOOKUP($AP166,Programma!$F$3:$O$1101,10,0),"")</f>
        <v>5w</v>
      </c>
      <c r="AZ166" s="448" t="str">
        <f>_xlfn.IFNA(VLOOKUP($AP166,Programma!$F$3:$P$1101,11,0),"")</f>
        <v>5w</v>
      </c>
      <c r="BA166" s="448" t="str">
        <f>_xlfn.IFNA(VLOOKUP($AP166,Programma!$F$3:$Q$1101,12,0),"")</f>
        <v>1w</v>
      </c>
      <c r="BB166" s="448" t="str">
        <f>_xlfn.IFNA(VLOOKUP($AP166,Programma!$F$3:$R$1101,13,0),"")</f>
        <v>1w</v>
      </c>
      <c r="BC166" s="448" t="str">
        <f>_xlfn.IFNA(VLOOKUP($AP166,Programma!$F$3:$S$1101,14,0),"")</f>
        <v>1m</v>
      </c>
      <c r="BD166" s="448" t="str">
        <f>_xlfn.IFNA(VLOOKUP($AP166,Programma!$F$3:$T$1101,15,0),"")</f>
        <v>2j</v>
      </c>
      <c r="BE166" s="448" t="str">
        <f>_xlfn.IFNA(VLOOKUP($AP166,Programma!$F$3:$U$1101,16,0),"")</f>
        <v>1j</v>
      </c>
      <c r="BF166" s="448" t="str">
        <f>_xlfn.IFNA(VLOOKUP($AP166,Programma!$F$3:$V$1101,17,0),"")</f>
        <v>_</v>
      </c>
      <c r="BG166" s="448" t="str">
        <f>_xlfn.IFNA(VLOOKUP($AP166,Programma!$F$3:$W$1101,18,0),"")</f>
        <v>_</v>
      </c>
      <c r="BH166" s="448" t="str">
        <f>_xlfn.IFNA(VLOOKUP($AP166,Programma!$F$3:$X$1101,19,0),"")</f>
        <v>_</v>
      </c>
      <c r="BI166" s="448" t="str">
        <f>_xlfn.IFNA(VLOOKUP($AP166,Programma!$F$3:$Y$1101,20,0),"")</f>
        <v>_</v>
      </c>
      <c r="BJ166" s="449"/>
      <c r="BK166" s="447" t="str">
        <f>IF(Ruimtestaat[[#This Row],[Frequentie weekend]]="","",_xlfn.CONCAT(Ruimtestaat[[#This Row],[Ruimte code]],"-",Ruimtestaat[[#This Row],[Frequentie weekend]]," ",Ruimtestaat[[#This Row],[Vloer code]]))</f>
        <v/>
      </c>
      <c r="BL166" s="448" t="str">
        <f>_xlfn.IFNA(VLOOKUP($BK166,Programma!$F$3:$G$1101,2,0),"")</f>
        <v/>
      </c>
      <c r="BM166" s="448" t="str">
        <f>_xlfn.IFNA(VLOOKUP($BK166,Programma!$F$3:$H$1101,3,0),"")</f>
        <v/>
      </c>
      <c r="BN166" s="448" t="str">
        <f>_xlfn.IFNA(VLOOKUP($BK166,Programma!$F$3:$I$1101,4,0),"")</f>
        <v/>
      </c>
      <c r="BO166" s="448" t="str">
        <f>_xlfn.IFNA(VLOOKUP($BK166,Programma!$F$3:$J$1101,5,0),"")</f>
        <v/>
      </c>
      <c r="BP166" s="448" t="str">
        <f>_xlfn.IFNA(VLOOKUP($BK166,Programma!$F$3:$K$1101,6,0),"")</f>
        <v/>
      </c>
      <c r="BQ166" s="448" t="str">
        <f>_xlfn.IFNA(VLOOKUP($BK166,Programma!$F$3:$L$1101,7,0),"")</f>
        <v/>
      </c>
      <c r="BR166" s="448" t="str">
        <f>_xlfn.IFNA(VLOOKUP($BK166,Programma!$F$3:$M$1101,8,0),"")</f>
        <v/>
      </c>
      <c r="BS166" s="448" t="str">
        <f>_xlfn.IFNA(VLOOKUP($BK166,Programma!$F$3:$N$1101,9,0),"")</f>
        <v/>
      </c>
      <c r="BT166" s="448" t="str">
        <f>_xlfn.IFNA(VLOOKUP($BK166,Programma!$F$3:$O$1101,10,0),"")</f>
        <v/>
      </c>
      <c r="BU166" s="448" t="str">
        <f>_xlfn.IFNA(VLOOKUP($BK166,Programma!$F$3:$P$1101,11,0),"")</f>
        <v/>
      </c>
      <c r="BV166" s="448" t="str">
        <f>_xlfn.IFNA(VLOOKUP($BK166,Programma!$F$3:$Q$1101,12,0),"")</f>
        <v/>
      </c>
      <c r="BW166" s="448" t="str">
        <f>_xlfn.IFNA(VLOOKUP($BK166,Programma!$F$3:$R$1101,13,0),"")</f>
        <v/>
      </c>
      <c r="BX166" s="448" t="str">
        <f>_xlfn.IFNA(VLOOKUP($BK166,Programma!$F$3:$S$1101,14,0),"")</f>
        <v/>
      </c>
      <c r="BY166" s="448" t="str">
        <f>_xlfn.IFNA(VLOOKUP($BK166,Programma!$F$3:$T$1101,15,0),"")</f>
        <v/>
      </c>
      <c r="BZ166" s="448" t="str">
        <f>_xlfn.IFNA(VLOOKUP($BK166,Programma!$F$3:$U$1101,16,0),"")</f>
        <v/>
      </c>
      <c r="CA166" s="448" t="str">
        <f>_xlfn.IFNA(VLOOKUP($BK166,Programma!$F$3:$V$1101,17,0),"")</f>
        <v/>
      </c>
      <c r="CB166" s="448" t="str">
        <f>_xlfn.IFNA(VLOOKUP($BK166,Programma!$F$3:$W$1101,18,0),"")</f>
        <v/>
      </c>
      <c r="CC166" s="448" t="str">
        <f>_xlfn.IFNA(VLOOKUP($BK166,Programma!$F$3:$X$1101,19,0),"")</f>
        <v/>
      </c>
      <c r="CD166" s="448" t="str">
        <f>_xlfn.IFNA(VLOOKUP($BK166,Programma!$F$3:$Y$1101,20,0),"")</f>
        <v/>
      </c>
      <c r="CE166" s="327"/>
      <c r="CF166" s="327"/>
      <c r="CG166" s="327"/>
      <c r="CH166" s="327"/>
      <c r="CI166" s="327"/>
      <c r="CJ166" s="327"/>
      <c r="CK166" s="327"/>
      <c r="CL166" s="327"/>
      <c r="CM166" s="327"/>
      <c r="CN166" s="327"/>
      <c r="CO166" s="327"/>
      <c r="CP166" s="327"/>
      <c r="CQ166" s="327"/>
      <c r="CR166" s="327"/>
      <c r="CS166" s="327"/>
      <c r="CT166" s="327"/>
      <c r="CU166" s="327"/>
      <c r="CV166" s="327"/>
      <c r="CW166" s="327"/>
      <c r="CX166" s="327"/>
      <c r="CY166" s="327"/>
      <c r="CZ166" s="327"/>
      <c r="DA166" s="327"/>
      <c r="DB166" s="327"/>
      <c r="DC166" s="327"/>
      <c r="DD166" s="327"/>
      <c r="DE166" s="327"/>
      <c r="DF166" s="327"/>
      <c r="DG166" s="327"/>
      <c r="DH166" s="327"/>
      <c r="DI166" s="327"/>
      <c r="DJ166" s="327"/>
      <c r="DK166" s="327"/>
      <c r="DL166" s="327"/>
      <c r="DM166" s="327"/>
      <c r="DN166" s="327"/>
      <c r="DO166" s="327"/>
      <c r="DP166" s="327"/>
      <c r="DQ166" s="327"/>
      <c r="DR166" s="327"/>
      <c r="DS166" s="327"/>
      <c r="DT166" s="327"/>
      <c r="DU166" s="327"/>
      <c r="DV166" s="327"/>
      <c r="DW166" s="327"/>
      <c r="DX166" s="327"/>
      <c r="DY166" s="327"/>
      <c r="DZ166" s="327"/>
      <c r="EA166" s="327"/>
      <c r="EB166" s="327"/>
      <c r="EC166" s="327"/>
      <c r="ED166" s="327"/>
      <c r="EE166" s="327"/>
      <c r="EF166" s="327"/>
      <c r="EG166" s="327"/>
      <c r="EH166" s="327"/>
      <c r="EI166" s="327"/>
      <c r="EJ166" s="327"/>
      <c r="EK166" s="327"/>
      <c r="EL166" s="327"/>
      <c r="EM166" s="327"/>
      <c r="EN166" s="327"/>
      <c r="EO166" s="327"/>
      <c r="EP166" s="327"/>
      <c r="EQ166" s="327"/>
      <c r="ER166" s="327"/>
      <c r="ES166" s="327"/>
      <c r="ET166" s="327"/>
      <c r="EU166" s="327"/>
      <c r="EV166" s="327"/>
      <c r="EW166" s="327"/>
      <c r="EX166" s="327"/>
      <c r="EY166" s="327"/>
      <c r="EZ166" s="327"/>
      <c r="FA166" s="327"/>
      <c r="FB166" s="327"/>
      <c r="FC166" s="327"/>
      <c r="FD166" s="327"/>
      <c r="FE166" s="327"/>
      <c r="FF166" s="327"/>
      <c r="FG166" s="327"/>
      <c r="FH166" s="327"/>
      <c r="FI166" s="327"/>
      <c r="FJ166" s="327"/>
      <c r="FK166" s="327"/>
      <c r="FL166" s="327"/>
      <c r="FM166" s="327"/>
      <c r="FN166" s="327"/>
      <c r="FO166" s="327"/>
      <c r="FP166" s="327"/>
      <c r="FQ166" s="327"/>
      <c r="FR166" s="327"/>
      <c r="FS166" s="327"/>
      <c r="FT166" s="327"/>
      <c r="FU166" s="327"/>
      <c r="FV166" s="327"/>
      <c r="FW166" s="327"/>
      <c r="FX166" s="327"/>
      <c r="FY166" s="327"/>
      <c r="FZ166" s="327"/>
      <c r="GA166" s="327"/>
      <c r="GB166" s="327"/>
      <c r="GC166" s="327"/>
      <c r="GD166" s="327"/>
      <c r="GE166" s="327"/>
      <c r="GF166" s="327"/>
      <c r="GG166" s="327"/>
      <c r="GH166" s="327"/>
      <c r="GI166" s="327"/>
      <c r="GJ166" s="327"/>
      <c r="GK166" s="327"/>
      <c r="GL166" s="327"/>
      <c r="GM166" s="327"/>
      <c r="GN166" s="327"/>
      <c r="GO166" s="327"/>
      <c r="GP166" s="327"/>
      <c r="GQ166" s="327"/>
      <c r="GR166" s="327"/>
      <c r="GS166" s="327"/>
      <c r="GT166" s="327"/>
      <c r="GU166" s="327"/>
      <c r="GV166" s="327"/>
      <c r="GW166" s="327"/>
      <c r="GX166" s="327"/>
      <c r="GY166" s="327"/>
      <c r="GZ166" s="327"/>
      <c r="HA166" s="327"/>
      <c r="HB166" s="327"/>
      <c r="HC166" s="327"/>
      <c r="HD166" s="327"/>
      <c r="HE166" s="327"/>
      <c r="HF166" s="327"/>
      <c r="HG166" s="327"/>
      <c r="HH166" s="327"/>
      <c r="HI166" s="327"/>
      <c r="HJ166" s="327"/>
      <c r="HK166" s="327"/>
      <c r="HL166" s="327"/>
      <c r="HM166" s="327"/>
      <c r="HN166" s="327"/>
      <c r="HO166" s="327"/>
      <c r="HP166" s="327"/>
      <c r="HQ166" s="327"/>
      <c r="HR166" s="327"/>
      <c r="HS166" s="327"/>
    </row>
    <row r="167" spans="1:227" ht="15" customHeight="1">
      <c r="A167" s="330">
        <v>7</v>
      </c>
      <c r="B167" s="435" t="str">
        <f>VLOOKUP(Ruimtestaat[[#This Row],[Code]],Locaties[[Code]:[Locatie]],2,FALSE)</f>
        <v>IKC De Baanbreker</v>
      </c>
      <c r="C167" s="435" t="str">
        <f>VLOOKUP(Ruimtestaat[[#This Row],[Code]],Locaties[[#All],[Code]:[Adres]],4,FALSE)</f>
        <v>Lijnbaan 319</v>
      </c>
      <c r="D167" s="435" t="str">
        <f>VLOOKUP(Ruimtestaat[[#This Row],[Code]],Locaties[[#All],[Code]:[Postcode]],5,FALSE)</f>
        <v>2728 AG</v>
      </c>
      <c r="E167" s="435" t="str">
        <f>VLOOKUP(Ruimtestaat[[#This Row],[Code]],Locaties[#All],6,FALSE)</f>
        <v>Zoetermeer</v>
      </c>
      <c r="F167" s="434"/>
      <c r="G167" s="434" t="s">
        <v>1769</v>
      </c>
      <c r="H167" s="330" t="s">
        <v>1713</v>
      </c>
      <c r="I167" s="450" t="s">
        <v>1679</v>
      </c>
      <c r="J167" s="330">
        <v>16</v>
      </c>
      <c r="K167" s="450" t="str">
        <f>VLOOKUP(Ruimtestaat[[#This Row],[Ruimte code]],Ruimtegroepen[[#All],[Code]:[Ruimte omschrijving]],2,FALSE)</f>
        <v>Leslokalen</v>
      </c>
      <c r="L167" s="434" t="s">
        <v>100</v>
      </c>
      <c r="M167" s="437" t="s">
        <v>1759</v>
      </c>
      <c r="N167" s="439">
        <v>54</v>
      </c>
      <c r="O167" s="439"/>
      <c r="P167" s="439"/>
      <c r="Q167" s="439"/>
      <c r="R167" s="440" t="str">
        <f>VLOOKUP(Ruimtestaat[[#This Row],[Ruimte code]],Ruimtegroepen[],4,FALSE)</f>
        <v>Le</v>
      </c>
      <c r="S167" s="434">
        <v>40</v>
      </c>
      <c r="T167" s="434" t="s">
        <v>2</v>
      </c>
      <c r="U167" s="434">
        <f>IF(S167&gt;0,IF(RIGHT(Ruimtestaat[[#This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7" s="434">
        <f>IF(U167&gt;0,VLOOKUP($J167,Ruimtegroepen[],3,FALSE)*VLOOKUP($L167,Vloersoorten[],3,FALSE)*VLOOKUP($T167,Frequenties[],3,FALSE)*VLOOKUP($A167,Locaties[],3,FALSE),0)</f>
        <v>0</v>
      </c>
      <c r="W167" s="434">
        <f>Ruimtestaat[[#This Row],[Uitvoeringen werkdagen]]*Ruimtestaat[[#This Row],[Oppervlak (netto)]]</f>
        <v>10800</v>
      </c>
      <c r="X167" s="441">
        <f>IF(V167&gt;0,Ruimtestaat[[#This Row],[Prest. (m2 /jaar) werkdagen]]/Ruimtestaat[[#This Row],[Norm (m2/uur) werkdagen]],0)</f>
        <v>0</v>
      </c>
      <c r="Y167" s="442">
        <f>Ruimtestaat[[#This Row],[Uitvoeringen werkdagen]]*Ruimtestaat[[#This Row],[Gedeeltelijk]]</f>
        <v>0</v>
      </c>
      <c r="Z167" s="443" t="e">
        <f>IF(U167&gt;0,Ruimtestaat[[#This Row],[Prest. (m2 / jaar) werkdagen gedeeld]]/Ruimtestaat[[#This Row],[Norm (m2/uur) werkdagen]],0)</f>
        <v>#DIV/0!</v>
      </c>
      <c r="AA167" s="441" t="e">
        <f>Ruimtestaat[[#This Row],[uren / jaar werkdagen gedeeld]]*Tariefsopbouw!$E$35</f>
        <v>#DIV/0!</v>
      </c>
      <c r="AB167" s="441">
        <f>Ruimtestaat[[#This Row],[Uitvoeringen werkdagen]]*Ruimtestaat[[#This Row],[BSO]]</f>
        <v>0</v>
      </c>
      <c r="AC167" s="443" t="e">
        <f>IF(U167&gt;0,Ruimtestaat[[#This Row],[Prest. (m2 / jaar) werkdagen BSO]]/Ruimtestaat[[#This Row],[Norm (m2/uur) werkdagen]],0)</f>
        <v>#DIV/0!</v>
      </c>
      <c r="AD167" s="443" t="e">
        <f>Ruimtestaat[[#This Row],[uren / jaar werkdagen BSO]]*Tariefsopbouw!$E$35</f>
        <v>#DIV/0!</v>
      </c>
      <c r="AE167" s="444">
        <f>Ruimtestaat[[#This Row],[uren / jaar werkdagen]]*Tariefsopbouw!$E$35</f>
        <v>0</v>
      </c>
      <c r="AF167" s="434"/>
      <c r="AG167" s="434">
        <f>IF(Ruimtestaat[[#This Row],[Frequentie weekend]]&gt;0,VALUE(LEFT(AF167,1))*S167,0)</f>
        <v>0</v>
      </c>
      <c r="AH167" s="445">
        <f>IF($AG167&gt;0,VLOOKUP($J167,Ruimtegroepen[],3,FALSE)*VLOOKUP($L167,Vloersoorten[],3,FALSE)*VLOOKUP($AF167,Frequenties[],3,FALSE)*VLOOKUP(Ruimtestaat[[#This Row],[Code]],Locaties[],3,FALSE),0)</f>
        <v>0</v>
      </c>
      <c r="AI167" s="445">
        <f>Ruimtestaat[[#This Row],[Uitvoeringen weekend]]*Ruimtestaat[[#This Row],[Oppervlak (netto)]]</f>
        <v>0</v>
      </c>
      <c r="AJ167" s="445">
        <f>IF(AH167&gt;0,Ruimtestaat[[#This Row],[Prest. (m2 /jaar) weekend]]/Ruimtestaat[[#This Row],[Norm (m2/uur) weekend]],0)</f>
        <v>0</v>
      </c>
      <c r="AK167" s="444">
        <f>Ruimtestaat[[#This Row],[uren / jaar weekend]]*Tariefsopbouw!$D$40</f>
        <v>0</v>
      </c>
      <c r="AL167" s="441">
        <f>Ruimtestaat[[#This Row],[Prest. (m2 /jaar) weekend]]+Ruimtestaat[[#This Row],[Prest. (m2 /jaar) werkdagen]]</f>
        <v>10800</v>
      </c>
      <c r="AM167" s="441">
        <f>Ruimtestaat[[#This Row],[uren / jaar weekend]]+Ruimtestaat[[#This Row],[uren / jaar werkdagen]]</f>
        <v>0</v>
      </c>
      <c r="AN167" s="446">
        <f>Ruimtestaat[[#This Row],[kosten / jaar weekend]]+Ruimtestaat[[#This Row],[kosten / jaar werkdagen]]</f>
        <v>0</v>
      </c>
      <c r="AO167" s="446"/>
      <c r="AP167" s="447" t="str">
        <f>IF(Ruimtestaat[[#This Row],[Frequentie werkdagen]]="","",_xlfn.CONCAT(Ruimtestaat[[#This Row],[Ruimte code]],"-",Ruimtestaat[[#This Row],[Frequentie werkdagen]]," ",Ruimtestaat[[#This Row],[Vloer code]]))</f>
        <v>16-5w L</v>
      </c>
      <c r="AQ167" s="448" t="str">
        <f>_xlfn.IFNA(VLOOKUP($AP167,Programma!$F$3:$G$1101,2,0),"")</f>
        <v>_</v>
      </c>
      <c r="AR167" s="448" t="str">
        <f>_xlfn.IFNA(VLOOKUP($AP167,Programma!$F$3:$H$1101,3,0),"")</f>
        <v>_</v>
      </c>
      <c r="AS167" s="448" t="str">
        <f>_xlfn.IFNA(VLOOKUP($AP167,Programma!$F$3:$I$1101,4,0),"")</f>
        <v>4w</v>
      </c>
      <c r="AT167" s="448" t="str">
        <f>_xlfn.IFNA(VLOOKUP($AP167,Programma!$F$3:$J$1101,5,0),"")</f>
        <v>1w</v>
      </c>
      <c r="AU167" s="448" t="str">
        <f>_xlfn.IFNA(VLOOKUP($AP167,Programma!$F$3:$K$1101,6,0),"")</f>
        <v>_</v>
      </c>
      <c r="AV167" s="448" t="str">
        <f>_xlfn.IFNA(VLOOKUP($AP167,Programma!$F$3:$L$1101,7,0),"")</f>
        <v>_</v>
      </c>
      <c r="AW167" s="448" t="str">
        <f>_xlfn.IFNA(VLOOKUP($AP167,Programma!$F$3:$M$1101,8,0),"")</f>
        <v>_</v>
      </c>
      <c r="AX167" s="448" t="str">
        <f>_xlfn.IFNA(VLOOKUP($AP167,Programma!$F$3:$N$1101,9,0),"")</f>
        <v>_</v>
      </c>
      <c r="AY167" s="448" t="str">
        <f>_xlfn.IFNA(VLOOKUP($AP167,Programma!$F$3:$O$1101,10,0),"")</f>
        <v>5w</v>
      </c>
      <c r="AZ167" s="448" t="str">
        <f>_xlfn.IFNA(VLOOKUP($AP167,Programma!$F$3:$P$1101,11,0),"")</f>
        <v>5w</v>
      </c>
      <c r="BA167" s="448" t="str">
        <f>_xlfn.IFNA(VLOOKUP($AP167,Programma!$F$3:$Q$1101,12,0),"")</f>
        <v>1w</v>
      </c>
      <c r="BB167" s="448" t="str">
        <f>_xlfn.IFNA(VLOOKUP($AP167,Programma!$F$3:$R$1101,13,0),"")</f>
        <v>1w</v>
      </c>
      <c r="BC167" s="448" t="str">
        <f>_xlfn.IFNA(VLOOKUP($AP167,Programma!$F$3:$S$1101,14,0),"")</f>
        <v>1m</v>
      </c>
      <c r="BD167" s="448" t="str">
        <f>_xlfn.IFNA(VLOOKUP($AP167,Programma!$F$3:$T$1101,15,0),"")</f>
        <v>2j</v>
      </c>
      <c r="BE167" s="448" t="str">
        <f>_xlfn.IFNA(VLOOKUP($AP167,Programma!$F$3:$U$1101,16,0),"")</f>
        <v>1j</v>
      </c>
      <c r="BF167" s="448" t="str">
        <f>_xlfn.IFNA(VLOOKUP($AP167,Programma!$F$3:$V$1101,17,0),"")</f>
        <v>_</v>
      </c>
      <c r="BG167" s="448" t="str">
        <f>_xlfn.IFNA(VLOOKUP($AP167,Programma!$F$3:$W$1101,18,0),"")</f>
        <v>_</v>
      </c>
      <c r="BH167" s="448" t="str">
        <f>_xlfn.IFNA(VLOOKUP($AP167,Programma!$F$3:$X$1101,19,0),"")</f>
        <v>_</v>
      </c>
      <c r="BI167" s="448" t="str">
        <f>_xlfn.IFNA(VLOOKUP($AP167,Programma!$F$3:$Y$1101,20,0),"")</f>
        <v>_</v>
      </c>
      <c r="BJ167" s="449"/>
      <c r="BK167" s="447" t="str">
        <f>IF(Ruimtestaat[[#This Row],[Frequentie weekend]]="","",_xlfn.CONCAT(Ruimtestaat[[#This Row],[Ruimte code]],"-",Ruimtestaat[[#This Row],[Frequentie weekend]]," ",Ruimtestaat[[#This Row],[Vloer code]]))</f>
        <v/>
      </c>
      <c r="BL167" s="448" t="str">
        <f>_xlfn.IFNA(VLOOKUP($BK167,Programma!$F$3:$G$1101,2,0),"")</f>
        <v/>
      </c>
      <c r="BM167" s="448" t="str">
        <f>_xlfn.IFNA(VLOOKUP($BK167,Programma!$F$3:$H$1101,3,0),"")</f>
        <v/>
      </c>
      <c r="BN167" s="448" t="str">
        <f>_xlfn.IFNA(VLOOKUP($BK167,Programma!$F$3:$I$1101,4,0),"")</f>
        <v/>
      </c>
      <c r="BO167" s="448" t="str">
        <f>_xlfn.IFNA(VLOOKUP($BK167,Programma!$F$3:$J$1101,5,0),"")</f>
        <v/>
      </c>
      <c r="BP167" s="448" t="str">
        <f>_xlfn.IFNA(VLOOKUP($BK167,Programma!$F$3:$K$1101,6,0),"")</f>
        <v/>
      </c>
      <c r="BQ167" s="448" t="str">
        <f>_xlfn.IFNA(VLOOKUP($BK167,Programma!$F$3:$L$1101,7,0),"")</f>
        <v/>
      </c>
      <c r="BR167" s="448" t="str">
        <f>_xlfn.IFNA(VLOOKUP($BK167,Programma!$F$3:$M$1101,8,0),"")</f>
        <v/>
      </c>
      <c r="BS167" s="448" t="str">
        <f>_xlfn.IFNA(VLOOKUP($BK167,Programma!$F$3:$N$1101,9,0),"")</f>
        <v/>
      </c>
      <c r="BT167" s="448" t="str">
        <f>_xlfn.IFNA(VLOOKUP($BK167,Programma!$F$3:$O$1101,10,0),"")</f>
        <v/>
      </c>
      <c r="BU167" s="448" t="str">
        <f>_xlfn.IFNA(VLOOKUP($BK167,Programma!$F$3:$P$1101,11,0),"")</f>
        <v/>
      </c>
      <c r="BV167" s="448" t="str">
        <f>_xlfn.IFNA(VLOOKUP($BK167,Programma!$F$3:$Q$1101,12,0),"")</f>
        <v/>
      </c>
      <c r="BW167" s="448" t="str">
        <f>_xlfn.IFNA(VLOOKUP($BK167,Programma!$F$3:$R$1101,13,0),"")</f>
        <v/>
      </c>
      <c r="BX167" s="448" t="str">
        <f>_xlfn.IFNA(VLOOKUP($BK167,Programma!$F$3:$S$1101,14,0),"")</f>
        <v/>
      </c>
      <c r="BY167" s="448" t="str">
        <f>_xlfn.IFNA(VLOOKUP($BK167,Programma!$F$3:$T$1101,15,0),"")</f>
        <v/>
      </c>
      <c r="BZ167" s="448" t="str">
        <f>_xlfn.IFNA(VLOOKUP($BK167,Programma!$F$3:$U$1101,16,0),"")</f>
        <v/>
      </c>
      <c r="CA167" s="448" t="str">
        <f>_xlfn.IFNA(VLOOKUP($BK167,Programma!$F$3:$V$1101,17,0),"")</f>
        <v/>
      </c>
      <c r="CB167" s="448" t="str">
        <f>_xlfn.IFNA(VLOOKUP($BK167,Programma!$F$3:$W$1101,18,0),"")</f>
        <v/>
      </c>
      <c r="CC167" s="448" t="str">
        <f>_xlfn.IFNA(VLOOKUP($BK167,Programma!$F$3:$X$1101,19,0),"")</f>
        <v/>
      </c>
      <c r="CD167" s="448" t="str">
        <f>_xlfn.IFNA(VLOOKUP($BK167,Programma!$F$3:$Y$1101,20,0),"")</f>
        <v/>
      </c>
      <c r="CE167" s="327"/>
      <c r="CF167" s="327"/>
      <c r="CG167" s="327"/>
      <c r="CH167" s="327"/>
      <c r="CI167" s="327"/>
      <c r="CJ167" s="327"/>
      <c r="CK167" s="327"/>
      <c r="CL167" s="327"/>
      <c r="CM167" s="327"/>
      <c r="CN167" s="327"/>
      <c r="CO167" s="327"/>
      <c r="CP167" s="327"/>
      <c r="CQ167" s="327"/>
      <c r="CR167" s="327"/>
      <c r="CS167" s="327"/>
      <c r="CT167" s="327"/>
      <c r="CU167" s="327"/>
      <c r="CV167" s="327"/>
      <c r="CW167" s="327"/>
      <c r="CX167" s="327"/>
      <c r="CY167" s="327"/>
      <c r="CZ167" s="327"/>
      <c r="DA167" s="327"/>
      <c r="DB167" s="327"/>
      <c r="DC167" s="327"/>
      <c r="DD167" s="327"/>
      <c r="DE167" s="327"/>
      <c r="DF167" s="327"/>
      <c r="DG167" s="327"/>
      <c r="DH167" s="327"/>
      <c r="DI167" s="327"/>
      <c r="DJ167" s="327"/>
      <c r="DK167" s="327"/>
      <c r="DL167" s="327"/>
      <c r="DM167" s="327"/>
      <c r="DN167" s="327"/>
      <c r="DO167" s="327"/>
      <c r="DP167" s="327"/>
      <c r="DQ167" s="327"/>
      <c r="DR167" s="327"/>
      <c r="DS167" s="327"/>
      <c r="DT167" s="327"/>
      <c r="DU167" s="327"/>
      <c r="DV167" s="327"/>
      <c r="DW167" s="327"/>
      <c r="DX167" s="327"/>
      <c r="DY167" s="327"/>
      <c r="DZ167" s="327"/>
      <c r="EA167" s="327"/>
      <c r="EB167" s="327"/>
      <c r="EC167" s="327"/>
      <c r="ED167" s="327"/>
      <c r="EE167" s="327"/>
      <c r="EF167" s="327"/>
      <c r="EG167" s="327"/>
      <c r="EH167" s="327"/>
      <c r="EI167" s="327"/>
      <c r="EJ167" s="327"/>
      <c r="EK167" s="327"/>
      <c r="EL167" s="327"/>
      <c r="EM167" s="327"/>
      <c r="EN167" s="327"/>
      <c r="EO167" s="327"/>
      <c r="EP167" s="327"/>
      <c r="EQ167" s="327"/>
      <c r="ER167" s="327"/>
      <c r="ES167" s="327"/>
      <c r="ET167" s="327"/>
      <c r="EU167" s="327"/>
      <c r="EV167" s="327"/>
      <c r="EW167" s="327"/>
      <c r="EX167" s="327"/>
      <c r="EY167" s="327"/>
      <c r="EZ167" s="327"/>
      <c r="FA167" s="327"/>
      <c r="FB167" s="327"/>
      <c r="FC167" s="327"/>
      <c r="FD167" s="327"/>
      <c r="FE167" s="327"/>
      <c r="FF167" s="327"/>
      <c r="FG167" s="327"/>
      <c r="FH167" s="327"/>
      <c r="FI167" s="327"/>
      <c r="FJ167" s="327"/>
      <c r="FK167" s="327"/>
      <c r="FL167" s="327"/>
      <c r="FM167" s="327"/>
      <c r="FN167" s="327"/>
      <c r="FO167" s="327"/>
      <c r="FP167" s="327"/>
      <c r="FQ167" s="327"/>
      <c r="FR167" s="327"/>
      <c r="FS167" s="327"/>
      <c r="FT167" s="327"/>
      <c r="FU167" s="327"/>
      <c r="FV167" s="327"/>
      <c r="FW167" s="327"/>
      <c r="FX167" s="327"/>
      <c r="FY167" s="327"/>
      <c r="FZ167" s="327"/>
      <c r="GA167" s="327"/>
      <c r="GB167" s="327"/>
      <c r="GC167" s="327"/>
      <c r="GD167" s="327"/>
      <c r="GE167" s="327"/>
      <c r="GF167" s="327"/>
      <c r="GG167" s="327"/>
      <c r="GH167" s="327"/>
      <c r="GI167" s="327"/>
      <c r="GJ167" s="327"/>
      <c r="GK167" s="327"/>
      <c r="GL167" s="327"/>
      <c r="GM167" s="327"/>
      <c r="GN167" s="327"/>
      <c r="GO167" s="327"/>
      <c r="GP167" s="327"/>
      <c r="GQ167" s="327"/>
      <c r="GR167" s="327"/>
      <c r="GS167" s="327"/>
      <c r="GT167" s="327"/>
      <c r="GU167" s="327"/>
      <c r="GV167" s="327"/>
      <c r="GW167" s="327"/>
      <c r="GX167" s="327"/>
      <c r="GY167" s="327"/>
      <c r="GZ167" s="327"/>
      <c r="HA167" s="327"/>
      <c r="HB167" s="327"/>
      <c r="HC167" s="327"/>
      <c r="HD167" s="327"/>
      <c r="HE167" s="327"/>
      <c r="HF167" s="327"/>
      <c r="HG167" s="327"/>
      <c r="HH167" s="327"/>
      <c r="HI167" s="327"/>
      <c r="HJ167" s="327"/>
      <c r="HK167" s="327"/>
      <c r="HL167" s="327"/>
      <c r="HM167" s="327"/>
      <c r="HN167" s="327"/>
      <c r="HO167" s="327"/>
      <c r="HP167" s="327"/>
      <c r="HQ167" s="327"/>
      <c r="HR167" s="327"/>
      <c r="HS167" s="327"/>
    </row>
    <row r="168" spans="1:227" ht="15" customHeight="1">
      <c r="A168" s="330">
        <v>7</v>
      </c>
      <c r="B168" s="435" t="str">
        <f>VLOOKUP(Ruimtestaat[[#This Row],[Code]],Locaties[[Code]:[Locatie]],2,FALSE)</f>
        <v>IKC De Baanbreker</v>
      </c>
      <c r="C168" s="435" t="str">
        <f>VLOOKUP(Ruimtestaat[[#This Row],[Code]],Locaties[[#All],[Code]:[Adres]],4,FALSE)</f>
        <v>Lijnbaan 319</v>
      </c>
      <c r="D168" s="435" t="str">
        <f>VLOOKUP(Ruimtestaat[[#This Row],[Code]],Locaties[[#All],[Code]:[Postcode]],5,FALSE)</f>
        <v>2728 AG</v>
      </c>
      <c r="E168" s="435" t="str">
        <f>VLOOKUP(Ruimtestaat[[#This Row],[Code]],Locaties[#All],6,FALSE)</f>
        <v>Zoetermeer</v>
      </c>
      <c r="F168" s="434"/>
      <c r="G168" s="434" t="s">
        <v>1769</v>
      </c>
      <c r="H168" s="330" t="s">
        <v>1715</v>
      </c>
      <c r="I168" s="450" t="s">
        <v>1679</v>
      </c>
      <c r="J168" s="434">
        <v>16</v>
      </c>
      <c r="K168" s="450" t="str">
        <f>VLOOKUP(Ruimtestaat[[#This Row],[Ruimte code]],Ruimtegroepen[[#All],[Code]:[Ruimte omschrijving]],2,FALSE)</f>
        <v>Leslokalen</v>
      </c>
      <c r="L168" s="434" t="s">
        <v>100</v>
      </c>
      <c r="M168" s="437" t="s">
        <v>1759</v>
      </c>
      <c r="N168" s="439">
        <v>50</v>
      </c>
      <c r="O168" s="439"/>
      <c r="P168" s="439"/>
      <c r="Q168" s="439"/>
      <c r="R168" s="440" t="str">
        <f>VLOOKUP(Ruimtestaat[[#This Row],[Ruimte code]],Ruimtegroepen[],4,FALSE)</f>
        <v>Le</v>
      </c>
      <c r="S168" s="434">
        <v>40</v>
      </c>
      <c r="T168" s="434" t="s">
        <v>2</v>
      </c>
      <c r="U168" s="434">
        <f>IF(S168&gt;0,IF(RIGHT(Ruimtestaat[[#This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8" s="434">
        <f>IF(U168&gt;0,VLOOKUP($J168,Ruimtegroepen[],3,FALSE)*VLOOKUP($L168,Vloersoorten[],3,FALSE)*VLOOKUP($T168,Frequenties[],3,FALSE)*VLOOKUP($A168,Locaties[],3,FALSE),0)</f>
        <v>0</v>
      </c>
      <c r="W168" s="434">
        <f>Ruimtestaat[[#This Row],[Uitvoeringen werkdagen]]*Ruimtestaat[[#This Row],[Oppervlak (netto)]]</f>
        <v>10000</v>
      </c>
      <c r="X168" s="441">
        <f>IF(V168&gt;0,Ruimtestaat[[#This Row],[Prest. (m2 /jaar) werkdagen]]/Ruimtestaat[[#This Row],[Norm (m2/uur) werkdagen]],0)</f>
        <v>0</v>
      </c>
      <c r="Y168" s="442">
        <f>Ruimtestaat[[#This Row],[Uitvoeringen werkdagen]]*Ruimtestaat[[#This Row],[Gedeeltelijk]]</f>
        <v>0</v>
      </c>
      <c r="Z168" s="443" t="e">
        <f>IF(U168&gt;0,Ruimtestaat[[#This Row],[Prest. (m2 / jaar) werkdagen gedeeld]]/Ruimtestaat[[#This Row],[Norm (m2/uur) werkdagen]],0)</f>
        <v>#DIV/0!</v>
      </c>
      <c r="AA168" s="441" t="e">
        <f>Ruimtestaat[[#This Row],[uren / jaar werkdagen gedeeld]]*Tariefsopbouw!$E$35</f>
        <v>#DIV/0!</v>
      </c>
      <c r="AB168" s="441">
        <f>Ruimtestaat[[#This Row],[Uitvoeringen werkdagen]]*Ruimtestaat[[#This Row],[BSO]]</f>
        <v>0</v>
      </c>
      <c r="AC168" s="443" t="e">
        <f>IF(U168&gt;0,Ruimtestaat[[#This Row],[Prest. (m2 / jaar) werkdagen BSO]]/Ruimtestaat[[#This Row],[Norm (m2/uur) werkdagen]],0)</f>
        <v>#DIV/0!</v>
      </c>
      <c r="AD168" s="443" t="e">
        <f>Ruimtestaat[[#This Row],[uren / jaar werkdagen BSO]]*Tariefsopbouw!$E$35</f>
        <v>#DIV/0!</v>
      </c>
      <c r="AE168" s="444">
        <f>Ruimtestaat[[#This Row],[uren / jaar werkdagen]]*Tariefsopbouw!$E$35</f>
        <v>0</v>
      </c>
      <c r="AF168" s="434"/>
      <c r="AG168" s="434">
        <f>IF(Ruimtestaat[[#This Row],[Frequentie weekend]]&gt;0,VALUE(LEFT(AF168,1))*S168,0)</f>
        <v>0</v>
      </c>
      <c r="AH168" s="445">
        <f>IF($AG168&gt;0,VLOOKUP($J168,Ruimtegroepen[],3,FALSE)*VLOOKUP($L168,Vloersoorten[],3,FALSE)*VLOOKUP($AF168,Frequenties[],3,FALSE)*VLOOKUP(Ruimtestaat[[#This Row],[Code]],Locaties[],3,FALSE),0)</f>
        <v>0</v>
      </c>
      <c r="AI168" s="445">
        <f>Ruimtestaat[[#This Row],[Uitvoeringen weekend]]*Ruimtestaat[[#This Row],[Oppervlak (netto)]]</f>
        <v>0</v>
      </c>
      <c r="AJ168" s="445">
        <f>IF(AH168&gt;0,Ruimtestaat[[#This Row],[Prest. (m2 /jaar) weekend]]/Ruimtestaat[[#This Row],[Norm (m2/uur) weekend]],0)</f>
        <v>0</v>
      </c>
      <c r="AK168" s="444">
        <f>Ruimtestaat[[#This Row],[uren / jaar weekend]]*Tariefsopbouw!$D$40</f>
        <v>0</v>
      </c>
      <c r="AL168" s="441">
        <f>Ruimtestaat[[#This Row],[Prest. (m2 /jaar) weekend]]+Ruimtestaat[[#This Row],[Prest. (m2 /jaar) werkdagen]]</f>
        <v>10000</v>
      </c>
      <c r="AM168" s="441">
        <f>Ruimtestaat[[#This Row],[uren / jaar weekend]]+Ruimtestaat[[#This Row],[uren / jaar werkdagen]]</f>
        <v>0</v>
      </c>
      <c r="AN168" s="446">
        <f>Ruimtestaat[[#This Row],[kosten / jaar weekend]]+Ruimtestaat[[#This Row],[kosten / jaar werkdagen]]</f>
        <v>0</v>
      </c>
      <c r="AO168" s="446"/>
      <c r="AP168" s="447" t="str">
        <f>IF(Ruimtestaat[[#This Row],[Frequentie werkdagen]]="","",_xlfn.CONCAT(Ruimtestaat[[#This Row],[Ruimte code]],"-",Ruimtestaat[[#This Row],[Frequentie werkdagen]]," ",Ruimtestaat[[#This Row],[Vloer code]]))</f>
        <v>16-5w L</v>
      </c>
      <c r="AQ168" s="448" t="str">
        <f>_xlfn.IFNA(VLOOKUP($AP168,Programma!$F$3:$G$1101,2,0),"")</f>
        <v>_</v>
      </c>
      <c r="AR168" s="448" t="str">
        <f>_xlfn.IFNA(VLOOKUP($AP168,Programma!$F$3:$H$1101,3,0),"")</f>
        <v>_</v>
      </c>
      <c r="AS168" s="448" t="str">
        <f>_xlfn.IFNA(VLOOKUP($AP168,Programma!$F$3:$I$1101,4,0),"")</f>
        <v>4w</v>
      </c>
      <c r="AT168" s="448" t="str">
        <f>_xlfn.IFNA(VLOOKUP($AP168,Programma!$F$3:$J$1101,5,0),"")</f>
        <v>1w</v>
      </c>
      <c r="AU168" s="448" t="str">
        <f>_xlfn.IFNA(VLOOKUP($AP168,Programma!$F$3:$K$1101,6,0),"")</f>
        <v>_</v>
      </c>
      <c r="AV168" s="448" t="str">
        <f>_xlfn.IFNA(VLOOKUP($AP168,Programma!$F$3:$L$1101,7,0),"")</f>
        <v>_</v>
      </c>
      <c r="AW168" s="448" t="str">
        <f>_xlfn.IFNA(VLOOKUP($AP168,Programma!$F$3:$M$1101,8,0),"")</f>
        <v>_</v>
      </c>
      <c r="AX168" s="448" t="str">
        <f>_xlfn.IFNA(VLOOKUP($AP168,Programma!$F$3:$N$1101,9,0),"")</f>
        <v>_</v>
      </c>
      <c r="AY168" s="448" t="str">
        <f>_xlfn.IFNA(VLOOKUP($AP168,Programma!$F$3:$O$1101,10,0),"")</f>
        <v>5w</v>
      </c>
      <c r="AZ168" s="448" t="str">
        <f>_xlfn.IFNA(VLOOKUP($AP168,Programma!$F$3:$P$1101,11,0),"")</f>
        <v>5w</v>
      </c>
      <c r="BA168" s="448" t="str">
        <f>_xlfn.IFNA(VLOOKUP($AP168,Programma!$F$3:$Q$1101,12,0),"")</f>
        <v>1w</v>
      </c>
      <c r="BB168" s="448" t="str">
        <f>_xlfn.IFNA(VLOOKUP($AP168,Programma!$F$3:$R$1101,13,0),"")</f>
        <v>1w</v>
      </c>
      <c r="BC168" s="448" t="str">
        <f>_xlfn.IFNA(VLOOKUP($AP168,Programma!$F$3:$S$1101,14,0),"")</f>
        <v>1m</v>
      </c>
      <c r="BD168" s="448" t="str">
        <f>_xlfn.IFNA(VLOOKUP($AP168,Programma!$F$3:$T$1101,15,0),"")</f>
        <v>2j</v>
      </c>
      <c r="BE168" s="448" t="str">
        <f>_xlfn.IFNA(VLOOKUP($AP168,Programma!$F$3:$U$1101,16,0),"")</f>
        <v>1j</v>
      </c>
      <c r="BF168" s="448" t="str">
        <f>_xlfn.IFNA(VLOOKUP($AP168,Programma!$F$3:$V$1101,17,0),"")</f>
        <v>_</v>
      </c>
      <c r="BG168" s="448" t="str">
        <f>_xlfn.IFNA(VLOOKUP($AP168,Programma!$F$3:$W$1101,18,0),"")</f>
        <v>_</v>
      </c>
      <c r="BH168" s="448" t="str">
        <f>_xlfn.IFNA(VLOOKUP($AP168,Programma!$F$3:$X$1101,19,0),"")</f>
        <v>_</v>
      </c>
      <c r="BI168" s="448" t="str">
        <f>_xlfn.IFNA(VLOOKUP($AP168,Programma!$F$3:$Y$1101,20,0),"")</f>
        <v>_</v>
      </c>
      <c r="BJ168" s="449"/>
      <c r="BK168" s="447" t="str">
        <f>IF(Ruimtestaat[[#This Row],[Frequentie weekend]]="","",_xlfn.CONCAT(Ruimtestaat[[#This Row],[Ruimte code]],"-",Ruimtestaat[[#This Row],[Frequentie weekend]]," ",Ruimtestaat[[#This Row],[Vloer code]]))</f>
        <v/>
      </c>
      <c r="BL168" s="448" t="str">
        <f>_xlfn.IFNA(VLOOKUP($BK168,Programma!$F$3:$G$1101,2,0),"")</f>
        <v/>
      </c>
      <c r="BM168" s="448" t="str">
        <f>_xlfn.IFNA(VLOOKUP($BK168,Programma!$F$3:$H$1101,3,0),"")</f>
        <v/>
      </c>
      <c r="BN168" s="448" t="str">
        <f>_xlfn.IFNA(VLOOKUP($BK168,Programma!$F$3:$I$1101,4,0),"")</f>
        <v/>
      </c>
      <c r="BO168" s="448" t="str">
        <f>_xlfn.IFNA(VLOOKUP($BK168,Programma!$F$3:$J$1101,5,0),"")</f>
        <v/>
      </c>
      <c r="BP168" s="448" t="str">
        <f>_xlfn.IFNA(VLOOKUP($BK168,Programma!$F$3:$K$1101,6,0),"")</f>
        <v/>
      </c>
      <c r="BQ168" s="448" t="str">
        <f>_xlfn.IFNA(VLOOKUP($BK168,Programma!$F$3:$L$1101,7,0),"")</f>
        <v/>
      </c>
      <c r="BR168" s="448" t="str">
        <f>_xlfn.IFNA(VLOOKUP($BK168,Programma!$F$3:$M$1101,8,0),"")</f>
        <v/>
      </c>
      <c r="BS168" s="448" t="str">
        <f>_xlfn.IFNA(VLOOKUP($BK168,Programma!$F$3:$N$1101,9,0),"")</f>
        <v/>
      </c>
      <c r="BT168" s="448" t="str">
        <f>_xlfn.IFNA(VLOOKUP($BK168,Programma!$F$3:$O$1101,10,0),"")</f>
        <v/>
      </c>
      <c r="BU168" s="448" t="str">
        <f>_xlfn.IFNA(VLOOKUP($BK168,Programma!$F$3:$P$1101,11,0),"")</f>
        <v/>
      </c>
      <c r="BV168" s="448" t="str">
        <f>_xlfn.IFNA(VLOOKUP($BK168,Programma!$F$3:$Q$1101,12,0),"")</f>
        <v/>
      </c>
      <c r="BW168" s="448" t="str">
        <f>_xlfn.IFNA(VLOOKUP($BK168,Programma!$F$3:$R$1101,13,0),"")</f>
        <v/>
      </c>
      <c r="BX168" s="448" t="str">
        <f>_xlfn.IFNA(VLOOKUP($BK168,Programma!$F$3:$S$1101,14,0),"")</f>
        <v/>
      </c>
      <c r="BY168" s="448" t="str">
        <f>_xlfn.IFNA(VLOOKUP($BK168,Programma!$F$3:$T$1101,15,0),"")</f>
        <v/>
      </c>
      <c r="BZ168" s="448" t="str">
        <f>_xlfn.IFNA(VLOOKUP($BK168,Programma!$F$3:$U$1101,16,0),"")</f>
        <v/>
      </c>
      <c r="CA168" s="448" t="str">
        <f>_xlfn.IFNA(VLOOKUP($BK168,Programma!$F$3:$V$1101,17,0),"")</f>
        <v/>
      </c>
      <c r="CB168" s="448" t="str">
        <f>_xlfn.IFNA(VLOOKUP($BK168,Programma!$F$3:$W$1101,18,0),"")</f>
        <v/>
      </c>
      <c r="CC168" s="448" t="str">
        <f>_xlfn.IFNA(VLOOKUP($BK168,Programma!$F$3:$X$1101,19,0),"")</f>
        <v/>
      </c>
      <c r="CD168" s="448" t="str">
        <f>_xlfn.IFNA(VLOOKUP($BK168,Programma!$F$3:$Y$1101,20,0),"")</f>
        <v/>
      </c>
      <c r="CE168" s="327"/>
      <c r="CF168" s="327"/>
      <c r="CG168" s="327"/>
      <c r="CH168" s="327"/>
      <c r="CI168" s="327"/>
      <c r="CJ168" s="327"/>
      <c r="CK168" s="327"/>
      <c r="CL168" s="327"/>
      <c r="CM168" s="327"/>
      <c r="CN168" s="327"/>
      <c r="CO168" s="327"/>
      <c r="CP168" s="327"/>
      <c r="CQ168" s="327"/>
      <c r="CR168" s="327"/>
      <c r="CS168" s="327"/>
      <c r="CT168" s="327"/>
      <c r="CU168" s="327"/>
      <c r="CV168" s="327"/>
      <c r="CW168" s="327"/>
      <c r="CX168" s="327"/>
      <c r="CY168" s="327"/>
      <c r="CZ168" s="327"/>
      <c r="DA168" s="327"/>
      <c r="DB168" s="327"/>
      <c r="DC168" s="327"/>
      <c r="DD168" s="327"/>
      <c r="DE168" s="327"/>
      <c r="DF168" s="327"/>
      <c r="DG168" s="327"/>
      <c r="DH168" s="327"/>
      <c r="DI168" s="327"/>
      <c r="DJ168" s="327"/>
      <c r="DK168" s="327"/>
      <c r="DL168" s="327"/>
      <c r="DM168" s="327"/>
      <c r="DN168" s="327"/>
      <c r="DO168" s="327"/>
      <c r="DP168" s="327"/>
      <c r="DQ168" s="327"/>
      <c r="DR168" s="327"/>
      <c r="DS168" s="327"/>
      <c r="DT168" s="327"/>
      <c r="DU168" s="327"/>
      <c r="DV168" s="327"/>
      <c r="DW168" s="327"/>
      <c r="DX168" s="327"/>
      <c r="DY168" s="327"/>
      <c r="DZ168" s="327"/>
      <c r="EA168" s="327"/>
      <c r="EB168" s="327"/>
      <c r="EC168" s="327"/>
      <c r="ED168" s="327"/>
      <c r="EE168" s="327"/>
      <c r="EF168" s="327"/>
      <c r="EG168" s="327"/>
      <c r="EH168" s="327"/>
      <c r="EI168" s="327"/>
      <c r="EJ168" s="327"/>
      <c r="EK168" s="327"/>
      <c r="EL168" s="327"/>
      <c r="EM168" s="327"/>
      <c r="EN168" s="327"/>
      <c r="EO168" s="327"/>
      <c r="EP168" s="327"/>
      <c r="EQ168" s="327"/>
      <c r="ER168" s="327"/>
      <c r="ES168" s="327"/>
      <c r="ET168" s="327"/>
      <c r="EU168" s="327"/>
      <c r="EV168" s="327"/>
      <c r="EW168" s="327"/>
      <c r="EX168" s="327"/>
      <c r="EY168" s="327"/>
      <c r="EZ168" s="327"/>
      <c r="FA168" s="327"/>
      <c r="FB168" s="327"/>
      <c r="FC168" s="327"/>
      <c r="FD168" s="327"/>
      <c r="FE168" s="327"/>
      <c r="FF168" s="327"/>
      <c r="FG168" s="327"/>
      <c r="FH168" s="327"/>
      <c r="FI168" s="327"/>
      <c r="FJ168" s="327"/>
      <c r="FK168" s="327"/>
      <c r="FL168" s="327"/>
      <c r="FM168" s="327"/>
      <c r="FN168" s="327"/>
      <c r="FO168" s="327"/>
      <c r="FP168" s="327"/>
      <c r="FQ168" s="327"/>
      <c r="FR168" s="327"/>
      <c r="FS168" s="327"/>
      <c r="FT168" s="327"/>
      <c r="FU168" s="327"/>
      <c r="FV168" s="327"/>
      <c r="FW168" s="327"/>
      <c r="FX168" s="327"/>
      <c r="FY168" s="327"/>
      <c r="FZ168" s="327"/>
      <c r="GA168" s="327"/>
      <c r="GB168" s="327"/>
      <c r="GC168" s="327"/>
      <c r="GD168" s="327"/>
      <c r="GE168" s="327"/>
      <c r="GF168" s="327"/>
      <c r="GG168" s="327"/>
      <c r="GH168" s="327"/>
      <c r="GI168" s="327"/>
      <c r="GJ168" s="327"/>
      <c r="GK168" s="327"/>
      <c r="GL168" s="327"/>
      <c r="GM168" s="327"/>
      <c r="GN168" s="327"/>
      <c r="GO168" s="327"/>
      <c r="GP168" s="327"/>
      <c r="GQ168" s="327"/>
      <c r="GR168" s="327"/>
      <c r="GS168" s="327"/>
      <c r="GT168" s="327"/>
      <c r="GU168" s="327"/>
      <c r="GV168" s="327"/>
      <c r="GW168" s="327"/>
      <c r="GX168" s="327"/>
      <c r="GY168" s="327"/>
      <c r="GZ168" s="327"/>
      <c r="HA168" s="327"/>
      <c r="HB168" s="327"/>
      <c r="HC168" s="327"/>
      <c r="HD168" s="327"/>
      <c r="HE168" s="327"/>
      <c r="HF168" s="327"/>
      <c r="HG168" s="327"/>
      <c r="HH168" s="327"/>
      <c r="HI168" s="327"/>
      <c r="HJ168" s="327"/>
      <c r="HK168" s="327"/>
      <c r="HL168" s="327"/>
      <c r="HM168" s="327"/>
      <c r="HN168" s="327"/>
      <c r="HO168" s="327"/>
      <c r="HP168" s="327"/>
      <c r="HQ168" s="327"/>
      <c r="HR168" s="327"/>
      <c r="HS168" s="327"/>
    </row>
    <row r="169" spans="1:227" ht="15" customHeight="1">
      <c r="A169" s="330">
        <v>7</v>
      </c>
      <c r="B169" s="435" t="str">
        <f>VLOOKUP(Ruimtestaat[[#This Row],[Code]],Locaties[[Code]:[Locatie]],2,FALSE)</f>
        <v>IKC De Baanbreker</v>
      </c>
      <c r="C169" s="435" t="str">
        <f>VLOOKUP(Ruimtestaat[[#This Row],[Code]],Locaties[[#All],[Code]:[Adres]],4,FALSE)</f>
        <v>Lijnbaan 319</v>
      </c>
      <c r="D169" s="435" t="str">
        <f>VLOOKUP(Ruimtestaat[[#This Row],[Code]],Locaties[[#All],[Code]:[Postcode]],5,FALSE)</f>
        <v>2728 AG</v>
      </c>
      <c r="E169" s="435" t="str">
        <f>VLOOKUP(Ruimtestaat[[#This Row],[Code]],Locaties[#All],6,FALSE)</f>
        <v>Zoetermeer</v>
      </c>
      <c r="F169" s="434"/>
      <c r="G169" s="434" t="s">
        <v>1769</v>
      </c>
      <c r="H169" s="330" t="s">
        <v>1728</v>
      </c>
      <c r="I169" s="450" t="s">
        <v>1679</v>
      </c>
      <c r="J169" s="330">
        <v>16</v>
      </c>
      <c r="K169" s="450" t="str">
        <f>VLOOKUP(Ruimtestaat[[#This Row],[Ruimte code]],Ruimtegroepen[[#All],[Code]:[Ruimte omschrijving]],2,FALSE)</f>
        <v>Leslokalen</v>
      </c>
      <c r="L169" s="434" t="s">
        <v>100</v>
      </c>
      <c r="M169" s="437" t="s">
        <v>1759</v>
      </c>
      <c r="N169" s="439">
        <v>60</v>
      </c>
      <c r="O169" s="439"/>
      <c r="P169" s="439"/>
      <c r="Q169" s="439"/>
      <c r="R169" s="440" t="str">
        <f>VLOOKUP(Ruimtestaat[[#This Row],[Ruimte code]],Ruimtegroepen[],4,FALSE)</f>
        <v>Le</v>
      </c>
      <c r="S169" s="434">
        <v>40</v>
      </c>
      <c r="T169" s="434" t="s">
        <v>2</v>
      </c>
      <c r="U169" s="434">
        <f>IF(S169&gt;0,IF(RIGHT(Ruimtestaat[[#This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9" s="434">
        <f>IF(U169&gt;0,VLOOKUP($J169,Ruimtegroepen[],3,FALSE)*VLOOKUP($L169,Vloersoorten[],3,FALSE)*VLOOKUP($T169,Frequenties[],3,FALSE)*VLOOKUP($A169,Locaties[],3,FALSE),0)</f>
        <v>0</v>
      </c>
      <c r="W169" s="434">
        <f>Ruimtestaat[[#This Row],[Uitvoeringen werkdagen]]*Ruimtestaat[[#This Row],[Oppervlak (netto)]]</f>
        <v>12000</v>
      </c>
      <c r="X169" s="441">
        <f>IF(V169&gt;0,Ruimtestaat[[#This Row],[Prest. (m2 /jaar) werkdagen]]/Ruimtestaat[[#This Row],[Norm (m2/uur) werkdagen]],0)</f>
        <v>0</v>
      </c>
      <c r="Y169" s="442">
        <f>Ruimtestaat[[#This Row],[Uitvoeringen werkdagen]]*Ruimtestaat[[#This Row],[Gedeeltelijk]]</f>
        <v>0</v>
      </c>
      <c r="Z169" s="443" t="e">
        <f>IF(U169&gt;0,Ruimtestaat[[#This Row],[Prest. (m2 / jaar) werkdagen gedeeld]]/Ruimtestaat[[#This Row],[Norm (m2/uur) werkdagen]],0)</f>
        <v>#DIV/0!</v>
      </c>
      <c r="AA169" s="441" t="e">
        <f>Ruimtestaat[[#This Row],[uren / jaar werkdagen gedeeld]]*Tariefsopbouw!$E$35</f>
        <v>#DIV/0!</v>
      </c>
      <c r="AB169" s="441">
        <f>Ruimtestaat[[#This Row],[Uitvoeringen werkdagen]]*Ruimtestaat[[#This Row],[BSO]]</f>
        <v>0</v>
      </c>
      <c r="AC169" s="443" t="e">
        <f>IF(U169&gt;0,Ruimtestaat[[#This Row],[Prest. (m2 / jaar) werkdagen BSO]]/Ruimtestaat[[#This Row],[Norm (m2/uur) werkdagen]],0)</f>
        <v>#DIV/0!</v>
      </c>
      <c r="AD169" s="443" t="e">
        <f>Ruimtestaat[[#This Row],[uren / jaar werkdagen BSO]]*Tariefsopbouw!$E$35</f>
        <v>#DIV/0!</v>
      </c>
      <c r="AE169" s="444">
        <f>Ruimtestaat[[#This Row],[uren / jaar werkdagen]]*Tariefsopbouw!$E$35</f>
        <v>0</v>
      </c>
      <c r="AF169" s="434"/>
      <c r="AG169" s="434">
        <f>IF(Ruimtestaat[[#This Row],[Frequentie weekend]]&gt;0,VALUE(LEFT(AF169,1))*S169,0)</f>
        <v>0</v>
      </c>
      <c r="AH169" s="445">
        <f>IF($AG169&gt;0,VLOOKUP($J169,Ruimtegroepen[],3,FALSE)*VLOOKUP($L169,Vloersoorten[],3,FALSE)*VLOOKUP($AF169,Frequenties[],3,FALSE)*VLOOKUP(Ruimtestaat[[#This Row],[Code]],Locaties[],3,FALSE),0)</f>
        <v>0</v>
      </c>
      <c r="AI169" s="445">
        <f>Ruimtestaat[[#This Row],[Uitvoeringen weekend]]*Ruimtestaat[[#This Row],[Oppervlak (netto)]]</f>
        <v>0</v>
      </c>
      <c r="AJ169" s="445">
        <f>IF(AH169&gt;0,Ruimtestaat[[#This Row],[Prest. (m2 /jaar) weekend]]/Ruimtestaat[[#This Row],[Norm (m2/uur) weekend]],0)</f>
        <v>0</v>
      </c>
      <c r="AK169" s="444">
        <f>Ruimtestaat[[#This Row],[uren / jaar weekend]]*Tariefsopbouw!$D$40</f>
        <v>0</v>
      </c>
      <c r="AL169" s="441">
        <f>Ruimtestaat[[#This Row],[Prest. (m2 /jaar) weekend]]+Ruimtestaat[[#This Row],[Prest. (m2 /jaar) werkdagen]]</f>
        <v>12000</v>
      </c>
      <c r="AM169" s="441">
        <f>Ruimtestaat[[#This Row],[uren / jaar weekend]]+Ruimtestaat[[#This Row],[uren / jaar werkdagen]]</f>
        <v>0</v>
      </c>
      <c r="AN169" s="446">
        <f>Ruimtestaat[[#This Row],[kosten / jaar weekend]]+Ruimtestaat[[#This Row],[kosten / jaar werkdagen]]</f>
        <v>0</v>
      </c>
      <c r="AO169" s="446"/>
      <c r="AP169" s="447" t="str">
        <f>IF(Ruimtestaat[[#This Row],[Frequentie werkdagen]]="","",_xlfn.CONCAT(Ruimtestaat[[#This Row],[Ruimte code]],"-",Ruimtestaat[[#This Row],[Frequentie werkdagen]]," ",Ruimtestaat[[#This Row],[Vloer code]]))</f>
        <v>16-5w L</v>
      </c>
      <c r="AQ169" s="448" t="str">
        <f>_xlfn.IFNA(VLOOKUP($AP169,Programma!$F$3:$G$1101,2,0),"")</f>
        <v>_</v>
      </c>
      <c r="AR169" s="448" t="str">
        <f>_xlfn.IFNA(VLOOKUP($AP169,Programma!$F$3:$H$1101,3,0),"")</f>
        <v>_</v>
      </c>
      <c r="AS169" s="448" t="str">
        <f>_xlfn.IFNA(VLOOKUP($AP169,Programma!$F$3:$I$1101,4,0),"")</f>
        <v>4w</v>
      </c>
      <c r="AT169" s="448" t="str">
        <f>_xlfn.IFNA(VLOOKUP($AP169,Programma!$F$3:$J$1101,5,0),"")</f>
        <v>1w</v>
      </c>
      <c r="AU169" s="448" t="str">
        <f>_xlfn.IFNA(VLOOKUP($AP169,Programma!$F$3:$K$1101,6,0),"")</f>
        <v>_</v>
      </c>
      <c r="AV169" s="448" t="str">
        <f>_xlfn.IFNA(VLOOKUP($AP169,Programma!$F$3:$L$1101,7,0),"")</f>
        <v>_</v>
      </c>
      <c r="AW169" s="448" t="str">
        <f>_xlfn.IFNA(VLOOKUP($AP169,Programma!$F$3:$M$1101,8,0),"")</f>
        <v>_</v>
      </c>
      <c r="AX169" s="448" t="str">
        <f>_xlfn.IFNA(VLOOKUP($AP169,Programma!$F$3:$N$1101,9,0),"")</f>
        <v>_</v>
      </c>
      <c r="AY169" s="448" t="str">
        <f>_xlfn.IFNA(VLOOKUP($AP169,Programma!$F$3:$O$1101,10,0),"")</f>
        <v>5w</v>
      </c>
      <c r="AZ169" s="448" t="str">
        <f>_xlfn.IFNA(VLOOKUP($AP169,Programma!$F$3:$P$1101,11,0),"")</f>
        <v>5w</v>
      </c>
      <c r="BA169" s="448" t="str">
        <f>_xlfn.IFNA(VLOOKUP($AP169,Programma!$F$3:$Q$1101,12,0),"")</f>
        <v>1w</v>
      </c>
      <c r="BB169" s="448" t="str">
        <f>_xlfn.IFNA(VLOOKUP($AP169,Programma!$F$3:$R$1101,13,0),"")</f>
        <v>1w</v>
      </c>
      <c r="BC169" s="448" t="str">
        <f>_xlfn.IFNA(VLOOKUP($AP169,Programma!$F$3:$S$1101,14,0),"")</f>
        <v>1m</v>
      </c>
      <c r="BD169" s="448" t="str">
        <f>_xlfn.IFNA(VLOOKUP($AP169,Programma!$F$3:$T$1101,15,0),"")</f>
        <v>2j</v>
      </c>
      <c r="BE169" s="448" t="str">
        <f>_xlfn.IFNA(VLOOKUP($AP169,Programma!$F$3:$U$1101,16,0),"")</f>
        <v>1j</v>
      </c>
      <c r="BF169" s="448" t="str">
        <f>_xlfn.IFNA(VLOOKUP($AP169,Programma!$F$3:$V$1101,17,0),"")</f>
        <v>_</v>
      </c>
      <c r="BG169" s="448" t="str">
        <f>_xlfn.IFNA(VLOOKUP($AP169,Programma!$F$3:$W$1101,18,0),"")</f>
        <v>_</v>
      </c>
      <c r="BH169" s="448" t="str">
        <f>_xlfn.IFNA(VLOOKUP($AP169,Programma!$F$3:$X$1101,19,0),"")</f>
        <v>_</v>
      </c>
      <c r="BI169" s="448" t="str">
        <f>_xlfn.IFNA(VLOOKUP($AP169,Programma!$F$3:$Y$1101,20,0),"")</f>
        <v>_</v>
      </c>
      <c r="BJ169" s="449"/>
      <c r="BK169" s="447" t="str">
        <f>IF(Ruimtestaat[[#This Row],[Frequentie weekend]]="","",_xlfn.CONCAT(Ruimtestaat[[#This Row],[Ruimte code]],"-",Ruimtestaat[[#This Row],[Frequentie weekend]]," ",Ruimtestaat[[#This Row],[Vloer code]]))</f>
        <v/>
      </c>
      <c r="BL169" s="448" t="str">
        <f>_xlfn.IFNA(VLOOKUP($BK169,Programma!$F$3:$G$1101,2,0),"")</f>
        <v/>
      </c>
      <c r="BM169" s="448" t="str">
        <f>_xlfn.IFNA(VLOOKUP($BK169,Programma!$F$3:$H$1101,3,0),"")</f>
        <v/>
      </c>
      <c r="BN169" s="448" t="str">
        <f>_xlfn.IFNA(VLOOKUP($BK169,Programma!$F$3:$I$1101,4,0),"")</f>
        <v/>
      </c>
      <c r="BO169" s="448" t="str">
        <f>_xlfn.IFNA(VLOOKUP($BK169,Programma!$F$3:$J$1101,5,0),"")</f>
        <v/>
      </c>
      <c r="BP169" s="448" t="str">
        <f>_xlfn.IFNA(VLOOKUP($BK169,Programma!$F$3:$K$1101,6,0),"")</f>
        <v/>
      </c>
      <c r="BQ169" s="448" t="str">
        <f>_xlfn.IFNA(VLOOKUP($BK169,Programma!$F$3:$L$1101,7,0),"")</f>
        <v/>
      </c>
      <c r="BR169" s="448" t="str">
        <f>_xlfn.IFNA(VLOOKUP($BK169,Programma!$F$3:$M$1101,8,0),"")</f>
        <v/>
      </c>
      <c r="BS169" s="448" t="str">
        <f>_xlfn.IFNA(VLOOKUP($BK169,Programma!$F$3:$N$1101,9,0),"")</f>
        <v/>
      </c>
      <c r="BT169" s="448" t="str">
        <f>_xlfn.IFNA(VLOOKUP($BK169,Programma!$F$3:$O$1101,10,0),"")</f>
        <v/>
      </c>
      <c r="BU169" s="448" t="str">
        <f>_xlfn.IFNA(VLOOKUP($BK169,Programma!$F$3:$P$1101,11,0),"")</f>
        <v/>
      </c>
      <c r="BV169" s="448" t="str">
        <f>_xlfn.IFNA(VLOOKUP($BK169,Programma!$F$3:$Q$1101,12,0),"")</f>
        <v/>
      </c>
      <c r="BW169" s="448" t="str">
        <f>_xlfn.IFNA(VLOOKUP($BK169,Programma!$F$3:$R$1101,13,0),"")</f>
        <v/>
      </c>
      <c r="BX169" s="448" t="str">
        <f>_xlfn.IFNA(VLOOKUP($BK169,Programma!$F$3:$S$1101,14,0),"")</f>
        <v/>
      </c>
      <c r="BY169" s="448" t="str">
        <f>_xlfn.IFNA(VLOOKUP($BK169,Programma!$F$3:$T$1101,15,0),"")</f>
        <v/>
      </c>
      <c r="BZ169" s="448" t="str">
        <f>_xlfn.IFNA(VLOOKUP($BK169,Programma!$F$3:$U$1101,16,0),"")</f>
        <v/>
      </c>
      <c r="CA169" s="448" t="str">
        <f>_xlfn.IFNA(VLOOKUP($BK169,Programma!$F$3:$V$1101,17,0),"")</f>
        <v/>
      </c>
      <c r="CB169" s="448" t="str">
        <f>_xlfn.IFNA(VLOOKUP($BK169,Programma!$F$3:$W$1101,18,0),"")</f>
        <v/>
      </c>
      <c r="CC169" s="448" t="str">
        <f>_xlfn.IFNA(VLOOKUP($BK169,Programma!$F$3:$X$1101,19,0),"")</f>
        <v/>
      </c>
      <c r="CD169" s="448" t="str">
        <f>_xlfn.IFNA(VLOOKUP($BK169,Programma!$F$3:$Y$1101,20,0),"")</f>
        <v/>
      </c>
      <c r="CE169" s="327"/>
      <c r="CF169" s="327"/>
      <c r="CG169" s="327"/>
      <c r="CH169" s="327"/>
      <c r="CI169" s="327"/>
      <c r="CJ169" s="327"/>
      <c r="CK169" s="327"/>
      <c r="CL169" s="327"/>
      <c r="CM169" s="327"/>
      <c r="CN169" s="327"/>
      <c r="CO169" s="327"/>
      <c r="CP169" s="327"/>
      <c r="CQ169" s="327"/>
      <c r="CR169" s="327"/>
      <c r="CS169" s="327"/>
      <c r="CT169" s="327"/>
      <c r="CU169" s="327"/>
      <c r="CV169" s="327"/>
      <c r="CW169" s="327"/>
      <c r="CX169" s="327"/>
      <c r="CY169" s="327"/>
      <c r="CZ169" s="327"/>
      <c r="DA169" s="327"/>
      <c r="DB169" s="327"/>
      <c r="DC169" s="327"/>
      <c r="DD169" s="327"/>
      <c r="DE169" s="327"/>
      <c r="DF169" s="327"/>
      <c r="DG169" s="327"/>
      <c r="DH169" s="327"/>
      <c r="DI169" s="327"/>
      <c r="DJ169" s="327"/>
      <c r="DK169" s="327"/>
      <c r="DL169" s="327"/>
      <c r="DM169" s="327"/>
      <c r="DN169" s="327"/>
      <c r="DO169" s="327"/>
      <c r="DP169" s="327"/>
      <c r="DQ169" s="327"/>
      <c r="DR169" s="327"/>
      <c r="DS169" s="327"/>
      <c r="DT169" s="327"/>
      <c r="DU169" s="327"/>
      <c r="DV169" s="327"/>
      <c r="DW169" s="327"/>
      <c r="DX169" s="327"/>
      <c r="DY169" s="327"/>
      <c r="DZ169" s="327"/>
      <c r="EA169" s="327"/>
      <c r="EB169" s="327"/>
      <c r="EC169" s="327"/>
      <c r="ED169" s="327"/>
      <c r="EE169" s="327"/>
      <c r="EF169" s="327"/>
      <c r="EG169" s="327"/>
      <c r="EH169" s="327"/>
      <c r="EI169" s="327"/>
      <c r="EJ169" s="327"/>
      <c r="EK169" s="327"/>
      <c r="EL169" s="327"/>
      <c r="EM169" s="327"/>
      <c r="EN169" s="327"/>
      <c r="EO169" s="327"/>
      <c r="EP169" s="327"/>
      <c r="EQ169" s="327"/>
      <c r="ER169" s="327"/>
      <c r="ES169" s="327"/>
      <c r="ET169" s="327"/>
      <c r="EU169" s="327"/>
      <c r="EV169" s="327"/>
      <c r="EW169" s="327"/>
      <c r="EX169" s="327"/>
      <c r="EY169" s="327"/>
      <c r="EZ169" s="327"/>
      <c r="FA169" s="327"/>
      <c r="FB169" s="327"/>
      <c r="FC169" s="327"/>
      <c r="FD169" s="327"/>
      <c r="FE169" s="327"/>
      <c r="FF169" s="327"/>
      <c r="FG169" s="327"/>
      <c r="FH169" s="327"/>
      <c r="FI169" s="327"/>
      <c r="FJ169" s="327"/>
      <c r="FK169" s="327"/>
      <c r="FL169" s="327"/>
      <c r="FM169" s="327"/>
      <c r="FN169" s="327"/>
      <c r="FO169" s="327"/>
      <c r="FP169" s="327"/>
      <c r="FQ169" s="327"/>
      <c r="FR169" s="327"/>
      <c r="FS169" s="327"/>
      <c r="FT169" s="327"/>
      <c r="FU169" s="327"/>
      <c r="FV169" s="327"/>
      <c r="FW169" s="327"/>
      <c r="FX169" s="327"/>
      <c r="FY169" s="327"/>
      <c r="FZ169" s="327"/>
      <c r="GA169" s="327"/>
      <c r="GB169" s="327"/>
      <c r="GC169" s="327"/>
      <c r="GD169" s="327"/>
      <c r="GE169" s="327"/>
      <c r="GF169" s="327"/>
      <c r="GG169" s="327"/>
      <c r="GH169" s="327"/>
      <c r="GI169" s="327"/>
      <c r="GJ169" s="327"/>
      <c r="GK169" s="327"/>
      <c r="GL169" s="327"/>
      <c r="GM169" s="327"/>
      <c r="GN169" s="327"/>
      <c r="GO169" s="327"/>
      <c r="GP169" s="327"/>
      <c r="GQ169" s="327"/>
      <c r="GR169" s="327"/>
      <c r="GS169" s="327"/>
      <c r="GT169" s="327"/>
      <c r="GU169" s="327"/>
      <c r="GV169" s="327"/>
      <c r="GW169" s="327"/>
      <c r="GX169" s="327"/>
      <c r="GY169" s="327"/>
      <c r="GZ169" s="327"/>
      <c r="HA169" s="327"/>
      <c r="HB169" s="327"/>
      <c r="HC169" s="327"/>
      <c r="HD169" s="327"/>
      <c r="HE169" s="327"/>
      <c r="HF169" s="327"/>
      <c r="HG169" s="327"/>
      <c r="HH169" s="327"/>
      <c r="HI169" s="327"/>
      <c r="HJ169" s="327"/>
      <c r="HK169" s="327"/>
      <c r="HL169" s="327"/>
      <c r="HM169" s="327"/>
      <c r="HN169" s="327"/>
      <c r="HO169" s="327"/>
      <c r="HP169" s="327"/>
      <c r="HQ169" s="327"/>
      <c r="HR169" s="327"/>
      <c r="HS169" s="327"/>
    </row>
    <row r="170" spans="1:227" ht="15" customHeight="1">
      <c r="A170" s="330">
        <v>7</v>
      </c>
      <c r="B170" s="435" t="str">
        <f>VLOOKUP(Ruimtestaat[[#This Row],[Code]],Locaties[[Code]:[Locatie]],2,FALSE)</f>
        <v>IKC De Baanbreker</v>
      </c>
      <c r="C170" s="435" t="str">
        <f>VLOOKUP(Ruimtestaat[[#This Row],[Code]],Locaties[[#All],[Code]:[Adres]],4,FALSE)</f>
        <v>Lijnbaan 319</v>
      </c>
      <c r="D170" s="435" t="str">
        <f>VLOOKUP(Ruimtestaat[[#This Row],[Code]],Locaties[[#All],[Code]:[Postcode]],5,FALSE)</f>
        <v>2728 AG</v>
      </c>
      <c r="E170" s="435" t="str">
        <f>VLOOKUP(Ruimtestaat[[#This Row],[Code]],Locaties[#All],6,FALSE)</f>
        <v>Zoetermeer</v>
      </c>
      <c r="F170" s="434"/>
      <c r="G170" s="434" t="s">
        <v>1769</v>
      </c>
      <c r="H170" s="330" t="s">
        <v>1730</v>
      </c>
      <c r="I170" s="450" t="s">
        <v>1708</v>
      </c>
      <c r="J170" s="330">
        <v>6</v>
      </c>
      <c r="K170" s="450" t="str">
        <f>VLOOKUP(Ruimtestaat[[#This Row],[Ruimte code]],Ruimtegroepen[[#All],[Code]:[Ruimte omschrijving]],2,FALSE)</f>
        <v>Gangen/hallen</v>
      </c>
      <c r="L170" s="434" t="s">
        <v>100</v>
      </c>
      <c r="M170" s="437" t="s">
        <v>1759</v>
      </c>
      <c r="N170" s="439">
        <v>104</v>
      </c>
      <c r="O170" s="439"/>
      <c r="P170" s="439"/>
      <c r="Q170" s="439"/>
      <c r="R170" s="440" t="str">
        <f>VLOOKUP(Ruimtestaat[[#This Row],[Ruimte code]],Ruimtegroepen[],4,FALSE)</f>
        <v>Ve</v>
      </c>
      <c r="S170" s="434">
        <v>41</v>
      </c>
      <c r="T170" s="434" t="s">
        <v>2</v>
      </c>
      <c r="U170" s="434">
        <f>IF(S170&gt;0,IF(RIGHT(Ruimtestaat[[#This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70" s="434">
        <f>IF(U170&gt;0,VLOOKUP($J170,Ruimtegroepen[],3,FALSE)*VLOOKUP($L170,Vloersoorten[],3,FALSE)*VLOOKUP($T170,Frequenties[],3,FALSE)*VLOOKUP($A170,Locaties[],3,FALSE),0)</f>
        <v>0</v>
      </c>
      <c r="W170" s="434">
        <f>Ruimtestaat[[#This Row],[Uitvoeringen werkdagen]]*Ruimtestaat[[#This Row],[Oppervlak (netto)]]</f>
        <v>21320</v>
      </c>
      <c r="X170" s="441">
        <f>IF(V170&gt;0,Ruimtestaat[[#This Row],[Prest. (m2 /jaar) werkdagen]]/Ruimtestaat[[#This Row],[Norm (m2/uur) werkdagen]],0)</f>
        <v>0</v>
      </c>
      <c r="Y170" s="442">
        <f>Ruimtestaat[[#This Row],[Uitvoeringen werkdagen]]*Ruimtestaat[[#This Row],[Gedeeltelijk]]</f>
        <v>0</v>
      </c>
      <c r="Z170" s="443" t="e">
        <f>IF(U170&gt;0,Ruimtestaat[[#This Row],[Prest. (m2 / jaar) werkdagen gedeeld]]/Ruimtestaat[[#This Row],[Norm (m2/uur) werkdagen]],0)</f>
        <v>#DIV/0!</v>
      </c>
      <c r="AA170" s="441" t="e">
        <f>Ruimtestaat[[#This Row],[uren / jaar werkdagen gedeeld]]*Tariefsopbouw!$E$35</f>
        <v>#DIV/0!</v>
      </c>
      <c r="AB170" s="441">
        <f>Ruimtestaat[[#This Row],[Uitvoeringen werkdagen]]*Ruimtestaat[[#This Row],[BSO]]</f>
        <v>0</v>
      </c>
      <c r="AC170" s="443" t="e">
        <f>IF(U170&gt;0,Ruimtestaat[[#This Row],[Prest. (m2 / jaar) werkdagen BSO]]/Ruimtestaat[[#This Row],[Norm (m2/uur) werkdagen]],0)</f>
        <v>#DIV/0!</v>
      </c>
      <c r="AD170" s="443" t="e">
        <f>Ruimtestaat[[#This Row],[uren / jaar werkdagen BSO]]*Tariefsopbouw!$E$35</f>
        <v>#DIV/0!</v>
      </c>
      <c r="AE170" s="444">
        <f>Ruimtestaat[[#This Row],[uren / jaar werkdagen]]*Tariefsopbouw!$E$35</f>
        <v>0</v>
      </c>
      <c r="AF170" s="434"/>
      <c r="AG170" s="434">
        <f>IF(Ruimtestaat[[#This Row],[Frequentie weekend]]&gt;0,VALUE(LEFT(AF170,1))*S170,0)</f>
        <v>0</v>
      </c>
      <c r="AH170" s="445">
        <f>IF($AG170&gt;0,VLOOKUP($J170,Ruimtegroepen[],3,FALSE)*VLOOKUP($L170,Vloersoorten[],3,FALSE)*VLOOKUP($AF170,Frequenties[],3,FALSE)*VLOOKUP(Ruimtestaat[[#This Row],[Code]],Locaties[],3,FALSE),0)</f>
        <v>0</v>
      </c>
      <c r="AI170" s="445">
        <f>Ruimtestaat[[#This Row],[Uitvoeringen weekend]]*Ruimtestaat[[#This Row],[Oppervlak (netto)]]</f>
        <v>0</v>
      </c>
      <c r="AJ170" s="445">
        <f>IF(AH170&gt;0,Ruimtestaat[[#This Row],[Prest. (m2 /jaar) weekend]]/Ruimtestaat[[#This Row],[Norm (m2/uur) weekend]],0)</f>
        <v>0</v>
      </c>
      <c r="AK170" s="444">
        <f>Ruimtestaat[[#This Row],[uren / jaar weekend]]*Tariefsopbouw!$D$40</f>
        <v>0</v>
      </c>
      <c r="AL170" s="441">
        <f>Ruimtestaat[[#This Row],[Prest. (m2 /jaar) weekend]]+Ruimtestaat[[#This Row],[Prest. (m2 /jaar) werkdagen]]</f>
        <v>21320</v>
      </c>
      <c r="AM170" s="441">
        <f>Ruimtestaat[[#This Row],[uren / jaar weekend]]+Ruimtestaat[[#This Row],[uren / jaar werkdagen]]</f>
        <v>0</v>
      </c>
      <c r="AN170" s="446">
        <f>Ruimtestaat[[#This Row],[kosten / jaar weekend]]+Ruimtestaat[[#This Row],[kosten / jaar werkdagen]]</f>
        <v>0</v>
      </c>
      <c r="AO170" s="446"/>
      <c r="AP170" s="447" t="str">
        <f>IF(Ruimtestaat[[#This Row],[Frequentie werkdagen]]="","",_xlfn.CONCAT(Ruimtestaat[[#This Row],[Ruimte code]],"-",Ruimtestaat[[#This Row],[Frequentie werkdagen]]," ",Ruimtestaat[[#This Row],[Vloer code]]))</f>
        <v>6-5w L</v>
      </c>
      <c r="AQ170" s="448" t="str">
        <f>_xlfn.IFNA(VLOOKUP($AP170,Programma!$F$3:$G$1101,2,0),"")</f>
        <v>_</v>
      </c>
      <c r="AR170" s="448" t="str">
        <f>_xlfn.IFNA(VLOOKUP($AP170,Programma!$F$3:$H$1101,3,0),"")</f>
        <v>_</v>
      </c>
      <c r="AS170" s="448" t="str">
        <f>_xlfn.IFNA(VLOOKUP($AP170,Programma!$F$3:$I$1101,4,0),"")</f>
        <v>_</v>
      </c>
      <c r="AT170" s="448" t="str">
        <f>_xlfn.IFNA(VLOOKUP($AP170,Programma!$F$3:$J$1101,5,0),"")</f>
        <v>5w</v>
      </c>
      <c r="AU170" s="448" t="str">
        <f>_xlfn.IFNA(VLOOKUP($AP170,Programma!$F$3:$K$1101,6,0),"")</f>
        <v>_</v>
      </c>
      <c r="AV170" s="448" t="str">
        <f>_xlfn.IFNA(VLOOKUP($AP170,Programma!$F$3:$L$1101,7,0),"")</f>
        <v>_</v>
      </c>
      <c r="AW170" s="448" t="str">
        <f>_xlfn.IFNA(VLOOKUP($AP170,Programma!$F$3:$M$1101,8,0),"")</f>
        <v>_</v>
      </c>
      <c r="AX170" s="448" t="str">
        <f>_xlfn.IFNA(VLOOKUP($AP170,Programma!$F$3:$N$1101,9,0),"")</f>
        <v>_</v>
      </c>
      <c r="AY170" s="448" t="str">
        <f>_xlfn.IFNA(VLOOKUP($AP170,Programma!$F$3:$O$1101,10,0),"")</f>
        <v>5w</v>
      </c>
      <c r="AZ170" s="448" t="str">
        <f>_xlfn.IFNA(VLOOKUP($AP170,Programma!$F$3:$P$1101,11,0),"")</f>
        <v>5w</v>
      </c>
      <c r="BA170" s="448" t="str">
        <f>_xlfn.IFNA(VLOOKUP($AP170,Programma!$F$3:$Q$1101,12,0),"")</f>
        <v>1w</v>
      </c>
      <c r="BB170" s="448" t="str">
        <f>_xlfn.IFNA(VLOOKUP($AP170,Programma!$F$3:$R$1101,13,0),"")</f>
        <v>1w</v>
      </c>
      <c r="BC170" s="448" t="str">
        <f>_xlfn.IFNA(VLOOKUP($AP170,Programma!$F$3:$S$1101,14,0),"")</f>
        <v>1m</v>
      </c>
      <c r="BD170" s="448" t="str">
        <f>_xlfn.IFNA(VLOOKUP($AP170,Programma!$F$3:$T$1101,15,0),"")</f>
        <v>2j</v>
      </c>
      <c r="BE170" s="448" t="str">
        <f>_xlfn.IFNA(VLOOKUP($AP170,Programma!$F$3:$U$1101,16,0),"")</f>
        <v>1j</v>
      </c>
      <c r="BF170" s="448" t="str">
        <f>_xlfn.IFNA(VLOOKUP($AP170,Programma!$F$3:$V$1101,17,0),"")</f>
        <v>_</v>
      </c>
      <c r="BG170" s="448" t="str">
        <f>_xlfn.IFNA(VLOOKUP($AP170,Programma!$F$3:$W$1101,18,0),"")</f>
        <v>_</v>
      </c>
      <c r="BH170" s="448" t="str">
        <f>_xlfn.IFNA(VLOOKUP($AP170,Programma!$F$3:$X$1101,19,0),"")</f>
        <v>_</v>
      </c>
      <c r="BI170" s="448" t="str">
        <f>_xlfn.IFNA(VLOOKUP($AP170,Programma!$F$3:$Y$1101,20,0),"")</f>
        <v>_</v>
      </c>
      <c r="BJ170" s="449"/>
      <c r="BK170" s="447" t="str">
        <f>IF(Ruimtestaat[[#This Row],[Frequentie weekend]]="","",_xlfn.CONCAT(Ruimtestaat[[#This Row],[Ruimte code]],"-",Ruimtestaat[[#This Row],[Frequentie weekend]]," ",Ruimtestaat[[#This Row],[Vloer code]]))</f>
        <v/>
      </c>
      <c r="BL170" s="448" t="str">
        <f>_xlfn.IFNA(VLOOKUP($BK170,Programma!$F$3:$G$1101,2,0),"")</f>
        <v/>
      </c>
      <c r="BM170" s="448" t="str">
        <f>_xlfn.IFNA(VLOOKUP($BK170,Programma!$F$3:$H$1101,3,0),"")</f>
        <v/>
      </c>
      <c r="BN170" s="448" t="str">
        <f>_xlfn.IFNA(VLOOKUP($BK170,Programma!$F$3:$I$1101,4,0),"")</f>
        <v/>
      </c>
      <c r="BO170" s="448" t="str">
        <f>_xlfn.IFNA(VLOOKUP($BK170,Programma!$F$3:$J$1101,5,0),"")</f>
        <v/>
      </c>
      <c r="BP170" s="448" t="str">
        <f>_xlfn.IFNA(VLOOKUP($BK170,Programma!$F$3:$K$1101,6,0),"")</f>
        <v/>
      </c>
      <c r="BQ170" s="448" t="str">
        <f>_xlfn.IFNA(VLOOKUP($BK170,Programma!$F$3:$L$1101,7,0),"")</f>
        <v/>
      </c>
      <c r="BR170" s="448" t="str">
        <f>_xlfn.IFNA(VLOOKUP($BK170,Programma!$F$3:$M$1101,8,0),"")</f>
        <v/>
      </c>
      <c r="BS170" s="448" t="str">
        <f>_xlfn.IFNA(VLOOKUP($BK170,Programma!$F$3:$N$1101,9,0),"")</f>
        <v/>
      </c>
      <c r="BT170" s="448" t="str">
        <f>_xlfn.IFNA(VLOOKUP($BK170,Programma!$F$3:$O$1101,10,0),"")</f>
        <v/>
      </c>
      <c r="BU170" s="448" t="str">
        <f>_xlfn.IFNA(VLOOKUP($BK170,Programma!$F$3:$P$1101,11,0),"")</f>
        <v/>
      </c>
      <c r="BV170" s="448" t="str">
        <f>_xlfn.IFNA(VLOOKUP($BK170,Programma!$F$3:$Q$1101,12,0),"")</f>
        <v/>
      </c>
      <c r="BW170" s="448" t="str">
        <f>_xlfn.IFNA(VLOOKUP($BK170,Programma!$F$3:$R$1101,13,0),"")</f>
        <v/>
      </c>
      <c r="BX170" s="448" t="str">
        <f>_xlfn.IFNA(VLOOKUP($BK170,Programma!$F$3:$S$1101,14,0),"")</f>
        <v/>
      </c>
      <c r="BY170" s="448" t="str">
        <f>_xlfn.IFNA(VLOOKUP($BK170,Programma!$F$3:$T$1101,15,0),"")</f>
        <v/>
      </c>
      <c r="BZ170" s="448" t="str">
        <f>_xlfn.IFNA(VLOOKUP($BK170,Programma!$F$3:$U$1101,16,0),"")</f>
        <v/>
      </c>
      <c r="CA170" s="448" t="str">
        <f>_xlfn.IFNA(VLOOKUP($BK170,Programma!$F$3:$V$1101,17,0),"")</f>
        <v/>
      </c>
      <c r="CB170" s="448" t="str">
        <f>_xlfn.IFNA(VLOOKUP($BK170,Programma!$F$3:$W$1101,18,0),"")</f>
        <v/>
      </c>
      <c r="CC170" s="448" t="str">
        <f>_xlfn.IFNA(VLOOKUP($BK170,Programma!$F$3:$X$1101,19,0),"")</f>
        <v/>
      </c>
      <c r="CD170" s="448" t="str">
        <f>_xlfn.IFNA(VLOOKUP($BK170,Programma!$F$3:$Y$1101,20,0),"")</f>
        <v/>
      </c>
      <c r="CE170" s="327"/>
      <c r="CF170" s="327"/>
      <c r="CG170" s="327"/>
      <c r="CH170" s="327"/>
      <c r="CI170" s="327"/>
      <c r="CJ170" s="327"/>
      <c r="CK170" s="327"/>
      <c r="CL170" s="327"/>
      <c r="CM170" s="327"/>
      <c r="CN170" s="327"/>
      <c r="CO170" s="327"/>
      <c r="CP170" s="327"/>
      <c r="CQ170" s="327"/>
      <c r="CR170" s="327"/>
      <c r="CS170" s="327"/>
      <c r="CT170" s="327"/>
      <c r="CU170" s="327"/>
      <c r="CV170" s="327"/>
      <c r="CW170" s="327"/>
      <c r="CX170" s="327"/>
      <c r="CY170" s="327"/>
      <c r="CZ170" s="327"/>
      <c r="DA170" s="327"/>
      <c r="DB170" s="327"/>
      <c r="DC170" s="327"/>
      <c r="DD170" s="327"/>
      <c r="DE170" s="327"/>
      <c r="DF170" s="327"/>
      <c r="DG170" s="327"/>
      <c r="DH170" s="327"/>
      <c r="DI170" s="327"/>
      <c r="DJ170" s="327"/>
      <c r="DK170" s="327"/>
      <c r="DL170" s="327"/>
      <c r="DM170" s="327"/>
      <c r="DN170" s="327"/>
      <c r="DO170" s="327"/>
      <c r="DP170" s="327"/>
      <c r="DQ170" s="327"/>
      <c r="DR170" s="327"/>
      <c r="DS170" s="327"/>
      <c r="DT170" s="327"/>
      <c r="DU170" s="327"/>
      <c r="DV170" s="327"/>
      <c r="DW170" s="327"/>
      <c r="DX170" s="327"/>
      <c r="DY170" s="327"/>
      <c r="DZ170" s="327"/>
      <c r="EA170" s="327"/>
      <c r="EB170" s="327"/>
      <c r="EC170" s="327"/>
      <c r="ED170" s="327"/>
      <c r="EE170" s="327"/>
      <c r="EF170" s="327"/>
      <c r="EG170" s="327"/>
      <c r="EH170" s="327"/>
      <c r="EI170" s="327"/>
      <c r="EJ170" s="327"/>
      <c r="EK170" s="327"/>
      <c r="EL170" s="327"/>
      <c r="EM170" s="327"/>
      <c r="EN170" s="327"/>
      <c r="EO170" s="327"/>
      <c r="EP170" s="327"/>
      <c r="EQ170" s="327"/>
      <c r="ER170" s="327"/>
      <c r="ES170" s="327"/>
      <c r="ET170" s="327"/>
      <c r="EU170" s="327"/>
      <c r="EV170" s="327"/>
      <c r="EW170" s="327"/>
      <c r="EX170" s="327"/>
      <c r="EY170" s="327"/>
      <c r="EZ170" s="327"/>
      <c r="FA170" s="327"/>
      <c r="FB170" s="327"/>
      <c r="FC170" s="327"/>
      <c r="FD170" s="327"/>
      <c r="FE170" s="327"/>
      <c r="FF170" s="327"/>
      <c r="FG170" s="327"/>
      <c r="FH170" s="327"/>
      <c r="FI170" s="327"/>
      <c r="FJ170" s="327"/>
      <c r="FK170" s="327"/>
      <c r="FL170" s="327"/>
      <c r="FM170" s="327"/>
      <c r="FN170" s="327"/>
      <c r="FO170" s="327"/>
      <c r="FP170" s="327"/>
      <c r="FQ170" s="327"/>
      <c r="FR170" s="327"/>
      <c r="FS170" s="327"/>
      <c r="FT170" s="327"/>
      <c r="FU170" s="327"/>
      <c r="FV170" s="327"/>
      <c r="FW170" s="327"/>
      <c r="FX170" s="327"/>
      <c r="FY170" s="327"/>
      <c r="FZ170" s="327"/>
      <c r="GA170" s="327"/>
      <c r="GB170" s="327"/>
      <c r="GC170" s="327"/>
      <c r="GD170" s="327"/>
      <c r="GE170" s="327"/>
      <c r="GF170" s="327"/>
      <c r="GG170" s="327"/>
      <c r="GH170" s="327"/>
      <c r="GI170" s="327"/>
      <c r="GJ170" s="327"/>
      <c r="GK170" s="327"/>
      <c r="GL170" s="327"/>
      <c r="GM170" s="327"/>
      <c r="GN170" s="327"/>
      <c r="GO170" s="327"/>
      <c r="GP170" s="327"/>
      <c r="GQ170" s="327"/>
      <c r="GR170" s="327"/>
      <c r="GS170" s="327"/>
      <c r="GT170" s="327"/>
      <c r="GU170" s="327"/>
      <c r="GV170" s="327"/>
      <c r="GW170" s="327"/>
      <c r="GX170" s="327"/>
      <c r="GY170" s="327"/>
      <c r="GZ170" s="327"/>
      <c r="HA170" s="327"/>
      <c r="HB170" s="327"/>
      <c r="HC170" s="327"/>
      <c r="HD170" s="327"/>
      <c r="HE170" s="327"/>
      <c r="HF170" s="327"/>
      <c r="HG170" s="327"/>
      <c r="HH170" s="327"/>
      <c r="HI170" s="327"/>
      <c r="HJ170" s="327"/>
      <c r="HK170" s="327"/>
      <c r="HL170" s="327"/>
      <c r="HM170" s="327"/>
      <c r="HN170" s="327"/>
      <c r="HO170" s="327"/>
      <c r="HP170" s="327"/>
      <c r="HQ170" s="327"/>
      <c r="HR170" s="327"/>
      <c r="HS170" s="327"/>
    </row>
    <row r="171" spans="1:227" ht="15" customHeight="1">
      <c r="A171" s="330">
        <v>7</v>
      </c>
      <c r="B171" s="435" t="str">
        <f>VLOOKUP(Ruimtestaat[[#This Row],[Code]],Locaties[[Code]:[Locatie]],2,FALSE)</f>
        <v>IKC De Baanbreker</v>
      </c>
      <c r="C171" s="435" t="str">
        <f>VLOOKUP(Ruimtestaat[[#This Row],[Code]],Locaties[[#All],[Code]:[Adres]],4,FALSE)</f>
        <v>Lijnbaan 319</v>
      </c>
      <c r="D171" s="435" t="str">
        <f>VLOOKUP(Ruimtestaat[[#This Row],[Code]],Locaties[[#All],[Code]:[Postcode]],5,FALSE)</f>
        <v>2728 AG</v>
      </c>
      <c r="E171" s="435" t="str">
        <f>VLOOKUP(Ruimtestaat[[#This Row],[Code]],Locaties[#All],6,FALSE)</f>
        <v>Zoetermeer</v>
      </c>
      <c r="F171" s="434"/>
      <c r="G171" s="434" t="s">
        <v>1769</v>
      </c>
      <c r="H171" s="330" t="s">
        <v>1732</v>
      </c>
      <c r="I171" s="450" t="s">
        <v>1666</v>
      </c>
      <c r="J171" s="330">
        <v>2</v>
      </c>
      <c r="K171" s="450" t="str">
        <f>VLOOKUP(Ruimtestaat[[#This Row],[Ruimte code]],Ruimtegroepen[[#All],[Code]:[Ruimte omschrijving]],2,FALSE)</f>
        <v>Kantoren</v>
      </c>
      <c r="L171" s="434" t="s">
        <v>100</v>
      </c>
      <c r="M171" s="437" t="s">
        <v>1759</v>
      </c>
      <c r="N171" s="439">
        <v>18</v>
      </c>
      <c r="O171" s="439"/>
      <c r="P171" s="439"/>
      <c r="Q171" s="439"/>
      <c r="R171" s="440" t="str">
        <f>VLOOKUP(Ruimtestaat[[#This Row],[Ruimte code]],Ruimtegroepen[],4,FALSE)</f>
        <v>Bu</v>
      </c>
      <c r="S171" s="434">
        <v>41</v>
      </c>
      <c r="T171" s="434" t="s">
        <v>17</v>
      </c>
      <c r="U171" s="434">
        <f>IF(S171&gt;0,IF(RIGHT(Ruimtestaat[[#This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71" s="434">
        <f>IF(U171&gt;0,VLOOKUP($J171,Ruimtegroepen[],3,FALSE)*VLOOKUP($L171,Vloersoorten[],3,FALSE)*VLOOKUP($T171,Frequenties[],3,FALSE)*VLOOKUP($A171,Locaties[],3,FALSE),0)</f>
        <v>0</v>
      </c>
      <c r="W171" s="434">
        <f>Ruimtestaat[[#This Row],[Uitvoeringen werkdagen]]*Ruimtestaat[[#This Row],[Oppervlak (netto)]]</f>
        <v>1476</v>
      </c>
      <c r="X171" s="441">
        <f>IF(V171&gt;0,Ruimtestaat[[#This Row],[Prest. (m2 /jaar) werkdagen]]/Ruimtestaat[[#This Row],[Norm (m2/uur) werkdagen]],0)</f>
        <v>0</v>
      </c>
      <c r="Y171" s="442">
        <f>Ruimtestaat[[#This Row],[Uitvoeringen werkdagen]]*Ruimtestaat[[#This Row],[Gedeeltelijk]]</f>
        <v>0</v>
      </c>
      <c r="Z171" s="443" t="e">
        <f>IF(U171&gt;0,Ruimtestaat[[#This Row],[Prest. (m2 / jaar) werkdagen gedeeld]]/Ruimtestaat[[#This Row],[Norm (m2/uur) werkdagen]],0)</f>
        <v>#DIV/0!</v>
      </c>
      <c r="AA171" s="441" t="e">
        <f>Ruimtestaat[[#This Row],[uren / jaar werkdagen gedeeld]]*Tariefsopbouw!$E$35</f>
        <v>#DIV/0!</v>
      </c>
      <c r="AB171" s="441">
        <f>Ruimtestaat[[#This Row],[Uitvoeringen werkdagen]]*Ruimtestaat[[#This Row],[BSO]]</f>
        <v>0</v>
      </c>
      <c r="AC171" s="443" t="e">
        <f>IF(U171&gt;0,Ruimtestaat[[#This Row],[Prest. (m2 / jaar) werkdagen BSO]]/Ruimtestaat[[#This Row],[Norm (m2/uur) werkdagen]],0)</f>
        <v>#DIV/0!</v>
      </c>
      <c r="AD171" s="443" t="e">
        <f>Ruimtestaat[[#This Row],[uren / jaar werkdagen BSO]]*Tariefsopbouw!$E$35</f>
        <v>#DIV/0!</v>
      </c>
      <c r="AE171" s="444">
        <f>Ruimtestaat[[#This Row],[uren / jaar werkdagen]]*Tariefsopbouw!$E$35</f>
        <v>0</v>
      </c>
      <c r="AF171" s="434"/>
      <c r="AG171" s="434">
        <f>IF(Ruimtestaat[[#This Row],[Frequentie weekend]]&gt;0,VALUE(LEFT(AF171,1))*S171,0)</f>
        <v>0</v>
      </c>
      <c r="AH171" s="445">
        <f>IF($AG171&gt;0,VLOOKUP($J171,Ruimtegroepen[],3,FALSE)*VLOOKUP($L171,Vloersoorten[],3,FALSE)*VLOOKUP($AF171,Frequenties[],3,FALSE)*VLOOKUP(Ruimtestaat[[#This Row],[Code]],Locaties[],3,FALSE),0)</f>
        <v>0</v>
      </c>
      <c r="AI171" s="445">
        <f>Ruimtestaat[[#This Row],[Uitvoeringen weekend]]*Ruimtestaat[[#This Row],[Oppervlak (netto)]]</f>
        <v>0</v>
      </c>
      <c r="AJ171" s="445">
        <f>IF(AH171&gt;0,Ruimtestaat[[#This Row],[Prest. (m2 /jaar) weekend]]/Ruimtestaat[[#This Row],[Norm (m2/uur) weekend]],0)</f>
        <v>0</v>
      </c>
      <c r="AK171" s="444">
        <f>Ruimtestaat[[#This Row],[uren / jaar weekend]]*Tariefsopbouw!$D$40</f>
        <v>0</v>
      </c>
      <c r="AL171" s="441">
        <f>Ruimtestaat[[#This Row],[Prest. (m2 /jaar) weekend]]+Ruimtestaat[[#This Row],[Prest. (m2 /jaar) werkdagen]]</f>
        <v>1476</v>
      </c>
      <c r="AM171" s="441">
        <f>Ruimtestaat[[#This Row],[uren / jaar weekend]]+Ruimtestaat[[#This Row],[uren / jaar werkdagen]]</f>
        <v>0</v>
      </c>
      <c r="AN171" s="446">
        <f>Ruimtestaat[[#This Row],[kosten / jaar weekend]]+Ruimtestaat[[#This Row],[kosten / jaar werkdagen]]</f>
        <v>0</v>
      </c>
      <c r="AO171" s="446"/>
      <c r="AP171" s="447" t="str">
        <f>IF(Ruimtestaat[[#This Row],[Frequentie werkdagen]]="","",_xlfn.CONCAT(Ruimtestaat[[#This Row],[Ruimte code]],"-",Ruimtestaat[[#This Row],[Frequentie werkdagen]]," ",Ruimtestaat[[#This Row],[Vloer code]]))</f>
        <v>2-2w L</v>
      </c>
      <c r="AQ171" s="448" t="str">
        <f>_xlfn.IFNA(VLOOKUP($AP171,Programma!$F$3:$G$1101,2,0),"")</f>
        <v>_</v>
      </c>
      <c r="AR171" s="448" t="str">
        <f>_xlfn.IFNA(VLOOKUP($AP171,Programma!$F$3:$H$1101,3,0),"")</f>
        <v>_</v>
      </c>
      <c r="AS171" s="448" t="str">
        <f>_xlfn.IFNA(VLOOKUP($AP171,Programma!$F$3:$I$1101,4,0),"")</f>
        <v>1w</v>
      </c>
      <c r="AT171" s="448" t="str">
        <f>_xlfn.IFNA(VLOOKUP($AP171,Programma!$F$3:$J$1101,5,0),"")</f>
        <v>1w</v>
      </c>
      <c r="AU171" s="448" t="str">
        <f>_xlfn.IFNA(VLOOKUP($AP171,Programma!$F$3:$K$1101,6,0),"")</f>
        <v>_</v>
      </c>
      <c r="AV171" s="448" t="str">
        <f>_xlfn.IFNA(VLOOKUP($AP171,Programma!$F$3:$L$1101,7,0),"")</f>
        <v>_</v>
      </c>
      <c r="AW171" s="448" t="str">
        <f>_xlfn.IFNA(VLOOKUP($AP171,Programma!$F$3:$M$1101,8,0),"")</f>
        <v>_</v>
      </c>
      <c r="AX171" s="448" t="str">
        <f>_xlfn.IFNA(VLOOKUP($AP171,Programma!$F$3:$N$1101,9,0),"")</f>
        <v>_</v>
      </c>
      <c r="AY171" s="448" t="str">
        <f>_xlfn.IFNA(VLOOKUP($AP171,Programma!$F$3:$O$1101,10,0),"")</f>
        <v>2w</v>
      </c>
      <c r="AZ171" s="448" t="str">
        <f>_xlfn.IFNA(VLOOKUP($AP171,Programma!$F$3:$P$1101,11,0),"")</f>
        <v>2w</v>
      </c>
      <c r="BA171" s="448" t="str">
        <f>_xlfn.IFNA(VLOOKUP($AP171,Programma!$F$3:$Q$1101,12,0),"")</f>
        <v>1w</v>
      </c>
      <c r="BB171" s="448" t="str">
        <f>_xlfn.IFNA(VLOOKUP($AP171,Programma!$F$3:$R$1101,13,0),"")</f>
        <v>1w</v>
      </c>
      <c r="BC171" s="448" t="str">
        <f>_xlfn.IFNA(VLOOKUP($AP171,Programma!$F$3:$S$1101,14,0),"")</f>
        <v>1m</v>
      </c>
      <c r="BD171" s="448" t="str">
        <f>_xlfn.IFNA(VLOOKUP($AP171,Programma!$F$3:$T$1101,15,0),"")</f>
        <v>2j</v>
      </c>
      <c r="BE171" s="448" t="str">
        <f>_xlfn.IFNA(VLOOKUP($AP171,Programma!$F$3:$U$1101,16,0),"")</f>
        <v>1j</v>
      </c>
      <c r="BF171" s="448" t="str">
        <f>_xlfn.IFNA(VLOOKUP($AP171,Programma!$F$3:$V$1101,17,0),"")</f>
        <v>_</v>
      </c>
      <c r="BG171" s="448" t="str">
        <f>_xlfn.IFNA(VLOOKUP($AP171,Programma!$F$3:$W$1101,18,0),"")</f>
        <v>_</v>
      </c>
      <c r="BH171" s="448" t="str">
        <f>_xlfn.IFNA(VLOOKUP($AP171,Programma!$F$3:$X$1101,19,0),"")</f>
        <v>_</v>
      </c>
      <c r="BI171" s="448" t="str">
        <f>_xlfn.IFNA(VLOOKUP($AP171,Programma!$F$3:$Y$1101,20,0),"")</f>
        <v>_</v>
      </c>
      <c r="BJ171" s="449"/>
      <c r="BK171" s="447" t="str">
        <f>IF(Ruimtestaat[[#This Row],[Frequentie weekend]]="","",_xlfn.CONCAT(Ruimtestaat[[#This Row],[Ruimte code]],"-",Ruimtestaat[[#This Row],[Frequentie weekend]]," ",Ruimtestaat[[#This Row],[Vloer code]]))</f>
        <v/>
      </c>
      <c r="BL171" s="448" t="str">
        <f>_xlfn.IFNA(VLOOKUP($BK171,Programma!$F$3:$G$1101,2,0),"")</f>
        <v/>
      </c>
      <c r="BM171" s="448" t="str">
        <f>_xlfn.IFNA(VLOOKUP($BK171,Programma!$F$3:$H$1101,3,0),"")</f>
        <v/>
      </c>
      <c r="BN171" s="448" t="str">
        <f>_xlfn.IFNA(VLOOKUP($BK171,Programma!$F$3:$I$1101,4,0),"")</f>
        <v/>
      </c>
      <c r="BO171" s="448" t="str">
        <f>_xlfn.IFNA(VLOOKUP($BK171,Programma!$F$3:$J$1101,5,0),"")</f>
        <v/>
      </c>
      <c r="BP171" s="448" t="str">
        <f>_xlfn.IFNA(VLOOKUP($BK171,Programma!$F$3:$K$1101,6,0),"")</f>
        <v/>
      </c>
      <c r="BQ171" s="448" t="str">
        <f>_xlfn.IFNA(VLOOKUP($BK171,Programma!$F$3:$L$1101,7,0),"")</f>
        <v/>
      </c>
      <c r="BR171" s="448" t="str">
        <f>_xlfn.IFNA(VLOOKUP($BK171,Programma!$F$3:$M$1101,8,0),"")</f>
        <v/>
      </c>
      <c r="BS171" s="448" t="str">
        <f>_xlfn.IFNA(VLOOKUP($BK171,Programma!$F$3:$N$1101,9,0),"")</f>
        <v/>
      </c>
      <c r="BT171" s="448" t="str">
        <f>_xlfn.IFNA(VLOOKUP($BK171,Programma!$F$3:$O$1101,10,0),"")</f>
        <v/>
      </c>
      <c r="BU171" s="448" t="str">
        <f>_xlfn.IFNA(VLOOKUP($BK171,Programma!$F$3:$P$1101,11,0),"")</f>
        <v/>
      </c>
      <c r="BV171" s="448" t="str">
        <f>_xlfn.IFNA(VLOOKUP($BK171,Programma!$F$3:$Q$1101,12,0),"")</f>
        <v/>
      </c>
      <c r="BW171" s="448" t="str">
        <f>_xlfn.IFNA(VLOOKUP($BK171,Programma!$F$3:$R$1101,13,0),"")</f>
        <v/>
      </c>
      <c r="BX171" s="448" t="str">
        <f>_xlfn.IFNA(VLOOKUP($BK171,Programma!$F$3:$S$1101,14,0),"")</f>
        <v/>
      </c>
      <c r="BY171" s="448" t="str">
        <f>_xlfn.IFNA(VLOOKUP($BK171,Programma!$F$3:$T$1101,15,0),"")</f>
        <v/>
      </c>
      <c r="BZ171" s="448" t="str">
        <f>_xlfn.IFNA(VLOOKUP($BK171,Programma!$F$3:$U$1101,16,0),"")</f>
        <v/>
      </c>
      <c r="CA171" s="448" t="str">
        <f>_xlfn.IFNA(VLOOKUP($BK171,Programma!$F$3:$V$1101,17,0),"")</f>
        <v/>
      </c>
      <c r="CB171" s="448" t="str">
        <f>_xlfn.IFNA(VLOOKUP($BK171,Programma!$F$3:$W$1101,18,0),"")</f>
        <v/>
      </c>
      <c r="CC171" s="448" t="str">
        <f>_xlfn.IFNA(VLOOKUP($BK171,Programma!$F$3:$X$1101,19,0),"")</f>
        <v/>
      </c>
      <c r="CD171" s="448" t="str">
        <f>_xlfn.IFNA(VLOOKUP($BK171,Programma!$F$3:$Y$1101,20,0),"")</f>
        <v/>
      </c>
      <c r="CE171" s="327"/>
      <c r="CF171" s="327"/>
      <c r="CG171" s="327"/>
      <c r="CH171" s="327"/>
      <c r="CI171" s="327"/>
      <c r="CJ171" s="327"/>
      <c r="CK171" s="327"/>
      <c r="CL171" s="327"/>
      <c r="CM171" s="327"/>
      <c r="CN171" s="327"/>
      <c r="CO171" s="327"/>
      <c r="CP171" s="327"/>
      <c r="CQ171" s="327"/>
      <c r="CR171" s="327"/>
      <c r="CS171" s="327"/>
      <c r="CT171" s="327"/>
      <c r="CU171" s="327"/>
      <c r="CV171" s="327"/>
      <c r="CW171" s="327"/>
      <c r="CX171" s="327"/>
      <c r="CY171" s="327"/>
      <c r="CZ171" s="327"/>
      <c r="DA171" s="327"/>
      <c r="DB171" s="327"/>
      <c r="DC171" s="327"/>
      <c r="DD171" s="327"/>
      <c r="DE171" s="327"/>
      <c r="DF171" s="327"/>
      <c r="DG171" s="327"/>
      <c r="DH171" s="327"/>
      <c r="DI171" s="327"/>
      <c r="DJ171" s="327"/>
      <c r="DK171" s="327"/>
      <c r="DL171" s="327"/>
      <c r="DM171" s="327"/>
      <c r="DN171" s="327"/>
      <c r="DO171" s="327"/>
      <c r="DP171" s="327"/>
      <c r="DQ171" s="327"/>
      <c r="DR171" s="327"/>
      <c r="DS171" s="327"/>
      <c r="DT171" s="327"/>
      <c r="DU171" s="327"/>
      <c r="DV171" s="327"/>
      <c r="DW171" s="327"/>
      <c r="DX171" s="327"/>
      <c r="DY171" s="327"/>
      <c r="DZ171" s="327"/>
      <c r="EA171" s="327"/>
      <c r="EB171" s="327"/>
      <c r="EC171" s="327"/>
      <c r="ED171" s="327"/>
      <c r="EE171" s="327"/>
      <c r="EF171" s="327"/>
      <c r="EG171" s="327"/>
      <c r="EH171" s="327"/>
      <c r="EI171" s="327"/>
      <c r="EJ171" s="327"/>
      <c r="EK171" s="327"/>
      <c r="EL171" s="327"/>
      <c r="EM171" s="327"/>
      <c r="EN171" s="327"/>
      <c r="EO171" s="327"/>
      <c r="EP171" s="327"/>
      <c r="EQ171" s="327"/>
      <c r="ER171" s="327"/>
      <c r="ES171" s="327"/>
      <c r="ET171" s="327"/>
      <c r="EU171" s="327"/>
      <c r="EV171" s="327"/>
      <c r="EW171" s="327"/>
      <c r="EX171" s="327"/>
      <c r="EY171" s="327"/>
      <c r="EZ171" s="327"/>
      <c r="FA171" s="327"/>
      <c r="FB171" s="327"/>
      <c r="FC171" s="327"/>
      <c r="FD171" s="327"/>
      <c r="FE171" s="327"/>
      <c r="FF171" s="327"/>
      <c r="FG171" s="327"/>
      <c r="FH171" s="327"/>
      <c r="FI171" s="327"/>
      <c r="FJ171" s="327"/>
      <c r="FK171" s="327"/>
      <c r="FL171" s="327"/>
      <c r="FM171" s="327"/>
      <c r="FN171" s="327"/>
      <c r="FO171" s="327"/>
      <c r="FP171" s="327"/>
      <c r="FQ171" s="327"/>
      <c r="FR171" s="327"/>
      <c r="FS171" s="327"/>
      <c r="FT171" s="327"/>
      <c r="FU171" s="327"/>
      <c r="FV171" s="327"/>
      <c r="FW171" s="327"/>
      <c r="FX171" s="327"/>
      <c r="FY171" s="327"/>
      <c r="FZ171" s="327"/>
      <c r="GA171" s="327"/>
      <c r="GB171" s="327"/>
      <c r="GC171" s="327"/>
      <c r="GD171" s="327"/>
      <c r="GE171" s="327"/>
      <c r="GF171" s="327"/>
      <c r="GG171" s="327"/>
      <c r="GH171" s="327"/>
      <c r="GI171" s="327"/>
      <c r="GJ171" s="327"/>
      <c r="GK171" s="327"/>
      <c r="GL171" s="327"/>
      <c r="GM171" s="327"/>
      <c r="GN171" s="327"/>
      <c r="GO171" s="327"/>
      <c r="GP171" s="327"/>
      <c r="GQ171" s="327"/>
      <c r="GR171" s="327"/>
      <c r="GS171" s="327"/>
      <c r="GT171" s="327"/>
      <c r="GU171" s="327"/>
      <c r="GV171" s="327"/>
      <c r="GW171" s="327"/>
      <c r="GX171" s="327"/>
      <c r="GY171" s="327"/>
      <c r="GZ171" s="327"/>
      <c r="HA171" s="327"/>
      <c r="HB171" s="327"/>
      <c r="HC171" s="327"/>
      <c r="HD171" s="327"/>
      <c r="HE171" s="327"/>
      <c r="HF171" s="327"/>
      <c r="HG171" s="327"/>
      <c r="HH171" s="327"/>
      <c r="HI171" s="327"/>
      <c r="HJ171" s="327"/>
      <c r="HK171" s="327"/>
      <c r="HL171" s="327"/>
      <c r="HM171" s="327"/>
      <c r="HN171" s="327"/>
      <c r="HO171" s="327"/>
      <c r="HP171" s="327"/>
      <c r="HQ171" s="327"/>
      <c r="HR171" s="327"/>
      <c r="HS171" s="327"/>
    </row>
    <row r="172" spans="1:227" ht="15" customHeight="1">
      <c r="A172" s="330">
        <v>7</v>
      </c>
      <c r="B172" s="435" t="str">
        <f>VLOOKUP(Ruimtestaat[[#This Row],[Code]],Locaties[[Code]:[Locatie]],2,FALSE)</f>
        <v>IKC De Baanbreker</v>
      </c>
      <c r="C172" s="435" t="str">
        <f>VLOOKUP(Ruimtestaat[[#This Row],[Code]],Locaties[[#All],[Code]:[Adres]],4,FALSE)</f>
        <v>Lijnbaan 319</v>
      </c>
      <c r="D172" s="435" t="str">
        <f>VLOOKUP(Ruimtestaat[[#This Row],[Code]],Locaties[[#All],[Code]:[Postcode]],5,FALSE)</f>
        <v>2728 AG</v>
      </c>
      <c r="E172" s="435" t="str">
        <f>VLOOKUP(Ruimtestaat[[#This Row],[Code]],Locaties[#All],6,FALSE)</f>
        <v>Zoetermeer</v>
      </c>
      <c r="F172" s="434"/>
      <c r="G172" s="434" t="s">
        <v>1769</v>
      </c>
      <c r="H172" s="330" t="s">
        <v>1734</v>
      </c>
      <c r="I172" s="450" t="s">
        <v>1673</v>
      </c>
      <c r="J172" s="330">
        <v>5</v>
      </c>
      <c r="K172" s="450" t="str">
        <f>VLOOKUP(Ruimtestaat[[#This Row],[Ruimte code]],Ruimtegroepen[[#All],[Code]:[Ruimte omschrijving]],2,FALSE)</f>
        <v>Sanitair</v>
      </c>
      <c r="L172" s="434" t="s">
        <v>101</v>
      </c>
      <c r="M172" s="437" t="s">
        <v>119</v>
      </c>
      <c r="N172" s="439">
        <v>16</v>
      </c>
      <c r="O172" s="439"/>
      <c r="P172" s="439"/>
      <c r="Q172" s="439"/>
      <c r="R172" s="440" t="str">
        <f>VLOOKUP(Ruimtestaat[[#This Row],[Ruimte code]],Ruimtegroepen[],4,FALSE)</f>
        <v>Sa</v>
      </c>
      <c r="S172" s="434">
        <v>41</v>
      </c>
      <c r="T172" s="434" t="s">
        <v>2</v>
      </c>
      <c r="U172" s="434">
        <f>IF(S172&gt;0,IF(RIGHT(Ruimtestaat[[#This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72" s="434">
        <f>IF(U172&gt;0,VLOOKUP($J172,Ruimtegroepen[],3,FALSE)*VLOOKUP($L172,Vloersoorten[],3,FALSE)*VLOOKUP($T172,Frequenties[],3,FALSE)*VLOOKUP($A172,Locaties[],3,FALSE),0)</f>
        <v>0</v>
      </c>
      <c r="W172" s="434">
        <f>Ruimtestaat[[#This Row],[Uitvoeringen werkdagen]]*Ruimtestaat[[#This Row],[Oppervlak (netto)]]</f>
        <v>3280</v>
      </c>
      <c r="X172" s="441">
        <f>IF(V172&gt;0,Ruimtestaat[[#This Row],[Prest. (m2 /jaar) werkdagen]]/Ruimtestaat[[#This Row],[Norm (m2/uur) werkdagen]],0)</f>
        <v>0</v>
      </c>
      <c r="Y172" s="442">
        <f>Ruimtestaat[[#This Row],[Uitvoeringen werkdagen]]*Ruimtestaat[[#This Row],[Gedeeltelijk]]</f>
        <v>0</v>
      </c>
      <c r="Z172" s="443" t="e">
        <f>IF(U172&gt;0,Ruimtestaat[[#This Row],[Prest. (m2 / jaar) werkdagen gedeeld]]/Ruimtestaat[[#This Row],[Norm (m2/uur) werkdagen]],0)</f>
        <v>#DIV/0!</v>
      </c>
      <c r="AA172" s="441" t="e">
        <f>Ruimtestaat[[#This Row],[uren / jaar werkdagen gedeeld]]*Tariefsopbouw!$E$35</f>
        <v>#DIV/0!</v>
      </c>
      <c r="AB172" s="441">
        <f>Ruimtestaat[[#This Row],[Uitvoeringen werkdagen]]*Ruimtestaat[[#This Row],[BSO]]</f>
        <v>0</v>
      </c>
      <c r="AC172" s="443" t="e">
        <f>IF(U172&gt;0,Ruimtestaat[[#This Row],[Prest. (m2 / jaar) werkdagen BSO]]/Ruimtestaat[[#This Row],[Norm (m2/uur) werkdagen]],0)</f>
        <v>#DIV/0!</v>
      </c>
      <c r="AD172" s="443" t="e">
        <f>Ruimtestaat[[#This Row],[uren / jaar werkdagen BSO]]*Tariefsopbouw!$E$35</f>
        <v>#DIV/0!</v>
      </c>
      <c r="AE172" s="444">
        <f>Ruimtestaat[[#This Row],[uren / jaar werkdagen]]*Tariefsopbouw!$E$35</f>
        <v>0</v>
      </c>
      <c r="AF172" s="434"/>
      <c r="AG172" s="434">
        <f>IF(Ruimtestaat[[#This Row],[Frequentie weekend]]&gt;0,VALUE(LEFT(AF172,1))*S172,0)</f>
        <v>0</v>
      </c>
      <c r="AH172" s="445">
        <f>IF($AG172&gt;0,VLOOKUP($J172,Ruimtegroepen[],3,FALSE)*VLOOKUP($L172,Vloersoorten[],3,FALSE)*VLOOKUP($AF172,Frequenties[],3,FALSE)*VLOOKUP(Ruimtestaat[[#This Row],[Code]],Locaties[],3,FALSE),0)</f>
        <v>0</v>
      </c>
      <c r="AI172" s="445">
        <f>Ruimtestaat[[#This Row],[Uitvoeringen weekend]]*Ruimtestaat[[#This Row],[Oppervlak (netto)]]</f>
        <v>0</v>
      </c>
      <c r="AJ172" s="445">
        <f>IF(AH172&gt;0,Ruimtestaat[[#This Row],[Prest. (m2 /jaar) weekend]]/Ruimtestaat[[#This Row],[Norm (m2/uur) weekend]],0)</f>
        <v>0</v>
      </c>
      <c r="AK172" s="444">
        <f>Ruimtestaat[[#This Row],[uren / jaar weekend]]*Tariefsopbouw!$D$40</f>
        <v>0</v>
      </c>
      <c r="AL172" s="441">
        <f>Ruimtestaat[[#This Row],[Prest. (m2 /jaar) weekend]]+Ruimtestaat[[#This Row],[Prest. (m2 /jaar) werkdagen]]</f>
        <v>3280</v>
      </c>
      <c r="AM172" s="441">
        <f>Ruimtestaat[[#This Row],[uren / jaar weekend]]+Ruimtestaat[[#This Row],[uren / jaar werkdagen]]</f>
        <v>0</v>
      </c>
      <c r="AN172" s="446">
        <f>Ruimtestaat[[#This Row],[kosten / jaar weekend]]+Ruimtestaat[[#This Row],[kosten / jaar werkdagen]]</f>
        <v>0</v>
      </c>
      <c r="AO172" s="446"/>
      <c r="AP172" s="447" t="str">
        <f>IF(Ruimtestaat[[#This Row],[Frequentie werkdagen]]="","",_xlfn.CONCAT(Ruimtestaat[[#This Row],[Ruimte code]],"-",Ruimtestaat[[#This Row],[Frequentie werkdagen]]," ",Ruimtestaat[[#This Row],[Vloer code]]))</f>
        <v>5-5w S</v>
      </c>
      <c r="AQ172" s="448" t="str">
        <f>_xlfn.IFNA(VLOOKUP($AP172,Programma!$F$3:$G$1101,2,0),"")</f>
        <v>_</v>
      </c>
      <c r="AR172" s="448" t="str">
        <f>_xlfn.IFNA(VLOOKUP($AP172,Programma!$F$3:$H$1101,3,0),"")</f>
        <v>_</v>
      </c>
      <c r="AS172" s="448" t="str">
        <f>_xlfn.IFNA(VLOOKUP($AP172,Programma!$F$3:$I$1101,4,0),"")</f>
        <v>_</v>
      </c>
      <c r="AT172" s="448" t="str">
        <f>_xlfn.IFNA(VLOOKUP($AP172,Programma!$F$3:$J$1101,5,0),"")</f>
        <v>4w</v>
      </c>
      <c r="AU172" s="448" t="str">
        <f>_xlfn.IFNA(VLOOKUP($AP172,Programma!$F$3:$K$1101,6,0),"")</f>
        <v>1w</v>
      </c>
      <c r="AV172" s="448" t="str">
        <f>_xlfn.IFNA(VLOOKUP($AP172,Programma!$F$3:$L$1101,7,0),"")</f>
        <v>_</v>
      </c>
      <c r="AW172" s="448" t="str">
        <f>_xlfn.IFNA(VLOOKUP($AP172,Programma!$F$3:$M$1101,8,0),"")</f>
        <v>_</v>
      </c>
      <c r="AX172" s="448" t="str">
        <f>_xlfn.IFNA(VLOOKUP($AP172,Programma!$F$3:$N$1101,9,0),"")</f>
        <v>_</v>
      </c>
      <c r="AY172" s="448" t="str">
        <f>_xlfn.IFNA(VLOOKUP($AP172,Programma!$F$3:$O$1101,10,0),"")</f>
        <v>_</v>
      </c>
      <c r="AZ172" s="448" t="str">
        <f>_xlfn.IFNA(VLOOKUP($AP172,Programma!$F$3:$P$1101,11,0),"")</f>
        <v>_</v>
      </c>
      <c r="BA172" s="448" t="str">
        <f>_xlfn.IFNA(VLOOKUP($AP172,Programma!$F$3:$Q$1101,12,0),"")</f>
        <v>_</v>
      </c>
      <c r="BB172" s="448" t="str">
        <f>_xlfn.IFNA(VLOOKUP($AP172,Programma!$F$3:$R$1101,13,0),"")</f>
        <v>_</v>
      </c>
      <c r="BC172" s="448" t="str">
        <f>_xlfn.IFNA(VLOOKUP($AP172,Programma!$F$3:$S$1101,14,0),"")</f>
        <v>_</v>
      </c>
      <c r="BD172" s="448" t="str">
        <f>_xlfn.IFNA(VLOOKUP($AP172,Programma!$F$3:$T$1101,15,0),"")</f>
        <v>_</v>
      </c>
      <c r="BE172" s="448" t="str">
        <f>_xlfn.IFNA(VLOOKUP($AP172,Programma!$F$3:$U$1101,16,0),"")</f>
        <v>_</v>
      </c>
      <c r="BF172" s="448" t="str">
        <f>_xlfn.IFNA(VLOOKUP($AP172,Programma!$F$3:$V$1101,17,0),"")</f>
        <v>_</v>
      </c>
      <c r="BG172" s="448" t="str">
        <f>_xlfn.IFNA(VLOOKUP($AP172,Programma!$F$3:$W$1101,18,0),"")</f>
        <v>4w</v>
      </c>
      <c r="BH172" s="448" t="str">
        <f>_xlfn.IFNA(VLOOKUP($AP172,Programma!$F$3:$X$1101,19,0),"")</f>
        <v>1w</v>
      </c>
      <c r="BI172" s="448" t="str">
        <f>_xlfn.IFNA(VLOOKUP($AP172,Programma!$F$3:$Y$1101,20,0),"")</f>
        <v>_</v>
      </c>
      <c r="BJ172" s="449"/>
      <c r="BK172" s="447" t="str">
        <f>IF(Ruimtestaat[[#This Row],[Frequentie weekend]]="","",_xlfn.CONCAT(Ruimtestaat[[#This Row],[Ruimte code]],"-",Ruimtestaat[[#This Row],[Frequentie weekend]]," ",Ruimtestaat[[#This Row],[Vloer code]]))</f>
        <v/>
      </c>
      <c r="BL172" s="448" t="str">
        <f>_xlfn.IFNA(VLOOKUP($BK172,Programma!$F$3:$G$1101,2,0),"")</f>
        <v/>
      </c>
      <c r="BM172" s="448" t="str">
        <f>_xlfn.IFNA(VLOOKUP($BK172,Programma!$F$3:$H$1101,3,0),"")</f>
        <v/>
      </c>
      <c r="BN172" s="448" t="str">
        <f>_xlfn.IFNA(VLOOKUP($BK172,Programma!$F$3:$I$1101,4,0),"")</f>
        <v/>
      </c>
      <c r="BO172" s="448" t="str">
        <f>_xlfn.IFNA(VLOOKUP($BK172,Programma!$F$3:$J$1101,5,0),"")</f>
        <v/>
      </c>
      <c r="BP172" s="448" t="str">
        <f>_xlfn.IFNA(VLOOKUP($BK172,Programma!$F$3:$K$1101,6,0),"")</f>
        <v/>
      </c>
      <c r="BQ172" s="448" t="str">
        <f>_xlfn.IFNA(VLOOKUP($BK172,Programma!$F$3:$L$1101,7,0),"")</f>
        <v/>
      </c>
      <c r="BR172" s="448" t="str">
        <f>_xlfn.IFNA(VLOOKUP($BK172,Programma!$F$3:$M$1101,8,0),"")</f>
        <v/>
      </c>
      <c r="BS172" s="448" t="str">
        <f>_xlfn.IFNA(VLOOKUP($BK172,Programma!$F$3:$N$1101,9,0),"")</f>
        <v/>
      </c>
      <c r="BT172" s="448" t="str">
        <f>_xlfn.IFNA(VLOOKUP($BK172,Programma!$F$3:$O$1101,10,0),"")</f>
        <v/>
      </c>
      <c r="BU172" s="448" t="str">
        <f>_xlfn.IFNA(VLOOKUP($BK172,Programma!$F$3:$P$1101,11,0),"")</f>
        <v/>
      </c>
      <c r="BV172" s="448" t="str">
        <f>_xlfn.IFNA(VLOOKUP($BK172,Programma!$F$3:$Q$1101,12,0),"")</f>
        <v/>
      </c>
      <c r="BW172" s="448" t="str">
        <f>_xlfn.IFNA(VLOOKUP($BK172,Programma!$F$3:$R$1101,13,0),"")</f>
        <v/>
      </c>
      <c r="BX172" s="448" t="str">
        <f>_xlfn.IFNA(VLOOKUP($BK172,Programma!$F$3:$S$1101,14,0),"")</f>
        <v/>
      </c>
      <c r="BY172" s="448" t="str">
        <f>_xlfn.IFNA(VLOOKUP($BK172,Programma!$F$3:$T$1101,15,0),"")</f>
        <v/>
      </c>
      <c r="BZ172" s="448" t="str">
        <f>_xlfn.IFNA(VLOOKUP($BK172,Programma!$F$3:$U$1101,16,0),"")</f>
        <v/>
      </c>
      <c r="CA172" s="448" t="str">
        <f>_xlfn.IFNA(VLOOKUP($BK172,Programma!$F$3:$V$1101,17,0),"")</f>
        <v/>
      </c>
      <c r="CB172" s="448" t="str">
        <f>_xlfn.IFNA(VLOOKUP($BK172,Programma!$F$3:$W$1101,18,0),"")</f>
        <v/>
      </c>
      <c r="CC172" s="448" t="str">
        <f>_xlfn.IFNA(VLOOKUP($BK172,Programma!$F$3:$X$1101,19,0),"")</f>
        <v/>
      </c>
      <c r="CD172" s="448" t="str">
        <f>_xlfn.IFNA(VLOOKUP($BK172,Programma!$F$3:$Y$1101,20,0),"")</f>
        <v/>
      </c>
      <c r="CE172" s="327"/>
      <c r="CF172" s="327"/>
      <c r="CG172" s="327"/>
      <c r="CH172" s="327"/>
      <c r="CI172" s="327"/>
      <c r="CJ172" s="327"/>
      <c r="CK172" s="327"/>
      <c r="CL172" s="327"/>
      <c r="CM172" s="327"/>
      <c r="CN172" s="327"/>
      <c r="CO172" s="327"/>
      <c r="CP172" s="327"/>
      <c r="CQ172" s="327"/>
      <c r="CR172" s="327"/>
      <c r="CS172" s="327"/>
      <c r="CT172" s="327"/>
      <c r="CU172" s="327"/>
      <c r="CV172" s="327"/>
      <c r="CW172" s="327"/>
      <c r="CX172" s="327"/>
      <c r="CY172" s="327"/>
      <c r="CZ172" s="327"/>
      <c r="DA172" s="327"/>
      <c r="DB172" s="327"/>
      <c r="DC172" s="327"/>
      <c r="DD172" s="327"/>
      <c r="DE172" s="327"/>
      <c r="DF172" s="327"/>
      <c r="DG172" s="327"/>
      <c r="DH172" s="327"/>
      <c r="DI172" s="327"/>
      <c r="DJ172" s="327"/>
      <c r="DK172" s="327"/>
      <c r="DL172" s="327"/>
      <c r="DM172" s="327"/>
      <c r="DN172" s="327"/>
      <c r="DO172" s="327"/>
      <c r="DP172" s="327"/>
      <c r="DQ172" s="327"/>
      <c r="DR172" s="327"/>
      <c r="DS172" s="327"/>
      <c r="DT172" s="327"/>
      <c r="DU172" s="327"/>
      <c r="DV172" s="327"/>
      <c r="DW172" s="327"/>
      <c r="DX172" s="327"/>
      <c r="DY172" s="327"/>
      <c r="DZ172" s="327"/>
      <c r="EA172" s="327"/>
      <c r="EB172" s="327"/>
      <c r="EC172" s="327"/>
      <c r="ED172" s="327"/>
      <c r="EE172" s="327"/>
      <c r="EF172" s="327"/>
      <c r="EG172" s="327"/>
      <c r="EH172" s="327"/>
      <c r="EI172" s="327"/>
      <c r="EJ172" s="327"/>
      <c r="EK172" s="327"/>
      <c r="EL172" s="327"/>
      <c r="EM172" s="327"/>
      <c r="EN172" s="327"/>
      <c r="EO172" s="327"/>
      <c r="EP172" s="327"/>
      <c r="EQ172" s="327"/>
      <c r="ER172" s="327"/>
      <c r="ES172" s="327"/>
      <c r="ET172" s="327"/>
      <c r="EU172" s="327"/>
      <c r="EV172" s="327"/>
      <c r="EW172" s="327"/>
      <c r="EX172" s="327"/>
      <c r="EY172" s="327"/>
      <c r="EZ172" s="327"/>
      <c r="FA172" s="327"/>
      <c r="FB172" s="327"/>
      <c r="FC172" s="327"/>
      <c r="FD172" s="327"/>
      <c r="FE172" s="327"/>
      <c r="FF172" s="327"/>
      <c r="FG172" s="327"/>
      <c r="FH172" s="327"/>
      <c r="FI172" s="327"/>
      <c r="FJ172" s="327"/>
      <c r="FK172" s="327"/>
      <c r="FL172" s="327"/>
      <c r="FM172" s="327"/>
      <c r="FN172" s="327"/>
      <c r="FO172" s="327"/>
      <c r="FP172" s="327"/>
      <c r="FQ172" s="327"/>
      <c r="FR172" s="327"/>
      <c r="FS172" s="327"/>
      <c r="FT172" s="327"/>
      <c r="FU172" s="327"/>
      <c r="FV172" s="327"/>
      <c r="FW172" s="327"/>
      <c r="FX172" s="327"/>
      <c r="FY172" s="327"/>
      <c r="FZ172" s="327"/>
      <c r="GA172" s="327"/>
      <c r="GB172" s="327"/>
      <c r="GC172" s="327"/>
      <c r="GD172" s="327"/>
      <c r="GE172" s="327"/>
      <c r="GF172" s="327"/>
      <c r="GG172" s="327"/>
      <c r="GH172" s="327"/>
      <c r="GI172" s="327"/>
      <c r="GJ172" s="327"/>
      <c r="GK172" s="327"/>
      <c r="GL172" s="327"/>
      <c r="GM172" s="327"/>
      <c r="GN172" s="327"/>
      <c r="GO172" s="327"/>
      <c r="GP172" s="327"/>
      <c r="GQ172" s="327"/>
      <c r="GR172" s="327"/>
      <c r="GS172" s="327"/>
      <c r="GT172" s="327"/>
      <c r="GU172" s="327"/>
      <c r="GV172" s="327"/>
      <c r="GW172" s="327"/>
      <c r="GX172" s="327"/>
      <c r="GY172" s="327"/>
      <c r="GZ172" s="327"/>
      <c r="HA172" s="327"/>
      <c r="HB172" s="327"/>
      <c r="HC172" s="327"/>
      <c r="HD172" s="327"/>
      <c r="HE172" s="327"/>
      <c r="HF172" s="327"/>
      <c r="HG172" s="327"/>
      <c r="HH172" s="327"/>
      <c r="HI172" s="327"/>
      <c r="HJ172" s="327"/>
      <c r="HK172" s="327"/>
      <c r="HL172" s="327"/>
      <c r="HM172" s="327"/>
      <c r="HN172" s="327"/>
      <c r="HO172" s="327"/>
      <c r="HP172" s="327"/>
      <c r="HQ172" s="327"/>
      <c r="HR172" s="327"/>
      <c r="HS172" s="327"/>
    </row>
    <row r="173" spans="1:227" ht="15" customHeight="1">
      <c r="A173" s="330">
        <v>7</v>
      </c>
      <c r="B173" s="435" t="str">
        <f>VLOOKUP(Ruimtestaat[[#This Row],[Code]],Locaties[[Code]:[Locatie]],2,FALSE)</f>
        <v>IKC De Baanbreker</v>
      </c>
      <c r="C173" s="435" t="str">
        <f>VLOOKUP(Ruimtestaat[[#This Row],[Code]],Locaties[[#All],[Code]:[Adres]],4,FALSE)</f>
        <v>Lijnbaan 319</v>
      </c>
      <c r="D173" s="435" t="str">
        <f>VLOOKUP(Ruimtestaat[[#This Row],[Code]],Locaties[[#All],[Code]:[Postcode]],5,FALSE)</f>
        <v>2728 AG</v>
      </c>
      <c r="E173" s="435" t="str">
        <f>VLOOKUP(Ruimtestaat[[#This Row],[Code]],Locaties[#All],6,FALSE)</f>
        <v>Zoetermeer</v>
      </c>
      <c r="F173" s="434"/>
      <c r="G173" s="434" t="s">
        <v>1769</v>
      </c>
      <c r="I173" s="450" t="s">
        <v>1773</v>
      </c>
      <c r="J173" s="330">
        <v>10</v>
      </c>
      <c r="K173" s="450" t="str">
        <f>VLOOKUP(Ruimtestaat[[#This Row],[Ruimte code]],Ruimtegroepen[[#All],[Code]:[Ruimte omschrijving]],2,FALSE)</f>
        <v>Trappenhuizen/lift</v>
      </c>
      <c r="L173" s="434" t="s">
        <v>101</v>
      </c>
      <c r="M173" s="437" t="s">
        <v>119</v>
      </c>
      <c r="N173" s="439">
        <v>13</v>
      </c>
      <c r="O173" s="439"/>
      <c r="P173" s="439"/>
      <c r="Q173" s="439"/>
      <c r="R173" s="440" t="str">
        <f>VLOOKUP(Ruimtestaat[[#This Row],[Ruimte code]],Ruimtegroepen[],4,FALSE)</f>
        <v>Ve</v>
      </c>
      <c r="S173" s="434">
        <v>41</v>
      </c>
      <c r="T173" s="434" t="s">
        <v>2</v>
      </c>
      <c r="U173" s="434">
        <f>IF(S173&gt;0,IF(RIGHT(Ruimtestaat[[#This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73" s="434">
        <f>IF(U173&gt;0,VLOOKUP($J173,Ruimtegroepen[],3,FALSE)*VLOOKUP($L173,Vloersoorten[],3,FALSE)*VLOOKUP($T173,Frequenties[],3,FALSE)*VLOOKUP($A173,Locaties[],3,FALSE),0)</f>
        <v>0</v>
      </c>
      <c r="W173" s="434">
        <f>Ruimtestaat[[#This Row],[Uitvoeringen werkdagen]]*Ruimtestaat[[#This Row],[Oppervlak (netto)]]</f>
        <v>2665</v>
      </c>
      <c r="X173" s="441">
        <f>IF(V173&gt;0,Ruimtestaat[[#This Row],[Prest. (m2 /jaar) werkdagen]]/Ruimtestaat[[#This Row],[Norm (m2/uur) werkdagen]],0)</f>
        <v>0</v>
      </c>
      <c r="Y173" s="442">
        <f>Ruimtestaat[[#This Row],[Uitvoeringen werkdagen]]*Ruimtestaat[[#This Row],[Gedeeltelijk]]</f>
        <v>0</v>
      </c>
      <c r="Z173" s="443" t="e">
        <f>IF(U173&gt;0,Ruimtestaat[[#This Row],[Prest. (m2 / jaar) werkdagen gedeeld]]/Ruimtestaat[[#This Row],[Norm (m2/uur) werkdagen]],0)</f>
        <v>#DIV/0!</v>
      </c>
      <c r="AA173" s="441" t="e">
        <f>Ruimtestaat[[#This Row],[uren / jaar werkdagen gedeeld]]*Tariefsopbouw!$E$35</f>
        <v>#DIV/0!</v>
      </c>
      <c r="AB173" s="441">
        <f>Ruimtestaat[[#This Row],[Uitvoeringen werkdagen]]*Ruimtestaat[[#This Row],[BSO]]</f>
        <v>0</v>
      </c>
      <c r="AC173" s="443" t="e">
        <f>IF(U173&gt;0,Ruimtestaat[[#This Row],[Prest. (m2 / jaar) werkdagen BSO]]/Ruimtestaat[[#This Row],[Norm (m2/uur) werkdagen]],0)</f>
        <v>#DIV/0!</v>
      </c>
      <c r="AD173" s="443" t="e">
        <f>Ruimtestaat[[#This Row],[uren / jaar werkdagen BSO]]*Tariefsopbouw!$E$35</f>
        <v>#DIV/0!</v>
      </c>
      <c r="AE173" s="444">
        <f>Ruimtestaat[[#This Row],[uren / jaar werkdagen]]*Tariefsopbouw!$E$35</f>
        <v>0</v>
      </c>
      <c r="AF173" s="434"/>
      <c r="AG173" s="434">
        <f>IF(Ruimtestaat[[#This Row],[Frequentie weekend]]&gt;0,VALUE(LEFT(AF173,1))*S173,0)</f>
        <v>0</v>
      </c>
      <c r="AH173" s="445">
        <f>IF($AG173&gt;0,VLOOKUP($J173,Ruimtegroepen[],3,FALSE)*VLOOKUP($L173,Vloersoorten[],3,FALSE)*VLOOKUP($AF173,Frequenties[],3,FALSE)*VLOOKUP(Ruimtestaat[[#This Row],[Code]],Locaties[],3,FALSE),0)</f>
        <v>0</v>
      </c>
      <c r="AI173" s="445">
        <f>Ruimtestaat[[#This Row],[Uitvoeringen weekend]]*Ruimtestaat[[#This Row],[Oppervlak (netto)]]</f>
        <v>0</v>
      </c>
      <c r="AJ173" s="445">
        <f>IF(AH173&gt;0,Ruimtestaat[[#This Row],[Prest. (m2 /jaar) weekend]]/Ruimtestaat[[#This Row],[Norm (m2/uur) weekend]],0)</f>
        <v>0</v>
      </c>
      <c r="AK173" s="444">
        <f>Ruimtestaat[[#This Row],[uren / jaar weekend]]*Tariefsopbouw!$D$40</f>
        <v>0</v>
      </c>
      <c r="AL173" s="441">
        <f>Ruimtestaat[[#This Row],[Prest. (m2 /jaar) weekend]]+Ruimtestaat[[#This Row],[Prest. (m2 /jaar) werkdagen]]</f>
        <v>2665</v>
      </c>
      <c r="AM173" s="441">
        <f>Ruimtestaat[[#This Row],[uren / jaar weekend]]+Ruimtestaat[[#This Row],[uren / jaar werkdagen]]</f>
        <v>0</v>
      </c>
      <c r="AN173" s="446">
        <f>Ruimtestaat[[#This Row],[kosten / jaar weekend]]+Ruimtestaat[[#This Row],[kosten / jaar werkdagen]]</f>
        <v>0</v>
      </c>
      <c r="AO173" s="446"/>
      <c r="AP173" s="447" t="str">
        <f>IF(Ruimtestaat[[#This Row],[Frequentie werkdagen]]="","",_xlfn.CONCAT(Ruimtestaat[[#This Row],[Ruimte code]],"-",Ruimtestaat[[#This Row],[Frequentie werkdagen]]," ",Ruimtestaat[[#This Row],[Vloer code]]))</f>
        <v>10-5w S</v>
      </c>
      <c r="AQ173" s="448" t="str">
        <f>_xlfn.IFNA(VLOOKUP($AP173,Programma!$F$3:$G$1101,2,0),"")</f>
        <v>_</v>
      </c>
      <c r="AR173" s="448" t="str">
        <f>_xlfn.IFNA(VLOOKUP($AP173,Programma!$F$3:$H$1101,3,0),"")</f>
        <v>_</v>
      </c>
      <c r="AS173" s="448" t="str">
        <f>_xlfn.IFNA(VLOOKUP($AP173,Programma!$F$3:$I$1101,4,0),"")</f>
        <v>4w</v>
      </c>
      <c r="AT173" s="448" t="str">
        <f>_xlfn.IFNA(VLOOKUP($AP173,Programma!$F$3:$J$1101,5,0),"")</f>
        <v>1w</v>
      </c>
      <c r="AU173" s="448" t="str">
        <f>_xlfn.IFNA(VLOOKUP($AP173,Programma!$F$3:$K$1101,6,0),"")</f>
        <v>4j</v>
      </c>
      <c r="AV173" s="448" t="str">
        <f>_xlfn.IFNA(VLOOKUP($AP173,Programma!$F$3:$L$1101,7,0),"")</f>
        <v>_</v>
      </c>
      <c r="AW173" s="448" t="str">
        <f>_xlfn.IFNA(VLOOKUP($AP173,Programma!$F$3:$M$1101,8,0),"")</f>
        <v>_</v>
      </c>
      <c r="AX173" s="448" t="str">
        <f>_xlfn.IFNA(VLOOKUP($AP173,Programma!$F$3:$N$1101,9,0),"")</f>
        <v>_</v>
      </c>
      <c r="AY173" s="448" t="str">
        <f>_xlfn.IFNA(VLOOKUP($AP173,Programma!$F$3:$O$1101,10,0),"")</f>
        <v>5w</v>
      </c>
      <c r="AZ173" s="448" t="str">
        <f>_xlfn.IFNA(VLOOKUP($AP173,Programma!$F$3:$P$1101,11,0),"")</f>
        <v>5w</v>
      </c>
      <c r="BA173" s="448" t="str">
        <f>_xlfn.IFNA(VLOOKUP($AP173,Programma!$F$3:$Q$1101,12,0),"")</f>
        <v>1w</v>
      </c>
      <c r="BB173" s="448" t="str">
        <f>_xlfn.IFNA(VLOOKUP($AP173,Programma!$F$3:$R$1101,13,0),"")</f>
        <v>1w</v>
      </c>
      <c r="BC173" s="448" t="str">
        <f>_xlfn.IFNA(VLOOKUP($AP173,Programma!$F$3:$S$1101,14,0),"")</f>
        <v>1m</v>
      </c>
      <c r="BD173" s="448" t="str">
        <f>_xlfn.IFNA(VLOOKUP($AP173,Programma!$F$3:$T$1101,15,0),"")</f>
        <v>2j</v>
      </c>
      <c r="BE173" s="448" t="str">
        <f>_xlfn.IFNA(VLOOKUP($AP173,Programma!$F$3:$U$1101,16,0),"")</f>
        <v>1j</v>
      </c>
      <c r="BF173" s="448" t="str">
        <f>_xlfn.IFNA(VLOOKUP($AP173,Programma!$F$3:$V$1101,17,0),"")</f>
        <v>_</v>
      </c>
      <c r="BG173" s="448" t="str">
        <f>_xlfn.IFNA(VLOOKUP($AP173,Programma!$F$3:$W$1101,18,0),"")</f>
        <v>_</v>
      </c>
      <c r="BH173" s="448" t="str">
        <f>_xlfn.IFNA(VLOOKUP($AP173,Programma!$F$3:$X$1101,19,0),"")</f>
        <v>_</v>
      </c>
      <c r="BI173" s="448" t="str">
        <f>_xlfn.IFNA(VLOOKUP($AP173,Programma!$F$3:$Y$1101,20,0),"")</f>
        <v>_</v>
      </c>
      <c r="BJ173" s="449"/>
      <c r="BK173" s="447" t="str">
        <f>IF(Ruimtestaat[[#This Row],[Frequentie weekend]]="","",_xlfn.CONCAT(Ruimtestaat[[#This Row],[Ruimte code]],"-",Ruimtestaat[[#This Row],[Frequentie weekend]]," ",Ruimtestaat[[#This Row],[Vloer code]]))</f>
        <v/>
      </c>
      <c r="BL173" s="448" t="str">
        <f>_xlfn.IFNA(VLOOKUP($BK173,Programma!$F$3:$G$1101,2,0),"")</f>
        <v/>
      </c>
      <c r="BM173" s="448" t="str">
        <f>_xlfn.IFNA(VLOOKUP($BK173,Programma!$F$3:$H$1101,3,0),"")</f>
        <v/>
      </c>
      <c r="BN173" s="448" t="str">
        <f>_xlfn.IFNA(VLOOKUP($BK173,Programma!$F$3:$I$1101,4,0),"")</f>
        <v/>
      </c>
      <c r="BO173" s="448" t="str">
        <f>_xlfn.IFNA(VLOOKUP($BK173,Programma!$F$3:$J$1101,5,0),"")</f>
        <v/>
      </c>
      <c r="BP173" s="448" t="str">
        <f>_xlfn.IFNA(VLOOKUP($BK173,Programma!$F$3:$K$1101,6,0),"")</f>
        <v/>
      </c>
      <c r="BQ173" s="448" t="str">
        <f>_xlfn.IFNA(VLOOKUP($BK173,Programma!$F$3:$L$1101,7,0),"")</f>
        <v/>
      </c>
      <c r="BR173" s="448" t="str">
        <f>_xlfn.IFNA(VLOOKUP($BK173,Programma!$F$3:$M$1101,8,0),"")</f>
        <v/>
      </c>
      <c r="BS173" s="448" t="str">
        <f>_xlfn.IFNA(VLOOKUP($BK173,Programma!$F$3:$N$1101,9,0),"")</f>
        <v/>
      </c>
      <c r="BT173" s="448" t="str">
        <f>_xlfn.IFNA(VLOOKUP($BK173,Programma!$F$3:$O$1101,10,0),"")</f>
        <v/>
      </c>
      <c r="BU173" s="448" t="str">
        <f>_xlfn.IFNA(VLOOKUP($BK173,Programma!$F$3:$P$1101,11,0),"")</f>
        <v/>
      </c>
      <c r="BV173" s="448" t="str">
        <f>_xlfn.IFNA(VLOOKUP($BK173,Programma!$F$3:$Q$1101,12,0),"")</f>
        <v/>
      </c>
      <c r="BW173" s="448" t="str">
        <f>_xlfn.IFNA(VLOOKUP($BK173,Programma!$F$3:$R$1101,13,0),"")</f>
        <v/>
      </c>
      <c r="BX173" s="448" t="str">
        <f>_xlfn.IFNA(VLOOKUP($BK173,Programma!$F$3:$S$1101,14,0),"")</f>
        <v/>
      </c>
      <c r="BY173" s="448" t="str">
        <f>_xlfn.IFNA(VLOOKUP($BK173,Programma!$F$3:$T$1101,15,0),"")</f>
        <v/>
      </c>
      <c r="BZ173" s="448" t="str">
        <f>_xlfn.IFNA(VLOOKUP($BK173,Programma!$F$3:$U$1101,16,0),"")</f>
        <v/>
      </c>
      <c r="CA173" s="448" t="str">
        <f>_xlfn.IFNA(VLOOKUP($BK173,Programma!$F$3:$V$1101,17,0),"")</f>
        <v/>
      </c>
      <c r="CB173" s="448" t="str">
        <f>_xlfn.IFNA(VLOOKUP($BK173,Programma!$F$3:$W$1101,18,0),"")</f>
        <v/>
      </c>
      <c r="CC173" s="448" t="str">
        <f>_xlfn.IFNA(VLOOKUP($BK173,Programma!$F$3:$X$1101,19,0),"")</f>
        <v/>
      </c>
      <c r="CD173" s="448" t="str">
        <f>_xlfn.IFNA(VLOOKUP($BK173,Programma!$F$3:$Y$1101,20,0),"")</f>
        <v/>
      </c>
      <c r="CE173" s="327"/>
      <c r="CF173" s="327"/>
      <c r="CG173" s="327"/>
      <c r="CH173" s="327"/>
      <c r="CI173" s="327"/>
      <c r="CJ173" s="327"/>
      <c r="CK173" s="327"/>
      <c r="CL173" s="327"/>
      <c r="CM173" s="327"/>
      <c r="CN173" s="327"/>
      <c r="CO173" s="327"/>
      <c r="CP173" s="327"/>
      <c r="CQ173" s="327"/>
      <c r="CR173" s="327"/>
      <c r="CS173" s="327"/>
      <c r="CT173" s="327"/>
      <c r="CU173" s="327"/>
      <c r="CV173" s="327"/>
      <c r="CW173" s="327"/>
      <c r="CX173" s="327"/>
      <c r="CY173" s="327"/>
      <c r="CZ173" s="327"/>
      <c r="DA173" s="327"/>
      <c r="DB173" s="327"/>
      <c r="DC173" s="327"/>
      <c r="DD173" s="327"/>
      <c r="DE173" s="327"/>
      <c r="DF173" s="327"/>
      <c r="DG173" s="327"/>
      <c r="DH173" s="327"/>
      <c r="DI173" s="327"/>
      <c r="DJ173" s="327"/>
      <c r="DK173" s="327"/>
      <c r="DL173" s="327"/>
      <c r="DM173" s="327"/>
      <c r="DN173" s="327"/>
      <c r="DO173" s="327"/>
      <c r="DP173" s="327"/>
      <c r="DQ173" s="327"/>
      <c r="DR173" s="327"/>
      <c r="DS173" s="327"/>
      <c r="DT173" s="327"/>
      <c r="DU173" s="327"/>
      <c r="DV173" s="327"/>
      <c r="DW173" s="327"/>
      <c r="DX173" s="327"/>
      <c r="DY173" s="327"/>
      <c r="DZ173" s="327"/>
      <c r="EA173" s="327"/>
      <c r="EB173" s="327"/>
      <c r="EC173" s="327"/>
      <c r="ED173" s="327"/>
      <c r="EE173" s="327"/>
      <c r="EF173" s="327"/>
      <c r="EG173" s="327"/>
      <c r="EH173" s="327"/>
      <c r="EI173" s="327"/>
      <c r="EJ173" s="327"/>
      <c r="EK173" s="327"/>
      <c r="EL173" s="327"/>
      <c r="EM173" s="327"/>
      <c r="EN173" s="327"/>
      <c r="EO173" s="327"/>
      <c r="EP173" s="327"/>
      <c r="EQ173" s="327"/>
      <c r="ER173" s="327"/>
      <c r="ES173" s="327"/>
      <c r="ET173" s="327"/>
      <c r="EU173" s="327"/>
      <c r="EV173" s="327"/>
      <c r="EW173" s="327"/>
      <c r="EX173" s="327"/>
      <c r="EY173" s="327"/>
      <c r="EZ173" s="327"/>
      <c r="FA173" s="327"/>
      <c r="FB173" s="327"/>
      <c r="FC173" s="327"/>
      <c r="FD173" s="327"/>
      <c r="FE173" s="327"/>
      <c r="FF173" s="327"/>
      <c r="FG173" s="327"/>
      <c r="FH173" s="327"/>
      <c r="FI173" s="327"/>
      <c r="FJ173" s="327"/>
      <c r="FK173" s="327"/>
      <c r="FL173" s="327"/>
      <c r="FM173" s="327"/>
      <c r="FN173" s="327"/>
      <c r="FO173" s="327"/>
      <c r="FP173" s="327"/>
      <c r="FQ173" s="327"/>
      <c r="FR173" s="327"/>
      <c r="FS173" s="327"/>
      <c r="FT173" s="327"/>
      <c r="FU173" s="327"/>
      <c r="FV173" s="327"/>
      <c r="FW173" s="327"/>
      <c r="FX173" s="327"/>
      <c r="FY173" s="327"/>
      <c r="FZ173" s="327"/>
      <c r="GA173" s="327"/>
      <c r="GB173" s="327"/>
      <c r="GC173" s="327"/>
      <c r="GD173" s="327"/>
      <c r="GE173" s="327"/>
      <c r="GF173" s="327"/>
      <c r="GG173" s="327"/>
      <c r="GH173" s="327"/>
      <c r="GI173" s="327"/>
      <c r="GJ173" s="327"/>
      <c r="GK173" s="327"/>
      <c r="GL173" s="327"/>
      <c r="GM173" s="327"/>
      <c r="GN173" s="327"/>
      <c r="GO173" s="327"/>
      <c r="GP173" s="327"/>
      <c r="GQ173" s="327"/>
      <c r="GR173" s="327"/>
      <c r="GS173" s="327"/>
      <c r="GT173" s="327"/>
      <c r="GU173" s="327"/>
      <c r="GV173" s="327"/>
      <c r="GW173" s="327"/>
      <c r="GX173" s="327"/>
      <c r="GY173" s="327"/>
      <c r="GZ173" s="327"/>
      <c r="HA173" s="327"/>
      <c r="HB173" s="327"/>
      <c r="HC173" s="327"/>
      <c r="HD173" s="327"/>
      <c r="HE173" s="327"/>
      <c r="HF173" s="327"/>
      <c r="HG173" s="327"/>
      <c r="HH173" s="327"/>
      <c r="HI173" s="327"/>
      <c r="HJ173" s="327"/>
      <c r="HK173" s="327"/>
      <c r="HL173" s="327"/>
      <c r="HM173" s="327"/>
      <c r="HN173" s="327"/>
      <c r="HO173" s="327"/>
      <c r="HP173" s="327"/>
      <c r="HQ173" s="327"/>
      <c r="HR173" s="327"/>
      <c r="HS173" s="327"/>
    </row>
    <row r="174" spans="1:227" ht="15" customHeight="1">
      <c r="A174" s="330">
        <v>8</v>
      </c>
      <c r="B174" s="435" t="str">
        <f>VLOOKUP(Ruimtestaat[[#This Row],[Code]],Locaties[[Code]:[Locatie]],2,FALSE)</f>
        <v>IKC De Trinoom</v>
      </c>
      <c r="C174" s="435" t="str">
        <f>VLOOKUP(Ruimtestaat[[#This Row],[Code]],Locaties[[#All],[Code]:[Adres]],4,FALSE)</f>
        <v>Nieuwlandstraat 241</v>
      </c>
      <c r="D174" s="435" t="str">
        <f>VLOOKUP(Ruimtestaat[[#This Row],[Code]],Locaties[[#All],[Code]:[Postcode]],5,FALSE)</f>
        <v>2729 EB</v>
      </c>
      <c r="E174" s="435" t="str">
        <f>VLOOKUP(Ruimtestaat[[#This Row],[Code]],Locaties[#All],6,FALSE)</f>
        <v>Zoetermeer</v>
      </c>
      <c r="F174" s="434"/>
      <c r="G174" s="434" t="s">
        <v>1678</v>
      </c>
      <c r="H174" s="330" t="s">
        <v>1662</v>
      </c>
      <c r="I174" s="450" t="s">
        <v>1663</v>
      </c>
      <c r="J174" s="330">
        <v>6</v>
      </c>
      <c r="K174" s="450" t="str">
        <f>VLOOKUP(Ruimtestaat[[#This Row],[Ruimte code]],Ruimtegroepen[[#All],[Code]:[Ruimte omschrijving]],2,FALSE)</f>
        <v>Gangen/hallen</v>
      </c>
      <c r="L174" s="434" t="s">
        <v>99</v>
      </c>
      <c r="M174" s="437" t="s">
        <v>36</v>
      </c>
      <c r="N174" s="439">
        <v>14</v>
      </c>
      <c r="O174" s="439"/>
      <c r="P174" s="439"/>
      <c r="Q174" s="439"/>
      <c r="R174" s="440" t="str">
        <f>VLOOKUP(Ruimtestaat[[#This Row],[Ruimte code]],Ruimtegroepen[],4,FALSE)</f>
        <v>Ve</v>
      </c>
      <c r="S174" s="434">
        <v>41</v>
      </c>
      <c r="T174" s="434" t="s">
        <v>2</v>
      </c>
      <c r="U174" s="434">
        <f>IF(S174&gt;0,IF(RIGHT(Ruimtestaat[[#This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74" s="434">
        <f>IF(U174&gt;0,VLOOKUP($J174,Ruimtegroepen[],3,FALSE)*VLOOKUP($L174,Vloersoorten[],3,FALSE)*VLOOKUP($T174,Frequenties[],3,FALSE)*VLOOKUP($A174,Locaties[],3,FALSE),0)</f>
        <v>0</v>
      </c>
      <c r="W174" s="434">
        <f>Ruimtestaat[[#This Row],[Uitvoeringen werkdagen]]*Ruimtestaat[[#This Row],[Oppervlak (netto)]]</f>
        <v>2870</v>
      </c>
      <c r="X174" s="441">
        <f>IF(V174&gt;0,Ruimtestaat[[#This Row],[Prest. (m2 /jaar) werkdagen]]/Ruimtestaat[[#This Row],[Norm (m2/uur) werkdagen]],0)</f>
        <v>0</v>
      </c>
      <c r="Y174" s="442">
        <f>Ruimtestaat[[#This Row],[Uitvoeringen werkdagen]]*Ruimtestaat[[#This Row],[Gedeeltelijk]]</f>
        <v>0</v>
      </c>
      <c r="Z174" s="443" t="e">
        <f>IF(U174&gt;0,Ruimtestaat[[#This Row],[Prest. (m2 / jaar) werkdagen gedeeld]]/Ruimtestaat[[#This Row],[Norm (m2/uur) werkdagen]],0)</f>
        <v>#DIV/0!</v>
      </c>
      <c r="AA174" s="441" t="e">
        <f>Ruimtestaat[[#This Row],[uren / jaar werkdagen gedeeld]]*Tariefsopbouw!$E$35</f>
        <v>#DIV/0!</v>
      </c>
      <c r="AB174" s="441">
        <f>Ruimtestaat[[#This Row],[Uitvoeringen werkdagen]]*Ruimtestaat[[#This Row],[BSO]]</f>
        <v>0</v>
      </c>
      <c r="AC174" s="443" t="e">
        <f>IF(U174&gt;0,Ruimtestaat[[#This Row],[Prest. (m2 / jaar) werkdagen BSO]]/Ruimtestaat[[#This Row],[Norm (m2/uur) werkdagen]],0)</f>
        <v>#DIV/0!</v>
      </c>
      <c r="AD174" s="443" t="e">
        <f>Ruimtestaat[[#This Row],[uren / jaar werkdagen BSO]]*Tariefsopbouw!$E$35</f>
        <v>#DIV/0!</v>
      </c>
      <c r="AE174" s="444">
        <f>Ruimtestaat[[#This Row],[uren / jaar werkdagen]]*Tariefsopbouw!$E$35</f>
        <v>0</v>
      </c>
      <c r="AF174" s="434"/>
      <c r="AG174" s="434">
        <f>IF(Ruimtestaat[[#This Row],[Frequentie weekend]]&gt;0,VALUE(LEFT(AF174,1))*S174,0)</f>
        <v>0</v>
      </c>
      <c r="AH174" s="445">
        <f>IF($AG174&gt;0,VLOOKUP($J174,Ruimtegroepen[],3,FALSE)*VLOOKUP($L174,Vloersoorten[],3,FALSE)*VLOOKUP($AF174,Frequenties[],3,FALSE)*VLOOKUP(Ruimtestaat[[#This Row],[Code]],Locaties[],3,FALSE),0)</f>
        <v>0</v>
      </c>
      <c r="AI174" s="445">
        <f>Ruimtestaat[[#This Row],[Uitvoeringen weekend]]*Ruimtestaat[[#This Row],[Oppervlak (netto)]]</f>
        <v>0</v>
      </c>
      <c r="AJ174" s="445">
        <f>IF(AH174&gt;0,Ruimtestaat[[#This Row],[Prest. (m2 /jaar) weekend]]/Ruimtestaat[[#This Row],[Norm (m2/uur) weekend]],0)</f>
        <v>0</v>
      </c>
      <c r="AK174" s="444">
        <f>Ruimtestaat[[#This Row],[uren / jaar weekend]]*Tariefsopbouw!$D$40</f>
        <v>0</v>
      </c>
      <c r="AL174" s="441">
        <f>Ruimtestaat[[#This Row],[Prest. (m2 /jaar) weekend]]+Ruimtestaat[[#This Row],[Prest. (m2 /jaar) werkdagen]]</f>
        <v>2870</v>
      </c>
      <c r="AM174" s="441">
        <f>Ruimtestaat[[#This Row],[uren / jaar weekend]]+Ruimtestaat[[#This Row],[uren / jaar werkdagen]]</f>
        <v>0</v>
      </c>
      <c r="AN174" s="446">
        <f>Ruimtestaat[[#This Row],[kosten / jaar weekend]]+Ruimtestaat[[#This Row],[kosten / jaar werkdagen]]</f>
        <v>0</v>
      </c>
      <c r="AO174" s="446"/>
      <c r="AP174" s="447" t="str">
        <f>IF(Ruimtestaat[[#This Row],[Frequentie werkdagen]]="","",_xlfn.CONCAT(Ruimtestaat[[#This Row],[Ruimte code]],"-",Ruimtestaat[[#This Row],[Frequentie werkdagen]]," ",Ruimtestaat[[#This Row],[Vloer code]]))</f>
        <v>6-5w T</v>
      </c>
      <c r="AQ174" s="448" t="str">
        <f>_xlfn.IFNA(VLOOKUP($AP174,Programma!$F$3:$G$1101,2,0),"")</f>
        <v>_</v>
      </c>
      <c r="AR174" s="448" t="str">
        <f>_xlfn.IFNA(VLOOKUP($AP174,Programma!$F$3:$H$1101,3,0),"")</f>
        <v>5w</v>
      </c>
      <c r="AS174" s="448" t="str">
        <f>_xlfn.IFNA(VLOOKUP($AP174,Programma!$F$3:$I$1101,4,0),"")</f>
        <v>_</v>
      </c>
      <c r="AT174" s="448" t="str">
        <f>_xlfn.IFNA(VLOOKUP($AP174,Programma!$F$3:$J$1101,5,0),"")</f>
        <v>_</v>
      </c>
      <c r="AU174" s="448" t="str">
        <f>_xlfn.IFNA(VLOOKUP($AP174,Programma!$F$3:$K$1101,6,0),"")</f>
        <v>_</v>
      </c>
      <c r="AV174" s="448" t="str">
        <f>_xlfn.IFNA(VLOOKUP($AP174,Programma!$F$3:$L$1101,7,0),"")</f>
        <v>_</v>
      </c>
      <c r="AW174" s="448" t="str">
        <f>_xlfn.IFNA(VLOOKUP($AP174,Programma!$F$3:$M$1101,8,0),"")</f>
        <v>_</v>
      </c>
      <c r="AX174" s="448" t="str">
        <f>_xlfn.IFNA(VLOOKUP($AP174,Programma!$F$3:$N$1101,9,0),"")</f>
        <v>_</v>
      </c>
      <c r="AY174" s="448" t="str">
        <f>_xlfn.IFNA(VLOOKUP($AP174,Programma!$F$3:$O$1101,10,0),"")</f>
        <v>5w</v>
      </c>
      <c r="AZ174" s="448" t="str">
        <f>_xlfn.IFNA(VLOOKUP($AP174,Programma!$F$3:$P$1101,11,0),"")</f>
        <v>5w</v>
      </c>
      <c r="BA174" s="448" t="str">
        <f>_xlfn.IFNA(VLOOKUP($AP174,Programma!$F$3:$Q$1101,12,0),"")</f>
        <v>1w</v>
      </c>
      <c r="BB174" s="448" t="str">
        <f>_xlfn.IFNA(VLOOKUP($AP174,Programma!$F$3:$R$1101,13,0),"")</f>
        <v>1w</v>
      </c>
      <c r="BC174" s="448" t="str">
        <f>_xlfn.IFNA(VLOOKUP($AP174,Programma!$F$3:$S$1101,14,0),"")</f>
        <v>1m</v>
      </c>
      <c r="BD174" s="448" t="str">
        <f>_xlfn.IFNA(VLOOKUP($AP174,Programma!$F$3:$T$1101,15,0),"")</f>
        <v>2j</v>
      </c>
      <c r="BE174" s="448" t="str">
        <f>_xlfn.IFNA(VLOOKUP($AP174,Programma!$F$3:$U$1101,16,0),"")</f>
        <v>1j</v>
      </c>
      <c r="BF174" s="448" t="str">
        <f>_xlfn.IFNA(VLOOKUP($AP174,Programma!$F$3:$V$1101,17,0),"")</f>
        <v>_</v>
      </c>
      <c r="BG174" s="448" t="str">
        <f>_xlfn.IFNA(VLOOKUP($AP174,Programma!$F$3:$W$1101,18,0),"")</f>
        <v>_</v>
      </c>
      <c r="BH174" s="448" t="str">
        <f>_xlfn.IFNA(VLOOKUP($AP174,Programma!$F$3:$X$1101,19,0),"")</f>
        <v>_</v>
      </c>
      <c r="BI174" s="448" t="str">
        <f>_xlfn.IFNA(VLOOKUP($AP174,Programma!$F$3:$Y$1101,20,0),"")</f>
        <v>_</v>
      </c>
      <c r="BJ174" s="449"/>
      <c r="BK174" s="447" t="str">
        <f>IF(Ruimtestaat[[#This Row],[Frequentie weekend]]="","",_xlfn.CONCAT(Ruimtestaat[[#This Row],[Ruimte code]],"-",Ruimtestaat[[#This Row],[Frequentie weekend]]," ",Ruimtestaat[[#This Row],[Vloer code]]))</f>
        <v/>
      </c>
      <c r="BL174" s="448" t="str">
        <f>_xlfn.IFNA(VLOOKUP($BK174,Programma!$F$3:$G$1101,2,0),"")</f>
        <v/>
      </c>
      <c r="BM174" s="448" t="str">
        <f>_xlfn.IFNA(VLOOKUP($BK174,Programma!$F$3:$H$1101,3,0),"")</f>
        <v/>
      </c>
      <c r="BN174" s="448" t="str">
        <f>_xlfn.IFNA(VLOOKUP($BK174,Programma!$F$3:$I$1101,4,0),"")</f>
        <v/>
      </c>
      <c r="BO174" s="448" t="str">
        <f>_xlfn.IFNA(VLOOKUP($BK174,Programma!$F$3:$J$1101,5,0),"")</f>
        <v/>
      </c>
      <c r="BP174" s="448" t="str">
        <f>_xlfn.IFNA(VLOOKUP($BK174,Programma!$F$3:$K$1101,6,0),"")</f>
        <v/>
      </c>
      <c r="BQ174" s="448" t="str">
        <f>_xlfn.IFNA(VLOOKUP($BK174,Programma!$F$3:$L$1101,7,0),"")</f>
        <v/>
      </c>
      <c r="BR174" s="448" t="str">
        <f>_xlfn.IFNA(VLOOKUP($BK174,Programma!$F$3:$M$1101,8,0),"")</f>
        <v/>
      </c>
      <c r="BS174" s="448" t="str">
        <f>_xlfn.IFNA(VLOOKUP($BK174,Programma!$F$3:$N$1101,9,0),"")</f>
        <v/>
      </c>
      <c r="BT174" s="448" t="str">
        <f>_xlfn.IFNA(VLOOKUP($BK174,Programma!$F$3:$O$1101,10,0),"")</f>
        <v/>
      </c>
      <c r="BU174" s="448" t="str">
        <f>_xlfn.IFNA(VLOOKUP($BK174,Programma!$F$3:$P$1101,11,0),"")</f>
        <v/>
      </c>
      <c r="BV174" s="448" t="str">
        <f>_xlfn.IFNA(VLOOKUP($BK174,Programma!$F$3:$Q$1101,12,0),"")</f>
        <v/>
      </c>
      <c r="BW174" s="448" t="str">
        <f>_xlfn.IFNA(VLOOKUP($BK174,Programma!$F$3:$R$1101,13,0),"")</f>
        <v/>
      </c>
      <c r="BX174" s="448" t="str">
        <f>_xlfn.IFNA(VLOOKUP($BK174,Programma!$F$3:$S$1101,14,0),"")</f>
        <v/>
      </c>
      <c r="BY174" s="448" t="str">
        <f>_xlfn.IFNA(VLOOKUP($BK174,Programma!$F$3:$T$1101,15,0),"")</f>
        <v/>
      </c>
      <c r="BZ174" s="448" t="str">
        <f>_xlfn.IFNA(VLOOKUP($BK174,Programma!$F$3:$U$1101,16,0),"")</f>
        <v/>
      </c>
      <c r="CA174" s="448" t="str">
        <f>_xlfn.IFNA(VLOOKUP($BK174,Programma!$F$3:$V$1101,17,0),"")</f>
        <v/>
      </c>
      <c r="CB174" s="448" t="str">
        <f>_xlfn.IFNA(VLOOKUP($BK174,Programma!$F$3:$W$1101,18,0),"")</f>
        <v/>
      </c>
      <c r="CC174" s="448" t="str">
        <f>_xlfn.IFNA(VLOOKUP($BK174,Programma!$F$3:$X$1101,19,0),"")</f>
        <v/>
      </c>
      <c r="CD174" s="448" t="str">
        <f>_xlfn.IFNA(VLOOKUP($BK174,Programma!$F$3:$Y$1101,20,0),"")</f>
        <v/>
      </c>
      <c r="CE174" s="327"/>
      <c r="CF174" s="327"/>
      <c r="CG174" s="327"/>
      <c r="CH174" s="327"/>
      <c r="CI174" s="327"/>
      <c r="CJ174" s="327"/>
      <c r="CK174" s="327"/>
      <c r="CL174" s="327"/>
      <c r="CM174" s="327"/>
      <c r="CN174" s="327"/>
      <c r="CO174" s="327"/>
      <c r="CP174" s="327"/>
      <c r="CQ174" s="327"/>
      <c r="CR174" s="327"/>
      <c r="CS174" s="327"/>
      <c r="CT174" s="327"/>
      <c r="CU174" s="327"/>
      <c r="CV174" s="327"/>
      <c r="CW174" s="327"/>
      <c r="CX174" s="327"/>
      <c r="CY174" s="327"/>
      <c r="CZ174" s="327"/>
      <c r="DA174" s="327"/>
      <c r="DB174" s="327"/>
      <c r="DC174" s="327"/>
      <c r="DD174" s="327"/>
      <c r="DE174" s="327"/>
      <c r="DF174" s="327"/>
      <c r="DG174" s="327"/>
      <c r="DH174" s="327"/>
      <c r="DI174" s="327"/>
      <c r="DJ174" s="327"/>
      <c r="DK174" s="327"/>
      <c r="DL174" s="327"/>
      <c r="DM174" s="327"/>
      <c r="DN174" s="327"/>
      <c r="DO174" s="327"/>
      <c r="DP174" s="327"/>
      <c r="DQ174" s="327"/>
      <c r="DR174" s="327"/>
      <c r="DS174" s="327"/>
      <c r="DT174" s="327"/>
      <c r="DU174" s="327"/>
      <c r="DV174" s="327"/>
      <c r="DW174" s="327"/>
      <c r="DX174" s="327"/>
      <c r="DY174" s="327"/>
      <c r="DZ174" s="327"/>
      <c r="EA174" s="327"/>
      <c r="EB174" s="327"/>
      <c r="EC174" s="327"/>
      <c r="ED174" s="327"/>
      <c r="EE174" s="327"/>
      <c r="EF174" s="327"/>
      <c r="EG174" s="327"/>
      <c r="EH174" s="327"/>
      <c r="EI174" s="327"/>
      <c r="EJ174" s="327"/>
      <c r="EK174" s="327"/>
      <c r="EL174" s="327"/>
      <c r="EM174" s="327"/>
      <c r="EN174" s="327"/>
      <c r="EO174" s="327"/>
      <c r="EP174" s="327"/>
      <c r="EQ174" s="327"/>
      <c r="ER174" s="327"/>
      <c r="ES174" s="327"/>
      <c r="ET174" s="327"/>
      <c r="EU174" s="327"/>
      <c r="EV174" s="327"/>
      <c r="EW174" s="327"/>
      <c r="EX174" s="327"/>
      <c r="EY174" s="327"/>
      <c r="EZ174" s="327"/>
      <c r="FA174" s="327"/>
      <c r="FB174" s="327"/>
      <c r="FC174" s="327"/>
      <c r="FD174" s="327"/>
      <c r="FE174" s="327"/>
      <c r="FF174" s="327"/>
      <c r="FG174" s="327"/>
      <c r="FH174" s="327"/>
      <c r="FI174" s="327"/>
      <c r="FJ174" s="327"/>
      <c r="FK174" s="327"/>
      <c r="FL174" s="327"/>
      <c r="FM174" s="327"/>
      <c r="FN174" s="327"/>
      <c r="FO174" s="327"/>
      <c r="FP174" s="327"/>
      <c r="FQ174" s="327"/>
      <c r="FR174" s="327"/>
      <c r="FS174" s="327"/>
      <c r="FT174" s="327"/>
      <c r="FU174" s="327"/>
      <c r="FV174" s="327"/>
      <c r="FW174" s="327"/>
      <c r="FX174" s="327"/>
      <c r="FY174" s="327"/>
      <c r="FZ174" s="327"/>
      <c r="GA174" s="327"/>
      <c r="GB174" s="327"/>
      <c r="GC174" s="327"/>
      <c r="GD174" s="327"/>
      <c r="GE174" s="327"/>
      <c r="GF174" s="327"/>
      <c r="GG174" s="327"/>
      <c r="GH174" s="327"/>
      <c r="GI174" s="327"/>
      <c r="GJ174" s="327"/>
      <c r="GK174" s="327"/>
      <c r="GL174" s="327"/>
      <c r="GM174" s="327"/>
      <c r="GN174" s="327"/>
      <c r="GO174" s="327"/>
      <c r="GP174" s="327"/>
      <c r="GQ174" s="327"/>
      <c r="GR174" s="327"/>
      <c r="GS174" s="327"/>
      <c r="GT174" s="327"/>
      <c r="GU174" s="327"/>
      <c r="GV174" s="327"/>
      <c r="GW174" s="327"/>
      <c r="GX174" s="327"/>
      <c r="GY174" s="327"/>
      <c r="GZ174" s="327"/>
      <c r="HA174" s="327"/>
      <c r="HB174" s="327"/>
      <c r="HC174" s="327"/>
      <c r="HD174" s="327"/>
      <c r="HE174" s="327"/>
      <c r="HF174" s="327"/>
      <c r="HG174" s="327"/>
      <c r="HH174" s="327"/>
      <c r="HI174" s="327"/>
      <c r="HJ174" s="327"/>
      <c r="HK174" s="327"/>
      <c r="HL174" s="327"/>
      <c r="HM174" s="327"/>
      <c r="HN174" s="327"/>
      <c r="HO174" s="327"/>
      <c r="HP174" s="327"/>
      <c r="HQ174" s="327"/>
      <c r="HR174" s="327"/>
      <c r="HS174" s="327"/>
    </row>
    <row r="175" spans="1:227" ht="15" customHeight="1">
      <c r="A175" s="330">
        <v>8</v>
      </c>
      <c r="B175" s="435" t="str">
        <f>VLOOKUP(Ruimtestaat[[#This Row],[Code]],Locaties[[Code]:[Locatie]],2,FALSE)</f>
        <v>IKC De Trinoom</v>
      </c>
      <c r="C175" s="435" t="str">
        <f>VLOOKUP(Ruimtestaat[[#This Row],[Code]],Locaties[[#All],[Code]:[Adres]],4,FALSE)</f>
        <v>Nieuwlandstraat 241</v>
      </c>
      <c r="D175" s="435" t="str">
        <f>VLOOKUP(Ruimtestaat[[#This Row],[Code]],Locaties[[#All],[Code]:[Postcode]],5,FALSE)</f>
        <v>2729 EB</v>
      </c>
      <c r="E175" s="435" t="str">
        <f>VLOOKUP(Ruimtestaat[[#This Row],[Code]],Locaties[#All],6,FALSE)</f>
        <v>Zoetermeer</v>
      </c>
      <c r="F175" s="434"/>
      <c r="G175" s="434" t="s">
        <v>1678</v>
      </c>
      <c r="H175" s="330" t="s">
        <v>1665</v>
      </c>
      <c r="I175" s="450" t="s">
        <v>1774</v>
      </c>
      <c r="J175" s="330">
        <v>12</v>
      </c>
      <c r="K175" s="450" t="str">
        <f>VLOOKUP(Ruimtestaat[[#This Row],[Ruimte code]],Ruimtegroepen[[#All],[Code]:[Ruimte omschrijving]],2,FALSE)</f>
        <v>Kantine/Aula</v>
      </c>
      <c r="L175" s="434" t="s">
        <v>100</v>
      </c>
      <c r="M175" s="437" t="s">
        <v>1759</v>
      </c>
      <c r="N175" s="439">
        <v>175</v>
      </c>
      <c r="O175" s="439"/>
      <c r="P175" s="439"/>
      <c r="Q175" s="439"/>
      <c r="R175" s="440" t="str">
        <f>VLOOKUP(Ruimtestaat[[#This Row],[Ruimte code]],Ruimtegroepen[],4,FALSE)</f>
        <v>Ve</v>
      </c>
      <c r="S175" s="434">
        <v>41</v>
      </c>
      <c r="T175" s="434" t="s">
        <v>2</v>
      </c>
      <c r="U175" s="434">
        <f>IF(S175&gt;0,IF(RIGHT(Ruimtestaat[[#This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75" s="434">
        <f>IF(U175&gt;0,VLOOKUP($J175,Ruimtegroepen[],3,FALSE)*VLOOKUP($L175,Vloersoorten[],3,FALSE)*VLOOKUP($T175,Frequenties[],3,FALSE)*VLOOKUP($A175,Locaties[],3,FALSE),0)</f>
        <v>0</v>
      </c>
      <c r="W175" s="434">
        <f>Ruimtestaat[[#This Row],[Uitvoeringen werkdagen]]*Ruimtestaat[[#This Row],[Oppervlak (netto)]]</f>
        <v>35875</v>
      </c>
      <c r="X175" s="441">
        <f>IF(V175&gt;0,Ruimtestaat[[#This Row],[Prest. (m2 /jaar) werkdagen]]/Ruimtestaat[[#This Row],[Norm (m2/uur) werkdagen]],0)</f>
        <v>0</v>
      </c>
      <c r="Y175" s="442">
        <f>Ruimtestaat[[#This Row],[Uitvoeringen werkdagen]]*Ruimtestaat[[#This Row],[Gedeeltelijk]]</f>
        <v>0</v>
      </c>
      <c r="Z175" s="443" t="e">
        <f>IF(U175&gt;0,Ruimtestaat[[#This Row],[Prest. (m2 / jaar) werkdagen gedeeld]]/Ruimtestaat[[#This Row],[Norm (m2/uur) werkdagen]],0)</f>
        <v>#DIV/0!</v>
      </c>
      <c r="AA175" s="441" t="e">
        <f>Ruimtestaat[[#This Row],[uren / jaar werkdagen gedeeld]]*Tariefsopbouw!$E$35</f>
        <v>#DIV/0!</v>
      </c>
      <c r="AB175" s="441">
        <f>Ruimtestaat[[#This Row],[Uitvoeringen werkdagen]]*Ruimtestaat[[#This Row],[BSO]]</f>
        <v>0</v>
      </c>
      <c r="AC175" s="443" t="e">
        <f>IF(U175&gt;0,Ruimtestaat[[#This Row],[Prest. (m2 / jaar) werkdagen BSO]]/Ruimtestaat[[#This Row],[Norm (m2/uur) werkdagen]],0)</f>
        <v>#DIV/0!</v>
      </c>
      <c r="AD175" s="443" t="e">
        <f>Ruimtestaat[[#This Row],[uren / jaar werkdagen BSO]]*Tariefsopbouw!$E$35</f>
        <v>#DIV/0!</v>
      </c>
      <c r="AE175" s="444">
        <f>Ruimtestaat[[#This Row],[uren / jaar werkdagen]]*Tariefsopbouw!$E$35</f>
        <v>0</v>
      </c>
      <c r="AF175" s="434"/>
      <c r="AG175" s="434">
        <f>IF(Ruimtestaat[[#This Row],[Frequentie weekend]]&gt;0,VALUE(LEFT(AF175,1))*S175,0)</f>
        <v>0</v>
      </c>
      <c r="AH175" s="445">
        <f>IF($AG175&gt;0,VLOOKUP($J175,Ruimtegroepen[],3,FALSE)*VLOOKUP($L175,Vloersoorten[],3,FALSE)*VLOOKUP($AF175,Frequenties[],3,FALSE)*VLOOKUP(Ruimtestaat[[#This Row],[Code]],Locaties[],3,FALSE),0)</f>
        <v>0</v>
      </c>
      <c r="AI175" s="445">
        <f>Ruimtestaat[[#This Row],[Uitvoeringen weekend]]*Ruimtestaat[[#This Row],[Oppervlak (netto)]]</f>
        <v>0</v>
      </c>
      <c r="AJ175" s="445">
        <f>IF(AH175&gt;0,Ruimtestaat[[#This Row],[Prest. (m2 /jaar) weekend]]/Ruimtestaat[[#This Row],[Norm (m2/uur) weekend]],0)</f>
        <v>0</v>
      </c>
      <c r="AK175" s="444">
        <f>Ruimtestaat[[#This Row],[uren / jaar weekend]]*Tariefsopbouw!$D$40</f>
        <v>0</v>
      </c>
      <c r="AL175" s="441">
        <f>Ruimtestaat[[#This Row],[Prest. (m2 /jaar) weekend]]+Ruimtestaat[[#This Row],[Prest. (m2 /jaar) werkdagen]]</f>
        <v>35875</v>
      </c>
      <c r="AM175" s="441">
        <f>Ruimtestaat[[#This Row],[uren / jaar weekend]]+Ruimtestaat[[#This Row],[uren / jaar werkdagen]]</f>
        <v>0</v>
      </c>
      <c r="AN175" s="446">
        <f>Ruimtestaat[[#This Row],[kosten / jaar weekend]]+Ruimtestaat[[#This Row],[kosten / jaar werkdagen]]</f>
        <v>0</v>
      </c>
      <c r="AO175" s="446"/>
      <c r="AP175" s="447" t="str">
        <f>IF(Ruimtestaat[[#This Row],[Frequentie werkdagen]]="","",_xlfn.CONCAT(Ruimtestaat[[#This Row],[Ruimte code]],"-",Ruimtestaat[[#This Row],[Frequentie werkdagen]]," ",Ruimtestaat[[#This Row],[Vloer code]]))</f>
        <v>12-5w L</v>
      </c>
      <c r="AQ175" s="448" t="str">
        <f>_xlfn.IFNA(VLOOKUP($AP175,Programma!$F$3:$G$1101,2,0),"")</f>
        <v>_</v>
      </c>
      <c r="AR175" s="448" t="str">
        <f>_xlfn.IFNA(VLOOKUP($AP175,Programma!$F$3:$H$1101,3,0),"")</f>
        <v>_</v>
      </c>
      <c r="AS175" s="448" t="str">
        <f>_xlfn.IFNA(VLOOKUP($AP175,Programma!$F$3:$I$1101,4,0),"")</f>
        <v>_</v>
      </c>
      <c r="AT175" s="448" t="str">
        <f>_xlfn.IFNA(VLOOKUP($AP175,Programma!$F$3:$J$1101,5,0),"")</f>
        <v>5w</v>
      </c>
      <c r="AU175" s="448" t="str">
        <f>_xlfn.IFNA(VLOOKUP($AP175,Programma!$F$3:$K$1101,6,0),"")</f>
        <v>_</v>
      </c>
      <c r="AV175" s="448" t="str">
        <f>_xlfn.IFNA(VLOOKUP($AP175,Programma!$F$3:$L$1101,7,0),"")</f>
        <v>_</v>
      </c>
      <c r="AW175" s="448" t="str">
        <f>_xlfn.IFNA(VLOOKUP($AP175,Programma!$F$3:$M$1101,8,0),"")</f>
        <v>_</v>
      </c>
      <c r="AX175" s="448" t="str">
        <f>_xlfn.IFNA(VLOOKUP($AP175,Programma!$F$3:$N$1101,9,0),"")</f>
        <v>_</v>
      </c>
      <c r="AY175" s="448" t="str">
        <f>_xlfn.IFNA(VLOOKUP($AP175,Programma!$F$3:$O$1101,10,0),"")</f>
        <v>5w</v>
      </c>
      <c r="AZ175" s="448" t="str">
        <f>_xlfn.IFNA(VLOOKUP($AP175,Programma!$F$3:$P$1101,11,0),"")</f>
        <v>5w</v>
      </c>
      <c r="BA175" s="448" t="str">
        <f>_xlfn.IFNA(VLOOKUP($AP175,Programma!$F$3:$Q$1101,12,0),"")</f>
        <v>1w</v>
      </c>
      <c r="BB175" s="448" t="str">
        <f>_xlfn.IFNA(VLOOKUP($AP175,Programma!$F$3:$R$1101,13,0),"")</f>
        <v>1w</v>
      </c>
      <c r="BC175" s="448" t="str">
        <f>_xlfn.IFNA(VLOOKUP($AP175,Programma!$F$3:$S$1101,14,0),"")</f>
        <v>1m</v>
      </c>
      <c r="BD175" s="448" t="str">
        <f>_xlfn.IFNA(VLOOKUP($AP175,Programma!$F$3:$T$1101,15,0),"")</f>
        <v>2j</v>
      </c>
      <c r="BE175" s="448" t="str">
        <f>_xlfn.IFNA(VLOOKUP($AP175,Programma!$F$3:$U$1101,16,0),"")</f>
        <v>1j</v>
      </c>
      <c r="BF175" s="448" t="str">
        <f>_xlfn.IFNA(VLOOKUP($AP175,Programma!$F$3:$V$1101,17,0),"")</f>
        <v>_</v>
      </c>
      <c r="BG175" s="448" t="str">
        <f>_xlfn.IFNA(VLOOKUP($AP175,Programma!$F$3:$W$1101,18,0),"")</f>
        <v>_</v>
      </c>
      <c r="BH175" s="448" t="str">
        <f>_xlfn.IFNA(VLOOKUP($AP175,Programma!$F$3:$X$1101,19,0),"")</f>
        <v>_</v>
      </c>
      <c r="BI175" s="448" t="str">
        <f>_xlfn.IFNA(VLOOKUP($AP175,Programma!$F$3:$Y$1101,20,0),"")</f>
        <v>_</v>
      </c>
      <c r="BJ175" s="449"/>
      <c r="BK175" s="447" t="str">
        <f>IF(Ruimtestaat[[#This Row],[Frequentie weekend]]="","",_xlfn.CONCAT(Ruimtestaat[[#This Row],[Ruimte code]],"-",Ruimtestaat[[#This Row],[Frequentie weekend]]," ",Ruimtestaat[[#This Row],[Vloer code]]))</f>
        <v/>
      </c>
      <c r="BL175" s="448" t="str">
        <f>_xlfn.IFNA(VLOOKUP($BK175,Programma!$F$3:$G$1101,2,0),"")</f>
        <v/>
      </c>
      <c r="BM175" s="448" t="str">
        <f>_xlfn.IFNA(VLOOKUP($BK175,Programma!$F$3:$H$1101,3,0),"")</f>
        <v/>
      </c>
      <c r="BN175" s="448" t="str">
        <f>_xlfn.IFNA(VLOOKUP($BK175,Programma!$F$3:$I$1101,4,0),"")</f>
        <v/>
      </c>
      <c r="BO175" s="448" t="str">
        <f>_xlfn.IFNA(VLOOKUP($BK175,Programma!$F$3:$J$1101,5,0),"")</f>
        <v/>
      </c>
      <c r="BP175" s="448" t="str">
        <f>_xlfn.IFNA(VLOOKUP($BK175,Programma!$F$3:$K$1101,6,0),"")</f>
        <v/>
      </c>
      <c r="BQ175" s="448" t="str">
        <f>_xlfn.IFNA(VLOOKUP($BK175,Programma!$F$3:$L$1101,7,0),"")</f>
        <v/>
      </c>
      <c r="BR175" s="448" t="str">
        <f>_xlfn.IFNA(VLOOKUP($BK175,Programma!$F$3:$M$1101,8,0),"")</f>
        <v/>
      </c>
      <c r="BS175" s="448" t="str">
        <f>_xlfn.IFNA(VLOOKUP($BK175,Programma!$F$3:$N$1101,9,0),"")</f>
        <v/>
      </c>
      <c r="BT175" s="448" t="str">
        <f>_xlfn.IFNA(VLOOKUP($BK175,Programma!$F$3:$O$1101,10,0),"")</f>
        <v/>
      </c>
      <c r="BU175" s="448" t="str">
        <f>_xlfn.IFNA(VLOOKUP($BK175,Programma!$F$3:$P$1101,11,0),"")</f>
        <v/>
      </c>
      <c r="BV175" s="448" t="str">
        <f>_xlfn.IFNA(VLOOKUP($BK175,Programma!$F$3:$Q$1101,12,0),"")</f>
        <v/>
      </c>
      <c r="BW175" s="448" t="str">
        <f>_xlfn.IFNA(VLOOKUP($BK175,Programma!$F$3:$R$1101,13,0),"")</f>
        <v/>
      </c>
      <c r="BX175" s="448" t="str">
        <f>_xlfn.IFNA(VLOOKUP($BK175,Programma!$F$3:$S$1101,14,0),"")</f>
        <v/>
      </c>
      <c r="BY175" s="448" t="str">
        <f>_xlfn.IFNA(VLOOKUP($BK175,Programma!$F$3:$T$1101,15,0),"")</f>
        <v/>
      </c>
      <c r="BZ175" s="448" t="str">
        <f>_xlfn.IFNA(VLOOKUP($BK175,Programma!$F$3:$U$1101,16,0),"")</f>
        <v/>
      </c>
      <c r="CA175" s="448" t="str">
        <f>_xlfn.IFNA(VLOOKUP($BK175,Programma!$F$3:$V$1101,17,0),"")</f>
        <v/>
      </c>
      <c r="CB175" s="448" t="str">
        <f>_xlfn.IFNA(VLOOKUP($BK175,Programma!$F$3:$W$1101,18,0),"")</f>
        <v/>
      </c>
      <c r="CC175" s="448" t="str">
        <f>_xlfn.IFNA(VLOOKUP($BK175,Programma!$F$3:$X$1101,19,0),"")</f>
        <v/>
      </c>
      <c r="CD175" s="448" t="str">
        <f>_xlfn.IFNA(VLOOKUP($BK175,Programma!$F$3:$Y$1101,20,0),"")</f>
        <v/>
      </c>
      <c r="CE175" s="327"/>
      <c r="CF175" s="327"/>
      <c r="CG175" s="327"/>
      <c r="CH175" s="327"/>
      <c r="CI175" s="327"/>
      <c r="CJ175" s="327"/>
      <c r="CK175" s="327"/>
      <c r="CL175" s="327"/>
      <c r="CM175" s="327"/>
      <c r="CN175" s="327"/>
      <c r="CO175" s="327"/>
      <c r="CP175" s="327"/>
      <c r="CQ175" s="327"/>
      <c r="CR175" s="327"/>
      <c r="CS175" s="327"/>
      <c r="CT175" s="327"/>
      <c r="CU175" s="327"/>
      <c r="CV175" s="327"/>
      <c r="CW175" s="327"/>
      <c r="CX175" s="327"/>
      <c r="CY175" s="327"/>
      <c r="CZ175" s="327"/>
      <c r="DA175" s="327"/>
      <c r="DB175" s="327"/>
      <c r="DC175" s="327"/>
      <c r="DD175" s="327"/>
      <c r="DE175" s="327"/>
      <c r="DF175" s="327"/>
      <c r="DG175" s="327"/>
      <c r="DH175" s="327"/>
      <c r="DI175" s="327"/>
      <c r="DJ175" s="327"/>
      <c r="DK175" s="327"/>
      <c r="DL175" s="327"/>
      <c r="DM175" s="327"/>
      <c r="DN175" s="327"/>
      <c r="DO175" s="327"/>
      <c r="DP175" s="327"/>
      <c r="DQ175" s="327"/>
      <c r="DR175" s="327"/>
      <c r="DS175" s="327"/>
      <c r="DT175" s="327"/>
      <c r="DU175" s="327"/>
      <c r="DV175" s="327"/>
      <c r="DW175" s="327"/>
      <c r="DX175" s="327"/>
      <c r="DY175" s="327"/>
      <c r="DZ175" s="327"/>
      <c r="EA175" s="327"/>
      <c r="EB175" s="327"/>
      <c r="EC175" s="327"/>
      <c r="ED175" s="327"/>
      <c r="EE175" s="327"/>
      <c r="EF175" s="327"/>
      <c r="EG175" s="327"/>
      <c r="EH175" s="327"/>
      <c r="EI175" s="327"/>
      <c r="EJ175" s="327"/>
      <c r="EK175" s="327"/>
      <c r="EL175" s="327"/>
      <c r="EM175" s="327"/>
      <c r="EN175" s="327"/>
      <c r="EO175" s="327"/>
      <c r="EP175" s="327"/>
      <c r="EQ175" s="327"/>
      <c r="ER175" s="327"/>
      <c r="ES175" s="327"/>
      <c r="ET175" s="327"/>
      <c r="EU175" s="327"/>
      <c r="EV175" s="327"/>
      <c r="EW175" s="327"/>
      <c r="EX175" s="327"/>
      <c r="EY175" s="327"/>
      <c r="EZ175" s="327"/>
      <c r="FA175" s="327"/>
      <c r="FB175" s="327"/>
      <c r="FC175" s="327"/>
      <c r="FD175" s="327"/>
      <c r="FE175" s="327"/>
      <c r="FF175" s="327"/>
      <c r="FG175" s="327"/>
      <c r="FH175" s="327"/>
      <c r="FI175" s="327"/>
      <c r="FJ175" s="327"/>
      <c r="FK175" s="327"/>
      <c r="FL175" s="327"/>
      <c r="FM175" s="327"/>
      <c r="FN175" s="327"/>
      <c r="FO175" s="327"/>
      <c r="FP175" s="327"/>
      <c r="FQ175" s="327"/>
      <c r="FR175" s="327"/>
      <c r="FS175" s="327"/>
      <c r="FT175" s="327"/>
      <c r="FU175" s="327"/>
      <c r="FV175" s="327"/>
      <c r="FW175" s="327"/>
      <c r="FX175" s="327"/>
      <c r="FY175" s="327"/>
      <c r="FZ175" s="327"/>
      <c r="GA175" s="327"/>
      <c r="GB175" s="327"/>
      <c r="GC175" s="327"/>
      <c r="GD175" s="327"/>
      <c r="GE175" s="327"/>
      <c r="GF175" s="327"/>
      <c r="GG175" s="327"/>
      <c r="GH175" s="327"/>
      <c r="GI175" s="327"/>
      <c r="GJ175" s="327"/>
      <c r="GK175" s="327"/>
      <c r="GL175" s="327"/>
      <c r="GM175" s="327"/>
      <c r="GN175" s="327"/>
      <c r="GO175" s="327"/>
      <c r="GP175" s="327"/>
      <c r="GQ175" s="327"/>
      <c r="GR175" s="327"/>
      <c r="GS175" s="327"/>
      <c r="GT175" s="327"/>
      <c r="GU175" s="327"/>
      <c r="GV175" s="327"/>
      <c r="GW175" s="327"/>
      <c r="GX175" s="327"/>
      <c r="GY175" s="327"/>
      <c r="GZ175" s="327"/>
      <c r="HA175" s="327"/>
      <c r="HB175" s="327"/>
      <c r="HC175" s="327"/>
      <c r="HD175" s="327"/>
      <c r="HE175" s="327"/>
      <c r="HF175" s="327"/>
      <c r="HG175" s="327"/>
      <c r="HH175" s="327"/>
      <c r="HI175" s="327"/>
      <c r="HJ175" s="327"/>
      <c r="HK175" s="327"/>
      <c r="HL175" s="327"/>
      <c r="HM175" s="327"/>
      <c r="HN175" s="327"/>
      <c r="HO175" s="327"/>
      <c r="HP175" s="327"/>
      <c r="HQ175" s="327"/>
      <c r="HR175" s="327"/>
      <c r="HS175" s="327"/>
    </row>
    <row r="176" spans="1:227" ht="15" customHeight="1">
      <c r="A176" s="330">
        <v>8</v>
      </c>
      <c r="B176" s="435" t="str">
        <f>VLOOKUP(Ruimtestaat[[#This Row],[Code]],Locaties[[Code]:[Locatie]],2,FALSE)</f>
        <v>IKC De Trinoom</v>
      </c>
      <c r="C176" s="435" t="str">
        <f>VLOOKUP(Ruimtestaat[[#This Row],[Code]],Locaties[[#All],[Code]:[Adres]],4,FALSE)</f>
        <v>Nieuwlandstraat 241</v>
      </c>
      <c r="D176" s="435" t="str">
        <f>VLOOKUP(Ruimtestaat[[#This Row],[Code]],Locaties[[#All],[Code]:[Postcode]],5,FALSE)</f>
        <v>2729 EB</v>
      </c>
      <c r="E176" s="435" t="str">
        <f>VLOOKUP(Ruimtestaat[[#This Row],[Code]],Locaties[#All],6,FALSE)</f>
        <v>Zoetermeer</v>
      </c>
      <c r="F176" s="450" t="s">
        <v>1705</v>
      </c>
      <c r="G176" s="434" t="s">
        <v>1678</v>
      </c>
      <c r="H176" s="330" t="s">
        <v>1667</v>
      </c>
      <c r="I176" s="450" t="s">
        <v>1679</v>
      </c>
      <c r="J176" s="330">
        <v>8</v>
      </c>
      <c r="K176" s="450" t="str">
        <f>VLOOKUP(Ruimtestaat[[#This Row],[Ruimte code]],Ruimtegroepen[[#All],[Code]:[Ruimte omschrijving]],2,FALSE)</f>
        <v>Kinderopvang</v>
      </c>
      <c r="L176" s="434" t="s">
        <v>100</v>
      </c>
      <c r="M176" s="437" t="s">
        <v>1759</v>
      </c>
      <c r="N176" s="439"/>
      <c r="O176" s="439"/>
      <c r="P176" s="439"/>
      <c r="Q176" s="439">
        <v>56</v>
      </c>
      <c r="R176" s="440" t="str">
        <f>VLOOKUP(Ruimtestaat[[#This Row],[Ruimte code]],Ruimtegroepen[],4,FALSE)</f>
        <v>Le</v>
      </c>
      <c r="S176" s="434">
        <v>51</v>
      </c>
      <c r="T176" s="434" t="s">
        <v>20</v>
      </c>
      <c r="U176" s="434">
        <f>IF(S176&gt;0,IF(RIGHT(Ruimtestaat[[#This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176" s="434">
        <f>IF(U176&gt;0,VLOOKUP($J176,Ruimtegroepen[],3,FALSE)*VLOOKUP($L176,Vloersoorten[],3,FALSE)*VLOOKUP($T176,Frequenties[],3,FALSE)*VLOOKUP($A176,Locaties[],3,FALSE),0)</f>
        <v>0</v>
      </c>
      <c r="W176" s="434">
        <f>Ruimtestaat[[#This Row],[Uitvoeringen werkdagen]]*Ruimtestaat[[#This Row],[Oppervlak (netto)]]</f>
        <v>0</v>
      </c>
      <c r="X176" s="441">
        <f>IF(V176&gt;0,Ruimtestaat[[#This Row],[Prest. (m2 /jaar) werkdagen]]/Ruimtestaat[[#This Row],[Norm (m2/uur) werkdagen]],0)</f>
        <v>0</v>
      </c>
      <c r="Y176" s="442">
        <f>Ruimtestaat[[#This Row],[Uitvoeringen werkdagen]]*Ruimtestaat[[#This Row],[Gedeeltelijk]]</f>
        <v>0</v>
      </c>
      <c r="Z176" s="443" t="e">
        <f>IF(U176&gt;0,Ruimtestaat[[#This Row],[Prest. (m2 / jaar) werkdagen gedeeld]]/Ruimtestaat[[#This Row],[Norm (m2/uur) werkdagen]],0)</f>
        <v>#DIV/0!</v>
      </c>
      <c r="AA176" s="441" t="e">
        <f>Ruimtestaat[[#This Row],[uren / jaar werkdagen gedeeld]]*Tariefsopbouw!$E$35</f>
        <v>#DIV/0!</v>
      </c>
      <c r="AB176" s="441">
        <f>Ruimtestaat[[#This Row],[Uitvoeringen werkdagen]]*Ruimtestaat[[#This Row],[BSO]]</f>
        <v>11424</v>
      </c>
      <c r="AC176" s="443" t="e">
        <f>IF(U176&gt;0,Ruimtestaat[[#This Row],[Prest. (m2 / jaar) werkdagen BSO]]/Ruimtestaat[[#This Row],[Norm (m2/uur) werkdagen]],0)</f>
        <v>#DIV/0!</v>
      </c>
      <c r="AD176" s="443" t="e">
        <f>Ruimtestaat[[#This Row],[uren / jaar werkdagen BSO]]*Tariefsopbouw!$E$35</f>
        <v>#DIV/0!</v>
      </c>
      <c r="AE176" s="444">
        <f>Ruimtestaat[[#This Row],[uren / jaar werkdagen]]*Tariefsopbouw!$E$35</f>
        <v>0</v>
      </c>
      <c r="AF176" s="434"/>
      <c r="AG176" s="434">
        <f>IF(Ruimtestaat[[#This Row],[Frequentie weekend]]&gt;0,VALUE(LEFT(AF176,1))*S176,0)</f>
        <v>0</v>
      </c>
      <c r="AH176" s="445">
        <f>IF($AG176&gt;0,VLOOKUP($J176,Ruimtegroepen[],3,FALSE)*VLOOKUP($L176,Vloersoorten[],3,FALSE)*VLOOKUP($AF176,Frequenties[],3,FALSE)*VLOOKUP(Ruimtestaat[[#This Row],[Code]],Locaties[],3,FALSE),0)</f>
        <v>0</v>
      </c>
      <c r="AI176" s="445">
        <f>Ruimtestaat[[#This Row],[Uitvoeringen weekend]]*Ruimtestaat[[#This Row],[Oppervlak (netto)]]</f>
        <v>0</v>
      </c>
      <c r="AJ176" s="445">
        <f>IF(AH176&gt;0,Ruimtestaat[[#This Row],[Prest. (m2 /jaar) weekend]]/Ruimtestaat[[#This Row],[Norm (m2/uur) weekend]],0)</f>
        <v>0</v>
      </c>
      <c r="AK176" s="444">
        <f>Ruimtestaat[[#This Row],[uren / jaar weekend]]*Tariefsopbouw!$D$40</f>
        <v>0</v>
      </c>
      <c r="AL176" s="441">
        <f>Ruimtestaat[[#This Row],[Prest. (m2 /jaar) weekend]]+Ruimtestaat[[#This Row],[Prest. (m2 /jaar) werkdagen]]</f>
        <v>0</v>
      </c>
      <c r="AM176" s="441">
        <f>Ruimtestaat[[#This Row],[uren / jaar weekend]]+Ruimtestaat[[#This Row],[uren / jaar werkdagen]]</f>
        <v>0</v>
      </c>
      <c r="AN176" s="446">
        <f>Ruimtestaat[[#This Row],[kosten / jaar weekend]]+Ruimtestaat[[#This Row],[kosten / jaar werkdagen]]</f>
        <v>0</v>
      </c>
      <c r="AO176" s="446"/>
      <c r="AP176" s="447" t="str">
        <f>IF(Ruimtestaat[[#This Row],[Frequentie werkdagen]]="","",_xlfn.CONCAT(Ruimtestaat[[#This Row],[Ruimte code]],"-",Ruimtestaat[[#This Row],[Frequentie werkdagen]]," ",Ruimtestaat[[#This Row],[Vloer code]]))</f>
        <v>8-4w L</v>
      </c>
      <c r="AQ176" s="448" t="str">
        <f>_xlfn.IFNA(VLOOKUP($AP176,Programma!$F$3:$G$1101,2,0),"")</f>
        <v>_</v>
      </c>
      <c r="AR176" s="448" t="str">
        <f>_xlfn.IFNA(VLOOKUP($AP176,Programma!$F$3:$H$1101,3,0),"")</f>
        <v>_</v>
      </c>
      <c r="AS176" s="448" t="str">
        <f>_xlfn.IFNA(VLOOKUP($AP176,Programma!$F$3:$I$1101,4,0),"")</f>
        <v>3w</v>
      </c>
      <c r="AT176" s="448" t="str">
        <f>_xlfn.IFNA(VLOOKUP($AP176,Programma!$F$3:$J$1101,5,0),"")</f>
        <v>1w</v>
      </c>
      <c r="AU176" s="448" t="str">
        <f>_xlfn.IFNA(VLOOKUP($AP176,Programma!$F$3:$K$1101,6,0),"")</f>
        <v>_</v>
      </c>
      <c r="AV176" s="448" t="str">
        <f>_xlfn.IFNA(VLOOKUP($AP176,Programma!$F$3:$L$1101,7,0),"")</f>
        <v>_</v>
      </c>
      <c r="AW176" s="448" t="str">
        <f>_xlfn.IFNA(VLOOKUP($AP176,Programma!$F$3:$M$1101,8,0),"")</f>
        <v>_</v>
      </c>
      <c r="AX176" s="448" t="str">
        <f>_xlfn.IFNA(VLOOKUP($AP176,Programma!$F$3:$N$1101,9,0),"")</f>
        <v>_</v>
      </c>
      <c r="AY176" s="448" t="str">
        <f>_xlfn.IFNA(VLOOKUP($AP176,Programma!$F$3:$O$1101,10,0),"")</f>
        <v>4w</v>
      </c>
      <c r="AZ176" s="448" t="str">
        <f>_xlfn.IFNA(VLOOKUP($AP176,Programma!$F$3:$P$1101,11,0),"")</f>
        <v>4w</v>
      </c>
      <c r="BA176" s="448" t="str">
        <f>_xlfn.IFNA(VLOOKUP($AP176,Programma!$F$3:$Q$1101,12,0),"")</f>
        <v>1w</v>
      </c>
      <c r="BB176" s="448" t="str">
        <f>_xlfn.IFNA(VLOOKUP($AP176,Programma!$F$3:$R$1101,13,0),"")</f>
        <v>1w</v>
      </c>
      <c r="BC176" s="448" t="str">
        <f>_xlfn.IFNA(VLOOKUP($AP176,Programma!$F$3:$S$1101,14,0),"")</f>
        <v>1m</v>
      </c>
      <c r="BD176" s="448" t="str">
        <f>_xlfn.IFNA(VLOOKUP($AP176,Programma!$F$3:$T$1101,15,0),"")</f>
        <v>2j</v>
      </c>
      <c r="BE176" s="448" t="str">
        <f>_xlfn.IFNA(VLOOKUP($AP176,Programma!$F$3:$U$1101,16,0),"")</f>
        <v>1j</v>
      </c>
      <c r="BF176" s="448" t="str">
        <f>_xlfn.IFNA(VLOOKUP($AP176,Programma!$F$3:$V$1101,17,0),"")</f>
        <v>_</v>
      </c>
      <c r="BG176" s="448" t="str">
        <f>_xlfn.IFNA(VLOOKUP($AP176,Programma!$F$3:$W$1101,18,0),"")</f>
        <v>_</v>
      </c>
      <c r="BH176" s="448" t="str">
        <f>_xlfn.IFNA(VLOOKUP($AP176,Programma!$F$3:$X$1101,19,0),"")</f>
        <v>_</v>
      </c>
      <c r="BI176" s="448" t="str">
        <f>_xlfn.IFNA(VLOOKUP($AP176,Programma!$F$3:$Y$1101,20,0),"")</f>
        <v>_</v>
      </c>
      <c r="BJ176" s="449"/>
      <c r="BK176" s="447" t="str">
        <f>IF(Ruimtestaat[[#This Row],[Frequentie weekend]]="","",_xlfn.CONCAT(Ruimtestaat[[#This Row],[Ruimte code]],"-",Ruimtestaat[[#This Row],[Frequentie weekend]]," ",Ruimtestaat[[#This Row],[Vloer code]]))</f>
        <v/>
      </c>
      <c r="BL176" s="448" t="str">
        <f>_xlfn.IFNA(VLOOKUP($BK176,Programma!$F$3:$G$1101,2,0),"")</f>
        <v/>
      </c>
      <c r="BM176" s="448" t="str">
        <f>_xlfn.IFNA(VLOOKUP($BK176,Programma!$F$3:$H$1101,3,0),"")</f>
        <v/>
      </c>
      <c r="BN176" s="448" t="str">
        <f>_xlfn.IFNA(VLOOKUP($BK176,Programma!$F$3:$I$1101,4,0),"")</f>
        <v/>
      </c>
      <c r="BO176" s="448" t="str">
        <f>_xlfn.IFNA(VLOOKUP($BK176,Programma!$F$3:$J$1101,5,0),"")</f>
        <v/>
      </c>
      <c r="BP176" s="448" t="str">
        <f>_xlfn.IFNA(VLOOKUP($BK176,Programma!$F$3:$K$1101,6,0),"")</f>
        <v/>
      </c>
      <c r="BQ176" s="448" t="str">
        <f>_xlfn.IFNA(VLOOKUP($BK176,Programma!$F$3:$L$1101,7,0),"")</f>
        <v/>
      </c>
      <c r="BR176" s="448" t="str">
        <f>_xlfn.IFNA(VLOOKUP($BK176,Programma!$F$3:$M$1101,8,0),"")</f>
        <v/>
      </c>
      <c r="BS176" s="448" t="str">
        <f>_xlfn.IFNA(VLOOKUP($BK176,Programma!$F$3:$N$1101,9,0),"")</f>
        <v/>
      </c>
      <c r="BT176" s="448" t="str">
        <f>_xlfn.IFNA(VLOOKUP($BK176,Programma!$F$3:$O$1101,10,0),"")</f>
        <v/>
      </c>
      <c r="BU176" s="448" t="str">
        <f>_xlfn.IFNA(VLOOKUP($BK176,Programma!$F$3:$P$1101,11,0),"")</f>
        <v/>
      </c>
      <c r="BV176" s="448" t="str">
        <f>_xlfn.IFNA(VLOOKUP($BK176,Programma!$F$3:$Q$1101,12,0),"")</f>
        <v/>
      </c>
      <c r="BW176" s="448" t="str">
        <f>_xlfn.IFNA(VLOOKUP($BK176,Programma!$F$3:$R$1101,13,0),"")</f>
        <v/>
      </c>
      <c r="BX176" s="448" t="str">
        <f>_xlfn.IFNA(VLOOKUP($BK176,Programma!$F$3:$S$1101,14,0),"")</f>
        <v/>
      </c>
      <c r="BY176" s="448" t="str">
        <f>_xlfn.IFNA(VLOOKUP($BK176,Programma!$F$3:$T$1101,15,0),"")</f>
        <v/>
      </c>
      <c r="BZ176" s="448" t="str">
        <f>_xlfn.IFNA(VLOOKUP($BK176,Programma!$F$3:$U$1101,16,0),"")</f>
        <v/>
      </c>
      <c r="CA176" s="448" t="str">
        <f>_xlfn.IFNA(VLOOKUP($BK176,Programma!$F$3:$V$1101,17,0),"")</f>
        <v/>
      </c>
      <c r="CB176" s="448" t="str">
        <f>_xlfn.IFNA(VLOOKUP($BK176,Programma!$F$3:$W$1101,18,0),"")</f>
        <v/>
      </c>
      <c r="CC176" s="448" t="str">
        <f>_xlfn.IFNA(VLOOKUP($BK176,Programma!$F$3:$X$1101,19,0),"")</f>
        <v/>
      </c>
      <c r="CD176" s="448" t="str">
        <f>_xlfn.IFNA(VLOOKUP($BK176,Programma!$F$3:$Y$1101,20,0),"")</f>
        <v/>
      </c>
      <c r="CE176" s="327"/>
      <c r="CF176" s="327"/>
      <c r="CG176" s="327"/>
      <c r="CH176" s="327"/>
      <c r="CI176" s="327"/>
      <c r="CJ176" s="327"/>
      <c r="CK176" s="327"/>
      <c r="CL176" s="327"/>
      <c r="CM176" s="327"/>
      <c r="CN176" s="327"/>
      <c r="CO176" s="327"/>
      <c r="CP176" s="327"/>
      <c r="CQ176" s="327"/>
      <c r="CR176" s="327"/>
      <c r="CS176" s="327"/>
      <c r="CT176" s="327"/>
      <c r="CU176" s="327"/>
      <c r="CV176" s="327"/>
      <c r="CW176" s="327"/>
      <c r="CX176" s="327"/>
      <c r="CY176" s="327"/>
      <c r="CZ176" s="327"/>
      <c r="DA176" s="327"/>
      <c r="DB176" s="327"/>
      <c r="DC176" s="327"/>
      <c r="DD176" s="327"/>
      <c r="DE176" s="327"/>
      <c r="DF176" s="327"/>
      <c r="DG176" s="327"/>
      <c r="DH176" s="327"/>
      <c r="DI176" s="327"/>
      <c r="DJ176" s="327"/>
      <c r="DK176" s="327"/>
      <c r="DL176" s="327"/>
      <c r="DM176" s="327"/>
      <c r="DN176" s="327"/>
      <c r="DO176" s="327"/>
      <c r="DP176" s="327"/>
      <c r="DQ176" s="327"/>
      <c r="DR176" s="327"/>
      <c r="DS176" s="327"/>
      <c r="DT176" s="327"/>
      <c r="DU176" s="327"/>
      <c r="DV176" s="327"/>
      <c r="DW176" s="327"/>
      <c r="DX176" s="327"/>
      <c r="DY176" s="327"/>
      <c r="DZ176" s="327"/>
      <c r="EA176" s="327"/>
      <c r="EB176" s="327"/>
      <c r="EC176" s="327"/>
      <c r="ED176" s="327"/>
      <c r="EE176" s="327"/>
      <c r="EF176" s="327"/>
      <c r="EG176" s="327"/>
      <c r="EH176" s="327"/>
      <c r="EI176" s="327"/>
      <c r="EJ176" s="327"/>
      <c r="EK176" s="327"/>
      <c r="EL176" s="327"/>
      <c r="EM176" s="327"/>
      <c r="EN176" s="327"/>
      <c r="EO176" s="327"/>
      <c r="EP176" s="327"/>
      <c r="EQ176" s="327"/>
      <c r="ER176" s="327"/>
      <c r="ES176" s="327"/>
      <c r="ET176" s="327"/>
      <c r="EU176" s="327"/>
      <c r="EV176" s="327"/>
      <c r="EW176" s="327"/>
      <c r="EX176" s="327"/>
      <c r="EY176" s="327"/>
      <c r="EZ176" s="327"/>
      <c r="FA176" s="327"/>
      <c r="FB176" s="327"/>
      <c r="FC176" s="327"/>
      <c r="FD176" s="327"/>
      <c r="FE176" s="327"/>
      <c r="FF176" s="327"/>
      <c r="FG176" s="327"/>
      <c r="FH176" s="327"/>
      <c r="FI176" s="327"/>
      <c r="FJ176" s="327"/>
      <c r="FK176" s="327"/>
      <c r="FL176" s="327"/>
      <c r="FM176" s="327"/>
      <c r="FN176" s="327"/>
      <c r="FO176" s="327"/>
      <c r="FP176" s="327"/>
      <c r="FQ176" s="327"/>
      <c r="FR176" s="327"/>
      <c r="FS176" s="327"/>
      <c r="FT176" s="327"/>
      <c r="FU176" s="327"/>
      <c r="FV176" s="327"/>
      <c r="FW176" s="327"/>
      <c r="FX176" s="327"/>
      <c r="FY176" s="327"/>
      <c r="FZ176" s="327"/>
      <c r="GA176" s="327"/>
      <c r="GB176" s="327"/>
      <c r="GC176" s="327"/>
      <c r="GD176" s="327"/>
      <c r="GE176" s="327"/>
      <c r="GF176" s="327"/>
      <c r="GG176" s="327"/>
      <c r="GH176" s="327"/>
      <c r="GI176" s="327"/>
      <c r="GJ176" s="327"/>
      <c r="GK176" s="327"/>
      <c r="GL176" s="327"/>
      <c r="GM176" s="327"/>
      <c r="GN176" s="327"/>
      <c r="GO176" s="327"/>
      <c r="GP176" s="327"/>
      <c r="GQ176" s="327"/>
      <c r="GR176" s="327"/>
      <c r="GS176" s="327"/>
      <c r="GT176" s="327"/>
      <c r="GU176" s="327"/>
      <c r="GV176" s="327"/>
      <c r="GW176" s="327"/>
      <c r="GX176" s="327"/>
      <c r="GY176" s="327"/>
      <c r="GZ176" s="327"/>
      <c r="HA176" s="327"/>
      <c r="HB176" s="327"/>
      <c r="HC176" s="327"/>
      <c r="HD176" s="327"/>
      <c r="HE176" s="327"/>
      <c r="HF176" s="327"/>
      <c r="HG176" s="327"/>
      <c r="HH176" s="327"/>
      <c r="HI176" s="327"/>
      <c r="HJ176" s="327"/>
      <c r="HK176" s="327"/>
      <c r="HL176" s="327"/>
      <c r="HM176" s="327"/>
      <c r="HN176" s="327"/>
      <c r="HO176" s="327"/>
      <c r="HP176" s="327"/>
      <c r="HQ176" s="327"/>
      <c r="HR176" s="327"/>
      <c r="HS176" s="327"/>
    </row>
    <row r="177" spans="1:227" ht="15" customHeight="1">
      <c r="A177" s="330">
        <v>8</v>
      </c>
      <c r="B177" s="435" t="str">
        <f>VLOOKUP(Ruimtestaat[[#This Row],[Code]],Locaties[[Code]:[Locatie]],2,FALSE)</f>
        <v>IKC De Trinoom</v>
      </c>
      <c r="C177" s="435" t="str">
        <f>VLOOKUP(Ruimtestaat[[#This Row],[Code]],Locaties[[#All],[Code]:[Adres]],4,FALSE)</f>
        <v>Nieuwlandstraat 241</v>
      </c>
      <c r="D177" s="435" t="str">
        <f>VLOOKUP(Ruimtestaat[[#This Row],[Code]],Locaties[[#All],[Code]:[Postcode]],5,FALSE)</f>
        <v>2729 EB</v>
      </c>
      <c r="E177" s="435" t="str">
        <f>VLOOKUP(Ruimtestaat[[#This Row],[Code]],Locaties[#All],6,FALSE)</f>
        <v>Zoetermeer</v>
      </c>
      <c r="F177" s="434"/>
      <c r="G177" s="434" t="s">
        <v>1678</v>
      </c>
      <c r="H177" s="330" t="s">
        <v>1668</v>
      </c>
      <c r="I177" s="450" t="s">
        <v>1679</v>
      </c>
      <c r="J177" s="330">
        <v>16</v>
      </c>
      <c r="K177" s="450" t="str">
        <f>VLOOKUP(Ruimtestaat[[#This Row],[Ruimte code]],Ruimtegroepen[[#All],[Code]:[Ruimte omschrijving]],2,FALSE)</f>
        <v>Leslokalen</v>
      </c>
      <c r="L177" s="434" t="s">
        <v>100</v>
      </c>
      <c r="M177" s="437" t="s">
        <v>1759</v>
      </c>
      <c r="N177" s="439">
        <v>59</v>
      </c>
      <c r="O177" s="439"/>
      <c r="P177" s="439"/>
      <c r="Q177" s="439"/>
      <c r="R177" s="440" t="str">
        <f>VLOOKUP(Ruimtestaat[[#This Row],[Ruimte code]],Ruimtegroepen[],4,FALSE)</f>
        <v>Le</v>
      </c>
      <c r="S177" s="434">
        <v>40</v>
      </c>
      <c r="T177" s="434" t="s">
        <v>2</v>
      </c>
      <c r="U177" s="434">
        <f>IF(S177&gt;0,IF(RIGHT(Ruimtestaat[[#This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7" s="434">
        <f>IF(U177&gt;0,VLOOKUP($J177,Ruimtegroepen[],3,FALSE)*VLOOKUP($L177,Vloersoorten[],3,FALSE)*VLOOKUP($T177,Frequenties[],3,FALSE)*VLOOKUP($A177,Locaties[],3,FALSE),0)</f>
        <v>0</v>
      </c>
      <c r="W177" s="434">
        <f>Ruimtestaat[[#This Row],[Uitvoeringen werkdagen]]*Ruimtestaat[[#This Row],[Oppervlak (netto)]]</f>
        <v>11800</v>
      </c>
      <c r="X177" s="441">
        <f>IF(V177&gt;0,Ruimtestaat[[#This Row],[Prest. (m2 /jaar) werkdagen]]/Ruimtestaat[[#This Row],[Norm (m2/uur) werkdagen]],0)</f>
        <v>0</v>
      </c>
      <c r="Y177" s="442">
        <f>Ruimtestaat[[#This Row],[Uitvoeringen werkdagen]]*Ruimtestaat[[#This Row],[Gedeeltelijk]]</f>
        <v>0</v>
      </c>
      <c r="Z177" s="443" t="e">
        <f>IF(U177&gt;0,Ruimtestaat[[#This Row],[Prest. (m2 / jaar) werkdagen gedeeld]]/Ruimtestaat[[#This Row],[Norm (m2/uur) werkdagen]],0)</f>
        <v>#DIV/0!</v>
      </c>
      <c r="AA177" s="441" t="e">
        <f>Ruimtestaat[[#This Row],[uren / jaar werkdagen gedeeld]]*Tariefsopbouw!$E$35</f>
        <v>#DIV/0!</v>
      </c>
      <c r="AB177" s="441">
        <f>Ruimtestaat[[#This Row],[Uitvoeringen werkdagen]]*Ruimtestaat[[#This Row],[BSO]]</f>
        <v>0</v>
      </c>
      <c r="AC177" s="443" t="e">
        <f>IF(U177&gt;0,Ruimtestaat[[#This Row],[Prest. (m2 / jaar) werkdagen BSO]]/Ruimtestaat[[#This Row],[Norm (m2/uur) werkdagen]],0)</f>
        <v>#DIV/0!</v>
      </c>
      <c r="AD177" s="443" t="e">
        <f>Ruimtestaat[[#This Row],[uren / jaar werkdagen BSO]]*Tariefsopbouw!$E$35</f>
        <v>#DIV/0!</v>
      </c>
      <c r="AE177" s="444">
        <f>Ruimtestaat[[#This Row],[uren / jaar werkdagen]]*Tariefsopbouw!$E$35</f>
        <v>0</v>
      </c>
      <c r="AF177" s="434"/>
      <c r="AG177" s="434">
        <f>IF(Ruimtestaat[[#This Row],[Frequentie weekend]]&gt;0,VALUE(LEFT(AF177,1))*S177,0)</f>
        <v>0</v>
      </c>
      <c r="AH177" s="445">
        <f>IF($AG177&gt;0,VLOOKUP($J177,Ruimtegroepen[],3,FALSE)*VLOOKUP($L177,Vloersoorten[],3,FALSE)*VLOOKUP($AF177,Frequenties[],3,FALSE)*VLOOKUP(Ruimtestaat[[#This Row],[Code]],Locaties[],3,FALSE),0)</f>
        <v>0</v>
      </c>
      <c r="AI177" s="445">
        <f>Ruimtestaat[[#This Row],[Uitvoeringen weekend]]*Ruimtestaat[[#This Row],[Oppervlak (netto)]]</f>
        <v>0</v>
      </c>
      <c r="AJ177" s="445">
        <f>IF(AH177&gt;0,Ruimtestaat[[#This Row],[Prest. (m2 /jaar) weekend]]/Ruimtestaat[[#This Row],[Norm (m2/uur) weekend]],0)</f>
        <v>0</v>
      </c>
      <c r="AK177" s="444">
        <f>Ruimtestaat[[#This Row],[uren / jaar weekend]]*Tariefsopbouw!$D$40</f>
        <v>0</v>
      </c>
      <c r="AL177" s="441">
        <f>Ruimtestaat[[#This Row],[Prest. (m2 /jaar) weekend]]+Ruimtestaat[[#This Row],[Prest. (m2 /jaar) werkdagen]]</f>
        <v>11800</v>
      </c>
      <c r="AM177" s="441">
        <f>Ruimtestaat[[#This Row],[uren / jaar weekend]]+Ruimtestaat[[#This Row],[uren / jaar werkdagen]]</f>
        <v>0</v>
      </c>
      <c r="AN177" s="446">
        <f>Ruimtestaat[[#This Row],[kosten / jaar weekend]]+Ruimtestaat[[#This Row],[kosten / jaar werkdagen]]</f>
        <v>0</v>
      </c>
      <c r="AO177" s="446"/>
      <c r="AP177" s="447" t="str">
        <f>IF(Ruimtestaat[[#This Row],[Frequentie werkdagen]]="","",_xlfn.CONCAT(Ruimtestaat[[#This Row],[Ruimte code]],"-",Ruimtestaat[[#This Row],[Frequentie werkdagen]]," ",Ruimtestaat[[#This Row],[Vloer code]]))</f>
        <v>16-5w L</v>
      </c>
      <c r="AQ177" s="448" t="str">
        <f>_xlfn.IFNA(VLOOKUP($AP177,Programma!$F$3:$G$1101,2,0),"")</f>
        <v>_</v>
      </c>
      <c r="AR177" s="448" t="str">
        <f>_xlfn.IFNA(VLOOKUP($AP177,Programma!$F$3:$H$1101,3,0),"")</f>
        <v>_</v>
      </c>
      <c r="AS177" s="448" t="str">
        <f>_xlfn.IFNA(VLOOKUP($AP177,Programma!$F$3:$I$1101,4,0),"")</f>
        <v>4w</v>
      </c>
      <c r="AT177" s="448" t="str">
        <f>_xlfn.IFNA(VLOOKUP($AP177,Programma!$F$3:$J$1101,5,0),"")</f>
        <v>1w</v>
      </c>
      <c r="AU177" s="448" t="str">
        <f>_xlfn.IFNA(VLOOKUP($AP177,Programma!$F$3:$K$1101,6,0),"")</f>
        <v>_</v>
      </c>
      <c r="AV177" s="448" t="str">
        <f>_xlfn.IFNA(VLOOKUP($AP177,Programma!$F$3:$L$1101,7,0),"")</f>
        <v>_</v>
      </c>
      <c r="AW177" s="448" t="str">
        <f>_xlfn.IFNA(VLOOKUP($AP177,Programma!$F$3:$M$1101,8,0),"")</f>
        <v>_</v>
      </c>
      <c r="AX177" s="448" t="str">
        <f>_xlfn.IFNA(VLOOKUP($AP177,Programma!$F$3:$N$1101,9,0),"")</f>
        <v>_</v>
      </c>
      <c r="AY177" s="448" t="str">
        <f>_xlfn.IFNA(VLOOKUP($AP177,Programma!$F$3:$O$1101,10,0),"")</f>
        <v>5w</v>
      </c>
      <c r="AZ177" s="448" t="str">
        <f>_xlfn.IFNA(VLOOKUP($AP177,Programma!$F$3:$P$1101,11,0),"")</f>
        <v>5w</v>
      </c>
      <c r="BA177" s="448" t="str">
        <f>_xlfn.IFNA(VLOOKUP($AP177,Programma!$F$3:$Q$1101,12,0),"")</f>
        <v>1w</v>
      </c>
      <c r="BB177" s="448" t="str">
        <f>_xlfn.IFNA(VLOOKUP($AP177,Programma!$F$3:$R$1101,13,0),"")</f>
        <v>1w</v>
      </c>
      <c r="BC177" s="448" t="str">
        <f>_xlfn.IFNA(VLOOKUP($AP177,Programma!$F$3:$S$1101,14,0),"")</f>
        <v>1m</v>
      </c>
      <c r="BD177" s="448" t="str">
        <f>_xlfn.IFNA(VLOOKUP($AP177,Programma!$F$3:$T$1101,15,0),"")</f>
        <v>2j</v>
      </c>
      <c r="BE177" s="448" t="str">
        <f>_xlfn.IFNA(VLOOKUP($AP177,Programma!$F$3:$U$1101,16,0),"")</f>
        <v>1j</v>
      </c>
      <c r="BF177" s="448" t="str">
        <f>_xlfn.IFNA(VLOOKUP($AP177,Programma!$F$3:$V$1101,17,0),"")</f>
        <v>_</v>
      </c>
      <c r="BG177" s="448" t="str">
        <f>_xlfn.IFNA(VLOOKUP($AP177,Programma!$F$3:$W$1101,18,0),"")</f>
        <v>_</v>
      </c>
      <c r="BH177" s="448" t="str">
        <f>_xlfn.IFNA(VLOOKUP($AP177,Programma!$F$3:$X$1101,19,0),"")</f>
        <v>_</v>
      </c>
      <c r="BI177" s="448" t="str">
        <f>_xlfn.IFNA(VLOOKUP($AP177,Programma!$F$3:$Y$1101,20,0),"")</f>
        <v>_</v>
      </c>
      <c r="BJ177" s="449"/>
      <c r="BK177" s="447" t="str">
        <f>IF(Ruimtestaat[[#This Row],[Frequentie weekend]]="","",_xlfn.CONCAT(Ruimtestaat[[#This Row],[Ruimte code]],"-",Ruimtestaat[[#This Row],[Frequentie weekend]]," ",Ruimtestaat[[#This Row],[Vloer code]]))</f>
        <v/>
      </c>
      <c r="BL177" s="448" t="str">
        <f>_xlfn.IFNA(VLOOKUP($BK177,Programma!$F$3:$G$1101,2,0),"")</f>
        <v/>
      </c>
      <c r="BM177" s="448" t="str">
        <f>_xlfn.IFNA(VLOOKUP($BK177,Programma!$F$3:$H$1101,3,0),"")</f>
        <v/>
      </c>
      <c r="BN177" s="448" t="str">
        <f>_xlfn.IFNA(VLOOKUP($BK177,Programma!$F$3:$I$1101,4,0),"")</f>
        <v/>
      </c>
      <c r="BO177" s="448" t="str">
        <f>_xlfn.IFNA(VLOOKUP($BK177,Programma!$F$3:$J$1101,5,0),"")</f>
        <v/>
      </c>
      <c r="BP177" s="448" t="str">
        <f>_xlfn.IFNA(VLOOKUP($BK177,Programma!$F$3:$K$1101,6,0),"")</f>
        <v/>
      </c>
      <c r="BQ177" s="448" t="str">
        <f>_xlfn.IFNA(VLOOKUP($BK177,Programma!$F$3:$L$1101,7,0),"")</f>
        <v/>
      </c>
      <c r="BR177" s="448" t="str">
        <f>_xlfn.IFNA(VLOOKUP($BK177,Programma!$F$3:$M$1101,8,0),"")</f>
        <v/>
      </c>
      <c r="BS177" s="448" t="str">
        <f>_xlfn.IFNA(VLOOKUP($BK177,Programma!$F$3:$N$1101,9,0),"")</f>
        <v/>
      </c>
      <c r="BT177" s="448" t="str">
        <f>_xlfn.IFNA(VLOOKUP($BK177,Programma!$F$3:$O$1101,10,0),"")</f>
        <v/>
      </c>
      <c r="BU177" s="448" t="str">
        <f>_xlfn.IFNA(VLOOKUP($BK177,Programma!$F$3:$P$1101,11,0),"")</f>
        <v/>
      </c>
      <c r="BV177" s="448" t="str">
        <f>_xlfn.IFNA(VLOOKUP($BK177,Programma!$F$3:$Q$1101,12,0),"")</f>
        <v/>
      </c>
      <c r="BW177" s="448" t="str">
        <f>_xlfn.IFNA(VLOOKUP($BK177,Programma!$F$3:$R$1101,13,0),"")</f>
        <v/>
      </c>
      <c r="BX177" s="448" t="str">
        <f>_xlfn.IFNA(VLOOKUP($BK177,Programma!$F$3:$S$1101,14,0),"")</f>
        <v/>
      </c>
      <c r="BY177" s="448" t="str">
        <f>_xlfn.IFNA(VLOOKUP($BK177,Programma!$F$3:$T$1101,15,0),"")</f>
        <v/>
      </c>
      <c r="BZ177" s="448" t="str">
        <f>_xlfn.IFNA(VLOOKUP($BK177,Programma!$F$3:$U$1101,16,0),"")</f>
        <v/>
      </c>
      <c r="CA177" s="448" t="str">
        <f>_xlfn.IFNA(VLOOKUP($BK177,Programma!$F$3:$V$1101,17,0),"")</f>
        <v/>
      </c>
      <c r="CB177" s="448" t="str">
        <f>_xlfn.IFNA(VLOOKUP($BK177,Programma!$F$3:$W$1101,18,0),"")</f>
        <v/>
      </c>
      <c r="CC177" s="448" t="str">
        <f>_xlfn.IFNA(VLOOKUP($BK177,Programma!$F$3:$X$1101,19,0),"")</f>
        <v/>
      </c>
      <c r="CD177" s="448" t="str">
        <f>_xlfn.IFNA(VLOOKUP($BK177,Programma!$F$3:$Y$1101,20,0),"")</f>
        <v/>
      </c>
      <c r="CE177" s="327"/>
      <c r="CF177" s="327"/>
      <c r="CG177" s="327"/>
      <c r="CH177" s="327"/>
      <c r="CI177" s="327"/>
      <c r="CJ177" s="327"/>
      <c r="CK177" s="327"/>
      <c r="CL177" s="327"/>
      <c r="CM177" s="327"/>
      <c r="CN177" s="327"/>
      <c r="CO177" s="327"/>
      <c r="CP177" s="327"/>
      <c r="CQ177" s="327"/>
      <c r="CR177" s="327"/>
      <c r="CS177" s="327"/>
      <c r="CT177" s="327"/>
      <c r="CU177" s="327"/>
      <c r="CV177" s="327"/>
      <c r="CW177" s="327"/>
      <c r="CX177" s="327"/>
      <c r="CY177" s="327"/>
      <c r="CZ177" s="327"/>
      <c r="DA177" s="327"/>
      <c r="DB177" s="327"/>
      <c r="DC177" s="327"/>
      <c r="DD177" s="327"/>
      <c r="DE177" s="327"/>
      <c r="DF177" s="327"/>
      <c r="DG177" s="327"/>
      <c r="DH177" s="327"/>
      <c r="DI177" s="327"/>
      <c r="DJ177" s="327"/>
      <c r="DK177" s="327"/>
      <c r="DL177" s="327"/>
      <c r="DM177" s="327"/>
      <c r="DN177" s="327"/>
      <c r="DO177" s="327"/>
      <c r="DP177" s="327"/>
      <c r="DQ177" s="327"/>
      <c r="DR177" s="327"/>
      <c r="DS177" s="327"/>
      <c r="DT177" s="327"/>
      <c r="DU177" s="327"/>
      <c r="DV177" s="327"/>
      <c r="DW177" s="327"/>
      <c r="DX177" s="327"/>
      <c r="DY177" s="327"/>
      <c r="DZ177" s="327"/>
      <c r="EA177" s="327"/>
      <c r="EB177" s="327"/>
      <c r="EC177" s="327"/>
      <c r="ED177" s="327"/>
      <c r="EE177" s="327"/>
      <c r="EF177" s="327"/>
      <c r="EG177" s="327"/>
      <c r="EH177" s="327"/>
      <c r="EI177" s="327"/>
      <c r="EJ177" s="327"/>
      <c r="EK177" s="327"/>
      <c r="EL177" s="327"/>
      <c r="EM177" s="327"/>
      <c r="EN177" s="327"/>
      <c r="EO177" s="327"/>
      <c r="EP177" s="327"/>
      <c r="EQ177" s="327"/>
      <c r="ER177" s="327"/>
      <c r="ES177" s="327"/>
      <c r="ET177" s="327"/>
      <c r="EU177" s="327"/>
      <c r="EV177" s="327"/>
      <c r="EW177" s="327"/>
      <c r="EX177" s="327"/>
      <c r="EY177" s="327"/>
      <c r="EZ177" s="327"/>
      <c r="FA177" s="327"/>
      <c r="FB177" s="327"/>
      <c r="FC177" s="327"/>
      <c r="FD177" s="327"/>
      <c r="FE177" s="327"/>
      <c r="FF177" s="327"/>
      <c r="FG177" s="327"/>
      <c r="FH177" s="327"/>
      <c r="FI177" s="327"/>
      <c r="FJ177" s="327"/>
      <c r="FK177" s="327"/>
      <c r="FL177" s="327"/>
      <c r="FM177" s="327"/>
      <c r="FN177" s="327"/>
      <c r="FO177" s="327"/>
      <c r="FP177" s="327"/>
      <c r="FQ177" s="327"/>
      <c r="FR177" s="327"/>
      <c r="FS177" s="327"/>
      <c r="FT177" s="327"/>
      <c r="FU177" s="327"/>
      <c r="FV177" s="327"/>
      <c r="FW177" s="327"/>
      <c r="FX177" s="327"/>
      <c r="FY177" s="327"/>
      <c r="FZ177" s="327"/>
      <c r="GA177" s="327"/>
      <c r="GB177" s="327"/>
      <c r="GC177" s="327"/>
      <c r="GD177" s="327"/>
      <c r="GE177" s="327"/>
      <c r="GF177" s="327"/>
      <c r="GG177" s="327"/>
      <c r="GH177" s="327"/>
      <c r="GI177" s="327"/>
      <c r="GJ177" s="327"/>
      <c r="GK177" s="327"/>
      <c r="GL177" s="327"/>
      <c r="GM177" s="327"/>
      <c r="GN177" s="327"/>
      <c r="GO177" s="327"/>
      <c r="GP177" s="327"/>
      <c r="GQ177" s="327"/>
      <c r="GR177" s="327"/>
      <c r="GS177" s="327"/>
      <c r="GT177" s="327"/>
      <c r="GU177" s="327"/>
      <c r="GV177" s="327"/>
      <c r="GW177" s="327"/>
      <c r="GX177" s="327"/>
      <c r="GY177" s="327"/>
      <c r="GZ177" s="327"/>
      <c r="HA177" s="327"/>
      <c r="HB177" s="327"/>
      <c r="HC177" s="327"/>
      <c r="HD177" s="327"/>
      <c r="HE177" s="327"/>
      <c r="HF177" s="327"/>
      <c r="HG177" s="327"/>
      <c r="HH177" s="327"/>
      <c r="HI177" s="327"/>
      <c r="HJ177" s="327"/>
      <c r="HK177" s="327"/>
      <c r="HL177" s="327"/>
      <c r="HM177" s="327"/>
      <c r="HN177" s="327"/>
      <c r="HO177" s="327"/>
      <c r="HP177" s="327"/>
      <c r="HQ177" s="327"/>
      <c r="HR177" s="327"/>
      <c r="HS177" s="327"/>
    </row>
    <row r="178" spans="1:227" ht="15" customHeight="1">
      <c r="A178" s="330">
        <v>8</v>
      </c>
      <c r="B178" s="435" t="str">
        <f>VLOOKUP(Ruimtestaat[[#This Row],[Code]],Locaties[[Code]:[Locatie]],2,FALSE)</f>
        <v>IKC De Trinoom</v>
      </c>
      <c r="C178" s="435" t="str">
        <f>VLOOKUP(Ruimtestaat[[#This Row],[Code]],Locaties[[#All],[Code]:[Adres]],4,FALSE)</f>
        <v>Nieuwlandstraat 241</v>
      </c>
      <c r="D178" s="435" t="str">
        <f>VLOOKUP(Ruimtestaat[[#This Row],[Code]],Locaties[[#All],[Code]:[Postcode]],5,FALSE)</f>
        <v>2729 EB</v>
      </c>
      <c r="E178" s="435" t="str">
        <f>VLOOKUP(Ruimtestaat[[#This Row],[Code]],Locaties[#All],6,FALSE)</f>
        <v>Zoetermeer</v>
      </c>
      <c r="F178" s="434"/>
      <c r="G178" s="434" t="s">
        <v>1678</v>
      </c>
      <c r="H178" s="330" t="s">
        <v>1669</v>
      </c>
      <c r="I178" s="450" t="s">
        <v>1679</v>
      </c>
      <c r="J178" s="330">
        <v>16</v>
      </c>
      <c r="K178" s="450" t="str">
        <f>VLOOKUP(Ruimtestaat[[#This Row],[Ruimte code]],Ruimtegroepen[[#All],[Code]:[Ruimte omschrijving]],2,FALSE)</f>
        <v>Leslokalen</v>
      </c>
      <c r="L178" s="434" t="s">
        <v>100</v>
      </c>
      <c r="M178" s="437" t="s">
        <v>1759</v>
      </c>
      <c r="N178" s="439">
        <v>66</v>
      </c>
      <c r="O178" s="439"/>
      <c r="P178" s="439"/>
      <c r="Q178" s="439"/>
      <c r="R178" s="440" t="str">
        <f>VLOOKUP(Ruimtestaat[[#This Row],[Ruimte code]],Ruimtegroepen[],4,FALSE)</f>
        <v>Le</v>
      </c>
      <c r="S178" s="434">
        <v>40</v>
      </c>
      <c r="T178" s="434" t="s">
        <v>2</v>
      </c>
      <c r="U178" s="434">
        <f>IF(S178&gt;0,IF(RIGHT(Ruimtestaat[[#This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8" s="434">
        <f>IF(U178&gt;0,VLOOKUP($J178,Ruimtegroepen[],3,FALSE)*VLOOKUP($L178,Vloersoorten[],3,FALSE)*VLOOKUP($T178,Frequenties[],3,FALSE)*VLOOKUP($A178,Locaties[],3,FALSE),0)</f>
        <v>0</v>
      </c>
      <c r="W178" s="434">
        <f>Ruimtestaat[[#This Row],[Uitvoeringen werkdagen]]*Ruimtestaat[[#This Row],[Oppervlak (netto)]]</f>
        <v>13200</v>
      </c>
      <c r="X178" s="441">
        <f>IF(V178&gt;0,Ruimtestaat[[#This Row],[Prest. (m2 /jaar) werkdagen]]/Ruimtestaat[[#This Row],[Norm (m2/uur) werkdagen]],0)</f>
        <v>0</v>
      </c>
      <c r="Y178" s="442">
        <f>Ruimtestaat[[#This Row],[Uitvoeringen werkdagen]]*Ruimtestaat[[#This Row],[Gedeeltelijk]]</f>
        <v>0</v>
      </c>
      <c r="Z178" s="443" t="e">
        <f>IF(U178&gt;0,Ruimtestaat[[#This Row],[Prest. (m2 / jaar) werkdagen gedeeld]]/Ruimtestaat[[#This Row],[Norm (m2/uur) werkdagen]],0)</f>
        <v>#DIV/0!</v>
      </c>
      <c r="AA178" s="441" t="e">
        <f>Ruimtestaat[[#This Row],[uren / jaar werkdagen gedeeld]]*Tariefsopbouw!$E$35</f>
        <v>#DIV/0!</v>
      </c>
      <c r="AB178" s="441">
        <f>Ruimtestaat[[#This Row],[Uitvoeringen werkdagen]]*Ruimtestaat[[#This Row],[BSO]]</f>
        <v>0</v>
      </c>
      <c r="AC178" s="443" t="e">
        <f>IF(U178&gt;0,Ruimtestaat[[#This Row],[Prest. (m2 / jaar) werkdagen BSO]]/Ruimtestaat[[#This Row],[Norm (m2/uur) werkdagen]],0)</f>
        <v>#DIV/0!</v>
      </c>
      <c r="AD178" s="443" t="e">
        <f>Ruimtestaat[[#This Row],[uren / jaar werkdagen BSO]]*Tariefsopbouw!$E$35</f>
        <v>#DIV/0!</v>
      </c>
      <c r="AE178" s="444">
        <f>Ruimtestaat[[#This Row],[uren / jaar werkdagen]]*Tariefsopbouw!$E$35</f>
        <v>0</v>
      </c>
      <c r="AF178" s="434"/>
      <c r="AG178" s="434">
        <f>IF(Ruimtestaat[[#This Row],[Frequentie weekend]]&gt;0,VALUE(LEFT(AF178,1))*S178,0)</f>
        <v>0</v>
      </c>
      <c r="AH178" s="445">
        <f>IF($AG178&gt;0,VLOOKUP($J178,Ruimtegroepen[],3,FALSE)*VLOOKUP($L178,Vloersoorten[],3,FALSE)*VLOOKUP($AF178,Frequenties[],3,FALSE)*VLOOKUP(Ruimtestaat[[#This Row],[Code]],Locaties[],3,FALSE),0)</f>
        <v>0</v>
      </c>
      <c r="AI178" s="445">
        <f>Ruimtestaat[[#This Row],[Uitvoeringen weekend]]*Ruimtestaat[[#This Row],[Oppervlak (netto)]]</f>
        <v>0</v>
      </c>
      <c r="AJ178" s="445">
        <f>IF(AH178&gt;0,Ruimtestaat[[#This Row],[Prest. (m2 /jaar) weekend]]/Ruimtestaat[[#This Row],[Norm (m2/uur) weekend]],0)</f>
        <v>0</v>
      </c>
      <c r="AK178" s="444">
        <f>Ruimtestaat[[#This Row],[uren / jaar weekend]]*Tariefsopbouw!$D$40</f>
        <v>0</v>
      </c>
      <c r="AL178" s="441">
        <f>Ruimtestaat[[#This Row],[Prest. (m2 /jaar) weekend]]+Ruimtestaat[[#This Row],[Prest. (m2 /jaar) werkdagen]]</f>
        <v>13200</v>
      </c>
      <c r="AM178" s="441">
        <f>Ruimtestaat[[#This Row],[uren / jaar weekend]]+Ruimtestaat[[#This Row],[uren / jaar werkdagen]]</f>
        <v>0</v>
      </c>
      <c r="AN178" s="446">
        <f>Ruimtestaat[[#This Row],[kosten / jaar weekend]]+Ruimtestaat[[#This Row],[kosten / jaar werkdagen]]</f>
        <v>0</v>
      </c>
      <c r="AO178" s="446"/>
      <c r="AP178" s="447" t="str">
        <f>IF(Ruimtestaat[[#This Row],[Frequentie werkdagen]]="","",_xlfn.CONCAT(Ruimtestaat[[#This Row],[Ruimte code]],"-",Ruimtestaat[[#This Row],[Frequentie werkdagen]]," ",Ruimtestaat[[#This Row],[Vloer code]]))</f>
        <v>16-5w L</v>
      </c>
      <c r="AQ178" s="448" t="str">
        <f>_xlfn.IFNA(VLOOKUP($AP178,Programma!$F$3:$G$1101,2,0),"")</f>
        <v>_</v>
      </c>
      <c r="AR178" s="448" t="str">
        <f>_xlfn.IFNA(VLOOKUP($AP178,Programma!$F$3:$H$1101,3,0),"")</f>
        <v>_</v>
      </c>
      <c r="AS178" s="448" t="str">
        <f>_xlfn.IFNA(VLOOKUP($AP178,Programma!$F$3:$I$1101,4,0),"")</f>
        <v>4w</v>
      </c>
      <c r="AT178" s="448" t="str">
        <f>_xlfn.IFNA(VLOOKUP($AP178,Programma!$F$3:$J$1101,5,0),"")</f>
        <v>1w</v>
      </c>
      <c r="AU178" s="448" t="str">
        <f>_xlfn.IFNA(VLOOKUP($AP178,Programma!$F$3:$K$1101,6,0),"")</f>
        <v>_</v>
      </c>
      <c r="AV178" s="448" t="str">
        <f>_xlfn.IFNA(VLOOKUP($AP178,Programma!$F$3:$L$1101,7,0),"")</f>
        <v>_</v>
      </c>
      <c r="AW178" s="448" t="str">
        <f>_xlfn.IFNA(VLOOKUP($AP178,Programma!$F$3:$M$1101,8,0),"")</f>
        <v>_</v>
      </c>
      <c r="AX178" s="448" t="str">
        <f>_xlfn.IFNA(VLOOKUP($AP178,Programma!$F$3:$N$1101,9,0),"")</f>
        <v>_</v>
      </c>
      <c r="AY178" s="448" t="str">
        <f>_xlfn.IFNA(VLOOKUP($AP178,Programma!$F$3:$O$1101,10,0),"")</f>
        <v>5w</v>
      </c>
      <c r="AZ178" s="448" t="str">
        <f>_xlfn.IFNA(VLOOKUP($AP178,Programma!$F$3:$P$1101,11,0),"")</f>
        <v>5w</v>
      </c>
      <c r="BA178" s="448" t="str">
        <f>_xlfn.IFNA(VLOOKUP($AP178,Programma!$F$3:$Q$1101,12,0),"")</f>
        <v>1w</v>
      </c>
      <c r="BB178" s="448" t="str">
        <f>_xlfn.IFNA(VLOOKUP($AP178,Programma!$F$3:$R$1101,13,0),"")</f>
        <v>1w</v>
      </c>
      <c r="BC178" s="448" t="str">
        <f>_xlfn.IFNA(VLOOKUP($AP178,Programma!$F$3:$S$1101,14,0),"")</f>
        <v>1m</v>
      </c>
      <c r="BD178" s="448" t="str">
        <f>_xlfn.IFNA(VLOOKUP($AP178,Programma!$F$3:$T$1101,15,0),"")</f>
        <v>2j</v>
      </c>
      <c r="BE178" s="448" t="str">
        <f>_xlfn.IFNA(VLOOKUP($AP178,Programma!$F$3:$U$1101,16,0),"")</f>
        <v>1j</v>
      </c>
      <c r="BF178" s="448" t="str">
        <f>_xlfn.IFNA(VLOOKUP($AP178,Programma!$F$3:$V$1101,17,0),"")</f>
        <v>_</v>
      </c>
      <c r="BG178" s="448" t="str">
        <f>_xlfn.IFNA(VLOOKUP($AP178,Programma!$F$3:$W$1101,18,0),"")</f>
        <v>_</v>
      </c>
      <c r="BH178" s="448" t="str">
        <f>_xlfn.IFNA(VLOOKUP($AP178,Programma!$F$3:$X$1101,19,0),"")</f>
        <v>_</v>
      </c>
      <c r="BI178" s="448" t="str">
        <f>_xlfn.IFNA(VLOOKUP($AP178,Programma!$F$3:$Y$1101,20,0),"")</f>
        <v>_</v>
      </c>
      <c r="BJ178" s="449"/>
      <c r="BK178" s="447" t="str">
        <f>IF(Ruimtestaat[[#This Row],[Frequentie weekend]]="","",_xlfn.CONCAT(Ruimtestaat[[#This Row],[Ruimte code]],"-",Ruimtestaat[[#This Row],[Frequentie weekend]]," ",Ruimtestaat[[#This Row],[Vloer code]]))</f>
        <v/>
      </c>
      <c r="BL178" s="448" t="str">
        <f>_xlfn.IFNA(VLOOKUP($BK178,Programma!$F$3:$G$1101,2,0),"")</f>
        <v/>
      </c>
      <c r="BM178" s="448" t="str">
        <f>_xlfn.IFNA(VLOOKUP($BK178,Programma!$F$3:$H$1101,3,0),"")</f>
        <v/>
      </c>
      <c r="BN178" s="448" t="str">
        <f>_xlfn.IFNA(VLOOKUP($BK178,Programma!$F$3:$I$1101,4,0),"")</f>
        <v/>
      </c>
      <c r="BO178" s="448" t="str">
        <f>_xlfn.IFNA(VLOOKUP($BK178,Programma!$F$3:$J$1101,5,0),"")</f>
        <v/>
      </c>
      <c r="BP178" s="448" t="str">
        <f>_xlfn.IFNA(VLOOKUP($BK178,Programma!$F$3:$K$1101,6,0),"")</f>
        <v/>
      </c>
      <c r="BQ178" s="448" t="str">
        <f>_xlfn.IFNA(VLOOKUP($BK178,Programma!$F$3:$L$1101,7,0),"")</f>
        <v/>
      </c>
      <c r="BR178" s="448" t="str">
        <f>_xlfn.IFNA(VLOOKUP($BK178,Programma!$F$3:$M$1101,8,0),"")</f>
        <v/>
      </c>
      <c r="BS178" s="448" t="str">
        <f>_xlfn.IFNA(VLOOKUP($BK178,Programma!$F$3:$N$1101,9,0),"")</f>
        <v/>
      </c>
      <c r="BT178" s="448" t="str">
        <f>_xlfn.IFNA(VLOOKUP($BK178,Programma!$F$3:$O$1101,10,0),"")</f>
        <v/>
      </c>
      <c r="BU178" s="448" t="str">
        <f>_xlfn.IFNA(VLOOKUP($BK178,Programma!$F$3:$P$1101,11,0),"")</f>
        <v/>
      </c>
      <c r="BV178" s="448" t="str">
        <f>_xlfn.IFNA(VLOOKUP($BK178,Programma!$F$3:$Q$1101,12,0),"")</f>
        <v/>
      </c>
      <c r="BW178" s="448" t="str">
        <f>_xlfn.IFNA(VLOOKUP($BK178,Programma!$F$3:$R$1101,13,0),"")</f>
        <v/>
      </c>
      <c r="BX178" s="448" t="str">
        <f>_xlfn.IFNA(VLOOKUP($BK178,Programma!$F$3:$S$1101,14,0),"")</f>
        <v/>
      </c>
      <c r="BY178" s="448" t="str">
        <f>_xlfn.IFNA(VLOOKUP($BK178,Programma!$F$3:$T$1101,15,0),"")</f>
        <v/>
      </c>
      <c r="BZ178" s="448" t="str">
        <f>_xlfn.IFNA(VLOOKUP($BK178,Programma!$F$3:$U$1101,16,0),"")</f>
        <v/>
      </c>
      <c r="CA178" s="448" t="str">
        <f>_xlfn.IFNA(VLOOKUP($BK178,Programma!$F$3:$V$1101,17,0),"")</f>
        <v/>
      </c>
      <c r="CB178" s="448" t="str">
        <f>_xlfn.IFNA(VLOOKUP($BK178,Programma!$F$3:$W$1101,18,0),"")</f>
        <v/>
      </c>
      <c r="CC178" s="448" t="str">
        <f>_xlfn.IFNA(VLOOKUP($BK178,Programma!$F$3:$X$1101,19,0),"")</f>
        <v/>
      </c>
      <c r="CD178" s="448" t="str">
        <f>_xlfn.IFNA(VLOOKUP($BK178,Programma!$F$3:$Y$1101,20,0),"")</f>
        <v/>
      </c>
      <c r="CE178" s="327"/>
      <c r="CF178" s="327"/>
      <c r="CG178" s="327"/>
      <c r="CH178" s="327"/>
      <c r="CI178" s="327"/>
      <c r="CJ178" s="327"/>
      <c r="CK178" s="327"/>
      <c r="CL178" s="327"/>
      <c r="CM178" s="327"/>
      <c r="CN178" s="327"/>
      <c r="CO178" s="327"/>
      <c r="CP178" s="327"/>
      <c r="CQ178" s="327"/>
      <c r="CR178" s="327"/>
      <c r="CS178" s="327"/>
      <c r="CT178" s="327"/>
      <c r="CU178" s="327"/>
      <c r="CV178" s="327"/>
      <c r="CW178" s="327"/>
      <c r="CX178" s="327"/>
      <c r="CY178" s="327"/>
      <c r="CZ178" s="327"/>
      <c r="DA178" s="327"/>
      <c r="DB178" s="327"/>
      <c r="DC178" s="327"/>
      <c r="DD178" s="327"/>
      <c r="DE178" s="327"/>
      <c r="DF178" s="327"/>
      <c r="DG178" s="327"/>
      <c r="DH178" s="327"/>
      <c r="DI178" s="327"/>
      <c r="DJ178" s="327"/>
      <c r="DK178" s="327"/>
      <c r="DL178" s="327"/>
      <c r="DM178" s="327"/>
      <c r="DN178" s="327"/>
      <c r="DO178" s="327"/>
      <c r="DP178" s="327"/>
      <c r="DQ178" s="327"/>
      <c r="DR178" s="327"/>
      <c r="DS178" s="327"/>
      <c r="DT178" s="327"/>
      <c r="DU178" s="327"/>
      <c r="DV178" s="327"/>
      <c r="DW178" s="327"/>
      <c r="DX178" s="327"/>
      <c r="DY178" s="327"/>
      <c r="DZ178" s="327"/>
      <c r="EA178" s="327"/>
      <c r="EB178" s="327"/>
      <c r="EC178" s="327"/>
      <c r="ED178" s="327"/>
      <c r="EE178" s="327"/>
      <c r="EF178" s="327"/>
      <c r="EG178" s="327"/>
      <c r="EH178" s="327"/>
      <c r="EI178" s="327"/>
      <c r="EJ178" s="327"/>
      <c r="EK178" s="327"/>
      <c r="EL178" s="327"/>
      <c r="EM178" s="327"/>
      <c r="EN178" s="327"/>
      <c r="EO178" s="327"/>
      <c r="EP178" s="327"/>
      <c r="EQ178" s="327"/>
      <c r="ER178" s="327"/>
      <c r="ES178" s="327"/>
      <c r="ET178" s="327"/>
      <c r="EU178" s="327"/>
      <c r="EV178" s="327"/>
      <c r="EW178" s="327"/>
      <c r="EX178" s="327"/>
      <c r="EY178" s="327"/>
      <c r="EZ178" s="327"/>
      <c r="FA178" s="327"/>
      <c r="FB178" s="327"/>
      <c r="FC178" s="327"/>
      <c r="FD178" s="327"/>
      <c r="FE178" s="327"/>
      <c r="FF178" s="327"/>
      <c r="FG178" s="327"/>
      <c r="FH178" s="327"/>
      <c r="FI178" s="327"/>
      <c r="FJ178" s="327"/>
      <c r="FK178" s="327"/>
      <c r="FL178" s="327"/>
      <c r="FM178" s="327"/>
      <c r="FN178" s="327"/>
      <c r="FO178" s="327"/>
      <c r="FP178" s="327"/>
      <c r="FQ178" s="327"/>
      <c r="FR178" s="327"/>
      <c r="FS178" s="327"/>
      <c r="FT178" s="327"/>
      <c r="FU178" s="327"/>
      <c r="FV178" s="327"/>
      <c r="FW178" s="327"/>
      <c r="FX178" s="327"/>
      <c r="FY178" s="327"/>
      <c r="FZ178" s="327"/>
      <c r="GA178" s="327"/>
      <c r="GB178" s="327"/>
      <c r="GC178" s="327"/>
      <c r="GD178" s="327"/>
      <c r="GE178" s="327"/>
      <c r="GF178" s="327"/>
      <c r="GG178" s="327"/>
      <c r="GH178" s="327"/>
      <c r="GI178" s="327"/>
      <c r="GJ178" s="327"/>
      <c r="GK178" s="327"/>
      <c r="GL178" s="327"/>
      <c r="GM178" s="327"/>
      <c r="GN178" s="327"/>
      <c r="GO178" s="327"/>
      <c r="GP178" s="327"/>
      <c r="GQ178" s="327"/>
      <c r="GR178" s="327"/>
      <c r="GS178" s="327"/>
      <c r="GT178" s="327"/>
      <c r="GU178" s="327"/>
      <c r="GV178" s="327"/>
      <c r="GW178" s="327"/>
      <c r="GX178" s="327"/>
      <c r="GY178" s="327"/>
      <c r="GZ178" s="327"/>
      <c r="HA178" s="327"/>
      <c r="HB178" s="327"/>
      <c r="HC178" s="327"/>
      <c r="HD178" s="327"/>
      <c r="HE178" s="327"/>
      <c r="HF178" s="327"/>
      <c r="HG178" s="327"/>
      <c r="HH178" s="327"/>
      <c r="HI178" s="327"/>
      <c r="HJ178" s="327"/>
      <c r="HK178" s="327"/>
      <c r="HL178" s="327"/>
      <c r="HM178" s="327"/>
      <c r="HN178" s="327"/>
      <c r="HO178" s="327"/>
      <c r="HP178" s="327"/>
      <c r="HQ178" s="327"/>
      <c r="HR178" s="327"/>
      <c r="HS178" s="327"/>
    </row>
    <row r="179" spans="1:227" ht="15" customHeight="1">
      <c r="A179" s="330">
        <v>8</v>
      </c>
      <c r="B179" s="435" t="str">
        <f>VLOOKUP(Ruimtestaat[[#This Row],[Code]],Locaties[[Code]:[Locatie]],2,FALSE)</f>
        <v>IKC De Trinoom</v>
      </c>
      <c r="C179" s="435" t="str">
        <f>VLOOKUP(Ruimtestaat[[#This Row],[Code]],Locaties[[#All],[Code]:[Adres]],4,FALSE)</f>
        <v>Nieuwlandstraat 241</v>
      </c>
      <c r="D179" s="435" t="str">
        <f>VLOOKUP(Ruimtestaat[[#This Row],[Code]],Locaties[[#All],[Code]:[Postcode]],5,FALSE)</f>
        <v>2729 EB</v>
      </c>
      <c r="E179" s="435" t="str">
        <f>VLOOKUP(Ruimtestaat[[#This Row],[Code]],Locaties[#All],6,FALSE)</f>
        <v>Zoetermeer</v>
      </c>
      <c r="F179" s="434"/>
      <c r="G179" s="434" t="s">
        <v>1678</v>
      </c>
      <c r="H179" s="330" t="s">
        <v>1670</v>
      </c>
      <c r="I179" s="450" t="s">
        <v>1690</v>
      </c>
      <c r="J179" s="330">
        <v>16</v>
      </c>
      <c r="K179" s="450" t="str">
        <f>VLOOKUP(Ruimtestaat[[#This Row],[Ruimte code]],Ruimtegroepen[[#All],[Code]:[Ruimte omschrijving]],2,FALSE)</f>
        <v>Leslokalen</v>
      </c>
      <c r="L179" s="434" t="s">
        <v>100</v>
      </c>
      <c r="M179" s="437" t="s">
        <v>1759</v>
      </c>
      <c r="N179" s="439">
        <v>56</v>
      </c>
      <c r="O179" s="439"/>
      <c r="P179" s="439"/>
      <c r="Q179" s="439"/>
      <c r="R179" s="440" t="str">
        <f>VLOOKUP(Ruimtestaat[[#This Row],[Ruimte code]],Ruimtegroepen[],4,FALSE)</f>
        <v>Le</v>
      </c>
      <c r="S179" s="434">
        <v>40</v>
      </c>
      <c r="T179" s="434" t="s">
        <v>2</v>
      </c>
      <c r="U179" s="434">
        <f>IF(S179&gt;0,IF(RIGHT(Ruimtestaat[[#This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9" s="434">
        <f>IF(U179&gt;0,VLOOKUP($J179,Ruimtegroepen[],3,FALSE)*VLOOKUP($L179,Vloersoorten[],3,FALSE)*VLOOKUP($T179,Frequenties[],3,FALSE)*VLOOKUP($A179,Locaties[],3,FALSE),0)</f>
        <v>0</v>
      </c>
      <c r="W179" s="434">
        <f>Ruimtestaat[[#This Row],[Uitvoeringen werkdagen]]*Ruimtestaat[[#This Row],[Oppervlak (netto)]]</f>
        <v>11200</v>
      </c>
      <c r="X179" s="441">
        <f>IF(V179&gt;0,Ruimtestaat[[#This Row],[Prest. (m2 /jaar) werkdagen]]/Ruimtestaat[[#This Row],[Norm (m2/uur) werkdagen]],0)</f>
        <v>0</v>
      </c>
      <c r="Y179" s="442">
        <f>Ruimtestaat[[#This Row],[Uitvoeringen werkdagen]]*Ruimtestaat[[#This Row],[Gedeeltelijk]]</f>
        <v>0</v>
      </c>
      <c r="Z179" s="443" t="e">
        <f>IF(U179&gt;0,Ruimtestaat[[#This Row],[Prest. (m2 / jaar) werkdagen gedeeld]]/Ruimtestaat[[#This Row],[Norm (m2/uur) werkdagen]],0)</f>
        <v>#DIV/0!</v>
      </c>
      <c r="AA179" s="441" t="e">
        <f>Ruimtestaat[[#This Row],[uren / jaar werkdagen gedeeld]]*Tariefsopbouw!$E$35</f>
        <v>#DIV/0!</v>
      </c>
      <c r="AB179" s="441">
        <f>Ruimtestaat[[#This Row],[Uitvoeringen werkdagen]]*Ruimtestaat[[#This Row],[BSO]]</f>
        <v>0</v>
      </c>
      <c r="AC179" s="443" t="e">
        <f>IF(U179&gt;0,Ruimtestaat[[#This Row],[Prest. (m2 / jaar) werkdagen BSO]]/Ruimtestaat[[#This Row],[Norm (m2/uur) werkdagen]],0)</f>
        <v>#DIV/0!</v>
      </c>
      <c r="AD179" s="443" t="e">
        <f>Ruimtestaat[[#This Row],[uren / jaar werkdagen BSO]]*Tariefsopbouw!$E$35</f>
        <v>#DIV/0!</v>
      </c>
      <c r="AE179" s="444">
        <f>Ruimtestaat[[#This Row],[uren / jaar werkdagen]]*Tariefsopbouw!$E$35</f>
        <v>0</v>
      </c>
      <c r="AF179" s="434"/>
      <c r="AG179" s="434">
        <f>IF(Ruimtestaat[[#This Row],[Frequentie weekend]]&gt;0,VALUE(LEFT(AF179,1))*S179,0)</f>
        <v>0</v>
      </c>
      <c r="AH179" s="445">
        <f>IF($AG179&gt;0,VLOOKUP($J179,Ruimtegroepen[],3,FALSE)*VLOOKUP($L179,Vloersoorten[],3,FALSE)*VLOOKUP($AF179,Frequenties[],3,FALSE)*VLOOKUP(Ruimtestaat[[#This Row],[Code]],Locaties[],3,FALSE),0)</f>
        <v>0</v>
      </c>
      <c r="AI179" s="445">
        <f>Ruimtestaat[[#This Row],[Uitvoeringen weekend]]*Ruimtestaat[[#This Row],[Oppervlak (netto)]]</f>
        <v>0</v>
      </c>
      <c r="AJ179" s="445">
        <f>IF(AH179&gt;0,Ruimtestaat[[#This Row],[Prest. (m2 /jaar) weekend]]/Ruimtestaat[[#This Row],[Norm (m2/uur) weekend]],0)</f>
        <v>0</v>
      </c>
      <c r="AK179" s="444">
        <f>Ruimtestaat[[#This Row],[uren / jaar weekend]]*Tariefsopbouw!$D$40</f>
        <v>0</v>
      </c>
      <c r="AL179" s="441">
        <f>Ruimtestaat[[#This Row],[Prest. (m2 /jaar) weekend]]+Ruimtestaat[[#This Row],[Prest. (m2 /jaar) werkdagen]]</f>
        <v>11200</v>
      </c>
      <c r="AM179" s="441">
        <f>Ruimtestaat[[#This Row],[uren / jaar weekend]]+Ruimtestaat[[#This Row],[uren / jaar werkdagen]]</f>
        <v>0</v>
      </c>
      <c r="AN179" s="446">
        <f>Ruimtestaat[[#This Row],[kosten / jaar weekend]]+Ruimtestaat[[#This Row],[kosten / jaar werkdagen]]</f>
        <v>0</v>
      </c>
      <c r="AO179" s="446"/>
      <c r="AP179" s="447" t="str">
        <f>IF(Ruimtestaat[[#This Row],[Frequentie werkdagen]]="","",_xlfn.CONCAT(Ruimtestaat[[#This Row],[Ruimte code]],"-",Ruimtestaat[[#This Row],[Frequentie werkdagen]]," ",Ruimtestaat[[#This Row],[Vloer code]]))</f>
        <v>16-5w L</v>
      </c>
      <c r="AQ179" s="448" t="str">
        <f>_xlfn.IFNA(VLOOKUP($AP179,Programma!$F$3:$G$1101,2,0),"")</f>
        <v>_</v>
      </c>
      <c r="AR179" s="448" t="str">
        <f>_xlfn.IFNA(VLOOKUP($AP179,Programma!$F$3:$H$1101,3,0),"")</f>
        <v>_</v>
      </c>
      <c r="AS179" s="448" t="str">
        <f>_xlfn.IFNA(VLOOKUP($AP179,Programma!$F$3:$I$1101,4,0),"")</f>
        <v>4w</v>
      </c>
      <c r="AT179" s="448" t="str">
        <f>_xlfn.IFNA(VLOOKUP($AP179,Programma!$F$3:$J$1101,5,0),"")</f>
        <v>1w</v>
      </c>
      <c r="AU179" s="448" t="str">
        <f>_xlfn.IFNA(VLOOKUP($AP179,Programma!$F$3:$K$1101,6,0),"")</f>
        <v>_</v>
      </c>
      <c r="AV179" s="448" t="str">
        <f>_xlfn.IFNA(VLOOKUP($AP179,Programma!$F$3:$L$1101,7,0),"")</f>
        <v>_</v>
      </c>
      <c r="AW179" s="448" t="str">
        <f>_xlfn.IFNA(VLOOKUP($AP179,Programma!$F$3:$M$1101,8,0),"")</f>
        <v>_</v>
      </c>
      <c r="AX179" s="448" t="str">
        <f>_xlfn.IFNA(VLOOKUP($AP179,Programma!$F$3:$N$1101,9,0),"")</f>
        <v>_</v>
      </c>
      <c r="AY179" s="448" t="str">
        <f>_xlfn.IFNA(VLOOKUP($AP179,Programma!$F$3:$O$1101,10,0),"")</f>
        <v>5w</v>
      </c>
      <c r="AZ179" s="448" t="str">
        <f>_xlfn.IFNA(VLOOKUP($AP179,Programma!$F$3:$P$1101,11,0),"")</f>
        <v>5w</v>
      </c>
      <c r="BA179" s="448" t="str">
        <f>_xlfn.IFNA(VLOOKUP($AP179,Programma!$F$3:$Q$1101,12,0),"")</f>
        <v>1w</v>
      </c>
      <c r="BB179" s="448" t="str">
        <f>_xlfn.IFNA(VLOOKUP($AP179,Programma!$F$3:$R$1101,13,0),"")</f>
        <v>1w</v>
      </c>
      <c r="BC179" s="448" t="str">
        <f>_xlfn.IFNA(VLOOKUP($AP179,Programma!$F$3:$S$1101,14,0),"")</f>
        <v>1m</v>
      </c>
      <c r="BD179" s="448" t="str">
        <f>_xlfn.IFNA(VLOOKUP($AP179,Programma!$F$3:$T$1101,15,0),"")</f>
        <v>2j</v>
      </c>
      <c r="BE179" s="448" t="str">
        <f>_xlfn.IFNA(VLOOKUP($AP179,Programma!$F$3:$U$1101,16,0),"")</f>
        <v>1j</v>
      </c>
      <c r="BF179" s="448" t="str">
        <f>_xlfn.IFNA(VLOOKUP($AP179,Programma!$F$3:$V$1101,17,0),"")</f>
        <v>_</v>
      </c>
      <c r="BG179" s="448" t="str">
        <f>_xlfn.IFNA(VLOOKUP($AP179,Programma!$F$3:$W$1101,18,0),"")</f>
        <v>_</v>
      </c>
      <c r="BH179" s="448" t="str">
        <f>_xlfn.IFNA(VLOOKUP($AP179,Programma!$F$3:$X$1101,19,0),"")</f>
        <v>_</v>
      </c>
      <c r="BI179" s="448" t="str">
        <f>_xlfn.IFNA(VLOOKUP($AP179,Programma!$F$3:$Y$1101,20,0),"")</f>
        <v>_</v>
      </c>
      <c r="BJ179" s="449"/>
      <c r="BK179" s="447" t="str">
        <f>IF(Ruimtestaat[[#This Row],[Frequentie weekend]]="","",_xlfn.CONCAT(Ruimtestaat[[#This Row],[Ruimte code]],"-",Ruimtestaat[[#This Row],[Frequentie weekend]]," ",Ruimtestaat[[#This Row],[Vloer code]]))</f>
        <v/>
      </c>
      <c r="BL179" s="448" t="str">
        <f>_xlfn.IFNA(VLOOKUP($BK179,Programma!$F$3:$G$1101,2,0),"")</f>
        <v/>
      </c>
      <c r="BM179" s="448" t="str">
        <f>_xlfn.IFNA(VLOOKUP($BK179,Programma!$F$3:$H$1101,3,0),"")</f>
        <v/>
      </c>
      <c r="BN179" s="448" t="str">
        <f>_xlfn.IFNA(VLOOKUP($BK179,Programma!$F$3:$I$1101,4,0),"")</f>
        <v/>
      </c>
      <c r="BO179" s="448" t="str">
        <f>_xlfn.IFNA(VLOOKUP($BK179,Programma!$F$3:$J$1101,5,0),"")</f>
        <v/>
      </c>
      <c r="BP179" s="448" t="str">
        <f>_xlfn.IFNA(VLOOKUP($BK179,Programma!$F$3:$K$1101,6,0),"")</f>
        <v/>
      </c>
      <c r="BQ179" s="448" t="str">
        <f>_xlfn.IFNA(VLOOKUP($BK179,Programma!$F$3:$L$1101,7,0),"")</f>
        <v/>
      </c>
      <c r="BR179" s="448" t="str">
        <f>_xlfn.IFNA(VLOOKUP($BK179,Programma!$F$3:$M$1101,8,0),"")</f>
        <v/>
      </c>
      <c r="BS179" s="448" t="str">
        <f>_xlfn.IFNA(VLOOKUP($BK179,Programma!$F$3:$N$1101,9,0),"")</f>
        <v/>
      </c>
      <c r="BT179" s="448" t="str">
        <f>_xlfn.IFNA(VLOOKUP($BK179,Programma!$F$3:$O$1101,10,0),"")</f>
        <v/>
      </c>
      <c r="BU179" s="448" t="str">
        <f>_xlfn.IFNA(VLOOKUP($BK179,Programma!$F$3:$P$1101,11,0),"")</f>
        <v/>
      </c>
      <c r="BV179" s="448" t="str">
        <f>_xlfn.IFNA(VLOOKUP($BK179,Programma!$F$3:$Q$1101,12,0),"")</f>
        <v/>
      </c>
      <c r="BW179" s="448" t="str">
        <f>_xlfn.IFNA(VLOOKUP($BK179,Programma!$F$3:$R$1101,13,0),"")</f>
        <v/>
      </c>
      <c r="BX179" s="448" t="str">
        <f>_xlfn.IFNA(VLOOKUP($BK179,Programma!$F$3:$S$1101,14,0),"")</f>
        <v/>
      </c>
      <c r="BY179" s="448" t="str">
        <f>_xlfn.IFNA(VLOOKUP($BK179,Programma!$F$3:$T$1101,15,0),"")</f>
        <v/>
      </c>
      <c r="BZ179" s="448" t="str">
        <f>_xlfn.IFNA(VLOOKUP($BK179,Programma!$F$3:$U$1101,16,0),"")</f>
        <v/>
      </c>
      <c r="CA179" s="448" t="str">
        <f>_xlfn.IFNA(VLOOKUP($BK179,Programma!$F$3:$V$1101,17,0),"")</f>
        <v/>
      </c>
      <c r="CB179" s="448" t="str">
        <f>_xlfn.IFNA(VLOOKUP($BK179,Programma!$F$3:$W$1101,18,0),"")</f>
        <v/>
      </c>
      <c r="CC179" s="448" t="str">
        <f>_xlfn.IFNA(VLOOKUP($BK179,Programma!$F$3:$X$1101,19,0),"")</f>
        <v/>
      </c>
      <c r="CD179" s="448" t="str">
        <f>_xlfn.IFNA(VLOOKUP($BK179,Programma!$F$3:$Y$1101,20,0),"")</f>
        <v/>
      </c>
      <c r="CE179" s="327"/>
      <c r="CF179" s="327"/>
      <c r="CG179" s="327"/>
      <c r="CH179" s="327"/>
      <c r="CI179" s="327"/>
      <c r="CJ179" s="327"/>
      <c r="CK179" s="327"/>
      <c r="CL179" s="327"/>
      <c r="CM179" s="327"/>
      <c r="CN179" s="327"/>
      <c r="CO179" s="327"/>
      <c r="CP179" s="327"/>
      <c r="CQ179" s="327"/>
      <c r="CR179" s="327"/>
      <c r="CS179" s="327"/>
      <c r="CT179" s="327"/>
      <c r="CU179" s="327"/>
      <c r="CV179" s="327"/>
      <c r="CW179" s="327"/>
      <c r="CX179" s="327"/>
      <c r="CY179" s="327"/>
      <c r="CZ179" s="327"/>
      <c r="DA179" s="327"/>
      <c r="DB179" s="327"/>
      <c r="DC179" s="327"/>
      <c r="DD179" s="327"/>
      <c r="DE179" s="327"/>
      <c r="DF179" s="327"/>
      <c r="DG179" s="327"/>
      <c r="DH179" s="327"/>
      <c r="DI179" s="327"/>
      <c r="DJ179" s="327"/>
      <c r="DK179" s="327"/>
      <c r="DL179" s="327"/>
      <c r="DM179" s="327"/>
      <c r="DN179" s="327"/>
      <c r="DO179" s="327"/>
      <c r="DP179" s="327"/>
      <c r="DQ179" s="327"/>
      <c r="DR179" s="327"/>
      <c r="DS179" s="327"/>
      <c r="DT179" s="327"/>
      <c r="DU179" s="327"/>
      <c r="DV179" s="327"/>
      <c r="DW179" s="327"/>
      <c r="DX179" s="327"/>
      <c r="DY179" s="327"/>
      <c r="DZ179" s="327"/>
      <c r="EA179" s="327"/>
      <c r="EB179" s="327"/>
      <c r="EC179" s="327"/>
      <c r="ED179" s="327"/>
      <c r="EE179" s="327"/>
      <c r="EF179" s="327"/>
      <c r="EG179" s="327"/>
      <c r="EH179" s="327"/>
      <c r="EI179" s="327"/>
      <c r="EJ179" s="327"/>
      <c r="EK179" s="327"/>
      <c r="EL179" s="327"/>
      <c r="EM179" s="327"/>
      <c r="EN179" s="327"/>
      <c r="EO179" s="327"/>
      <c r="EP179" s="327"/>
      <c r="EQ179" s="327"/>
      <c r="ER179" s="327"/>
      <c r="ES179" s="327"/>
      <c r="ET179" s="327"/>
      <c r="EU179" s="327"/>
      <c r="EV179" s="327"/>
      <c r="EW179" s="327"/>
      <c r="EX179" s="327"/>
      <c r="EY179" s="327"/>
      <c r="EZ179" s="327"/>
      <c r="FA179" s="327"/>
      <c r="FB179" s="327"/>
      <c r="FC179" s="327"/>
      <c r="FD179" s="327"/>
      <c r="FE179" s="327"/>
      <c r="FF179" s="327"/>
      <c r="FG179" s="327"/>
      <c r="FH179" s="327"/>
      <c r="FI179" s="327"/>
      <c r="FJ179" s="327"/>
      <c r="FK179" s="327"/>
      <c r="FL179" s="327"/>
      <c r="FM179" s="327"/>
      <c r="FN179" s="327"/>
      <c r="FO179" s="327"/>
      <c r="FP179" s="327"/>
      <c r="FQ179" s="327"/>
      <c r="FR179" s="327"/>
      <c r="FS179" s="327"/>
      <c r="FT179" s="327"/>
      <c r="FU179" s="327"/>
      <c r="FV179" s="327"/>
      <c r="FW179" s="327"/>
      <c r="FX179" s="327"/>
      <c r="FY179" s="327"/>
      <c r="FZ179" s="327"/>
      <c r="GA179" s="327"/>
      <c r="GB179" s="327"/>
      <c r="GC179" s="327"/>
      <c r="GD179" s="327"/>
      <c r="GE179" s="327"/>
      <c r="GF179" s="327"/>
      <c r="GG179" s="327"/>
      <c r="GH179" s="327"/>
      <c r="GI179" s="327"/>
      <c r="GJ179" s="327"/>
      <c r="GK179" s="327"/>
      <c r="GL179" s="327"/>
      <c r="GM179" s="327"/>
      <c r="GN179" s="327"/>
      <c r="GO179" s="327"/>
      <c r="GP179" s="327"/>
      <c r="GQ179" s="327"/>
      <c r="GR179" s="327"/>
      <c r="GS179" s="327"/>
      <c r="GT179" s="327"/>
      <c r="GU179" s="327"/>
      <c r="GV179" s="327"/>
      <c r="GW179" s="327"/>
      <c r="GX179" s="327"/>
      <c r="GY179" s="327"/>
      <c r="GZ179" s="327"/>
      <c r="HA179" s="327"/>
      <c r="HB179" s="327"/>
      <c r="HC179" s="327"/>
      <c r="HD179" s="327"/>
      <c r="HE179" s="327"/>
      <c r="HF179" s="327"/>
      <c r="HG179" s="327"/>
      <c r="HH179" s="327"/>
      <c r="HI179" s="327"/>
      <c r="HJ179" s="327"/>
      <c r="HK179" s="327"/>
      <c r="HL179" s="327"/>
      <c r="HM179" s="327"/>
      <c r="HN179" s="327"/>
      <c r="HO179" s="327"/>
      <c r="HP179" s="327"/>
      <c r="HQ179" s="327"/>
      <c r="HR179" s="327"/>
      <c r="HS179" s="327"/>
    </row>
    <row r="180" spans="1:227" ht="15" customHeight="1">
      <c r="A180" s="330">
        <v>8</v>
      </c>
      <c r="B180" s="435" t="str">
        <f>VLOOKUP(Ruimtestaat[[#This Row],[Code]],Locaties[[Code]:[Locatie]],2,FALSE)</f>
        <v>IKC De Trinoom</v>
      </c>
      <c r="C180" s="435" t="str">
        <f>VLOOKUP(Ruimtestaat[[#This Row],[Code]],Locaties[[#All],[Code]:[Adres]],4,FALSE)</f>
        <v>Nieuwlandstraat 241</v>
      </c>
      <c r="D180" s="435" t="str">
        <f>VLOOKUP(Ruimtestaat[[#This Row],[Code]],Locaties[[#All],[Code]:[Postcode]],5,FALSE)</f>
        <v>2729 EB</v>
      </c>
      <c r="E180" s="435" t="str">
        <f>VLOOKUP(Ruimtestaat[[#This Row],[Code]],Locaties[#All],6,FALSE)</f>
        <v>Zoetermeer</v>
      </c>
      <c r="F180" s="434"/>
      <c r="G180" s="434" t="s">
        <v>1678</v>
      </c>
      <c r="H180" s="330" t="s">
        <v>1672</v>
      </c>
      <c r="I180" s="450" t="s">
        <v>1708</v>
      </c>
      <c r="J180" s="330">
        <v>6</v>
      </c>
      <c r="K180" s="450" t="str">
        <f>VLOOKUP(Ruimtestaat[[#This Row],[Ruimte code]],Ruimtegroepen[[#All],[Code]:[Ruimte omschrijving]],2,FALSE)</f>
        <v>Gangen/hallen</v>
      </c>
      <c r="L180" s="434" t="s">
        <v>100</v>
      </c>
      <c r="M180" s="437" t="s">
        <v>1759</v>
      </c>
      <c r="N180" s="439">
        <v>21</v>
      </c>
      <c r="O180" s="439"/>
      <c r="P180" s="439"/>
      <c r="Q180" s="439"/>
      <c r="R180" s="440" t="str">
        <f>VLOOKUP(Ruimtestaat[[#This Row],[Ruimte code]],Ruimtegroepen[],4,FALSE)</f>
        <v>Ve</v>
      </c>
      <c r="S180" s="434">
        <v>41</v>
      </c>
      <c r="T180" s="434" t="s">
        <v>2</v>
      </c>
      <c r="U180" s="434">
        <f>IF(S180&gt;0,IF(RIGHT(Ruimtestaat[[#This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80" s="434">
        <f>IF(U180&gt;0,VLOOKUP($J180,Ruimtegroepen[],3,FALSE)*VLOOKUP($L180,Vloersoorten[],3,FALSE)*VLOOKUP($T180,Frequenties[],3,FALSE)*VLOOKUP($A180,Locaties[],3,FALSE),0)</f>
        <v>0</v>
      </c>
      <c r="W180" s="434">
        <f>Ruimtestaat[[#This Row],[Uitvoeringen werkdagen]]*Ruimtestaat[[#This Row],[Oppervlak (netto)]]</f>
        <v>4305</v>
      </c>
      <c r="X180" s="441">
        <f>IF(V180&gt;0,Ruimtestaat[[#This Row],[Prest. (m2 /jaar) werkdagen]]/Ruimtestaat[[#This Row],[Norm (m2/uur) werkdagen]],0)</f>
        <v>0</v>
      </c>
      <c r="Y180" s="442">
        <f>Ruimtestaat[[#This Row],[Uitvoeringen werkdagen]]*Ruimtestaat[[#This Row],[Gedeeltelijk]]</f>
        <v>0</v>
      </c>
      <c r="Z180" s="443" t="e">
        <f>IF(U180&gt;0,Ruimtestaat[[#This Row],[Prest. (m2 / jaar) werkdagen gedeeld]]/Ruimtestaat[[#This Row],[Norm (m2/uur) werkdagen]],0)</f>
        <v>#DIV/0!</v>
      </c>
      <c r="AA180" s="441" t="e">
        <f>Ruimtestaat[[#This Row],[uren / jaar werkdagen gedeeld]]*Tariefsopbouw!$E$35</f>
        <v>#DIV/0!</v>
      </c>
      <c r="AB180" s="441">
        <f>Ruimtestaat[[#This Row],[Uitvoeringen werkdagen]]*Ruimtestaat[[#This Row],[BSO]]</f>
        <v>0</v>
      </c>
      <c r="AC180" s="443" t="e">
        <f>IF(U180&gt;0,Ruimtestaat[[#This Row],[Prest. (m2 / jaar) werkdagen BSO]]/Ruimtestaat[[#This Row],[Norm (m2/uur) werkdagen]],0)</f>
        <v>#DIV/0!</v>
      </c>
      <c r="AD180" s="443" t="e">
        <f>Ruimtestaat[[#This Row],[uren / jaar werkdagen BSO]]*Tariefsopbouw!$E$35</f>
        <v>#DIV/0!</v>
      </c>
      <c r="AE180" s="444">
        <f>Ruimtestaat[[#This Row],[uren / jaar werkdagen]]*Tariefsopbouw!$E$35</f>
        <v>0</v>
      </c>
      <c r="AF180" s="434"/>
      <c r="AG180" s="434">
        <f>IF(Ruimtestaat[[#This Row],[Frequentie weekend]]&gt;0,VALUE(LEFT(AF180,1))*S180,0)</f>
        <v>0</v>
      </c>
      <c r="AH180" s="445">
        <f>IF($AG180&gt;0,VLOOKUP($J180,Ruimtegroepen[],3,FALSE)*VLOOKUP($L180,Vloersoorten[],3,FALSE)*VLOOKUP($AF180,Frequenties[],3,FALSE)*VLOOKUP(Ruimtestaat[[#This Row],[Code]],Locaties[],3,FALSE),0)</f>
        <v>0</v>
      </c>
      <c r="AI180" s="445">
        <f>Ruimtestaat[[#This Row],[Uitvoeringen weekend]]*Ruimtestaat[[#This Row],[Oppervlak (netto)]]</f>
        <v>0</v>
      </c>
      <c r="AJ180" s="445">
        <f>IF(AH180&gt;0,Ruimtestaat[[#This Row],[Prest. (m2 /jaar) weekend]]/Ruimtestaat[[#This Row],[Norm (m2/uur) weekend]],0)</f>
        <v>0</v>
      </c>
      <c r="AK180" s="444">
        <f>Ruimtestaat[[#This Row],[uren / jaar weekend]]*Tariefsopbouw!$D$40</f>
        <v>0</v>
      </c>
      <c r="AL180" s="441">
        <f>Ruimtestaat[[#This Row],[Prest. (m2 /jaar) weekend]]+Ruimtestaat[[#This Row],[Prest. (m2 /jaar) werkdagen]]</f>
        <v>4305</v>
      </c>
      <c r="AM180" s="441">
        <f>Ruimtestaat[[#This Row],[uren / jaar weekend]]+Ruimtestaat[[#This Row],[uren / jaar werkdagen]]</f>
        <v>0</v>
      </c>
      <c r="AN180" s="446">
        <f>Ruimtestaat[[#This Row],[kosten / jaar weekend]]+Ruimtestaat[[#This Row],[kosten / jaar werkdagen]]</f>
        <v>0</v>
      </c>
      <c r="AO180" s="446"/>
      <c r="AP180" s="447" t="str">
        <f>IF(Ruimtestaat[[#This Row],[Frequentie werkdagen]]="","",_xlfn.CONCAT(Ruimtestaat[[#This Row],[Ruimte code]],"-",Ruimtestaat[[#This Row],[Frequentie werkdagen]]," ",Ruimtestaat[[#This Row],[Vloer code]]))</f>
        <v>6-5w L</v>
      </c>
      <c r="AQ180" s="448" t="str">
        <f>_xlfn.IFNA(VLOOKUP($AP180,Programma!$F$3:$G$1101,2,0),"")</f>
        <v>_</v>
      </c>
      <c r="AR180" s="448" t="str">
        <f>_xlfn.IFNA(VLOOKUP($AP180,Programma!$F$3:$H$1101,3,0),"")</f>
        <v>_</v>
      </c>
      <c r="AS180" s="448" t="str">
        <f>_xlfn.IFNA(VLOOKUP($AP180,Programma!$F$3:$I$1101,4,0),"")</f>
        <v>_</v>
      </c>
      <c r="AT180" s="448" t="str">
        <f>_xlfn.IFNA(VLOOKUP($AP180,Programma!$F$3:$J$1101,5,0),"")</f>
        <v>5w</v>
      </c>
      <c r="AU180" s="448" t="str">
        <f>_xlfn.IFNA(VLOOKUP($AP180,Programma!$F$3:$K$1101,6,0),"")</f>
        <v>_</v>
      </c>
      <c r="AV180" s="448" t="str">
        <f>_xlfn.IFNA(VLOOKUP($AP180,Programma!$F$3:$L$1101,7,0),"")</f>
        <v>_</v>
      </c>
      <c r="AW180" s="448" t="str">
        <f>_xlfn.IFNA(VLOOKUP($AP180,Programma!$F$3:$M$1101,8,0),"")</f>
        <v>_</v>
      </c>
      <c r="AX180" s="448" t="str">
        <f>_xlfn.IFNA(VLOOKUP($AP180,Programma!$F$3:$N$1101,9,0),"")</f>
        <v>_</v>
      </c>
      <c r="AY180" s="448" t="str">
        <f>_xlfn.IFNA(VLOOKUP($AP180,Programma!$F$3:$O$1101,10,0),"")</f>
        <v>5w</v>
      </c>
      <c r="AZ180" s="448" t="str">
        <f>_xlfn.IFNA(VLOOKUP($AP180,Programma!$F$3:$P$1101,11,0),"")</f>
        <v>5w</v>
      </c>
      <c r="BA180" s="448" t="str">
        <f>_xlfn.IFNA(VLOOKUP($AP180,Programma!$F$3:$Q$1101,12,0),"")</f>
        <v>1w</v>
      </c>
      <c r="BB180" s="448" t="str">
        <f>_xlfn.IFNA(VLOOKUP($AP180,Programma!$F$3:$R$1101,13,0),"")</f>
        <v>1w</v>
      </c>
      <c r="BC180" s="448" t="str">
        <f>_xlfn.IFNA(VLOOKUP($AP180,Programma!$F$3:$S$1101,14,0),"")</f>
        <v>1m</v>
      </c>
      <c r="BD180" s="448" t="str">
        <f>_xlfn.IFNA(VLOOKUP($AP180,Programma!$F$3:$T$1101,15,0),"")</f>
        <v>2j</v>
      </c>
      <c r="BE180" s="448" t="str">
        <f>_xlfn.IFNA(VLOOKUP($AP180,Programma!$F$3:$U$1101,16,0),"")</f>
        <v>1j</v>
      </c>
      <c r="BF180" s="448" t="str">
        <f>_xlfn.IFNA(VLOOKUP($AP180,Programma!$F$3:$V$1101,17,0),"")</f>
        <v>_</v>
      </c>
      <c r="BG180" s="448" t="str">
        <f>_xlfn.IFNA(VLOOKUP($AP180,Programma!$F$3:$W$1101,18,0),"")</f>
        <v>_</v>
      </c>
      <c r="BH180" s="448" t="str">
        <f>_xlfn.IFNA(VLOOKUP($AP180,Programma!$F$3:$X$1101,19,0),"")</f>
        <v>_</v>
      </c>
      <c r="BI180" s="448" t="str">
        <f>_xlfn.IFNA(VLOOKUP($AP180,Programma!$F$3:$Y$1101,20,0),"")</f>
        <v>_</v>
      </c>
      <c r="BJ180" s="449"/>
      <c r="BK180" s="447" t="str">
        <f>IF(Ruimtestaat[[#This Row],[Frequentie weekend]]="","",_xlfn.CONCAT(Ruimtestaat[[#This Row],[Ruimte code]],"-",Ruimtestaat[[#This Row],[Frequentie weekend]]," ",Ruimtestaat[[#This Row],[Vloer code]]))</f>
        <v/>
      </c>
      <c r="BL180" s="448" t="str">
        <f>_xlfn.IFNA(VLOOKUP($BK180,Programma!$F$3:$G$1101,2,0),"")</f>
        <v/>
      </c>
      <c r="BM180" s="448" t="str">
        <f>_xlfn.IFNA(VLOOKUP($BK180,Programma!$F$3:$H$1101,3,0),"")</f>
        <v/>
      </c>
      <c r="BN180" s="448" t="str">
        <f>_xlfn.IFNA(VLOOKUP($BK180,Programma!$F$3:$I$1101,4,0),"")</f>
        <v/>
      </c>
      <c r="BO180" s="448" t="str">
        <f>_xlfn.IFNA(VLOOKUP($BK180,Programma!$F$3:$J$1101,5,0),"")</f>
        <v/>
      </c>
      <c r="BP180" s="448" t="str">
        <f>_xlfn.IFNA(VLOOKUP($BK180,Programma!$F$3:$K$1101,6,0),"")</f>
        <v/>
      </c>
      <c r="BQ180" s="448" t="str">
        <f>_xlfn.IFNA(VLOOKUP($BK180,Programma!$F$3:$L$1101,7,0),"")</f>
        <v/>
      </c>
      <c r="BR180" s="448" t="str">
        <f>_xlfn.IFNA(VLOOKUP($BK180,Programma!$F$3:$M$1101,8,0),"")</f>
        <v/>
      </c>
      <c r="BS180" s="448" t="str">
        <f>_xlfn.IFNA(VLOOKUP($BK180,Programma!$F$3:$N$1101,9,0),"")</f>
        <v/>
      </c>
      <c r="BT180" s="448" t="str">
        <f>_xlfn.IFNA(VLOOKUP($BK180,Programma!$F$3:$O$1101,10,0),"")</f>
        <v/>
      </c>
      <c r="BU180" s="448" t="str">
        <f>_xlfn.IFNA(VLOOKUP($BK180,Programma!$F$3:$P$1101,11,0),"")</f>
        <v/>
      </c>
      <c r="BV180" s="448" t="str">
        <f>_xlfn.IFNA(VLOOKUP($BK180,Programma!$F$3:$Q$1101,12,0),"")</f>
        <v/>
      </c>
      <c r="BW180" s="448" t="str">
        <f>_xlfn.IFNA(VLOOKUP($BK180,Programma!$F$3:$R$1101,13,0),"")</f>
        <v/>
      </c>
      <c r="BX180" s="448" t="str">
        <f>_xlfn.IFNA(VLOOKUP($BK180,Programma!$F$3:$S$1101,14,0),"")</f>
        <v/>
      </c>
      <c r="BY180" s="448" t="str">
        <f>_xlfn.IFNA(VLOOKUP($BK180,Programma!$F$3:$T$1101,15,0),"")</f>
        <v/>
      </c>
      <c r="BZ180" s="448" t="str">
        <f>_xlfn.IFNA(VLOOKUP($BK180,Programma!$F$3:$U$1101,16,0),"")</f>
        <v/>
      </c>
      <c r="CA180" s="448" t="str">
        <f>_xlfn.IFNA(VLOOKUP($BK180,Programma!$F$3:$V$1101,17,0),"")</f>
        <v/>
      </c>
      <c r="CB180" s="448" t="str">
        <f>_xlfn.IFNA(VLOOKUP($BK180,Programma!$F$3:$W$1101,18,0),"")</f>
        <v/>
      </c>
      <c r="CC180" s="448" t="str">
        <f>_xlfn.IFNA(VLOOKUP($BK180,Programma!$F$3:$X$1101,19,0),"")</f>
        <v/>
      </c>
      <c r="CD180" s="448" t="str">
        <f>_xlfn.IFNA(VLOOKUP($BK180,Programma!$F$3:$Y$1101,20,0),"")</f>
        <v/>
      </c>
      <c r="CE180" s="327"/>
      <c r="CF180" s="327"/>
      <c r="CG180" s="327"/>
      <c r="CH180" s="327"/>
      <c r="CI180" s="327"/>
      <c r="CJ180" s="327"/>
      <c r="CK180" s="327"/>
      <c r="CL180" s="327"/>
      <c r="CM180" s="327"/>
      <c r="CN180" s="327"/>
      <c r="CO180" s="327"/>
      <c r="CP180" s="327"/>
      <c r="CQ180" s="327"/>
      <c r="CR180" s="327"/>
      <c r="CS180" s="327"/>
      <c r="CT180" s="327"/>
      <c r="CU180" s="327"/>
      <c r="CV180" s="327"/>
      <c r="CW180" s="327"/>
      <c r="CX180" s="327"/>
      <c r="CY180" s="327"/>
      <c r="CZ180" s="327"/>
      <c r="DA180" s="327"/>
      <c r="DB180" s="327"/>
      <c r="DC180" s="327"/>
      <c r="DD180" s="327"/>
      <c r="DE180" s="327"/>
      <c r="DF180" s="327"/>
      <c r="DG180" s="327"/>
      <c r="DH180" s="327"/>
      <c r="DI180" s="327"/>
      <c r="DJ180" s="327"/>
      <c r="DK180" s="327"/>
      <c r="DL180" s="327"/>
      <c r="DM180" s="327"/>
      <c r="DN180" s="327"/>
      <c r="DO180" s="327"/>
      <c r="DP180" s="327"/>
      <c r="DQ180" s="327"/>
      <c r="DR180" s="327"/>
      <c r="DS180" s="327"/>
      <c r="DT180" s="327"/>
      <c r="DU180" s="327"/>
      <c r="DV180" s="327"/>
      <c r="DW180" s="327"/>
      <c r="DX180" s="327"/>
      <c r="DY180" s="327"/>
      <c r="DZ180" s="327"/>
      <c r="EA180" s="327"/>
      <c r="EB180" s="327"/>
      <c r="EC180" s="327"/>
      <c r="ED180" s="327"/>
      <c r="EE180" s="327"/>
      <c r="EF180" s="327"/>
      <c r="EG180" s="327"/>
      <c r="EH180" s="327"/>
      <c r="EI180" s="327"/>
      <c r="EJ180" s="327"/>
      <c r="EK180" s="327"/>
      <c r="EL180" s="327"/>
      <c r="EM180" s="327"/>
      <c r="EN180" s="327"/>
      <c r="EO180" s="327"/>
      <c r="EP180" s="327"/>
      <c r="EQ180" s="327"/>
      <c r="ER180" s="327"/>
      <c r="ES180" s="327"/>
      <c r="ET180" s="327"/>
      <c r="EU180" s="327"/>
      <c r="EV180" s="327"/>
      <c r="EW180" s="327"/>
      <c r="EX180" s="327"/>
      <c r="EY180" s="327"/>
      <c r="EZ180" s="327"/>
      <c r="FA180" s="327"/>
      <c r="FB180" s="327"/>
      <c r="FC180" s="327"/>
      <c r="FD180" s="327"/>
      <c r="FE180" s="327"/>
      <c r="FF180" s="327"/>
      <c r="FG180" s="327"/>
      <c r="FH180" s="327"/>
      <c r="FI180" s="327"/>
      <c r="FJ180" s="327"/>
      <c r="FK180" s="327"/>
      <c r="FL180" s="327"/>
      <c r="FM180" s="327"/>
      <c r="FN180" s="327"/>
      <c r="FO180" s="327"/>
      <c r="FP180" s="327"/>
      <c r="FQ180" s="327"/>
      <c r="FR180" s="327"/>
      <c r="FS180" s="327"/>
      <c r="FT180" s="327"/>
      <c r="FU180" s="327"/>
      <c r="FV180" s="327"/>
      <c r="FW180" s="327"/>
      <c r="FX180" s="327"/>
      <c r="FY180" s="327"/>
      <c r="FZ180" s="327"/>
      <c r="GA180" s="327"/>
      <c r="GB180" s="327"/>
      <c r="GC180" s="327"/>
      <c r="GD180" s="327"/>
      <c r="GE180" s="327"/>
      <c r="GF180" s="327"/>
      <c r="GG180" s="327"/>
      <c r="GH180" s="327"/>
      <c r="GI180" s="327"/>
      <c r="GJ180" s="327"/>
      <c r="GK180" s="327"/>
      <c r="GL180" s="327"/>
      <c r="GM180" s="327"/>
      <c r="GN180" s="327"/>
      <c r="GO180" s="327"/>
      <c r="GP180" s="327"/>
      <c r="GQ180" s="327"/>
      <c r="GR180" s="327"/>
      <c r="GS180" s="327"/>
      <c r="GT180" s="327"/>
      <c r="GU180" s="327"/>
      <c r="GV180" s="327"/>
      <c r="GW180" s="327"/>
      <c r="GX180" s="327"/>
      <c r="GY180" s="327"/>
      <c r="GZ180" s="327"/>
      <c r="HA180" s="327"/>
      <c r="HB180" s="327"/>
      <c r="HC180" s="327"/>
      <c r="HD180" s="327"/>
      <c r="HE180" s="327"/>
      <c r="HF180" s="327"/>
      <c r="HG180" s="327"/>
      <c r="HH180" s="327"/>
      <c r="HI180" s="327"/>
      <c r="HJ180" s="327"/>
      <c r="HK180" s="327"/>
      <c r="HL180" s="327"/>
      <c r="HM180" s="327"/>
      <c r="HN180" s="327"/>
      <c r="HO180" s="327"/>
      <c r="HP180" s="327"/>
      <c r="HQ180" s="327"/>
      <c r="HR180" s="327"/>
      <c r="HS180" s="327"/>
    </row>
    <row r="181" spans="1:227" ht="15" customHeight="1">
      <c r="A181" s="330">
        <v>8</v>
      </c>
      <c r="B181" s="435" t="str">
        <f>VLOOKUP(Ruimtestaat[[#This Row],[Code]],Locaties[[Code]:[Locatie]],2,FALSE)</f>
        <v>IKC De Trinoom</v>
      </c>
      <c r="C181" s="435" t="str">
        <f>VLOOKUP(Ruimtestaat[[#This Row],[Code]],Locaties[[#All],[Code]:[Adres]],4,FALSE)</f>
        <v>Nieuwlandstraat 241</v>
      </c>
      <c r="D181" s="435" t="str">
        <f>VLOOKUP(Ruimtestaat[[#This Row],[Code]],Locaties[[#All],[Code]:[Postcode]],5,FALSE)</f>
        <v>2729 EB</v>
      </c>
      <c r="E181" s="435" t="str">
        <f>VLOOKUP(Ruimtestaat[[#This Row],[Code]],Locaties[#All],6,FALSE)</f>
        <v>Zoetermeer</v>
      </c>
      <c r="F181" s="434"/>
      <c r="G181" s="434" t="s">
        <v>1678</v>
      </c>
      <c r="H181" s="330" t="s">
        <v>1674</v>
      </c>
      <c r="I181" s="450" t="s">
        <v>1749</v>
      </c>
      <c r="J181" s="330">
        <v>2</v>
      </c>
      <c r="K181" s="450" t="str">
        <f>VLOOKUP(Ruimtestaat[[#This Row],[Ruimte code]],Ruimtegroepen[[#All],[Code]:[Ruimte omschrijving]],2,FALSE)</f>
        <v>Kantoren</v>
      </c>
      <c r="L181" s="434" t="s">
        <v>99</v>
      </c>
      <c r="M181" s="437" t="s">
        <v>36</v>
      </c>
      <c r="N181" s="439">
        <v>82</v>
      </c>
      <c r="O181" s="439"/>
      <c r="P181" s="439"/>
      <c r="Q181" s="439"/>
      <c r="R181" s="440" t="str">
        <f>VLOOKUP(Ruimtestaat[[#This Row],[Ruimte code]],Ruimtegroepen[],4,FALSE)</f>
        <v>Bu</v>
      </c>
      <c r="S181" s="434">
        <v>41</v>
      </c>
      <c r="T181" s="434" t="s">
        <v>17</v>
      </c>
      <c r="U181" s="434">
        <f>IF(S181&gt;0,IF(RIGHT(Ruimtestaat[[#This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81" s="434">
        <f>IF(U181&gt;0,VLOOKUP($J181,Ruimtegroepen[],3,FALSE)*VLOOKUP($L181,Vloersoorten[],3,FALSE)*VLOOKUP($T181,Frequenties[],3,FALSE)*VLOOKUP($A181,Locaties[],3,FALSE),0)</f>
        <v>0</v>
      </c>
      <c r="W181" s="434">
        <f>Ruimtestaat[[#This Row],[Uitvoeringen werkdagen]]*Ruimtestaat[[#This Row],[Oppervlak (netto)]]</f>
        <v>6724</v>
      </c>
      <c r="X181" s="441">
        <f>IF(V181&gt;0,Ruimtestaat[[#This Row],[Prest. (m2 /jaar) werkdagen]]/Ruimtestaat[[#This Row],[Norm (m2/uur) werkdagen]],0)</f>
        <v>0</v>
      </c>
      <c r="Y181" s="442">
        <f>Ruimtestaat[[#This Row],[Uitvoeringen werkdagen]]*Ruimtestaat[[#This Row],[Gedeeltelijk]]</f>
        <v>0</v>
      </c>
      <c r="Z181" s="443" t="e">
        <f>IF(U181&gt;0,Ruimtestaat[[#This Row],[Prest. (m2 / jaar) werkdagen gedeeld]]/Ruimtestaat[[#This Row],[Norm (m2/uur) werkdagen]],0)</f>
        <v>#DIV/0!</v>
      </c>
      <c r="AA181" s="441" t="e">
        <f>Ruimtestaat[[#This Row],[uren / jaar werkdagen gedeeld]]*Tariefsopbouw!$E$35</f>
        <v>#DIV/0!</v>
      </c>
      <c r="AB181" s="441">
        <f>Ruimtestaat[[#This Row],[Uitvoeringen werkdagen]]*Ruimtestaat[[#This Row],[BSO]]</f>
        <v>0</v>
      </c>
      <c r="AC181" s="443" t="e">
        <f>IF(U181&gt;0,Ruimtestaat[[#This Row],[Prest. (m2 / jaar) werkdagen BSO]]/Ruimtestaat[[#This Row],[Norm (m2/uur) werkdagen]],0)</f>
        <v>#DIV/0!</v>
      </c>
      <c r="AD181" s="443" t="e">
        <f>Ruimtestaat[[#This Row],[uren / jaar werkdagen BSO]]*Tariefsopbouw!$E$35</f>
        <v>#DIV/0!</v>
      </c>
      <c r="AE181" s="444">
        <f>Ruimtestaat[[#This Row],[uren / jaar werkdagen]]*Tariefsopbouw!$E$35</f>
        <v>0</v>
      </c>
      <c r="AF181" s="434"/>
      <c r="AG181" s="434">
        <f>IF(Ruimtestaat[[#This Row],[Frequentie weekend]]&gt;0,VALUE(LEFT(AF181,1))*S181,0)</f>
        <v>0</v>
      </c>
      <c r="AH181" s="445">
        <f>IF($AG181&gt;0,VLOOKUP($J181,Ruimtegroepen[],3,FALSE)*VLOOKUP($L181,Vloersoorten[],3,FALSE)*VLOOKUP($AF181,Frequenties[],3,FALSE)*VLOOKUP(Ruimtestaat[[#This Row],[Code]],Locaties[],3,FALSE),0)</f>
        <v>0</v>
      </c>
      <c r="AI181" s="445">
        <f>Ruimtestaat[[#This Row],[Uitvoeringen weekend]]*Ruimtestaat[[#This Row],[Oppervlak (netto)]]</f>
        <v>0</v>
      </c>
      <c r="AJ181" s="445">
        <f>IF(AH181&gt;0,Ruimtestaat[[#This Row],[Prest. (m2 /jaar) weekend]]/Ruimtestaat[[#This Row],[Norm (m2/uur) weekend]],0)</f>
        <v>0</v>
      </c>
      <c r="AK181" s="444">
        <f>Ruimtestaat[[#This Row],[uren / jaar weekend]]*Tariefsopbouw!$D$40</f>
        <v>0</v>
      </c>
      <c r="AL181" s="441">
        <f>Ruimtestaat[[#This Row],[Prest. (m2 /jaar) weekend]]+Ruimtestaat[[#This Row],[Prest. (m2 /jaar) werkdagen]]</f>
        <v>6724</v>
      </c>
      <c r="AM181" s="441">
        <f>Ruimtestaat[[#This Row],[uren / jaar weekend]]+Ruimtestaat[[#This Row],[uren / jaar werkdagen]]</f>
        <v>0</v>
      </c>
      <c r="AN181" s="446">
        <f>Ruimtestaat[[#This Row],[kosten / jaar weekend]]+Ruimtestaat[[#This Row],[kosten / jaar werkdagen]]</f>
        <v>0</v>
      </c>
      <c r="AO181" s="446"/>
      <c r="AP181" s="447" t="str">
        <f>IF(Ruimtestaat[[#This Row],[Frequentie werkdagen]]="","",_xlfn.CONCAT(Ruimtestaat[[#This Row],[Ruimte code]],"-",Ruimtestaat[[#This Row],[Frequentie werkdagen]]," ",Ruimtestaat[[#This Row],[Vloer code]]))</f>
        <v>2-2w T</v>
      </c>
      <c r="AQ181" s="448" t="str">
        <f>_xlfn.IFNA(VLOOKUP($AP181,Programma!$F$3:$G$1101,2,0),"")</f>
        <v>1w</v>
      </c>
      <c r="AR181" s="448" t="str">
        <f>_xlfn.IFNA(VLOOKUP($AP181,Programma!$F$3:$H$1101,3,0),"")</f>
        <v>1w</v>
      </c>
      <c r="AS181" s="448" t="str">
        <f>_xlfn.IFNA(VLOOKUP($AP181,Programma!$F$3:$I$1101,4,0),"")</f>
        <v>_</v>
      </c>
      <c r="AT181" s="448" t="str">
        <f>_xlfn.IFNA(VLOOKUP($AP181,Programma!$F$3:$J$1101,5,0),"")</f>
        <v>_</v>
      </c>
      <c r="AU181" s="448" t="str">
        <f>_xlfn.IFNA(VLOOKUP($AP181,Programma!$F$3:$K$1101,6,0),"")</f>
        <v>_</v>
      </c>
      <c r="AV181" s="448" t="str">
        <f>_xlfn.IFNA(VLOOKUP($AP181,Programma!$F$3:$L$1101,7,0),"")</f>
        <v>_</v>
      </c>
      <c r="AW181" s="448" t="str">
        <f>_xlfn.IFNA(VLOOKUP($AP181,Programma!$F$3:$M$1101,8,0),"")</f>
        <v>_</v>
      </c>
      <c r="AX181" s="448" t="str">
        <f>_xlfn.IFNA(VLOOKUP($AP181,Programma!$F$3:$N$1101,9,0),"")</f>
        <v>_</v>
      </c>
      <c r="AY181" s="448" t="str">
        <f>_xlfn.IFNA(VLOOKUP($AP181,Programma!$F$3:$O$1101,10,0),"")</f>
        <v>2w</v>
      </c>
      <c r="AZ181" s="448" t="str">
        <f>_xlfn.IFNA(VLOOKUP($AP181,Programma!$F$3:$P$1101,11,0),"")</f>
        <v>2w</v>
      </c>
      <c r="BA181" s="448" t="str">
        <f>_xlfn.IFNA(VLOOKUP($AP181,Programma!$F$3:$Q$1101,12,0),"")</f>
        <v>1w</v>
      </c>
      <c r="BB181" s="448" t="str">
        <f>_xlfn.IFNA(VLOOKUP($AP181,Programma!$F$3:$R$1101,13,0),"")</f>
        <v>1w</v>
      </c>
      <c r="BC181" s="448" t="str">
        <f>_xlfn.IFNA(VLOOKUP($AP181,Programma!$F$3:$S$1101,14,0),"")</f>
        <v>1m</v>
      </c>
      <c r="BD181" s="448" t="str">
        <f>_xlfn.IFNA(VLOOKUP($AP181,Programma!$F$3:$T$1101,15,0),"")</f>
        <v>2j</v>
      </c>
      <c r="BE181" s="448" t="str">
        <f>_xlfn.IFNA(VLOOKUP($AP181,Programma!$F$3:$U$1101,16,0),"")</f>
        <v>1j</v>
      </c>
      <c r="BF181" s="448" t="str">
        <f>_xlfn.IFNA(VLOOKUP($AP181,Programma!$F$3:$V$1101,17,0),"")</f>
        <v>_</v>
      </c>
      <c r="BG181" s="448" t="str">
        <f>_xlfn.IFNA(VLOOKUP($AP181,Programma!$F$3:$W$1101,18,0),"")</f>
        <v>_</v>
      </c>
      <c r="BH181" s="448" t="str">
        <f>_xlfn.IFNA(VLOOKUP($AP181,Programma!$F$3:$X$1101,19,0),"")</f>
        <v>_</v>
      </c>
      <c r="BI181" s="448" t="str">
        <f>_xlfn.IFNA(VLOOKUP($AP181,Programma!$F$3:$Y$1101,20,0),"")</f>
        <v>_</v>
      </c>
      <c r="BJ181" s="449"/>
      <c r="BK181" s="447" t="str">
        <f>IF(Ruimtestaat[[#This Row],[Frequentie weekend]]="","",_xlfn.CONCAT(Ruimtestaat[[#This Row],[Ruimte code]],"-",Ruimtestaat[[#This Row],[Frequentie weekend]]," ",Ruimtestaat[[#This Row],[Vloer code]]))</f>
        <v/>
      </c>
      <c r="BL181" s="448" t="str">
        <f>_xlfn.IFNA(VLOOKUP($BK181,Programma!$F$3:$G$1101,2,0),"")</f>
        <v/>
      </c>
      <c r="BM181" s="448" t="str">
        <f>_xlfn.IFNA(VLOOKUP($BK181,Programma!$F$3:$H$1101,3,0),"")</f>
        <v/>
      </c>
      <c r="BN181" s="448" t="str">
        <f>_xlfn.IFNA(VLOOKUP($BK181,Programma!$F$3:$I$1101,4,0),"")</f>
        <v/>
      </c>
      <c r="BO181" s="448" t="str">
        <f>_xlfn.IFNA(VLOOKUP($BK181,Programma!$F$3:$J$1101,5,0),"")</f>
        <v/>
      </c>
      <c r="BP181" s="448" t="str">
        <f>_xlfn.IFNA(VLOOKUP($BK181,Programma!$F$3:$K$1101,6,0),"")</f>
        <v/>
      </c>
      <c r="BQ181" s="448" t="str">
        <f>_xlfn.IFNA(VLOOKUP($BK181,Programma!$F$3:$L$1101,7,0),"")</f>
        <v/>
      </c>
      <c r="BR181" s="448" t="str">
        <f>_xlfn.IFNA(VLOOKUP($BK181,Programma!$F$3:$M$1101,8,0),"")</f>
        <v/>
      </c>
      <c r="BS181" s="448" t="str">
        <f>_xlfn.IFNA(VLOOKUP($BK181,Programma!$F$3:$N$1101,9,0),"")</f>
        <v/>
      </c>
      <c r="BT181" s="448" t="str">
        <f>_xlfn.IFNA(VLOOKUP($BK181,Programma!$F$3:$O$1101,10,0),"")</f>
        <v/>
      </c>
      <c r="BU181" s="448" t="str">
        <f>_xlfn.IFNA(VLOOKUP($BK181,Programma!$F$3:$P$1101,11,0),"")</f>
        <v/>
      </c>
      <c r="BV181" s="448" t="str">
        <f>_xlfn.IFNA(VLOOKUP($BK181,Programma!$F$3:$Q$1101,12,0),"")</f>
        <v/>
      </c>
      <c r="BW181" s="448" t="str">
        <f>_xlfn.IFNA(VLOOKUP($BK181,Programma!$F$3:$R$1101,13,0),"")</f>
        <v/>
      </c>
      <c r="BX181" s="448" t="str">
        <f>_xlfn.IFNA(VLOOKUP($BK181,Programma!$F$3:$S$1101,14,0),"")</f>
        <v/>
      </c>
      <c r="BY181" s="448" t="str">
        <f>_xlfn.IFNA(VLOOKUP($BK181,Programma!$F$3:$T$1101,15,0),"")</f>
        <v/>
      </c>
      <c r="BZ181" s="448" t="str">
        <f>_xlfn.IFNA(VLOOKUP($BK181,Programma!$F$3:$U$1101,16,0),"")</f>
        <v/>
      </c>
      <c r="CA181" s="448" t="str">
        <f>_xlfn.IFNA(VLOOKUP($BK181,Programma!$F$3:$V$1101,17,0),"")</f>
        <v/>
      </c>
      <c r="CB181" s="448" t="str">
        <f>_xlfn.IFNA(VLOOKUP($BK181,Programma!$F$3:$W$1101,18,0),"")</f>
        <v/>
      </c>
      <c r="CC181" s="448" t="str">
        <f>_xlfn.IFNA(VLOOKUP($BK181,Programma!$F$3:$X$1101,19,0),"")</f>
        <v/>
      </c>
      <c r="CD181" s="448" t="str">
        <f>_xlfn.IFNA(VLOOKUP($BK181,Programma!$F$3:$Y$1101,20,0),"")</f>
        <v/>
      </c>
      <c r="CE181" s="327"/>
      <c r="CF181" s="327"/>
      <c r="CG181" s="327"/>
      <c r="CH181" s="327"/>
      <c r="CI181" s="327"/>
      <c r="CJ181" s="327"/>
      <c r="CK181" s="327"/>
      <c r="CL181" s="327"/>
      <c r="CM181" s="327"/>
      <c r="CN181" s="327"/>
      <c r="CO181" s="327"/>
      <c r="CP181" s="327"/>
      <c r="CQ181" s="327"/>
      <c r="CR181" s="327"/>
      <c r="CS181" s="327"/>
      <c r="CT181" s="327"/>
      <c r="CU181" s="327"/>
      <c r="CV181" s="327"/>
      <c r="CW181" s="327"/>
      <c r="CX181" s="327"/>
      <c r="CY181" s="327"/>
      <c r="CZ181" s="327"/>
      <c r="DA181" s="327"/>
      <c r="DB181" s="327"/>
      <c r="DC181" s="327"/>
      <c r="DD181" s="327"/>
      <c r="DE181" s="327"/>
      <c r="DF181" s="327"/>
      <c r="DG181" s="327"/>
      <c r="DH181" s="327"/>
      <c r="DI181" s="327"/>
      <c r="DJ181" s="327"/>
      <c r="DK181" s="327"/>
      <c r="DL181" s="327"/>
      <c r="DM181" s="327"/>
      <c r="DN181" s="327"/>
      <c r="DO181" s="327"/>
      <c r="DP181" s="327"/>
      <c r="DQ181" s="327"/>
      <c r="DR181" s="327"/>
      <c r="DS181" s="327"/>
      <c r="DT181" s="327"/>
      <c r="DU181" s="327"/>
      <c r="DV181" s="327"/>
      <c r="DW181" s="327"/>
      <c r="DX181" s="327"/>
      <c r="DY181" s="327"/>
      <c r="DZ181" s="327"/>
      <c r="EA181" s="327"/>
      <c r="EB181" s="327"/>
      <c r="EC181" s="327"/>
      <c r="ED181" s="327"/>
      <c r="EE181" s="327"/>
      <c r="EF181" s="327"/>
      <c r="EG181" s="327"/>
      <c r="EH181" s="327"/>
      <c r="EI181" s="327"/>
      <c r="EJ181" s="327"/>
      <c r="EK181" s="327"/>
      <c r="EL181" s="327"/>
      <c r="EM181" s="327"/>
      <c r="EN181" s="327"/>
      <c r="EO181" s="327"/>
      <c r="EP181" s="327"/>
      <c r="EQ181" s="327"/>
      <c r="ER181" s="327"/>
      <c r="ES181" s="327"/>
      <c r="ET181" s="327"/>
      <c r="EU181" s="327"/>
      <c r="EV181" s="327"/>
      <c r="EW181" s="327"/>
      <c r="EX181" s="327"/>
      <c r="EY181" s="327"/>
      <c r="EZ181" s="327"/>
      <c r="FA181" s="327"/>
      <c r="FB181" s="327"/>
      <c r="FC181" s="327"/>
      <c r="FD181" s="327"/>
      <c r="FE181" s="327"/>
      <c r="FF181" s="327"/>
      <c r="FG181" s="327"/>
      <c r="FH181" s="327"/>
      <c r="FI181" s="327"/>
      <c r="FJ181" s="327"/>
      <c r="FK181" s="327"/>
      <c r="FL181" s="327"/>
      <c r="FM181" s="327"/>
      <c r="FN181" s="327"/>
      <c r="FO181" s="327"/>
      <c r="FP181" s="327"/>
      <c r="FQ181" s="327"/>
      <c r="FR181" s="327"/>
      <c r="FS181" s="327"/>
      <c r="FT181" s="327"/>
      <c r="FU181" s="327"/>
      <c r="FV181" s="327"/>
      <c r="FW181" s="327"/>
      <c r="FX181" s="327"/>
      <c r="FY181" s="327"/>
      <c r="FZ181" s="327"/>
      <c r="GA181" s="327"/>
      <c r="GB181" s="327"/>
      <c r="GC181" s="327"/>
      <c r="GD181" s="327"/>
      <c r="GE181" s="327"/>
      <c r="GF181" s="327"/>
      <c r="GG181" s="327"/>
      <c r="GH181" s="327"/>
      <c r="GI181" s="327"/>
      <c r="GJ181" s="327"/>
      <c r="GK181" s="327"/>
      <c r="GL181" s="327"/>
      <c r="GM181" s="327"/>
      <c r="GN181" s="327"/>
      <c r="GO181" s="327"/>
      <c r="GP181" s="327"/>
      <c r="GQ181" s="327"/>
      <c r="GR181" s="327"/>
      <c r="GS181" s="327"/>
      <c r="GT181" s="327"/>
      <c r="GU181" s="327"/>
      <c r="GV181" s="327"/>
      <c r="GW181" s="327"/>
      <c r="GX181" s="327"/>
      <c r="GY181" s="327"/>
      <c r="GZ181" s="327"/>
      <c r="HA181" s="327"/>
      <c r="HB181" s="327"/>
      <c r="HC181" s="327"/>
      <c r="HD181" s="327"/>
      <c r="HE181" s="327"/>
      <c r="HF181" s="327"/>
      <c r="HG181" s="327"/>
      <c r="HH181" s="327"/>
      <c r="HI181" s="327"/>
      <c r="HJ181" s="327"/>
      <c r="HK181" s="327"/>
      <c r="HL181" s="327"/>
      <c r="HM181" s="327"/>
      <c r="HN181" s="327"/>
      <c r="HO181" s="327"/>
      <c r="HP181" s="327"/>
      <c r="HQ181" s="327"/>
      <c r="HR181" s="327"/>
      <c r="HS181" s="327"/>
    </row>
    <row r="182" spans="1:227" ht="15" customHeight="1">
      <c r="A182" s="330">
        <v>8</v>
      </c>
      <c r="B182" s="435" t="str">
        <f>VLOOKUP(Ruimtestaat[[#This Row],[Code]],Locaties[[Code]:[Locatie]],2,FALSE)</f>
        <v>IKC De Trinoom</v>
      </c>
      <c r="C182" s="435" t="str">
        <f>VLOOKUP(Ruimtestaat[[#This Row],[Code]],Locaties[[#All],[Code]:[Adres]],4,FALSE)</f>
        <v>Nieuwlandstraat 241</v>
      </c>
      <c r="D182" s="435" t="str">
        <f>VLOOKUP(Ruimtestaat[[#This Row],[Code]],Locaties[[#All],[Code]:[Postcode]],5,FALSE)</f>
        <v>2729 EB</v>
      </c>
      <c r="E182" s="435" t="str">
        <f>VLOOKUP(Ruimtestaat[[#This Row],[Code]],Locaties[#All],6,FALSE)</f>
        <v>Zoetermeer</v>
      </c>
      <c r="F182" s="434"/>
      <c r="G182" s="434" t="s">
        <v>1678</v>
      </c>
      <c r="H182" s="330" t="s">
        <v>1680</v>
      </c>
      <c r="I182" s="450" t="s">
        <v>1749</v>
      </c>
      <c r="J182" s="330">
        <v>2</v>
      </c>
      <c r="K182" s="450" t="str">
        <f>VLOOKUP(Ruimtestaat[[#This Row],[Ruimte code]],Ruimtegroepen[[#All],[Code]:[Ruimte omschrijving]],2,FALSE)</f>
        <v>Kantoren</v>
      </c>
      <c r="L182" s="434" t="s">
        <v>99</v>
      </c>
      <c r="M182" s="437" t="s">
        <v>36</v>
      </c>
      <c r="N182" s="439">
        <v>26</v>
      </c>
      <c r="O182" s="439"/>
      <c r="P182" s="439"/>
      <c r="Q182" s="439"/>
      <c r="R182" s="440" t="str">
        <f>VLOOKUP(Ruimtestaat[[#This Row],[Ruimte code]],Ruimtegroepen[],4,FALSE)</f>
        <v>Bu</v>
      </c>
      <c r="S182" s="434">
        <v>41</v>
      </c>
      <c r="T182" s="434" t="s">
        <v>17</v>
      </c>
      <c r="U182" s="434">
        <f>IF(S182&gt;0,IF(RIGHT(Ruimtestaat[[#This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82" s="434">
        <f>IF(U182&gt;0,VLOOKUP($J182,Ruimtegroepen[],3,FALSE)*VLOOKUP($L182,Vloersoorten[],3,FALSE)*VLOOKUP($T182,Frequenties[],3,FALSE)*VLOOKUP($A182,Locaties[],3,FALSE),0)</f>
        <v>0</v>
      </c>
      <c r="W182" s="434">
        <f>Ruimtestaat[[#This Row],[Uitvoeringen werkdagen]]*Ruimtestaat[[#This Row],[Oppervlak (netto)]]</f>
        <v>2132</v>
      </c>
      <c r="X182" s="441">
        <f>IF(V182&gt;0,Ruimtestaat[[#This Row],[Prest. (m2 /jaar) werkdagen]]/Ruimtestaat[[#This Row],[Norm (m2/uur) werkdagen]],0)</f>
        <v>0</v>
      </c>
      <c r="Y182" s="442">
        <f>Ruimtestaat[[#This Row],[Uitvoeringen werkdagen]]*Ruimtestaat[[#This Row],[Gedeeltelijk]]</f>
        <v>0</v>
      </c>
      <c r="Z182" s="443" t="e">
        <f>IF(U182&gt;0,Ruimtestaat[[#This Row],[Prest. (m2 / jaar) werkdagen gedeeld]]/Ruimtestaat[[#This Row],[Norm (m2/uur) werkdagen]],0)</f>
        <v>#DIV/0!</v>
      </c>
      <c r="AA182" s="441" t="e">
        <f>Ruimtestaat[[#This Row],[uren / jaar werkdagen gedeeld]]*Tariefsopbouw!$E$35</f>
        <v>#DIV/0!</v>
      </c>
      <c r="AB182" s="441">
        <f>Ruimtestaat[[#This Row],[Uitvoeringen werkdagen]]*Ruimtestaat[[#This Row],[BSO]]</f>
        <v>0</v>
      </c>
      <c r="AC182" s="443" t="e">
        <f>IF(U182&gt;0,Ruimtestaat[[#This Row],[Prest. (m2 / jaar) werkdagen BSO]]/Ruimtestaat[[#This Row],[Norm (m2/uur) werkdagen]],0)</f>
        <v>#DIV/0!</v>
      </c>
      <c r="AD182" s="443" t="e">
        <f>Ruimtestaat[[#This Row],[uren / jaar werkdagen BSO]]*Tariefsopbouw!$E$35</f>
        <v>#DIV/0!</v>
      </c>
      <c r="AE182" s="444">
        <f>Ruimtestaat[[#This Row],[uren / jaar werkdagen]]*Tariefsopbouw!$E$35</f>
        <v>0</v>
      </c>
      <c r="AF182" s="434"/>
      <c r="AG182" s="434">
        <f>IF(Ruimtestaat[[#This Row],[Frequentie weekend]]&gt;0,VALUE(LEFT(AF182,1))*S182,0)</f>
        <v>0</v>
      </c>
      <c r="AH182" s="445">
        <f>IF($AG182&gt;0,VLOOKUP($J182,Ruimtegroepen[],3,FALSE)*VLOOKUP($L182,Vloersoorten[],3,FALSE)*VLOOKUP($AF182,Frequenties[],3,FALSE)*VLOOKUP(Ruimtestaat[[#This Row],[Code]],Locaties[],3,FALSE),0)</f>
        <v>0</v>
      </c>
      <c r="AI182" s="445">
        <f>Ruimtestaat[[#This Row],[Uitvoeringen weekend]]*Ruimtestaat[[#This Row],[Oppervlak (netto)]]</f>
        <v>0</v>
      </c>
      <c r="AJ182" s="445">
        <f>IF(AH182&gt;0,Ruimtestaat[[#This Row],[Prest. (m2 /jaar) weekend]]/Ruimtestaat[[#This Row],[Norm (m2/uur) weekend]],0)</f>
        <v>0</v>
      </c>
      <c r="AK182" s="444">
        <f>Ruimtestaat[[#This Row],[uren / jaar weekend]]*Tariefsopbouw!$D$40</f>
        <v>0</v>
      </c>
      <c r="AL182" s="441">
        <f>Ruimtestaat[[#This Row],[Prest. (m2 /jaar) weekend]]+Ruimtestaat[[#This Row],[Prest. (m2 /jaar) werkdagen]]</f>
        <v>2132</v>
      </c>
      <c r="AM182" s="441">
        <f>Ruimtestaat[[#This Row],[uren / jaar weekend]]+Ruimtestaat[[#This Row],[uren / jaar werkdagen]]</f>
        <v>0</v>
      </c>
      <c r="AN182" s="446">
        <f>Ruimtestaat[[#This Row],[kosten / jaar weekend]]+Ruimtestaat[[#This Row],[kosten / jaar werkdagen]]</f>
        <v>0</v>
      </c>
      <c r="AO182" s="446"/>
      <c r="AP182" s="447" t="str">
        <f>IF(Ruimtestaat[[#This Row],[Frequentie werkdagen]]="","",_xlfn.CONCAT(Ruimtestaat[[#This Row],[Ruimte code]],"-",Ruimtestaat[[#This Row],[Frequentie werkdagen]]," ",Ruimtestaat[[#This Row],[Vloer code]]))</f>
        <v>2-2w T</v>
      </c>
      <c r="AQ182" s="448" t="str">
        <f>_xlfn.IFNA(VLOOKUP($AP182,Programma!$F$3:$G$1101,2,0),"")</f>
        <v>1w</v>
      </c>
      <c r="AR182" s="448" t="str">
        <f>_xlfn.IFNA(VLOOKUP($AP182,Programma!$F$3:$H$1101,3,0),"")</f>
        <v>1w</v>
      </c>
      <c r="AS182" s="448" t="str">
        <f>_xlfn.IFNA(VLOOKUP($AP182,Programma!$F$3:$I$1101,4,0),"")</f>
        <v>_</v>
      </c>
      <c r="AT182" s="448" t="str">
        <f>_xlfn.IFNA(VLOOKUP($AP182,Programma!$F$3:$J$1101,5,0),"")</f>
        <v>_</v>
      </c>
      <c r="AU182" s="448" t="str">
        <f>_xlfn.IFNA(VLOOKUP($AP182,Programma!$F$3:$K$1101,6,0),"")</f>
        <v>_</v>
      </c>
      <c r="AV182" s="448" t="str">
        <f>_xlfn.IFNA(VLOOKUP($AP182,Programma!$F$3:$L$1101,7,0),"")</f>
        <v>_</v>
      </c>
      <c r="AW182" s="448" t="str">
        <f>_xlfn.IFNA(VLOOKUP($AP182,Programma!$F$3:$M$1101,8,0),"")</f>
        <v>_</v>
      </c>
      <c r="AX182" s="448" t="str">
        <f>_xlfn.IFNA(VLOOKUP($AP182,Programma!$F$3:$N$1101,9,0),"")</f>
        <v>_</v>
      </c>
      <c r="AY182" s="448" t="str">
        <f>_xlfn.IFNA(VLOOKUP($AP182,Programma!$F$3:$O$1101,10,0),"")</f>
        <v>2w</v>
      </c>
      <c r="AZ182" s="448" t="str">
        <f>_xlfn.IFNA(VLOOKUP($AP182,Programma!$F$3:$P$1101,11,0),"")</f>
        <v>2w</v>
      </c>
      <c r="BA182" s="448" t="str">
        <f>_xlfn.IFNA(VLOOKUP($AP182,Programma!$F$3:$Q$1101,12,0),"")</f>
        <v>1w</v>
      </c>
      <c r="BB182" s="448" t="str">
        <f>_xlfn.IFNA(VLOOKUP($AP182,Programma!$F$3:$R$1101,13,0),"")</f>
        <v>1w</v>
      </c>
      <c r="BC182" s="448" t="str">
        <f>_xlfn.IFNA(VLOOKUP($AP182,Programma!$F$3:$S$1101,14,0),"")</f>
        <v>1m</v>
      </c>
      <c r="BD182" s="448" t="str">
        <f>_xlfn.IFNA(VLOOKUP($AP182,Programma!$F$3:$T$1101,15,0),"")</f>
        <v>2j</v>
      </c>
      <c r="BE182" s="448" t="str">
        <f>_xlfn.IFNA(VLOOKUP($AP182,Programma!$F$3:$U$1101,16,0),"")</f>
        <v>1j</v>
      </c>
      <c r="BF182" s="448" t="str">
        <f>_xlfn.IFNA(VLOOKUP($AP182,Programma!$F$3:$V$1101,17,0),"")</f>
        <v>_</v>
      </c>
      <c r="BG182" s="448" t="str">
        <f>_xlfn.IFNA(VLOOKUP($AP182,Programma!$F$3:$W$1101,18,0),"")</f>
        <v>_</v>
      </c>
      <c r="BH182" s="448" t="str">
        <f>_xlfn.IFNA(VLOOKUP($AP182,Programma!$F$3:$X$1101,19,0),"")</f>
        <v>_</v>
      </c>
      <c r="BI182" s="448" t="str">
        <f>_xlfn.IFNA(VLOOKUP($AP182,Programma!$F$3:$Y$1101,20,0),"")</f>
        <v>_</v>
      </c>
      <c r="BJ182" s="449"/>
      <c r="BK182" s="447" t="str">
        <f>IF(Ruimtestaat[[#This Row],[Frequentie weekend]]="","",_xlfn.CONCAT(Ruimtestaat[[#This Row],[Ruimte code]],"-",Ruimtestaat[[#This Row],[Frequentie weekend]]," ",Ruimtestaat[[#This Row],[Vloer code]]))</f>
        <v/>
      </c>
      <c r="BL182" s="448" t="str">
        <f>_xlfn.IFNA(VLOOKUP($BK182,Programma!$F$3:$G$1101,2,0),"")</f>
        <v/>
      </c>
      <c r="BM182" s="448" t="str">
        <f>_xlfn.IFNA(VLOOKUP($BK182,Programma!$F$3:$H$1101,3,0),"")</f>
        <v/>
      </c>
      <c r="BN182" s="448" t="str">
        <f>_xlfn.IFNA(VLOOKUP($BK182,Programma!$F$3:$I$1101,4,0),"")</f>
        <v/>
      </c>
      <c r="BO182" s="448" t="str">
        <f>_xlfn.IFNA(VLOOKUP($BK182,Programma!$F$3:$J$1101,5,0),"")</f>
        <v/>
      </c>
      <c r="BP182" s="448" t="str">
        <f>_xlfn.IFNA(VLOOKUP($BK182,Programma!$F$3:$K$1101,6,0),"")</f>
        <v/>
      </c>
      <c r="BQ182" s="448" t="str">
        <f>_xlfn.IFNA(VLOOKUP($BK182,Programma!$F$3:$L$1101,7,0),"")</f>
        <v/>
      </c>
      <c r="BR182" s="448" t="str">
        <f>_xlfn.IFNA(VLOOKUP($BK182,Programma!$F$3:$M$1101,8,0),"")</f>
        <v/>
      </c>
      <c r="BS182" s="448" t="str">
        <f>_xlfn.IFNA(VLOOKUP($BK182,Programma!$F$3:$N$1101,9,0),"")</f>
        <v/>
      </c>
      <c r="BT182" s="448" t="str">
        <f>_xlfn.IFNA(VLOOKUP($BK182,Programma!$F$3:$O$1101,10,0),"")</f>
        <v/>
      </c>
      <c r="BU182" s="448" t="str">
        <f>_xlfn.IFNA(VLOOKUP($BK182,Programma!$F$3:$P$1101,11,0),"")</f>
        <v/>
      </c>
      <c r="BV182" s="448" t="str">
        <f>_xlfn.IFNA(VLOOKUP($BK182,Programma!$F$3:$Q$1101,12,0),"")</f>
        <v/>
      </c>
      <c r="BW182" s="448" t="str">
        <f>_xlfn.IFNA(VLOOKUP($BK182,Programma!$F$3:$R$1101,13,0),"")</f>
        <v/>
      </c>
      <c r="BX182" s="448" t="str">
        <f>_xlfn.IFNA(VLOOKUP($BK182,Programma!$F$3:$S$1101,14,0),"")</f>
        <v/>
      </c>
      <c r="BY182" s="448" t="str">
        <f>_xlfn.IFNA(VLOOKUP($BK182,Programma!$F$3:$T$1101,15,0),"")</f>
        <v/>
      </c>
      <c r="BZ182" s="448" t="str">
        <f>_xlfn.IFNA(VLOOKUP($BK182,Programma!$F$3:$U$1101,16,0),"")</f>
        <v/>
      </c>
      <c r="CA182" s="448" t="str">
        <f>_xlfn.IFNA(VLOOKUP($BK182,Programma!$F$3:$V$1101,17,0),"")</f>
        <v/>
      </c>
      <c r="CB182" s="448" t="str">
        <f>_xlfn.IFNA(VLOOKUP($BK182,Programma!$F$3:$W$1101,18,0),"")</f>
        <v/>
      </c>
      <c r="CC182" s="448" t="str">
        <f>_xlfn.IFNA(VLOOKUP($BK182,Programma!$F$3:$X$1101,19,0),"")</f>
        <v/>
      </c>
      <c r="CD182" s="448" t="str">
        <f>_xlfn.IFNA(VLOOKUP($BK182,Programma!$F$3:$Y$1101,20,0),"")</f>
        <v/>
      </c>
      <c r="CE182" s="327"/>
      <c r="CF182" s="327"/>
      <c r="CG182" s="327"/>
      <c r="CH182" s="327"/>
      <c r="CI182" s="327"/>
      <c r="CJ182" s="327"/>
      <c r="CK182" s="327"/>
      <c r="CL182" s="327"/>
      <c r="CM182" s="327"/>
      <c r="CN182" s="327"/>
      <c r="CO182" s="327"/>
      <c r="CP182" s="327"/>
      <c r="CQ182" s="327"/>
      <c r="CR182" s="327"/>
      <c r="CS182" s="327"/>
      <c r="CT182" s="327"/>
      <c r="CU182" s="327"/>
      <c r="CV182" s="327"/>
      <c r="CW182" s="327"/>
      <c r="CX182" s="327"/>
      <c r="CY182" s="327"/>
      <c r="CZ182" s="327"/>
      <c r="DA182" s="327"/>
      <c r="DB182" s="327"/>
      <c r="DC182" s="327"/>
      <c r="DD182" s="327"/>
      <c r="DE182" s="327"/>
      <c r="DF182" s="327"/>
      <c r="DG182" s="327"/>
      <c r="DH182" s="327"/>
      <c r="DI182" s="327"/>
      <c r="DJ182" s="327"/>
      <c r="DK182" s="327"/>
      <c r="DL182" s="327"/>
      <c r="DM182" s="327"/>
      <c r="DN182" s="327"/>
      <c r="DO182" s="327"/>
      <c r="DP182" s="327"/>
      <c r="DQ182" s="327"/>
      <c r="DR182" s="327"/>
      <c r="DS182" s="327"/>
      <c r="DT182" s="327"/>
      <c r="DU182" s="327"/>
      <c r="DV182" s="327"/>
      <c r="DW182" s="327"/>
      <c r="DX182" s="327"/>
      <c r="DY182" s="327"/>
      <c r="DZ182" s="327"/>
      <c r="EA182" s="327"/>
      <c r="EB182" s="327"/>
      <c r="EC182" s="327"/>
      <c r="ED182" s="327"/>
      <c r="EE182" s="327"/>
      <c r="EF182" s="327"/>
      <c r="EG182" s="327"/>
      <c r="EH182" s="327"/>
      <c r="EI182" s="327"/>
      <c r="EJ182" s="327"/>
      <c r="EK182" s="327"/>
      <c r="EL182" s="327"/>
      <c r="EM182" s="327"/>
      <c r="EN182" s="327"/>
      <c r="EO182" s="327"/>
      <c r="EP182" s="327"/>
      <c r="EQ182" s="327"/>
      <c r="ER182" s="327"/>
      <c r="ES182" s="327"/>
      <c r="ET182" s="327"/>
      <c r="EU182" s="327"/>
      <c r="EV182" s="327"/>
      <c r="EW182" s="327"/>
      <c r="EX182" s="327"/>
      <c r="EY182" s="327"/>
      <c r="EZ182" s="327"/>
      <c r="FA182" s="327"/>
      <c r="FB182" s="327"/>
      <c r="FC182" s="327"/>
      <c r="FD182" s="327"/>
      <c r="FE182" s="327"/>
      <c r="FF182" s="327"/>
      <c r="FG182" s="327"/>
      <c r="FH182" s="327"/>
      <c r="FI182" s="327"/>
      <c r="FJ182" s="327"/>
      <c r="FK182" s="327"/>
      <c r="FL182" s="327"/>
      <c r="FM182" s="327"/>
      <c r="FN182" s="327"/>
      <c r="FO182" s="327"/>
      <c r="FP182" s="327"/>
      <c r="FQ182" s="327"/>
      <c r="FR182" s="327"/>
      <c r="FS182" s="327"/>
      <c r="FT182" s="327"/>
      <c r="FU182" s="327"/>
      <c r="FV182" s="327"/>
      <c r="FW182" s="327"/>
      <c r="FX182" s="327"/>
      <c r="FY182" s="327"/>
      <c r="FZ182" s="327"/>
      <c r="GA182" s="327"/>
      <c r="GB182" s="327"/>
      <c r="GC182" s="327"/>
      <c r="GD182" s="327"/>
      <c r="GE182" s="327"/>
      <c r="GF182" s="327"/>
      <c r="GG182" s="327"/>
      <c r="GH182" s="327"/>
      <c r="GI182" s="327"/>
      <c r="GJ182" s="327"/>
      <c r="GK182" s="327"/>
      <c r="GL182" s="327"/>
      <c r="GM182" s="327"/>
      <c r="GN182" s="327"/>
      <c r="GO182" s="327"/>
      <c r="GP182" s="327"/>
      <c r="GQ182" s="327"/>
      <c r="GR182" s="327"/>
      <c r="GS182" s="327"/>
      <c r="GT182" s="327"/>
      <c r="GU182" s="327"/>
      <c r="GV182" s="327"/>
      <c r="GW182" s="327"/>
      <c r="GX182" s="327"/>
      <c r="GY182" s="327"/>
      <c r="GZ182" s="327"/>
      <c r="HA182" s="327"/>
      <c r="HB182" s="327"/>
      <c r="HC182" s="327"/>
      <c r="HD182" s="327"/>
      <c r="HE182" s="327"/>
      <c r="HF182" s="327"/>
      <c r="HG182" s="327"/>
      <c r="HH182" s="327"/>
      <c r="HI182" s="327"/>
      <c r="HJ182" s="327"/>
      <c r="HK182" s="327"/>
      <c r="HL182" s="327"/>
      <c r="HM182" s="327"/>
      <c r="HN182" s="327"/>
      <c r="HO182" s="327"/>
      <c r="HP182" s="327"/>
      <c r="HQ182" s="327"/>
      <c r="HR182" s="327"/>
      <c r="HS182" s="327"/>
    </row>
    <row r="183" spans="1:227" ht="15" customHeight="1">
      <c r="A183" s="330">
        <v>8</v>
      </c>
      <c r="B183" s="435" t="str">
        <f>VLOOKUP(Ruimtestaat[[#This Row],[Code]],Locaties[[Code]:[Locatie]],2,FALSE)</f>
        <v>IKC De Trinoom</v>
      </c>
      <c r="C183" s="435" t="str">
        <f>VLOOKUP(Ruimtestaat[[#This Row],[Code]],Locaties[[#All],[Code]:[Adres]],4,FALSE)</f>
        <v>Nieuwlandstraat 241</v>
      </c>
      <c r="D183" s="435" t="str">
        <f>VLOOKUP(Ruimtestaat[[#This Row],[Code]],Locaties[[#All],[Code]:[Postcode]],5,FALSE)</f>
        <v>2729 EB</v>
      </c>
      <c r="E183" s="435" t="str">
        <f>VLOOKUP(Ruimtestaat[[#This Row],[Code]],Locaties[#All],6,FALSE)</f>
        <v>Zoetermeer</v>
      </c>
      <c r="F183" s="434"/>
      <c r="G183" s="434" t="s">
        <v>1678</v>
      </c>
      <c r="H183" s="330" t="s">
        <v>1681</v>
      </c>
      <c r="I183" s="450" t="s">
        <v>1749</v>
      </c>
      <c r="J183" s="330">
        <v>2</v>
      </c>
      <c r="K183" s="450" t="str">
        <f>VLOOKUP(Ruimtestaat[[#This Row],[Ruimte code]],Ruimtegroepen[[#All],[Code]:[Ruimte omschrijving]],2,FALSE)</f>
        <v>Kantoren</v>
      </c>
      <c r="L183" s="434" t="s">
        <v>99</v>
      </c>
      <c r="M183" s="437" t="s">
        <v>36</v>
      </c>
      <c r="N183" s="439">
        <v>26</v>
      </c>
      <c r="O183" s="439"/>
      <c r="P183" s="439"/>
      <c r="Q183" s="439"/>
      <c r="R183" s="440" t="str">
        <f>VLOOKUP(Ruimtestaat[[#This Row],[Ruimte code]],Ruimtegroepen[],4,FALSE)</f>
        <v>Bu</v>
      </c>
      <c r="S183" s="434">
        <v>41</v>
      </c>
      <c r="T183" s="434" t="s">
        <v>17</v>
      </c>
      <c r="U183" s="434">
        <f>IF(S183&gt;0,IF(RIGHT(Ruimtestaat[[#This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83" s="434">
        <f>IF(U183&gt;0,VLOOKUP($J183,Ruimtegroepen[],3,FALSE)*VLOOKUP($L183,Vloersoorten[],3,FALSE)*VLOOKUP($T183,Frequenties[],3,FALSE)*VLOOKUP($A183,Locaties[],3,FALSE),0)</f>
        <v>0</v>
      </c>
      <c r="W183" s="434">
        <f>Ruimtestaat[[#This Row],[Uitvoeringen werkdagen]]*Ruimtestaat[[#This Row],[Oppervlak (netto)]]</f>
        <v>2132</v>
      </c>
      <c r="X183" s="441">
        <f>IF(V183&gt;0,Ruimtestaat[[#This Row],[Prest. (m2 /jaar) werkdagen]]/Ruimtestaat[[#This Row],[Norm (m2/uur) werkdagen]],0)</f>
        <v>0</v>
      </c>
      <c r="Y183" s="442">
        <f>Ruimtestaat[[#This Row],[Uitvoeringen werkdagen]]*Ruimtestaat[[#This Row],[Gedeeltelijk]]</f>
        <v>0</v>
      </c>
      <c r="Z183" s="443" t="e">
        <f>IF(U183&gt;0,Ruimtestaat[[#This Row],[Prest. (m2 / jaar) werkdagen gedeeld]]/Ruimtestaat[[#This Row],[Norm (m2/uur) werkdagen]],0)</f>
        <v>#DIV/0!</v>
      </c>
      <c r="AA183" s="441" t="e">
        <f>Ruimtestaat[[#This Row],[uren / jaar werkdagen gedeeld]]*Tariefsopbouw!$E$35</f>
        <v>#DIV/0!</v>
      </c>
      <c r="AB183" s="441">
        <f>Ruimtestaat[[#This Row],[Uitvoeringen werkdagen]]*Ruimtestaat[[#This Row],[BSO]]</f>
        <v>0</v>
      </c>
      <c r="AC183" s="443" t="e">
        <f>IF(U183&gt;0,Ruimtestaat[[#This Row],[Prest. (m2 / jaar) werkdagen BSO]]/Ruimtestaat[[#This Row],[Norm (m2/uur) werkdagen]],0)</f>
        <v>#DIV/0!</v>
      </c>
      <c r="AD183" s="443" t="e">
        <f>Ruimtestaat[[#This Row],[uren / jaar werkdagen BSO]]*Tariefsopbouw!$E$35</f>
        <v>#DIV/0!</v>
      </c>
      <c r="AE183" s="444">
        <f>Ruimtestaat[[#This Row],[uren / jaar werkdagen]]*Tariefsopbouw!$E$35</f>
        <v>0</v>
      </c>
      <c r="AF183" s="434"/>
      <c r="AG183" s="434">
        <f>IF(Ruimtestaat[[#This Row],[Frequentie weekend]]&gt;0,VALUE(LEFT(AF183,1))*S183,0)</f>
        <v>0</v>
      </c>
      <c r="AH183" s="445">
        <f>IF($AG183&gt;0,VLOOKUP($J183,Ruimtegroepen[],3,FALSE)*VLOOKUP($L183,Vloersoorten[],3,FALSE)*VLOOKUP($AF183,Frequenties[],3,FALSE)*VLOOKUP(Ruimtestaat[[#This Row],[Code]],Locaties[],3,FALSE),0)</f>
        <v>0</v>
      </c>
      <c r="AI183" s="445">
        <f>Ruimtestaat[[#This Row],[Uitvoeringen weekend]]*Ruimtestaat[[#This Row],[Oppervlak (netto)]]</f>
        <v>0</v>
      </c>
      <c r="AJ183" s="445">
        <f>IF(AH183&gt;0,Ruimtestaat[[#This Row],[Prest. (m2 /jaar) weekend]]/Ruimtestaat[[#This Row],[Norm (m2/uur) weekend]],0)</f>
        <v>0</v>
      </c>
      <c r="AK183" s="444">
        <f>Ruimtestaat[[#This Row],[uren / jaar weekend]]*Tariefsopbouw!$D$40</f>
        <v>0</v>
      </c>
      <c r="AL183" s="441">
        <f>Ruimtestaat[[#This Row],[Prest. (m2 /jaar) weekend]]+Ruimtestaat[[#This Row],[Prest. (m2 /jaar) werkdagen]]</f>
        <v>2132</v>
      </c>
      <c r="AM183" s="441">
        <f>Ruimtestaat[[#This Row],[uren / jaar weekend]]+Ruimtestaat[[#This Row],[uren / jaar werkdagen]]</f>
        <v>0</v>
      </c>
      <c r="AN183" s="446">
        <f>Ruimtestaat[[#This Row],[kosten / jaar weekend]]+Ruimtestaat[[#This Row],[kosten / jaar werkdagen]]</f>
        <v>0</v>
      </c>
      <c r="AO183" s="446"/>
      <c r="AP183" s="447" t="str">
        <f>IF(Ruimtestaat[[#This Row],[Frequentie werkdagen]]="","",_xlfn.CONCAT(Ruimtestaat[[#This Row],[Ruimte code]],"-",Ruimtestaat[[#This Row],[Frequentie werkdagen]]," ",Ruimtestaat[[#This Row],[Vloer code]]))</f>
        <v>2-2w T</v>
      </c>
      <c r="AQ183" s="448" t="str">
        <f>_xlfn.IFNA(VLOOKUP($AP183,Programma!$F$3:$G$1101,2,0),"")</f>
        <v>1w</v>
      </c>
      <c r="AR183" s="448" t="str">
        <f>_xlfn.IFNA(VLOOKUP($AP183,Programma!$F$3:$H$1101,3,0),"")</f>
        <v>1w</v>
      </c>
      <c r="AS183" s="448" t="str">
        <f>_xlfn.IFNA(VLOOKUP($AP183,Programma!$F$3:$I$1101,4,0),"")</f>
        <v>_</v>
      </c>
      <c r="AT183" s="448" t="str">
        <f>_xlfn.IFNA(VLOOKUP($AP183,Programma!$F$3:$J$1101,5,0),"")</f>
        <v>_</v>
      </c>
      <c r="AU183" s="448" t="str">
        <f>_xlfn.IFNA(VLOOKUP($AP183,Programma!$F$3:$K$1101,6,0),"")</f>
        <v>_</v>
      </c>
      <c r="AV183" s="448" t="str">
        <f>_xlfn.IFNA(VLOOKUP($AP183,Programma!$F$3:$L$1101,7,0),"")</f>
        <v>_</v>
      </c>
      <c r="AW183" s="448" t="str">
        <f>_xlfn.IFNA(VLOOKUP($AP183,Programma!$F$3:$M$1101,8,0),"")</f>
        <v>_</v>
      </c>
      <c r="AX183" s="448" t="str">
        <f>_xlfn.IFNA(VLOOKUP($AP183,Programma!$F$3:$N$1101,9,0),"")</f>
        <v>_</v>
      </c>
      <c r="AY183" s="448" t="str">
        <f>_xlfn.IFNA(VLOOKUP($AP183,Programma!$F$3:$O$1101,10,0),"")</f>
        <v>2w</v>
      </c>
      <c r="AZ183" s="448" t="str">
        <f>_xlfn.IFNA(VLOOKUP($AP183,Programma!$F$3:$P$1101,11,0),"")</f>
        <v>2w</v>
      </c>
      <c r="BA183" s="448" t="str">
        <f>_xlfn.IFNA(VLOOKUP($AP183,Programma!$F$3:$Q$1101,12,0),"")</f>
        <v>1w</v>
      </c>
      <c r="BB183" s="448" t="str">
        <f>_xlfn.IFNA(VLOOKUP($AP183,Programma!$F$3:$R$1101,13,0),"")</f>
        <v>1w</v>
      </c>
      <c r="BC183" s="448" t="str">
        <f>_xlfn.IFNA(VLOOKUP($AP183,Programma!$F$3:$S$1101,14,0),"")</f>
        <v>1m</v>
      </c>
      <c r="BD183" s="448" t="str">
        <f>_xlfn.IFNA(VLOOKUP($AP183,Programma!$F$3:$T$1101,15,0),"")</f>
        <v>2j</v>
      </c>
      <c r="BE183" s="448" t="str">
        <f>_xlfn.IFNA(VLOOKUP($AP183,Programma!$F$3:$U$1101,16,0),"")</f>
        <v>1j</v>
      </c>
      <c r="BF183" s="448" t="str">
        <f>_xlfn.IFNA(VLOOKUP($AP183,Programma!$F$3:$V$1101,17,0),"")</f>
        <v>_</v>
      </c>
      <c r="BG183" s="448" t="str">
        <f>_xlfn.IFNA(VLOOKUP($AP183,Programma!$F$3:$W$1101,18,0),"")</f>
        <v>_</v>
      </c>
      <c r="BH183" s="448" t="str">
        <f>_xlfn.IFNA(VLOOKUP($AP183,Programma!$F$3:$X$1101,19,0),"")</f>
        <v>_</v>
      </c>
      <c r="BI183" s="448" t="str">
        <f>_xlfn.IFNA(VLOOKUP($AP183,Programma!$F$3:$Y$1101,20,0),"")</f>
        <v>_</v>
      </c>
      <c r="BJ183" s="449"/>
      <c r="BK183" s="447" t="str">
        <f>IF(Ruimtestaat[[#This Row],[Frequentie weekend]]="","",_xlfn.CONCAT(Ruimtestaat[[#This Row],[Ruimte code]],"-",Ruimtestaat[[#This Row],[Frequentie weekend]]," ",Ruimtestaat[[#This Row],[Vloer code]]))</f>
        <v/>
      </c>
      <c r="BL183" s="448" t="str">
        <f>_xlfn.IFNA(VLOOKUP($BK183,Programma!$F$3:$G$1101,2,0),"")</f>
        <v/>
      </c>
      <c r="BM183" s="448" t="str">
        <f>_xlfn.IFNA(VLOOKUP($BK183,Programma!$F$3:$H$1101,3,0),"")</f>
        <v/>
      </c>
      <c r="BN183" s="448" t="str">
        <f>_xlfn.IFNA(VLOOKUP($BK183,Programma!$F$3:$I$1101,4,0),"")</f>
        <v/>
      </c>
      <c r="BO183" s="448" t="str">
        <f>_xlfn.IFNA(VLOOKUP($BK183,Programma!$F$3:$J$1101,5,0),"")</f>
        <v/>
      </c>
      <c r="BP183" s="448" t="str">
        <f>_xlfn.IFNA(VLOOKUP($BK183,Programma!$F$3:$K$1101,6,0),"")</f>
        <v/>
      </c>
      <c r="BQ183" s="448" t="str">
        <f>_xlfn.IFNA(VLOOKUP($BK183,Programma!$F$3:$L$1101,7,0),"")</f>
        <v/>
      </c>
      <c r="BR183" s="448" t="str">
        <f>_xlfn.IFNA(VLOOKUP($BK183,Programma!$F$3:$M$1101,8,0),"")</f>
        <v/>
      </c>
      <c r="BS183" s="448" t="str">
        <f>_xlfn.IFNA(VLOOKUP($BK183,Programma!$F$3:$N$1101,9,0),"")</f>
        <v/>
      </c>
      <c r="BT183" s="448" t="str">
        <f>_xlfn.IFNA(VLOOKUP($BK183,Programma!$F$3:$O$1101,10,0),"")</f>
        <v/>
      </c>
      <c r="BU183" s="448" t="str">
        <f>_xlfn.IFNA(VLOOKUP($BK183,Programma!$F$3:$P$1101,11,0),"")</f>
        <v/>
      </c>
      <c r="BV183" s="448" t="str">
        <f>_xlfn.IFNA(VLOOKUP($BK183,Programma!$F$3:$Q$1101,12,0),"")</f>
        <v/>
      </c>
      <c r="BW183" s="448" t="str">
        <f>_xlfn.IFNA(VLOOKUP($BK183,Programma!$F$3:$R$1101,13,0),"")</f>
        <v/>
      </c>
      <c r="BX183" s="448" t="str">
        <f>_xlfn.IFNA(VLOOKUP($BK183,Programma!$F$3:$S$1101,14,0),"")</f>
        <v/>
      </c>
      <c r="BY183" s="448" t="str">
        <f>_xlfn.IFNA(VLOOKUP($BK183,Programma!$F$3:$T$1101,15,0),"")</f>
        <v/>
      </c>
      <c r="BZ183" s="448" t="str">
        <f>_xlfn.IFNA(VLOOKUP($BK183,Programma!$F$3:$U$1101,16,0),"")</f>
        <v/>
      </c>
      <c r="CA183" s="448" t="str">
        <f>_xlfn.IFNA(VLOOKUP($BK183,Programma!$F$3:$V$1101,17,0),"")</f>
        <v/>
      </c>
      <c r="CB183" s="448" t="str">
        <f>_xlfn.IFNA(VLOOKUP($BK183,Programma!$F$3:$W$1101,18,0),"")</f>
        <v/>
      </c>
      <c r="CC183" s="448" t="str">
        <f>_xlfn.IFNA(VLOOKUP($BK183,Programma!$F$3:$X$1101,19,0),"")</f>
        <v/>
      </c>
      <c r="CD183" s="448" t="str">
        <f>_xlfn.IFNA(VLOOKUP($BK183,Programma!$F$3:$Y$1101,20,0),"")</f>
        <v/>
      </c>
      <c r="CE183" s="327"/>
      <c r="CF183" s="327"/>
      <c r="CG183" s="327"/>
      <c r="CH183" s="327"/>
      <c r="CI183" s="327"/>
      <c r="CJ183" s="327"/>
      <c r="CK183" s="327"/>
      <c r="CL183" s="327"/>
      <c r="CM183" s="327"/>
      <c r="CN183" s="327"/>
      <c r="CO183" s="327"/>
      <c r="CP183" s="327"/>
      <c r="CQ183" s="327"/>
      <c r="CR183" s="327"/>
      <c r="CS183" s="327"/>
      <c r="CT183" s="327"/>
      <c r="CU183" s="327"/>
      <c r="CV183" s="327"/>
      <c r="CW183" s="327"/>
      <c r="CX183" s="327"/>
      <c r="CY183" s="327"/>
      <c r="CZ183" s="327"/>
      <c r="DA183" s="327"/>
      <c r="DB183" s="327"/>
      <c r="DC183" s="327"/>
      <c r="DD183" s="327"/>
      <c r="DE183" s="327"/>
      <c r="DF183" s="327"/>
      <c r="DG183" s="327"/>
      <c r="DH183" s="327"/>
      <c r="DI183" s="327"/>
      <c r="DJ183" s="327"/>
      <c r="DK183" s="327"/>
      <c r="DL183" s="327"/>
      <c r="DM183" s="327"/>
      <c r="DN183" s="327"/>
      <c r="DO183" s="327"/>
      <c r="DP183" s="327"/>
      <c r="DQ183" s="327"/>
      <c r="DR183" s="327"/>
      <c r="DS183" s="327"/>
      <c r="DT183" s="327"/>
      <c r="DU183" s="327"/>
      <c r="DV183" s="327"/>
      <c r="DW183" s="327"/>
      <c r="DX183" s="327"/>
      <c r="DY183" s="327"/>
      <c r="DZ183" s="327"/>
      <c r="EA183" s="327"/>
      <c r="EB183" s="327"/>
      <c r="EC183" s="327"/>
      <c r="ED183" s="327"/>
      <c r="EE183" s="327"/>
      <c r="EF183" s="327"/>
      <c r="EG183" s="327"/>
      <c r="EH183" s="327"/>
      <c r="EI183" s="327"/>
      <c r="EJ183" s="327"/>
      <c r="EK183" s="327"/>
      <c r="EL183" s="327"/>
      <c r="EM183" s="327"/>
      <c r="EN183" s="327"/>
      <c r="EO183" s="327"/>
      <c r="EP183" s="327"/>
      <c r="EQ183" s="327"/>
      <c r="ER183" s="327"/>
      <c r="ES183" s="327"/>
      <c r="ET183" s="327"/>
      <c r="EU183" s="327"/>
      <c r="EV183" s="327"/>
      <c r="EW183" s="327"/>
      <c r="EX183" s="327"/>
      <c r="EY183" s="327"/>
      <c r="EZ183" s="327"/>
      <c r="FA183" s="327"/>
      <c r="FB183" s="327"/>
      <c r="FC183" s="327"/>
      <c r="FD183" s="327"/>
      <c r="FE183" s="327"/>
      <c r="FF183" s="327"/>
      <c r="FG183" s="327"/>
      <c r="FH183" s="327"/>
      <c r="FI183" s="327"/>
      <c r="FJ183" s="327"/>
      <c r="FK183" s="327"/>
      <c r="FL183" s="327"/>
      <c r="FM183" s="327"/>
      <c r="FN183" s="327"/>
      <c r="FO183" s="327"/>
      <c r="FP183" s="327"/>
      <c r="FQ183" s="327"/>
      <c r="FR183" s="327"/>
      <c r="FS183" s="327"/>
      <c r="FT183" s="327"/>
      <c r="FU183" s="327"/>
      <c r="FV183" s="327"/>
      <c r="FW183" s="327"/>
      <c r="FX183" s="327"/>
      <c r="FY183" s="327"/>
      <c r="FZ183" s="327"/>
      <c r="GA183" s="327"/>
      <c r="GB183" s="327"/>
      <c r="GC183" s="327"/>
      <c r="GD183" s="327"/>
      <c r="GE183" s="327"/>
      <c r="GF183" s="327"/>
      <c r="GG183" s="327"/>
      <c r="GH183" s="327"/>
      <c r="GI183" s="327"/>
      <c r="GJ183" s="327"/>
      <c r="GK183" s="327"/>
      <c r="GL183" s="327"/>
      <c r="GM183" s="327"/>
      <c r="GN183" s="327"/>
      <c r="GO183" s="327"/>
      <c r="GP183" s="327"/>
      <c r="GQ183" s="327"/>
      <c r="GR183" s="327"/>
      <c r="GS183" s="327"/>
      <c r="GT183" s="327"/>
      <c r="GU183" s="327"/>
      <c r="GV183" s="327"/>
      <c r="GW183" s="327"/>
      <c r="GX183" s="327"/>
      <c r="GY183" s="327"/>
      <c r="GZ183" s="327"/>
      <c r="HA183" s="327"/>
      <c r="HB183" s="327"/>
      <c r="HC183" s="327"/>
      <c r="HD183" s="327"/>
      <c r="HE183" s="327"/>
      <c r="HF183" s="327"/>
      <c r="HG183" s="327"/>
      <c r="HH183" s="327"/>
      <c r="HI183" s="327"/>
      <c r="HJ183" s="327"/>
      <c r="HK183" s="327"/>
      <c r="HL183" s="327"/>
      <c r="HM183" s="327"/>
      <c r="HN183" s="327"/>
      <c r="HO183" s="327"/>
      <c r="HP183" s="327"/>
      <c r="HQ183" s="327"/>
      <c r="HR183" s="327"/>
      <c r="HS183" s="327"/>
    </row>
    <row r="184" spans="1:227" ht="15" customHeight="1">
      <c r="A184" s="330">
        <v>8</v>
      </c>
      <c r="B184" s="435" t="str">
        <f>VLOOKUP(Ruimtestaat[[#This Row],[Code]],Locaties[[Code]:[Locatie]],2,FALSE)</f>
        <v>IKC De Trinoom</v>
      </c>
      <c r="C184" s="435" t="str">
        <f>VLOOKUP(Ruimtestaat[[#This Row],[Code]],Locaties[[#All],[Code]:[Adres]],4,FALSE)</f>
        <v>Nieuwlandstraat 241</v>
      </c>
      <c r="D184" s="435" t="str">
        <f>VLOOKUP(Ruimtestaat[[#This Row],[Code]],Locaties[[#All],[Code]:[Postcode]],5,FALSE)</f>
        <v>2729 EB</v>
      </c>
      <c r="E184" s="435" t="str">
        <f>VLOOKUP(Ruimtestaat[[#This Row],[Code]],Locaties[#All],6,FALSE)</f>
        <v>Zoetermeer</v>
      </c>
      <c r="F184" s="434"/>
      <c r="G184" s="434" t="s">
        <v>1678</v>
      </c>
      <c r="H184" s="330" t="s">
        <v>1682</v>
      </c>
      <c r="I184" s="450" t="s">
        <v>1708</v>
      </c>
      <c r="J184" s="330">
        <v>6</v>
      </c>
      <c r="K184" s="450" t="str">
        <f>VLOOKUP(Ruimtestaat[[#This Row],[Ruimte code]],Ruimtegroepen[[#All],[Code]:[Ruimte omschrijving]],2,FALSE)</f>
        <v>Gangen/hallen</v>
      </c>
      <c r="L184" s="434" t="s">
        <v>100</v>
      </c>
      <c r="M184" s="437" t="s">
        <v>1759</v>
      </c>
      <c r="N184" s="439">
        <v>153</v>
      </c>
      <c r="O184" s="439"/>
      <c r="P184" s="439"/>
      <c r="Q184" s="439"/>
      <c r="R184" s="440" t="str">
        <f>VLOOKUP(Ruimtestaat[[#This Row],[Ruimte code]],Ruimtegroepen[],4,FALSE)</f>
        <v>Ve</v>
      </c>
      <c r="S184" s="434">
        <v>41</v>
      </c>
      <c r="T184" s="434" t="s">
        <v>2</v>
      </c>
      <c r="U184" s="434">
        <f>IF(S184&gt;0,IF(RIGHT(Ruimtestaat[[#This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84" s="434">
        <f>IF(U184&gt;0,VLOOKUP($J184,Ruimtegroepen[],3,FALSE)*VLOOKUP($L184,Vloersoorten[],3,FALSE)*VLOOKUP($T184,Frequenties[],3,FALSE)*VLOOKUP($A184,Locaties[],3,FALSE),0)</f>
        <v>0</v>
      </c>
      <c r="W184" s="434">
        <f>Ruimtestaat[[#This Row],[Uitvoeringen werkdagen]]*Ruimtestaat[[#This Row],[Oppervlak (netto)]]</f>
        <v>31365</v>
      </c>
      <c r="X184" s="441">
        <f>IF(V184&gt;0,Ruimtestaat[[#This Row],[Prest. (m2 /jaar) werkdagen]]/Ruimtestaat[[#This Row],[Norm (m2/uur) werkdagen]],0)</f>
        <v>0</v>
      </c>
      <c r="Y184" s="442">
        <f>Ruimtestaat[[#This Row],[Uitvoeringen werkdagen]]*Ruimtestaat[[#This Row],[Gedeeltelijk]]</f>
        <v>0</v>
      </c>
      <c r="Z184" s="443" t="e">
        <f>IF(U184&gt;0,Ruimtestaat[[#This Row],[Prest. (m2 / jaar) werkdagen gedeeld]]/Ruimtestaat[[#This Row],[Norm (m2/uur) werkdagen]],0)</f>
        <v>#DIV/0!</v>
      </c>
      <c r="AA184" s="441" t="e">
        <f>Ruimtestaat[[#This Row],[uren / jaar werkdagen gedeeld]]*Tariefsopbouw!$E$35</f>
        <v>#DIV/0!</v>
      </c>
      <c r="AB184" s="441">
        <f>Ruimtestaat[[#This Row],[Uitvoeringen werkdagen]]*Ruimtestaat[[#This Row],[BSO]]</f>
        <v>0</v>
      </c>
      <c r="AC184" s="443" t="e">
        <f>IF(U184&gt;0,Ruimtestaat[[#This Row],[Prest. (m2 / jaar) werkdagen BSO]]/Ruimtestaat[[#This Row],[Norm (m2/uur) werkdagen]],0)</f>
        <v>#DIV/0!</v>
      </c>
      <c r="AD184" s="443" t="e">
        <f>Ruimtestaat[[#This Row],[uren / jaar werkdagen BSO]]*Tariefsopbouw!$E$35</f>
        <v>#DIV/0!</v>
      </c>
      <c r="AE184" s="444">
        <f>Ruimtestaat[[#This Row],[uren / jaar werkdagen]]*Tariefsopbouw!$E$35</f>
        <v>0</v>
      </c>
      <c r="AF184" s="434"/>
      <c r="AG184" s="434">
        <f>IF(Ruimtestaat[[#This Row],[Frequentie weekend]]&gt;0,VALUE(LEFT(AF184,1))*S184,0)</f>
        <v>0</v>
      </c>
      <c r="AH184" s="445">
        <f>IF($AG184&gt;0,VLOOKUP($J184,Ruimtegroepen[],3,FALSE)*VLOOKUP($L184,Vloersoorten[],3,FALSE)*VLOOKUP($AF184,Frequenties[],3,FALSE)*VLOOKUP(Ruimtestaat[[#This Row],[Code]],Locaties[],3,FALSE),0)</f>
        <v>0</v>
      </c>
      <c r="AI184" s="445">
        <f>Ruimtestaat[[#This Row],[Uitvoeringen weekend]]*Ruimtestaat[[#This Row],[Oppervlak (netto)]]</f>
        <v>0</v>
      </c>
      <c r="AJ184" s="445">
        <f>IF(AH184&gt;0,Ruimtestaat[[#This Row],[Prest. (m2 /jaar) weekend]]/Ruimtestaat[[#This Row],[Norm (m2/uur) weekend]],0)</f>
        <v>0</v>
      </c>
      <c r="AK184" s="444">
        <f>Ruimtestaat[[#This Row],[uren / jaar weekend]]*Tariefsopbouw!$D$40</f>
        <v>0</v>
      </c>
      <c r="AL184" s="441">
        <f>Ruimtestaat[[#This Row],[Prest. (m2 /jaar) weekend]]+Ruimtestaat[[#This Row],[Prest. (m2 /jaar) werkdagen]]</f>
        <v>31365</v>
      </c>
      <c r="AM184" s="441">
        <f>Ruimtestaat[[#This Row],[uren / jaar weekend]]+Ruimtestaat[[#This Row],[uren / jaar werkdagen]]</f>
        <v>0</v>
      </c>
      <c r="AN184" s="446">
        <f>Ruimtestaat[[#This Row],[kosten / jaar weekend]]+Ruimtestaat[[#This Row],[kosten / jaar werkdagen]]</f>
        <v>0</v>
      </c>
      <c r="AO184" s="446"/>
      <c r="AP184" s="447" t="str">
        <f>IF(Ruimtestaat[[#This Row],[Frequentie werkdagen]]="","",_xlfn.CONCAT(Ruimtestaat[[#This Row],[Ruimte code]],"-",Ruimtestaat[[#This Row],[Frequentie werkdagen]]," ",Ruimtestaat[[#This Row],[Vloer code]]))</f>
        <v>6-5w L</v>
      </c>
      <c r="AQ184" s="448" t="str">
        <f>_xlfn.IFNA(VLOOKUP($AP184,Programma!$F$3:$G$1101,2,0),"")</f>
        <v>_</v>
      </c>
      <c r="AR184" s="448" t="str">
        <f>_xlfn.IFNA(VLOOKUP($AP184,Programma!$F$3:$H$1101,3,0),"")</f>
        <v>_</v>
      </c>
      <c r="AS184" s="448" t="str">
        <f>_xlfn.IFNA(VLOOKUP($AP184,Programma!$F$3:$I$1101,4,0),"")</f>
        <v>_</v>
      </c>
      <c r="AT184" s="448" t="str">
        <f>_xlfn.IFNA(VLOOKUP($AP184,Programma!$F$3:$J$1101,5,0),"")</f>
        <v>5w</v>
      </c>
      <c r="AU184" s="448" t="str">
        <f>_xlfn.IFNA(VLOOKUP($AP184,Programma!$F$3:$K$1101,6,0),"")</f>
        <v>_</v>
      </c>
      <c r="AV184" s="448" t="str">
        <f>_xlfn.IFNA(VLOOKUP($AP184,Programma!$F$3:$L$1101,7,0),"")</f>
        <v>_</v>
      </c>
      <c r="AW184" s="448" t="str">
        <f>_xlfn.IFNA(VLOOKUP($AP184,Programma!$F$3:$M$1101,8,0),"")</f>
        <v>_</v>
      </c>
      <c r="AX184" s="448" t="str">
        <f>_xlfn.IFNA(VLOOKUP($AP184,Programma!$F$3:$N$1101,9,0),"")</f>
        <v>_</v>
      </c>
      <c r="AY184" s="448" t="str">
        <f>_xlfn.IFNA(VLOOKUP($AP184,Programma!$F$3:$O$1101,10,0),"")</f>
        <v>5w</v>
      </c>
      <c r="AZ184" s="448" t="str">
        <f>_xlfn.IFNA(VLOOKUP($AP184,Programma!$F$3:$P$1101,11,0),"")</f>
        <v>5w</v>
      </c>
      <c r="BA184" s="448" t="str">
        <f>_xlfn.IFNA(VLOOKUP($AP184,Programma!$F$3:$Q$1101,12,0),"")</f>
        <v>1w</v>
      </c>
      <c r="BB184" s="448" t="str">
        <f>_xlfn.IFNA(VLOOKUP($AP184,Programma!$F$3:$R$1101,13,0),"")</f>
        <v>1w</v>
      </c>
      <c r="BC184" s="448" t="str">
        <f>_xlfn.IFNA(VLOOKUP($AP184,Programma!$F$3:$S$1101,14,0),"")</f>
        <v>1m</v>
      </c>
      <c r="BD184" s="448" t="str">
        <f>_xlfn.IFNA(VLOOKUP($AP184,Programma!$F$3:$T$1101,15,0),"")</f>
        <v>2j</v>
      </c>
      <c r="BE184" s="448" t="str">
        <f>_xlfn.IFNA(VLOOKUP($AP184,Programma!$F$3:$U$1101,16,0),"")</f>
        <v>1j</v>
      </c>
      <c r="BF184" s="448" t="str">
        <f>_xlfn.IFNA(VLOOKUP($AP184,Programma!$F$3:$V$1101,17,0),"")</f>
        <v>_</v>
      </c>
      <c r="BG184" s="448" t="str">
        <f>_xlfn.IFNA(VLOOKUP($AP184,Programma!$F$3:$W$1101,18,0),"")</f>
        <v>_</v>
      </c>
      <c r="BH184" s="448" t="str">
        <f>_xlfn.IFNA(VLOOKUP($AP184,Programma!$F$3:$X$1101,19,0),"")</f>
        <v>_</v>
      </c>
      <c r="BI184" s="448" t="str">
        <f>_xlfn.IFNA(VLOOKUP($AP184,Programma!$F$3:$Y$1101,20,0),"")</f>
        <v>_</v>
      </c>
      <c r="BJ184" s="449"/>
      <c r="BK184" s="447" t="str">
        <f>IF(Ruimtestaat[[#This Row],[Frequentie weekend]]="","",_xlfn.CONCAT(Ruimtestaat[[#This Row],[Ruimte code]],"-",Ruimtestaat[[#This Row],[Frequentie weekend]]," ",Ruimtestaat[[#This Row],[Vloer code]]))</f>
        <v/>
      </c>
      <c r="BL184" s="448" t="str">
        <f>_xlfn.IFNA(VLOOKUP($BK184,Programma!$F$3:$G$1101,2,0),"")</f>
        <v/>
      </c>
      <c r="BM184" s="448" t="str">
        <f>_xlfn.IFNA(VLOOKUP($BK184,Programma!$F$3:$H$1101,3,0),"")</f>
        <v/>
      </c>
      <c r="BN184" s="448" t="str">
        <f>_xlfn.IFNA(VLOOKUP($BK184,Programma!$F$3:$I$1101,4,0),"")</f>
        <v/>
      </c>
      <c r="BO184" s="448" t="str">
        <f>_xlfn.IFNA(VLOOKUP($BK184,Programma!$F$3:$J$1101,5,0),"")</f>
        <v/>
      </c>
      <c r="BP184" s="448" t="str">
        <f>_xlfn.IFNA(VLOOKUP($BK184,Programma!$F$3:$K$1101,6,0),"")</f>
        <v/>
      </c>
      <c r="BQ184" s="448" t="str">
        <f>_xlfn.IFNA(VLOOKUP($BK184,Programma!$F$3:$L$1101,7,0),"")</f>
        <v/>
      </c>
      <c r="BR184" s="448" t="str">
        <f>_xlfn.IFNA(VLOOKUP($BK184,Programma!$F$3:$M$1101,8,0),"")</f>
        <v/>
      </c>
      <c r="BS184" s="448" t="str">
        <f>_xlfn.IFNA(VLOOKUP($BK184,Programma!$F$3:$N$1101,9,0),"")</f>
        <v/>
      </c>
      <c r="BT184" s="448" t="str">
        <f>_xlfn.IFNA(VLOOKUP($BK184,Programma!$F$3:$O$1101,10,0),"")</f>
        <v/>
      </c>
      <c r="BU184" s="448" t="str">
        <f>_xlfn.IFNA(VLOOKUP($BK184,Programma!$F$3:$P$1101,11,0),"")</f>
        <v/>
      </c>
      <c r="BV184" s="448" t="str">
        <f>_xlfn.IFNA(VLOOKUP($BK184,Programma!$F$3:$Q$1101,12,0),"")</f>
        <v/>
      </c>
      <c r="BW184" s="448" t="str">
        <f>_xlfn.IFNA(VLOOKUP($BK184,Programma!$F$3:$R$1101,13,0),"")</f>
        <v/>
      </c>
      <c r="BX184" s="448" t="str">
        <f>_xlfn.IFNA(VLOOKUP($BK184,Programma!$F$3:$S$1101,14,0),"")</f>
        <v/>
      </c>
      <c r="BY184" s="448" t="str">
        <f>_xlfn.IFNA(VLOOKUP($BK184,Programma!$F$3:$T$1101,15,0),"")</f>
        <v/>
      </c>
      <c r="BZ184" s="448" t="str">
        <f>_xlfn.IFNA(VLOOKUP($BK184,Programma!$F$3:$U$1101,16,0),"")</f>
        <v/>
      </c>
      <c r="CA184" s="448" t="str">
        <f>_xlfn.IFNA(VLOOKUP($BK184,Programma!$F$3:$V$1101,17,0),"")</f>
        <v/>
      </c>
      <c r="CB184" s="448" t="str">
        <f>_xlfn.IFNA(VLOOKUP($BK184,Programma!$F$3:$W$1101,18,0),"")</f>
        <v/>
      </c>
      <c r="CC184" s="448" t="str">
        <f>_xlfn.IFNA(VLOOKUP($BK184,Programma!$F$3:$X$1101,19,0),"")</f>
        <v/>
      </c>
      <c r="CD184" s="448" t="str">
        <f>_xlfn.IFNA(VLOOKUP($BK184,Programma!$F$3:$Y$1101,20,0),"")</f>
        <v/>
      </c>
      <c r="CE184" s="327"/>
      <c r="CF184" s="327"/>
      <c r="CG184" s="327"/>
      <c r="CH184" s="327"/>
      <c r="CI184" s="327"/>
      <c r="CJ184" s="327"/>
      <c r="CK184" s="327"/>
      <c r="CL184" s="327"/>
      <c r="CM184" s="327"/>
      <c r="CN184" s="327"/>
      <c r="CO184" s="327"/>
      <c r="CP184" s="327"/>
      <c r="CQ184" s="327"/>
      <c r="CR184" s="327"/>
      <c r="CS184" s="327"/>
      <c r="CT184" s="327"/>
      <c r="CU184" s="327"/>
      <c r="CV184" s="327"/>
      <c r="CW184" s="327"/>
      <c r="CX184" s="327"/>
      <c r="CY184" s="327"/>
      <c r="CZ184" s="327"/>
      <c r="DA184" s="327"/>
      <c r="DB184" s="327"/>
      <c r="DC184" s="327"/>
      <c r="DD184" s="327"/>
      <c r="DE184" s="327"/>
      <c r="DF184" s="327"/>
      <c r="DG184" s="327"/>
      <c r="DH184" s="327"/>
      <c r="DI184" s="327"/>
      <c r="DJ184" s="327"/>
      <c r="DK184" s="327"/>
      <c r="DL184" s="327"/>
      <c r="DM184" s="327"/>
      <c r="DN184" s="327"/>
      <c r="DO184" s="327"/>
      <c r="DP184" s="327"/>
      <c r="DQ184" s="327"/>
      <c r="DR184" s="327"/>
      <c r="DS184" s="327"/>
      <c r="DT184" s="327"/>
      <c r="DU184" s="327"/>
      <c r="DV184" s="327"/>
      <c r="DW184" s="327"/>
      <c r="DX184" s="327"/>
      <c r="DY184" s="327"/>
      <c r="DZ184" s="327"/>
      <c r="EA184" s="327"/>
      <c r="EB184" s="327"/>
      <c r="EC184" s="327"/>
      <c r="ED184" s="327"/>
      <c r="EE184" s="327"/>
      <c r="EF184" s="327"/>
      <c r="EG184" s="327"/>
      <c r="EH184" s="327"/>
      <c r="EI184" s="327"/>
      <c r="EJ184" s="327"/>
      <c r="EK184" s="327"/>
      <c r="EL184" s="327"/>
      <c r="EM184" s="327"/>
      <c r="EN184" s="327"/>
      <c r="EO184" s="327"/>
      <c r="EP184" s="327"/>
      <c r="EQ184" s="327"/>
      <c r="ER184" s="327"/>
      <c r="ES184" s="327"/>
      <c r="ET184" s="327"/>
      <c r="EU184" s="327"/>
      <c r="EV184" s="327"/>
      <c r="EW184" s="327"/>
      <c r="EX184" s="327"/>
      <c r="EY184" s="327"/>
      <c r="EZ184" s="327"/>
      <c r="FA184" s="327"/>
      <c r="FB184" s="327"/>
      <c r="FC184" s="327"/>
      <c r="FD184" s="327"/>
      <c r="FE184" s="327"/>
      <c r="FF184" s="327"/>
      <c r="FG184" s="327"/>
      <c r="FH184" s="327"/>
      <c r="FI184" s="327"/>
      <c r="FJ184" s="327"/>
      <c r="FK184" s="327"/>
      <c r="FL184" s="327"/>
      <c r="FM184" s="327"/>
      <c r="FN184" s="327"/>
      <c r="FO184" s="327"/>
      <c r="FP184" s="327"/>
      <c r="FQ184" s="327"/>
      <c r="FR184" s="327"/>
      <c r="FS184" s="327"/>
      <c r="FT184" s="327"/>
      <c r="FU184" s="327"/>
      <c r="FV184" s="327"/>
      <c r="FW184" s="327"/>
      <c r="FX184" s="327"/>
      <c r="FY184" s="327"/>
      <c r="FZ184" s="327"/>
      <c r="GA184" s="327"/>
      <c r="GB184" s="327"/>
      <c r="GC184" s="327"/>
      <c r="GD184" s="327"/>
      <c r="GE184" s="327"/>
      <c r="GF184" s="327"/>
      <c r="GG184" s="327"/>
      <c r="GH184" s="327"/>
      <c r="GI184" s="327"/>
      <c r="GJ184" s="327"/>
      <c r="GK184" s="327"/>
      <c r="GL184" s="327"/>
      <c r="GM184" s="327"/>
      <c r="GN184" s="327"/>
      <c r="GO184" s="327"/>
      <c r="GP184" s="327"/>
      <c r="GQ184" s="327"/>
      <c r="GR184" s="327"/>
      <c r="GS184" s="327"/>
      <c r="GT184" s="327"/>
      <c r="GU184" s="327"/>
      <c r="GV184" s="327"/>
      <c r="GW184" s="327"/>
      <c r="GX184" s="327"/>
      <c r="GY184" s="327"/>
      <c r="GZ184" s="327"/>
      <c r="HA184" s="327"/>
      <c r="HB184" s="327"/>
      <c r="HC184" s="327"/>
      <c r="HD184" s="327"/>
      <c r="HE184" s="327"/>
      <c r="HF184" s="327"/>
      <c r="HG184" s="327"/>
      <c r="HH184" s="327"/>
      <c r="HI184" s="327"/>
      <c r="HJ184" s="327"/>
      <c r="HK184" s="327"/>
      <c r="HL184" s="327"/>
      <c r="HM184" s="327"/>
      <c r="HN184" s="327"/>
      <c r="HO184" s="327"/>
      <c r="HP184" s="327"/>
      <c r="HQ184" s="327"/>
      <c r="HR184" s="327"/>
      <c r="HS184" s="327"/>
    </row>
    <row r="185" spans="1:227" ht="15" customHeight="1">
      <c r="A185" s="330">
        <v>8</v>
      </c>
      <c r="B185" s="435" t="str">
        <f>VLOOKUP(Ruimtestaat[[#This Row],[Code]],Locaties[[Code]:[Locatie]],2,FALSE)</f>
        <v>IKC De Trinoom</v>
      </c>
      <c r="C185" s="435" t="str">
        <f>VLOOKUP(Ruimtestaat[[#This Row],[Code]],Locaties[[#All],[Code]:[Adres]],4,FALSE)</f>
        <v>Nieuwlandstraat 241</v>
      </c>
      <c r="D185" s="435" t="str">
        <f>VLOOKUP(Ruimtestaat[[#This Row],[Code]],Locaties[[#All],[Code]:[Postcode]],5,FALSE)</f>
        <v>2729 EB</v>
      </c>
      <c r="E185" s="435" t="str">
        <f>VLOOKUP(Ruimtestaat[[#This Row],[Code]],Locaties[#All],6,FALSE)</f>
        <v>Zoetermeer</v>
      </c>
      <c r="F185" s="450" t="s">
        <v>1705</v>
      </c>
      <c r="G185" s="434" t="s">
        <v>1678</v>
      </c>
      <c r="I185" s="450" t="s">
        <v>1673</v>
      </c>
      <c r="J185" s="330">
        <v>5</v>
      </c>
      <c r="K185" s="450" t="str">
        <f>VLOOKUP(Ruimtestaat[[#This Row],[Ruimte code]],Ruimtegroepen[[#All],[Code]:[Ruimte omschrijving]],2,FALSE)</f>
        <v>Sanitair</v>
      </c>
      <c r="L185" s="434" t="s">
        <v>101</v>
      </c>
      <c r="M185" s="437" t="s">
        <v>1816</v>
      </c>
      <c r="N185" s="439"/>
      <c r="O185" s="439"/>
      <c r="P185" s="439"/>
      <c r="Q185" s="439">
        <v>10</v>
      </c>
      <c r="R185" s="440" t="str">
        <f>VLOOKUP(Ruimtestaat[[#This Row],[Ruimte code]],Ruimtegroepen[],4,FALSE)</f>
        <v>Sa</v>
      </c>
      <c r="S185" s="434">
        <v>51</v>
      </c>
      <c r="T185" s="434" t="s">
        <v>20</v>
      </c>
      <c r="U185" s="434">
        <f>IF(S185&gt;0,IF(RIGHT(Ruimtestaat[[#This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185" s="434">
        <f>IF(U185&gt;0,VLOOKUP($J185,Ruimtegroepen[],3,FALSE)*VLOOKUP($L185,Vloersoorten[],3,FALSE)*VLOOKUP($T185,Frequenties[],3,FALSE)*VLOOKUP($A185,Locaties[],3,FALSE),0)</f>
        <v>0</v>
      </c>
      <c r="W185" s="434">
        <f>Ruimtestaat[[#This Row],[Uitvoeringen werkdagen]]*Ruimtestaat[[#This Row],[Oppervlak (netto)]]</f>
        <v>0</v>
      </c>
      <c r="X185" s="441">
        <f>IF(V185&gt;0,Ruimtestaat[[#This Row],[Prest. (m2 /jaar) werkdagen]]/Ruimtestaat[[#This Row],[Norm (m2/uur) werkdagen]],0)</f>
        <v>0</v>
      </c>
      <c r="Y185" s="442">
        <f>Ruimtestaat[[#This Row],[Uitvoeringen werkdagen]]*Ruimtestaat[[#This Row],[Gedeeltelijk]]</f>
        <v>0</v>
      </c>
      <c r="Z185" s="443" t="e">
        <f>IF(U185&gt;0,Ruimtestaat[[#This Row],[Prest. (m2 / jaar) werkdagen gedeeld]]/Ruimtestaat[[#This Row],[Norm (m2/uur) werkdagen]],0)</f>
        <v>#DIV/0!</v>
      </c>
      <c r="AA185" s="441" t="e">
        <f>Ruimtestaat[[#This Row],[uren / jaar werkdagen gedeeld]]*Tariefsopbouw!$E$35</f>
        <v>#DIV/0!</v>
      </c>
      <c r="AB185" s="441">
        <f>Ruimtestaat[[#This Row],[Uitvoeringen werkdagen]]*Ruimtestaat[[#This Row],[BSO]]</f>
        <v>2040</v>
      </c>
      <c r="AC185" s="443" t="e">
        <f>IF(U185&gt;0,Ruimtestaat[[#This Row],[Prest. (m2 / jaar) werkdagen BSO]]/Ruimtestaat[[#This Row],[Norm (m2/uur) werkdagen]],0)</f>
        <v>#DIV/0!</v>
      </c>
      <c r="AD185" s="443" t="e">
        <f>Ruimtestaat[[#This Row],[uren / jaar werkdagen BSO]]*Tariefsopbouw!$E$35</f>
        <v>#DIV/0!</v>
      </c>
      <c r="AE185" s="444">
        <f>Ruimtestaat[[#This Row],[uren / jaar werkdagen]]*Tariefsopbouw!$E$35</f>
        <v>0</v>
      </c>
      <c r="AF185" s="434"/>
      <c r="AG185" s="434">
        <f>IF(Ruimtestaat[[#This Row],[Frequentie weekend]]&gt;0,VALUE(LEFT(AF185,1))*S185,0)</f>
        <v>0</v>
      </c>
      <c r="AH185" s="445">
        <f>IF($AG185&gt;0,VLOOKUP($J185,Ruimtegroepen[],3,FALSE)*VLOOKUP($L185,Vloersoorten[],3,FALSE)*VLOOKUP($AF185,Frequenties[],3,FALSE)*VLOOKUP(Ruimtestaat[[#This Row],[Code]],Locaties[],3,FALSE),0)</f>
        <v>0</v>
      </c>
      <c r="AI185" s="445">
        <f>Ruimtestaat[[#This Row],[Uitvoeringen weekend]]*Ruimtestaat[[#This Row],[Oppervlak (netto)]]</f>
        <v>0</v>
      </c>
      <c r="AJ185" s="445">
        <f>IF(AH185&gt;0,Ruimtestaat[[#This Row],[Prest. (m2 /jaar) weekend]]/Ruimtestaat[[#This Row],[Norm (m2/uur) weekend]],0)</f>
        <v>0</v>
      </c>
      <c r="AK185" s="444">
        <f>Ruimtestaat[[#This Row],[uren / jaar weekend]]*Tariefsopbouw!$D$40</f>
        <v>0</v>
      </c>
      <c r="AL185" s="441">
        <f>Ruimtestaat[[#This Row],[Prest. (m2 /jaar) weekend]]+Ruimtestaat[[#This Row],[Prest. (m2 /jaar) werkdagen]]</f>
        <v>0</v>
      </c>
      <c r="AM185" s="441">
        <f>Ruimtestaat[[#This Row],[uren / jaar weekend]]+Ruimtestaat[[#This Row],[uren / jaar werkdagen]]</f>
        <v>0</v>
      </c>
      <c r="AN185" s="446">
        <f>Ruimtestaat[[#This Row],[kosten / jaar weekend]]+Ruimtestaat[[#This Row],[kosten / jaar werkdagen]]</f>
        <v>0</v>
      </c>
      <c r="AO185" s="446"/>
      <c r="AP185" s="447" t="str">
        <f>IF(Ruimtestaat[[#This Row],[Frequentie werkdagen]]="","",_xlfn.CONCAT(Ruimtestaat[[#This Row],[Ruimte code]],"-",Ruimtestaat[[#This Row],[Frequentie werkdagen]]," ",Ruimtestaat[[#This Row],[Vloer code]]))</f>
        <v>5-4w S</v>
      </c>
      <c r="AQ185" s="448" t="str">
        <f>_xlfn.IFNA(VLOOKUP($AP185,Programma!$F$3:$G$1101,2,0),"")</f>
        <v>_</v>
      </c>
      <c r="AR185" s="448" t="str">
        <f>_xlfn.IFNA(VLOOKUP($AP185,Programma!$F$3:$H$1101,3,0),"")</f>
        <v>_</v>
      </c>
      <c r="AS185" s="448" t="str">
        <f>_xlfn.IFNA(VLOOKUP($AP185,Programma!$F$3:$I$1101,4,0),"")</f>
        <v>_</v>
      </c>
      <c r="AT185" s="448" t="str">
        <f>_xlfn.IFNA(VLOOKUP($AP185,Programma!$F$3:$J$1101,5,0),"")</f>
        <v>3w</v>
      </c>
      <c r="AU185" s="448" t="str">
        <f>_xlfn.IFNA(VLOOKUP($AP185,Programma!$F$3:$K$1101,6,0),"")</f>
        <v>1w</v>
      </c>
      <c r="AV185" s="448" t="str">
        <f>_xlfn.IFNA(VLOOKUP($AP185,Programma!$F$3:$L$1101,7,0),"")</f>
        <v>_</v>
      </c>
      <c r="AW185" s="448" t="str">
        <f>_xlfn.IFNA(VLOOKUP($AP185,Programma!$F$3:$M$1101,8,0),"")</f>
        <v>_</v>
      </c>
      <c r="AX185" s="448" t="str">
        <f>_xlfn.IFNA(VLOOKUP($AP185,Programma!$F$3:$N$1101,9,0),"")</f>
        <v>_</v>
      </c>
      <c r="AY185" s="448" t="str">
        <f>_xlfn.IFNA(VLOOKUP($AP185,Programma!$F$3:$O$1101,10,0),"")</f>
        <v>_</v>
      </c>
      <c r="AZ185" s="448" t="str">
        <f>_xlfn.IFNA(VLOOKUP($AP185,Programma!$F$3:$P$1101,11,0),"")</f>
        <v>_</v>
      </c>
      <c r="BA185" s="448" t="str">
        <f>_xlfn.IFNA(VLOOKUP($AP185,Programma!$F$3:$Q$1101,12,0),"")</f>
        <v>_</v>
      </c>
      <c r="BB185" s="448" t="str">
        <f>_xlfn.IFNA(VLOOKUP($AP185,Programma!$F$3:$R$1101,13,0),"")</f>
        <v>_</v>
      </c>
      <c r="BC185" s="448" t="str">
        <f>_xlfn.IFNA(VLOOKUP($AP185,Programma!$F$3:$S$1101,14,0),"")</f>
        <v>_</v>
      </c>
      <c r="BD185" s="448" t="str">
        <f>_xlfn.IFNA(VLOOKUP($AP185,Programma!$F$3:$T$1101,15,0),"")</f>
        <v>_</v>
      </c>
      <c r="BE185" s="448" t="str">
        <f>_xlfn.IFNA(VLOOKUP($AP185,Programma!$F$3:$U$1101,16,0),"")</f>
        <v>_</v>
      </c>
      <c r="BF185" s="448" t="str">
        <f>_xlfn.IFNA(VLOOKUP($AP185,Programma!$F$3:$V$1101,17,0),"")</f>
        <v>_</v>
      </c>
      <c r="BG185" s="448" t="str">
        <f>_xlfn.IFNA(VLOOKUP($AP185,Programma!$F$3:$W$1101,18,0),"")</f>
        <v>3w</v>
      </c>
      <c r="BH185" s="448" t="str">
        <f>_xlfn.IFNA(VLOOKUP($AP185,Programma!$F$3:$X$1101,19,0),"")</f>
        <v>1w</v>
      </c>
      <c r="BI185" s="448" t="str">
        <f>_xlfn.IFNA(VLOOKUP($AP185,Programma!$F$3:$Y$1101,20,0),"")</f>
        <v>_</v>
      </c>
      <c r="BJ185" s="449"/>
      <c r="BK185" s="447" t="str">
        <f>IF(Ruimtestaat[[#This Row],[Frequentie weekend]]="","",_xlfn.CONCAT(Ruimtestaat[[#This Row],[Ruimte code]],"-",Ruimtestaat[[#This Row],[Frequentie weekend]]," ",Ruimtestaat[[#This Row],[Vloer code]]))</f>
        <v/>
      </c>
      <c r="BL185" s="448" t="str">
        <f>_xlfn.IFNA(VLOOKUP($BK185,Programma!$F$3:$G$1101,2,0),"")</f>
        <v/>
      </c>
      <c r="BM185" s="448" t="str">
        <f>_xlfn.IFNA(VLOOKUP($BK185,Programma!$F$3:$H$1101,3,0),"")</f>
        <v/>
      </c>
      <c r="BN185" s="448" t="str">
        <f>_xlfn.IFNA(VLOOKUP($BK185,Programma!$F$3:$I$1101,4,0),"")</f>
        <v/>
      </c>
      <c r="BO185" s="448" t="str">
        <f>_xlfn.IFNA(VLOOKUP($BK185,Programma!$F$3:$J$1101,5,0),"")</f>
        <v/>
      </c>
      <c r="BP185" s="448" t="str">
        <f>_xlfn.IFNA(VLOOKUP($BK185,Programma!$F$3:$K$1101,6,0),"")</f>
        <v/>
      </c>
      <c r="BQ185" s="448" t="str">
        <f>_xlfn.IFNA(VLOOKUP($BK185,Programma!$F$3:$L$1101,7,0),"")</f>
        <v/>
      </c>
      <c r="BR185" s="448" t="str">
        <f>_xlfn.IFNA(VLOOKUP($BK185,Programma!$F$3:$M$1101,8,0),"")</f>
        <v/>
      </c>
      <c r="BS185" s="448" t="str">
        <f>_xlfn.IFNA(VLOOKUP($BK185,Programma!$F$3:$N$1101,9,0),"")</f>
        <v/>
      </c>
      <c r="BT185" s="448" t="str">
        <f>_xlfn.IFNA(VLOOKUP($BK185,Programma!$F$3:$O$1101,10,0),"")</f>
        <v/>
      </c>
      <c r="BU185" s="448" t="str">
        <f>_xlfn.IFNA(VLOOKUP($BK185,Programma!$F$3:$P$1101,11,0),"")</f>
        <v/>
      </c>
      <c r="BV185" s="448" t="str">
        <f>_xlfn.IFNA(VLOOKUP($BK185,Programma!$F$3:$Q$1101,12,0),"")</f>
        <v/>
      </c>
      <c r="BW185" s="448" t="str">
        <f>_xlfn.IFNA(VLOOKUP($BK185,Programma!$F$3:$R$1101,13,0),"")</f>
        <v/>
      </c>
      <c r="BX185" s="448" t="str">
        <f>_xlfn.IFNA(VLOOKUP($BK185,Programma!$F$3:$S$1101,14,0),"")</f>
        <v/>
      </c>
      <c r="BY185" s="448" t="str">
        <f>_xlfn.IFNA(VLOOKUP($BK185,Programma!$F$3:$T$1101,15,0),"")</f>
        <v/>
      </c>
      <c r="BZ185" s="448" t="str">
        <f>_xlfn.IFNA(VLOOKUP($BK185,Programma!$F$3:$U$1101,16,0),"")</f>
        <v/>
      </c>
      <c r="CA185" s="448" t="str">
        <f>_xlfn.IFNA(VLOOKUP($BK185,Programma!$F$3:$V$1101,17,0),"")</f>
        <v/>
      </c>
      <c r="CB185" s="448" t="str">
        <f>_xlfn.IFNA(VLOOKUP($BK185,Programma!$F$3:$W$1101,18,0),"")</f>
        <v/>
      </c>
      <c r="CC185" s="448" t="str">
        <f>_xlfn.IFNA(VLOOKUP($BK185,Programma!$F$3:$X$1101,19,0),"")</f>
        <v/>
      </c>
      <c r="CD185" s="448" t="str">
        <f>_xlfn.IFNA(VLOOKUP($BK185,Programma!$F$3:$Y$1101,20,0),"")</f>
        <v/>
      </c>
      <c r="CE185" s="327"/>
      <c r="CF185" s="327"/>
      <c r="CG185" s="327"/>
      <c r="CH185" s="327"/>
      <c r="CI185" s="327"/>
      <c r="CJ185" s="327"/>
      <c r="CK185" s="327"/>
      <c r="CL185" s="327"/>
      <c r="CM185" s="327"/>
      <c r="CN185" s="327"/>
      <c r="CO185" s="327"/>
      <c r="CP185" s="327"/>
      <c r="CQ185" s="327"/>
      <c r="CR185" s="327"/>
      <c r="CS185" s="327"/>
      <c r="CT185" s="327"/>
      <c r="CU185" s="327"/>
      <c r="CV185" s="327"/>
      <c r="CW185" s="327"/>
      <c r="CX185" s="327"/>
      <c r="CY185" s="327"/>
      <c r="CZ185" s="327"/>
      <c r="DA185" s="327"/>
      <c r="DB185" s="327"/>
      <c r="DC185" s="327"/>
      <c r="DD185" s="327"/>
      <c r="DE185" s="327"/>
      <c r="DF185" s="327"/>
      <c r="DG185" s="327"/>
      <c r="DH185" s="327"/>
      <c r="DI185" s="327"/>
      <c r="DJ185" s="327"/>
      <c r="DK185" s="327"/>
      <c r="DL185" s="327"/>
      <c r="DM185" s="327"/>
      <c r="DN185" s="327"/>
      <c r="DO185" s="327"/>
      <c r="DP185" s="327"/>
      <c r="DQ185" s="327"/>
      <c r="DR185" s="327"/>
      <c r="DS185" s="327"/>
      <c r="DT185" s="327"/>
      <c r="DU185" s="327"/>
      <c r="DV185" s="327"/>
      <c r="DW185" s="327"/>
      <c r="DX185" s="327"/>
      <c r="DY185" s="327"/>
      <c r="DZ185" s="327"/>
      <c r="EA185" s="327"/>
      <c r="EB185" s="327"/>
      <c r="EC185" s="327"/>
      <c r="ED185" s="327"/>
      <c r="EE185" s="327"/>
      <c r="EF185" s="327"/>
      <c r="EG185" s="327"/>
      <c r="EH185" s="327"/>
      <c r="EI185" s="327"/>
      <c r="EJ185" s="327"/>
      <c r="EK185" s="327"/>
      <c r="EL185" s="327"/>
      <c r="EM185" s="327"/>
      <c r="EN185" s="327"/>
      <c r="EO185" s="327"/>
      <c r="EP185" s="327"/>
      <c r="EQ185" s="327"/>
      <c r="ER185" s="327"/>
      <c r="ES185" s="327"/>
      <c r="ET185" s="327"/>
      <c r="EU185" s="327"/>
      <c r="EV185" s="327"/>
      <c r="EW185" s="327"/>
      <c r="EX185" s="327"/>
      <c r="EY185" s="327"/>
      <c r="EZ185" s="327"/>
      <c r="FA185" s="327"/>
      <c r="FB185" s="327"/>
      <c r="FC185" s="327"/>
      <c r="FD185" s="327"/>
      <c r="FE185" s="327"/>
      <c r="FF185" s="327"/>
      <c r="FG185" s="327"/>
      <c r="FH185" s="327"/>
      <c r="FI185" s="327"/>
      <c r="FJ185" s="327"/>
      <c r="FK185" s="327"/>
      <c r="FL185" s="327"/>
      <c r="FM185" s="327"/>
      <c r="FN185" s="327"/>
      <c r="FO185" s="327"/>
      <c r="FP185" s="327"/>
      <c r="FQ185" s="327"/>
      <c r="FR185" s="327"/>
      <c r="FS185" s="327"/>
      <c r="FT185" s="327"/>
      <c r="FU185" s="327"/>
      <c r="FV185" s="327"/>
      <c r="FW185" s="327"/>
      <c r="FX185" s="327"/>
      <c r="FY185" s="327"/>
      <c r="FZ185" s="327"/>
      <c r="GA185" s="327"/>
      <c r="GB185" s="327"/>
      <c r="GC185" s="327"/>
      <c r="GD185" s="327"/>
      <c r="GE185" s="327"/>
      <c r="GF185" s="327"/>
      <c r="GG185" s="327"/>
      <c r="GH185" s="327"/>
      <c r="GI185" s="327"/>
      <c r="GJ185" s="327"/>
      <c r="GK185" s="327"/>
      <c r="GL185" s="327"/>
      <c r="GM185" s="327"/>
      <c r="GN185" s="327"/>
      <c r="GO185" s="327"/>
      <c r="GP185" s="327"/>
      <c r="GQ185" s="327"/>
      <c r="GR185" s="327"/>
      <c r="GS185" s="327"/>
      <c r="GT185" s="327"/>
      <c r="GU185" s="327"/>
      <c r="GV185" s="327"/>
      <c r="GW185" s="327"/>
      <c r="GX185" s="327"/>
      <c r="GY185" s="327"/>
      <c r="GZ185" s="327"/>
      <c r="HA185" s="327"/>
      <c r="HB185" s="327"/>
      <c r="HC185" s="327"/>
      <c r="HD185" s="327"/>
      <c r="HE185" s="327"/>
      <c r="HF185" s="327"/>
      <c r="HG185" s="327"/>
      <c r="HH185" s="327"/>
      <c r="HI185" s="327"/>
      <c r="HJ185" s="327"/>
      <c r="HK185" s="327"/>
      <c r="HL185" s="327"/>
      <c r="HM185" s="327"/>
      <c r="HN185" s="327"/>
      <c r="HO185" s="327"/>
      <c r="HP185" s="327"/>
      <c r="HQ185" s="327"/>
      <c r="HR185" s="327"/>
      <c r="HS185" s="327"/>
    </row>
    <row r="186" spans="1:227" ht="15" customHeight="1">
      <c r="A186" s="330">
        <v>8</v>
      </c>
      <c r="B186" s="435" t="str">
        <f>VLOOKUP(Ruimtestaat[[#This Row],[Code]],Locaties[[Code]:[Locatie]],2,FALSE)</f>
        <v>IKC De Trinoom</v>
      </c>
      <c r="C186" s="435" t="str">
        <f>VLOOKUP(Ruimtestaat[[#This Row],[Code]],Locaties[[#All],[Code]:[Adres]],4,FALSE)</f>
        <v>Nieuwlandstraat 241</v>
      </c>
      <c r="D186" s="435" t="str">
        <f>VLOOKUP(Ruimtestaat[[#This Row],[Code]],Locaties[[#All],[Code]:[Postcode]],5,FALSE)</f>
        <v>2729 EB</v>
      </c>
      <c r="E186" s="435" t="str">
        <f>VLOOKUP(Ruimtestaat[[#This Row],[Code]],Locaties[#All],6,FALSE)</f>
        <v>Zoetermeer</v>
      </c>
      <c r="F186" s="434"/>
      <c r="G186" s="434" t="s">
        <v>1769</v>
      </c>
      <c r="H186" s="330" t="s">
        <v>1709</v>
      </c>
      <c r="I186" s="450" t="s">
        <v>1770</v>
      </c>
      <c r="J186" s="330">
        <v>6</v>
      </c>
      <c r="K186" s="450" t="str">
        <f>VLOOKUP(Ruimtestaat[[#This Row],[Ruimte code]],Ruimtegroepen[[#All],[Code]:[Ruimte omschrijving]],2,FALSE)</f>
        <v>Gangen/hallen</v>
      </c>
      <c r="L186" s="434" t="s">
        <v>100</v>
      </c>
      <c r="M186" s="437" t="s">
        <v>1759</v>
      </c>
      <c r="N186" s="439">
        <v>4</v>
      </c>
      <c r="O186" s="439"/>
      <c r="P186" s="439"/>
      <c r="Q186" s="439"/>
      <c r="R186" s="440" t="str">
        <f>VLOOKUP(Ruimtestaat[[#This Row],[Ruimte code]],Ruimtegroepen[],4,FALSE)</f>
        <v>Ve</v>
      </c>
      <c r="S186" s="434">
        <v>41</v>
      </c>
      <c r="T186" s="434" t="s">
        <v>2</v>
      </c>
      <c r="U186" s="434">
        <f>IF(S186&gt;0,IF(RIGHT(Ruimtestaat[[#This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86" s="434">
        <f>IF(U186&gt;0,VLOOKUP($J186,Ruimtegroepen[],3,FALSE)*VLOOKUP($L186,Vloersoorten[],3,FALSE)*VLOOKUP($T186,Frequenties[],3,FALSE)*VLOOKUP($A186,Locaties[],3,FALSE),0)</f>
        <v>0</v>
      </c>
      <c r="W186" s="434">
        <f>Ruimtestaat[[#This Row],[Uitvoeringen werkdagen]]*Ruimtestaat[[#This Row],[Oppervlak (netto)]]</f>
        <v>820</v>
      </c>
      <c r="X186" s="441">
        <f>IF(V186&gt;0,Ruimtestaat[[#This Row],[Prest. (m2 /jaar) werkdagen]]/Ruimtestaat[[#This Row],[Norm (m2/uur) werkdagen]],0)</f>
        <v>0</v>
      </c>
      <c r="Y186" s="442">
        <f>Ruimtestaat[[#This Row],[Uitvoeringen werkdagen]]*Ruimtestaat[[#This Row],[Gedeeltelijk]]</f>
        <v>0</v>
      </c>
      <c r="Z186" s="443" t="e">
        <f>IF(U186&gt;0,Ruimtestaat[[#This Row],[Prest. (m2 / jaar) werkdagen gedeeld]]/Ruimtestaat[[#This Row],[Norm (m2/uur) werkdagen]],0)</f>
        <v>#DIV/0!</v>
      </c>
      <c r="AA186" s="441" t="e">
        <f>Ruimtestaat[[#This Row],[uren / jaar werkdagen gedeeld]]*Tariefsopbouw!$E$35</f>
        <v>#DIV/0!</v>
      </c>
      <c r="AB186" s="441">
        <f>Ruimtestaat[[#This Row],[Uitvoeringen werkdagen]]*Ruimtestaat[[#This Row],[BSO]]</f>
        <v>0</v>
      </c>
      <c r="AC186" s="443" t="e">
        <f>IF(U186&gt;0,Ruimtestaat[[#This Row],[Prest. (m2 / jaar) werkdagen BSO]]/Ruimtestaat[[#This Row],[Norm (m2/uur) werkdagen]],0)</f>
        <v>#DIV/0!</v>
      </c>
      <c r="AD186" s="443" t="e">
        <f>Ruimtestaat[[#This Row],[uren / jaar werkdagen BSO]]*Tariefsopbouw!$E$35</f>
        <v>#DIV/0!</v>
      </c>
      <c r="AE186" s="444">
        <f>Ruimtestaat[[#This Row],[uren / jaar werkdagen]]*Tariefsopbouw!$E$35</f>
        <v>0</v>
      </c>
      <c r="AF186" s="434"/>
      <c r="AG186" s="434">
        <f>IF(Ruimtestaat[[#This Row],[Frequentie weekend]]&gt;0,VALUE(LEFT(AF186,1))*S186,0)</f>
        <v>0</v>
      </c>
      <c r="AH186" s="445">
        <f>IF($AG186&gt;0,VLOOKUP($J186,Ruimtegroepen[],3,FALSE)*VLOOKUP($L186,Vloersoorten[],3,FALSE)*VLOOKUP($AF186,Frequenties[],3,FALSE)*VLOOKUP(Ruimtestaat[[#This Row],[Code]],Locaties[],3,FALSE),0)</f>
        <v>0</v>
      </c>
      <c r="AI186" s="445">
        <f>Ruimtestaat[[#This Row],[Uitvoeringen weekend]]*Ruimtestaat[[#This Row],[Oppervlak (netto)]]</f>
        <v>0</v>
      </c>
      <c r="AJ186" s="445">
        <f>IF(AH186&gt;0,Ruimtestaat[[#This Row],[Prest. (m2 /jaar) weekend]]/Ruimtestaat[[#This Row],[Norm (m2/uur) weekend]],0)</f>
        <v>0</v>
      </c>
      <c r="AK186" s="444">
        <f>Ruimtestaat[[#This Row],[uren / jaar weekend]]*Tariefsopbouw!$D$40</f>
        <v>0</v>
      </c>
      <c r="AL186" s="441">
        <f>Ruimtestaat[[#This Row],[Prest. (m2 /jaar) weekend]]+Ruimtestaat[[#This Row],[Prest. (m2 /jaar) werkdagen]]</f>
        <v>820</v>
      </c>
      <c r="AM186" s="441">
        <f>Ruimtestaat[[#This Row],[uren / jaar weekend]]+Ruimtestaat[[#This Row],[uren / jaar werkdagen]]</f>
        <v>0</v>
      </c>
      <c r="AN186" s="446">
        <f>Ruimtestaat[[#This Row],[kosten / jaar weekend]]+Ruimtestaat[[#This Row],[kosten / jaar werkdagen]]</f>
        <v>0</v>
      </c>
      <c r="AO186" s="446"/>
      <c r="AP186" s="447" t="str">
        <f>IF(Ruimtestaat[[#This Row],[Frequentie werkdagen]]="","",_xlfn.CONCAT(Ruimtestaat[[#This Row],[Ruimte code]],"-",Ruimtestaat[[#This Row],[Frequentie werkdagen]]," ",Ruimtestaat[[#This Row],[Vloer code]]))</f>
        <v>6-5w L</v>
      </c>
      <c r="AQ186" s="448" t="str">
        <f>_xlfn.IFNA(VLOOKUP($AP186,Programma!$F$3:$G$1101,2,0),"")</f>
        <v>_</v>
      </c>
      <c r="AR186" s="448" t="str">
        <f>_xlfn.IFNA(VLOOKUP($AP186,Programma!$F$3:$H$1101,3,0),"")</f>
        <v>_</v>
      </c>
      <c r="AS186" s="448" t="str">
        <f>_xlfn.IFNA(VLOOKUP($AP186,Programma!$F$3:$I$1101,4,0),"")</f>
        <v>_</v>
      </c>
      <c r="AT186" s="448" t="str">
        <f>_xlfn.IFNA(VLOOKUP($AP186,Programma!$F$3:$J$1101,5,0),"")</f>
        <v>5w</v>
      </c>
      <c r="AU186" s="448" t="str">
        <f>_xlfn.IFNA(VLOOKUP($AP186,Programma!$F$3:$K$1101,6,0),"")</f>
        <v>_</v>
      </c>
      <c r="AV186" s="448" t="str">
        <f>_xlfn.IFNA(VLOOKUP($AP186,Programma!$F$3:$L$1101,7,0),"")</f>
        <v>_</v>
      </c>
      <c r="AW186" s="448" t="str">
        <f>_xlfn.IFNA(VLOOKUP($AP186,Programma!$F$3:$M$1101,8,0),"")</f>
        <v>_</v>
      </c>
      <c r="AX186" s="448" t="str">
        <f>_xlfn.IFNA(VLOOKUP($AP186,Programma!$F$3:$N$1101,9,0),"")</f>
        <v>_</v>
      </c>
      <c r="AY186" s="448" t="str">
        <f>_xlfn.IFNA(VLOOKUP($AP186,Programma!$F$3:$O$1101,10,0),"")</f>
        <v>5w</v>
      </c>
      <c r="AZ186" s="448" t="str">
        <f>_xlfn.IFNA(VLOOKUP($AP186,Programma!$F$3:$P$1101,11,0),"")</f>
        <v>5w</v>
      </c>
      <c r="BA186" s="448" t="str">
        <f>_xlfn.IFNA(VLOOKUP($AP186,Programma!$F$3:$Q$1101,12,0),"")</f>
        <v>1w</v>
      </c>
      <c r="BB186" s="448" t="str">
        <f>_xlfn.IFNA(VLOOKUP($AP186,Programma!$F$3:$R$1101,13,0),"")</f>
        <v>1w</v>
      </c>
      <c r="BC186" s="448" t="str">
        <f>_xlfn.IFNA(VLOOKUP($AP186,Programma!$F$3:$S$1101,14,0),"")</f>
        <v>1m</v>
      </c>
      <c r="BD186" s="448" t="str">
        <f>_xlfn.IFNA(VLOOKUP($AP186,Programma!$F$3:$T$1101,15,0),"")</f>
        <v>2j</v>
      </c>
      <c r="BE186" s="448" t="str">
        <f>_xlfn.IFNA(VLOOKUP($AP186,Programma!$F$3:$U$1101,16,0),"")</f>
        <v>1j</v>
      </c>
      <c r="BF186" s="448" t="str">
        <f>_xlfn.IFNA(VLOOKUP($AP186,Programma!$F$3:$V$1101,17,0),"")</f>
        <v>_</v>
      </c>
      <c r="BG186" s="448" t="str">
        <f>_xlfn.IFNA(VLOOKUP($AP186,Programma!$F$3:$W$1101,18,0),"")</f>
        <v>_</v>
      </c>
      <c r="BH186" s="448" t="str">
        <f>_xlfn.IFNA(VLOOKUP($AP186,Programma!$F$3:$X$1101,19,0),"")</f>
        <v>_</v>
      </c>
      <c r="BI186" s="448" t="str">
        <f>_xlfn.IFNA(VLOOKUP($AP186,Programma!$F$3:$Y$1101,20,0),"")</f>
        <v>_</v>
      </c>
      <c r="BJ186" s="449"/>
      <c r="BK186" s="447" t="str">
        <f>IF(Ruimtestaat[[#This Row],[Frequentie weekend]]="","",_xlfn.CONCAT(Ruimtestaat[[#This Row],[Ruimte code]],"-",Ruimtestaat[[#This Row],[Frequentie weekend]]," ",Ruimtestaat[[#This Row],[Vloer code]]))</f>
        <v/>
      </c>
      <c r="BL186" s="448" t="str">
        <f>_xlfn.IFNA(VLOOKUP($BK186,Programma!$F$3:$G$1101,2,0),"")</f>
        <v/>
      </c>
      <c r="BM186" s="448" t="str">
        <f>_xlfn.IFNA(VLOOKUP($BK186,Programma!$F$3:$H$1101,3,0),"")</f>
        <v/>
      </c>
      <c r="BN186" s="448" t="str">
        <f>_xlfn.IFNA(VLOOKUP($BK186,Programma!$F$3:$I$1101,4,0),"")</f>
        <v/>
      </c>
      <c r="BO186" s="448" t="str">
        <f>_xlfn.IFNA(VLOOKUP($BK186,Programma!$F$3:$J$1101,5,0),"")</f>
        <v/>
      </c>
      <c r="BP186" s="448" t="str">
        <f>_xlfn.IFNA(VLOOKUP($BK186,Programma!$F$3:$K$1101,6,0),"")</f>
        <v/>
      </c>
      <c r="BQ186" s="448" t="str">
        <f>_xlfn.IFNA(VLOOKUP($BK186,Programma!$F$3:$L$1101,7,0),"")</f>
        <v/>
      </c>
      <c r="BR186" s="448" t="str">
        <f>_xlfn.IFNA(VLOOKUP($BK186,Programma!$F$3:$M$1101,8,0),"")</f>
        <v/>
      </c>
      <c r="BS186" s="448" t="str">
        <f>_xlfn.IFNA(VLOOKUP($BK186,Programma!$F$3:$N$1101,9,0),"")</f>
        <v/>
      </c>
      <c r="BT186" s="448" t="str">
        <f>_xlfn.IFNA(VLOOKUP($BK186,Programma!$F$3:$O$1101,10,0),"")</f>
        <v/>
      </c>
      <c r="BU186" s="448" t="str">
        <f>_xlfn.IFNA(VLOOKUP($BK186,Programma!$F$3:$P$1101,11,0),"")</f>
        <v/>
      </c>
      <c r="BV186" s="448" t="str">
        <f>_xlfn.IFNA(VLOOKUP($BK186,Programma!$F$3:$Q$1101,12,0),"")</f>
        <v/>
      </c>
      <c r="BW186" s="448" t="str">
        <f>_xlfn.IFNA(VLOOKUP($BK186,Programma!$F$3:$R$1101,13,0),"")</f>
        <v/>
      </c>
      <c r="BX186" s="448" t="str">
        <f>_xlfn.IFNA(VLOOKUP($BK186,Programma!$F$3:$S$1101,14,0),"")</f>
        <v/>
      </c>
      <c r="BY186" s="448" t="str">
        <f>_xlfn.IFNA(VLOOKUP($BK186,Programma!$F$3:$T$1101,15,0),"")</f>
        <v/>
      </c>
      <c r="BZ186" s="448" t="str">
        <f>_xlfn.IFNA(VLOOKUP($BK186,Programma!$F$3:$U$1101,16,0),"")</f>
        <v/>
      </c>
      <c r="CA186" s="448" t="str">
        <f>_xlfn.IFNA(VLOOKUP($BK186,Programma!$F$3:$V$1101,17,0),"")</f>
        <v/>
      </c>
      <c r="CB186" s="448" t="str">
        <f>_xlfn.IFNA(VLOOKUP($BK186,Programma!$F$3:$W$1101,18,0),"")</f>
        <v/>
      </c>
      <c r="CC186" s="448" t="str">
        <f>_xlfn.IFNA(VLOOKUP($BK186,Programma!$F$3:$X$1101,19,0),"")</f>
        <v/>
      </c>
      <c r="CD186" s="448" t="str">
        <f>_xlfn.IFNA(VLOOKUP($BK186,Programma!$F$3:$Y$1101,20,0),"")</f>
        <v/>
      </c>
      <c r="CE186" s="327"/>
      <c r="CF186" s="327"/>
      <c r="CG186" s="327"/>
      <c r="CH186" s="327"/>
      <c r="CI186" s="327"/>
      <c r="CJ186" s="327"/>
      <c r="CK186" s="327"/>
      <c r="CL186" s="327"/>
      <c r="CM186" s="327"/>
      <c r="CN186" s="327"/>
      <c r="CO186" s="327"/>
      <c r="CP186" s="327"/>
      <c r="CQ186" s="327"/>
      <c r="CR186" s="327"/>
      <c r="CS186" s="327"/>
      <c r="CT186" s="327"/>
      <c r="CU186" s="327"/>
      <c r="CV186" s="327"/>
      <c r="CW186" s="327"/>
      <c r="CX186" s="327"/>
      <c r="CY186" s="327"/>
      <c r="CZ186" s="327"/>
      <c r="DA186" s="327"/>
      <c r="DB186" s="327"/>
      <c r="DC186" s="327"/>
      <c r="DD186" s="327"/>
      <c r="DE186" s="327"/>
      <c r="DF186" s="327"/>
      <c r="DG186" s="327"/>
      <c r="DH186" s="327"/>
      <c r="DI186" s="327"/>
      <c r="DJ186" s="327"/>
      <c r="DK186" s="327"/>
      <c r="DL186" s="327"/>
      <c r="DM186" s="327"/>
      <c r="DN186" s="327"/>
      <c r="DO186" s="327"/>
      <c r="DP186" s="327"/>
      <c r="DQ186" s="327"/>
      <c r="DR186" s="327"/>
      <c r="DS186" s="327"/>
      <c r="DT186" s="327"/>
      <c r="DU186" s="327"/>
      <c r="DV186" s="327"/>
      <c r="DW186" s="327"/>
      <c r="DX186" s="327"/>
      <c r="DY186" s="327"/>
      <c r="DZ186" s="327"/>
      <c r="EA186" s="327"/>
      <c r="EB186" s="327"/>
      <c r="EC186" s="327"/>
      <c r="ED186" s="327"/>
      <c r="EE186" s="327"/>
      <c r="EF186" s="327"/>
      <c r="EG186" s="327"/>
      <c r="EH186" s="327"/>
      <c r="EI186" s="327"/>
      <c r="EJ186" s="327"/>
      <c r="EK186" s="327"/>
      <c r="EL186" s="327"/>
      <c r="EM186" s="327"/>
      <c r="EN186" s="327"/>
      <c r="EO186" s="327"/>
      <c r="EP186" s="327"/>
      <c r="EQ186" s="327"/>
      <c r="ER186" s="327"/>
      <c r="ES186" s="327"/>
      <c r="ET186" s="327"/>
      <c r="EU186" s="327"/>
      <c r="EV186" s="327"/>
      <c r="EW186" s="327"/>
      <c r="EX186" s="327"/>
      <c r="EY186" s="327"/>
      <c r="EZ186" s="327"/>
      <c r="FA186" s="327"/>
      <c r="FB186" s="327"/>
      <c r="FC186" s="327"/>
      <c r="FD186" s="327"/>
      <c r="FE186" s="327"/>
      <c r="FF186" s="327"/>
      <c r="FG186" s="327"/>
      <c r="FH186" s="327"/>
      <c r="FI186" s="327"/>
      <c r="FJ186" s="327"/>
      <c r="FK186" s="327"/>
      <c r="FL186" s="327"/>
      <c r="FM186" s="327"/>
      <c r="FN186" s="327"/>
      <c r="FO186" s="327"/>
      <c r="FP186" s="327"/>
      <c r="FQ186" s="327"/>
      <c r="FR186" s="327"/>
      <c r="FS186" s="327"/>
      <c r="FT186" s="327"/>
      <c r="FU186" s="327"/>
      <c r="FV186" s="327"/>
      <c r="FW186" s="327"/>
      <c r="FX186" s="327"/>
      <c r="FY186" s="327"/>
      <c r="FZ186" s="327"/>
      <c r="GA186" s="327"/>
      <c r="GB186" s="327"/>
      <c r="GC186" s="327"/>
      <c r="GD186" s="327"/>
      <c r="GE186" s="327"/>
      <c r="GF186" s="327"/>
      <c r="GG186" s="327"/>
      <c r="GH186" s="327"/>
      <c r="GI186" s="327"/>
      <c r="GJ186" s="327"/>
      <c r="GK186" s="327"/>
      <c r="GL186" s="327"/>
      <c r="GM186" s="327"/>
      <c r="GN186" s="327"/>
      <c r="GO186" s="327"/>
      <c r="GP186" s="327"/>
      <c r="GQ186" s="327"/>
      <c r="GR186" s="327"/>
      <c r="GS186" s="327"/>
      <c r="GT186" s="327"/>
      <c r="GU186" s="327"/>
      <c r="GV186" s="327"/>
      <c r="GW186" s="327"/>
      <c r="GX186" s="327"/>
      <c r="GY186" s="327"/>
      <c r="GZ186" s="327"/>
      <c r="HA186" s="327"/>
      <c r="HB186" s="327"/>
      <c r="HC186" s="327"/>
      <c r="HD186" s="327"/>
      <c r="HE186" s="327"/>
      <c r="HF186" s="327"/>
      <c r="HG186" s="327"/>
      <c r="HH186" s="327"/>
      <c r="HI186" s="327"/>
      <c r="HJ186" s="327"/>
      <c r="HK186" s="327"/>
      <c r="HL186" s="327"/>
      <c r="HM186" s="327"/>
      <c r="HN186" s="327"/>
      <c r="HO186" s="327"/>
      <c r="HP186" s="327"/>
      <c r="HQ186" s="327"/>
      <c r="HR186" s="327"/>
      <c r="HS186" s="327"/>
    </row>
    <row r="187" spans="1:227" ht="15" customHeight="1">
      <c r="A187" s="330">
        <v>8</v>
      </c>
      <c r="B187" s="435" t="str">
        <f>VLOOKUP(Ruimtestaat[[#This Row],[Code]],Locaties[[Code]:[Locatie]],2,FALSE)</f>
        <v>IKC De Trinoom</v>
      </c>
      <c r="C187" s="435" t="str">
        <f>VLOOKUP(Ruimtestaat[[#This Row],[Code]],Locaties[[#All],[Code]:[Adres]],4,FALSE)</f>
        <v>Nieuwlandstraat 241</v>
      </c>
      <c r="D187" s="435" t="str">
        <f>VLOOKUP(Ruimtestaat[[#This Row],[Code]],Locaties[[#All],[Code]:[Postcode]],5,FALSE)</f>
        <v>2729 EB</v>
      </c>
      <c r="E187" s="435" t="str">
        <f>VLOOKUP(Ruimtestaat[[#This Row],[Code]],Locaties[#All],6,FALSE)</f>
        <v>Zoetermeer</v>
      </c>
      <c r="F187" s="434"/>
      <c r="G187" s="434" t="s">
        <v>1769</v>
      </c>
      <c r="H187" s="330" t="s">
        <v>1711</v>
      </c>
      <c r="I187" s="450" t="s">
        <v>1745</v>
      </c>
      <c r="J187" s="330">
        <v>12</v>
      </c>
      <c r="K187" s="450" t="str">
        <f>VLOOKUP(Ruimtestaat[[#This Row],[Ruimte code]],Ruimtegroepen[[#All],[Code]:[Ruimte omschrijving]],2,FALSE)</f>
        <v>Kantine/Aula</v>
      </c>
      <c r="L187" s="434" t="s">
        <v>100</v>
      </c>
      <c r="M187" s="437" t="s">
        <v>1759</v>
      </c>
      <c r="N187" s="439">
        <v>96</v>
      </c>
      <c r="O187" s="439"/>
      <c r="P187" s="439"/>
      <c r="Q187" s="439"/>
      <c r="R187" s="440" t="str">
        <f>VLOOKUP(Ruimtestaat[[#This Row],[Ruimte code]],Ruimtegroepen[],4,FALSE)</f>
        <v>Ve</v>
      </c>
      <c r="S187" s="434">
        <v>41</v>
      </c>
      <c r="T187" s="434" t="s">
        <v>2</v>
      </c>
      <c r="U187" s="434">
        <f>IF(S187&gt;0,IF(RIGHT(Ruimtestaat[[#This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87" s="434">
        <f>IF(U187&gt;0,VLOOKUP($J187,Ruimtegroepen[],3,FALSE)*VLOOKUP($L187,Vloersoorten[],3,FALSE)*VLOOKUP($T187,Frequenties[],3,FALSE)*VLOOKUP($A187,Locaties[],3,FALSE),0)</f>
        <v>0</v>
      </c>
      <c r="W187" s="434">
        <f>Ruimtestaat[[#This Row],[Uitvoeringen werkdagen]]*Ruimtestaat[[#This Row],[Oppervlak (netto)]]</f>
        <v>19680</v>
      </c>
      <c r="X187" s="441">
        <f>IF(V187&gt;0,Ruimtestaat[[#This Row],[Prest. (m2 /jaar) werkdagen]]/Ruimtestaat[[#This Row],[Norm (m2/uur) werkdagen]],0)</f>
        <v>0</v>
      </c>
      <c r="Y187" s="442">
        <f>Ruimtestaat[[#This Row],[Uitvoeringen werkdagen]]*Ruimtestaat[[#This Row],[Gedeeltelijk]]</f>
        <v>0</v>
      </c>
      <c r="Z187" s="443" t="e">
        <f>IF(U187&gt;0,Ruimtestaat[[#This Row],[Prest. (m2 / jaar) werkdagen gedeeld]]/Ruimtestaat[[#This Row],[Norm (m2/uur) werkdagen]],0)</f>
        <v>#DIV/0!</v>
      </c>
      <c r="AA187" s="441" t="e">
        <f>Ruimtestaat[[#This Row],[uren / jaar werkdagen gedeeld]]*Tariefsopbouw!$E$35</f>
        <v>#DIV/0!</v>
      </c>
      <c r="AB187" s="441">
        <f>Ruimtestaat[[#This Row],[Uitvoeringen werkdagen]]*Ruimtestaat[[#This Row],[BSO]]</f>
        <v>0</v>
      </c>
      <c r="AC187" s="443" t="e">
        <f>IF(U187&gt;0,Ruimtestaat[[#This Row],[Prest. (m2 / jaar) werkdagen BSO]]/Ruimtestaat[[#This Row],[Norm (m2/uur) werkdagen]],0)</f>
        <v>#DIV/0!</v>
      </c>
      <c r="AD187" s="443" t="e">
        <f>Ruimtestaat[[#This Row],[uren / jaar werkdagen BSO]]*Tariefsopbouw!$E$35</f>
        <v>#DIV/0!</v>
      </c>
      <c r="AE187" s="444">
        <f>Ruimtestaat[[#This Row],[uren / jaar werkdagen]]*Tariefsopbouw!$E$35</f>
        <v>0</v>
      </c>
      <c r="AF187" s="434"/>
      <c r="AG187" s="434">
        <f>IF(Ruimtestaat[[#This Row],[Frequentie weekend]]&gt;0,VALUE(LEFT(AF187,1))*S187,0)</f>
        <v>0</v>
      </c>
      <c r="AH187" s="445">
        <f>IF($AG187&gt;0,VLOOKUP($J187,Ruimtegroepen[],3,FALSE)*VLOOKUP($L187,Vloersoorten[],3,FALSE)*VLOOKUP($AF187,Frequenties[],3,FALSE)*VLOOKUP(Ruimtestaat[[#This Row],[Code]],Locaties[],3,FALSE),0)</f>
        <v>0</v>
      </c>
      <c r="AI187" s="445">
        <f>Ruimtestaat[[#This Row],[Uitvoeringen weekend]]*Ruimtestaat[[#This Row],[Oppervlak (netto)]]</f>
        <v>0</v>
      </c>
      <c r="AJ187" s="445">
        <f>IF(AH187&gt;0,Ruimtestaat[[#This Row],[Prest. (m2 /jaar) weekend]]/Ruimtestaat[[#This Row],[Norm (m2/uur) weekend]],0)</f>
        <v>0</v>
      </c>
      <c r="AK187" s="444">
        <f>Ruimtestaat[[#This Row],[uren / jaar weekend]]*Tariefsopbouw!$D$40</f>
        <v>0</v>
      </c>
      <c r="AL187" s="441">
        <f>Ruimtestaat[[#This Row],[Prest. (m2 /jaar) weekend]]+Ruimtestaat[[#This Row],[Prest. (m2 /jaar) werkdagen]]</f>
        <v>19680</v>
      </c>
      <c r="AM187" s="441">
        <f>Ruimtestaat[[#This Row],[uren / jaar weekend]]+Ruimtestaat[[#This Row],[uren / jaar werkdagen]]</f>
        <v>0</v>
      </c>
      <c r="AN187" s="446">
        <f>Ruimtestaat[[#This Row],[kosten / jaar weekend]]+Ruimtestaat[[#This Row],[kosten / jaar werkdagen]]</f>
        <v>0</v>
      </c>
      <c r="AO187" s="446"/>
      <c r="AP187" s="447" t="str">
        <f>IF(Ruimtestaat[[#This Row],[Frequentie werkdagen]]="","",_xlfn.CONCAT(Ruimtestaat[[#This Row],[Ruimte code]],"-",Ruimtestaat[[#This Row],[Frequentie werkdagen]]," ",Ruimtestaat[[#This Row],[Vloer code]]))</f>
        <v>12-5w L</v>
      </c>
      <c r="AQ187" s="448" t="str">
        <f>_xlfn.IFNA(VLOOKUP($AP187,Programma!$F$3:$G$1101,2,0),"")</f>
        <v>_</v>
      </c>
      <c r="AR187" s="448" t="str">
        <f>_xlfn.IFNA(VLOOKUP($AP187,Programma!$F$3:$H$1101,3,0),"")</f>
        <v>_</v>
      </c>
      <c r="AS187" s="448" t="str">
        <f>_xlfn.IFNA(VLOOKUP($AP187,Programma!$F$3:$I$1101,4,0),"")</f>
        <v>_</v>
      </c>
      <c r="AT187" s="448" t="str">
        <f>_xlfn.IFNA(VLOOKUP($AP187,Programma!$F$3:$J$1101,5,0),"")</f>
        <v>5w</v>
      </c>
      <c r="AU187" s="448" t="str">
        <f>_xlfn.IFNA(VLOOKUP($AP187,Programma!$F$3:$K$1101,6,0),"")</f>
        <v>_</v>
      </c>
      <c r="AV187" s="448" t="str">
        <f>_xlfn.IFNA(VLOOKUP($AP187,Programma!$F$3:$L$1101,7,0),"")</f>
        <v>_</v>
      </c>
      <c r="AW187" s="448" t="str">
        <f>_xlfn.IFNA(VLOOKUP($AP187,Programma!$F$3:$M$1101,8,0),"")</f>
        <v>_</v>
      </c>
      <c r="AX187" s="448" t="str">
        <f>_xlfn.IFNA(VLOOKUP($AP187,Programma!$F$3:$N$1101,9,0),"")</f>
        <v>_</v>
      </c>
      <c r="AY187" s="448" t="str">
        <f>_xlfn.IFNA(VLOOKUP($AP187,Programma!$F$3:$O$1101,10,0),"")</f>
        <v>5w</v>
      </c>
      <c r="AZ187" s="448" t="str">
        <f>_xlfn.IFNA(VLOOKUP($AP187,Programma!$F$3:$P$1101,11,0),"")</f>
        <v>5w</v>
      </c>
      <c r="BA187" s="448" t="str">
        <f>_xlfn.IFNA(VLOOKUP($AP187,Programma!$F$3:$Q$1101,12,0),"")</f>
        <v>1w</v>
      </c>
      <c r="BB187" s="448" t="str">
        <f>_xlfn.IFNA(VLOOKUP($AP187,Programma!$F$3:$R$1101,13,0),"")</f>
        <v>1w</v>
      </c>
      <c r="BC187" s="448" t="str">
        <f>_xlfn.IFNA(VLOOKUP($AP187,Programma!$F$3:$S$1101,14,0),"")</f>
        <v>1m</v>
      </c>
      <c r="BD187" s="448" t="str">
        <f>_xlfn.IFNA(VLOOKUP($AP187,Programma!$F$3:$T$1101,15,0),"")</f>
        <v>2j</v>
      </c>
      <c r="BE187" s="448" t="str">
        <f>_xlfn.IFNA(VLOOKUP($AP187,Programma!$F$3:$U$1101,16,0),"")</f>
        <v>1j</v>
      </c>
      <c r="BF187" s="448" t="str">
        <f>_xlfn.IFNA(VLOOKUP($AP187,Programma!$F$3:$V$1101,17,0),"")</f>
        <v>_</v>
      </c>
      <c r="BG187" s="448" t="str">
        <f>_xlfn.IFNA(VLOOKUP($AP187,Programma!$F$3:$W$1101,18,0),"")</f>
        <v>_</v>
      </c>
      <c r="BH187" s="448" t="str">
        <f>_xlfn.IFNA(VLOOKUP($AP187,Programma!$F$3:$X$1101,19,0),"")</f>
        <v>_</v>
      </c>
      <c r="BI187" s="448" t="str">
        <f>_xlfn.IFNA(VLOOKUP($AP187,Programma!$F$3:$Y$1101,20,0),"")</f>
        <v>_</v>
      </c>
      <c r="BJ187" s="449"/>
      <c r="BK187" s="447" t="str">
        <f>IF(Ruimtestaat[[#This Row],[Frequentie weekend]]="","",_xlfn.CONCAT(Ruimtestaat[[#This Row],[Ruimte code]],"-",Ruimtestaat[[#This Row],[Frequentie weekend]]," ",Ruimtestaat[[#This Row],[Vloer code]]))</f>
        <v/>
      </c>
      <c r="BL187" s="448" t="str">
        <f>_xlfn.IFNA(VLOOKUP($BK187,Programma!$F$3:$G$1101,2,0),"")</f>
        <v/>
      </c>
      <c r="BM187" s="448" t="str">
        <f>_xlfn.IFNA(VLOOKUP($BK187,Programma!$F$3:$H$1101,3,0),"")</f>
        <v/>
      </c>
      <c r="BN187" s="448" t="str">
        <f>_xlfn.IFNA(VLOOKUP($BK187,Programma!$F$3:$I$1101,4,0),"")</f>
        <v/>
      </c>
      <c r="BO187" s="448" t="str">
        <f>_xlfn.IFNA(VLOOKUP($BK187,Programma!$F$3:$J$1101,5,0),"")</f>
        <v/>
      </c>
      <c r="BP187" s="448" t="str">
        <f>_xlfn.IFNA(VLOOKUP($BK187,Programma!$F$3:$K$1101,6,0),"")</f>
        <v/>
      </c>
      <c r="BQ187" s="448" t="str">
        <f>_xlfn.IFNA(VLOOKUP($BK187,Programma!$F$3:$L$1101,7,0),"")</f>
        <v/>
      </c>
      <c r="BR187" s="448" t="str">
        <f>_xlfn.IFNA(VLOOKUP($BK187,Programma!$F$3:$M$1101,8,0),"")</f>
        <v/>
      </c>
      <c r="BS187" s="448" t="str">
        <f>_xlfn.IFNA(VLOOKUP($BK187,Programma!$F$3:$N$1101,9,0),"")</f>
        <v/>
      </c>
      <c r="BT187" s="448" t="str">
        <f>_xlfn.IFNA(VLOOKUP($BK187,Programma!$F$3:$O$1101,10,0),"")</f>
        <v/>
      </c>
      <c r="BU187" s="448" t="str">
        <f>_xlfn.IFNA(VLOOKUP($BK187,Programma!$F$3:$P$1101,11,0),"")</f>
        <v/>
      </c>
      <c r="BV187" s="448" t="str">
        <f>_xlfn.IFNA(VLOOKUP($BK187,Programma!$F$3:$Q$1101,12,0),"")</f>
        <v/>
      </c>
      <c r="BW187" s="448" t="str">
        <f>_xlfn.IFNA(VLOOKUP($BK187,Programma!$F$3:$R$1101,13,0),"")</f>
        <v/>
      </c>
      <c r="BX187" s="448" t="str">
        <f>_xlfn.IFNA(VLOOKUP($BK187,Programma!$F$3:$S$1101,14,0),"")</f>
        <v/>
      </c>
      <c r="BY187" s="448" t="str">
        <f>_xlfn.IFNA(VLOOKUP($BK187,Programma!$F$3:$T$1101,15,0),"")</f>
        <v/>
      </c>
      <c r="BZ187" s="448" t="str">
        <f>_xlfn.IFNA(VLOOKUP($BK187,Programma!$F$3:$U$1101,16,0),"")</f>
        <v/>
      </c>
      <c r="CA187" s="448" t="str">
        <f>_xlfn.IFNA(VLOOKUP($BK187,Programma!$F$3:$V$1101,17,0),"")</f>
        <v/>
      </c>
      <c r="CB187" s="448" t="str">
        <f>_xlfn.IFNA(VLOOKUP($BK187,Programma!$F$3:$W$1101,18,0),"")</f>
        <v/>
      </c>
      <c r="CC187" s="448" t="str">
        <f>_xlfn.IFNA(VLOOKUP($BK187,Programma!$F$3:$X$1101,19,0),"")</f>
        <v/>
      </c>
      <c r="CD187" s="448" t="str">
        <f>_xlfn.IFNA(VLOOKUP($BK187,Programma!$F$3:$Y$1101,20,0),"")</f>
        <v/>
      </c>
      <c r="CE187" s="327"/>
      <c r="CF187" s="327"/>
      <c r="CG187" s="327"/>
      <c r="CH187" s="327"/>
      <c r="CI187" s="327"/>
      <c r="CJ187" s="327"/>
      <c r="CK187" s="327"/>
      <c r="CL187" s="327"/>
      <c r="CM187" s="327"/>
      <c r="CN187" s="327"/>
      <c r="CO187" s="327"/>
      <c r="CP187" s="327"/>
      <c r="CQ187" s="327"/>
      <c r="CR187" s="327"/>
      <c r="CS187" s="327"/>
      <c r="CT187" s="327"/>
      <c r="CU187" s="327"/>
      <c r="CV187" s="327"/>
      <c r="CW187" s="327"/>
      <c r="CX187" s="327"/>
      <c r="CY187" s="327"/>
      <c r="CZ187" s="327"/>
      <c r="DA187" s="327"/>
      <c r="DB187" s="327"/>
      <c r="DC187" s="327"/>
      <c r="DD187" s="327"/>
      <c r="DE187" s="327"/>
      <c r="DF187" s="327"/>
      <c r="DG187" s="327"/>
      <c r="DH187" s="327"/>
      <c r="DI187" s="327"/>
      <c r="DJ187" s="327"/>
      <c r="DK187" s="327"/>
      <c r="DL187" s="327"/>
      <c r="DM187" s="327"/>
      <c r="DN187" s="327"/>
      <c r="DO187" s="327"/>
      <c r="DP187" s="327"/>
      <c r="DQ187" s="327"/>
      <c r="DR187" s="327"/>
      <c r="DS187" s="327"/>
      <c r="DT187" s="327"/>
      <c r="DU187" s="327"/>
      <c r="DV187" s="327"/>
      <c r="DW187" s="327"/>
      <c r="DX187" s="327"/>
      <c r="DY187" s="327"/>
      <c r="DZ187" s="327"/>
      <c r="EA187" s="327"/>
      <c r="EB187" s="327"/>
      <c r="EC187" s="327"/>
      <c r="ED187" s="327"/>
      <c r="EE187" s="327"/>
      <c r="EF187" s="327"/>
      <c r="EG187" s="327"/>
      <c r="EH187" s="327"/>
      <c r="EI187" s="327"/>
      <c r="EJ187" s="327"/>
      <c r="EK187" s="327"/>
      <c r="EL187" s="327"/>
      <c r="EM187" s="327"/>
      <c r="EN187" s="327"/>
      <c r="EO187" s="327"/>
      <c r="EP187" s="327"/>
      <c r="EQ187" s="327"/>
      <c r="ER187" s="327"/>
      <c r="ES187" s="327"/>
      <c r="ET187" s="327"/>
      <c r="EU187" s="327"/>
      <c r="EV187" s="327"/>
      <c r="EW187" s="327"/>
      <c r="EX187" s="327"/>
      <c r="EY187" s="327"/>
      <c r="EZ187" s="327"/>
      <c r="FA187" s="327"/>
      <c r="FB187" s="327"/>
      <c r="FC187" s="327"/>
      <c r="FD187" s="327"/>
      <c r="FE187" s="327"/>
      <c r="FF187" s="327"/>
      <c r="FG187" s="327"/>
      <c r="FH187" s="327"/>
      <c r="FI187" s="327"/>
      <c r="FJ187" s="327"/>
      <c r="FK187" s="327"/>
      <c r="FL187" s="327"/>
      <c r="FM187" s="327"/>
      <c r="FN187" s="327"/>
      <c r="FO187" s="327"/>
      <c r="FP187" s="327"/>
      <c r="FQ187" s="327"/>
      <c r="FR187" s="327"/>
      <c r="FS187" s="327"/>
      <c r="FT187" s="327"/>
      <c r="FU187" s="327"/>
      <c r="FV187" s="327"/>
      <c r="FW187" s="327"/>
      <c r="FX187" s="327"/>
      <c r="FY187" s="327"/>
      <c r="FZ187" s="327"/>
      <c r="GA187" s="327"/>
      <c r="GB187" s="327"/>
      <c r="GC187" s="327"/>
      <c r="GD187" s="327"/>
      <c r="GE187" s="327"/>
      <c r="GF187" s="327"/>
      <c r="GG187" s="327"/>
      <c r="GH187" s="327"/>
      <c r="GI187" s="327"/>
      <c r="GJ187" s="327"/>
      <c r="GK187" s="327"/>
      <c r="GL187" s="327"/>
      <c r="GM187" s="327"/>
      <c r="GN187" s="327"/>
      <c r="GO187" s="327"/>
      <c r="GP187" s="327"/>
      <c r="GQ187" s="327"/>
      <c r="GR187" s="327"/>
      <c r="GS187" s="327"/>
      <c r="GT187" s="327"/>
      <c r="GU187" s="327"/>
      <c r="GV187" s="327"/>
      <c r="GW187" s="327"/>
      <c r="GX187" s="327"/>
      <c r="GY187" s="327"/>
      <c r="GZ187" s="327"/>
      <c r="HA187" s="327"/>
      <c r="HB187" s="327"/>
      <c r="HC187" s="327"/>
      <c r="HD187" s="327"/>
      <c r="HE187" s="327"/>
      <c r="HF187" s="327"/>
      <c r="HG187" s="327"/>
      <c r="HH187" s="327"/>
      <c r="HI187" s="327"/>
      <c r="HJ187" s="327"/>
      <c r="HK187" s="327"/>
      <c r="HL187" s="327"/>
      <c r="HM187" s="327"/>
      <c r="HN187" s="327"/>
      <c r="HO187" s="327"/>
      <c r="HP187" s="327"/>
      <c r="HQ187" s="327"/>
      <c r="HR187" s="327"/>
      <c r="HS187" s="327"/>
    </row>
    <row r="188" spans="1:227" ht="15" customHeight="1">
      <c r="A188" s="330">
        <v>8</v>
      </c>
      <c r="B188" s="435" t="str">
        <f>VLOOKUP(Ruimtestaat[[#This Row],[Code]],Locaties[[Code]:[Locatie]],2,FALSE)</f>
        <v>IKC De Trinoom</v>
      </c>
      <c r="C188" s="435" t="str">
        <f>VLOOKUP(Ruimtestaat[[#This Row],[Code]],Locaties[[#All],[Code]:[Adres]],4,FALSE)</f>
        <v>Nieuwlandstraat 241</v>
      </c>
      <c r="D188" s="435" t="str">
        <f>VLOOKUP(Ruimtestaat[[#This Row],[Code]],Locaties[[#All],[Code]:[Postcode]],5,FALSE)</f>
        <v>2729 EB</v>
      </c>
      <c r="E188" s="435" t="str">
        <f>VLOOKUP(Ruimtestaat[[#This Row],[Code]],Locaties[#All],6,FALSE)</f>
        <v>Zoetermeer</v>
      </c>
      <c r="F188" s="434"/>
      <c r="G188" s="434" t="s">
        <v>1769</v>
      </c>
      <c r="H188" s="330" t="s">
        <v>1713</v>
      </c>
      <c r="I188" s="450" t="s">
        <v>1679</v>
      </c>
      <c r="J188" s="330">
        <v>16</v>
      </c>
      <c r="K188" s="450" t="str">
        <f>VLOOKUP(Ruimtestaat[[#This Row],[Ruimte code]],Ruimtegroepen[[#All],[Code]:[Ruimte omschrijving]],2,FALSE)</f>
        <v>Leslokalen</v>
      </c>
      <c r="L188" s="434" t="s">
        <v>100</v>
      </c>
      <c r="M188" s="437" t="s">
        <v>1759</v>
      </c>
      <c r="N188" s="439">
        <v>56</v>
      </c>
      <c r="O188" s="439"/>
      <c r="P188" s="439"/>
      <c r="Q188" s="439"/>
      <c r="R188" s="440" t="str">
        <f>VLOOKUP(Ruimtestaat[[#This Row],[Ruimte code]],Ruimtegroepen[],4,FALSE)</f>
        <v>Le</v>
      </c>
      <c r="S188" s="434">
        <v>40</v>
      </c>
      <c r="T188" s="434" t="s">
        <v>2</v>
      </c>
      <c r="U188" s="434">
        <f>IF(S188&gt;0,IF(RIGHT(Ruimtestaat[[#This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8" s="434">
        <f>IF(U188&gt;0,VLOOKUP($J188,Ruimtegroepen[],3,FALSE)*VLOOKUP($L188,Vloersoorten[],3,FALSE)*VLOOKUP($T188,Frequenties[],3,FALSE)*VLOOKUP($A188,Locaties[],3,FALSE),0)</f>
        <v>0</v>
      </c>
      <c r="W188" s="434">
        <f>Ruimtestaat[[#This Row],[Uitvoeringen werkdagen]]*Ruimtestaat[[#This Row],[Oppervlak (netto)]]</f>
        <v>11200</v>
      </c>
      <c r="X188" s="441">
        <f>IF(V188&gt;0,Ruimtestaat[[#This Row],[Prest. (m2 /jaar) werkdagen]]/Ruimtestaat[[#This Row],[Norm (m2/uur) werkdagen]],0)</f>
        <v>0</v>
      </c>
      <c r="Y188" s="442">
        <f>Ruimtestaat[[#This Row],[Uitvoeringen werkdagen]]*Ruimtestaat[[#This Row],[Gedeeltelijk]]</f>
        <v>0</v>
      </c>
      <c r="Z188" s="443" t="e">
        <f>IF(U188&gt;0,Ruimtestaat[[#This Row],[Prest. (m2 / jaar) werkdagen gedeeld]]/Ruimtestaat[[#This Row],[Norm (m2/uur) werkdagen]],0)</f>
        <v>#DIV/0!</v>
      </c>
      <c r="AA188" s="441" t="e">
        <f>Ruimtestaat[[#This Row],[uren / jaar werkdagen gedeeld]]*Tariefsopbouw!$E$35</f>
        <v>#DIV/0!</v>
      </c>
      <c r="AB188" s="441">
        <f>Ruimtestaat[[#This Row],[Uitvoeringen werkdagen]]*Ruimtestaat[[#This Row],[BSO]]</f>
        <v>0</v>
      </c>
      <c r="AC188" s="443" t="e">
        <f>IF(U188&gt;0,Ruimtestaat[[#This Row],[Prest. (m2 / jaar) werkdagen BSO]]/Ruimtestaat[[#This Row],[Norm (m2/uur) werkdagen]],0)</f>
        <v>#DIV/0!</v>
      </c>
      <c r="AD188" s="443" t="e">
        <f>Ruimtestaat[[#This Row],[uren / jaar werkdagen BSO]]*Tariefsopbouw!$E$35</f>
        <v>#DIV/0!</v>
      </c>
      <c r="AE188" s="444">
        <f>Ruimtestaat[[#This Row],[uren / jaar werkdagen]]*Tariefsopbouw!$E$35</f>
        <v>0</v>
      </c>
      <c r="AF188" s="434"/>
      <c r="AG188" s="434">
        <f>IF(Ruimtestaat[[#This Row],[Frequentie weekend]]&gt;0,VALUE(LEFT(AF188,1))*S188,0)</f>
        <v>0</v>
      </c>
      <c r="AH188" s="445">
        <f>IF($AG188&gt;0,VLOOKUP($J188,Ruimtegroepen[],3,FALSE)*VLOOKUP($L188,Vloersoorten[],3,FALSE)*VLOOKUP($AF188,Frequenties[],3,FALSE)*VLOOKUP(Ruimtestaat[[#This Row],[Code]],Locaties[],3,FALSE),0)</f>
        <v>0</v>
      </c>
      <c r="AI188" s="445">
        <f>Ruimtestaat[[#This Row],[Uitvoeringen weekend]]*Ruimtestaat[[#This Row],[Oppervlak (netto)]]</f>
        <v>0</v>
      </c>
      <c r="AJ188" s="445">
        <f>IF(AH188&gt;0,Ruimtestaat[[#This Row],[Prest. (m2 /jaar) weekend]]/Ruimtestaat[[#This Row],[Norm (m2/uur) weekend]],0)</f>
        <v>0</v>
      </c>
      <c r="AK188" s="444">
        <f>Ruimtestaat[[#This Row],[uren / jaar weekend]]*Tariefsopbouw!$D$40</f>
        <v>0</v>
      </c>
      <c r="AL188" s="441">
        <f>Ruimtestaat[[#This Row],[Prest. (m2 /jaar) weekend]]+Ruimtestaat[[#This Row],[Prest. (m2 /jaar) werkdagen]]</f>
        <v>11200</v>
      </c>
      <c r="AM188" s="441">
        <f>Ruimtestaat[[#This Row],[uren / jaar weekend]]+Ruimtestaat[[#This Row],[uren / jaar werkdagen]]</f>
        <v>0</v>
      </c>
      <c r="AN188" s="446">
        <f>Ruimtestaat[[#This Row],[kosten / jaar weekend]]+Ruimtestaat[[#This Row],[kosten / jaar werkdagen]]</f>
        <v>0</v>
      </c>
      <c r="AO188" s="446"/>
      <c r="AP188" s="447" t="str">
        <f>IF(Ruimtestaat[[#This Row],[Frequentie werkdagen]]="","",_xlfn.CONCAT(Ruimtestaat[[#This Row],[Ruimte code]],"-",Ruimtestaat[[#This Row],[Frequentie werkdagen]]," ",Ruimtestaat[[#This Row],[Vloer code]]))</f>
        <v>16-5w L</v>
      </c>
      <c r="AQ188" s="448" t="str">
        <f>_xlfn.IFNA(VLOOKUP($AP188,Programma!$F$3:$G$1101,2,0),"")</f>
        <v>_</v>
      </c>
      <c r="AR188" s="448" t="str">
        <f>_xlfn.IFNA(VLOOKUP($AP188,Programma!$F$3:$H$1101,3,0),"")</f>
        <v>_</v>
      </c>
      <c r="AS188" s="448" t="str">
        <f>_xlfn.IFNA(VLOOKUP($AP188,Programma!$F$3:$I$1101,4,0),"")</f>
        <v>4w</v>
      </c>
      <c r="AT188" s="448" t="str">
        <f>_xlfn.IFNA(VLOOKUP($AP188,Programma!$F$3:$J$1101,5,0),"")</f>
        <v>1w</v>
      </c>
      <c r="AU188" s="448" t="str">
        <f>_xlfn.IFNA(VLOOKUP($AP188,Programma!$F$3:$K$1101,6,0),"")</f>
        <v>_</v>
      </c>
      <c r="AV188" s="448" t="str">
        <f>_xlfn.IFNA(VLOOKUP($AP188,Programma!$F$3:$L$1101,7,0),"")</f>
        <v>_</v>
      </c>
      <c r="AW188" s="448" t="str">
        <f>_xlfn.IFNA(VLOOKUP($AP188,Programma!$F$3:$M$1101,8,0),"")</f>
        <v>_</v>
      </c>
      <c r="AX188" s="448" t="str">
        <f>_xlfn.IFNA(VLOOKUP($AP188,Programma!$F$3:$N$1101,9,0),"")</f>
        <v>_</v>
      </c>
      <c r="AY188" s="448" t="str">
        <f>_xlfn.IFNA(VLOOKUP($AP188,Programma!$F$3:$O$1101,10,0),"")</f>
        <v>5w</v>
      </c>
      <c r="AZ188" s="448" t="str">
        <f>_xlfn.IFNA(VLOOKUP($AP188,Programma!$F$3:$P$1101,11,0),"")</f>
        <v>5w</v>
      </c>
      <c r="BA188" s="448" t="str">
        <f>_xlfn.IFNA(VLOOKUP($AP188,Programma!$F$3:$Q$1101,12,0),"")</f>
        <v>1w</v>
      </c>
      <c r="BB188" s="448" t="str">
        <f>_xlfn.IFNA(VLOOKUP($AP188,Programma!$F$3:$R$1101,13,0),"")</f>
        <v>1w</v>
      </c>
      <c r="BC188" s="448" t="str">
        <f>_xlfn.IFNA(VLOOKUP($AP188,Programma!$F$3:$S$1101,14,0),"")</f>
        <v>1m</v>
      </c>
      <c r="BD188" s="448" t="str">
        <f>_xlfn.IFNA(VLOOKUP($AP188,Programma!$F$3:$T$1101,15,0),"")</f>
        <v>2j</v>
      </c>
      <c r="BE188" s="448" t="str">
        <f>_xlfn.IFNA(VLOOKUP($AP188,Programma!$F$3:$U$1101,16,0),"")</f>
        <v>1j</v>
      </c>
      <c r="BF188" s="448" t="str">
        <f>_xlfn.IFNA(VLOOKUP($AP188,Programma!$F$3:$V$1101,17,0),"")</f>
        <v>_</v>
      </c>
      <c r="BG188" s="448" t="str">
        <f>_xlfn.IFNA(VLOOKUP($AP188,Programma!$F$3:$W$1101,18,0),"")</f>
        <v>_</v>
      </c>
      <c r="BH188" s="448" t="str">
        <f>_xlfn.IFNA(VLOOKUP($AP188,Programma!$F$3:$X$1101,19,0),"")</f>
        <v>_</v>
      </c>
      <c r="BI188" s="448" t="str">
        <f>_xlfn.IFNA(VLOOKUP($AP188,Programma!$F$3:$Y$1101,20,0),"")</f>
        <v>_</v>
      </c>
      <c r="BJ188" s="449"/>
      <c r="BK188" s="447" t="str">
        <f>IF(Ruimtestaat[[#This Row],[Frequentie weekend]]="","",_xlfn.CONCAT(Ruimtestaat[[#This Row],[Ruimte code]],"-",Ruimtestaat[[#This Row],[Frequentie weekend]]," ",Ruimtestaat[[#This Row],[Vloer code]]))</f>
        <v/>
      </c>
      <c r="BL188" s="448" t="str">
        <f>_xlfn.IFNA(VLOOKUP($BK188,Programma!$F$3:$G$1101,2,0),"")</f>
        <v/>
      </c>
      <c r="BM188" s="448" t="str">
        <f>_xlfn.IFNA(VLOOKUP($BK188,Programma!$F$3:$H$1101,3,0),"")</f>
        <v/>
      </c>
      <c r="BN188" s="448" t="str">
        <f>_xlfn.IFNA(VLOOKUP($BK188,Programma!$F$3:$I$1101,4,0),"")</f>
        <v/>
      </c>
      <c r="BO188" s="448" t="str">
        <f>_xlfn.IFNA(VLOOKUP($BK188,Programma!$F$3:$J$1101,5,0),"")</f>
        <v/>
      </c>
      <c r="BP188" s="448" t="str">
        <f>_xlfn.IFNA(VLOOKUP($BK188,Programma!$F$3:$K$1101,6,0),"")</f>
        <v/>
      </c>
      <c r="BQ188" s="448" t="str">
        <f>_xlfn.IFNA(VLOOKUP($BK188,Programma!$F$3:$L$1101,7,0),"")</f>
        <v/>
      </c>
      <c r="BR188" s="448" t="str">
        <f>_xlfn.IFNA(VLOOKUP($BK188,Programma!$F$3:$M$1101,8,0),"")</f>
        <v/>
      </c>
      <c r="BS188" s="448" t="str">
        <f>_xlfn.IFNA(VLOOKUP($BK188,Programma!$F$3:$N$1101,9,0),"")</f>
        <v/>
      </c>
      <c r="BT188" s="448" t="str">
        <f>_xlfn.IFNA(VLOOKUP($BK188,Programma!$F$3:$O$1101,10,0),"")</f>
        <v/>
      </c>
      <c r="BU188" s="448" t="str">
        <f>_xlfn.IFNA(VLOOKUP($BK188,Programma!$F$3:$P$1101,11,0),"")</f>
        <v/>
      </c>
      <c r="BV188" s="448" t="str">
        <f>_xlfn.IFNA(VLOOKUP($BK188,Programma!$F$3:$Q$1101,12,0),"")</f>
        <v/>
      </c>
      <c r="BW188" s="448" t="str">
        <f>_xlfn.IFNA(VLOOKUP($BK188,Programma!$F$3:$R$1101,13,0),"")</f>
        <v/>
      </c>
      <c r="BX188" s="448" t="str">
        <f>_xlfn.IFNA(VLOOKUP($BK188,Programma!$F$3:$S$1101,14,0),"")</f>
        <v/>
      </c>
      <c r="BY188" s="448" t="str">
        <f>_xlfn.IFNA(VLOOKUP($BK188,Programma!$F$3:$T$1101,15,0),"")</f>
        <v/>
      </c>
      <c r="BZ188" s="448" t="str">
        <f>_xlfn.IFNA(VLOOKUP($BK188,Programma!$F$3:$U$1101,16,0),"")</f>
        <v/>
      </c>
      <c r="CA188" s="448" t="str">
        <f>_xlfn.IFNA(VLOOKUP($BK188,Programma!$F$3:$V$1101,17,0),"")</f>
        <v/>
      </c>
      <c r="CB188" s="448" t="str">
        <f>_xlfn.IFNA(VLOOKUP($BK188,Programma!$F$3:$W$1101,18,0),"")</f>
        <v/>
      </c>
      <c r="CC188" s="448" t="str">
        <f>_xlfn.IFNA(VLOOKUP($BK188,Programma!$F$3:$X$1101,19,0),"")</f>
        <v/>
      </c>
      <c r="CD188" s="448" t="str">
        <f>_xlfn.IFNA(VLOOKUP($BK188,Programma!$F$3:$Y$1101,20,0),"")</f>
        <v/>
      </c>
      <c r="CE188" s="327"/>
      <c r="CF188" s="327"/>
      <c r="CG188" s="327"/>
      <c r="CH188" s="327"/>
      <c r="CI188" s="327"/>
      <c r="CJ188" s="327"/>
      <c r="CK188" s="327"/>
      <c r="CL188" s="327"/>
      <c r="CM188" s="327"/>
      <c r="CN188" s="327"/>
      <c r="CO188" s="327"/>
      <c r="CP188" s="327"/>
      <c r="CQ188" s="327"/>
      <c r="CR188" s="327"/>
      <c r="CS188" s="327"/>
      <c r="CT188" s="327"/>
      <c r="CU188" s="327"/>
      <c r="CV188" s="327"/>
      <c r="CW188" s="327"/>
      <c r="CX188" s="327"/>
      <c r="CY188" s="327"/>
      <c r="CZ188" s="327"/>
      <c r="DA188" s="327"/>
      <c r="DB188" s="327"/>
      <c r="DC188" s="327"/>
      <c r="DD188" s="327"/>
      <c r="DE188" s="327"/>
      <c r="DF188" s="327"/>
      <c r="DG188" s="327"/>
      <c r="DH188" s="327"/>
      <c r="DI188" s="327"/>
      <c r="DJ188" s="327"/>
      <c r="DK188" s="327"/>
      <c r="DL188" s="327"/>
      <c r="DM188" s="327"/>
      <c r="DN188" s="327"/>
      <c r="DO188" s="327"/>
      <c r="DP188" s="327"/>
      <c r="DQ188" s="327"/>
      <c r="DR188" s="327"/>
      <c r="DS188" s="327"/>
      <c r="DT188" s="327"/>
      <c r="DU188" s="327"/>
      <c r="DV188" s="327"/>
      <c r="DW188" s="327"/>
      <c r="DX188" s="327"/>
      <c r="DY188" s="327"/>
      <c r="DZ188" s="327"/>
      <c r="EA188" s="327"/>
      <c r="EB188" s="327"/>
      <c r="EC188" s="327"/>
      <c r="ED188" s="327"/>
      <c r="EE188" s="327"/>
      <c r="EF188" s="327"/>
      <c r="EG188" s="327"/>
      <c r="EH188" s="327"/>
      <c r="EI188" s="327"/>
      <c r="EJ188" s="327"/>
      <c r="EK188" s="327"/>
      <c r="EL188" s="327"/>
      <c r="EM188" s="327"/>
      <c r="EN188" s="327"/>
      <c r="EO188" s="327"/>
      <c r="EP188" s="327"/>
      <c r="EQ188" s="327"/>
      <c r="ER188" s="327"/>
      <c r="ES188" s="327"/>
      <c r="ET188" s="327"/>
      <c r="EU188" s="327"/>
      <c r="EV188" s="327"/>
      <c r="EW188" s="327"/>
      <c r="EX188" s="327"/>
      <c r="EY188" s="327"/>
      <c r="EZ188" s="327"/>
      <c r="FA188" s="327"/>
      <c r="FB188" s="327"/>
      <c r="FC188" s="327"/>
      <c r="FD188" s="327"/>
      <c r="FE188" s="327"/>
      <c r="FF188" s="327"/>
      <c r="FG188" s="327"/>
      <c r="FH188" s="327"/>
      <c r="FI188" s="327"/>
      <c r="FJ188" s="327"/>
      <c r="FK188" s="327"/>
      <c r="FL188" s="327"/>
      <c r="FM188" s="327"/>
      <c r="FN188" s="327"/>
      <c r="FO188" s="327"/>
      <c r="FP188" s="327"/>
      <c r="FQ188" s="327"/>
      <c r="FR188" s="327"/>
      <c r="FS188" s="327"/>
      <c r="FT188" s="327"/>
      <c r="FU188" s="327"/>
      <c r="FV188" s="327"/>
      <c r="FW188" s="327"/>
      <c r="FX188" s="327"/>
      <c r="FY188" s="327"/>
      <c r="FZ188" s="327"/>
      <c r="GA188" s="327"/>
      <c r="GB188" s="327"/>
      <c r="GC188" s="327"/>
      <c r="GD188" s="327"/>
      <c r="GE188" s="327"/>
      <c r="GF188" s="327"/>
      <c r="GG188" s="327"/>
      <c r="GH188" s="327"/>
      <c r="GI188" s="327"/>
      <c r="GJ188" s="327"/>
      <c r="GK188" s="327"/>
      <c r="GL188" s="327"/>
      <c r="GM188" s="327"/>
      <c r="GN188" s="327"/>
      <c r="GO188" s="327"/>
      <c r="GP188" s="327"/>
      <c r="GQ188" s="327"/>
      <c r="GR188" s="327"/>
      <c r="GS188" s="327"/>
      <c r="GT188" s="327"/>
      <c r="GU188" s="327"/>
      <c r="GV188" s="327"/>
      <c r="GW188" s="327"/>
      <c r="GX188" s="327"/>
      <c r="GY188" s="327"/>
      <c r="GZ188" s="327"/>
      <c r="HA188" s="327"/>
      <c r="HB188" s="327"/>
      <c r="HC188" s="327"/>
      <c r="HD188" s="327"/>
      <c r="HE188" s="327"/>
      <c r="HF188" s="327"/>
      <c r="HG188" s="327"/>
      <c r="HH188" s="327"/>
      <c r="HI188" s="327"/>
      <c r="HJ188" s="327"/>
      <c r="HK188" s="327"/>
      <c r="HL188" s="327"/>
      <c r="HM188" s="327"/>
      <c r="HN188" s="327"/>
      <c r="HO188" s="327"/>
      <c r="HP188" s="327"/>
      <c r="HQ188" s="327"/>
      <c r="HR188" s="327"/>
      <c r="HS188" s="327"/>
    </row>
    <row r="189" spans="1:227" ht="15" customHeight="1">
      <c r="A189" s="330">
        <v>8</v>
      </c>
      <c r="B189" s="435" t="str">
        <f>VLOOKUP(Ruimtestaat[[#This Row],[Code]],Locaties[[Code]:[Locatie]],2,FALSE)</f>
        <v>IKC De Trinoom</v>
      </c>
      <c r="C189" s="435" t="str">
        <f>VLOOKUP(Ruimtestaat[[#This Row],[Code]],Locaties[[#All],[Code]:[Adres]],4,FALSE)</f>
        <v>Nieuwlandstraat 241</v>
      </c>
      <c r="D189" s="435" t="str">
        <f>VLOOKUP(Ruimtestaat[[#This Row],[Code]],Locaties[[#All],[Code]:[Postcode]],5,FALSE)</f>
        <v>2729 EB</v>
      </c>
      <c r="E189" s="435" t="str">
        <f>VLOOKUP(Ruimtestaat[[#This Row],[Code]],Locaties[#All],6,FALSE)</f>
        <v>Zoetermeer</v>
      </c>
      <c r="F189" s="434"/>
      <c r="G189" s="434" t="s">
        <v>1769</v>
      </c>
      <c r="H189" s="330" t="s">
        <v>1715</v>
      </c>
      <c r="I189" s="450" t="s">
        <v>1679</v>
      </c>
      <c r="J189" s="330">
        <v>16</v>
      </c>
      <c r="K189" s="450" t="str">
        <f>VLOOKUP(Ruimtestaat[[#This Row],[Ruimte code]],Ruimtegroepen[[#All],[Code]:[Ruimte omschrijving]],2,FALSE)</f>
        <v>Leslokalen</v>
      </c>
      <c r="L189" s="434" t="s">
        <v>100</v>
      </c>
      <c r="M189" s="437" t="s">
        <v>1759</v>
      </c>
      <c r="N189" s="439">
        <v>59</v>
      </c>
      <c r="O189" s="439"/>
      <c r="P189" s="439"/>
      <c r="Q189" s="439"/>
      <c r="R189" s="440" t="str">
        <f>VLOOKUP(Ruimtestaat[[#This Row],[Ruimte code]],Ruimtegroepen[],4,FALSE)</f>
        <v>Le</v>
      </c>
      <c r="S189" s="434">
        <v>40</v>
      </c>
      <c r="T189" s="434" t="s">
        <v>2</v>
      </c>
      <c r="U189" s="434">
        <f>IF(S189&gt;0,IF(RIGHT(Ruimtestaat[[#This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9" s="434">
        <f>IF(U189&gt;0,VLOOKUP($J189,Ruimtegroepen[],3,FALSE)*VLOOKUP($L189,Vloersoorten[],3,FALSE)*VLOOKUP($T189,Frequenties[],3,FALSE)*VLOOKUP($A189,Locaties[],3,FALSE),0)</f>
        <v>0</v>
      </c>
      <c r="W189" s="434">
        <f>Ruimtestaat[[#This Row],[Uitvoeringen werkdagen]]*Ruimtestaat[[#This Row],[Oppervlak (netto)]]</f>
        <v>11800</v>
      </c>
      <c r="X189" s="441">
        <f>IF(V189&gt;0,Ruimtestaat[[#This Row],[Prest. (m2 /jaar) werkdagen]]/Ruimtestaat[[#This Row],[Norm (m2/uur) werkdagen]],0)</f>
        <v>0</v>
      </c>
      <c r="Y189" s="442">
        <f>Ruimtestaat[[#This Row],[Uitvoeringen werkdagen]]*Ruimtestaat[[#This Row],[Gedeeltelijk]]</f>
        <v>0</v>
      </c>
      <c r="Z189" s="443" t="e">
        <f>IF(U189&gt;0,Ruimtestaat[[#This Row],[Prest. (m2 / jaar) werkdagen gedeeld]]/Ruimtestaat[[#This Row],[Norm (m2/uur) werkdagen]],0)</f>
        <v>#DIV/0!</v>
      </c>
      <c r="AA189" s="441" t="e">
        <f>Ruimtestaat[[#This Row],[uren / jaar werkdagen gedeeld]]*Tariefsopbouw!$E$35</f>
        <v>#DIV/0!</v>
      </c>
      <c r="AB189" s="441">
        <f>Ruimtestaat[[#This Row],[Uitvoeringen werkdagen]]*Ruimtestaat[[#This Row],[BSO]]</f>
        <v>0</v>
      </c>
      <c r="AC189" s="443" t="e">
        <f>IF(U189&gt;0,Ruimtestaat[[#This Row],[Prest. (m2 / jaar) werkdagen BSO]]/Ruimtestaat[[#This Row],[Norm (m2/uur) werkdagen]],0)</f>
        <v>#DIV/0!</v>
      </c>
      <c r="AD189" s="443" t="e">
        <f>Ruimtestaat[[#This Row],[uren / jaar werkdagen BSO]]*Tariefsopbouw!$E$35</f>
        <v>#DIV/0!</v>
      </c>
      <c r="AE189" s="444">
        <f>Ruimtestaat[[#This Row],[uren / jaar werkdagen]]*Tariefsopbouw!$E$35</f>
        <v>0</v>
      </c>
      <c r="AF189" s="434"/>
      <c r="AG189" s="434">
        <f>IF(Ruimtestaat[[#This Row],[Frequentie weekend]]&gt;0,VALUE(LEFT(AF189,1))*S189,0)</f>
        <v>0</v>
      </c>
      <c r="AH189" s="445">
        <f>IF($AG189&gt;0,VLOOKUP($J189,Ruimtegroepen[],3,FALSE)*VLOOKUP($L189,Vloersoorten[],3,FALSE)*VLOOKUP($AF189,Frequenties[],3,FALSE)*VLOOKUP(Ruimtestaat[[#This Row],[Code]],Locaties[],3,FALSE),0)</f>
        <v>0</v>
      </c>
      <c r="AI189" s="445">
        <f>Ruimtestaat[[#This Row],[Uitvoeringen weekend]]*Ruimtestaat[[#This Row],[Oppervlak (netto)]]</f>
        <v>0</v>
      </c>
      <c r="AJ189" s="445">
        <f>IF(AH189&gt;0,Ruimtestaat[[#This Row],[Prest. (m2 /jaar) weekend]]/Ruimtestaat[[#This Row],[Norm (m2/uur) weekend]],0)</f>
        <v>0</v>
      </c>
      <c r="AK189" s="444">
        <f>Ruimtestaat[[#This Row],[uren / jaar weekend]]*Tariefsopbouw!$D$40</f>
        <v>0</v>
      </c>
      <c r="AL189" s="441">
        <f>Ruimtestaat[[#This Row],[Prest. (m2 /jaar) weekend]]+Ruimtestaat[[#This Row],[Prest. (m2 /jaar) werkdagen]]</f>
        <v>11800</v>
      </c>
      <c r="AM189" s="441">
        <f>Ruimtestaat[[#This Row],[uren / jaar weekend]]+Ruimtestaat[[#This Row],[uren / jaar werkdagen]]</f>
        <v>0</v>
      </c>
      <c r="AN189" s="446">
        <f>Ruimtestaat[[#This Row],[kosten / jaar weekend]]+Ruimtestaat[[#This Row],[kosten / jaar werkdagen]]</f>
        <v>0</v>
      </c>
      <c r="AO189" s="446"/>
      <c r="AP189" s="447" t="str">
        <f>IF(Ruimtestaat[[#This Row],[Frequentie werkdagen]]="","",_xlfn.CONCAT(Ruimtestaat[[#This Row],[Ruimte code]],"-",Ruimtestaat[[#This Row],[Frequentie werkdagen]]," ",Ruimtestaat[[#This Row],[Vloer code]]))</f>
        <v>16-5w L</v>
      </c>
      <c r="AQ189" s="448" t="str">
        <f>_xlfn.IFNA(VLOOKUP($AP189,Programma!$F$3:$G$1101,2,0),"")</f>
        <v>_</v>
      </c>
      <c r="AR189" s="448" t="str">
        <f>_xlfn.IFNA(VLOOKUP($AP189,Programma!$F$3:$H$1101,3,0),"")</f>
        <v>_</v>
      </c>
      <c r="AS189" s="448" t="str">
        <f>_xlfn.IFNA(VLOOKUP($AP189,Programma!$F$3:$I$1101,4,0),"")</f>
        <v>4w</v>
      </c>
      <c r="AT189" s="448" t="str">
        <f>_xlfn.IFNA(VLOOKUP($AP189,Programma!$F$3:$J$1101,5,0),"")</f>
        <v>1w</v>
      </c>
      <c r="AU189" s="448" t="str">
        <f>_xlfn.IFNA(VLOOKUP($AP189,Programma!$F$3:$K$1101,6,0),"")</f>
        <v>_</v>
      </c>
      <c r="AV189" s="448" t="str">
        <f>_xlfn.IFNA(VLOOKUP($AP189,Programma!$F$3:$L$1101,7,0),"")</f>
        <v>_</v>
      </c>
      <c r="AW189" s="448" t="str">
        <f>_xlfn.IFNA(VLOOKUP($AP189,Programma!$F$3:$M$1101,8,0),"")</f>
        <v>_</v>
      </c>
      <c r="AX189" s="448" t="str">
        <f>_xlfn.IFNA(VLOOKUP($AP189,Programma!$F$3:$N$1101,9,0),"")</f>
        <v>_</v>
      </c>
      <c r="AY189" s="448" t="str">
        <f>_xlfn.IFNA(VLOOKUP($AP189,Programma!$F$3:$O$1101,10,0),"")</f>
        <v>5w</v>
      </c>
      <c r="AZ189" s="448" t="str">
        <f>_xlfn.IFNA(VLOOKUP($AP189,Programma!$F$3:$P$1101,11,0),"")</f>
        <v>5w</v>
      </c>
      <c r="BA189" s="448" t="str">
        <f>_xlfn.IFNA(VLOOKUP($AP189,Programma!$F$3:$Q$1101,12,0),"")</f>
        <v>1w</v>
      </c>
      <c r="BB189" s="448" t="str">
        <f>_xlfn.IFNA(VLOOKUP($AP189,Programma!$F$3:$R$1101,13,0),"")</f>
        <v>1w</v>
      </c>
      <c r="BC189" s="448" t="str">
        <f>_xlfn.IFNA(VLOOKUP($AP189,Programma!$F$3:$S$1101,14,0),"")</f>
        <v>1m</v>
      </c>
      <c r="BD189" s="448" t="str">
        <f>_xlfn.IFNA(VLOOKUP($AP189,Programma!$F$3:$T$1101,15,0),"")</f>
        <v>2j</v>
      </c>
      <c r="BE189" s="448" t="str">
        <f>_xlfn.IFNA(VLOOKUP($AP189,Programma!$F$3:$U$1101,16,0),"")</f>
        <v>1j</v>
      </c>
      <c r="BF189" s="448" t="str">
        <f>_xlfn.IFNA(VLOOKUP($AP189,Programma!$F$3:$V$1101,17,0),"")</f>
        <v>_</v>
      </c>
      <c r="BG189" s="448" t="str">
        <f>_xlfn.IFNA(VLOOKUP($AP189,Programma!$F$3:$W$1101,18,0),"")</f>
        <v>_</v>
      </c>
      <c r="BH189" s="448" t="str">
        <f>_xlfn.IFNA(VLOOKUP($AP189,Programma!$F$3:$X$1101,19,0),"")</f>
        <v>_</v>
      </c>
      <c r="BI189" s="448" t="str">
        <f>_xlfn.IFNA(VLOOKUP($AP189,Programma!$F$3:$Y$1101,20,0),"")</f>
        <v>_</v>
      </c>
      <c r="BJ189" s="449"/>
      <c r="BK189" s="447" t="str">
        <f>IF(Ruimtestaat[[#This Row],[Frequentie weekend]]="","",_xlfn.CONCAT(Ruimtestaat[[#This Row],[Ruimte code]],"-",Ruimtestaat[[#This Row],[Frequentie weekend]]," ",Ruimtestaat[[#This Row],[Vloer code]]))</f>
        <v/>
      </c>
      <c r="BL189" s="448" t="str">
        <f>_xlfn.IFNA(VLOOKUP($BK189,Programma!$F$3:$G$1101,2,0),"")</f>
        <v/>
      </c>
      <c r="BM189" s="448" t="str">
        <f>_xlfn.IFNA(VLOOKUP($BK189,Programma!$F$3:$H$1101,3,0),"")</f>
        <v/>
      </c>
      <c r="BN189" s="448" t="str">
        <f>_xlfn.IFNA(VLOOKUP($BK189,Programma!$F$3:$I$1101,4,0),"")</f>
        <v/>
      </c>
      <c r="BO189" s="448" t="str">
        <f>_xlfn.IFNA(VLOOKUP($BK189,Programma!$F$3:$J$1101,5,0),"")</f>
        <v/>
      </c>
      <c r="BP189" s="448" t="str">
        <f>_xlfn.IFNA(VLOOKUP($BK189,Programma!$F$3:$K$1101,6,0),"")</f>
        <v/>
      </c>
      <c r="BQ189" s="448" t="str">
        <f>_xlfn.IFNA(VLOOKUP($BK189,Programma!$F$3:$L$1101,7,0),"")</f>
        <v/>
      </c>
      <c r="BR189" s="448" t="str">
        <f>_xlfn.IFNA(VLOOKUP($BK189,Programma!$F$3:$M$1101,8,0),"")</f>
        <v/>
      </c>
      <c r="BS189" s="448" t="str">
        <f>_xlfn.IFNA(VLOOKUP($BK189,Programma!$F$3:$N$1101,9,0),"")</f>
        <v/>
      </c>
      <c r="BT189" s="448" t="str">
        <f>_xlfn.IFNA(VLOOKUP($BK189,Programma!$F$3:$O$1101,10,0),"")</f>
        <v/>
      </c>
      <c r="BU189" s="448" t="str">
        <f>_xlfn.IFNA(VLOOKUP($BK189,Programma!$F$3:$P$1101,11,0),"")</f>
        <v/>
      </c>
      <c r="BV189" s="448" t="str">
        <f>_xlfn.IFNA(VLOOKUP($BK189,Programma!$F$3:$Q$1101,12,0),"")</f>
        <v/>
      </c>
      <c r="BW189" s="448" t="str">
        <f>_xlfn.IFNA(VLOOKUP($BK189,Programma!$F$3:$R$1101,13,0),"")</f>
        <v/>
      </c>
      <c r="BX189" s="448" t="str">
        <f>_xlfn.IFNA(VLOOKUP($BK189,Programma!$F$3:$S$1101,14,0),"")</f>
        <v/>
      </c>
      <c r="BY189" s="448" t="str">
        <f>_xlfn.IFNA(VLOOKUP($BK189,Programma!$F$3:$T$1101,15,0),"")</f>
        <v/>
      </c>
      <c r="BZ189" s="448" t="str">
        <f>_xlfn.IFNA(VLOOKUP($BK189,Programma!$F$3:$U$1101,16,0),"")</f>
        <v/>
      </c>
      <c r="CA189" s="448" t="str">
        <f>_xlfn.IFNA(VLOOKUP($BK189,Programma!$F$3:$V$1101,17,0),"")</f>
        <v/>
      </c>
      <c r="CB189" s="448" t="str">
        <f>_xlfn.IFNA(VLOOKUP($BK189,Programma!$F$3:$W$1101,18,0),"")</f>
        <v/>
      </c>
      <c r="CC189" s="448" t="str">
        <f>_xlfn.IFNA(VLOOKUP($BK189,Programma!$F$3:$X$1101,19,0),"")</f>
        <v/>
      </c>
      <c r="CD189" s="448" t="str">
        <f>_xlfn.IFNA(VLOOKUP($BK189,Programma!$F$3:$Y$1101,20,0),"")</f>
        <v/>
      </c>
      <c r="CE189" s="327"/>
      <c r="CF189" s="327"/>
      <c r="CG189" s="327"/>
      <c r="CH189" s="327"/>
      <c r="CI189" s="327"/>
      <c r="CJ189" s="327"/>
      <c r="CK189" s="327"/>
      <c r="CL189" s="327"/>
      <c r="CM189" s="327"/>
      <c r="CN189" s="327"/>
      <c r="CO189" s="327"/>
      <c r="CP189" s="327"/>
      <c r="CQ189" s="327"/>
      <c r="CR189" s="327"/>
      <c r="CS189" s="327"/>
      <c r="CT189" s="327"/>
      <c r="CU189" s="327"/>
      <c r="CV189" s="327"/>
      <c r="CW189" s="327"/>
      <c r="CX189" s="327"/>
      <c r="CY189" s="327"/>
      <c r="CZ189" s="327"/>
      <c r="DA189" s="327"/>
      <c r="DB189" s="327"/>
      <c r="DC189" s="327"/>
      <c r="DD189" s="327"/>
      <c r="DE189" s="327"/>
      <c r="DF189" s="327"/>
      <c r="DG189" s="327"/>
      <c r="DH189" s="327"/>
      <c r="DI189" s="327"/>
      <c r="DJ189" s="327"/>
      <c r="DK189" s="327"/>
      <c r="DL189" s="327"/>
      <c r="DM189" s="327"/>
      <c r="DN189" s="327"/>
      <c r="DO189" s="327"/>
      <c r="DP189" s="327"/>
      <c r="DQ189" s="327"/>
      <c r="DR189" s="327"/>
      <c r="DS189" s="327"/>
      <c r="DT189" s="327"/>
      <c r="DU189" s="327"/>
      <c r="DV189" s="327"/>
      <c r="DW189" s="327"/>
      <c r="DX189" s="327"/>
      <c r="DY189" s="327"/>
      <c r="DZ189" s="327"/>
      <c r="EA189" s="327"/>
      <c r="EB189" s="327"/>
      <c r="EC189" s="327"/>
      <c r="ED189" s="327"/>
      <c r="EE189" s="327"/>
      <c r="EF189" s="327"/>
      <c r="EG189" s="327"/>
      <c r="EH189" s="327"/>
      <c r="EI189" s="327"/>
      <c r="EJ189" s="327"/>
      <c r="EK189" s="327"/>
      <c r="EL189" s="327"/>
      <c r="EM189" s="327"/>
      <c r="EN189" s="327"/>
      <c r="EO189" s="327"/>
      <c r="EP189" s="327"/>
      <c r="EQ189" s="327"/>
      <c r="ER189" s="327"/>
      <c r="ES189" s="327"/>
      <c r="ET189" s="327"/>
      <c r="EU189" s="327"/>
      <c r="EV189" s="327"/>
      <c r="EW189" s="327"/>
      <c r="EX189" s="327"/>
      <c r="EY189" s="327"/>
      <c r="EZ189" s="327"/>
      <c r="FA189" s="327"/>
      <c r="FB189" s="327"/>
      <c r="FC189" s="327"/>
      <c r="FD189" s="327"/>
      <c r="FE189" s="327"/>
      <c r="FF189" s="327"/>
      <c r="FG189" s="327"/>
      <c r="FH189" s="327"/>
      <c r="FI189" s="327"/>
      <c r="FJ189" s="327"/>
      <c r="FK189" s="327"/>
      <c r="FL189" s="327"/>
      <c r="FM189" s="327"/>
      <c r="FN189" s="327"/>
      <c r="FO189" s="327"/>
      <c r="FP189" s="327"/>
      <c r="FQ189" s="327"/>
      <c r="FR189" s="327"/>
      <c r="FS189" s="327"/>
      <c r="FT189" s="327"/>
      <c r="FU189" s="327"/>
      <c r="FV189" s="327"/>
      <c r="FW189" s="327"/>
      <c r="FX189" s="327"/>
      <c r="FY189" s="327"/>
      <c r="FZ189" s="327"/>
      <c r="GA189" s="327"/>
      <c r="GB189" s="327"/>
      <c r="GC189" s="327"/>
      <c r="GD189" s="327"/>
      <c r="GE189" s="327"/>
      <c r="GF189" s="327"/>
      <c r="GG189" s="327"/>
      <c r="GH189" s="327"/>
      <c r="GI189" s="327"/>
      <c r="GJ189" s="327"/>
      <c r="GK189" s="327"/>
      <c r="GL189" s="327"/>
      <c r="GM189" s="327"/>
      <c r="GN189" s="327"/>
      <c r="GO189" s="327"/>
      <c r="GP189" s="327"/>
      <c r="GQ189" s="327"/>
      <c r="GR189" s="327"/>
      <c r="GS189" s="327"/>
      <c r="GT189" s="327"/>
      <c r="GU189" s="327"/>
      <c r="GV189" s="327"/>
      <c r="GW189" s="327"/>
      <c r="GX189" s="327"/>
      <c r="GY189" s="327"/>
      <c r="GZ189" s="327"/>
      <c r="HA189" s="327"/>
      <c r="HB189" s="327"/>
      <c r="HC189" s="327"/>
      <c r="HD189" s="327"/>
      <c r="HE189" s="327"/>
      <c r="HF189" s="327"/>
      <c r="HG189" s="327"/>
      <c r="HH189" s="327"/>
      <c r="HI189" s="327"/>
      <c r="HJ189" s="327"/>
      <c r="HK189" s="327"/>
      <c r="HL189" s="327"/>
      <c r="HM189" s="327"/>
      <c r="HN189" s="327"/>
      <c r="HO189" s="327"/>
      <c r="HP189" s="327"/>
      <c r="HQ189" s="327"/>
      <c r="HR189" s="327"/>
      <c r="HS189" s="327"/>
    </row>
    <row r="190" spans="1:227" ht="15" customHeight="1">
      <c r="A190" s="330">
        <v>8</v>
      </c>
      <c r="B190" s="435" t="str">
        <f>VLOOKUP(Ruimtestaat[[#This Row],[Code]],Locaties[[Code]:[Locatie]],2,FALSE)</f>
        <v>IKC De Trinoom</v>
      </c>
      <c r="C190" s="435" t="str">
        <f>VLOOKUP(Ruimtestaat[[#This Row],[Code]],Locaties[[#All],[Code]:[Adres]],4,FALSE)</f>
        <v>Nieuwlandstraat 241</v>
      </c>
      <c r="D190" s="435" t="str">
        <f>VLOOKUP(Ruimtestaat[[#This Row],[Code]],Locaties[[#All],[Code]:[Postcode]],5,FALSE)</f>
        <v>2729 EB</v>
      </c>
      <c r="E190" s="435" t="str">
        <f>VLOOKUP(Ruimtestaat[[#This Row],[Code]],Locaties[#All],6,FALSE)</f>
        <v>Zoetermeer</v>
      </c>
      <c r="F190" s="434"/>
      <c r="G190" s="434" t="s">
        <v>1769</v>
      </c>
      <c r="H190" s="330" t="s">
        <v>1728</v>
      </c>
      <c r="I190" s="450" t="s">
        <v>1679</v>
      </c>
      <c r="J190" s="330">
        <v>16</v>
      </c>
      <c r="K190" s="450" t="str">
        <f>VLOOKUP(Ruimtestaat[[#This Row],[Ruimte code]],Ruimtegroepen[[#All],[Code]:[Ruimte omschrijving]],2,FALSE)</f>
        <v>Leslokalen</v>
      </c>
      <c r="L190" s="434" t="s">
        <v>100</v>
      </c>
      <c r="M190" s="437" t="s">
        <v>1759</v>
      </c>
      <c r="N190" s="439">
        <v>59</v>
      </c>
      <c r="O190" s="439"/>
      <c r="P190" s="439"/>
      <c r="Q190" s="439"/>
      <c r="R190" s="440" t="str">
        <f>VLOOKUP(Ruimtestaat[[#This Row],[Ruimte code]],Ruimtegroepen[],4,FALSE)</f>
        <v>Le</v>
      </c>
      <c r="S190" s="434">
        <v>40</v>
      </c>
      <c r="T190" s="434" t="s">
        <v>2</v>
      </c>
      <c r="U190" s="434">
        <f>IF(S190&gt;0,IF(RIGHT(Ruimtestaat[[#This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0" s="434">
        <f>IF(U190&gt;0,VLOOKUP($J190,Ruimtegroepen[],3,FALSE)*VLOOKUP($L190,Vloersoorten[],3,FALSE)*VLOOKUP($T190,Frequenties[],3,FALSE)*VLOOKUP($A190,Locaties[],3,FALSE),0)</f>
        <v>0</v>
      </c>
      <c r="W190" s="434">
        <f>Ruimtestaat[[#This Row],[Uitvoeringen werkdagen]]*Ruimtestaat[[#This Row],[Oppervlak (netto)]]</f>
        <v>11800</v>
      </c>
      <c r="X190" s="441">
        <f>IF(V190&gt;0,Ruimtestaat[[#This Row],[Prest. (m2 /jaar) werkdagen]]/Ruimtestaat[[#This Row],[Norm (m2/uur) werkdagen]],0)</f>
        <v>0</v>
      </c>
      <c r="Y190" s="442">
        <f>Ruimtestaat[[#This Row],[Uitvoeringen werkdagen]]*Ruimtestaat[[#This Row],[Gedeeltelijk]]</f>
        <v>0</v>
      </c>
      <c r="Z190" s="443" t="e">
        <f>IF(U190&gt;0,Ruimtestaat[[#This Row],[Prest. (m2 / jaar) werkdagen gedeeld]]/Ruimtestaat[[#This Row],[Norm (m2/uur) werkdagen]],0)</f>
        <v>#DIV/0!</v>
      </c>
      <c r="AA190" s="441" t="e">
        <f>Ruimtestaat[[#This Row],[uren / jaar werkdagen gedeeld]]*Tariefsopbouw!$E$35</f>
        <v>#DIV/0!</v>
      </c>
      <c r="AB190" s="441">
        <f>Ruimtestaat[[#This Row],[Uitvoeringen werkdagen]]*Ruimtestaat[[#This Row],[BSO]]</f>
        <v>0</v>
      </c>
      <c r="AC190" s="443" t="e">
        <f>IF(U190&gt;0,Ruimtestaat[[#This Row],[Prest. (m2 / jaar) werkdagen BSO]]/Ruimtestaat[[#This Row],[Norm (m2/uur) werkdagen]],0)</f>
        <v>#DIV/0!</v>
      </c>
      <c r="AD190" s="443" t="e">
        <f>Ruimtestaat[[#This Row],[uren / jaar werkdagen BSO]]*Tariefsopbouw!$E$35</f>
        <v>#DIV/0!</v>
      </c>
      <c r="AE190" s="444">
        <f>Ruimtestaat[[#This Row],[uren / jaar werkdagen]]*Tariefsopbouw!$E$35</f>
        <v>0</v>
      </c>
      <c r="AF190" s="434"/>
      <c r="AG190" s="434">
        <f>IF(Ruimtestaat[[#This Row],[Frequentie weekend]]&gt;0,VALUE(LEFT(AF190,1))*S190,0)</f>
        <v>0</v>
      </c>
      <c r="AH190" s="445">
        <f>IF($AG190&gt;0,VLOOKUP($J190,Ruimtegroepen[],3,FALSE)*VLOOKUP($L190,Vloersoorten[],3,FALSE)*VLOOKUP($AF190,Frequenties[],3,FALSE)*VLOOKUP(Ruimtestaat[[#This Row],[Code]],Locaties[],3,FALSE),0)</f>
        <v>0</v>
      </c>
      <c r="AI190" s="445">
        <f>Ruimtestaat[[#This Row],[Uitvoeringen weekend]]*Ruimtestaat[[#This Row],[Oppervlak (netto)]]</f>
        <v>0</v>
      </c>
      <c r="AJ190" s="445">
        <f>IF(AH190&gt;0,Ruimtestaat[[#This Row],[Prest. (m2 /jaar) weekend]]/Ruimtestaat[[#This Row],[Norm (m2/uur) weekend]],0)</f>
        <v>0</v>
      </c>
      <c r="AK190" s="444">
        <f>Ruimtestaat[[#This Row],[uren / jaar weekend]]*Tariefsopbouw!$D$40</f>
        <v>0</v>
      </c>
      <c r="AL190" s="441">
        <f>Ruimtestaat[[#This Row],[Prest. (m2 /jaar) weekend]]+Ruimtestaat[[#This Row],[Prest. (m2 /jaar) werkdagen]]</f>
        <v>11800</v>
      </c>
      <c r="AM190" s="441">
        <f>Ruimtestaat[[#This Row],[uren / jaar weekend]]+Ruimtestaat[[#This Row],[uren / jaar werkdagen]]</f>
        <v>0</v>
      </c>
      <c r="AN190" s="446">
        <f>Ruimtestaat[[#This Row],[kosten / jaar weekend]]+Ruimtestaat[[#This Row],[kosten / jaar werkdagen]]</f>
        <v>0</v>
      </c>
      <c r="AO190" s="446"/>
      <c r="AP190" s="447" t="str">
        <f>IF(Ruimtestaat[[#This Row],[Frequentie werkdagen]]="","",_xlfn.CONCAT(Ruimtestaat[[#This Row],[Ruimte code]],"-",Ruimtestaat[[#This Row],[Frequentie werkdagen]]," ",Ruimtestaat[[#This Row],[Vloer code]]))</f>
        <v>16-5w L</v>
      </c>
      <c r="AQ190" s="448" t="str">
        <f>_xlfn.IFNA(VLOOKUP($AP190,Programma!$F$3:$G$1101,2,0),"")</f>
        <v>_</v>
      </c>
      <c r="AR190" s="448" t="str">
        <f>_xlfn.IFNA(VLOOKUP($AP190,Programma!$F$3:$H$1101,3,0),"")</f>
        <v>_</v>
      </c>
      <c r="AS190" s="448" t="str">
        <f>_xlfn.IFNA(VLOOKUP($AP190,Programma!$F$3:$I$1101,4,0),"")</f>
        <v>4w</v>
      </c>
      <c r="AT190" s="448" t="str">
        <f>_xlfn.IFNA(VLOOKUP($AP190,Programma!$F$3:$J$1101,5,0),"")</f>
        <v>1w</v>
      </c>
      <c r="AU190" s="448" t="str">
        <f>_xlfn.IFNA(VLOOKUP($AP190,Programma!$F$3:$K$1101,6,0),"")</f>
        <v>_</v>
      </c>
      <c r="AV190" s="448" t="str">
        <f>_xlfn.IFNA(VLOOKUP($AP190,Programma!$F$3:$L$1101,7,0),"")</f>
        <v>_</v>
      </c>
      <c r="AW190" s="448" t="str">
        <f>_xlfn.IFNA(VLOOKUP($AP190,Programma!$F$3:$M$1101,8,0),"")</f>
        <v>_</v>
      </c>
      <c r="AX190" s="448" t="str">
        <f>_xlfn.IFNA(VLOOKUP($AP190,Programma!$F$3:$N$1101,9,0),"")</f>
        <v>_</v>
      </c>
      <c r="AY190" s="448" t="str">
        <f>_xlfn.IFNA(VLOOKUP($AP190,Programma!$F$3:$O$1101,10,0),"")</f>
        <v>5w</v>
      </c>
      <c r="AZ190" s="448" t="str">
        <f>_xlfn.IFNA(VLOOKUP($AP190,Programma!$F$3:$P$1101,11,0),"")</f>
        <v>5w</v>
      </c>
      <c r="BA190" s="448" t="str">
        <f>_xlfn.IFNA(VLOOKUP($AP190,Programma!$F$3:$Q$1101,12,0),"")</f>
        <v>1w</v>
      </c>
      <c r="BB190" s="448" t="str">
        <f>_xlfn.IFNA(VLOOKUP($AP190,Programma!$F$3:$R$1101,13,0),"")</f>
        <v>1w</v>
      </c>
      <c r="BC190" s="448" t="str">
        <f>_xlfn.IFNA(VLOOKUP($AP190,Programma!$F$3:$S$1101,14,0),"")</f>
        <v>1m</v>
      </c>
      <c r="BD190" s="448" t="str">
        <f>_xlfn.IFNA(VLOOKUP($AP190,Programma!$F$3:$T$1101,15,0),"")</f>
        <v>2j</v>
      </c>
      <c r="BE190" s="448" t="str">
        <f>_xlfn.IFNA(VLOOKUP($AP190,Programma!$F$3:$U$1101,16,0),"")</f>
        <v>1j</v>
      </c>
      <c r="BF190" s="448" t="str">
        <f>_xlfn.IFNA(VLOOKUP($AP190,Programma!$F$3:$V$1101,17,0),"")</f>
        <v>_</v>
      </c>
      <c r="BG190" s="448" t="str">
        <f>_xlfn.IFNA(VLOOKUP($AP190,Programma!$F$3:$W$1101,18,0),"")</f>
        <v>_</v>
      </c>
      <c r="BH190" s="448" t="str">
        <f>_xlfn.IFNA(VLOOKUP($AP190,Programma!$F$3:$X$1101,19,0),"")</f>
        <v>_</v>
      </c>
      <c r="BI190" s="448" t="str">
        <f>_xlfn.IFNA(VLOOKUP($AP190,Programma!$F$3:$Y$1101,20,0),"")</f>
        <v>_</v>
      </c>
      <c r="BJ190" s="449"/>
      <c r="BK190" s="447" t="str">
        <f>IF(Ruimtestaat[[#This Row],[Frequentie weekend]]="","",_xlfn.CONCAT(Ruimtestaat[[#This Row],[Ruimte code]],"-",Ruimtestaat[[#This Row],[Frequentie weekend]]," ",Ruimtestaat[[#This Row],[Vloer code]]))</f>
        <v/>
      </c>
      <c r="BL190" s="448" t="str">
        <f>_xlfn.IFNA(VLOOKUP($BK190,Programma!$F$3:$G$1101,2,0),"")</f>
        <v/>
      </c>
      <c r="BM190" s="448" t="str">
        <f>_xlfn.IFNA(VLOOKUP($BK190,Programma!$F$3:$H$1101,3,0),"")</f>
        <v/>
      </c>
      <c r="BN190" s="448" t="str">
        <f>_xlfn.IFNA(VLOOKUP($BK190,Programma!$F$3:$I$1101,4,0),"")</f>
        <v/>
      </c>
      <c r="BO190" s="448" t="str">
        <f>_xlfn.IFNA(VLOOKUP($BK190,Programma!$F$3:$J$1101,5,0),"")</f>
        <v/>
      </c>
      <c r="BP190" s="448" t="str">
        <f>_xlfn.IFNA(VLOOKUP($BK190,Programma!$F$3:$K$1101,6,0),"")</f>
        <v/>
      </c>
      <c r="BQ190" s="448" t="str">
        <f>_xlfn.IFNA(VLOOKUP($BK190,Programma!$F$3:$L$1101,7,0),"")</f>
        <v/>
      </c>
      <c r="BR190" s="448" t="str">
        <f>_xlfn.IFNA(VLOOKUP($BK190,Programma!$F$3:$M$1101,8,0),"")</f>
        <v/>
      </c>
      <c r="BS190" s="448" t="str">
        <f>_xlfn.IFNA(VLOOKUP($BK190,Programma!$F$3:$N$1101,9,0),"")</f>
        <v/>
      </c>
      <c r="BT190" s="448" t="str">
        <f>_xlfn.IFNA(VLOOKUP($BK190,Programma!$F$3:$O$1101,10,0),"")</f>
        <v/>
      </c>
      <c r="BU190" s="448" t="str">
        <f>_xlfn.IFNA(VLOOKUP($BK190,Programma!$F$3:$P$1101,11,0),"")</f>
        <v/>
      </c>
      <c r="BV190" s="448" t="str">
        <f>_xlfn.IFNA(VLOOKUP($BK190,Programma!$F$3:$Q$1101,12,0),"")</f>
        <v/>
      </c>
      <c r="BW190" s="448" t="str">
        <f>_xlfn.IFNA(VLOOKUP($BK190,Programma!$F$3:$R$1101,13,0),"")</f>
        <v/>
      </c>
      <c r="BX190" s="448" t="str">
        <f>_xlfn.IFNA(VLOOKUP($BK190,Programma!$F$3:$S$1101,14,0),"")</f>
        <v/>
      </c>
      <c r="BY190" s="448" t="str">
        <f>_xlfn.IFNA(VLOOKUP($BK190,Programma!$F$3:$T$1101,15,0),"")</f>
        <v/>
      </c>
      <c r="BZ190" s="448" t="str">
        <f>_xlfn.IFNA(VLOOKUP($BK190,Programma!$F$3:$U$1101,16,0),"")</f>
        <v/>
      </c>
      <c r="CA190" s="448" t="str">
        <f>_xlfn.IFNA(VLOOKUP($BK190,Programma!$F$3:$V$1101,17,0),"")</f>
        <v/>
      </c>
      <c r="CB190" s="448" t="str">
        <f>_xlfn.IFNA(VLOOKUP($BK190,Programma!$F$3:$W$1101,18,0),"")</f>
        <v/>
      </c>
      <c r="CC190" s="448" t="str">
        <f>_xlfn.IFNA(VLOOKUP($BK190,Programma!$F$3:$X$1101,19,0),"")</f>
        <v/>
      </c>
      <c r="CD190" s="448" t="str">
        <f>_xlfn.IFNA(VLOOKUP($BK190,Programma!$F$3:$Y$1101,20,0),"")</f>
        <v/>
      </c>
      <c r="CE190" s="327"/>
      <c r="CF190" s="327"/>
      <c r="CG190" s="327"/>
      <c r="CH190" s="327"/>
      <c r="CI190" s="327"/>
      <c r="CJ190" s="327"/>
      <c r="CK190" s="327"/>
      <c r="CL190" s="327"/>
      <c r="CM190" s="327"/>
      <c r="CN190" s="327"/>
      <c r="CO190" s="327"/>
      <c r="CP190" s="327"/>
      <c r="CQ190" s="327"/>
      <c r="CR190" s="327"/>
      <c r="CS190" s="327"/>
      <c r="CT190" s="327"/>
      <c r="CU190" s="327"/>
      <c r="CV190" s="327"/>
      <c r="CW190" s="327"/>
      <c r="CX190" s="327"/>
      <c r="CY190" s="327"/>
      <c r="CZ190" s="327"/>
      <c r="DA190" s="327"/>
      <c r="DB190" s="327"/>
      <c r="DC190" s="327"/>
      <c r="DD190" s="327"/>
      <c r="DE190" s="327"/>
      <c r="DF190" s="327"/>
      <c r="DG190" s="327"/>
      <c r="DH190" s="327"/>
      <c r="DI190" s="327"/>
      <c r="DJ190" s="327"/>
      <c r="DK190" s="327"/>
      <c r="DL190" s="327"/>
      <c r="DM190" s="327"/>
      <c r="DN190" s="327"/>
      <c r="DO190" s="327"/>
      <c r="DP190" s="327"/>
      <c r="DQ190" s="327"/>
      <c r="DR190" s="327"/>
      <c r="DS190" s="327"/>
      <c r="DT190" s="327"/>
      <c r="DU190" s="327"/>
      <c r="DV190" s="327"/>
      <c r="DW190" s="327"/>
      <c r="DX190" s="327"/>
      <c r="DY190" s="327"/>
      <c r="DZ190" s="327"/>
      <c r="EA190" s="327"/>
      <c r="EB190" s="327"/>
      <c r="EC190" s="327"/>
      <c r="ED190" s="327"/>
      <c r="EE190" s="327"/>
      <c r="EF190" s="327"/>
      <c r="EG190" s="327"/>
      <c r="EH190" s="327"/>
      <c r="EI190" s="327"/>
      <c r="EJ190" s="327"/>
      <c r="EK190" s="327"/>
      <c r="EL190" s="327"/>
      <c r="EM190" s="327"/>
      <c r="EN190" s="327"/>
      <c r="EO190" s="327"/>
      <c r="EP190" s="327"/>
      <c r="EQ190" s="327"/>
      <c r="ER190" s="327"/>
      <c r="ES190" s="327"/>
      <c r="ET190" s="327"/>
      <c r="EU190" s="327"/>
      <c r="EV190" s="327"/>
      <c r="EW190" s="327"/>
      <c r="EX190" s="327"/>
      <c r="EY190" s="327"/>
      <c r="EZ190" s="327"/>
      <c r="FA190" s="327"/>
      <c r="FB190" s="327"/>
      <c r="FC190" s="327"/>
      <c r="FD190" s="327"/>
      <c r="FE190" s="327"/>
      <c r="FF190" s="327"/>
      <c r="FG190" s="327"/>
      <c r="FH190" s="327"/>
      <c r="FI190" s="327"/>
      <c r="FJ190" s="327"/>
      <c r="FK190" s="327"/>
      <c r="FL190" s="327"/>
      <c r="FM190" s="327"/>
      <c r="FN190" s="327"/>
      <c r="FO190" s="327"/>
      <c r="FP190" s="327"/>
      <c r="FQ190" s="327"/>
      <c r="FR190" s="327"/>
      <c r="FS190" s="327"/>
      <c r="FT190" s="327"/>
      <c r="FU190" s="327"/>
      <c r="FV190" s="327"/>
      <c r="FW190" s="327"/>
      <c r="FX190" s="327"/>
      <c r="FY190" s="327"/>
      <c r="FZ190" s="327"/>
      <c r="GA190" s="327"/>
      <c r="GB190" s="327"/>
      <c r="GC190" s="327"/>
      <c r="GD190" s="327"/>
      <c r="GE190" s="327"/>
      <c r="GF190" s="327"/>
      <c r="GG190" s="327"/>
      <c r="GH190" s="327"/>
      <c r="GI190" s="327"/>
      <c r="GJ190" s="327"/>
      <c r="GK190" s="327"/>
      <c r="GL190" s="327"/>
      <c r="GM190" s="327"/>
      <c r="GN190" s="327"/>
      <c r="GO190" s="327"/>
      <c r="GP190" s="327"/>
      <c r="GQ190" s="327"/>
      <c r="GR190" s="327"/>
      <c r="GS190" s="327"/>
      <c r="GT190" s="327"/>
      <c r="GU190" s="327"/>
      <c r="GV190" s="327"/>
      <c r="GW190" s="327"/>
      <c r="GX190" s="327"/>
      <c r="GY190" s="327"/>
      <c r="GZ190" s="327"/>
      <c r="HA190" s="327"/>
      <c r="HB190" s="327"/>
      <c r="HC190" s="327"/>
      <c r="HD190" s="327"/>
      <c r="HE190" s="327"/>
      <c r="HF190" s="327"/>
      <c r="HG190" s="327"/>
      <c r="HH190" s="327"/>
      <c r="HI190" s="327"/>
      <c r="HJ190" s="327"/>
      <c r="HK190" s="327"/>
      <c r="HL190" s="327"/>
      <c r="HM190" s="327"/>
      <c r="HN190" s="327"/>
      <c r="HO190" s="327"/>
      <c r="HP190" s="327"/>
      <c r="HQ190" s="327"/>
      <c r="HR190" s="327"/>
      <c r="HS190" s="327"/>
    </row>
    <row r="191" spans="1:227" ht="15" customHeight="1">
      <c r="A191" s="330">
        <v>8</v>
      </c>
      <c r="B191" s="435" t="str">
        <f>VLOOKUP(Ruimtestaat[[#This Row],[Code]],Locaties[[Code]:[Locatie]],2,FALSE)</f>
        <v>IKC De Trinoom</v>
      </c>
      <c r="C191" s="435" t="str">
        <f>VLOOKUP(Ruimtestaat[[#This Row],[Code]],Locaties[[#All],[Code]:[Adres]],4,FALSE)</f>
        <v>Nieuwlandstraat 241</v>
      </c>
      <c r="D191" s="435" t="str">
        <f>VLOOKUP(Ruimtestaat[[#This Row],[Code]],Locaties[[#All],[Code]:[Postcode]],5,FALSE)</f>
        <v>2729 EB</v>
      </c>
      <c r="E191" s="435" t="str">
        <f>VLOOKUP(Ruimtestaat[[#This Row],[Code]],Locaties[#All],6,FALSE)</f>
        <v>Zoetermeer</v>
      </c>
      <c r="F191" s="434"/>
      <c r="G191" s="434" t="s">
        <v>1769</v>
      </c>
      <c r="H191" s="330" t="s">
        <v>1730</v>
      </c>
      <c r="I191" s="450" t="s">
        <v>1679</v>
      </c>
      <c r="J191" s="330">
        <v>16</v>
      </c>
      <c r="K191" s="450" t="str">
        <f>VLOOKUP(Ruimtestaat[[#This Row],[Ruimte code]],Ruimtegroepen[[#All],[Code]:[Ruimte omschrijving]],2,FALSE)</f>
        <v>Leslokalen</v>
      </c>
      <c r="L191" s="434" t="s">
        <v>100</v>
      </c>
      <c r="M191" s="437" t="s">
        <v>1759</v>
      </c>
      <c r="N191" s="439">
        <v>56</v>
      </c>
      <c r="O191" s="439"/>
      <c r="P191" s="439"/>
      <c r="Q191" s="439"/>
      <c r="R191" s="440" t="str">
        <f>VLOOKUP(Ruimtestaat[[#This Row],[Ruimte code]],Ruimtegroepen[],4,FALSE)</f>
        <v>Le</v>
      </c>
      <c r="S191" s="434">
        <v>40</v>
      </c>
      <c r="T191" s="434" t="s">
        <v>2</v>
      </c>
      <c r="U191" s="434">
        <f>IF(S191&gt;0,IF(RIGHT(Ruimtestaat[[#This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1" s="434">
        <f>IF(U191&gt;0,VLOOKUP($J191,Ruimtegroepen[],3,FALSE)*VLOOKUP($L191,Vloersoorten[],3,FALSE)*VLOOKUP($T191,Frequenties[],3,FALSE)*VLOOKUP($A191,Locaties[],3,FALSE),0)</f>
        <v>0</v>
      </c>
      <c r="W191" s="434">
        <f>Ruimtestaat[[#This Row],[Uitvoeringen werkdagen]]*Ruimtestaat[[#This Row],[Oppervlak (netto)]]</f>
        <v>11200</v>
      </c>
      <c r="X191" s="441">
        <f>IF(V191&gt;0,Ruimtestaat[[#This Row],[Prest. (m2 /jaar) werkdagen]]/Ruimtestaat[[#This Row],[Norm (m2/uur) werkdagen]],0)</f>
        <v>0</v>
      </c>
      <c r="Y191" s="442">
        <f>Ruimtestaat[[#This Row],[Uitvoeringen werkdagen]]*Ruimtestaat[[#This Row],[Gedeeltelijk]]</f>
        <v>0</v>
      </c>
      <c r="Z191" s="443" t="e">
        <f>IF(U191&gt;0,Ruimtestaat[[#This Row],[Prest. (m2 / jaar) werkdagen gedeeld]]/Ruimtestaat[[#This Row],[Norm (m2/uur) werkdagen]],0)</f>
        <v>#DIV/0!</v>
      </c>
      <c r="AA191" s="441" t="e">
        <f>Ruimtestaat[[#This Row],[uren / jaar werkdagen gedeeld]]*Tariefsopbouw!$E$35</f>
        <v>#DIV/0!</v>
      </c>
      <c r="AB191" s="441">
        <f>Ruimtestaat[[#This Row],[Uitvoeringen werkdagen]]*Ruimtestaat[[#This Row],[BSO]]</f>
        <v>0</v>
      </c>
      <c r="AC191" s="443" t="e">
        <f>IF(U191&gt;0,Ruimtestaat[[#This Row],[Prest. (m2 / jaar) werkdagen BSO]]/Ruimtestaat[[#This Row],[Norm (m2/uur) werkdagen]],0)</f>
        <v>#DIV/0!</v>
      </c>
      <c r="AD191" s="443" t="e">
        <f>Ruimtestaat[[#This Row],[uren / jaar werkdagen BSO]]*Tariefsopbouw!$E$35</f>
        <v>#DIV/0!</v>
      </c>
      <c r="AE191" s="444">
        <f>Ruimtestaat[[#This Row],[uren / jaar werkdagen]]*Tariefsopbouw!$E$35</f>
        <v>0</v>
      </c>
      <c r="AF191" s="434"/>
      <c r="AG191" s="434">
        <f>IF(Ruimtestaat[[#This Row],[Frequentie weekend]]&gt;0,VALUE(LEFT(AF191,1))*S191,0)</f>
        <v>0</v>
      </c>
      <c r="AH191" s="445">
        <f>IF($AG191&gt;0,VLOOKUP($J191,Ruimtegroepen[],3,FALSE)*VLOOKUP($L191,Vloersoorten[],3,FALSE)*VLOOKUP($AF191,Frequenties[],3,FALSE)*VLOOKUP(Ruimtestaat[[#This Row],[Code]],Locaties[],3,FALSE),0)</f>
        <v>0</v>
      </c>
      <c r="AI191" s="445">
        <f>Ruimtestaat[[#This Row],[Uitvoeringen weekend]]*Ruimtestaat[[#This Row],[Oppervlak (netto)]]</f>
        <v>0</v>
      </c>
      <c r="AJ191" s="445">
        <f>IF(AH191&gt;0,Ruimtestaat[[#This Row],[Prest. (m2 /jaar) weekend]]/Ruimtestaat[[#This Row],[Norm (m2/uur) weekend]],0)</f>
        <v>0</v>
      </c>
      <c r="AK191" s="444">
        <f>Ruimtestaat[[#This Row],[uren / jaar weekend]]*Tariefsopbouw!$D$40</f>
        <v>0</v>
      </c>
      <c r="AL191" s="441">
        <f>Ruimtestaat[[#This Row],[Prest. (m2 /jaar) weekend]]+Ruimtestaat[[#This Row],[Prest. (m2 /jaar) werkdagen]]</f>
        <v>11200</v>
      </c>
      <c r="AM191" s="441">
        <f>Ruimtestaat[[#This Row],[uren / jaar weekend]]+Ruimtestaat[[#This Row],[uren / jaar werkdagen]]</f>
        <v>0</v>
      </c>
      <c r="AN191" s="446">
        <f>Ruimtestaat[[#This Row],[kosten / jaar weekend]]+Ruimtestaat[[#This Row],[kosten / jaar werkdagen]]</f>
        <v>0</v>
      </c>
      <c r="AO191" s="446"/>
      <c r="AP191" s="447" t="str">
        <f>IF(Ruimtestaat[[#This Row],[Frequentie werkdagen]]="","",_xlfn.CONCAT(Ruimtestaat[[#This Row],[Ruimte code]],"-",Ruimtestaat[[#This Row],[Frequentie werkdagen]]," ",Ruimtestaat[[#This Row],[Vloer code]]))</f>
        <v>16-5w L</v>
      </c>
      <c r="AQ191" s="448" t="str">
        <f>_xlfn.IFNA(VLOOKUP($AP191,Programma!$F$3:$G$1101,2,0),"")</f>
        <v>_</v>
      </c>
      <c r="AR191" s="448" t="str">
        <f>_xlfn.IFNA(VLOOKUP($AP191,Programma!$F$3:$H$1101,3,0),"")</f>
        <v>_</v>
      </c>
      <c r="AS191" s="448" t="str">
        <f>_xlfn.IFNA(VLOOKUP($AP191,Programma!$F$3:$I$1101,4,0),"")</f>
        <v>4w</v>
      </c>
      <c r="AT191" s="448" t="str">
        <f>_xlfn.IFNA(VLOOKUP($AP191,Programma!$F$3:$J$1101,5,0),"")</f>
        <v>1w</v>
      </c>
      <c r="AU191" s="448" t="str">
        <f>_xlfn.IFNA(VLOOKUP($AP191,Programma!$F$3:$K$1101,6,0),"")</f>
        <v>_</v>
      </c>
      <c r="AV191" s="448" t="str">
        <f>_xlfn.IFNA(VLOOKUP($AP191,Programma!$F$3:$L$1101,7,0),"")</f>
        <v>_</v>
      </c>
      <c r="AW191" s="448" t="str">
        <f>_xlfn.IFNA(VLOOKUP($AP191,Programma!$F$3:$M$1101,8,0),"")</f>
        <v>_</v>
      </c>
      <c r="AX191" s="448" t="str">
        <f>_xlfn.IFNA(VLOOKUP($AP191,Programma!$F$3:$N$1101,9,0),"")</f>
        <v>_</v>
      </c>
      <c r="AY191" s="448" t="str">
        <f>_xlfn.IFNA(VLOOKUP($AP191,Programma!$F$3:$O$1101,10,0),"")</f>
        <v>5w</v>
      </c>
      <c r="AZ191" s="448" t="str">
        <f>_xlfn.IFNA(VLOOKUP($AP191,Programma!$F$3:$P$1101,11,0),"")</f>
        <v>5w</v>
      </c>
      <c r="BA191" s="448" t="str">
        <f>_xlfn.IFNA(VLOOKUP($AP191,Programma!$F$3:$Q$1101,12,0),"")</f>
        <v>1w</v>
      </c>
      <c r="BB191" s="448" t="str">
        <f>_xlfn.IFNA(VLOOKUP($AP191,Programma!$F$3:$R$1101,13,0),"")</f>
        <v>1w</v>
      </c>
      <c r="BC191" s="448" t="str">
        <f>_xlfn.IFNA(VLOOKUP($AP191,Programma!$F$3:$S$1101,14,0),"")</f>
        <v>1m</v>
      </c>
      <c r="BD191" s="448" t="str">
        <f>_xlfn.IFNA(VLOOKUP($AP191,Programma!$F$3:$T$1101,15,0),"")</f>
        <v>2j</v>
      </c>
      <c r="BE191" s="448" t="str">
        <f>_xlfn.IFNA(VLOOKUP($AP191,Programma!$F$3:$U$1101,16,0),"")</f>
        <v>1j</v>
      </c>
      <c r="BF191" s="448" t="str">
        <f>_xlfn.IFNA(VLOOKUP($AP191,Programma!$F$3:$V$1101,17,0),"")</f>
        <v>_</v>
      </c>
      <c r="BG191" s="448" t="str">
        <f>_xlfn.IFNA(VLOOKUP($AP191,Programma!$F$3:$W$1101,18,0),"")</f>
        <v>_</v>
      </c>
      <c r="BH191" s="448" t="str">
        <f>_xlfn.IFNA(VLOOKUP($AP191,Programma!$F$3:$X$1101,19,0),"")</f>
        <v>_</v>
      </c>
      <c r="BI191" s="448" t="str">
        <f>_xlfn.IFNA(VLOOKUP($AP191,Programma!$F$3:$Y$1101,20,0),"")</f>
        <v>_</v>
      </c>
      <c r="BJ191" s="449"/>
      <c r="BK191" s="447" t="str">
        <f>IF(Ruimtestaat[[#This Row],[Frequentie weekend]]="","",_xlfn.CONCAT(Ruimtestaat[[#This Row],[Ruimte code]],"-",Ruimtestaat[[#This Row],[Frequentie weekend]]," ",Ruimtestaat[[#This Row],[Vloer code]]))</f>
        <v/>
      </c>
      <c r="BL191" s="448" t="str">
        <f>_xlfn.IFNA(VLOOKUP($BK191,Programma!$F$3:$G$1101,2,0),"")</f>
        <v/>
      </c>
      <c r="BM191" s="448" t="str">
        <f>_xlfn.IFNA(VLOOKUP($BK191,Programma!$F$3:$H$1101,3,0),"")</f>
        <v/>
      </c>
      <c r="BN191" s="448" t="str">
        <f>_xlfn.IFNA(VLOOKUP($BK191,Programma!$F$3:$I$1101,4,0),"")</f>
        <v/>
      </c>
      <c r="BO191" s="448" t="str">
        <f>_xlfn.IFNA(VLOOKUP($BK191,Programma!$F$3:$J$1101,5,0),"")</f>
        <v/>
      </c>
      <c r="BP191" s="448" t="str">
        <f>_xlfn.IFNA(VLOOKUP($BK191,Programma!$F$3:$K$1101,6,0),"")</f>
        <v/>
      </c>
      <c r="BQ191" s="448" t="str">
        <f>_xlfn.IFNA(VLOOKUP($BK191,Programma!$F$3:$L$1101,7,0),"")</f>
        <v/>
      </c>
      <c r="BR191" s="448" t="str">
        <f>_xlfn.IFNA(VLOOKUP($BK191,Programma!$F$3:$M$1101,8,0),"")</f>
        <v/>
      </c>
      <c r="BS191" s="448" t="str">
        <f>_xlfn.IFNA(VLOOKUP($BK191,Programma!$F$3:$N$1101,9,0),"")</f>
        <v/>
      </c>
      <c r="BT191" s="448" t="str">
        <f>_xlfn.IFNA(VLOOKUP($BK191,Programma!$F$3:$O$1101,10,0),"")</f>
        <v/>
      </c>
      <c r="BU191" s="448" t="str">
        <f>_xlfn.IFNA(VLOOKUP($BK191,Programma!$F$3:$P$1101,11,0),"")</f>
        <v/>
      </c>
      <c r="BV191" s="448" t="str">
        <f>_xlfn.IFNA(VLOOKUP($BK191,Programma!$F$3:$Q$1101,12,0),"")</f>
        <v/>
      </c>
      <c r="BW191" s="448" t="str">
        <f>_xlfn.IFNA(VLOOKUP($BK191,Programma!$F$3:$R$1101,13,0),"")</f>
        <v/>
      </c>
      <c r="BX191" s="448" t="str">
        <f>_xlfn.IFNA(VLOOKUP($BK191,Programma!$F$3:$S$1101,14,0),"")</f>
        <v/>
      </c>
      <c r="BY191" s="448" t="str">
        <f>_xlfn.IFNA(VLOOKUP($BK191,Programma!$F$3:$T$1101,15,0),"")</f>
        <v/>
      </c>
      <c r="BZ191" s="448" t="str">
        <f>_xlfn.IFNA(VLOOKUP($BK191,Programma!$F$3:$U$1101,16,0),"")</f>
        <v/>
      </c>
      <c r="CA191" s="448" t="str">
        <f>_xlfn.IFNA(VLOOKUP($BK191,Programma!$F$3:$V$1101,17,0),"")</f>
        <v/>
      </c>
      <c r="CB191" s="448" t="str">
        <f>_xlfn.IFNA(VLOOKUP($BK191,Programma!$F$3:$W$1101,18,0),"")</f>
        <v/>
      </c>
      <c r="CC191" s="448" t="str">
        <f>_xlfn.IFNA(VLOOKUP($BK191,Programma!$F$3:$X$1101,19,0),"")</f>
        <v/>
      </c>
      <c r="CD191" s="448" t="str">
        <f>_xlfn.IFNA(VLOOKUP($BK191,Programma!$F$3:$Y$1101,20,0),"")</f>
        <v/>
      </c>
      <c r="CE191" s="327"/>
      <c r="CF191" s="327"/>
      <c r="CG191" s="327"/>
      <c r="CH191" s="327"/>
      <c r="CI191" s="327"/>
      <c r="CJ191" s="327"/>
      <c r="CK191" s="327"/>
      <c r="CL191" s="327"/>
      <c r="CM191" s="327"/>
      <c r="CN191" s="327"/>
      <c r="CO191" s="327"/>
      <c r="CP191" s="327"/>
      <c r="CQ191" s="327"/>
      <c r="CR191" s="327"/>
      <c r="CS191" s="327"/>
      <c r="CT191" s="327"/>
      <c r="CU191" s="327"/>
      <c r="CV191" s="327"/>
      <c r="CW191" s="327"/>
      <c r="CX191" s="327"/>
      <c r="CY191" s="327"/>
      <c r="CZ191" s="327"/>
      <c r="DA191" s="327"/>
      <c r="DB191" s="327"/>
      <c r="DC191" s="327"/>
      <c r="DD191" s="327"/>
      <c r="DE191" s="327"/>
      <c r="DF191" s="327"/>
      <c r="DG191" s="327"/>
      <c r="DH191" s="327"/>
      <c r="DI191" s="327"/>
      <c r="DJ191" s="327"/>
      <c r="DK191" s="327"/>
      <c r="DL191" s="327"/>
      <c r="DM191" s="327"/>
      <c r="DN191" s="327"/>
      <c r="DO191" s="327"/>
      <c r="DP191" s="327"/>
      <c r="DQ191" s="327"/>
      <c r="DR191" s="327"/>
      <c r="DS191" s="327"/>
      <c r="DT191" s="327"/>
      <c r="DU191" s="327"/>
      <c r="DV191" s="327"/>
      <c r="DW191" s="327"/>
      <c r="DX191" s="327"/>
      <c r="DY191" s="327"/>
      <c r="DZ191" s="327"/>
      <c r="EA191" s="327"/>
      <c r="EB191" s="327"/>
      <c r="EC191" s="327"/>
      <c r="ED191" s="327"/>
      <c r="EE191" s="327"/>
      <c r="EF191" s="327"/>
      <c r="EG191" s="327"/>
      <c r="EH191" s="327"/>
      <c r="EI191" s="327"/>
      <c r="EJ191" s="327"/>
      <c r="EK191" s="327"/>
      <c r="EL191" s="327"/>
      <c r="EM191" s="327"/>
      <c r="EN191" s="327"/>
      <c r="EO191" s="327"/>
      <c r="EP191" s="327"/>
      <c r="EQ191" s="327"/>
      <c r="ER191" s="327"/>
      <c r="ES191" s="327"/>
      <c r="ET191" s="327"/>
      <c r="EU191" s="327"/>
      <c r="EV191" s="327"/>
      <c r="EW191" s="327"/>
      <c r="EX191" s="327"/>
      <c r="EY191" s="327"/>
      <c r="EZ191" s="327"/>
      <c r="FA191" s="327"/>
      <c r="FB191" s="327"/>
      <c r="FC191" s="327"/>
      <c r="FD191" s="327"/>
      <c r="FE191" s="327"/>
      <c r="FF191" s="327"/>
      <c r="FG191" s="327"/>
      <c r="FH191" s="327"/>
      <c r="FI191" s="327"/>
      <c r="FJ191" s="327"/>
      <c r="FK191" s="327"/>
      <c r="FL191" s="327"/>
      <c r="FM191" s="327"/>
      <c r="FN191" s="327"/>
      <c r="FO191" s="327"/>
      <c r="FP191" s="327"/>
      <c r="FQ191" s="327"/>
      <c r="FR191" s="327"/>
      <c r="FS191" s="327"/>
      <c r="FT191" s="327"/>
      <c r="FU191" s="327"/>
      <c r="FV191" s="327"/>
      <c r="FW191" s="327"/>
      <c r="FX191" s="327"/>
      <c r="FY191" s="327"/>
      <c r="FZ191" s="327"/>
      <c r="GA191" s="327"/>
      <c r="GB191" s="327"/>
      <c r="GC191" s="327"/>
      <c r="GD191" s="327"/>
      <c r="GE191" s="327"/>
      <c r="GF191" s="327"/>
      <c r="GG191" s="327"/>
      <c r="GH191" s="327"/>
      <c r="GI191" s="327"/>
      <c r="GJ191" s="327"/>
      <c r="GK191" s="327"/>
      <c r="GL191" s="327"/>
      <c r="GM191" s="327"/>
      <c r="GN191" s="327"/>
      <c r="GO191" s="327"/>
      <c r="GP191" s="327"/>
      <c r="GQ191" s="327"/>
      <c r="GR191" s="327"/>
      <c r="GS191" s="327"/>
      <c r="GT191" s="327"/>
      <c r="GU191" s="327"/>
      <c r="GV191" s="327"/>
      <c r="GW191" s="327"/>
      <c r="GX191" s="327"/>
      <c r="GY191" s="327"/>
      <c r="GZ191" s="327"/>
      <c r="HA191" s="327"/>
      <c r="HB191" s="327"/>
      <c r="HC191" s="327"/>
      <c r="HD191" s="327"/>
      <c r="HE191" s="327"/>
      <c r="HF191" s="327"/>
      <c r="HG191" s="327"/>
      <c r="HH191" s="327"/>
      <c r="HI191" s="327"/>
      <c r="HJ191" s="327"/>
      <c r="HK191" s="327"/>
      <c r="HL191" s="327"/>
      <c r="HM191" s="327"/>
      <c r="HN191" s="327"/>
      <c r="HO191" s="327"/>
      <c r="HP191" s="327"/>
      <c r="HQ191" s="327"/>
      <c r="HR191" s="327"/>
      <c r="HS191" s="327"/>
    </row>
    <row r="192" spans="1:227" ht="15" customHeight="1">
      <c r="A192" s="330">
        <v>8</v>
      </c>
      <c r="B192" s="435" t="str">
        <f>VLOOKUP(Ruimtestaat[[#This Row],[Code]],Locaties[[Code]:[Locatie]],2,FALSE)</f>
        <v>IKC De Trinoom</v>
      </c>
      <c r="C192" s="435" t="str">
        <f>VLOOKUP(Ruimtestaat[[#This Row],[Code]],Locaties[[#All],[Code]:[Adres]],4,FALSE)</f>
        <v>Nieuwlandstraat 241</v>
      </c>
      <c r="D192" s="435" t="str">
        <f>VLOOKUP(Ruimtestaat[[#This Row],[Code]],Locaties[[#All],[Code]:[Postcode]],5,FALSE)</f>
        <v>2729 EB</v>
      </c>
      <c r="E192" s="435" t="str">
        <f>VLOOKUP(Ruimtestaat[[#This Row],[Code]],Locaties[#All],6,FALSE)</f>
        <v>Zoetermeer</v>
      </c>
      <c r="F192" s="434"/>
      <c r="G192" s="434" t="s">
        <v>1769</v>
      </c>
      <c r="H192" s="330" t="s">
        <v>1732</v>
      </c>
      <c r="I192" s="450" t="s">
        <v>1666</v>
      </c>
      <c r="J192" s="330">
        <v>2</v>
      </c>
      <c r="K192" s="450" t="str">
        <f>VLOOKUP(Ruimtestaat[[#This Row],[Ruimte code]],Ruimtegroepen[[#All],[Code]:[Ruimte omschrijving]],2,FALSE)</f>
        <v>Kantoren</v>
      </c>
      <c r="L192" s="434" t="s">
        <v>99</v>
      </c>
      <c r="M192" s="437" t="s">
        <v>36</v>
      </c>
      <c r="N192" s="439">
        <v>17</v>
      </c>
      <c r="O192" s="439"/>
      <c r="P192" s="439"/>
      <c r="Q192" s="439"/>
      <c r="R192" s="440" t="str">
        <f>VLOOKUP(Ruimtestaat[[#This Row],[Ruimte code]],Ruimtegroepen[],4,FALSE)</f>
        <v>Bu</v>
      </c>
      <c r="S192" s="434">
        <v>41</v>
      </c>
      <c r="T192" s="434" t="s">
        <v>17</v>
      </c>
      <c r="U192" s="434">
        <f>IF(S192&gt;0,IF(RIGHT(Ruimtestaat[[#This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92" s="434">
        <f>IF(U192&gt;0,VLOOKUP($J192,Ruimtegroepen[],3,FALSE)*VLOOKUP($L192,Vloersoorten[],3,FALSE)*VLOOKUP($T192,Frequenties[],3,FALSE)*VLOOKUP($A192,Locaties[],3,FALSE),0)</f>
        <v>0</v>
      </c>
      <c r="W192" s="434">
        <f>Ruimtestaat[[#This Row],[Uitvoeringen werkdagen]]*Ruimtestaat[[#This Row],[Oppervlak (netto)]]</f>
        <v>1394</v>
      </c>
      <c r="X192" s="441">
        <f>IF(V192&gt;0,Ruimtestaat[[#This Row],[Prest. (m2 /jaar) werkdagen]]/Ruimtestaat[[#This Row],[Norm (m2/uur) werkdagen]],0)</f>
        <v>0</v>
      </c>
      <c r="Y192" s="442">
        <f>Ruimtestaat[[#This Row],[Uitvoeringen werkdagen]]*Ruimtestaat[[#This Row],[Gedeeltelijk]]</f>
        <v>0</v>
      </c>
      <c r="Z192" s="443" t="e">
        <f>IF(U192&gt;0,Ruimtestaat[[#This Row],[Prest. (m2 / jaar) werkdagen gedeeld]]/Ruimtestaat[[#This Row],[Norm (m2/uur) werkdagen]],0)</f>
        <v>#DIV/0!</v>
      </c>
      <c r="AA192" s="441" t="e">
        <f>Ruimtestaat[[#This Row],[uren / jaar werkdagen gedeeld]]*Tariefsopbouw!$E$35</f>
        <v>#DIV/0!</v>
      </c>
      <c r="AB192" s="441">
        <f>Ruimtestaat[[#This Row],[Uitvoeringen werkdagen]]*Ruimtestaat[[#This Row],[BSO]]</f>
        <v>0</v>
      </c>
      <c r="AC192" s="443" t="e">
        <f>IF(U192&gt;0,Ruimtestaat[[#This Row],[Prest. (m2 / jaar) werkdagen BSO]]/Ruimtestaat[[#This Row],[Norm (m2/uur) werkdagen]],0)</f>
        <v>#DIV/0!</v>
      </c>
      <c r="AD192" s="443" t="e">
        <f>Ruimtestaat[[#This Row],[uren / jaar werkdagen BSO]]*Tariefsopbouw!$E$35</f>
        <v>#DIV/0!</v>
      </c>
      <c r="AE192" s="444">
        <f>Ruimtestaat[[#This Row],[uren / jaar werkdagen]]*Tariefsopbouw!$E$35</f>
        <v>0</v>
      </c>
      <c r="AF192" s="434"/>
      <c r="AG192" s="434">
        <f>IF(Ruimtestaat[[#This Row],[Frequentie weekend]]&gt;0,VALUE(LEFT(AF192,1))*S192,0)</f>
        <v>0</v>
      </c>
      <c r="AH192" s="445">
        <f>IF($AG192&gt;0,VLOOKUP($J192,Ruimtegroepen[],3,FALSE)*VLOOKUP($L192,Vloersoorten[],3,FALSE)*VLOOKUP($AF192,Frequenties[],3,FALSE)*VLOOKUP(Ruimtestaat[[#This Row],[Code]],Locaties[],3,FALSE),0)</f>
        <v>0</v>
      </c>
      <c r="AI192" s="445">
        <f>Ruimtestaat[[#This Row],[Uitvoeringen weekend]]*Ruimtestaat[[#This Row],[Oppervlak (netto)]]</f>
        <v>0</v>
      </c>
      <c r="AJ192" s="445">
        <f>IF(AH192&gt;0,Ruimtestaat[[#This Row],[Prest. (m2 /jaar) weekend]]/Ruimtestaat[[#This Row],[Norm (m2/uur) weekend]],0)</f>
        <v>0</v>
      </c>
      <c r="AK192" s="444">
        <f>Ruimtestaat[[#This Row],[uren / jaar weekend]]*Tariefsopbouw!$D$40</f>
        <v>0</v>
      </c>
      <c r="AL192" s="441">
        <f>Ruimtestaat[[#This Row],[Prest. (m2 /jaar) weekend]]+Ruimtestaat[[#This Row],[Prest. (m2 /jaar) werkdagen]]</f>
        <v>1394</v>
      </c>
      <c r="AM192" s="441">
        <f>Ruimtestaat[[#This Row],[uren / jaar weekend]]+Ruimtestaat[[#This Row],[uren / jaar werkdagen]]</f>
        <v>0</v>
      </c>
      <c r="AN192" s="446">
        <f>Ruimtestaat[[#This Row],[kosten / jaar weekend]]+Ruimtestaat[[#This Row],[kosten / jaar werkdagen]]</f>
        <v>0</v>
      </c>
      <c r="AO192" s="446"/>
      <c r="AP192" s="447" t="str">
        <f>IF(Ruimtestaat[[#This Row],[Frequentie werkdagen]]="","",_xlfn.CONCAT(Ruimtestaat[[#This Row],[Ruimte code]],"-",Ruimtestaat[[#This Row],[Frequentie werkdagen]]," ",Ruimtestaat[[#This Row],[Vloer code]]))</f>
        <v>2-2w T</v>
      </c>
      <c r="AQ192" s="448" t="str">
        <f>_xlfn.IFNA(VLOOKUP($AP192,Programma!$F$3:$G$1101,2,0),"")</f>
        <v>1w</v>
      </c>
      <c r="AR192" s="448" t="str">
        <f>_xlfn.IFNA(VLOOKUP($AP192,Programma!$F$3:$H$1101,3,0),"")</f>
        <v>1w</v>
      </c>
      <c r="AS192" s="448" t="str">
        <f>_xlfn.IFNA(VLOOKUP($AP192,Programma!$F$3:$I$1101,4,0),"")</f>
        <v>_</v>
      </c>
      <c r="AT192" s="448" t="str">
        <f>_xlfn.IFNA(VLOOKUP($AP192,Programma!$F$3:$J$1101,5,0),"")</f>
        <v>_</v>
      </c>
      <c r="AU192" s="448" t="str">
        <f>_xlfn.IFNA(VLOOKUP($AP192,Programma!$F$3:$K$1101,6,0),"")</f>
        <v>_</v>
      </c>
      <c r="AV192" s="448" t="str">
        <f>_xlfn.IFNA(VLOOKUP($AP192,Programma!$F$3:$L$1101,7,0),"")</f>
        <v>_</v>
      </c>
      <c r="AW192" s="448" t="str">
        <f>_xlfn.IFNA(VLOOKUP($AP192,Programma!$F$3:$M$1101,8,0),"")</f>
        <v>_</v>
      </c>
      <c r="AX192" s="448" t="str">
        <f>_xlfn.IFNA(VLOOKUP($AP192,Programma!$F$3:$N$1101,9,0),"")</f>
        <v>_</v>
      </c>
      <c r="AY192" s="448" t="str">
        <f>_xlfn.IFNA(VLOOKUP($AP192,Programma!$F$3:$O$1101,10,0),"")</f>
        <v>2w</v>
      </c>
      <c r="AZ192" s="448" t="str">
        <f>_xlfn.IFNA(VLOOKUP($AP192,Programma!$F$3:$P$1101,11,0),"")</f>
        <v>2w</v>
      </c>
      <c r="BA192" s="448" t="str">
        <f>_xlfn.IFNA(VLOOKUP($AP192,Programma!$F$3:$Q$1101,12,0),"")</f>
        <v>1w</v>
      </c>
      <c r="BB192" s="448" t="str">
        <f>_xlfn.IFNA(VLOOKUP($AP192,Programma!$F$3:$R$1101,13,0),"")</f>
        <v>1w</v>
      </c>
      <c r="BC192" s="448" t="str">
        <f>_xlfn.IFNA(VLOOKUP($AP192,Programma!$F$3:$S$1101,14,0),"")</f>
        <v>1m</v>
      </c>
      <c r="BD192" s="448" t="str">
        <f>_xlfn.IFNA(VLOOKUP($AP192,Programma!$F$3:$T$1101,15,0),"")</f>
        <v>2j</v>
      </c>
      <c r="BE192" s="448" t="str">
        <f>_xlfn.IFNA(VLOOKUP($AP192,Programma!$F$3:$U$1101,16,0),"")</f>
        <v>1j</v>
      </c>
      <c r="BF192" s="448" t="str">
        <f>_xlfn.IFNA(VLOOKUP($AP192,Programma!$F$3:$V$1101,17,0),"")</f>
        <v>_</v>
      </c>
      <c r="BG192" s="448" t="str">
        <f>_xlfn.IFNA(VLOOKUP($AP192,Programma!$F$3:$W$1101,18,0),"")</f>
        <v>_</v>
      </c>
      <c r="BH192" s="448" t="str">
        <f>_xlfn.IFNA(VLOOKUP($AP192,Programma!$F$3:$X$1101,19,0),"")</f>
        <v>_</v>
      </c>
      <c r="BI192" s="448" t="str">
        <f>_xlfn.IFNA(VLOOKUP($AP192,Programma!$F$3:$Y$1101,20,0),"")</f>
        <v>_</v>
      </c>
      <c r="BJ192" s="449"/>
      <c r="BK192" s="447" t="str">
        <f>IF(Ruimtestaat[[#This Row],[Frequentie weekend]]="","",_xlfn.CONCAT(Ruimtestaat[[#This Row],[Ruimte code]],"-",Ruimtestaat[[#This Row],[Frequentie weekend]]," ",Ruimtestaat[[#This Row],[Vloer code]]))</f>
        <v/>
      </c>
      <c r="BL192" s="448" t="str">
        <f>_xlfn.IFNA(VLOOKUP($BK192,Programma!$F$3:$G$1101,2,0),"")</f>
        <v/>
      </c>
      <c r="BM192" s="448" t="str">
        <f>_xlfn.IFNA(VLOOKUP($BK192,Programma!$F$3:$H$1101,3,0),"")</f>
        <v/>
      </c>
      <c r="BN192" s="448" t="str">
        <f>_xlfn.IFNA(VLOOKUP($BK192,Programma!$F$3:$I$1101,4,0),"")</f>
        <v/>
      </c>
      <c r="BO192" s="448" t="str">
        <f>_xlfn.IFNA(VLOOKUP($BK192,Programma!$F$3:$J$1101,5,0),"")</f>
        <v/>
      </c>
      <c r="BP192" s="448" t="str">
        <f>_xlfn.IFNA(VLOOKUP($BK192,Programma!$F$3:$K$1101,6,0),"")</f>
        <v/>
      </c>
      <c r="BQ192" s="448" t="str">
        <f>_xlfn.IFNA(VLOOKUP($BK192,Programma!$F$3:$L$1101,7,0),"")</f>
        <v/>
      </c>
      <c r="BR192" s="448" t="str">
        <f>_xlfn.IFNA(VLOOKUP($BK192,Programma!$F$3:$M$1101,8,0),"")</f>
        <v/>
      </c>
      <c r="BS192" s="448" t="str">
        <f>_xlfn.IFNA(VLOOKUP($BK192,Programma!$F$3:$N$1101,9,0),"")</f>
        <v/>
      </c>
      <c r="BT192" s="448" t="str">
        <f>_xlfn.IFNA(VLOOKUP($BK192,Programma!$F$3:$O$1101,10,0),"")</f>
        <v/>
      </c>
      <c r="BU192" s="448" t="str">
        <f>_xlfn.IFNA(VLOOKUP($BK192,Programma!$F$3:$P$1101,11,0),"")</f>
        <v/>
      </c>
      <c r="BV192" s="448" t="str">
        <f>_xlfn.IFNA(VLOOKUP($BK192,Programma!$F$3:$Q$1101,12,0),"")</f>
        <v/>
      </c>
      <c r="BW192" s="448" t="str">
        <f>_xlfn.IFNA(VLOOKUP($BK192,Programma!$F$3:$R$1101,13,0),"")</f>
        <v/>
      </c>
      <c r="BX192" s="448" t="str">
        <f>_xlfn.IFNA(VLOOKUP($BK192,Programma!$F$3:$S$1101,14,0),"")</f>
        <v/>
      </c>
      <c r="BY192" s="448" t="str">
        <f>_xlfn.IFNA(VLOOKUP($BK192,Programma!$F$3:$T$1101,15,0),"")</f>
        <v/>
      </c>
      <c r="BZ192" s="448" t="str">
        <f>_xlfn.IFNA(VLOOKUP($BK192,Programma!$F$3:$U$1101,16,0),"")</f>
        <v/>
      </c>
      <c r="CA192" s="448" t="str">
        <f>_xlfn.IFNA(VLOOKUP($BK192,Programma!$F$3:$V$1101,17,0),"")</f>
        <v/>
      </c>
      <c r="CB192" s="448" t="str">
        <f>_xlfn.IFNA(VLOOKUP($BK192,Programma!$F$3:$W$1101,18,0),"")</f>
        <v/>
      </c>
      <c r="CC192" s="448" t="str">
        <f>_xlfn.IFNA(VLOOKUP($BK192,Programma!$F$3:$X$1101,19,0),"")</f>
        <v/>
      </c>
      <c r="CD192" s="448" t="str">
        <f>_xlfn.IFNA(VLOOKUP($BK192,Programma!$F$3:$Y$1101,20,0),"")</f>
        <v/>
      </c>
      <c r="CE192" s="327"/>
      <c r="CF192" s="327"/>
      <c r="CG192" s="327"/>
      <c r="CH192" s="327"/>
      <c r="CI192" s="327"/>
      <c r="CJ192" s="327"/>
      <c r="CK192" s="327"/>
      <c r="CL192" s="327"/>
      <c r="CM192" s="327"/>
      <c r="CN192" s="327"/>
      <c r="CO192" s="327"/>
      <c r="CP192" s="327"/>
      <c r="CQ192" s="327"/>
      <c r="CR192" s="327"/>
      <c r="CS192" s="327"/>
      <c r="CT192" s="327"/>
      <c r="CU192" s="327"/>
      <c r="CV192" s="327"/>
      <c r="CW192" s="327"/>
      <c r="CX192" s="327"/>
      <c r="CY192" s="327"/>
      <c r="CZ192" s="327"/>
      <c r="DA192" s="327"/>
      <c r="DB192" s="327"/>
      <c r="DC192" s="327"/>
      <c r="DD192" s="327"/>
      <c r="DE192" s="327"/>
      <c r="DF192" s="327"/>
      <c r="DG192" s="327"/>
      <c r="DH192" s="327"/>
      <c r="DI192" s="327"/>
      <c r="DJ192" s="327"/>
      <c r="DK192" s="327"/>
      <c r="DL192" s="327"/>
      <c r="DM192" s="327"/>
      <c r="DN192" s="327"/>
      <c r="DO192" s="327"/>
      <c r="DP192" s="327"/>
      <c r="DQ192" s="327"/>
      <c r="DR192" s="327"/>
      <c r="DS192" s="327"/>
      <c r="DT192" s="327"/>
      <c r="DU192" s="327"/>
      <c r="DV192" s="327"/>
      <c r="DW192" s="327"/>
      <c r="DX192" s="327"/>
      <c r="DY192" s="327"/>
      <c r="DZ192" s="327"/>
      <c r="EA192" s="327"/>
      <c r="EB192" s="327"/>
      <c r="EC192" s="327"/>
      <c r="ED192" s="327"/>
      <c r="EE192" s="327"/>
      <c r="EF192" s="327"/>
      <c r="EG192" s="327"/>
      <c r="EH192" s="327"/>
      <c r="EI192" s="327"/>
      <c r="EJ192" s="327"/>
      <c r="EK192" s="327"/>
      <c r="EL192" s="327"/>
      <c r="EM192" s="327"/>
      <c r="EN192" s="327"/>
      <c r="EO192" s="327"/>
      <c r="EP192" s="327"/>
      <c r="EQ192" s="327"/>
      <c r="ER192" s="327"/>
      <c r="ES192" s="327"/>
      <c r="ET192" s="327"/>
      <c r="EU192" s="327"/>
      <c r="EV192" s="327"/>
      <c r="EW192" s="327"/>
      <c r="EX192" s="327"/>
      <c r="EY192" s="327"/>
      <c r="EZ192" s="327"/>
      <c r="FA192" s="327"/>
      <c r="FB192" s="327"/>
      <c r="FC192" s="327"/>
      <c r="FD192" s="327"/>
      <c r="FE192" s="327"/>
      <c r="FF192" s="327"/>
      <c r="FG192" s="327"/>
      <c r="FH192" s="327"/>
      <c r="FI192" s="327"/>
      <c r="FJ192" s="327"/>
      <c r="FK192" s="327"/>
      <c r="FL192" s="327"/>
      <c r="FM192" s="327"/>
      <c r="FN192" s="327"/>
      <c r="FO192" s="327"/>
      <c r="FP192" s="327"/>
      <c r="FQ192" s="327"/>
      <c r="FR192" s="327"/>
      <c r="FS192" s="327"/>
      <c r="FT192" s="327"/>
      <c r="FU192" s="327"/>
      <c r="FV192" s="327"/>
      <c r="FW192" s="327"/>
      <c r="FX192" s="327"/>
      <c r="FY192" s="327"/>
      <c r="FZ192" s="327"/>
      <c r="GA192" s="327"/>
      <c r="GB192" s="327"/>
      <c r="GC192" s="327"/>
      <c r="GD192" s="327"/>
      <c r="GE192" s="327"/>
      <c r="GF192" s="327"/>
      <c r="GG192" s="327"/>
      <c r="GH192" s="327"/>
      <c r="GI192" s="327"/>
      <c r="GJ192" s="327"/>
      <c r="GK192" s="327"/>
      <c r="GL192" s="327"/>
      <c r="GM192" s="327"/>
      <c r="GN192" s="327"/>
      <c r="GO192" s="327"/>
      <c r="GP192" s="327"/>
      <c r="GQ192" s="327"/>
      <c r="GR192" s="327"/>
      <c r="GS192" s="327"/>
      <c r="GT192" s="327"/>
      <c r="GU192" s="327"/>
      <c r="GV192" s="327"/>
      <c r="GW192" s="327"/>
      <c r="GX192" s="327"/>
      <c r="GY192" s="327"/>
      <c r="GZ192" s="327"/>
      <c r="HA192" s="327"/>
      <c r="HB192" s="327"/>
      <c r="HC192" s="327"/>
      <c r="HD192" s="327"/>
      <c r="HE192" s="327"/>
      <c r="HF192" s="327"/>
      <c r="HG192" s="327"/>
      <c r="HH192" s="327"/>
      <c r="HI192" s="327"/>
      <c r="HJ192" s="327"/>
      <c r="HK192" s="327"/>
      <c r="HL192" s="327"/>
      <c r="HM192" s="327"/>
      <c r="HN192" s="327"/>
      <c r="HO192" s="327"/>
      <c r="HP192" s="327"/>
      <c r="HQ192" s="327"/>
      <c r="HR192" s="327"/>
      <c r="HS192" s="327"/>
    </row>
    <row r="193" spans="1:227" ht="15" customHeight="1">
      <c r="A193" s="330">
        <v>8</v>
      </c>
      <c r="B193" s="435" t="str">
        <f>VLOOKUP(Ruimtestaat[[#This Row],[Code]],Locaties[[Code]:[Locatie]],2,FALSE)</f>
        <v>IKC De Trinoom</v>
      </c>
      <c r="C193" s="435" t="str">
        <f>VLOOKUP(Ruimtestaat[[#This Row],[Code]],Locaties[[#All],[Code]:[Adres]],4,FALSE)</f>
        <v>Nieuwlandstraat 241</v>
      </c>
      <c r="D193" s="435" t="str">
        <f>VLOOKUP(Ruimtestaat[[#This Row],[Code]],Locaties[[#All],[Code]:[Postcode]],5,FALSE)</f>
        <v>2729 EB</v>
      </c>
      <c r="E193" s="435" t="str">
        <f>VLOOKUP(Ruimtestaat[[#This Row],[Code]],Locaties[#All],6,FALSE)</f>
        <v>Zoetermeer</v>
      </c>
      <c r="F193" s="434"/>
      <c r="G193" s="434" t="s">
        <v>1769</v>
      </c>
      <c r="H193" s="330" t="s">
        <v>1734</v>
      </c>
      <c r="I193" s="450" t="s">
        <v>1679</v>
      </c>
      <c r="J193" s="330">
        <v>16</v>
      </c>
      <c r="K193" s="450" t="str">
        <f>VLOOKUP(Ruimtestaat[[#This Row],[Ruimte code]],Ruimtegroepen[[#All],[Code]:[Ruimte omschrijving]],2,FALSE)</f>
        <v>Leslokalen</v>
      </c>
      <c r="L193" s="434" t="s">
        <v>100</v>
      </c>
      <c r="M193" s="437" t="s">
        <v>1759</v>
      </c>
      <c r="N193" s="439">
        <v>54</v>
      </c>
      <c r="O193" s="439"/>
      <c r="P193" s="439"/>
      <c r="Q193" s="439"/>
      <c r="R193" s="440" t="str">
        <f>VLOOKUP(Ruimtestaat[[#This Row],[Ruimte code]],Ruimtegroepen[],4,FALSE)</f>
        <v>Le</v>
      </c>
      <c r="S193" s="434">
        <v>40</v>
      </c>
      <c r="T193" s="434" t="s">
        <v>2</v>
      </c>
      <c r="U193" s="434">
        <f>IF(S193&gt;0,IF(RIGHT(Ruimtestaat[[#This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3" s="434">
        <f>IF(U193&gt;0,VLOOKUP($J193,Ruimtegroepen[],3,FALSE)*VLOOKUP($L193,Vloersoorten[],3,FALSE)*VLOOKUP($T193,Frequenties[],3,FALSE)*VLOOKUP($A193,Locaties[],3,FALSE),0)</f>
        <v>0</v>
      </c>
      <c r="W193" s="434">
        <f>Ruimtestaat[[#This Row],[Uitvoeringen werkdagen]]*Ruimtestaat[[#This Row],[Oppervlak (netto)]]</f>
        <v>10800</v>
      </c>
      <c r="X193" s="441">
        <f>IF(V193&gt;0,Ruimtestaat[[#This Row],[Prest. (m2 /jaar) werkdagen]]/Ruimtestaat[[#This Row],[Norm (m2/uur) werkdagen]],0)</f>
        <v>0</v>
      </c>
      <c r="Y193" s="442">
        <f>Ruimtestaat[[#This Row],[Uitvoeringen werkdagen]]*Ruimtestaat[[#This Row],[Gedeeltelijk]]</f>
        <v>0</v>
      </c>
      <c r="Z193" s="443" t="e">
        <f>IF(U193&gt;0,Ruimtestaat[[#This Row],[Prest. (m2 / jaar) werkdagen gedeeld]]/Ruimtestaat[[#This Row],[Norm (m2/uur) werkdagen]],0)</f>
        <v>#DIV/0!</v>
      </c>
      <c r="AA193" s="441" t="e">
        <f>Ruimtestaat[[#This Row],[uren / jaar werkdagen gedeeld]]*Tariefsopbouw!$E$35</f>
        <v>#DIV/0!</v>
      </c>
      <c r="AB193" s="441">
        <f>Ruimtestaat[[#This Row],[Uitvoeringen werkdagen]]*Ruimtestaat[[#This Row],[BSO]]</f>
        <v>0</v>
      </c>
      <c r="AC193" s="443" t="e">
        <f>IF(U193&gt;0,Ruimtestaat[[#This Row],[Prest. (m2 / jaar) werkdagen BSO]]/Ruimtestaat[[#This Row],[Norm (m2/uur) werkdagen]],0)</f>
        <v>#DIV/0!</v>
      </c>
      <c r="AD193" s="443" t="e">
        <f>Ruimtestaat[[#This Row],[uren / jaar werkdagen BSO]]*Tariefsopbouw!$E$35</f>
        <v>#DIV/0!</v>
      </c>
      <c r="AE193" s="444">
        <f>Ruimtestaat[[#This Row],[uren / jaar werkdagen]]*Tariefsopbouw!$E$35</f>
        <v>0</v>
      </c>
      <c r="AF193" s="434"/>
      <c r="AG193" s="434">
        <f>IF(Ruimtestaat[[#This Row],[Frequentie weekend]]&gt;0,VALUE(LEFT(AF193,1))*S193,0)</f>
        <v>0</v>
      </c>
      <c r="AH193" s="445">
        <f>IF($AG193&gt;0,VLOOKUP($J193,Ruimtegroepen[],3,FALSE)*VLOOKUP($L193,Vloersoorten[],3,FALSE)*VLOOKUP($AF193,Frequenties[],3,FALSE)*VLOOKUP(Ruimtestaat[[#This Row],[Code]],Locaties[],3,FALSE),0)</f>
        <v>0</v>
      </c>
      <c r="AI193" s="445">
        <f>Ruimtestaat[[#This Row],[Uitvoeringen weekend]]*Ruimtestaat[[#This Row],[Oppervlak (netto)]]</f>
        <v>0</v>
      </c>
      <c r="AJ193" s="445">
        <f>IF(AH193&gt;0,Ruimtestaat[[#This Row],[Prest. (m2 /jaar) weekend]]/Ruimtestaat[[#This Row],[Norm (m2/uur) weekend]],0)</f>
        <v>0</v>
      </c>
      <c r="AK193" s="444">
        <f>Ruimtestaat[[#This Row],[uren / jaar weekend]]*Tariefsopbouw!$D$40</f>
        <v>0</v>
      </c>
      <c r="AL193" s="441">
        <f>Ruimtestaat[[#This Row],[Prest. (m2 /jaar) weekend]]+Ruimtestaat[[#This Row],[Prest. (m2 /jaar) werkdagen]]</f>
        <v>10800</v>
      </c>
      <c r="AM193" s="441">
        <f>Ruimtestaat[[#This Row],[uren / jaar weekend]]+Ruimtestaat[[#This Row],[uren / jaar werkdagen]]</f>
        <v>0</v>
      </c>
      <c r="AN193" s="446">
        <f>Ruimtestaat[[#This Row],[kosten / jaar weekend]]+Ruimtestaat[[#This Row],[kosten / jaar werkdagen]]</f>
        <v>0</v>
      </c>
      <c r="AO193" s="446"/>
      <c r="AP193" s="447" t="str">
        <f>IF(Ruimtestaat[[#This Row],[Frequentie werkdagen]]="","",_xlfn.CONCAT(Ruimtestaat[[#This Row],[Ruimte code]],"-",Ruimtestaat[[#This Row],[Frequentie werkdagen]]," ",Ruimtestaat[[#This Row],[Vloer code]]))</f>
        <v>16-5w L</v>
      </c>
      <c r="AQ193" s="448" t="str">
        <f>_xlfn.IFNA(VLOOKUP($AP193,Programma!$F$3:$G$1101,2,0),"")</f>
        <v>_</v>
      </c>
      <c r="AR193" s="448" t="str">
        <f>_xlfn.IFNA(VLOOKUP($AP193,Programma!$F$3:$H$1101,3,0),"")</f>
        <v>_</v>
      </c>
      <c r="AS193" s="448" t="str">
        <f>_xlfn.IFNA(VLOOKUP($AP193,Programma!$F$3:$I$1101,4,0),"")</f>
        <v>4w</v>
      </c>
      <c r="AT193" s="448" t="str">
        <f>_xlfn.IFNA(VLOOKUP($AP193,Programma!$F$3:$J$1101,5,0),"")</f>
        <v>1w</v>
      </c>
      <c r="AU193" s="448" t="str">
        <f>_xlfn.IFNA(VLOOKUP($AP193,Programma!$F$3:$K$1101,6,0),"")</f>
        <v>_</v>
      </c>
      <c r="AV193" s="448" t="str">
        <f>_xlfn.IFNA(VLOOKUP($AP193,Programma!$F$3:$L$1101,7,0),"")</f>
        <v>_</v>
      </c>
      <c r="AW193" s="448" t="str">
        <f>_xlfn.IFNA(VLOOKUP($AP193,Programma!$F$3:$M$1101,8,0),"")</f>
        <v>_</v>
      </c>
      <c r="AX193" s="448" t="str">
        <f>_xlfn.IFNA(VLOOKUP($AP193,Programma!$F$3:$N$1101,9,0),"")</f>
        <v>_</v>
      </c>
      <c r="AY193" s="448" t="str">
        <f>_xlfn.IFNA(VLOOKUP($AP193,Programma!$F$3:$O$1101,10,0),"")</f>
        <v>5w</v>
      </c>
      <c r="AZ193" s="448" t="str">
        <f>_xlfn.IFNA(VLOOKUP($AP193,Programma!$F$3:$P$1101,11,0),"")</f>
        <v>5w</v>
      </c>
      <c r="BA193" s="448" t="str">
        <f>_xlfn.IFNA(VLOOKUP($AP193,Programma!$F$3:$Q$1101,12,0),"")</f>
        <v>1w</v>
      </c>
      <c r="BB193" s="448" t="str">
        <f>_xlfn.IFNA(VLOOKUP($AP193,Programma!$F$3:$R$1101,13,0),"")</f>
        <v>1w</v>
      </c>
      <c r="BC193" s="448" t="str">
        <f>_xlfn.IFNA(VLOOKUP($AP193,Programma!$F$3:$S$1101,14,0),"")</f>
        <v>1m</v>
      </c>
      <c r="BD193" s="448" t="str">
        <f>_xlfn.IFNA(VLOOKUP($AP193,Programma!$F$3:$T$1101,15,0),"")</f>
        <v>2j</v>
      </c>
      <c r="BE193" s="448" t="str">
        <f>_xlfn.IFNA(VLOOKUP($AP193,Programma!$F$3:$U$1101,16,0),"")</f>
        <v>1j</v>
      </c>
      <c r="BF193" s="448" t="str">
        <f>_xlfn.IFNA(VLOOKUP($AP193,Programma!$F$3:$V$1101,17,0),"")</f>
        <v>_</v>
      </c>
      <c r="BG193" s="448" t="str">
        <f>_xlfn.IFNA(VLOOKUP($AP193,Programma!$F$3:$W$1101,18,0),"")</f>
        <v>_</v>
      </c>
      <c r="BH193" s="448" t="str">
        <f>_xlfn.IFNA(VLOOKUP($AP193,Programma!$F$3:$X$1101,19,0),"")</f>
        <v>_</v>
      </c>
      <c r="BI193" s="448" t="str">
        <f>_xlfn.IFNA(VLOOKUP($AP193,Programma!$F$3:$Y$1101,20,0),"")</f>
        <v>_</v>
      </c>
      <c r="BJ193" s="449"/>
      <c r="BK193" s="447" t="str">
        <f>IF(Ruimtestaat[[#This Row],[Frequentie weekend]]="","",_xlfn.CONCAT(Ruimtestaat[[#This Row],[Ruimte code]],"-",Ruimtestaat[[#This Row],[Frequentie weekend]]," ",Ruimtestaat[[#This Row],[Vloer code]]))</f>
        <v/>
      </c>
      <c r="BL193" s="448" t="str">
        <f>_xlfn.IFNA(VLOOKUP($BK193,Programma!$F$3:$G$1101,2,0),"")</f>
        <v/>
      </c>
      <c r="BM193" s="448" t="str">
        <f>_xlfn.IFNA(VLOOKUP($BK193,Programma!$F$3:$H$1101,3,0),"")</f>
        <v/>
      </c>
      <c r="BN193" s="448" t="str">
        <f>_xlfn.IFNA(VLOOKUP($BK193,Programma!$F$3:$I$1101,4,0),"")</f>
        <v/>
      </c>
      <c r="BO193" s="448" t="str">
        <f>_xlfn.IFNA(VLOOKUP($BK193,Programma!$F$3:$J$1101,5,0),"")</f>
        <v/>
      </c>
      <c r="BP193" s="448" t="str">
        <f>_xlfn.IFNA(VLOOKUP($BK193,Programma!$F$3:$K$1101,6,0),"")</f>
        <v/>
      </c>
      <c r="BQ193" s="448" t="str">
        <f>_xlfn.IFNA(VLOOKUP($BK193,Programma!$F$3:$L$1101,7,0),"")</f>
        <v/>
      </c>
      <c r="BR193" s="448" t="str">
        <f>_xlfn.IFNA(VLOOKUP($BK193,Programma!$F$3:$M$1101,8,0),"")</f>
        <v/>
      </c>
      <c r="BS193" s="448" t="str">
        <f>_xlfn.IFNA(VLOOKUP($BK193,Programma!$F$3:$N$1101,9,0),"")</f>
        <v/>
      </c>
      <c r="BT193" s="448" t="str">
        <f>_xlfn.IFNA(VLOOKUP($BK193,Programma!$F$3:$O$1101,10,0),"")</f>
        <v/>
      </c>
      <c r="BU193" s="448" t="str">
        <f>_xlfn.IFNA(VLOOKUP($BK193,Programma!$F$3:$P$1101,11,0),"")</f>
        <v/>
      </c>
      <c r="BV193" s="448" t="str">
        <f>_xlfn.IFNA(VLOOKUP($BK193,Programma!$F$3:$Q$1101,12,0),"")</f>
        <v/>
      </c>
      <c r="BW193" s="448" t="str">
        <f>_xlfn.IFNA(VLOOKUP($BK193,Programma!$F$3:$R$1101,13,0),"")</f>
        <v/>
      </c>
      <c r="BX193" s="448" t="str">
        <f>_xlfn.IFNA(VLOOKUP($BK193,Programma!$F$3:$S$1101,14,0),"")</f>
        <v/>
      </c>
      <c r="BY193" s="448" t="str">
        <f>_xlfn.IFNA(VLOOKUP($BK193,Programma!$F$3:$T$1101,15,0),"")</f>
        <v/>
      </c>
      <c r="BZ193" s="448" t="str">
        <f>_xlfn.IFNA(VLOOKUP($BK193,Programma!$F$3:$U$1101,16,0),"")</f>
        <v/>
      </c>
      <c r="CA193" s="448" t="str">
        <f>_xlfn.IFNA(VLOOKUP($BK193,Programma!$F$3:$V$1101,17,0),"")</f>
        <v/>
      </c>
      <c r="CB193" s="448" t="str">
        <f>_xlfn.IFNA(VLOOKUP($BK193,Programma!$F$3:$W$1101,18,0),"")</f>
        <v/>
      </c>
      <c r="CC193" s="448" t="str">
        <f>_xlfn.IFNA(VLOOKUP($BK193,Programma!$F$3:$X$1101,19,0),"")</f>
        <v/>
      </c>
      <c r="CD193" s="448" t="str">
        <f>_xlfn.IFNA(VLOOKUP($BK193,Programma!$F$3:$Y$1101,20,0),"")</f>
        <v/>
      </c>
      <c r="CE193" s="327"/>
      <c r="CF193" s="327"/>
      <c r="CG193" s="327"/>
      <c r="CH193" s="327"/>
      <c r="CI193" s="327"/>
      <c r="CJ193" s="327"/>
      <c r="CK193" s="327"/>
      <c r="CL193" s="327"/>
      <c r="CM193" s="327"/>
      <c r="CN193" s="327"/>
      <c r="CO193" s="327"/>
      <c r="CP193" s="327"/>
      <c r="CQ193" s="327"/>
      <c r="CR193" s="327"/>
      <c r="CS193" s="327"/>
      <c r="CT193" s="327"/>
      <c r="CU193" s="327"/>
      <c r="CV193" s="327"/>
      <c r="CW193" s="327"/>
      <c r="CX193" s="327"/>
      <c r="CY193" s="327"/>
      <c r="CZ193" s="327"/>
      <c r="DA193" s="327"/>
      <c r="DB193" s="327"/>
      <c r="DC193" s="327"/>
      <c r="DD193" s="327"/>
      <c r="DE193" s="327"/>
      <c r="DF193" s="327"/>
      <c r="DG193" s="327"/>
      <c r="DH193" s="327"/>
      <c r="DI193" s="327"/>
      <c r="DJ193" s="327"/>
      <c r="DK193" s="327"/>
      <c r="DL193" s="327"/>
      <c r="DM193" s="327"/>
      <c r="DN193" s="327"/>
      <c r="DO193" s="327"/>
      <c r="DP193" s="327"/>
      <c r="DQ193" s="327"/>
      <c r="DR193" s="327"/>
      <c r="DS193" s="327"/>
      <c r="DT193" s="327"/>
      <c r="DU193" s="327"/>
      <c r="DV193" s="327"/>
      <c r="DW193" s="327"/>
      <c r="DX193" s="327"/>
      <c r="DY193" s="327"/>
      <c r="DZ193" s="327"/>
      <c r="EA193" s="327"/>
      <c r="EB193" s="327"/>
      <c r="EC193" s="327"/>
      <c r="ED193" s="327"/>
      <c r="EE193" s="327"/>
      <c r="EF193" s="327"/>
      <c r="EG193" s="327"/>
      <c r="EH193" s="327"/>
      <c r="EI193" s="327"/>
      <c r="EJ193" s="327"/>
      <c r="EK193" s="327"/>
      <c r="EL193" s="327"/>
      <c r="EM193" s="327"/>
      <c r="EN193" s="327"/>
      <c r="EO193" s="327"/>
      <c r="EP193" s="327"/>
      <c r="EQ193" s="327"/>
      <c r="ER193" s="327"/>
      <c r="ES193" s="327"/>
      <c r="ET193" s="327"/>
      <c r="EU193" s="327"/>
      <c r="EV193" s="327"/>
      <c r="EW193" s="327"/>
      <c r="EX193" s="327"/>
      <c r="EY193" s="327"/>
      <c r="EZ193" s="327"/>
      <c r="FA193" s="327"/>
      <c r="FB193" s="327"/>
      <c r="FC193" s="327"/>
      <c r="FD193" s="327"/>
      <c r="FE193" s="327"/>
      <c r="FF193" s="327"/>
      <c r="FG193" s="327"/>
      <c r="FH193" s="327"/>
      <c r="FI193" s="327"/>
      <c r="FJ193" s="327"/>
      <c r="FK193" s="327"/>
      <c r="FL193" s="327"/>
      <c r="FM193" s="327"/>
      <c r="FN193" s="327"/>
      <c r="FO193" s="327"/>
      <c r="FP193" s="327"/>
      <c r="FQ193" s="327"/>
      <c r="FR193" s="327"/>
      <c r="FS193" s="327"/>
      <c r="FT193" s="327"/>
      <c r="FU193" s="327"/>
      <c r="FV193" s="327"/>
      <c r="FW193" s="327"/>
      <c r="FX193" s="327"/>
      <c r="FY193" s="327"/>
      <c r="FZ193" s="327"/>
      <c r="GA193" s="327"/>
      <c r="GB193" s="327"/>
      <c r="GC193" s="327"/>
      <c r="GD193" s="327"/>
      <c r="GE193" s="327"/>
      <c r="GF193" s="327"/>
      <c r="GG193" s="327"/>
      <c r="GH193" s="327"/>
      <c r="GI193" s="327"/>
      <c r="GJ193" s="327"/>
      <c r="GK193" s="327"/>
      <c r="GL193" s="327"/>
      <c r="GM193" s="327"/>
      <c r="GN193" s="327"/>
      <c r="GO193" s="327"/>
      <c r="GP193" s="327"/>
      <c r="GQ193" s="327"/>
      <c r="GR193" s="327"/>
      <c r="GS193" s="327"/>
      <c r="GT193" s="327"/>
      <c r="GU193" s="327"/>
      <c r="GV193" s="327"/>
      <c r="GW193" s="327"/>
      <c r="GX193" s="327"/>
      <c r="GY193" s="327"/>
      <c r="GZ193" s="327"/>
      <c r="HA193" s="327"/>
      <c r="HB193" s="327"/>
      <c r="HC193" s="327"/>
      <c r="HD193" s="327"/>
      <c r="HE193" s="327"/>
      <c r="HF193" s="327"/>
      <c r="HG193" s="327"/>
      <c r="HH193" s="327"/>
      <c r="HI193" s="327"/>
      <c r="HJ193" s="327"/>
      <c r="HK193" s="327"/>
      <c r="HL193" s="327"/>
      <c r="HM193" s="327"/>
      <c r="HN193" s="327"/>
      <c r="HO193" s="327"/>
      <c r="HP193" s="327"/>
      <c r="HQ193" s="327"/>
      <c r="HR193" s="327"/>
      <c r="HS193" s="327"/>
    </row>
    <row r="194" spans="1:227" ht="15" customHeight="1">
      <c r="A194" s="330">
        <v>8</v>
      </c>
      <c r="B194" s="435" t="str">
        <f>VLOOKUP(Ruimtestaat[[#This Row],[Code]],Locaties[[Code]:[Locatie]],2,FALSE)</f>
        <v>IKC De Trinoom</v>
      </c>
      <c r="C194" s="435" t="str">
        <f>VLOOKUP(Ruimtestaat[[#This Row],[Code]],Locaties[[#All],[Code]:[Adres]],4,FALSE)</f>
        <v>Nieuwlandstraat 241</v>
      </c>
      <c r="D194" s="435" t="str">
        <f>VLOOKUP(Ruimtestaat[[#This Row],[Code]],Locaties[[#All],[Code]:[Postcode]],5,FALSE)</f>
        <v>2729 EB</v>
      </c>
      <c r="E194" s="435" t="str">
        <f>VLOOKUP(Ruimtestaat[[#This Row],[Code]],Locaties[#All],6,FALSE)</f>
        <v>Zoetermeer</v>
      </c>
      <c r="F194" s="434"/>
      <c r="G194" s="434" t="s">
        <v>1769</v>
      </c>
      <c r="H194" s="330" t="s">
        <v>1706</v>
      </c>
      <c r="I194" s="450" t="s">
        <v>1679</v>
      </c>
      <c r="J194" s="330">
        <v>16</v>
      </c>
      <c r="K194" s="450" t="str">
        <f>VLOOKUP(Ruimtestaat[[#This Row],[Ruimte code]],Ruimtegroepen[[#All],[Code]:[Ruimte omschrijving]],2,FALSE)</f>
        <v>Leslokalen</v>
      </c>
      <c r="L194" s="434" t="s">
        <v>100</v>
      </c>
      <c r="M194" s="437" t="s">
        <v>1759</v>
      </c>
      <c r="N194" s="439">
        <v>51</v>
      </c>
      <c r="O194" s="439"/>
      <c r="P194" s="439"/>
      <c r="Q194" s="439"/>
      <c r="R194" s="440" t="str">
        <f>VLOOKUP(Ruimtestaat[[#This Row],[Ruimte code]],Ruimtegroepen[],4,FALSE)</f>
        <v>Le</v>
      </c>
      <c r="S194" s="434">
        <v>40</v>
      </c>
      <c r="T194" s="434" t="s">
        <v>2</v>
      </c>
      <c r="U194" s="434">
        <f>IF(S194&gt;0,IF(RIGHT(Ruimtestaat[[#This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4" s="434">
        <f>IF(U194&gt;0,VLOOKUP($J194,Ruimtegroepen[],3,FALSE)*VLOOKUP($L194,Vloersoorten[],3,FALSE)*VLOOKUP($T194,Frequenties[],3,FALSE)*VLOOKUP($A194,Locaties[],3,FALSE),0)</f>
        <v>0</v>
      </c>
      <c r="W194" s="434">
        <f>Ruimtestaat[[#This Row],[Uitvoeringen werkdagen]]*Ruimtestaat[[#This Row],[Oppervlak (netto)]]</f>
        <v>10200</v>
      </c>
      <c r="X194" s="441">
        <f>IF(V194&gt;0,Ruimtestaat[[#This Row],[Prest. (m2 /jaar) werkdagen]]/Ruimtestaat[[#This Row],[Norm (m2/uur) werkdagen]],0)</f>
        <v>0</v>
      </c>
      <c r="Y194" s="442">
        <f>Ruimtestaat[[#This Row],[Uitvoeringen werkdagen]]*Ruimtestaat[[#This Row],[Gedeeltelijk]]</f>
        <v>0</v>
      </c>
      <c r="Z194" s="443" t="e">
        <f>IF(U194&gt;0,Ruimtestaat[[#This Row],[Prest. (m2 / jaar) werkdagen gedeeld]]/Ruimtestaat[[#This Row],[Norm (m2/uur) werkdagen]],0)</f>
        <v>#DIV/0!</v>
      </c>
      <c r="AA194" s="441" t="e">
        <f>Ruimtestaat[[#This Row],[uren / jaar werkdagen gedeeld]]*Tariefsopbouw!$E$35</f>
        <v>#DIV/0!</v>
      </c>
      <c r="AB194" s="441">
        <f>Ruimtestaat[[#This Row],[Uitvoeringen werkdagen]]*Ruimtestaat[[#This Row],[BSO]]</f>
        <v>0</v>
      </c>
      <c r="AC194" s="443" t="e">
        <f>IF(U194&gt;0,Ruimtestaat[[#This Row],[Prest. (m2 / jaar) werkdagen BSO]]/Ruimtestaat[[#This Row],[Norm (m2/uur) werkdagen]],0)</f>
        <v>#DIV/0!</v>
      </c>
      <c r="AD194" s="443" t="e">
        <f>Ruimtestaat[[#This Row],[uren / jaar werkdagen BSO]]*Tariefsopbouw!$E$35</f>
        <v>#DIV/0!</v>
      </c>
      <c r="AE194" s="444">
        <f>Ruimtestaat[[#This Row],[uren / jaar werkdagen]]*Tariefsopbouw!$E$35</f>
        <v>0</v>
      </c>
      <c r="AF194" s="434"/>
      <c r="AG194" s="434">
        <f>IF(Ruimtestaat[[#This Row],[Frequentie weekend]]&gt;0,VALUE(LEFT(AF194,1))*S194,0)</f>
        <v>0</v>
      </c>
      <c r="AH194" s="445">
        <f>IF($AG194&gt;0,VLOOKUP($J194,Ruimtegroepen[],3,FALSE)*VLOOKUP($L194,Vloersoorten[],3,FALSE)*VLOOKUP($AF194,Frequenties[],3,FALSE)*VLOOKUP(Ruimtestaat[[#This Row],[Code]],Locaties[],3,FALSE),0)</f>
        <v>0</v>
      </c>
      <c r="AI194" s="445">
        <f>Ruimtestaat[[#This Row],[Uitvoeringen weekend]]*Ruimtestaat[[#This Row],[Oppervlak (netto)]]</f>
        <v>0</v>
      </c>
      <c r="AJ194" s="445">
        <f>IF(AH194&gt;0,Ruimtestaat[[#This Row],[Prest. (m2 /jaar) weekend]]/Ruimtestaat[[#This Row],[Norm (m2/uur) weekend]],0)</f>
        <v>0</v>
      </c>
      <c r="AK194" s="444">
        <f>Ruimtestaat[[#This Row],[uren / jaar weekend]]*Tariefsopbouw!$D$40</f>
        <v>0</v>
      </c>
      <c r="AL194" s="441">
        <f>Ruimtestaat[[#This Row],[Prest. (m2 /jaar) weekend]]+Ruimtestaat[[#This Row],[Prest. (m2 /jaar) werkdagen]]</f>
        <v>10200</v>
      </c>
      <c r="AM194" s="441">
        <f>Ruimtestaat[[#This Row],[uren / jaar weekend]]+Ruimtestaat[[#This Row],[uren / jaar werkdagen]]</f>
        <v>0</v>
      </c>
      <c r="AN194" s="446">
        <f>Ruimtestaat[[#This Row],[kosten / jaar weekend]]+Ruimtestaat[[#This Row],[kosten / jaar werkdagen]]</f>
        <v>0</v>
      </c>
      <c r="AO194" s="446"/>
      <c r="AP194" s="447" t="str">
        <f>IF(Ruimtestaat[[#This Row],[Frequentie werkdagen]]="","",_xlfn.CONCAT(Ruimtestaat[[#This Row],[Ruimte code]],"-",Ruimtestaat[[#This Row],[Frequentie werkdagen]]," ",Ruimtestaat[[#This Row],[Vloer code]]))</f>
        <v>16-5w L</v>
      </c>
      <c r="AQ194" s="448" t="str">
        <f>_xlfn.IFNA(VLOOKUP($AP194,Programma!$F$3:$G$1101,2,0),"")</f>
        <v>_</v>
      </c>
      <c r="AR194" s="448" t="str">
        <f>_xlfn.IFNA(VLOOKUP($AP194,Programma!$F$3:$H$1101,3,0),"")</f>
        <v>_</v>
      </c>
      <c r="AS194" s="448" t="str">
        <f>_xlfn.IFNA(VLOOKUP($AP194,Programma!$F$3:$I$1101,4,0),"")</f>
        <v>4w</v>
      </c>
      <c r="AT194" s="448" t="str">
        <f>_xlfn.IFNA(VLOOKUP($AP194,Programma!$F$3:$J$1101,5,0),"")</f>
        <v>1w</v>
      </c>
      <c r="AU194" s="448" t="str">
        <f>_xlfn.IFNA(VLOOKUP($AP194,Programma!$F$3:$K$1101,6,0),"")</f>
        <v>_</v>
      </c>
      <c r="AV194" s="448" t="str">
        <f>_xlfn.IFNA(VLOOKUP($AP194,Programma!$F$3:$L$1101,7,0),"")</f>
        <v>_</v>
      </c>
      <c r="AW194" s="448" t="str">
        <f>_xlfn.IFNA(VLOOKUP($AP194,Programma!$F$3:$M$1101,8,0),"")</f>
        <v>_</v>
      </c>
      <c r="AX194" s="448" t="str">
        <f>_xlfn.IFNA(VLOOKUP($AP194,Programma!$F$3:$N$1101,9,0),"")</f>
        <v>_</v>
      </c>
      <c r="AY194" s="448" t="str">
        <f>_xlfn.IFNA(VLOOKUP($AP194,Programma!$F$3:$O$1101,10,0),"")</f>
        <v>5w</v>
      </c>
      <c r="AZ194" s="448" t="str">
        <f>_xlfn.IFNA(VLOOKUP($AP194,Programma!$F$3:$P$1101,11,0),"")</f>
        <v>5w</v>
      </c>
      <c r="BA194" s="448" t="str">
        <f>_xlfn.IFNA(VLOOKUP($AP194,Programma!$F$3:$Q$1101,12,0),"")</f>
        <v>1w</v>
      </c>
      <c r="BB194" s="448" t="str">
        <f>_xlfn.IFNA(VLOOKUP($AP194,Programma!$F$3:$R$1101,13,0),"")</f>
        <v>1w</v>
      </c>
      <c r="BC194" s="448" t="str">
        <f>_xlfn.IFNA(VLOOKUP($AP194,Programma!$F$3:$S$1101,14,0),"")</f>
        <v>1m</v>
      </c>
      <c r="BD194" s="448" t="str">
        <f>_xlfn.IFNA(VLOOKUP($AP194,Programma!$F$3:$T$1101,15,0),"")</f>
        <v>2j</v>
      </c>
      <c r="BE194" s="448" t="str">
        <f>_xlfn.IFNA(VLOOKUP($AP194,Programma!$F$3:$U$1101,16,0),"")</f>
        <v>1j</v>
      </c>
      <c r="BF194" s="448" t="str">
        <f>_xlfn.IFNA(VLOOKUP($AP194,Programma!$F$3:$V$1101,17,0),"")</f>
        <v>_</v>
      </c>
      <c r="BG194" s="448" t="str">
        <f>_xlfn.IFNA(VLOOKUP($AP194,Programma!$F$3:$W$1101,18,0),"")</f>
        <v>_</v>
      </c>
      <c r="BH194" s="448" t="str">
        <f>_xlfn.IFNA(VLOOKUP($AP194,Programma!$F$3:$X$1101,19,0),"")</f>
        <v>_</v>
      </c>
      <c r="BI194" s="448" t="str">
        <f>_xlfn.IFNA(VLOOKUP($AP194,Programma!$F$3:$Y$1101,20,0),"")</f>
        <v>_</v>
      </c>
      <c r="BJ194" s="449"/>
      <c r="BK194" s="447" t="str">
        <f>IF(Ruimtestaat[[#This Row],[Frequentie weekend]]="","",_xlfn.CONCAT(Ruimtestaat[[#This Row],[Ruimte code]],"-",Ruimtestaat[[#This Row],[Frequentie weekend]]," ",Ruimtestaat[[#This Row],[Vloer code]]))</f>
        <v/>
      </c>
      <c r="BL194" s="448" t="str">
        <f>_xlfn.IFNA(VLOOKUP($BK194,Programma!$F$3:$G$1101,2,0),"")</f>
        <v/>
      </c>
      <c r="BM194" s="448" t="str">
        <f>_xlfn.IFNA(VLOOKUP($BK194,Programma!$F$3:$H$1101,3,0),"")</f>
        <v/>
      </c>
      <c r="BN194" s="448" t="str">
        <f>_xlfn.IFNA(VLOOKUP($BK194,Programma!$F$3:$I$1101,4,0),"")</f>
        <v/>
      </c>
      <c r="BO194" s="448" t="str">
        <f>_xlfn.IFNA(VLOOKUP($BK194,Programma!$F$3:$J$1101,5,0),"")</f>
        <v/>
      </c>
      <c r="BP194" s="448" t="str">
        <f>_xlfn.IFNA(VLOOKUP($BK194,Programma!$F$3:$K$1101,6,0),"")</f>
        <v/>
      </c>
      <c r="BQ194" s="448" t="str">
        <f>_xlfn.IFNA(VLOOKUP($BK194,Programma!$F$3:$L$1101,7,0),"")</f>
        <v/>
      </c>
      <c r="BR194" s="448" t="str">
        <f>_xlfn.IFNA(VLOOKUP($BK194,Programma!$F$3:$M$1101,8,0),"")</f>
        <v/>
      </c>
      <c r="BS194" s="448" t="str">
        <f>_xlfn.IFNA(VLOOKUP($BK194,Programma!$F$3:$N$1101,9,0),"")</f>
        <v/>
      </c>
      <c r="BT194" s="448" t="str">
        <f>_xlfn.IFNA(VLOOKUP($BK194,Programma!$F$3:$O$1101,10,0),"")</f>
        <v/>
      </c>
      <c r="BU194" s="448" t="str">
        <f>_xlfn.IFNA(VLOOKUP($BK194,Programma!$F$3:$P$1101,11,0),"")</f>
        <v/>
      </c>
      <c r="BV194" s="448" t="str">
        <f>_xlfn.IFNA(VLOOKUP($BK194,Programma!$F$3:$Q$1101,12,0),"")</f>
        <v/>
      </c>
      <c r="BW194" s="448" t="str">
        <f>_xlfn.IFNA(VLOOKUP($BK194,Programma!$F$3:$R$1101,13,0),"")</f>
        <v/>
      </c>
      <c r="BX194" s="448" t="str">
        <f>_xlfn.IFNA(VLOOKUP($BK194,Programma!$F$3:$S$1101,14,0),"")</f>
        <v/>
      </c>
      <c r="BY194" s="448" t="str">
        <f>_xlfn.IFNA(VLOOKUP($BK194,Programma!$F$3:$T$1101,15,0),"")</f>
        <v/>
      </c>
      <c r="BZ194" s="448" t="str">
        <f>_xlfn.IFNA(VLOOKUP($BK194,Programma!$F$3:$U$1101,16,0),"")</f>
        <v/>
      </c>
      <c r="CA194" s="448" t="str">
        <f>_xlfn.IFNA(VLOOKUP($BK194,Programma!$F$3:$V$1101,17,0),"")</f>
        <v/>
      </c>
      <c r="CB194" s="448" t="str">
        <f>_xlfn.IFNA(VLOOKUP($BK194,Programma!$F$3:$W$1101,18,0),"")</f>
        <v/>
      </c>
      <c r="CC194" s="448" t="str">
        <f>_xlfn.IFNA(VLOOKUP($BK194,Programma!$F$3:$X$1101,19,0),"")</f>
        <v/>
      </c>
      <c r="CD194" s="448" t="str">
        <f>_xlfn.IFNA(VLOOKUP($BK194,Programma!$F$3:$Y$1101,20,0),"")</f>
        <v/>
      </c>
      <c r="CE194" s="327"/>
      <c r="CF194" s="327"/>
      <c r="CG194" s="327"/>
      <c r="CH194" s="327"/>
      <c r="CI194" s="327"/>
      <c r="CJ194" s="327"/>
      <c r="CK194" s="327"/>
      <c r="CL194" s="327"/>
      <c r="CM194" s="327"/>
      <c r="CN194" s="327"/>
      <c r="CO194" s="327"/>
      <c r="CP194" s="327"/>
      <c r="CQ194" s="327"/>
      <c r="CR194" s="327"/>
      <c r="CS194" s="327"/>
      <c r="CT194" s="327"/>
      <c r="CU194" s="327"/>
      <c r="CV194" s="327"/>
      <c r="CW194" s="327"/>
      <c r="CX194" s="327"/>
      <c r="CY194" s="327"/>
      <c r="CZ194" s="327"/>
      <c r="DA194" s="327"/>
      <c r="DB194" s="327"/>
      <c r="DC194" s="327"/>
      <c r="DD194" s="327"/>
      <c r="DE194" s="327"/>
      <c r="DF194" s="327"/>
      <c r="DG194" s="327"/>
      <c r="DH194" s="327"/>
      <c r="DI194" s="327"/>
      <c r="DJ194" s="327"/>
      <c r="DK194" s="327"/>
      <c r="DL194" s="327"/>
      <c r="DM194" s="327"/>
      <c r="DN194" s="327"/>
      <c r="DO194" s="327"/>
      <c r="DP194" s="327"/>
      <c r="DQ194" s="327"/>
      <c r="DR194" s="327"/>
      <c r="DS194" s="327"/>
      <c r="DT194" s="327"/>
      <c r="DU194" s="327"/>
      <c r="DV194" s="327"/>
      <c r="DW194" s="327"/>
      <c r="DX194" s="327"/>
      <c r="DY194" s="327"/>
      <c r="DZ194" s="327"/>
      <c r="EA194" s="327"/>
      <c r="EB194" s="327"/>
      <c r="EC194" s="327"/>
      <c r="ED194" s="327"/>
      <c r="EE194" s="327"/>
      <c r="EF194" s="327"/>
      <c r="EG194" s="327"/>
      <c r="EH194" s="327"/>
      <c r="EI194" s="327"/>
      <c r="EJ194" s="327"/>
      <c r="EK194" s="327"/>
      <c r="EL194" s="327"/>
      <c r="EM194" s="327"/>
      <c r="EN194" s="327"/>
      <c r="EO194" s="327"/>
      <c r="EP194" s="327"/>
      <c r="EQ194" s="327"/>
      <c r="ER194" s="327"/>
      <c r="ES194" s="327"/>
      <c r="ET194" s="327"/>
      <c r="EU194" s="327"/>
      <c r="EV194" s="327"/>
      <c r="EW194" s="327"/>
      <c r="EX194" s="327"/>
      <c r="EY194" s="327"/>
      <c r="EZ194" s="327"/>
      <c r="FA194" s="327"/>
      <c r="FB194" s="327"/>
      <c r="FC194" s="327"/>
      <c r="FD194" s="327"/>
      <c r="FE194" s="327"/>
      <c r="FF194" s="327"/>
      <c r="FG194" s="327"/>
      <c r="FH194" s="327"/>
      <c r="FI194" s="327"/>
      <c r="FJ194" s="327"/>
      <c r="FK194" s="327"/>
      <c r="FL194" s="327"/>
      <c r="FM194" s="327"/>
      <c r="FN194" s="327"/>
      <c r="FO194" s="327"/>
      <c r="FP194" s="327"/>
      <c r="FQ194" s="327"/>
      <c r="FR194" s="327"/>
      <c r="FS194" s="327"/>
      <c r="FT194" s="327"/>
      <c r="FU194" s="327"/>
      <c r="FV194" s="327"/>
      <c r="FW194" s="327"/>
      <c r="FX194" s="327"/>
      <c r="FY194" s="327"/>
      <c r="FZ194" s="327"/>
      <c r="GA194" s="327"/>
      <c r="GB194" s="327"/>
      <c r="GC194" s="327"/>
      <c r="GD194" s="327"/>
      <c r="GE194" s="327"/>
      <c r="GF194" s="327"/>
      <c r="GG194" s="327"/>
      <c r="GH194" s="327"/>
      <c r="GI194" s="327"/>
      <c r="GJ194" s="327"/>
      <c r="GK194" s="327"/>
      <c r="GL194" s="327"/>
      <c r="GM194" s="327"/>
      <c r="GN194" s="327"/>
      <c r="GO194" s="327"/>
      <c r="GP194" s="327"/>
      <c r="GQ194" s="327"/>
      <c r="GR194" s="327"/>
      <c r="GS194" s="327"/>
      <c r="GT194" s="327"/>
      <c r="GU194" s="327"/>
      <c r="GV194" s="327"/>
      <c r="GW194" s="327"/>
      <c r="GX194" s="327"/>
      <c r="GY194" s="327"/>
      <c r="GZ194" s="327"/>
      <c r="HA194" s="327"/>
      <c r="HB194" s="327"/>
      <c r="HC194" s="327"/>
      <c r="HD194" s="327"/>
      <c r="HE194" s="327"/>
      <c r="HF194" s="327"/>
      <c r="HG194" s="327"/>
      <c r="HH194" s="327"/>
      <c r="HI194" s="327"/>
      <c r="HJ194" s="327"/>
      <c r="HK194" s="327"/>
      <c r="HL194" s="327"/>
      <c r="HM194" s="327"/>
      <c r="HN194" s="327"/>
      <c r="HO194" s="327"/>
      <c r="HP194" s="327"/>
      <c r="HQ194" s="327"/>
      <c r="HR194" s="327"/>
      <c r="HS194" s="327"/>
    </row>
    <row r="195" spans="1:227" ht="15" customHeight="1">
      <c r="A195" s="330">
        <v>8</v>
      </c>
      <c r="B195" s="435" t="str">
        <f>VLOOKUP(Ruimtestaat[[#This Row],[Code]],Locaties[[Code]:[Locatie]],2,FALSE)</f>
        <v>IKC De Trinoom</v>
      </c>
      <c r="C195" s="435" t="str">
        <f>VLOOKUP(Ruimtestaat[[#This Row],[Code]],Locaties[[#All],[Code]:[Adres]],4,FALSE)</f>
        <v>Nieuwlandstraat 241</v>
      </c>
      <c r="D195" s="435" t="str">
        <f>VLOOKUP(Ruimtestaat[[#This Row],[Code]],Locaties[[#All],[Code]:[Postcode]],5,FALSE)</f>
        <v>2729 EB</v>
      </c>
      <c r="E195" s="435" t="str">
        <f>VLOOKUP(Ruimtestaat[[#This Row],[Code]],Locaties[#All],6,FALSE)</f>
        <v>Zoetermeer</v>
      </c>
      <c r="F195" s="434"/>
      <c r="G195" s="434" t="s">
        <v>1769</v>
      </c>
      <c r="H195" s="330" t="s">
        <v>1748</v>
      </c>
      <c r="I195" s="450" t="s">
        <v>1679</v>
      </c>
      <c r="J195" s="434">
        <v>16</v>
      </c>
      <c r="K195" s="450" t="str">
        <f>VLOOKUP(Ruimtestaat[[#This Row],[Ruimte code]],Ruimtegroepen[[#All],[Code]:[Ruimte omschrijving]],2,FALSE)</f>
        <v>Leslokalen</v>
      </c>
      <c r="L195" s="434" t="s">
        <v>100</v>
      </c>
      <c r="M195" s="437" t="s">
        <v>1759</v>
      </c>
      <c r="N195" s="439">
        <v>54</v>
      </c>
      <c r="O195" s="439"/>
      <c r="P195" s="439"/>
      <c r="Q195" s="439"/>
      <c r="R195" s="440" t="str">
        <f>VLOOKUP(Ruimtestaat[[#This Row],[Ruimte code]],Ruimtegroepen[],4,FALSE)</f>
        <v>Le</v>
      </c>
      <c r="S195" s="434">
        <v>40</v>
      </c>
      <c r="T195" s="434" t="s">
        <v>2</v>
      </c>
      <c r="U195" s="434">
        <f>IF(S195&gt;0,IF(RIGHT(Ruimtestaat[[#This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5" s="434">
        <f>IF(U195&gt;0,VLOOKUP($J195,Ruimtegroepen[],3,FALSE)*VLOOKUP($L195,Vloersoorten[],3,FALSE)*VLOOKUP($T195,Frequenties[],3,FALSE)*VLOOKUP($A195,Locaties[],3,FALSE),0)</f>
        <v>0</v>
      </c>
      <c r="W195" s="434">
        <f>Ruimtestaat[[#This Row],[Uitvoeringen werkdagen]]*Ruimtestaat[[#This Row],[Oppervlak (netto)]]</f>
        <v>10800</v>
      </c>
      <c r="X195" s="441">
        <f>IF(V195&gt;0,Ruimtestaat[[#This Row],[Prest. (m2 /jaar) werkdagen]]/Ruimtestaat[[#This Row],[Norm (m2/uur) werkdagen]],0)</f>
        <v>0</v>
      </c>
      <c r="Y195" s="442">
        <f>Ruimtestaat[[#This Row],[Uitvoeringen werkdagen]]*Ruimtestaat[[#This Row],[Gedeeltelijk]]</f>
        <v>0</v>
      </c>
      <c r="Z195" s="443" t="e">
        <f>IF(U195&gt;0,Ruimtestaat[[#This Row],[Prest. (m2 / jaar) werkdagen gedeeld]]/Ruimtestaat[[#This Row],[Norm (m2/uur) werkdagen]],0)</f>
        <v>#DIV/0!</v>
      </c>
      <c r="AA195" s="441" t="e">
        <f>Ruimtestaat[[#This Row],[uren / jaar werkdagen gedeeld]]*Tariefsopbouw!$E$35</f>
        <v>#DIV/0!</v>
      </c>
      <c r="AB195" s="441">
        <f>Ruimtestaat[[#This Row],[Uitvoeringen werkdagen]]*Ruimtestaat[[#This Row],[BSO]]</f>
        <v>0</v>
      </c>
      <c r="AC195" s="443" t="e">
        <f>IF(U195&gt;0,Ruimtestaat[[#This Row],[Prest. (m2 / jaar) werkdagen BSO]]/Ruimtestaat[[#This Row],[Norm (m2/uur) werkdagen]],0)</f>
        <v>#DIV/0!</v>
      </c>
      <c r="AD195" s="443" t="e">
        <f>Ruimtestaat[[#This Row],[uren / jaar werkdagen BSO]]*Tariefsopbouw!$E$35</f>
        <v>#DIV/0!</v>
      </c>
      <c r="AE195" s="444">
        <f>Ruimtestaat[[#This Row],[uren / jaar werkdagen]]*Tariefsopbouw!$E$35</f>
        <v>0</v>
      </c>
      <c r="AF195" s="434"/>
      <c r="AG195" s="434">
        <f>IF(Ruimtestaat[[#This Row],[Frequentie weekend]]&gt;0,VALUE(LEFT(AF195,1))*S195,0)</f>
        <v>0</v>
      </c>
      <c r="AH195" s="445">
        <f>IF($AG195&gt;0,VLOOKUP($J195,Ruimtegroepen[],3,FALSE)*VLOOKUP($L195,Vloersoorten[],3,FALSE)*VLOOKUP($AF195,Frequenties[],3,FALSE)*VLOOKUP(Ruimtestaat[[#This Row],[Code]],Locaties[],3,FALSE),0)</f>
        <v>0</v>
      </c>
      <c r="AI195" s="445">
        <f>Ruimtestaat[[#This Row],[Uitvoeringen weekend]]*Ruimtestaat[[#This Row],[Oppervlak (netto)]]</f>
        <v>0</v>
      </c>
      <c r="AJ195" s="445">
        <f>IF(AH195&gt;0,Ruimtestaat[[#This Row],[Prest. (m2 /jaar) weekend]]/Ruimtestaat[[#This Row],[Norm (m2/uur) weekend]],0)</f>
        <v>0</v>
      </c>
      <c r="AK195" s="444">
        <f>Ruimtestaat[[#This Row],[uren / jaar weekend]]*Tariefsopbouw!$D$40</f>
        <v>0</v>
      </c>
      <c r="AL195" s="441">
        <f>Ruimtestaat[[#This Row],[Prest. (m2 /jaar) weekend]]+Ruimtestaat[[#This Row],[Prest. (m2 /jaar) werkdagen]]</f>
        <v>10800</v>
      </c>
      <c r="AM195" s="441">
        <f>Ruimtestaat[[#This Row],[uren / jaar weekend]]+Ruimtestaat[[#This Row],[uren / jaar werkdagen]]</f>
        <v>0</v>
      </c>
      <c r="AN195" s="446">
        <f>Ruimtestaat[[#This Row],[kosten / jaar weekend]]+Ruimtestaat[[#This Row],[kosten / jaar werkdagen]]</f>
        <v>0</v>
      </c>
      <c r="AO195" s="446"/>
      <c r="AP195" s="447" t="str">
        <f>IF(Ruimtestaat[[#This Row],[Frequentie werkdagen]]="","",_xlfn.CONCAT(Ruimtestaat[[#This Row],[Ruimte code]],"-",Ruimtestaat[[#This Row],[Frequentie werkdagen]]," ",Ruimtestaat[[#This Row],[Vloer code]]))</f>
        <v>16-5w L</v>
      </c>
      <c r="AQ195" s="448" t="str">
        <f>_xlfn.IFNA(VLOOKUP($AP195,Programma!$F$3:$G$1101,2,0),"")</f>
        <v>_</v>
      </c>
      <c r="AR195" s="448" t="str">
        <f>_xlfn.IFNA(VLOOKUP($AP195,Programma!$F$3:$H$1101,3,0),"")</f>
        <v>_</v>
      </c>
      <c r="AS195" s="448" t="str">
        <f>_xlfn.IFNA(VLOOKUP($AP195,Programma!$F$3:$I$1101,4,0),"")</f>
        <v>4w</v>
      </c>
      <c r="AT195" s="448" t="str">
        <f>_xlfn.IFNA(VLOOKUP($AP195,Programma!$F$3:$J$1101,5,0),"")</f>
        <v>1w</v>
      </c>
      <c r="AU195" s="448" t="str">
        <f>_xlfn.IFNA(VLOOKUP($AP195,Programma!$F$3:$K$1101,6,0),"")</f>
        <v>_</v>
      </c>
      <c r="AV195" s="448" t="str">
        <f>_xlfn.IFNA(VLOOKUP($AP195,Programma!$F$3:$L$1101,7,0),"")</f>
        <v>_</v>
      </c>
      <c r="AW195" s="448" t="str">
        <f>_xlfn.IFNA(VLOOKUP($AP195,Programma!$F$3:$M$1101,8,0),"")</f>
        <v>_</v>
      </c>
      <c r="AX195" s="448" t="str">
        <f>_xlfn.IFNA(VLOOKUP($AP195,Programma!$F$3:$N$1101,9,0),"")</f>
        <v>_</v>
      </c>
      <c r="AY195" s="448" t="str">
        <f>_xlfn.IFNA(VLOOKUP($AP195,Programma!$F$3:$O$1101,10,0),"")</f>
        <v>5w</v>
      </c>
      <c r="AZ195" s="448" t="str">
        <f>_xlfn.IFNA(VLOOKUP($AP195,Programma!$F$3:$P$1101,11,0),"")</f>
        <v>5w</v>
      </c>
      <c r="BA195" s="448" t="str">
        <f>_xlfn.IFNA(VLOOKUP($AP195,Programma!$F$3:$Q$1101,12,0),"")</f>
        <v>1w</v>
      </c>
      <c r="BB195" s="448" t="str">
        <f>_xlfn.IFNA(VLOOKUP($AP195,Programma!$F$3:$R$1101,13,0),"")</f>
        <v>1w</v>
      </c>
      <c r="BC195" s="448" t="str">
        <f>_xlfn.IFNA(VLOOKUP($AP195,Programma!$F$3:$S$1101,14,0),"")</f>
        <v>1m</v>
      </c>
      <c r="BD195" s="448" t="str">
        <f>_xlfn.IFNA(VLOOKUP($AP195,Programma!$F$3:$T$1101,15,0),"")</f>
        <v>2j</v>
      </c>
      <c r="BE195" s="448" t="str">
        <f>_xlfn.IFNA(VLOOKUP($AP195,Programma!$F$3:$U$1101,16,0),"")</f>
        <v>1j</v>
      </c>
      <c r="BF195" s="448" t="str">
        <f>_xlfn.IFNA(VLOOKUP($AP195,Programma!$F$3:$V$1101,17,0),"")</f>
        <v>_</v>
      </c>
      <c r="BG195" s="448" t="str">
        <f>_xlfn.IFNA(VLOOKUP($AP195,Programma!$F$3:$W$1101,18,0),"")</f>
        <v>_</v>
      </c>
      <c r="BH195" s="448" t="str">
        <f>_xlfn.IFNA(VLOOKUP($AP195,Programma!$F$3:$X$1101,19,0),"")</f>
        <v>_</v>
      </c>
      <c r="BI195" s="448" t="str">
        <f>_xlfn.IFNA(VLOOKUP($AP195,Programma!$F$3:$Y$1101,20,0),"")</f>
        <v>_</v>
      </c>
      <c r="BJ195" s="449"/>
      <c r="BK195" s="447" t="str">
        <f>IF(Ruimtestaat[[#This Row],[Frequentie weekend]]="","",_xlfn.CONCAT(Ruimtestaat[[#This Row],[Ruimte code]],"-",Ruimtestaat[[#This Row],[Frequentie weekend]]," ",Ruimtestaat[[#This Row],[Vloer code]]))</f>
        <v/>
      </c>
      <c r="BL195" s="448" t="str">
        <f>_xlfn.IFNA(VLOOKUP($BK195,Programma!$F$3:$G$1101,2,0),"")</f>
        <v/>
      </c>
      <c r="BM195" s="448" t="str">
        <f>_xlfn.IFNA(VLOOKUP($BK195,Programma!$F$3:$H$1101,3,0),"")</f>
        <v/>
      </c>
      <c r="BN195" s="448" t="str">
        <f>_xlfn.IFNA(VLOOKUP($BK195,Programma!$F$3:$I$1101,4,0),"")</f>
        <v/>
      </c>
      <c r="BO195" s="448" t="str">
        <f>_xlfn.IFNA(VLOOKUP($BK195,Programma!$F$3:$J$1101,5,0),"")</f>
        <v/>
      </c>
      <c r="BP195" s="448" t="str">
        <f>_xlfn.IFNA(VLOOKUP($BK195,Programma!$F$3:$K$1101,6,0),"")</f>
        <v/>
      </c>
      <c r="BQ195" s="448" t="str">
        <f>_xlfn.IFNA(VLOOKUP($BK195,Programma!$F$3:$L$1101,7,0),"")</f>
        <v/>
      </c>
      <c r="BR195" s="448" t="str">
        <f>_xlfn.IFNA(VLOOKUP($BK195,Programma!$F$3:$M$1101,8,0),"")</f>
        <v/>
      </c>
      <c r="BS195" s="448" t="str">
        <f>_xlfn.IFNA(VLOOKUP($BK195,Programma!$F$3:$N$1101,9,0),"")</f>
        <v/>
      </c>
      <c r="BT195" s="448" t="str">
        <f>_xlfn.IFNA(VLOOKUP($BK195,Programma!$F$3:$O$1101,10,0),"")</f>
        <v/>
      </c>
      <c r="BU195" s="448" t="str">
        <f>_xlfn.IFNA(VLOOKUP($BK195,Programma!$F$3:$P$1101,11,0),"")</f>
        <v/>
      </c>
      <c r="BV195" s="448" t="str">
        <f>_xlfn.IFNA(VLOOKUP($BK195,Programma!$F$3:$Q$1101,12,0),"")</f>
        <v/>
      </c>
      <c r="BW195" s="448" t="str">
        <f>_xlfn.IFNA(VLOOKUP($BK195,Programma!$F$3:$R$1101,13,0),"")</f>
        <v/>
      </c>
      <c r="BX195" s="448" t="str">
        <f>_xlfn.IFNA(VLOOKUP($BK195,Programma!$F$3:$S$1101,14,0),"")</f>
        <v/>
      </c>
      <c r="BY195" s="448" t="str">
        <f>_xlfn.IFNA(VLOOKUP($BK195,Programma!$F$3:$T$1101,15,0),"")</f>
        <v/>
      </c>
      <c r="BZ195" s="448" t="str">
        <f>_xlfn.IFNA(VLOOKUP($BK195,Programma!$F$3:$U$1101,16,0),"")</f>
        <v/>
      </c>
      <c r="CA195" s="448" t="str">
        <f>_xlfn.IFNA(VLOOKUP($BK195,Programma!$F$3:$V$1101,17,0),"")</f>
        <v/>
      </c>
      <c r="CB195" s="448" t="str">
        <f>_xlfn.IFNA(VLOOKUP($BK195,Programma!$F$3:$W$1101,18,0),"")</f>
        <v/>
      </c>
      <c r="CC195" s="448" t="str">
        <f>_xlfn.IFNA(VLOOKUP($BK195,Programma!$F$3:$X$1101,19,0),"")</f>
        <v/>
      </c>
      <c r="CD195" s="448" t="str">
        <f>_xlfn.IFNA(VLOOKUP($BK195,Programma!$F$3:$Y$1101,20,0),"")</f>
        <v/>
      </c>
      <c r="CE195" s="327"/>
      <c r="CF195" s="327"/>
      <c r="CG195" s="327"/>
      <c r="CH195" s="327"/>
      <c r="CI195" s="327"/>
      <c r="CJ195" s="327"/>
      <c r="CK195" s="327"/>
      <c r="CL195" s="327"/>
      <c r="CM195" s="327"/>
      <c r="CN195" s="327"/>
      <c r="CO195" s="327"/>
      <c r="CP195" s="327"/>
      <c r="CQ195" s="327"/>
      <c r="CR195" s="327"/>
      <c r="CS195" s="327"/>
      <c r="CT195" s="327"/>
      <c r="CU195" s="327"/>
      <c r="CV195" s="327"/>
      <c r="CW195" s="327"/>
      <c r="CX195" s="327"/>
      <c r="CY195" s="327"/>
      <c r="CZ195" s="327"/>
      <c r="DA195" s="327"/>
      <c r="DB195" s="327"/>
      <c r="DC195" s="327"/>
      <c r="DD195" s="327"/>
      <c r="DE195" s="327"/>
      <c r="DF195" s="327"/>
      <c r="DG195" s="327"/>
      <c r="DH195" s="327"/>
      <c r="DI195" s="327"/>
      <c r="DJ195" s="327"/>
      <c r="DK195" s="327"/>
      <c r="DL195" s="327"/>
      <c r="DM195" s="327"/>
      <c r="DN195" s="327"/>
      <c r="DO195" s="327"/>
      <c r="DP195" s="327"/>
      <c r="DQ195" s="327"/>
      <c r="DR195" s="327"/>
      <c r="DS195" s="327"/>
      <c r="DT195" s="327"/>
      <c r="DU195" s="327"/>
      <c r="DV195" s="327"/>
      <c r="DW195" s="327"/>
      <c r="DX195" s="327"/>
      <c r="DY195" s="327"/>
      <c r="DZ195" s="327"/>
      <c r="EA195" s="327"/>
      <c r="EB195" s="327"/>
      <c r="EC195" s="327"/>
      <c r="ED195" s="327"/>
      <c r="EE195" s="327"/>
      <c r="EF195" s="327"/>
      <c r="EG195" s="327"/>
      <c r="EH195" s="327"/>
      <c r="EI195" s="327"/>
      <c r="EJ195" s="327"/>
      <c r="EK195" s="327"/>
      <c r="EL195" s="327"/>
      <c r="EM195" s="327"/>
      <c r="EN195" s="327"/>
      <c r="EO195" s="327"/>
      <c r="EP195" s="327"/>
      <c r="EQ195" s="327"/>
      <c r="ER195" s="327"/>
      <c r="ES195" s="327"/>
      <c r="ET195" s="327"/>
      <c r="EU195" s="327"/>
      <c r="EV195" s="327"/>
      <c r="EW195" s="327"/>
      <c r="EX195" s="327"/>
      <c r="EY195" s="327"/>
      <c r="EZ195" s="327"/>
      <c r="FA195" s="327"/>
      <c r="FB195" s="327"/>
      <c r="FC195" s="327"/>
      <c r="FD195" s="327"/>
      <c r="FE195" s="327"/>
      <c r="FF195" s="327"/>
      <c r="FG195" s="327"/>
      <c r="FH195" s="327"/>
      <c r="FI195" s="327"/>
      <c r="FJ195" s="327"/>
      <c r="FK195" s="327"/>
      <c r="FL195" s="327"/>
      <c r="FM195" s="327"/>
      <c r="FN195" s="327"/>
      <c r="FO195" s="327"/>
      <c r="FP195" s="327"/>
      <c r="FQ195" s="327"/>
      <c r="FR195" s="327"/>
      <c r="FS195" s="327"/>
      <c r="FT195" s="327"/>
      <c r="FU195" s="327"/>
      <c r="FV195" s="327"/>
      <c r="FW195" s="327"/>
      <c r="FX195" s="327"/>
      <c r="FY195" s="327"/>
      <c r="FZ195" s="327"/>
      <c r="GA195" s="327"/>
      <c r="GB195" s="327"/>
      <c r="GC195" s="327"/>
      <c r="GD195" s="327"/>
      <c r="GE195" s="327"/>
      <c r="GF195" s="327"/>
      <c r="GG195" s="327"/>
      <c r="GH195" s="327"/>
      <c r="GI195" s="327"/>
      <c r="GJ195" s="327"/>
      <c r="GK195" s="327"/>
      <c r="GL195" s="327"/>
      <c r="GM195" s="327"/>
      <c r="GN195" s="327"/>
      <c r="GO195" s="327"/>
      <c r="GP195" s="327"/>
      <c r="GQ195" s="327"/>
      <c r="GR195" s="327"/>
      <c r="GS195" s="327"/>
      <c r="GT195" s="327"/>
      <c r="GU195" s="327"/>
      <c r="GV195" s="327"/>
      <c r="GW195" s="327"/>
      <c r="GX195" s="327"/>
      <c r="GY195" s="327"/>
      <c r="GZ195" s="327"/>
      <c r="HA195" s="327"/>
      <c r="HB195" s="327"/>
      <c r="HC195" s="327"/>
      <c r="HD195" s="327"/>
      <c r="HE195" s="327"/>
      <c r="HF195" s="327"/>
      <c r="HG195" s="327"/>
      <c r="HH195" s="327"/>
      <c r="HI195" s="327"/>
      <c r="HJ195" s="327"/>
      <c r="HK195" s="327"/>
      <c r="HL195" s="327"/>
      <c r="HM195" s="327"/>
      <c r="HN195" s="327"/>
      <c r="HO195" s="327"/>
      <c r="HP195" s="327"/>
      <c r="HQ195" s="327"/>
      <c r="HR195" s="327"/>
      <c r="HS195" s="327"/>
    </row>
    <row r="196" spans="1:227" ht="15" customHeight="1">
      <c r="A196" s="330">
        <v>8</v>
      </c>
      <c r="B196" s="435" t="str">
        <f>VLOOKUP(Ruimtestaat[[#This Row],[Code]],Locaties[[Code]:[Locatie]],2,FALSE)</f>
        <v>IKC De Trinoom</v>
      </c>
      <c r="C196" s="435" t="str">
        <f>VLOOKUP(Ruimtestaat[[#This Row],[Code]],Locaties[[#All],[Code]:[Adres]],4,FALSE)</f>
        <v>Nieuwlandstraat 241</v>
      </c>
      <c r="D196" s="435" t="str">
        <f>VLOOKUP(Ruimtestaat[[#This Row],[Code]],Locaties[[#All],[Code]:[Postcode]],5,FALSE)</f>
        <v>2729 EB</v>
      </c>
      <c r="E196" s="435" t="str">
        <f>VLOOKUP(Ruimtestaat[[#This Row],[Code]],Locaties[#All],6,FALSE)</f>
        <v>Zoetermeer</v>
      </c>
      <c r="F196" s="434"/>
      <c r="G196" s="434" t="s">
        <v>1769</v>
      </c>
      <c r="I196" s="450" t="s">
        <v>1673</v>
      </c>
      <c r="J196" s="330">
        <v>5</v>
      </c>
      <c r="K196" s="450" t="str">
        <f>VLOOKUP(Ruimtestaat[[#This Row],[Ruimte code]],Ruimtegroepen[[#All],[Code]:[Ruimte omschrijving]],2,FALSE)</f>
        <v>Sanitair</v>
      </c>
      <c r="L196" s="434" t="s">
        <v>101</v>
      </c>
      <c r="M196" s="437" t="s">
        <v>1816</v>
      </c>
      <c r="N196" s="439">
        <v>22</v>
      </c>
      <c r="O196" s="439"/>
      <c r="P196" s="439"/>
      <c r="Q196" s="439"/>
      <c r="R196" s="440" t="str">
        <f>VLOOKUP(Ruimtestaat[[#This Row],[Ruimte code]],Ruimtegroepen[],4,FALSE)</f>
        <v>Sa</v>
      </c>
      <c r="S196" s="434">
        <v>41</v>
      </c>
      <c r="T196" s="434" t="s">
        <v>2</v>
      </c>
      <c r="U196" s="434">
        <f>IF(S196&gt;0,IF(RIGHT(Ruimtestaat[[#This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96" s="434">
        <f>IF(U196&gt;0,VLOOKUP($J196,Ruimtegroepen[],3,FALSE)*VLOOKUP($L196,Vloersoorten[],3,FALSE)*VLOOKUP($T196,Frequenties[],3,FALSE)*VLOOKUP($A196,Locaties[],3,FALSE),0)</f>
        <v>0</v>
      </c>
      <c r="W196" s="434">
        <f>Ruimtestaat[[#This Row],[Uitvoeringen werkdagen]]*Ruimtestaat[[#This Row],[Oppervlak (netto)]]</f>
        <v>4510</v>
      </c>
      <c r="X196" s="441">
        <f>IF(V196&gt;0,Ruimtestaat[[#This Row],[Prest. (m2 /jaar) werkdagen]]/Ruimtestaat[[#This Row],[Norm (m2/uur) werkdagen]],0)</f>
        <v>0</v>
      </c>
      <c r="Y196" s="442">
        <f>Ruimtestaat[[#This Row],[Uitvoeringen werkdagen]]*Ruimtestaat[[#This Row],[Gedeeltelijk]]</f>
        <v>0</v>
      </c>
      <c r="Z196" s="443" t="e">
        <f>IF(U196&gt;0,Ruimtestaat[[#This Row],[Prest. (m2 / jaar) werkdagen gedeeld]]/Ruimtestaat[[#This Row],[Norm (m2/uur) werkdagen]],0)</f>
        <v>#DIV/0!</v>
      </c>
      <c r="AA196" s="441" t="e">
        <f>Ruimtestaat[[#This Row],[uren / jaar werkdagen gedeeld]]*Tariefsopbouw!$E$35</f>
        <v>#DIV/0!</v>
      </c>
      <c r="AB196" s="441">
        <f>Ruimtestaat[[#This Row],[Uitvoeringen werkdagen]]*Ruimtestaat[[#This Row],[BSO]]</f>
        <v>0</v>
      </c>
      <c r="AC196" s="443" t="e">
        <f>IF(U196&gt;0,Ruimtestaat[[#This Row],[Prest. (m2 / jaar) werkdagen BSO]]/Ruimtestaat[[#This Row],[Norm (m2/uur) werkdagen]],0)</f>
        <v>#DIV/0!</v>
      </c>
      <c r="AD196" s="443" t="e">
        <f>Ruimtestaat[[#This Row],[uren / jaar werkdagen BSO]]*Tariefsopbouw!$E$35</f>
        <v>#DIV/0!</v>
      </c>
      <c r="AE196" s="444">
        <f>Ruimtestaat[[#This Row],[uren / jaar werkdagen]]*Tariefsopbouw!$E$35</f>
        <v>0</v>
      </c>
      <c r="AF196" s="434"/>
      <c r="AG196" s="434">
        <f>IF(Ruimtestaat[[#This Row],[Frequentie weekend]]&gt;0,VALUE(LEFT(AF196,1))*S196,0)</f>
        <v>0</v>
      </c>
      <c r="AH196" s="445">
        <f>IF($AG196&gt;0,VLOOKUP($J196,Ruimtegroepen[],3,FALSE)*VLOOKUP($L196,Vloersoorten[],3,FALSE)*VLOOKUP($AF196,Frequenties[],3,FALSE)*VLOOKUP(Ruimtestaat[[#This Row],[Code]],Locaties[],3,FALSE),0)</f>
        <v>0</v>
      </c>
      <c r="AI196" s="445">
        <f>Ruimtestaat[[#This Row],[Uitvoeringen weekend]]*Ruimtestaat[[#This Row],[Oppervlak (netto)]]</f>
        <v>0</v>
      </c>
      <c r="AJ196" s="445">
        <f>IF(AH196&gt;0,Ruimtestaat[[#This Row],[Prest. (m2 /jaar) weekend]]/Ruimtestaat[[#This Row],[Norm (m2/uur) weekend]],0)</f>
        <v>0</v>
      </c>
      <c r="AK196" s="444">
        <f>Ruimtestaat[[#This Row],[uren / jaar weekend]]*Tariefsopbouw!$D$40</f>
        <v>0</v>
      </c>
      <c r="AL196" s="441">
        <f>Ruimtestaat[[#This Row],[Prest. (m2 /jaar) weekend]]+Ruimtestaat[[#This Row],[Prest. (m2 /jaar) werkdagen]]</f>
        <v>4510</v>
      </c>
      <c r="AM196" s="441">
        <f>Ruimtestaat[[#This Row],[uren / jaar weekend]]+Ruimtestaat[[#This Row],[uren / jaar werkdagen]]</f>
        <v>0</v>
      </c>
      <c r="AN196" s="446">
        <f>Ruimtestaat[[#This Row],[kosten / jaar weekend]]+Ruimtestaat[[#This Row],[kosten / jaar werkdagen]]</f>
        <v>0</v>
      </c>
      <c r="AO196" s="446"/>
      <c r="AP196" s="447" t="str">
        <f>IF(Ruimtestaat[[#This Row],[Frequentie werkdagen]]="","",_xlfn.CONCAT(Ruimtestaat[[#This Row],[Ruimte code]],"-",Ruimtestaat[[#This Row],[Frequentie werkdagen]]," ",Ruimtestaat[[#This Row],[Vloer code]]))</f>
        <v>5-5w S</v>
      </c>
      <c r="AQ196" s="448" t="str">
        <f>_xlfn.IFNA(VLOOKUP($AP196,Programma!$F$3:$G$1101,2,0),"")</f>
        <v>_</v>
      </c>
      <c r="AR196" s="448" t="str">
        <f>_xlfn.IFNA(VLOOKUP($AP196,Programma!$F$3:$H$1101,3,0),"")</f>
        <v>_</v>
      </c>
      <c r="AS196" s="448" t="str">
        <f>_xlfn.IFNA(VLOOKUP($AP196,Programma!$F$3:$I$1101,4,0),"")</f>
        <v>_</v>
      </c>
      <c r="AT196" s="448" t="str">
        <f>_xlfn.IFNA(VLOOKUP($AP196,Programma!$F$3:$J$1101,5,0),"")</f>
        <v>4w</v>
      </c>
      <c r="AU196" s="448" t="str">
        <f>_xlfn.IFNA(VLOOKUP($AP196,Programma!$F$3:$K$1101,6,0),"")</f>
        <v>1w</v>
      </c>
      <c r="AV196" s="448" t="str">
        <f>_xlfn.IFNA(VLOOKUP($AP196,Programma!$F$3:$L$1101,7,0),"")</f>
        <v>_</v>
      </c>
      <c r="AW196" s="448" t="str">
        <f>_xlfn.IFNA(VLOOKUP($AP196,Programma!$F$3:$M$1101,8,0),"")</f>
        <v>_</v>
      </c>
      <c r="AX196" s="448" t="str">
        <f>_xlfn.IFNA(VLOOKUP($AP196,Programma!$F$3:$N$1101,9,0),"")</f>
        <v>_</v>
      </c>
      <c r="AY196" s="448" t="str">
        <f>_xlfn.IFNA(VLOOKUP($AP196,Programma!$F$3:$O$1101,10,0),"")</f>
        <v>_</v>
      </c>
      <c r="AZ196" s="448" t="str">
        <f>_xlfn.IFNA(VLOOKUP($AP196,Programma!$F$3:$P$1101,11,0),"")</f>
        <v>_</v>
      </c>
      <c r="BA196" s="448" t="str">
        <f>_xlfn.IFNA(VLOOKUP($AP196,Programma!$F$3:$Q$1101,12,0),"")</f>
        <v>_</v>
      </c>
      <c r="BB196" s="448" t="str">
        <f>_xlfn.IFNA(VLOOKUP($AP196,Programma!$F$3:$R$1101,13,0),"")</f>
        <v>_</v>
      </c>
      <c r="BC196" s="448" t="str">
        <f>_xlfn.IFNA(VLOOKUP($AP196,Programma!$F$3:$S$1101,14,0),"")</f>
        <v>_</v>
      </c>
      <c r="BD196" s="448" t="str">
        <f>_xlfn.IFNA(VLOOKUP($AP196,Programma!$F$3:$T$1101,15,0),"")</f>
        <v>_</v>
      </c>
      <c r="BE196" s="448" t="str">
        <f>_xlfn.IFNA(VLOOKUP($AP196,Programma!$F$3:$U$1101,16,0),"")</f>
        <v>_</v>
      </c>
      <c r="BF196" s="448" t="str">
        <f>_xlfn.IFNA(VLOOKUP($AP196,Programma!$F$3:$V$1101,17,0),"")</f>
        <v>_</v>
      </c>
      <c r="BG196" s="448" t="str">
        <f>_xlfn.IFNA(VLOOKUP($AP196,Programma!$F$3:$W$1101,18,0),"")</f>
        <v>4w</v>
      </c>
      <c r="BH196" s="448" t="str">
        <f>_xlfn.IFNA(VLOOKUP($AP196,Programma!$F$3:$X$1101,19,0),"")</f>
        <v>1w</v>
      </c>
      <c r="BI196" s="448" t="str">
        <f>_xlfn.IFNA(VLOOKUP($AP196,Programma!$F$3:$Y$1101,20,0),"")</f>
        <v>_</v>
      </c>
      <c r="BJ196" s="449"/>
      <c r="BK196" s="447" t="str">
        <f>IF(Ruimtestaat[[#This Row],[Frequentie weekend]]="","",_xlfn.CONCAT(Ruimtestaat[[#This Row],[Ruimte code]],"-",Ruimtestaat[[#This Row],[Frequentie weekend]]," ",Ruimtestaat[[#This Row],[Vloer code]]))</f>
        <v/>
      </c>
      <c r="BL196" s="448" t="str">
        <f>_xlfn.IFNA(VLOOKUP($BK196,Programma!$F$3:$G$1101,2,0),"")</f>
        <v/>
      </c>
      <c r="BM196" s="448" t="str">
        <f>_xlfn.IFNA(VLOOKUP($BK196,Programma!$F$3:$H$1101,3,0),"")</f>
        <v/>
      </c>
      <c r="BN196" s="448" t="str">
        <f>_xlfn.IFNA(VLOOKUP($BK196,Programma!$F$3:$I$1101,4,0),"")</f>
        <v/>
      </c>
      <c r="BO196" s="448" t="str">
        <f>_xlfn.IFNA(VLOOKUP($BK196,Programma!$F$3:$J$1101,5,0),"")</f>
        <v/>
      </c>
      <c r="BP196" s="448" t="str">
        <f>_xlfn.IFNA(VLOOKUP($BK196,Programma!$F$3:$K$1101,6,0),"")</f>
        <v/>
      </c>
      <c r="BQ196" s="448" t="str">
        <f>_xlfn.IFNA(VLOOKUP($BK196,Programma!$F$3:$L$1101,7,0),"")</f>
        <v/>
      </c>
      <c r="BR196" s="448" t="str">
        <f>_xlfn.IFNA(VLOOKUP($BK196,Programma!$F$3:$M$1101,8,0),"")</f>
        <v/>
      </c>
      <c r="BS196" s="448" t="str">
        <f>_xlfn.IFNA(VLOOKUP($BK196,Programma!$F$3:$N$1101,9,0),"")</f>
        <v/>
      </c>
      <c r="BT196" s="448" t="str">
        <f>_xlfn.IFNA(VLOOKUP($BK196,Programma!$F$3:$O$1101,10,0),"")</f>
        <v/>
      </c>
      <c r="BU196" s="448" t="str">
        <f>_xlfn.IFNA(VLOOKUP($BK196,Programma!$F$3:$P$1101,11,0),"")</f>
        <v/>
      </c>
      <c r="BV196" s="448" t="str">
        <f>_xlfn.IFNA(VLOOKUP($BK196,Programma!$F$3:$Q$1101,12,0),"")</f>
        <v/>
      </c>
      <c r="BW196" s="448" t="str">
        <f>_xlfn.IFNA(VLOOKUP($BK196,Programma!$F$3:$R$1101,13,0),"")</f>
        <v/>
      </c>
      <c r="BX196" s="448" t="str">
        <f>_xlfn.IFNA(VLOOKUP($BK196,Programma!$F$3:$S$1101,14,0),"")</f>
        <v/>
      </c>
      <c r="BY196" s="448" t="str">
        <f>_xlfn.IFNA(VLOOKUP($BK196,Programma!$F$3:$T$1101,15,0),"")</f>
        <v/>
      </c>
      <c r="BZ196" s="448" t="str">
        <f>_xlfn.IFNA(VLOOKUP($BK196,Programma!$F$3:$U$1101,16,0),"")</f>
        <v/>
      </c>
      <c r="CA196" s="448" t="str">
        <f>_xlfn.IFNA(VLOOKUP($BK196,Programma!$F$3:$V$1101,17,0),"")</f>
        <v/>
      </c>
      <c r="CB196" s="448" t="str">
        <f>_xlfn.IFNA(VLOOKUP($BK196,Programma!$F$3:$W$1101,18,0),"")</f>
        <v/>
      </c>
      <c r="CC196" s="448" t="str">
        <f>_xlfn.IFNA(VLOOKUP($BK196,Programma!$F$3:$X$1101,19,0),"")</f>
        <v/>
      </c>
      <c r="CD196" s="448" t="str">
        <f>_xlfn.IFNA(VLOOKUP($BK196,Programma!$F$3:$Y$1101,20,0),"")</f>
        <v/>
      </c>
      <c r="CE196" s="327"/>
      <c r="CF196" s="327"/>
      <c r="CG196" s="327"/>
      <c r="CH196" s="327"/>
      <c r="CI196" s="327"/>
      <c r="CJ196" s="327"/>
      <c r="CK196" s="327"/>
      <c r="CL196" s="327"/>
      <c r="CM196" s="327"/>
      <c r="CN196" s="327"/>
      <c r="CO196" s="327"/>
      <c r="CP196" s="327"/>
      <c r="CQ196" s="327"/>
      <c r="CR196" s="327"/>
      <c r="CS196" s="327"/>
      <c r="CT196" s="327"/>
      <c r="CU196" s="327"/>
      <c r="CV196" s="327"/>
      <c r="CW196" s="327"/>
      <c r="CX196" s="327"/>
      <c r="CY196" s="327"/>
      <c r="CZ196" s="327"/>
      <c r="DA196" s="327"/>
      <c r="DB196" s="327"/>
      <c r="DC196" s="327"/>
      <c r="DD196" s="327"/>
      <c r="DE196" s="327"/>
      <c r="DF196" s="327"/>
      <c r="DG196" s="327"/>
      <c r="DH196" s="327"/>
      <c r="DI196" s="327"/>
      <c r="DJ196" s="327"/>
      <c r="DK196" s="327"/>
      <c r="DL196" s="327"/>
      <c r="DM196" s="327"/>
      <c r="DN196" s="327"/>
      <c r="DO196" s="327"/>
      <c r="DP196" s="327"/>
      <c r="DQ196" s="327"/>
      <c r="DR196" s="327"/>
      <c r="DS196" s="327"/>
      <c r="DT196" s="327"/>
      <c r="DU196" s="327"/>
      <c r="DV196" s="327"/>
      <c r="DW196" s="327"/>
      <c r="DX196" s="327"/>
      <c r="DY196" s="327"/>
      <c r="DZ196" s="327"/>
      <c r="EA196" s="327"/>
      <c r="EB196" s="327"/>
      <c r="EC196" s="327"/>
      <c r="ED196" s="327"/>
      <c r="EE196" s="327"/>
      <c r="EF196" s="327"/>
      <c r="EG196" s="327"/>
      <c r="EH196" s="327"/>
      <c r="EI196" s="327"/>
      <c r="EJ196" s="327"/>
      <c r="EK196" s="327"/>
      <c r="EL196" s="327"/>
      <c r="EM196" s="327"/>
      <c r="EN196" s="327"/>
      <c r="EO196" s="327"/>
      <c r="EP196" s="327"/>
      <c r="EQ196" s="327"/>
      <c r="ER196" s="327"/>
      <c r="ES196" s="327"/>
      <c r="ET196" s="327"/>
      <c r="EU196" s="327"/>
      <c r="EV196" s="327"/>
      <c r="EW196" s="327"/>
      <c r="EX196" s="327"/>
      <c r="EY196" s="327"/>
      <c r="EZ196" s="327"/>
      <c r="FA196" s="327"/>
      <c r="FB196" s="327"/>
      <c r="FC196" s="327"/>
      <c r="FD196" s="327"/>
      <c r="FE196" s="327"/>
      <c r="FF196" s="327"/>
      <c r="FG196" s="327"/>
      <c r="FH196" s="327"/>
      <c r="FI196" s="327"/>
      <c r="FJ196" s="327"/>
      <c r="FK196" s="327"/>
      <c r="FL196" s="327"/>
      <c r="FM196" s="327"/>
      <c r="FN196" s="327"/>
      <c r="FO196" s="327"/>
      <c r="FP196" s="327"/>
      <c r="FQ196" s="327"/>
      <c r="FR196" s="327"/>
      <c r="FS196" s="327"/>
      <c r="FT196" s="327"/>
      <c r="FU196" s="327"/>
      <c r="FV196" s="327"/>
      <c r="FW196" s="327"/>
      <c r="FX196" s="327"/>
      <c r="FY196" s="327"/>
      <c r="FZ196" s="327"/>
      <c r="GA196" s="327"/>
      <c r="GB196" s="327"/>
      <c r="GC196" s="327"/>
      <c r="GD196" s="327"/>
      <c r="GE196" s="327"/>
      <c r="GF196" s="327"/>
      <c r="GG196" s="327"/>
      <c r="GH196" s="327"/>
      <c r="GI196" s="327"/>
      <c r="GJ196" s="327"/>
      <c r="GK196" s="327"/>
      <c r="GL196" s="327"/>
      <c r="GM196" s="327"/>
      <c r="GN196" s="327"/>
      <c r="GO196" s="327"/>
      <c r="GP196" s="327"/>
      <c r="GQ196" s="327"/>
      <c r="GR196" s="327"/>
      <c r="GS196" s="327"/>
      <c r="GT196" s="327"/>
      <c r="GU196" s="327"/>
      <c r="GV196" s="327"/>
      <c r="GW196" s="327"/>
      <c r="GX196" s="327"/>
      <c r="GY196" s="327"/>
      <c r="GZ196" s="327"/>
      <c r="HA196" s="327"/>
      <c r="HB196" s="327"/>
      <c r="HC196" s="327"/>
      <c r="HD196" s="327"/>
      <c r="HE196" s="327"/>
      <c r="HF196" s="327"/>
      <c r="HG196" s="327"/>
      <c r="HH196" s="327"/>
      <c r="HI196" s="327"/>
      <c r="HJ196" s="327"/>
      <c r="HK196" s="327"/>
      <c r="HL196" s="327"/>
      <c r="HM196" s="327"/>
      <c r="HN196" s="327"/>
      <c r="HO196" s="327"/>
      <c r="HP196" s="327"/>
      <c r="HQ196" s="327"/>
      <c r="HR196" s="327"/>
      <c r="HS196" s="327"/>
    </row>
    <row r="197" spans="1:227" ht="15" customHeight="1">
      <c r="A197" s="330">
        <v>8</v>
      </c>
      <c r="B197" s="435" t="str">
        <f>VLOOKUP(Ruimtestaat[[#This Row],[Code]],Locaties[[Code]:[Locatie]],2,FALSE)</f>
        <v>IKC De Trinoom</v>
      </c>
      <c r="C197" s="435" t="str">
        <f>VLOOKUP(Ruimtestaat[[#This Row],[Code]],Locaties[[#All],[Code]:[Adres]],4,FALSE)</f>
        <v>Nieuwlandstraat 241</v>
      </c>
      <c r="D197" s="435" t="str">
        <f>VLOOKUP(Ruimtestaat[[#This Row],[Code]],Locaties[[#All],[Code]:[Postcode]],5,FALSE)</f>
        <v>2729 EB</v>
      </c>
      <c r="E197" s="435" t="str">
        <f>VLOOKUP(Ruimtestaat[[#This Row],[Code]],Locaties[#All],6,FALSE)</f>
        <v>Zoetermeer</v>
      </c>
      <c r="F197" s="434"/>
      <c r="G197" s="434" t="s">
        <v>1769</v>
      </c>
      <c r="I197" s="450" t="s">
        <v>1772</v>
      </c>
      <c r="J197" s="330">
        <v>6</v>
      </c>
      <c r="K197" s="450" t="str">
        <f>VLOOKUP(Ruimtestaat[[#This Row],[Ruimte code]],Ruimtegroepen[[#All],[Code]:[Ruimte omschrijving]],2,FALSE)</f>
        <v>Gangen/hallen</v>
      </c>
      <c r="L197" s="434" t="s">
        <v>100</v>
      </c>
      <c r="M197" s="437" t="s">
        <v>1759</v>
      </c>
      <c r="N197" s="439">
        <v>57</v>
      </c>
      <c r="O197" s="439"/>
      <c r="P197" s="439"/>
      <c r="Q197" s="439"/>
      <c r="R197" s="440" t="str">
        <f>VLOOKUP(Ruimtestaat[[#This Row],[Ruimte code]],Ruimtegroepen[],4,FALSE)</f>
        <v>Ve</v>
      </c>
      <c r="S197" s="434">
        <v>41</v>
      </c>
      <c r="T197" s="434" t="s">
        <v>2</v>
      </c>
      <c r="U197" s="434">
        <f>IF(S197&gt;0,IF(RIGHT(Ruimtestaat[[#This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97" s="434">
        <f>IF(U197&gt;0,VLOOKUP($J197,Ruimtegroepen[],3,FALSE)*VLOOKUP($L197,Vloersoorten[],3,FALSE)*VLOOKUP($T197,Frequenties[],3,FALSE)*VLOOKUP($A197,Locaties[],3,FALSE),0)</f>
        <v>0</v>
      </c>
      <c r="W197" s="434">
        <f>Ruimtestaat[[#This Row],[Uitvoeringen werkdagen]]*Ruimtestaat[[#This Row],[Oppervlak (netto)]]</f>
        <v>11685</v>
      </c>
      <c r="X197" s="441">
        <f>IF(V197&gt;0,Ruimtestaat[[#This Row],[Prest. (m2 /jaar) werkdagen]]/Ruimtestaat[[#This Row],[Norm (m2/uur) werkdagen]],0)</f>
        <v>0</v>
      </c>
      <c r="Y197" s="442">
        <f>Ruimtestaat[[#This Row],[Uitvoeringen werkdagen]]*Ruimtestaat[[#This Row],[Gedeeltelijk]]</f>
        <v>0</v>
      </c>
      <c r="Z197" s="443" t="e">
        <f>IF(U197&gt;0,Ruimtestaat[[#This Row],[Prest. (m2 / jaar) werkdagen gedeeld]]/Ruimtestaat[[#This Row],[Norm (m2/uur) werkdagen]],0)</f>
        <v>#DIV/0!</v>
      </c>
      <c r="AA197" s="441" t="e">
        <f>Ruimtestaat[[#This Row],[uren / jaar werkdagen gedeeld]]*Tariefsopbouw!$E$35</f>
        <v>#DIV/0!</v>
      </c>
      <c r="AB197" s="441">
        <f>Ruimtestaat[[#This Row],[Uitvoeringen werkdagen]]*Ruimtestaat[[#This Row],[BSO]]</f>
        <v>0</v>
      </c>
      <c r="AC197" s="443" t="e">
        <f>IF(U197&gt;0,Ruimtestaat[[#This Row],[Prest. (m2 / jaar) werkdagen BSO]]/Ruimtestaat[[#This Row],[Norm (m2/uur) werkdagen]],0)</f>
        <v>#DIV/0!</v>
      </c>
      <c r="AD197" s="443" t="e">
        <f>Ruimtestaat[[#This Row],[uren / jaar werkdagen BSO]]*Tariefsopbouw!$E$35</f>
        <v>#DIV/0!</v>
      </c>
      <c r="AE197" s="444">
        <f>Ruimtestaat[[#This Row],[uren / jaar werkdagen]]*Tariefsopbouw!$E$35</f>
        <v>0</v>
      </c>
      <c r="AF197" s="434"/>
      <c r="AG197" s="434">
        <f>IF(Ruimtestaat[[#This Row],[Frequentie weekend]]&gt;0,VALUE(LEFT(AF197,1))*S197,0)</f>
        <v>0</v>
      </c>
      <c r="AH197" s="445">
        <f>IF($AG197&gt;0,VLOOKUP($J197,Ruimtegroepen[],3,FALSE)*VLOOKUP($L197,Vloersoorten[],3,FALSE)*VLOOKUP($AF197,Frequenties[],3,FALSE)*VLOOKUP(Ruimtestaat[[#This Row],[Code]],Locaties[],3,FALSE),0)</f>
        <v>0</v>
      </c>
      <c r="AI197" s="445">
        <f>Ruimtestaat[[#This Row],[Uitvoeringen weekend]]*Ruimtestaat[[#This Row],[Oppervlak (netto)]]</f>
        <v>0</v>
      </c>
      <c r="AJ197" s="445">
        <f>IF(AH197&gt;0,Ruimtestaat[[#This Row],[Prest. (m2 /jaar) weekend]]/Ruimtestaat[[#This Row],[Norm (m2/uur) weekend]],0)</f>
        <v>0</v>
      </c>
      <c r="AK197" s="444">
        <f>Ruimtestaat[[#This Row],[uren / jaar weekend]]*Tariefsopbouw!$D$40</f>
        <v>0</v>
      </c>
      <c r="AL197" s="441">
        <f>Ruimtestaat[[#This Row],[Prest. (m2 /jaar) weekend]]+Ruimtestaat[[#This Row],[Prest. (m2 /jaar) werkdagen]]</f>
        <v>11685</v>
      </c>
      <c r="AM197" s="441">
        <f>Ruimtestaat[[#This Row],[uren / jaar weekend]]+Ruimtestaat[[#This Row],[uren / jaar werkdagen]]</f>
        <v>0</v>
      </c>
      <c r="AN197" s="446">
        <f>Ruimtestaat[[#This Row],[kosten / jaar weekend]]+Ruimtestaat[[#This Row],[kosten / jaar werkdagen]]</f>
        <v>0</v>
      </c>
      <c r="AO197" s="446"/>
      <c r="AP197" s="447" t="str">
        <f>IF(Ruimtestaat[[#This Row],[Frequentie werkdagen]]="","",_xlfn.CONCAT(Ruimtestaat[[#This Row],[Ruimte code]],"-",Ruimtestaat[[#This Row],[Frequentie werkdagen]]," ",Ruimtestaat[[#This Row],[Vloer code]]))</f>
        <v>6-5w L</v>
      </c>
      <c r="AQ197" s="448" t="str">
        <f>_xlfn.IFNA(VLOOKUP($AP197,Programma!$F$3:$G$1101,2,0),"")</f>
        <v>_</v>
      </c>
      <c r="AR197" s="448" t="str">
        <f>_xlfn.IFNA(VLOOKUP($AP197,Programma!$F$3:$H$1101,3,0),"")</f>
        <v>_</v>
      </c>
      <c r="AS197" s="448" t="str">
        <f>_xlfn.IFNA(VLOOKUP($AP197,Programma!$F$3:$I$1101,4,0),"")</f>
        <v>_</v>
      </c>
      <c r="AT197" s="448" t="str">
        <f>_xlfn.IFNA(VLOOKUP($AP197,Programma!$F$3:$J$1101,5,0),"")</f>
        <v>5w</v>
      </c>
      <c r="AU197" s="448" t="str">
        <f>_xlfn.IFNA(VLOOKUP($AP197,Programma!$F$3:$K$1101,6,0),"")</f>
        <v>_</v>
      </c>
      <c r="AV197" s="448" t="str">
        <f>_xlfn.IFNA(VLOOKUP($AP197,Programma!$F$3:$L$1101,7,0),"")</f>
        <v>_</v>
      </c>
      <c r="AW197" s="448" t="str">
        <f>_xlfn.IFNA(VLOOKUP($AP197,Programma!$F$3:$M$1101,8,0),"")</f>
        <v>_</v>
      </c>
      <c r="AX197" s="448" t="str">
        <f>_xlfn.IFNA(VLOOKUP($AP197,Programma!$F$3:$N$1101,9,0),"")</f>
        <v>_</v>
      </c>
      <c r="AY197" s="448" t="str">
        <f>_xlfn.IFNA(VLOOKUP($AP197,Programma!$F$3:$O$1101,10,0),"")</f>
        <v>5w</v>
      </c>
      <c r="AZ197" s="448" t="str">
        <f>_xlfn.IFNA(VLOOKUP($AP197,Programma!$F$3:$P$1101,11,0),"")</f>
        <v>5w</v>
      </c>
      <c r="BA197" s="448" t="str">
        <f>_xlfn.IFNA(VLOOKUP($AP197,Programma!$F$3:$Q$1101,12,0),"")</f>
        <v>1w</v>
      </c>
      <c r="BB197" s="448" t="str">
        <f>_xlfn.IFNA(VLOOKUP($AP197,Programma!$F$3:$R$1101,13,0),"")</f>
        <v>1w</v>
      </c>
      <c r="BC197" s="448" t="str">
        <f>_xlfn.IFNA(VLOOKUP($AP197,Programma!$F$3:$S$1101,14,0),"")</f>
        <v>1m</v>
      </c>
      <c r="BD197" s="448" t="str">
        <f>_xlfn.IFNA(VLOOKUP($AP197,Programma!$F$3:$T$1101,15,0),"")</f>
        <v>2j</v>
      </c>
      <c r="BE197" s="448" t="str">
        <f>_xlfn.IFNA(VLOOKUP($AP197,Programma!$F$3:$U$1101,16,0),"")</f>
        <v>1j</v>
      </c>
      <c r="BF197" s="448" t="str">
        <f>_xlfn.IFNA(VLOOKUP($AP197,Programma!$F$3:$V$1101,17,0),"")</f>
        <v>_</v>
      </c>
      <c r="BG197" s="448" t="str">
        <f>_xlfn.IFNA(VLOOKUP($AP197,Programma!$F$3:$W$1101,18,0),"")</f>
        <v>_</v>
      </c>
      <c r="BH197" s="448" t="str">
        <f>_xlfn.IFNA(VLOOKUP($AP197,Programma!$F$3:$X$1101,19,0),"")</f>
        <v>_</v>
      </c>
      <c r="BI197" s="448" t="str">
        <f>_xlfn.IFNA(VLOOKUP($AP197,Programma!$F$3:$Y$1101,20,0),"")</f>
        <v>_</v>
      </c>
      <c r="BJ197" s="449"/>
      <c r="BK197" s="447" t="str">
        <f>IF(Ruimtestaat[[#This Row],[Frequentie weekend]]="","",_xlfn.CONCAT(Ruimtestaat[[#This Row],[Ruimte code]],"-",Ruimtestaat[[#This Row],[Frequentie weekend]]," ",Ruimtestaat[[#This Row],[Vloer code]]))</f>
        <v/>
      </c>
      <c r="BL197" s="448" t="str">
        <f>_xlfn.IFNA(VLOOKUP($BK197,Programma!$F$3:$G$1101,2,0),"")</f>
        <v/>
      </c>
      <c r="BM197" s="448" t="str">
        <f>_xlfn.IFNA(VLOOKUP($BK197,Programma!$F$3:$H$1101,3,0),"")</f>
        <v/>
      </c>
      <c r="BN197" s="448" t="str">
        <f>_xlfn.IFNA(VLOOKUP($BK197,Programma!$F$3:$I$1101,4,0),"")</f>
        <v/>
      </c>
      <c r="BO197" s="448" t="str">
        <f>_xlfn.IFNA(VLOOKUP($BK197,Programma!$F$3:$J$1101,5,0),"")</f>
        <v/>
      </c>
      <c r="BP197" s="448" t="str">
        <f>_xlfn.IFNA(VLOOKUP($BK197,Programma!$F$3:$K$1101,6,0),"")</f>
        <v/>
      </c>
      <c r="BQ197" s="448" t="str">
        <f>_xlfn.IFNA(VLOOKUP($BK197,Programma!$F$3:$L$1101,7,0),"")</f>
        <v/>
      </c>
      <c r="BR197" s="448" t="str">
        <f>_xlfn.IFNA(VLOOKUP($BK197,Programma!$F$3:$M$1101,8,0),"")</f>
        <v/>
      </c>
      <c r="BS197" s="448" t="str">
        <f>_xlfn.IFNA(VLOOKUP($BK197,Programma!$F$3:$N$1101,9,0),"")</f>
        <v/>
      </c>
      <c r="BT197" s="448" t="str">
        <f>_xlfn.IFNA(VLOOKUP($BK197,Programma!$F$3:$O$1101,10,0),"")</f>
        <v/>
      </c>
      <c r="BU197" s="448" t="str">
        <f>_xlfn.IFNA(VLOOKUP($BK197,Programma!$F$3:$P$1101,11,0),"")</f>
        <v/>
      </c>
      <c r="BV197" s="448" t="str">
        <f>_xlfn.IFNA(VLOOKUP($BK197,Programma!$F$3:$Q$1101,12,0),"")</f>
        <v/>
      </c>
      <c r="BW197" s="448" t="str">
        <f>_xlfn.IFNA(VLOOKUP($BK197,Programma!$F$3:$R$1101,13,0),"")</f>
        <v/>
      </c>
      <c r="BX197" s="448" t="str">
        <f>_xlfn.IFNA(VLOOKUP($BK197,Programma!$F$3:$S$1101,14,0),"")</f>
        <v/>
      </c>
      <c r="BY197" s="448" t="str">
        <f>_xlfn.IFNA(VLOOKUP($BK197,Programma!$F$3:$T$1101,15,0),"")</f>
        <v/>
      </c>
      <c r="BZ197" s="448" t="str">
        <f>_xlfn.IFNA(VLOOKUP($BK197,Programma!$F$3:$U$1101,16,0),"")</f>
        <v/>
      </c>
      <c r="CA197" s="448" t="str">
        <f>_xlfn.IFNA(VLOOKUP($BK197,Programma!$F$3:$V$1101,17,0),"")</f>
        <v/>
      </c>
      <c r="CB197" s="448" t="str">
        <f>_xlfn.IFNA(VLOOKUP($BK197,Programma!$F$3:$W$1101,18,0),"")</f>
        <v/>
      </c>
      <c r="CC197" s="448" t="str">
        <f>_xlfn.IFNA(VLOOKUP($BK197,Programma!$F$3:$X$1101,19,0),"")</f>
        <v/>
      </c>
      <c r="CD197" s="448" t="str">
        <f>_xlfn.IFNA(VLOOKUP($BK197,Programma!$F$3:$Y$1101,20,0),"")</f>
        <v/>
      </c>
      <c r="CE197" s="327"/>
      <c r="CF197" s="327"/>
      <c r="CG197" s="327"/>
      <c r="CH197" s="327"/>
      <c r="CI197" s="327"/>
      <c r="CJ197" s="327"/>
      <c r="CK197" s="327"/>
      <c r="CL197" s="327"/>
      <c r="CM197" s="327"/>
      <c r="CN197" s="327"/>
      <c r="CO197" s="327"/>
      <c r="CP197" s="327"/>
      <c r="CQ197" s="327"/>
      <c r="CR197" s="327"/>
      <c r="CS197" s="327"/>
      <c r="CT197" s="327"/>
      <c r="CU197" s="327"/>
      <c r="CV197" s="327"/>
      <c r="CW197" s="327"/>
      <c r="CX197" s="327"/>
      <c r="CY197" s="327"/>
      <c r="CZ197" s="327"/>
      <c r="DA197" s="327"/>
      <c r="DB197" s="327"/>
      <c r="DC197" s="327"/>
      <c r="DD197" s="327"/>
      <c r="DE197" s="327"/>
      <c r="DF197" s="327"/>
      <c r="DG197" s="327"/>
      <c r="DH197" s="327"/>
      <c r="DI197" s="327"/>
      <c r="DJ197" s="327"/>
      <c r="DK197" s="327"/>
      <c r="DL197" s="327"/>
      <c r="DM197" s="327"/>
      <c r="DN197" s="327"/>
      <c r="DO197" s="327"/>
      <c r="DP197" s="327"/>
      <c r="DQ197" s="327"/>
      <c r="DR197" s="327"/>
      <c r="DS197" s="327"/>
      <c r="DT197" s="327"/>
      <c r="DU197" s="327"/>
      <c r="DV197" s="327"/>
      <c r="DW197" s="327"/>
      <c r="DX197" s="327"/>
      <c r="DY197" s="327"/>
      <c r="DZ197" s="327"/>
      <c r="EA197" s="327"/>
      <c r="EB197" s="327"/>
      <c r="EC197" s="327"/>
      <c r="ED197" s="327"/>
      <c r="EE197" s="327"/>
      <c r="EF197" s="327"/>
      <c r="EG197" s="327"/>
      <c r="EH197" s="327"/>
      <c r="EI197" s="327"/>
      <c r="EJ197" s="327"/>
      <c r="EK197" s="327"/>
      <c r="EL197" s="327"/>
      <c r="EM197" s="327"/>
      <c r="EN197" s="327"/>
      <c r="EO197" s="327"/>
      <c r="EP197" s="327"/>
      <c r="EQ197" s="327"/>
      <c r="ER197" s="327"/>
      <c r="ES197" s="327"/>
      <c r="ET197" s="327"/>
      <c r="EU197" s="327"/>
      <c r="EV197" s="327"/>
      <c r="EW197" s="327"/>
      <c r="EX197" s="327"/>
      <c r="EY197" s="327"/>
      <c r="EZ197" s="327"/>
      <c r="FA197" s="327"/>
      <c r="FB197" s="327"/>
      <c r="FC197" s="327"/>
      <c r="FD197" s="327"/>
      <c r="FE197" s="327"/>
      <c r="FF197" s="327"/>
      <c r="FG197" s="327"/>
      <c r="FH197" s="327"/>
      <c r="FI197" s="327"/>
      <c r="FJ197" s="327"/>
      <c r="FK197" s="327"/>
      <c r="FL197" s="327"/>
      <c r="FM197" s="327"/>
      <c r="FN197" s="327"/>
      <c r="FO197" s="327"/>
      <c r="FP197" s="327"/>
      <c r="FQ197" s="327"/>
      <c r="FR197" s="327"/>
      <c r="FS197" s="327"/>
      <c r="FT197" s="327"/>
      <c r="FU197" s="327"/>
      <c r="FV197" s="327"/>
      <c r="FW197" s="327"/>
      <c r="FX197" s="327"/>
      <c r="FY197" s="327"/>
      <c r="FZ197" s="327"/>
      <c r="GA197" s="327"/>
      <c r="GB197" s="327"/>
      <c r="GC197" s="327"/>
      <c r="GD197" s="327"/>
      <c r="GE197" s="327"/>
      <c r="GF197" s="327"/>
      <c r="GG197" s="327"/>
      <c r="GH197" s="327"/>
      <c r="GI197" s="327"/>
      <c r="GJ197" s="327"/>
      <c r="GK197" s="327"/>
      <c r="GL197" s="327"/>
      <c r="GM197" s="327"/>
      <c r="GN197" s="327"/>
      <c r="GO197" s="327"/>
      <c r="GP197" s="327"/>
      <c r="GQ197" s="327"/>
      <c r="GR197" s="327"/>
      <c r="GS197" s="327"/>
      <c r="GT197" s="327"/>
      <c r="GU197" s="327"/>
      <c r="GV197" s="327"/>
      <c r="GW197" s="327"/>
      <c r="GX197" s="327"/>
      <c r="GY197" s="327"/>
      <c r="GZ197" s="327"/>
      <c r="HA197" s="327"/>
      <c r="HB197" s="327"/>
      <c r="HC197" s="327"/>
      <c r="HD197" s="327"/>
      <c r="HE197" s="327"/>
      <c r="HF197" s="327"/>
      <c r="HG197" s="327"/>
      <c r="HH197" s="327"/>
      <c r="HI197" s="327"/>
      <c r="HJ197" s="327"/>
      <c r="HK197" s="327"/>
      <c r="HL197" s="327"/>
      <c r="HM197" s="327"/>
      <c r="HN197" s="327"/>
      <c r="HO197" s="327"/>
      <c r="HP197" s="327"/>
      <c r="HQ197" s="327"/>
      <c r="HR197" s="327"/>
      <c r="HS197" s="327"/>
    </row>
    <row r="198" spans="1:227" ht="15" customHeight="1">
      <c r="A198" s="330">
        <v>8</v>
      </c>
      <c r="B198" s="435" t="str">
        <f>VLOOKUP(Ruimtestaat[[#This Row],[Code]],Locaties[[Code]:[Locatie]],2,FALSE)</f>
        <v>IKC De Trinoom</v>
      </c>
      <c r="C198" s="435" t="str">
        <f>VLOOKUP(Ruimtestaat[[#This Row],[Code]],Locaties[[#All],[Code]:[Adres]],4,FALSE)</f>
        <v>Nieuwlandstraat 241</v>
      </c>
      <c r="D198" s="435" t="str">
        <f>VLOOKUP(Ruimtestaat[[#This Row],[Code]],Locaties[[#All],[Code]:[Postcode]],5,FALSE)</f>
        <v>2729 EB</v>
      </c>
      <c r="E198" s="435" t="str">
        <f>VLOOKUP(Ruimtestaat[[#This Row],[Code]],Locaties[#All],6,FALSE)</f>
        <v>Zoetermeer</v>
      </c>
      <c r="F198" s="434"/>
      <c r="G198" s="434" t="s">
        <v>1769</v>
      </c>
      <c r="I198" s="450" t="s">
        <v>1775</v>
      </c>
      <c r="J198" s="330">
        <v>10</v>
      </c>
      <c r="K198" s="450" t="str">
        <f>VLOOKUP(Ruimtestaat[[#This Row],[Ruimte code]],Ruimtegroepen[[#All],[Code]:[Ruimte omschrijving]],2,FALSE)</f>
        <v>Trappenhuizen/lift</v>
      </c>
      <c r="L198" s="434" t="s">
        <v>100</v>
      </c>
      <c r="M198" s="437" t="s">
        <v>1759</v>
      </c>
      <c r="N198" s="439">
        <v>19</v>
      </c>
      <c r="O198" s="439"/>
      <c r="P198" s="439"/>
      <c r="Q198" s="439"/>
      <c r="R198" s="440" t="str">
        <f>VLOOKUP(Ruimtestaat[[#This Row],[Ruimte code]],Ruimtegroepen[],4,FALSE)</f>
        <v>Ve</v>
      </c>
      <c r="S198" s="434">
        <v>41</v>
      </c>
      <c r="T198" s="434" t="s">
        <v>2</v>
      </c>
      <c r="U198" s="434">
        <f>IF(S198&gt;0,IF(RIGHT(Ruimtestaat[[#This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198" s="434">
        <f>IF(U198&gt;0,VLOOKUP($J198,Ruimtegroepen[],3,FALSE)*VLOOKUP($L198,Vloersoorten[],3,FALSE)*VLOOKUP($T198,Frequenties[],3,FALSE)*VLOOKUP($A198,Locaties[],3,FALSE),0)</f>
        <v>0</v>
      </c>
      <c r="W198" s="434">
        <f>Ruimtestaat[[#This Row],[Uitvoeringen werkdagen]]*Ruimtestaat[[#This Row],[Oppervlak (netto)]]</f>
        <v>3895</v>
      </c>
      <c r="X198" s="441">
        <f>IF(V198&gt;0,Ruimtestaat[[#This Row],[Prest. (m2 /jaar) werkdagen]]/Ruimtestaat[[#This Row],[Norm (m2/uur) werkdagen]],0)</f>
        <v>0</v>
      </c>
      <c r="Y198" s="442">
        <f>Ruimtestaat[[#This Row],[Uitvoeringen werkdagen]]*Ruimtestaat[[#This Row],[Gedeeltelijk]]</f>
        <v>0</v>
      </c>
      <c r="Z198" s="443" t="e">
        <f>IF(U198&gt;0,Ruimtestaat[[#This Row],[Prest. (m2 / jaar) werkdagen gedeeld]]/Ruimtestaat[[#This Row],[Norm (m2/uur) werkdagen]],0)</f>
        <v>#DIV/0!</v>
      </c>
      <c r="AA198" s="441" t="e">
        <f>Ruimtestaat[[#This Row],[uren / jaar werkdagen gedeeld]]*Tariefsopbouw!$E$35</f>
        <v>#DIV/0!</v>
      </c>
      <c r="AB198" s="441">
        <f>Ruimtestaat[[#This Row],[Uitvoeringen werkdagen]]*Ruimtestaat[[#This Row],[BSO]]</f>
        <v>0</v>
      </c>
      <c r="AC198" s="443" t="e">
        <f>IF(U198&gt;0,Ruimtestaat[[#This Row],[Prest. (m2 / jaar) werkdagen BSO]]/Ruimtestaat[[#This Row],[Norm (m2/uur) werkdagen]],0)</f>
        <v>#DIV/0!</v>
      </c>
      <c r="AD198" s="443" t="e">
        <f>Ruimtestaat[[#This Row],[uren / jaar werkdagen BSO]]*Tariefsopbouw!$E$35</f>
        <v>#DIV/0!</v>
      </c>
      <c r="AE198" s="444">
        <f>Ruimtestaat[[#This Row],[uren / jaar werkdagen]]*Tariefsopbouw!$E$35</f>
        <v>0</v>
      </c>
      <c r="AF198" s="434"/>
      <c r="AG198" s="434">
        <f>IF(Ruimtestaat[[#This Row],[Frequentie weekend]]&gt;0,VALUE(LEFT(AF198,1))*S198,0)</f>
        <v>0</v>
      </c>
      <c r="AH198" s="445">
        <f>IF($AG198&gt;0,VLOOKUP($J198,Ruimtegroepen[],3,FALSE)*VLOOKUP($L198,Vloersoorten[],3,FALSE)*VLOOKUP($AF198,Frequenties[],3,FALSE)*VLOOKUP(Ruimtestaat[[#This Row],[Code]],Locaties[],3,FALSE),0)</f>
        <v>0</v>
      </c>
      <c r="AI198" s="445">
        <f>Ruimtestaat[[#This Row],[Uitvoeringen weekend]]*Ruimtestaat[[#This Row],[Oppervlak (netto)]]</f>
        <v>0</v>
      </c>
      <c r="AJ198" s="445">
        <f>IF(AH198&gt;0,Ruimtestaat[[#This Row],[Prest. (m2 /jaar) weekend]]/Ruimtestaat[[#This Row],[Norm (m2/uur) weekend]],0)</f>
        <v>0</v>
      </c>
      <c r="AK198" s="444">
        <f>Ruimtestaat[[#This Row],[uren / jaar weekend]]*Tariefsopbouw!$D$40</f>
        <v>0</v>
      </c>
      <c r="AL198" s="441">
        <f>Ruimtestaat[[#This Row],[Prest. (m2 /jaar) weekend]]+Ruimtestaat[[#This Row],[Prest. (m2 /jaar) werkdagen]]</f>
        <v>3895</v>
      </c>
      <c r="AM198" s="441">
        <f>Ruimtestaat[[#This Row],[uren / jaar weekend]]+Ruimtestaat[[#This Row],[uren / jaar werkdagen]]</f>
        <v>0</v>
      </c>
      <c r="AN198" s="446">
        <f>Ruimtestaat[[#This Row],[kosten / jaar weekend]]+Ruimtestaat[[#This Row],[kosten / jaar werkdagen]]</f>
        <v>0</v>
      </c>
      <c r="AO198" s="446"/>
      <c r="AP198" s="447" t="str">
        <f>IF(Ruimtestaat[[#This Row],[Frequentie werkdagen]]="","",_xlfn.CONCAT(Ruimtestaat[[#This Row],[Ruimte code]],"-",Ruimtestaat[[#This Row],[Frequentie werkdagen]]," ",Ruimtestaat[[#This Row],[Vloer code]]))</f>
        <v>10-5w L</v>
      </c>
      <c r="AQ198" s="448" t="str">
        <f>_xlfn.IFNA(VLOOKUP($AP198,Programma!$F$3:$G$1101,2,0),"")</f>
        <v>_</v>
      </c>
      <c r="AR198" s="448" t="str">
        <f>_xlfn.IFNA(VLOOKUP($AP198,Programma!$F$3:$H$1101,3,0),"")</f>
        <v>_</v>
      </c>
      <c r="AS198" s="448" t="str">
        <f>_xlfn.IFNA(VLOOKUP($AP198,Programma!$F$3:$I$1101,4,0),"")</f>
        <v>4w</v>
      </c>
      <c r="AT198" s="448" t="str">
        <f>_xlfn.IFNA(VLOOKUP($AP198,Programma!$F$3:$J$1101,5,0),"")</f>
        <v>1w</v>
      </c>
      <c r="AU198" s="448" t="str">
        <f>_xlfn.IFNA(VLOOKUP($AP198,Programma!$F$3:$K$1101,6,0),"")</f>
        <v>_</v>
      </c>
      <c r="AV198" s="448" t="str">
        <f>_xlfn.IFNA(VLOOKUP($AP198,Programma!$F$3:$L$1101,7,0),"")</f>
        <v>_</v>
      </c>
      <c r="AW198" s="448" t="str">
        <f>_xlfn.IFNA(VLOOKUP($AP198,Programma!$F$3:$M$1101,8,0),"")</f>
        <v>_</v>
      </c>
      <c r="AX198" s="448" t="str">
        <f>_xlfn.IFNA(VLOOKUP($AP198,Programma!$F$3:$N$1101,9,0),"")</f>
        <v>_</v>
      </c>
      <c r="AY198" s="448" t="str">
        <f>_xlfn.IFNA(VLOOKUP($AP198,Programma!$F$3:$O$1101,10,0),"")</f>
        <v>5w</v>
      </c>
      <c r="AZ198" s="448" t="str">
        <f>_xlfn.IFNA(VLOOKUP($AP198,Programma!$F$3:$P$1101,11,0),"")</f>
        <v>5w</v>
      </c>
      <c r="BA198" s="448" t="str">
        <f>_xlfn.IFNA(VLOOKUP($AP198,Programma!$F$3:$Q$1101,12,0),"")</f>
        <v>1w</v>
      </c>
      <c r="BB198" s="448" t="str">
        <f>_xlfn.IFNA(VLOOKUP($AP198,Programma!$F$3:$R$1101,13,0),"")</f>
        <v>1w</v>
      </c>
      <c r="BC198" s="448" t="str">
        <f>_xlfn.IFNA(VLOOKUP($AP198,Programma!$F$3:$S$1101,14,0),"")</f>
        <v>1m</v>
      </c>
      <c r="BD198" s="448" t="str">
        <f>_xlfn.IFNA(VLOOKUP($AP198,Programma!$F$3:$T$1101,15,0),"")</f>
        <v>2j</v>
      </c>
      <c r="BE198" s="448" t="str">
        <f>_xlfn.IFNA(VLOOKUP($AP198,Programma!$F$3:$U$1101,16,0),"")</f>
        <v>1j</v>
      </c>
      <c r="BF198" s="448" t="str">
        <f>_xlfn.IFNA(VLOOKUP($AP198,Programma!$F$3:$V$1101,17,0),"")</f>
        <v>_</v>
      </c>
      <c r="BG198" s="448" t="str">
        <f>_xlfn.IFNA(VLOOKUP($AP198,Programma!$F$3:$W$1101,18,0),"")</f>
        <v>_</v>
      </c>
      <c r="BH198" s="448" t="str">
        <f>_xlfn.IFNA(VLOOKUP($AP198,Programma!$F$3:$X$1101,19,0),"")</f>
        <v>_</v>
      </c>
      <c r="BI198" s="448" t="str">
        <f>_xlfn.IFNA(VLOOKUP($AP198,Programma!$F$3:$Y$1101,20,0),"")</f>
        <v>_</v>
      </c>
      <c r="BJ198" s="449"/>
      <c r="BK198" s="447" t="str">
        <f>IF(Ruimtestaat[[#This Row],[Frequentie weekend]]="","",_xlfn.CONCAT(Ruimtestaat[[#This Row],[Ruimte code]],"-",Ruimtestaat[[#This Row],[Frequentie weekend]]," ",Ruimtestaat[[#This Row],[Vloer code]]))</f>
        <v/>
      </c>
      <c r="BL198" s="448" t="str">
        <f>_xlfn.IFNA(VLOOKUP($BK198,Programma!$F$3:$G$1101,2,0),"")</f>
        <v/>
      </c>
      <c r="BM198" s="448" t="str">
        <f>_xlfn.IFNA(VLOOKUP($BK198,Programma!$F$3:$H$1101,3,0),"")</f>
        <v/>
      </c>
      <c r="BN198" s="448" t="str">
        <f>_xlfn.IFNA(VLOOKUP($BK198,Programma!$F$3:$I$1101,4,0),"")</f>
        <v/>
      </c>
      <c r="BO198" s="448" t="str">
        <f>_xlfn.IFNA(VLOOKUP($BK198,Programma!$F$3:$J$1101,5,0),"")</f>
        <v/>
      </c>
      <c r="BP198" s="448" t="str">
        <f>_xlfn.IFNA(VLOOKUP($BK198,Programma!$F$3:$K$1101,6,0),"")</f>
        <v/>
      </c>
      <c r="BQ198" s="448" t="str">
        <f>_xlfn.IFNA(VLOOKUP($BK198,Programma!$F$3:$L$1101,7,0),"")</f>
        <v/>
      </c>
      <c r="BR198" s="448" t="str">
        <f>_xlfn.IFNA(VLOOKUP($BK198,Programma!$F$3:$M$1101,8,0),"")</f>
        <v/>
      </c>
      <c r="BS198" s="448" t="str">
        <f>_xlfn.IFNA(VLOOKUP($BK198,Programma!$F$3:$N$1101,9,0),"")</f>
        <v/>
      </c>
      <c r="BT198" s="448" t="str">
        <f>_xlfn.IFNA(VLOOKUP($BK198,Programma!$F$3:$O$1101,10,0),"")</f>
        <v/>
      </c>
      <c r="BU198" s="448" t="str">
        <f>_xlfn.IFNA(VLOOKUP($BK198,Programma!$F$3:$P$1101,11,0),"")</f>
        <v/>
      </c>
      <c r="BV198" s="448" t="str">
        <f>_xlfn.IFNA(VLOOKUP($BK198,Programma!$F$3:$Q$1101,12,0),"")</f>
        <v/>
      </c>
      <c r="BW198" s="448" t="str">
        <f>_xlfn.IFNA(VLOOKUP($BK198,Programma!$F$3:$R$1101,13,0),"")</f>
        <v/>
      </c>
      <c r="BX198" s="448" t="str">
        <f>_xlfn.IFNA(VLOOKUP($BK198,Programma!$F$3:$S$1101,14,0),"")</f>
        <v/>
      </c>
      <c r="BY198" s="448" t="str">
        <f>_xlfn.IFNA(VLOOKUP($BK198,Programma!$F$3:$T$1101,15,0),"")</f>
        <v/>
      </c>
      <c r="BZ198" s="448" t="str">
        <f>_xlfn.IFNA(VLOOKUP($BK198,Programma!$F$3:$U$1101,16,0),"")</f>
        <v/>
      </c>
      <c r="CA198" s="448" t="str">
        <f>_xlfn.IFNA(VLOOKUP($BK198,Programma!$F$3:$V$1101,17,0),"")</f>
        <v/>
      </c>
      <c r="CB198" s="448" t="str">
        <f>_xlfn.IFNA(VLOOKUP($BK198,Programma!$F$3:$W$1101,18,0),"")</f>
        <v/>
      </c>
      <c r="CC198" s="448" t="str">
        <f>_xlfn.IFNA(VLOOKUP($BK198,Programma!$F$3:$X$1101,19,0),"")</f>
        <v/>
      </c>
      <c r="CD198" s="448" t="str">
        <f>_xlfn.IFNA(VLOOKUP($BK198,Programma!$F$3:$Y$1101,20,0),"")</f>
        <v/>
      </c>
      <c r="CE198" s="327"/>
      <c r="CF198" s="327"/>
      <c r="CG198" s="327"/>
      <c r="CH198" s="327"/>
      <c r="CI198" s="327"/>
      <c r="CJ198" s="327"/>
      <c r="CK198" s="327"/>
      <c r="CL198" s="327"/>
      <c r="CM198" s="327"/>
      <c r="CN198" s="327"/>
      <c r="CO198" s="327"/>
      <c r="CP198" s="327"/>
      <c r="CQ198" s="327"/>
      <c r="CR198" s="327"/>
      <c r="CS198" s="327"/>
      <c r="CT198" s="327"/>
      <c r="CU198" s="327"/>
      <c r="CV198" s="327"/>
      <c r="CW198" s="327"/>
      <c r="CX198" s="327"/>
      <c r="CY198" s="327"/>
      <c r="CZ198" s="327"/>
      <c r="DA198" s="327"/>
      <c r="DB198" s="327"/>
      <c r="DC198" s="327"/>
      <c r="DD198" s="327"/>
      <c r="DE198" s="327"/>
      <c r="DF198" s="327"/>
      <c r="DG198" s="327"/>
      <c r="DH198" s="327"/>
      <c r="DI198" s="327"/>
      <c r="DJ198" s="327"/>
      <c r="DK198" s="327"/>
      <c r="DL198" s="327"/>
      <c r="DM198" s="327"/>
      <c r="DN198" s="327"/>
      <c r="DO198" s="327"/>
      <c r="DP198" s="327"/>
      <c r="DQ198" s="327"/>
      <c r="DR198" s="327"/>
      <c r="DS198" s="327"/>
      <c r="DT198" s="327"/>
      <c r="DU198" s="327"/>
      <c r="DV198" s="327"/>
      <c r="DW198" s="327"/>
      <c r="DX198" s="327"/>
      <c r="DY198" s="327"/>
      <c r="DZ198" s="327"/>
      <c r="EA198" s="327"/>
      <c r="EB198" s="327"/>
      <c r="EC198" s="327"/>
      <c r="ED198" s="327"/>
      <c r="EE198" s="327"/>
      <c r="EF198" s="327"/>
      <c r="EG198" s="327"/>
      <c r="EH198" s="327"/>
      <c r="EI198" s="327"/>
      <c r="EJ198" s="327"/>
      <c r="EK198" s="327"/>
      <c r="EL198" s="327"/>
      <c r="EM198" s="327"/>
      <c r="EN198" s="327"/>
      <c r="EO198" s="327"/>
      <c r="EP198" s="327"/>
      <c r="EQ198" s="327"/>
      <c r="ER198" s="327"/>
      <c r="ES198" s="327"/>
      <c r="ET198" s="327"/>
      <c r="EU198" s="327"/>
      <c r="EV198" s="327"/>
      <c r="EW198" s="327"/>
      <c r="EX198" s="327"/>
      <c r="EY198" s="327"/>
      <c r="EZ198" s="327"/>
      <c r="FA198" s="327"/>
      <c r="FB198" s="327"/>
      <c r="FC198" s="327"/>
      <c r="FD198" s="327"/>
      <c r="FE198" s="327"/>
      <c r="FF198" s="327"/>
      <c r="FG198" s="327"/>
      <c r="FH198" s="327"/>
      <c r="FI198" s="327"/>
      <c r="FJ198" s="327"/>
      <c r="FK198" s="327"/>
      <c r="FL198" s="327"/>
      <c r="FM198" s="327"/>
      <c r="FN198" s="327"/>
      <c r="FO198" s="327"/>
      <c r="FP198" s="327"/>
      <c r="FQ198" s="327"/>
      <c r="FR198" s="327"/>
      <c r="FS198" s="327"/>
      <c r="FT198" s="327"/>
      <c r="FU198" s="327"/>
      <c r="FV198" s="327"/>
      <c r="FW198" s="327"/>
      <c r="FX198" s="327"/>
      <c r="FY198" s="327"/>
      <c r="FZ198" s="327"/>
      <c r="GA198" s="327"/>
      <c r="GB198" s="327"/>
      <c r="GC198" s="327"/>
      <c r="GD198" s="327"/>
      <c r="GE198" s="327"/>
      <c r="GF198" s="327"/>
      <c r="GG198" s="327"/>
      <c r="GH198" s="327"/>
      <c r="GI198" s="327"/>
      <c r="GJ198" s="327"/>
      <c r="GK198" s="327"/>
      <c r="GL198" s="327"/>
      <c r="GM198" s="327"/>
      <c r="GN198" s="327"/>
      <c r="GO198" s="327"/>
      <c r="GP198" s="327"/>
      <c r="GQ198" s="327"/>
      <c r="GR198" s="327"/>
      <c r="GS198" s="327"/>
      <c r="GT198" s="327"/>
      <c r="GU198" s="327"/>
      <c r="GV198" s="327"/>
      <c r="GW198" s="327"/>
      <c r="GX198" s="327"/>
      <c r="GY198" s="327"/>
      <c r="GZ198" s="327"/>
      <c r="HA198" s="327"/>
      <c r="HB198" s="327"/>
      <c r="HC198" s="327"/>
      <c r="HD198" s="327"/>
      <c r="HE198" s="327"/>
      <c r="HF198" s="327"/>
      <c r="HG198" s="327"/>
      <c r="HH198" s="327"/>
      <c r="HI198" s="327"/>
      <c r="HJ198" s="327"/>
      <c r="HK198" s="327"/>
      <c r="HL198" s="327"/>
      <c r="HM198" s="327"/>
      <c r="HN198" s="327"/>
      <c r="HO198" s="327"/>
      <c r="HP198" s="327"/>
      <c r="HQ198" s="327"/>
      <c r="HR198" s="327"/>
      <c r="HS198" s="327"/>
    </row>
    <row r="199" spans="1:227" ht="15" customHeight="1">
      <c r="A199" s="330">
        <v>9</v>
      </c>
      <c r="B199" s="435" t="str">
        <f>VLOOKUP(Ruimtestaat[[#This Row],[Code]],Locaties[[Code]:[Locatie]],2,FALSE)</f>
        <v>IKC De Vijverburgh</v>
      </c>
      <c r="C199" s="435" t="str">
        <f>VLOOKUP(Ruimtestaat[[#This Row],[Code]],Locaties[[#All],[Code]:[Adres]],4,FALSE)</f>
        <v>Paltelaan 3</v>
      </c>
      <c r="D199" s="435" t="str">
        <f>VLOOKUP(Ruimtestaat[[#This Row],[Code]],Locaties[[#All],[Code]:[Postcode]],5,FALSE)</f>
        <v>2712 RN</v>
      </c>
      <c r="E199" s="435" t="str">
        <f>VLOOKUP(Ruimtestaat[[#This Row],[Code]],Locaties[#All],6,FALSE)</f>
        <v>Zoetermeer</v>
      </c>
      <c r="F199" s="434"/>
      <c r="G199" s="434" t="s">
        <v>1678</v>
      </c>
      <c r="H199" s="330" t="s">
        <v>1776</v>
      </c>
      <c r="I199" s="450" t="s">
        <v>1777</v>
      </c>
      <c r="J199" s="330">
        <v>7</v>
      </c>
      <c r="K199" s="450" t="str">
        <f>VLOOKUP(Ruimtestaat[[#This Row],[Ruimte code]],Ruimtegroepen[[#All],[Code]:[Ruimte omschrijving]],2,FALSE)</f>
        <v>Entree</v>
      </c>
      <c r="L199" s="434" t="s">
        <v>99</v>
      </c>
      <c r="M199" s="437" t="s">
        <v>1758</v>
      </c>
      <c r="N199" s="439">
        <v>6</v>
      </c>
      <c r="O199" s="439"/>
      <c r="P199" s="439"/>
      <c r="Q199" s="439"/>
      <c r="R199" s="440" t="str">
        <f>VLOOKUP(Ruimtestaat[[#This Row],[Ruimte code]],Ruimtegroepen[],4,FALSE)</f>
        <v>Ve</v>
      </c>
      <c r="S199" s="434">
        <v>41</v>
      </c>
      <c r="T199" s="434" t="s">
        <v>17</v>
      </c>
      <c r="U199" s="434">
        <f>IF(S199&gt;0,IF(RIGHT(Ruimtestaat[[#This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199" s="434">
        <f>IF(U199&gt;0,VLOOKUP($J199,Ruimtegroepen[],3,FALSE)*VLOOKUP($L199,Vloersoorten[],3,FALSE)*VLOOKUP($T199,Frequenties[],3,FALSE)*VLOOKUP($A199,Locaties[],3,FALSE),0)</f>
        <v>0</v>
      </c>
      <c r="W199" s="434">
        <f>Ruimtestaat[[#This Row],[Uitvoeringen werkdagen]]*Ruimtestaat[[#This Row],[Oppervlak (netto)]]</f>
        <v>492</v>
      </c>
      <c r="X199" s="441">
        <f>IF(V199&gt;0,Ruimtestaat[[#This Row],[Prest. (m2 /jaar) werkdagen]]/Ruimtestaat[[#This Row],[Norm (m2/uur) werkdagen]],0)</f>
        <v>0</v>
      </c>
      <c r="Y199" s="442">
        <f>Ruimtestaat[[#This Row],[Uitvoeringen werkdagen]]*Ruimtestaat[[#This Row],[Gedeeltelijk]]</f>
        <v>0</v>
      </c>
      <c r="Z199" s="443" t="e">
        <f>IF(U199&gt;0,Ruimtestaat[[#This Row],[Prest. (m2 / jaar) werkdagen gedeeld]]/Ruimtestaat[[#This Row],[Norm (m2/uur) werkdagen]],0)</f>
        <v>#DIV/0!</v>
      </c>
      <c r="AA199" s="441" t="e">
        <f>Ruimtestaat[[#This Row],[uren / jaar werkdagen gedeeld]]*Tariefsopbouw!$E$35</f>
        <v>#DIV/0!</v>
      </c>
      <c r="AB199" s="441">
        <f>Ruimtestaat[[#This Row],[Uitvoeringen werkdagen]]*Ruimtestaat[[#This Row],[BSO]]</f>
        <v>0</v>
      </c>
      <c r="AC199" s="443" t="e">
        <f>IF(U199&gt;0,Ruimtestaat[[#This Row],[Prest. (m2 / jaar) werkdagen BSO]]/Ruimtestaat[[#This Row],[Norm (m2/uur) werkdagen]],0)</f>
        <v>#DIV/0!</v>
      </c>
      <c r="AD199" s="443" t="e">
        <f>Ruimtestaat[[#This Row],[uren / jaar werkdagen BSO]]*Tariefsopbouw!$E$35</f>
        <v>#DIV/0!</v>
      </c>
      <c r="AE199" s="444">
        <f>Ruimtestaat[[#This Row],[uren / jaar werkdagen]]*Tariefsopbouw!$E$35</f>
        <v>0</v>
      </c>
      <c r="AF199" s="434"/>
      <c r="AG199" s="434">
        <f>IF(Ruimtestaat[[#This Row],[Frequentie weekend]]&gt;0,VALUE(LEFT(AF199,1))*S199,0)</f>
        <v>0</v>
      </c>
      <c r="AH199" s="445">
        <f>IF($AG199&gt;0,VLOOKUP($J199,Ruimtegroepen[],3,FALSE)*VLOOKUP($L199,Vloersoorten[],3,FALSE)*VLOOKUP($AF199,Frequenties[],3,FALSE)*VLOOKUP(Ruimtestaat[[#This Row],[Code]],Locaties[],3,FALSE),0)</f>
        <v>0</v>
      </c>
      <c r="AI199" s="445">
        <f>Ruimtestaat[[#This Row],[Uitvoeringen weekend]]*Ruimtestaat[[#This Row],[Oppervlak (netto)]]</f>
        <v>0</v>
      </c>
      <c r="AJ199" s="445">
        <f>IF(AH199&gt;0,Ruimtestaat[[#This Row],[Prest. (m2 /jaar) weekend]]/Ruimtestaat[[#This Row],[Norm (m2/uur) weekend]],0)</f>
        <v>0</v>
      </c>
      <c r="AK199" s="444">
        <f>Ruimtestaat[[#This Row],[uren / jaar weekend]]*Tariefsopbouw!$D$40</f>
        <v>0</v>
      </c>
      <c r="AL199" s="441">
        <f>Ruimtestaat[[#This Row],[Prest. (m2 /jaar) weekend]]+Ruimtestaat[[#This Row],[Prest. (m2 /jaar) werkdagen]]</f>
        <v>492</v>
      </c>
      <c r="AM199" s="441">
        <f>Ruimtestaat[[#This Row],[uren / jaar weekend]]+Ruimtestaat[[#This Row],[uren / jaar werkdagen]]</f>
        <v>0</v>
      </c>
      <c r="AN199" s="446">
        <f>Ruimtestaat[[#This Row],[kosten / jaar weekend]]+Ruimtestaat[[#This Row],[kosten / jaar werkdagen]]</f>
        <v>0</v>
      </c>
      <c r="AO199" s="446"/>
      <c r="AP199" s="447" t="str">
        <f>IF(Ruimtestaat[[#This Row],[Frequentie werkdagen]]="","",_xlfn.CONCAT(Ruimtestaat[[#This Row],[Ruimte code]],"-",Ruimtestaat[[#This Row],[Frequentie werkdagen]]," ",Ruimtestaat[[#This Row],[Vloer code]]))</f>
        <v>7-2w T</v>
      </c>
      <c r="AQ199" s="448" t="str">
        <f>_xlfn.IFNA(VLOOKUP($AP199,Programma!$F$3:$G$1101,2,0),"")</f>
        <v>_</v>
      </c>
      <c r="AR199" s="448" t="str">
        <f>_xlfn.IFNA(VLOOKUP($AP199,Programma!$F$3:$H$1101,3,0),"")</f>
        <v>2w</v>
      </c>
      <c r="AS199" s="448" t="str">
        <f>_xlfn.IFNA(VLOOKUP($AP199,Programma!$F$3:$I$1101,4,0),"")</f>
        <v>_</v>
      </c>
      <c r="AT199" s="448" t="str">
        <f>_xlfn.IFNA(VLOOKUP($AP199,Programma!$F$3:$J$1101,5,0),"")</f>
        <v>_</v>
      </c>
      <c r="AU199" s="448" t="str">
        <f>_xlfn.IFNA(VLOOKUP($AP199,Programma!$F$3:$K$1101,6,0),"")</f>
        <v>_</v>
      </c>
      <c r="AV199" s="448" t="str">
        <f>_xlfn.IFNA(VLOOKUP($AP199,Programma!$F$3:$L$1101,7,0),"")</f>
        <v>_</v>
      </c>
      <c r="AW199" s="448" t="str">
        <f>_xlfn.IFNA(VLOOKUP($AP199,Programma!$F$3:$M$1101,8,0),"")</f>
        <v>_</v>
      </c>
      <c r="AX199" s="448" t="str">
        <f>_xlfn.IFNA(VLOOKUP($AP199,Programma!$F$3:$N$1101,9,0),"")</f>
        <v>_</v>
      </c>
      <c r="AY199" s="448" t="str">
        <f>_xlfn.IFNA(VLOOKUP($AP199,Programma!$F$3:$O$1101,10,0),"")</f>
        <v>2w</v>
      </c>
      <c r="AZ199" s="448" t="str">
        <f>_xlfn.IFNA(VLOOKUP($AP199,Programma!$F$3:$P$1101,11,0),"")</f>
        <v>2w</v>
      </c>
      <c r="BA199" s="448" t="str">
        <f>_xlfn.IFNA(VLOOKUP($AP199,Programma!$F$3:$Q$1101,12,0),"")</f>
        <v>1w</v>
      </c>
      <c r="BB199" s="448" t="str">
        <f>_xlfn.IFNA(VLOOKUP($AP199,Programma!$F$3:$R$1101,13,0),"")</f>
        <v>1w</v>
      </c>
      <c r="BC199" s="448" t="str">
        <f>_xlfn.IFNA(VLOOKUP($AP199,Programma!$F$3:$S$1101,14,0),"")</f>
        <v>1m</v>
      </c>
      <c r="BD199" s="448" t="str">
        <f>_xlfn.IFNA(VLOOKUP($AP199,Programma!$F$3:$T$1101,15,0),"")</f>
        <v>2j</v>
      </c>
      <c r="BE199" s="448" t="str">
        <f>_xlfn.IFNA(VLOOKUP($AP199,Programma!$F$3:$U$1101,16,0),"")</f>
        <v>1j</v>
      </c>
      <c r="BF199" s="448" t="str">
        <f>_xlfn.IFNA(VLOOKUP($AP199,Programma!$F$3:$V$1101,17,0),"")</f>
        <v>_</v>
      </c>
      <c r="BG199" s="448" t="str">
        <f>_xlfn.IFNA(VLOOKUP($AP199,Programma!$F$3:$W$1101,18,0),"")</f>
        <v>_</v>
      </c>
      <c r="BH199" s="448" t="str">
        <f>_xlfn.IFNA(VLOOKUP($AP199,Programma!$F$3:$X$1101,19,0),"")</f>
        <v>_</v>
      </c>
      <c r="BI199" s="448" t="str">
        <f>_xlfn.IFNA(VLOOKUP($AP199,Programma!$F$3:$Y$1101,20,0),"")</f>
        <v>_</v>
      </c>
      <c r="BJ199" s="449"/>
      <c r="BK199" s="447" t="str">
        <f>IF(Ruimtestaat[[#This Row],[Frequentie weekend]]="","",_xlfn.CONCAT(Ruimtestaat[[#This Row],[Ruimte code]],"-",Ruimtestaat[[#This Row],[Frequentie weekend]]," ",Ruimtestaat[[#This Row],[Vloer code]]))</f>
        <v/>
      </c>
      <c r="BL199" s="448" t="str">
        <f>_xlfn.IFNA(VLOOKUP($BK199,Programma!$F$3:$G$1101,2,0),"")</f>
        <v/>
      </c>
      <c r="BM199" s="448" t="str">
        <f>_xlfn.IFNA(VLOOKUP($BK199,Programma!$F$3:$H$1101,3,0),"")</f>
        <v/>
      </c>
      <c r="BN199" s="448" t="str">
        <f>_xlfn.IFNA(VLOOKUP($BK199,Programma!$F$3:$I$1101,4,0),"")</f>
        <v/>
      </c>
      <c r="BO199" s="448" t="str">
        <f>_xlfn.IFNA(VLOOKUP($BK199,Programma!$F$3:$J$1101,5,0),"")</f>
        <v/>
      </c>
      <c r="BP199" s="448" t="str">
        <f>_xlfn.IFNA(VLOOKUP($BK199,Programma!$F$3:$K$1101,6,0),"")</f>
        <v/>
      </c>
      <c r="BQ199" s="448" t="str">
        <f>_xlfn.IFNA(VLOOKUP($BK199,Programma!$F$3:$L$1101,7,0),"")</f>
        <v/>
      </c>
      <c r="BR199" s="448" t="str">
        <f>_xlfn.IFNA(VLOOKUP($BK199,Programma!$F$3:$M$1101,8,0),"")</f>
        <v/>
      </c>
      <c r="BS199" s="448" t="str">
        <f>_xlfn.IFNA(VLOOKUP($BK199,Programma!$F$3:$N$1101,9,0),"")</f>
        <v/>
      </c>
      <c r="BT199" s="448" t="str">
        <f>_xlfn.IFNA(VLOOKUP($BK199,Programma!$F$3:$O$1101,10,0),"")</f>
        <v/>
      </c>
      <c r="BU199" s="448" t="str">
        <f>_xlfn.IFNA(VLOOKUP($BK199,Programma!$F$3:$P$1101,11,0),"")</f>
        <v/>
      </c>
      <c r="BV199" s="448" t="str">
        <f>_xlfn.IFNA(VLOOKUP($BK199,Programma!$F$3:$Q$1101,12,0),"")</f>
        <v/>
      </c>
      <c r="BW199" s="448" t="str">
        <f>_xlfn.IFNA(VLOOKUP($BK199,Programma!$F$3:$R$1101,13,0),"")</f>
        <v/>
      </c>
      <c r="BX199" s="448" t="str">
        <f>_xlfn.IFNA(VLOOKUP($BK199,Programma!$F$3:$S$1101,14,0),"")</f>
        <v/>
      </c>
      <c r="BY199" s="448" t="str">
        <f>_xlfn.IFNA(VLOOKUP($BK199,Programma!$F$3:$T$1101,15,0),"")</f>
        <v/>
      </c>
      <c r="BZ199" s="448" t="str">
        <f>_xlfn.IFNA(VLOOKUP($BK199,Programma!$F$3:$U$1101,16,0),"")</f>
        <v/>
      </c>
      <c r="CA199" s="448" t="str">
        <f>_xlfn.IFNA(VLOOKUP($BK199,Programma!$F$3:$V$1101,17,0),"")</f>
        <v/>
      </c>
      <c r="CB199" s="448" t="str">
        <f>_xlfn.IFNA(VLOOKUP($BK199,Programma!$F$3:$W$1101,18,0),"")</f>
        <v/>
      </c>
      <c r="CC199" s="448" t="str">
        <f>_xlfn.IFNA(VLOOKUP($BK199,Programma!$F$3:$X$1101,19,0),"")</f>
        <v/>
      </c>
      <c r="CD199" s="448" t="str">
        <f>_xlfn.IFNA(VLOOKUP($BK199,Programma!$F$3:$Y$1101,20,0),"")</f>
        <v/>
      </c>
      <c r="CE199" s="327"/>
      <c r="CF199" s="327"/>
      <c r="CG199" s="327"/>
      <c r="CH199" s="327"/>
      <c r="CI199" s="327"/>
      <c r="CJ199" s="327"/>
      <c r="CK199" s="327"/>
      <c r="CL199" s="327"/>
      <c r="CM199" s="327"/>
      <c r="CN199" s="327"/>
      <c r="CO199" s="327"/>
      <c r="CP199" s="327"/>
      <c r="CQ199" s="327"/>
      <c r="CR199" s="327"/>
      <c r="CS199" s="327"/>
      <c r="CT199" s="327"/>
      <c r="CU199" s="327"/>
      <c r="CV199" s="327"/>
      <c r="CW199" s="327"/>
      <c r="CX199" s="327"/>
      <c r="CY199" s="327"/>
      <c r="CZ199" s="327"/>
      <c r="DA199" s="327"/>
      <c r="DB199" s="327"/>
      <c r="DC199" s="327"/>
      <c r="DD199" s="327"/>
      <c r="DE199" s="327"/>
      <c r="DF199" s="327"/>
      <c r="DG199" s="327"/>
      <c r="DH199" s="327"/>
      <c r="DI199" s="327"/>
      <c r="DJ199" s="327"/>
      <c r="DK199" s="327"/>
      <c r="DL199" s="327"/>
      <c r="DM199" s="327"/>
      <c r="DN199" s="327"/>
      <c r="DO199" s="327"/>
      <c r="DP199" s="327"/>
      <c r="DQ199" s="327"/>
      <c r="DR199" s="327"/>
      <c r="DS199" s="327"/>
      <c r="DT199" s="327"/>
      <c r="DU199" s="327"/>
      <c r="DV199" s="327"/>
      <c r="DW199" s="327"/>
      <c r="DX199" s="327"/>
      <c r="DY199" s="327"/>
      <c r="DZ199" s="327"/>
      <c r="EA199" s="327"/>
      <c r="EB199" s="327"/>
      <c r="EC199" s="327"/>
      <c r="ED199" s="327"/>
      <c r="EE199" s="327"/>
      <c r="EF199" s="327"/>
      <c r="EG199" s="327"/>
      <c r="EH199" s="327"/>
      <c r="EI199" s="327"/>
      <c r="EJ199" s="327"/>
      <c r="EK199" s="327"/>
      <c r="EL199" s="327"/>
      <c r="EM199" s="327"/>
      <c r="EN199" s="327"/>
      <c r="EO199" s="327"/>
      <c r="EP199" s="327"/>
      <c r="EQ199" s="327"/>
      <c r="ER199" s="327"/>
      <c r="ES199" s="327"/>
      <c r="ET199" s="327"/>
      <c r="EU199" s="327"/>
      <c r="EV199" s="327"/>
      <c r="EW199" s="327"/>
      <c r="EX199" s="327"/>
      <c r="EY199" s="327"/>
      <c r="EZ199" s="327"/>
      <c r="FA199" s="327"/>
      <c r="FB199" s="327"/>
      <c r="FC199" s="327"/>
      <c r="FD199" s="327"/>
      <c r="FE199" s="327"/>
      <c r="FF199" s="327"/>
      <c r="FG199" s="327"/>
      <c r="FH199" s="327"/>
      <c r="FI199" s="327"/>
      <c r="FJ199" s="327"/>
      <c r="FK199" s="327"/>
      <c r="FL199" s="327"/>
      <c r="FM199" s="327"/>
      <c r="FN199" s="327"/>
      <c r="FO199" s="327"/>
      <c r="FP199" s="327"/>
      <c r="FQ199" s="327"/>
      <c r="FR199" s="327"/>
      <c r="FS199" s="327"/>
      <c r="FT199" s="327"/>
      <c r="FU199" s="327"/>
      <c r="FV199" s="327"/>
      <c r="FW199" s="327"/>
      <c r="FX199" s="327"/>
      <c r="FY199" s="327"/>
      <c r="FZ199" s="327"/>
      <c r="GA199" s="327"/>
      <c r="GB199" s="327"/>
      <c r="GC199" s="327"/>
      <c r="GD199" s="327"/>
      <c r="GE199" s="327"/>
      <c r="GF199" s="327"/>
      <c r="GG199" s="327"/>
      <c r="GH199" s="327"/>
      <c r="GI199" s="327"/>
      <c r="GJ199" s="327"/>
      <c r="GK199" s="327"/>
      <c r="GL199" s="327"/>
      <c r="GM199" s="327"/>
      <c r="GN199" s="327"/>
      <c r="GO199" s="327"/>
      <c r="GP199" s="327"/>
      <c r="GQ199" s="327"/>
      <c r="GR199" s="327"/>
      <c r="GS199" s="327"/>
      <c r="GT199" s="327"/>
      <c r="GU199" s="327"/>
      <c r="GV199" s="327"/>
      <c r="GW199" s="327"/>
      <c r="GX199" s="327"/>
      <c r="GY199" s="327"/>
      <c r="GZ199" s="327"/>
      <c r="HA199" s="327"/>
      <c r="HB199" s="327"/>
      <c r="HC199" s="327"/>
      <c r="HD199" s="327"/>
      <c r="HE199" s="327"/>
      <c r="HF199" s="327"/>
      <c r="HG199" s="327"/>
      <c r="HH199" s="327"/>
      <c r="HI199" s="327"/>
      <c r="HJ199" s="327"/>
      <c r="HK199" s="327"/>
      <c r="HL199" s="327"/>
      <c r="HM199" s="327"/>
      <c r="HN199" s="327"/>
      <c r="HO199" s="327"/>
      <c r="HP199" s="327"/>
      <c r="HQ199" s="327"/>
      <c r="HR199" s="327"/>
      <c r="HS199" s="327"/>
    </row>
    <row r="200" spans="1:227" ht="15" customHeight="1">
      <c r="A200" s="330">
        <v>9</v>
      </c>
      <c r="B200" s="435" t="str">
        <f>VLOOKUP(Ruimtestaat[[#This Row],[Code]],Locaties[[Code]:[Locatie]],2,FALSE)</f>
        <v>IKC De Vijverburgh</v>
      </c>
      <c r="C200" s="435" t="str">
        <f>VLOOKUP(Ruimtestaat[[#This Row],[Code]],Locaties[[#All],[Code]:[Adres]],4,FALSE)</f>
        <v>Paltelaan 3</v>
      </c>
      <c r="D200" s="435" t="str">
        <f>VLOOKUP(Ruimtestaat[[#This Row],[Code]],Locaties[[#All],[Code]:[Postcode]],5,FALSE)</f>
        <v>2712 RN</v>
      </c>
      <c r="E200" s="435" t="str">
        <f>VLOOKUP(Ruimtestaat[[#This Row],[Code]],Locaties[#All],6,FALSE)</f>
        <v>Zoetermeer</v>
      </c>
      <c r="F200" s="434"/>
      <c r="G200" s="434" t="s">
        <v>1678</v>
      </c>
      <c r="H200" s="330" t="s">
        <v>1778</v>
      </c>
      <c r="I200" s="450" t="s">
        <v>38</v>
      </c>
      <c r="J200" s="330">
        <v>7</v>
      </c>
      <c r="K200" s="450" t="str">
        <f>VLOOKUP(Ruimtestaat[[#This Row],[Ruimte code]],Ruimtegroepen[[#All],[Code]:[Ruimte omschrijving]],2,FALSE)</f>
        <v>Entree</v>
      </c>
      <c r="L200" s="434" t="s">
        <v>100</v>
      </c>
      <c r="M200" s="437" t="s">
        <v>1759</v>
      </c>
      <c r="N200" s="439">
        <v>43</v>
      </c>
      <c r="O200" s="439"/>
      <c r="P200" s="439"/>
      <c r="Q200" s="439"/>
      <c r="R200" s="440" t="str">
        <f>VLOOKUP(Ruimtestaat[[#This Row],[Ruimte code]],Ruimtegroepen[],4,FALSE)</f>
        <v>Ve</v>
      </c>
      <c r="S200" s="434">
        <v>41</v>
      </c>
      <c r="T200" s="434" t="s">
        <v>17</v>
      </c>
      <c r="U200" s="434">
        <f>IF(S200&gt;0,IF(RIGHT(Ruimtestaat[[#This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200" s="434">
        <f>IF(U200&gt;0,VLOOKUP($J200,Ruimtegroepen[],3,FALSE)*VLOOKUP($L200,Vloersoorten[],3,FALSE)*VLOOKUP($T200,Frequenties[],3,FALSE)*VLOOKUP($A200,Locaties[],3,FALSE),0)</f>
        <v>0</v>
      </c>
      <c r="W200" s="434">
        <f>Ruimtestaat[[#This Row],[Uitvoeringen werkdagen]]*Ruimtestaat[[#This Row],[Oppervlak (netto)]]</f>
        <v>3526</v>
      </c>
      <c r="X200" s="441">
        <f>IF(V200&gt;0,Ruimtestaat[[#This Row],[Prest. (m2 /jaar) werkdagen]]/Ruimtestaat[[#This Row],[Norm (m2/uur) werkdagen]],0)</f>
        <v>0</v>
      </c>
      <c r="Y200" s="442">
        <f>Ruimtestaat[[#This Row],[Uitvoeringen werkdagen]]*Ruimtestaat[[#This Row],[Gedeeltelijk]]</f>
        <v>0</v>
      </c>
      <c r="Z200" s="443" t="e">
        <f>IF(U200&gt;0,Ruimtestaat[[#This Row],[Prest. (m2 / jaar) werkdagen gedeeld]]/Ruimtestaat[[#This Row],[Norm (m2/uur) werkdagen]],0)</f>
        <v>#DIV/0!</v>
      </c>
      <c r="AA200" s="441" t="e">
        <f>Ruimtestaat[[#This Row],[uren / jaar werkdagen gedeeld]]*Tariefsopbouw!$E$35</f>
        <v>#DIV/0!</v>
      </c>
      <c r="AB200" s="441">
        <f>Ruimtestaat[[#This Row],[Uitvoeringen werkdagen]]*Ruimtestaat[[#This Row],[BSO]]</f>
        <v>0</v>
      </c>
      <c r="AC200" s="443" t="e">
        <f>IF(U200&gt;0,Ruimtestaat[[#This Row],[Prest. (m2 / jaar) werkdagen BSO]]/Ruimtestaat[[#This Row],[Norm (m2/uur) werkdagen]],0)</f>
        <v>#DIV/0!</v>
      </c>
      <c r="AD200" s="443" t="e">
        <f>Ruimtestaat[[#This Row],[uren / jaar werkdagen BSO]]*Tariefsopbouw!$E$35</f>
        <v>#DIV/0!</v>
      </c>
      <c r="AE200" s="444">
        <f>Ruimtestaat[[#This Row],[uren / jaar werkdagen]]*Tariefsopbouw!$E$35</f>
        <v>0</v>
      </c>
      <c r="AF200" s="434"/>
      <c r="AG200" s="434">
        <f>IF(Ruimtestaat[[#This Row],[Frequentie weekend]]&gt;0,VALUE(LEFT(AF200,1))*S200,0)</f>
        <v>0</v>
      </c>
      <c r="AH200" s="445">
        <f>IF($AG200&gt;0,VLOOKUP($J200,Ruimtegroepen[],3,FALSE)*VLOOKUP($L200,Vloersoorten[],3,FALSE)*VLOOKUP($AF200,Frequenties[],3,FALSE)*VLOOKUP(Ruimtestaat[[#This Row],[Code]],Locaties[],3,FALSE),0)</f>
        <v>0</v>
      </c>
      <c r="AI200" s="445">
        <f>Ruimtestaat[[#This Row],[Uitvoeringen weekend]]*Ruimtestaat[[#This Row],[Oppervlak (netto)]]</f>
        <v>0</v>
      </c>
      <c r="AJ200" s="445">
        <f>IF(AH200&gt;0,Ruimtestaat[[#This Row],[Prest. (m2 /jaar) weekend]]/Ruimtestaat[[#This Row],[Norm (m2/uur) weekend]],0)</f>
        <v>0</v>
      </c>
      <c r="AK200" s="444">
        <f>Ruimtestaat[[#This Row],[uren / jaar weekend]]*Tariefsopbouw!$D$40</f>
        <v>0</v>
      </c>
      <c r="AL200" s="441">
        <f>Ruimtestaat[[#This Row],[Prest. (m2 /jaar) weekend]]+Ruimtestaat[[#This Row],[Prest. (m2 /jaar) werkdagen]]</f>
        <v>3526</v>
      </c>
      <c r="AM200" s="441">
        <f>Ruimtestaat[[#This Row],[uren / jaar weekend]]+Ruimtestaat[[#This Row],[uren / jaar werkdagen]]</f>
        <v>0</v>
      </c>
      <c r="AN200" s="446">
        <f>Ruimtestaat[[#This Row],[kosten / jaar weekend]]+Ruimtestaat[[#This Row],[kosten / jaar werkdagen]]</f>
        <v>0</v>
      </c>
      <c r="AO200" s="446"/>
      <c r="AP200" s="447" t="str">
        <f>IF(Ruimtestaat[[#This Row],[Frequentie werkdagen]]="","",_xlfn.CONCAT(Ruimtestaat[[#This Row],[Ruimte code]],"-",Ruimtestaat[[#This Row],[Frequentie werkdagen]]," ",Ruimtestaat[[#This Row],[Vloer code]]))</f>
        <v>7-2w L</v>
      </c>
      <c r="AQ200" s="448" t="str">
        <f>_xlfn.IFNA(VLOOKUP($AP200,Programma!$F$3:$G$1101,2,0),"")</f>
        <v>_</v>
      </c>
      <c r="AR200" s="448" t="str">
        <f>_xlfn.IFNA(VLOOKUP($AP200,Programma!$F$3:$H$1101,3,0),"")</f>
        <v>_</v>
      </c>
      <c r="AS200" s="448" t="str">
        <f>_xlfn.IFNA(VLOOKUP($AP200,Programma!$F$3:$I$1101,4,0),"")</f>
        <v>2w</v>
      </c>
      <c r="AT200" s="448" t="str">
        <f>_xlfn.IFNA(VLOOKUP($AP200,Programma!$F$3:$J$1101,5,0),"")</f>
        <v>_</v>
      </c>
      <c r="AU200" s="448" t="str">
        <f>_xlfn.IFNA(VLOOKUP($AP200,Programma!$F$3:$K$1101,6,0),"")</f>
        <v>1w</v>
      </c>
      <c r="AV200" s="448" t="str">
        <f>_xlfn.IFNA(VLOOKUP($AP200,Programma!$F$3:$L$1101,7,0),"")</f>
        <v>_</v>
      </c>
      <c r="AW200" s="448" t="str">
        <f>_xlfn.IFNA(VLOOKUP($AP200,Programma!$F$3:$M$1101,8,0),"")</f>
        <v>_</v>
      </c>
      <c r="AX200" s="448" t="str">
        <f>_xlfn.IFNA(VLOOKUP($AP200,Programma!$F$3:$N$1101,9,0),"")</f>
        <v>_</v>
      </c>
      <c r="AY200" s="448" t="str">
        <f>_xlfn.IFNA(VLOOKUP($AP200,Programma!$F$3:$O$1101,10,0),"")</f>
        <v>2w</v>
      </c>
      <c r="AZ200" s="448" t="str">
        <f>_xlfn.IFNA(VLOOKUP($AP200,Programma!$F$3:$P$1101,11,0),"")</f>
        <v>2w</v>
      </c>
      <c r="BA200" s="448" t="str">
        <f>_xlfn.IFNA(VLOOKUP($AP200,Programma!$F$3:$Q$1101,12,0),"")</f>
        <v>1w</v>
      </c>
      <c r="BB200" s="448" t="str">
        <f>_xlfn.IFNA(VLOOKUP($AP200,Programma!$F$3:$R$1101,13,0),"")</f>
        <v>1w</v>
      </c>
      <c r="BC200" s="448" t="str">
        <f>_xlfn.IFNA(VLOOKUP($AP200,Programma!$F$3:$S$1101,14,0),"")</f>
        <v>1m</v>
      </c>
      <c r="BD200" s="448" t="str">
        <f>_xlfn.IFNA(VLOOKUP($AP200,Programma!$F$3:$T$1101,15,0),"")</f>
        <v>2j</v>
      </c>
      <c r="BE200" s="448" t="str">
        <f>_xlfn.IFNA(VLOOKUP($AP200,Programma!$F$3:$U$1101,16,0),"")</f>
        <v>1j</v>
      </c>
      <c r="BF200" s="448" t="str">
        <f>_xlfn.IFNA(VLOOKUP($AP200,Programma!$F$3:$V$1101,17,0),"")</f>
        <v>_</v>
      </c>
      <c r="BG200" s="448" t="str">
        <f>_xlfn.IFNA(VLOOKUP($AP200,Programma!$F$3:$W$1101,18,0),"")</f>
        <v>_</v>
      </c>
      <c r="BH200" s="448" t="str">
        <f>_xlfn.IFNA(VLOOKUP($AP200,Programma!$F$3:$X$1101,19,0),"")</f>
        <v>_</v>
      </c>
      <c r="BI200" s="448" t="str">
        <f>_xlfn.IFNA(VLOOKUP($AP200,Programma!$F$3:$Y$1101,20,0),"")</f>
        <v>_</v>
      </c>
      <c r="BJ200" s="449"/>
      <c r="BK200" s="447" t="str">
        <f>IF(Ruimtestaat[[#This Row],[Frequentie weekend]]="","",_xlfn.CONCAT(Ruimtestaat[[#This Row],[Ruimte code]],"-",Ruimtestaat[[#This Row],[Frequentie weekend]]," ",Ruimtestaat[[#This Row],[Vloer code]]))</f>
        <v/>
      </c>
      <c r="BL200" s="448" t="str">
        <f>_xlfn.IFNA(VLOOKUP($BK200,Programma!$F$3:$G$1101,2,0),"")</f>
        <v/>
      </c>
      <c r="BM200" s="448" t="str">
        <f>_xlfn.IFNA(VLOOKUP($BK200,Programma!$F$3:$H$1101,3,0),"")</f>
        <v/>
      </c>
      <c r="BN200" s="448" t="str">
        <f>_xlfn.IFNA(VLOOKUP($BK200,Programma!$F$3:$I$1101,4,0),"")</f>
        <v/>
      </c>
      <c r="BO200" s="448" t="str">
        <f>_xlfn.IFNA(VLOOKUP($BK200,Programma!$F$3:$J$1101,5,0),"")</f>
        <v/>
      </c>
      <c r="BP200" s="448" t="str">
        <f>_xlfn.IFNA(VLOOKUP($BK200,Programma!$F$3:$K$1101,6,0),"")</f>
        <v/>
      </c>
      <c r="BQ200" s="448" t="str">
        <f>_xlfn.IFNA(VLOOKUP($BK200,Programma!$F$3:$L$1101,7,0),"")</f>
        <v/>
      </c>
      <c r="BR200" s="448" t="str">
        <f>_xlfn.IFNA(VLOOKUP($BK200,Programma!$F$3:$M$1101,8,0),"")</f>
        <v/>
      </c>
      <c r="BS200" s="448" t="str">
        <f>_xlfn.IFNA(VLOOKUP($BK200,Programma!$F$3:$N$1101,9,0),"")</f>
        <v/>
      </c>
      <c r="BT200" s="448" t="str">
        <f>_xlfn.IFNA(VLOOKUP($BK200,Programma!$F$3:$O$1101,10,0),"")</f>
        <v/>
      </c>
      <c r="BU200" s="448" t="str">
        <f>_xlfn.IFNA(VLOOKUP($BK200,Programma!$F$3:$P$1101,11,0),"")</f>
        <v/>
      </c>
      <c r="BV200" s="448" t="str">
        <f>_xlfn.IFNA(VLOOKUP($BK200,Programma!$F$3:$Q$1101,12,0),"")</f>
        <v/>
      </c>
      <c r="BW200" s="448" t="str">
        <f>_xlfn.IFNA(VLOOKUP($BK200,Programma!$F$3:$R$1101,13,0),"")</f>
        <v/>
      </c>
      <c r="BX200" s="448" t="str">
        <f>_xlfn.IFNA(VLOOKUP($BK200,Programma!$F$3:$S$1101,14,0),"")</f>
        <v/>
      </c>
      <c r="BY200" s="448" t="str">
        <f>_xlfn.IFNA(VLOOKUP($BK200,Programma!$F$3:$T$1101,15,0),"")</f>
        <v/>
      </c>
      <c r="BZ200" s="448" t="str">
        <f>_xlfn.IFNA(VLOOKUP($BK200,Programma!$F$3:$U$1101,16,0),"")</f>
        <v/>
      </c>
      <c r="CA200" s="448" t="str">
        <f>_xlfn.IFNA(VLOOKUP($BK200,Programma!$F$3:$V$1101,17,0),"")</f>
        <v/>
      </c>
      <c r="CB200" s="448" t="str">
        <f>_xlfn.IFNA(VLOOKUP($BK200,Programma!$F$3:$W$1101,18,0),"")</f>
        <v/>
      </c>
      <c r="CC200" s="448" t="str">
        <f>_xlfn.IFNA(VLOOKUP($BK200,Programma!$F$3:$X$1101,19,0),"")</f>
        <v/>
      </c>
      <c r="CD200" s="448" t="str">
        <f>_xlfn.IFNA(VLOOKUP($BK200,Programma!$F$3:$Y$1101,20,0),"")</f>
        <v/>
      </c>
      <c r="CE200" s="327"/>
      <c r="CF200" s="327"/>
      <c r="CG200" s="327"/>
      <c r="CH200" s="327"/>
      <c r="CI200" s="327"/>
      <c r="CJ200" s="327"/>
      <c r="CK200" s="327"/>
      <c r="CL200" s="327"/>
      <c r="CM200" s="327"/>
      <c r="CN200" s="327"/>
      <c r="CO200" s="327"/>
      <c r="CP200" s="327"/>
      <c r="CQ200" s="327"/>
      <c r="CR200" s="327"/>
      <c r="CS200" s="327"/>
      <c r="CT200" s="327"/>
      <c r="CU200" s="327"/>
      <c r="CV200" s="327"/>
      <c r="CW200" s="327"/>
      <c r="CX200" s="327"/>
      <c r="CY200" s="327"/>
      <c r="CZ200" s="327"/>
      <c r="DA200" s="327"/>
      <c r="DB200" s="327"/>
      <c r="DC200" s="327"/>
      <c r="DD200" s="327"/>
      <c r="DE200" s="327"/>
      <c r="DF200" s="327"/>
      <c r="DG200" s="327"/>
      <c r="DH200" s="327"/>
      <c r="DI200" s="327"/>
      <c r="DJ200" s="327"/>
      <c r="DK200" s="327"/>
      <c r="DL200" s="327"/>
      <c r="DM200" s="327"/>
      <c r="DN200" s="327"/>
      <c r="DO200" s="327"/>
      <c r="DP200" s="327"/>
      <c r="DQ200" s="327"/>
      <c r="DR200" s="327"/>
      <c r="DS200" s="327"/>
      <c r="DT200" s="327"/>
      <c r="DU200" s="327"/>
      <c r="DV200" s="327"/>
      <c r="DW200" s="327"/>
      <c r="DX200" s="327"/>
      <c r="DY200" s="327"/>
      <c r="DZ200" s="327"/>
      <c r="EA200" s="327"/>
      <c r="EB200" s="327"/>
      <c r="EC200" s="327"/>
      <c r="ED200" s="327"/>
      <c r="EE200" s="327"/>
      <c r="EF200" s="327"/>
      <c r="EG200" s="327"/>
      <c r="EH200" s="327"/>
      <c r="EI200" s="327"/>
      <c r="EJ200" s="327"/>
      <c r="EK200" s="327"/>
      <c r="EL200" s="327"/>
      <c r="EM200" s="327"/>
      <c r="EN200" s="327"/>
      <c r="EO200" s="327"/>
      <c r="EP200" s="327"/>
      <c r="EQ200" s="327"/>
      <c r="ER200" s="327"/>
      <c r="ES200" s="327"/>
      <c r="ET200" s="327"/>
      <c r="EU200" s="327"/>
      <c r="EV200" s="327"/>
      <c r="EW200" s="327"/>
      <c r="EX200" s="327"/>
      <c r="EY200" s="327"/>
      <c r="EZ200" s="327"/>
      <c r="FA200" s="327"/>
      <c r="FB200" s="327"/>
      <c r="FC200" s="327"/>
      <c r="FD200" s="327"/>
      <c r="FE200" s="327"/>
      <c r="FF200" s="327"/>
      <c r="FG200" s="327"/>
      <c r="FH200" s="327"/>
      <c r="FI200" s="327"/>
      <c r="FJ200" s="327"/>
      <c r="FK200" s="327"/>
      <c r="FL200" s="327"/>
      <c r="FM200" s="327"/>
      <c r="FN200" s="327"/>
      <c r="FO200" s="327"/>
      <c r="FP200" s="327"/>
      <c r="FQ200" s="327"/>
      <c r="FR200" s="327"/>
      <c r="FS200" s="327"/>
      <c r="FT200" s="327"/>
      <c r="FU200" s="327"/>
      <c r="FV200" s="327"/>
      <c r="FW200" s="327"/>
      <c r="FX200" s="327"/>
      <c r="FY200" s="327"/>
      <c r="FZ200" s="327"/>
      <c r="GA200" s="327"/>
      <c r="GB200" s="327"/>
      <c r="GC200" s="327"/>
      <c r="GD200" s="327"/>
      <c r="GE200" s="327"/>
      <c r="GF200" s="327"/>
      <c r="GG200" s="327"/>
      <c r="GH200" s="327"/>
      <c r="GI200" s="327"/>
      <c r="GJ200" s="327"/>
      <c r="GK200" s="327"/>
      <c r="GL200" s="327"/>
      <c r="GM200" s="327"/>
      <c r="GN200" s="327"/>
      <c r="GO200" s="327"/>
      <c r="GP200" s="327"/>
      <c r="GQ200" s="327"/>
      <c r="GR200" s="327"/>
      <c r="GS200" s="327"/>
      <c r="GT200" s="327"/>
      <c r="GU200" s="327"/>
      <c r="GV200" s="327"/>
      <c r="GW200" s="327"/>
      <c r="GX200" s="327"/>
      <c r="GY200" s="327"/>
      <c r="GZ200" s="327"/>
      <c r="HA200" s="327"/>
      <c r="HB200" s="327"/>
      <c r="HC200" s="327"/>
      <c r="HD200" s="327"/>
      <c r="HE200" s="327"/>
      <c r="HF200" s="327"/>
      <c r="HG200" s="327"/>
      <c r="HH200" s="327"/>
      <c r="HI200" s="327"/>
      <c r="HJ200" s="327"/>
      <c r="HK200" s="327"/>
      <c r="HL200" s="327"/>
      <c r="HM200" s="327"/>
      <c r="HN200" s="327"/>
      <c r="HO200" s="327"/>
      <c r="HP200" s="327"/>
      <c r="HQ200" s="327"/>
      <c r="HR200" s="327"/>
      <c r="HS200" s="327"/>
    </row>
    <row r="201" spans="1:227" ht="15" customHeight="1">
      <c r="A201" s="330">
        <v>9</v>
      </c>
      <c r="B201" s="435" t="str">
        <f>VLOOKUP(Ruimtestaat[[#This Row],[Code]],Locaties[[Code]:[Locatie]],2,FALSE)</f>
        <v>IKC De Vijverburgh</v>
      </c>
      <c r="C201" s="435" t="str">
        <f>VLOOKUP(Ruimtestaat[[#This Row],[Code]],Locaties[[#All],[Code]:[Adres]],4,FALSE)</f>
        <v>Paltelaan 3</v>
      </c>
      <c r="D201" s="435" t="str">
        <f>VLOOKUP(Ruimtestaat[[#This Row],[Code]],Locaties[[#All],[Code]:[Postcode]],5,FALSE)</f>
        <v>2712 RN</v>
      </c>
      <c r="E201" s="435" t="str">
        <f>VLOOKUP(Ruimtestaat[[#This Row],[Code]],Locaties[#All],6,FALSE)</f>
        <v>Zoetermeer</v>
      </c>
      <c r="F201" s="434"/>
      <c r="G201" s="434" t="s">
        <v>1678</v>
      </c>
      <c r="H201" s="330" t="s">
        <v>1779</v>
      </c>
      <c r="I201" s="450" t="s">
        <v>1724</v>
      </c>
      <c r="J201" s="330">
        <v>1</v>
      </c>
      <c r="K201" s="450" t="str">
        <f>VLOOKUP(Ruimtestaat[[#This Row],[Ruimte code]],Ruimtegroepen[[#All],[Code]:[Ruimte omschrijving]],2,FALSE)</f>
        <v>Magazijnen/bergingen</v>
      </c>
      <c r="L201" s="434" t="s">
        <v>100</v>
      </c>
      <c r="M201" s="437" t="s">
        <v>1759</v>
      </c>
      <c r="N201" s="439">
        <v>9</v>
      </c>
      <c r="O201" s="439"/>
      <c r="P201" s="439"/>
      <c r="Q201" s="439"/>
      <c r="R201" s="440" t="str">
        <f>VLOOKUP(Ruimtestaat[[#This Row],[Ruimte code]],Ruimtegroepen[],4,FALSE)</f>
        <v>Ve</v>
      </c>
      <c r="S201" s="434">
        <v>40</v>
      </c>
      <c r="T201" s="434" t="s">
        <v>2</v>
      </c>
      <c r="U201" s="434">
        <f>IF(S201&gt;0,IF(RIGHT(Ruimtestaat[[#This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1" s="434">
        <f>IF(U201&gt;0,VLOOKUP($J201,Ruimtegroepen[],3,FALSE)*VLOOKUP($L201,Vloersoorten[],3,FALSE)*VLOOKUP($T201,Frequenties[],3,FALSE)*VLOOKUP($A201,Locaties[],3,FALSE),0)</f>
        <v>0</v>
      </c>
      <c r="W201" s="434">
        <f>Ruimtestaat[[#This Row],[Uitvoeringen werkdagen]]*Ruimtestaat[[#This Row],[Oppervlak (netto)]]</f>
        <v>1800</v>
      </c>
      <c r="X201" s="441">
        <f>IF(V201&gt;0,Ruimtestaat[[#This Row],[Prest. (m2 /jaar) werkdagen]]/Ruimtestaat[[#This Row],[Norm (m2/uur) werkdagen]],0)</f>
        <v>0</v>
      </c>
      <c r="Y201" s="442">
        <f>Ruimtestaat[[#This Row],[Uitvoeringen werkdagen]]*Ruimtestaat[[#This Row],[Gedeeltelijk]]</f>
        <v>0</v>
      </c>
      <c r="Z201" s="443" t="e">
        <f>IF(U201&gt;0,Ruimtestaat[[#This Row],[Prest. (m2 / jaar) werkdagen gedeeld]]/Ruimtestaat[[#This Row],[Norm (m2/uur) werkdagen]],0)</f>
        <v>#DIV/0!</v>
      </c>
      <c r="AA201" s="441" t="e">
        <f>Ruimtestaat[[#This Row],[uren / jaar werkdagen gedeeld]]*Tariefsopbouw!$E$35</f>
        <v>#DIV/0!</v>
      </c>
      <c r="AB201" s="441">
        <f>Ruimtestaat[[#This Row],[Uitvoeringen werkdagen]]*Ruimtestaat[[#This Row],[BSO]]</f>
        <v>0</v>
      </c>
      <c r="AC201" s="443" t="e">
        <f>IF(U201&gt;0,Ruimtestaat[[#This Row],[Prest. (m2 / jaar) werkdagen BSO]]/Ruimtestaat[[#This Row],[Norm (m2/uur) werkdagen]],0)</f>
        <v>#DIV/0!</v>
      </c>
      <c r="AD201" s="443" t="e">
        <f>Ruimtestaat[[#This Row],[uren / jaar werkdagen BSO]]*Tariefsopbouw!$E$35</f>
        <v>#DIV/0!</v>
      </c>
      <c r="AE201" s="444">
        <f>Ruimtestaat[[#This Row],[uren / jaar werkdagen]]*Tariefsopbouw!$E$35</f>
        <v>0</v>
      </c>
      <c r="AF201" s="434"/>
      <c r="AG201" s="434">
        <f>IF(Ruimtestaat[[#This Row],[Frequentie weekend]]&gt;0,VALUE(LEFT(AF201,1))*S201,0)</f>
        <v>0</v>
      </c>
      <c r="AH201" s="445">
        <f>IF($AG201&gt;0,VLOOKUP($J201,Ruimtegroepen[],3,FALSE)*VLOOKUP($L201,Vloersoorten[],3,FALSE)*VLOOKUP($AF201,Frequenties[],3,FALSE)*VLOOKUP(Ruimtestaat[[#This Row],[Code]],Locaties[],3,FALSE),0)</f>
        <v>0</v>
      </c>
      <c r="AI201" s="445">
        <f>Ruimtestaat[[#This Row],[Uitvoeringen weekend]]*Ruimtestaat[[#This Row],[Oppervlak (netto)]]</f>
        <v>0</v>
      </c>
      <c r="AJ201" s="445">
        <f>IF(AH201&gt;0,Ruimtestaat[[#This Row],[Prest. (m2 /jaar) weekend]]/Ruimtestaat[[#This Row],[Norm (m2/uur) weekend]],0)</f>
        <v>0</v>
      </c>
      <c r="AK201" s="444">
        <f>Ruimtestaat[[#This Row],[uren / jaar weekend]]*Tariefsopbouw!$D$40</f>
        <v>0</v>
      </c>
      <c r="AL201" s="441">
        <f>Ruimtestaat[[#This Row],[Prest. (m2 /jaar) weekend]]+Ruimtestaat[[#This Row],[Prest. (m2 /jaar) werkdagen]]</f>
        <v>1800</v>
      </c>
      <c r="AM201" s="441">
        <f>Ruimtestaat[[#This Row],[uren / jaar weekend]]+Ruimtestaat[[#This Row],[uren / jaar werkdagen]]</f>
        <v>0</v>
      </c>
      <c r="AN201" s="446">
        <f>Ruimtestaat[[#This Row],[kosten / jaar weekend]]+Ruimtestaat[[#This Row],[kosten / jaar werkdagen]]</f>
        <v>0</v>
      </c>
      <c r="AO201" s="446"/>
      <c r="AP201" s="447" t="str">
        <f>IF(Ruimtestaat[[#This Row],[Frequentie werkdagen]]="","",_xlfn.CONCAT(Ruimtestaat[[#This Row],[Ruimte code]],"-",Ruimtestaat[[#This Row],[Frequentie werkdagen]]," ",Ruimtestaat[[#This Row],[Vloer code]]))</f>
        <v>1-5w L</v>
      </c>
      <c r="AQ201" s="448" t="str">
        <f>_xlfn.IFNA(VLOOKUP($AP201,Programma!$F$3:$G$1101,2,0),"")</f>
        <v>_</v>
      </c>
      <c r="AR201" s="448" t="str">
        <f>_xlfn.IFNA(VLOOKUP($AP201,Programma!$F$3:$H$1101,3,0),"")</f>
        <v>_</v>
      </c>
      <c r="AS201" s="448" t="str">
        <f>_xlfn.IFNA(VLOOKUP($AP201,Programma!$F$3:$I$1101,4,0),"")</f>
        <v>4w</v>
      </c>
      <c r="AT201" s="448" t="str">
        <f>_xlfn.IFNA(VLOOKUP($AP201,Programma!$F$3:$J$1101,5,0),"")</f>
        <v>1w</v>
      </c>
      <c r="AU201" s="448" t="str">
        <f>_xlfn.IFNA(VLOOKUP($AP201,Programma!$F$3:$K$1101,6,0),"")</f>
        <v>_</v>
      </c>
      <c r="AV201" s="448" t="str">
        <f>_xlfn.IFNA(VLOOKUP($AP201,Programma!$F$3:$L$1101,7,0),"")</f>
        <v>_</v>
      </c>
      <c r="AW201" s="448" t="str">
        <f>_xlfn.IFNA(VLOOKUP($AP201,Programma!$F$3:$M$1101,8,0),"")</f>
        <v>_</v>
      </c>
      <c r="AX201" s="448" t="str">
        <f>_xlfn.IFNA(VLOOKUP($AP201,Programma!$F$3:$N$1101,9,0),"")</f>
        <v>_</v>
      </c>
      <c r="AY201" s="448" t="str">
        <f>_xlfn.IFNA(VLOOKUP($AP201,Programma!$F$3:$O$1101,10,0),"")</f>
        <v>_</v>
      </c>
      <c r="AZ201" s="448" t="str">
        <f>_xlfn.IFNA(VLOOKUP($AP201,Programma!$F$3:$P$1101,11,0),"")</f>
        <v>_</v>
      </c>
      <c r="BA201" s="448" t="str">
        <f>_xlfn.IFNA(VLOOKUP($AP201,Programma!$F$3:$Q$1101,12,0),"")</f>
        <v>_</v>
      </c>
      <c r="BB201" s="448" t="str">
        <f>_xlfn.IFNA(VLOOKUP($AP201,Programma!$F$3:$R$1101,13,0),"")</f>
        <v>_</v>
      </c>
      <c r="BC201" s="448" t="str">
        <f>_xlfn.IFNA(VLOOKUP($AP201,Programma!$F$3:$S$1101,14,0),"")</f>
        <v>5w</v>
      </c>
      <c r="BD201" s="448" t="str">
        <f>_xlfn.IFNA(VLOOKUP($AP201,Programma!$F$3:$T$1101,15,0),"")</f>
        <v>4j</v>
      </c>
      <c r="BE201" s="448" t="str">
        <f>_xlfn.IFNA(VLOOKUP($AP201,Programma!$F$3:$U$1101,16,0),"")</f>
        <v>4j</v>
      </c>
      <c r="BF201" s="448" t="str">
        <f>_xlfn.IFNA(VLOOKUP($AP201,Programma!$F$3:$V$1101,17,0),"")</f>
        <v>_</v>
      </c>
      <c r="BG201" s="448" t="str">
        <f>_xlfn.IFNA(VLOOKUP($AP201,Programma!$F$3:$W$1101,18,0),"")</f>
        <v>_</v>
      </c>
      <c r="BH201" s="448" t="str">
        <f>_xlfn.IFNA(VLOOKUP($AP201,Programma!$F$3:$X$1101,19,0),"")</f>
        <v>_</v>
      </c>
      <c r="BI201" s="448" t="str">
        <f>_xlfn.IFNA(VLOOKUP($AP201,Programma!$F$3:$Y$1101,20,0),"")</f>
        <v>_</v>
      </c>
      <c r="BJ201" s="449"/>
      <c r="BK201" s="447" t="str">
        <f>IF(Ruimtestaat[[#This Row],[Frequentie weekend]]="","",_xlfn.CONCAT(Ruimtestaat[[#This Row],[Ruimte code]],"-",Ruimtestaat[[#This Row],[Frequentie weekend]]," ",Ruimtestaat[[#This Row],[Vloer code]]))</f>
        <v/>
      </c>
      <c r="BL201" s="448" t="str">
        <f>_xlfn.IFNA(VLOOKUP($BK201,Programma!$F$3:$G$1101,2,0),"")</f>
        <v/>
      </c>
      <c r="BM201" s="448" t="str">
        <f>_xlfn.IFNA(VLOOKUP($BK201,Programma!$F$3:$H$1101,3,0),"")</f>
        <v/>
      </c>
      <c r="BN201" s="448" t="str">
        <f>_xlfn.IFNA(VLOOKUP($BK201,Programma!$F$3:$I$1101,4,0),"")</f>
        <v/>
      </c>
      <c r="BO201" s="448" t="str">
        <f>_xlfn.IFNA(VLOOKUP($BK201,Programma!$F$3:$J$1101,5,0),"")</f>
        <v/>
      </c>
      <c r="BP201" s="448" t="str">
        <f>_xlfn.IFNA(VLOOKUP($BK201,Programma!$F$3:$K$1101,6,0),"")</f>
        <v/>
      </c>
      <c r="BQ201" s="448" t="str">
        <f>_xlfn.IFNA(VLOOKUP($BK201,Programma!$F$3:$L$1101,7,0),"")</f>
        <v/>
      </c>
      <c r="BR201" s="448" t="str">
        <f>_xlfn.IFNA(VLOOKUP($BK201,Programma!$F$3:$M$1101,8,0),"")</f>
        <v/>
      </c>
      <c r="BS201" s="448" t="str">
        <f>_xlfn.IFNA(VLOOKUP($BK201,Programma!$F$3:$N$1101,9,0),"")</f>
        <v/>
      </c>
      <c r="BT201" s="448" t="str">
        <f>_xlfn.IFNA(VLOOKUP($BK201,Programma!$F$3:$O$1101,10,0),"")</f>
        <v/>
      </c>
      <c r="BU201" s="448" t="str">
        <f>_xlfn.IFNA(VLOOKUP($BK201,Programma!$F$3:$P$1101,11,0),"")</f>
        <v/>
      </c>
      <c r="BV201" s="448" t="str">
        <f>_xlfn.IFNA(VLOOKUP($BK201,Programma!$F$3:$Q$1101,12,0),"")</f>
        <v/>
      </c>
      <c r="BW201" s="448" t="str">
        <f>_xlfn.IFNA(VLOOKUP($BK201,Programma!$F$3:$R$1101,13,0),"")</f>
        <v/>
      </c>
      <c r="BX201" s="448" t="str">
        <f>_xlfn.IFNA(VLOOKUP($BK201,Programma!$F$3:$S$1101,14,0),"")</f>
        <v/>
      </c>
      <c r="BY201" s="448" t="str">
        <f>_xlfn.IFNA(VLOOKUP($BK201,Programma!$F$3:$T$1101,15,0),"")</f>
        <v/>
      </c>
      <c r="BZ201" s="448" t="str">
        <f>_xlfn.IFNA(VLOOKUP($BK201,Programma!$F$3:$U$1101,16,0),"")</f>
        <v/>
      </c>
      <c r="CA201" s="448" t="str">
        <f>_xlfn.IFNA(VLOOKUP($BK201,Programma!$F$3:$V$1101,17,0),"")</f>
        <v/>
      </c>
      <c r="CB201" s="448" t="str">
        <f>_xlfn.IFNA(VLOOKUP($BK201,Programma!$F$3:$W$1101,18,0),"")</f>
        <v/>
      </c>
      <c r="CC201" s="448" t="str">
        <f>_xlfn.IFNA(VLOOKUP($BK201,Programma!$F$3:$X$1101,19,0),"")</f>
        <v/>
      </c>
      <c r="CD201" s="448" t="str">
        <f>_xlfn.IFNA(VLOOKUP($BK201,Programma!$F$3:$Y$1101,20,0),"")</f>
        <v/>
      </c>
      <c r="CE201" s="327"/>
      <c r="CF201" s="327"/>
      <c r="CG201" s="327"/>
      <c r="CH201" s="327"/>
      <c r="CI201" s="327"/>
      <c r="CJ201" s="327"/>
      <c r="CK201" s="327"/>
      <c r="CL201" s="327"/>
      <c r="CM201" s="327"/>
      <c r="CN201" s="327"/>
      <c r="CO201" s="327"/>
      <c r="CP201" s="327"/>
      <c r="CQ201" s="327"/>
      <c r="CR201" s="327"/>
      <c r="CS201" s="327"/>
      <c r="CT201" s="327"/>
      <c r="CU201" s="327"/>
      <c r="CV201" s="327"/>
      <c r="CW201" s="327"/>
      <c r="CX201" s="327"/>
      <c r="CY201" s="327"/>
      <c r="CZ201" s="327"/>
      <c r="DA201" s="327"/>
      <c r="DB201" s="327"/>
      <c r="DC201" s="327"/>
      <c r="DD201" s="327"/>
      <c r="DE201" s="327"/>
      <c r="DF201" s="327"/>
      <c r="DG201" s="327"/>
      <c r="DH201" s="327"/>
      <c r="DI201" s="327"/>
      <c r="DJ201" s="327"/>
      <c r="DK201" s="327"/>
      <c r="DL201" s="327"/>
      <c r="DM201" s="327"/>
      <c r="DN201" s="327"/>
      <c r="DO201" s="327"/>
      <c r="DP201" s="327"/>
      <c r="DQ201" s="327"/>
      <c r="DR201" s="327"/>
      <c r="DS201" s="327"/>
      <c r="DT201" s="327"/>
      <c r="DU201" s="327"/>
      <c r="DV201" s="327"/>
      <c r="DW201" s="327"/>
      <c r="DX201" s="327"/>
      <c r="DY201" s="327"/>
      <c r="DZ201" s="327"/>
      <c r="EA201" s="327"/>
      <c r="EB201" s="327"/>
      <c r="EC201" s="327"/>
      <c r="ED201" s="327"/>
      <c r="EE201" s="327"/>
      <c r="EF201" s="327"/>
      <c r="EG201" s="327"/>
      <c r="EH201" s="327"/>
      <c r="EI201" s="327"/>
      <c r="EJ201" s="327"/>
      <c r="EK201" s="327"/>
      <c r="EL201" s="327"/>
      <c r="EM201" s="327"/>
      <c r="EN201" s="327"/>
      <c r="EO201" s="327"/>
      <c r="EP201" s="327"/>
      <c r="EQ201" s="327"/>
      <c r="ER201" s="327"/>
      <c r="ES201" s="327"/>
      <c r="ET201" s="327"/>
      <c r="EU201" s="327"/>
      <c r="EV201" s="327"/>
      <c r="EW201" s="327"/>
      <c r="EX201" s="327"/>
      <c r="EY201" s="327"/>
      <c r="EZ201" s="327"/>
      <c r="FA201" s="327"/>
      <c r="FB201" s="327"/>
      <c r="FC201" s="327"/>
      <c r="FD201" s="327"/>
      <c r="FE201" s="327"/>
      <c r="FF201" s="327"/>
      <c r="FG201" s="327"/>
      <c r="FH201" s="327"/>
      <c r="FI201" s="327"/>
      <c r="FJ201" s="327"/>
      <c r="FK201" s="327"/>
      <c r="FL201" s="327"/>
      <c r="FM201" s="327"/>
      <c r="FN201" s="327"/>
      <c r="FO201" s="327"/>
      <c r="FP201" s="327"/>
      <c r="FQ201" s="327"/>
      <c r="FR201" s="327"/>
      <c r="FS201" s="327"/>
      <c r="FT201" s="327"/>
      <c r="FU201" s="327"/>
      <c r="FV201" s="327"/>
      <c r="FW201" s="327"/>
      <c r="FX201" s="327"/>
      <c r="FY201" s="327"/>
      <c r="FZ201" s="327"/>
      <c r="GA201" s="327"/>
      <c r="GB201" s="327"/>
      <c r="GC201" s="327"/>
      <c r="GD201" s="327"/>
      <c r="GE201" s="327"/>
      <c r="GF201" s="327"/>
      <c r="GG201" s="327"/>
      <c r="GH201" s="327"/>
      <c r="GI201" s="327"/>
      <c r="GJ201" s="327"/>
      <c r="GK201" s="327"/>
      <c r="GL201" s="327"/>
      <c r="GM201" s="327"/>
      <c r="GN201" s="327"/>
      <c r="GO201" s="327"/>
      <c r="GP201" s="327"/>
      <c r="GQ201" s="327"/>
      <c r="GR201" s="327"/>
      <c r="GS201" s="327"/>
      <c r="GT201" s="327"/>
      <c r="GU201" s="327"/>
      <c r="GV201" s="327"/>
      <c r="GW201" s="327"/>
      <c r="GX201" s="327"/>
      <c r="GY201" s="327"/>
      <c r="GZ201" s="327"/>
      <c r="HA201" s="327"/>
      <c r="HB201" s="327"/>
      <c r="HC201" s="327"/>
      <c r="HD201" s="327"/>
      <c r="HE201" s="327"/>
      <c r="HF201" s="327"/>
      <c r="HG201" s="327"/>
      <c r="HH201" s="327"/>
      <c r="HI201" s="327"/>
      <c r="HJ201" s="327"/>
      <c r="HK201" s="327"/>
      <c r="HL201" s="327"/>
      <c r="HM201" s="327"/>
      <c r="HN201" s="327"/>
      <c r="HO201" s="327"/>
      <c r="HP201" s="327"/>
      <c r="HQ201" s="327"/>
      <c r="HR201" s="327"/>
      <c r="HS201" s="327"/>
    </row>
    <row r="202" spans="1:227" ht="15" customHeight="1">
      <c r="A202" s="330">
        <v>9</v>
      </c>
      <c r="B202" s="435" t="str">
        <f>VLOOKUP(Ruimtestaat[[#This Row],[Code]],Locaties[[Code]:[Locatie]],2,FALSE)</f>
        <v>IKC De Vijverburgh</v>
      </c>
      <c r="C202" s="435" t="str">
        <f>VLOOKUP(Ruimtestaat[[#This Row],[Code]],Locaties[[#All],[Code]:[Adres]],4,FALSE)</f>
        <v>Paltelaan 3</v>
      </c>
      <c r="D202" s="435" t="str">
        <f>VLOOKUP(Ruimtestaat[[#This Row],[Code]],Locaties[[#All],[Code]:[Postcode]],5,FALSE)</f>
        <v>2712 RN</v>
      </c>
      <c r="E202" s="435" t="str">
        <f>VLOOKUP(Ruimtestaat[[#This Row],[Code]],Locaties[#All],6,FALSE)</f>
        <v>Zoetermeer</v>
      </c>
      <c r="F202" s="434"/>
      <c r="G202" s="434" t="s">
        <v>1678</v>
      </c>
      <c r="H202" s="330" t="s">
        <v>1780</v>
      </c>
      <c r="I202" s="450" t="s">
        <v>1679</v>
      </c>
      <c r="J202" s="330">
        <v>16</v>
      </c>
      <c r="K202" s="450" t="str">
        <f>VLOOKUP(Ruimtestaat[[#This Row],[Ruimte code]],Ruimtegroepen[[#All],[Code]:[Ruimte omschrijving]],2,FALSE)</f>
        <v>Leslokalen</v>
      </c>
      <c r="L202" s="434" t="s">
        <v>100</v>
      </c>
      <c r="M202" s="437" t="s">
        <v>1759</v>
      </c>
      <c r="N202" s="439">
        <v>56</v>
      </c>
      <c r="O202" s="439"/>
      <c r="P202" s="439"/>
      <c r="Q202" s="439"/>
      <c r="R202" s="440" t="str">
        <f>VLOOKUP(Ruimtestaat[[#This Row],[Ruimte code]],Ruimtegroepen[],4,FALSE)</f>
        <v>Le</v>
      </c>
      <c r="S202" s="434">
        <v>40</v>
      </c>
      <c r="T202" s="434" t="s">
        <v>2</v>
      </c>
      <c r="U202" s="434">
        <f>IF(S202&gt;0,IF(RIGHT(Ruimtestaat[[#This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2" s="434">
        <f>IF(U202&gt;0,VLOOKUP($J202,Ruimtegroepen[],3,FALSE)*VLOOKUP($L202,Vloersoorten[],3,FALSE)*VLOOKUP($T202,Frequenties[],3,FALSE)*VLOOKUP($A202,Locaties[],3,FALSE),0)</f>
        <v>0</v>
      </c>
      <c r="W202" s="434">
        <f>Ruimtestaat[[#This Row],[Uitvoeringen werkdagen]]*Ruimtestaat[[#This Row],[Oppervlak (netto)]]</f>
        <v>11200</v>
      </c>
      <c r="X202" s="441">
        <f>IF(V202&gt;0,Ruimtestaat[[#This Row],[Prest. (m2 /jaar) werkdagen]]/Ruimtestaat[[#This Row],[Norm (m2/uur) werkdagen]],0)</f>
        <v>0</v>
      </c>
      <c r="Y202" s="442">
        <f>Ruimtestaat[[#This Row],[Uitvoeringen werkdagen]]*Ruimtestaat[[#This Row],[Gedeeltelijk]]</f>
        <v>0</v>
      </c>
      <c r="Z202" s="443" t="e">
        <f>IF(U202&gt;0,Ruimtestaat[[#This Row],[Prest. (m2 / jaar) werkdagen gedeeld]]/Ruimtestaat[[#This Row],[Norm (m2/uur) werkdagen]],0)</f>
        <v>#DIV/0!</v>
      </c>
      <c r="AA202" s="441" t="e">
        <f>Ruimtestaat[[#This Row],[uren / jaar werkdagen gedeeld]]*Tariefsopbouw!$E$35</f>
        <v>#DIV/0!</v>
      </c>
      <c r="AB202" s="441">
        <f>Ruimtestaat[[#This Row],[Uitvoeringen werkdagen]]*Ruimtestaat[[#This Row],[BSO]]</f>
        <v>0</v>
      </c>
      <c r="AC202" s="443" t="e">
        <f>IF(U202&gt;0,Ruimtestaat[[#This Row],[Prest. (m2 / jaar) werkdagen BSO]]/Ruimtestaat[[#This Row],[Norm (m2/uur) werkdagen]],0)</f>
        <v>#DIV/0!</v>
      </c>
      <c r="AD202" s="443" t="e">
        <f>Ruimtestaat[[#This Row],[uren / jaar werkdagen BSO]]*Tariefsopbouw!$E$35</f>
        <v>#DIV/0!</v>
      </c>
      <c r="AE202" s="444">
        <f>Ruimtestaat[[#This Row],[uren / jaar werkdagen]]*Tariefsopbouw!$E$35</f>
        <v>0</v>
      </c>
      <c r="AF202" s="434"/>
      <c r="AG202" s="434">
        <f>IF(Ruimtestaat[[#This Row],[Frequentie weekend]]&gt;0,VALUE(LEFT(AF202,1))*S202,0)</f>
        <v>0</v>
      </c>
      <c r="AH202" s="445">
        <f>IF($AG202&gt;0,VLOOKUP($J202,Ruimtegroepen[],3,FALSE)*VLOOKUP($L202,Vloersoorten[],3,FALSE)*VLOOKUP($AF202,Frequenties[],3,FALSE)*VLOOKUP(Ruimtestaat[[#This Row],[Code]],Locaties[],3,FALSE),0)</f>
        <v>0</v>
      </c>
      <c r="AI202" s="445">
        <f>Ruimtestaat[[#This Row],[Uitvoeringen weekend]]*Ruimtestaat[[#This Row],[Oppervlak (netto)]]</f>
        <v>0</v>
      </c>
      <c r="AJ202" s="445">
        <f>IF(AH202&gt;0,Ruimtestaat[[#This Row],[Prest. (m2 /jaar) weekend]]/Ruimtestaat[[#This Row],[Norm (m2/uur) weekend]],0)</f>
        <v>0</v>
      </c>
      <c r="AK202" s="444">
        <f>Ruimtestaat[[#This Row],[uren / jaar weekend]]*Tariefsopbouw!$D$40</f>
        <v>0</v>
      </c>
      <c r="AL202" s="441">
        <f>Ruimtestaat[[#This Row],[Prest. (m2 /jaar) weekend]]+Ruimtestaat[[#This Row],[Prest. (m2 /jaar) werkdagen]]</f>
        <v>11200</v>
      </c>
      <c r="AM202" s="441">
        <f>Ruimtestaat[[#This Row],[uren / jaar weekend]]+Ruimtestaat[[#This Row],[uren / jaar werkdagen]]</f>
        <v>0</v>
      </c>
      <c r="AN202" s="446">
        <f>Ruimtestaat[[#This Row],[kosten / jaar weekend]]+Ruimtestaat[[#This Row],[kosten / jaar werkdagen]]</f>
        <v>0</v>
      </c>
      <c r="AO202" s="446"/>
      <c r="AP202" s="447" t="str">
        <f>IF(Ruimtestaat[[#This Row],[Frequentie werkdagen]]="","",_xlfn.CONCAT(Ruimtestaat[[#This Row],[Ruimte code]],"-",Ruimtestaat[[#This Row],[Frequentie werkdagen]]," ",Ruimtestaat[[#This Row],[Vloer code]]))</f>
        <v>16-5w L</v>
      </c>
      <c r="AQ202" s="448" t="str">
        <f>_xlfn.IFNA(VLOOKUP($AP202,Programma!$F$3:$G$1101,2,0),"")</f>
        <v>_</v>
      </c>
      <c r="AR202" s="448" t="str">
        <f>_xlfn.IFNA(VLOOKUP($AP202,Programma!$F$3:$H$1101,3,0),"")</f>
        <v>_</v>
      </c>
      <c r="AS202" s="448" t="str">
        <f>_xlfn.IFNA(VLOOKUP($AP202,Programma!$F$3:$I$1101,4,0),"")</f>
        <v>4w</v>
      </c>
      <c r="AT202" s="448" t="str">
        <f>_xlfn.IFNA(VLOOKUP($AP202,Programma!$F$3:$J$1101,5,0),"")</f>
        <v>1w</v>
      </c>
      <c r="AU202" s="448" t="str">
        <f>_xlfn.IFNA(VLOOKUP($AP202,Programma!$F$3:$K$1101,6,0),"")</f>
        <v>_</v>
      </c>
      <c r="AV202" s="448" t="str">
        <f>_xlfn.IFNA(VLOOKUP($AP202,Programma!$F$3:$L$1101,7,0),"")</f>
        <v>_</v>
      </c>
      <c r="AW202" s="448" t="str">
        <f>_xlfn.IFNA(VLOOKUP($AP202,Programma!$F$3:$M$1101,8,0),"")</f>
        <v>_</v>
      </c>
      <c r="AX202" s="448" t="str">
        <f>_xlfn.IFNA(VLOOKUP($AP202,Programma!$F$3:$N$1101,9,0),"")</f>
        <v>_</v>
      </c>
      <c r="AY202" s="448" t="str">
        <f>_xlfn.IFNA(VLOOKUP($AP202,Programma!$F$3:$O$1101,10,0),"")</f>
        <v>5w</v>
      </c>
      <c r="AZ202" s="448" t="str">
        <f>_xlfn.IFNA(VLOOKUP($AP202,Programma!$F$3:$P$1101,11,0),"")</f>
        <v>5w</v>
      </c>
      <c r="BA202" s="448" t="str">
        <f>_xlfn.IFNA(VLOOKUP($AP202,Programma!$F$3:$Q$1101,12,0),"")</f>
        <v>1w</v>
      </c>
      <c r="BB202" s="448" t="str">
        <f>_xlfn.IFNA(VLOOKUP($AP202,Programma!$F$3:$R$1101,13,0),"")</f>
        <v>1w</v>
      </c>
      <c r="BC202" s="448" t="str">
        <f>_xlfn.IFNA(VLOOKUP($AP202,Programma!$F$3:$S$1101,14,0),"")</f>
        <v>1m</v>
      </c>
      <c r="BD202" s="448" t="str">
        <f>_xlfn.IFNA(VLOOKUP($AP202,Programma!$F$3:$T$1101,15,0),"")</f>
        <v>2j</v>
      </c>
      <c r="BE202" s="448" t="str">
        <f>_xlfn.IFNA(VLOOKUP($AP202,Programma!$F$3:$U$1101,16,0),"")</f>
        <v>1j</v>
      </c>
      <c r="BF202" s="448" t="str">
        <f>_xlfn.IFNA(VLOOKUP($AP202,Programma!$F$3:$V$1101,17,0),"")</f>
        <v>_</v>
      </c>
      <c r="BG202" s="448" t="str">
        <f>_xlfn.IFNA(VLOOKUP($AP202,Programma!$F$3:$W$1101,18,0),"")</f>
        <v>_</v>
      </c>
      <c r="BH202" s="448" t="str">
        <f>_xlfn.IFNA(VLOOKUP($AP202,Programma!$F$3:$X$1101,19,0),"")</f>
        <v>_</v>
      </c>
      <c r="BI202" s="448" t="str">
        <f>_xlfn.IFNA(VLOOKUP($AP202,Programma!$F$3:$Y$1101,20,0),"")</f>
        <v>_</v>
      </c>
      <c r="BJ202" s="449"/>
      <c r="BK202" s="447" t="str">
        <f>IF(Ruimtestaat[[#This Row],[Frequentie weekend]]="","",_xlfn.CONCAT(Ruimtestaat[[#This Row],[Ruimte code]],"-",Ruimtestaat[[#This Row],[Frequentie weekend]]," ",Ruimtestaat[[#This Row],[Vloer code]]))</f>
        <v/>
      </c>
      <c r="BL202" s="448" t="str">
        <f>_xlfn.IFNA(VLOOKUP($BK202,Programma!$F$3:$G$1101,2,0),"")</f>
        <v/>
      </c>
      <c r="BM202" s="448" t="str">
        <f>_xlfn.IFNA(VLOOKUP($BK202,Programma!$F$3:$H$1101,3,0),"")</f>
        <v/>
      </c>
      <c r="BN202" s="448" t="str">
        <f>_xlfn.IFNA(VLOOKUP($BK202,Programma!$F$3:$I$1101,4,0),"")</f>
        <v/>
      </c>
      <c r="BO202" s="448" t="str">
        <f>_xlfn.IFNA(VLOOKUP($BK202,Programma!$F$3:$J$1101,5,0),"")</f>
        <v/>
      </c>
      <c r="BP202" s="448" t="str">
        <f>_xlfn.IFNA(VLOOKUP($BK202,Programma!$F$3:$K$1101,6,0),"")</f>
        <v/>
      </c>
      <c r="BQ202" s="448" t="str">
        <f>_xlfn.IFNA(VLOOKUP($BK202,Programma!$F$3:$L$1101,7,0),"")</f>
        <v/>
      </c>
      <c r="BR202" s="448" t="str">
        <f>_xlfn.IFNA(VLOOKUP($BK202,Programma!$F$3:$M$1101,8,0),"")</f>
        <v/>
      </c>
      <c r="BS202" s="448" t="str">
        <f>_xlfn.IFNA(VLOOKUP($BK202,Programma!$F$3:$N$1101,9,0),"")</f>
        <v/>
      </c>
      <c r="BT202" s="448" t="str">
        <f>_xlfn.IFNA(VLOOKUP($BK202,Programma!$F$3:$O$1101,10,0),"")</f>
        <v/>
      </c>
      <c r="BU202" s="448" t="str">
        <f>_xlfn.IFNA(VLOOKUP($BK202,Programma!$F$3:$P$1101,11,0),"")</f>
        <v/>
      </c>
      <c r="BV202" s="448" t="str">
        <f>_xlfn.IFNA(VLOOKUP($BK202,Programma!$F$3:$Q$1101,12,0),"")</f>
        <v/>
      </c>
      <c r="BW202" s="448" t="str">
        <f>_xlfn.IFNA(VLOOKUP($BK202,Programma!$F$3:$R$1101,13,0),"")</f>
        <v/>
      </c>
      <c r="BX202" s="448" t="str">
        <f>_xlfn.IFNA(VLOOKUP($BK202,Programma!$F$3:$S$1101,14,0),"")</f>
        <v/>
      </c>
      <c r="BY202" s="448" t="str">
        <f>_xlfn.IFNA(VLOOKUP($BK202,Programma!$F$3:$T$1101,15,0),"")</f>
        <v/>
      </c>
      <c r="BZ202" s="448" t="str">
        <f>_xlfn.IFNA(VLOOKUP($BK202,Programma!$F$3:$U$1101,16,0),"")</f>
        <v/>
      </c>
      <c r="CA202" s="448" t="str">
        <f>_xlfn.IFNA(VLOOKUP($BK202,Programma!$F$3:$V$1101,17,0),"")</f>
        <v/>
      </c>
      <c r="CB202" s="448" t="str">
        <f>_xlfn.IFNA(VLOOKUP($BK202,Programma!$F$3:$W$1101,18,0),"")</f>
        <v/>
      </c>
      <c r="CC202" s="448" t="str">
        <f>_xlfn.IFNA(VLOOKUP($BK202,Programma!$F$3:$X$1101,19,0),"")</f>
        <v/>
      </c>
      <c r="CD202" s="448" t="str">
        <f>_xlfn.IFNA(VLOOKUP($BK202,Programma!$F$3:$Y$1101,20,0),"")</f>
        <v/>
      </c>
      <c r="CE202" s="327"/>
      <c r="CF202" s="327"/>
      <c r="CG202" s="327"/>
      <c r="CH202" s="327"/>
      <c r="CI202" s="327"/>
      <c r="CJ202" s="327"/>
      <c r="CK202" s="327"/>
      <c r="CL202" s="327"/>
      <c r="CM202" s="327"/>
      <c r="CN202" s="327"/>
      <c r="CO202" s="327"/>
      <c r="CP202" s="327"/>
      <c r="CQ202" s="327"/>
      <c r="CR202" s="327"/>
      <c r="CS202" s="327"/>
      <c r="CT202" s="327"/>
      <c r="CU202" s="327"/>
      <c r="CV202" s="327"/>
      <c r="CW202" s="327"/>
      <c r="CX202" s="327"/>
      <c r="CY202" s="327"/>
      <c r="CZ202" s="327"/>
      <c r="DA202" s="327"/>
      <c r="DB202" s="327"/>
      <c r="DC202" s="327"/>
      <c r="DD202" s="327"/>
      <c r="DE202" s="327"/>
      <c r="DF202" s="327"/>
      <c r="DG202" s="327"/>
      <c r="DH202" s="327"/>
      <c r="DI202" s="327"/>
      <c r="DJ202" s="327"/>
      <c r="DK202" s="327"/>
      <c r="DL202" s="327"/>
      <c r="DM202" s="327"/>
      <c r="DN202" s="327"/>
      <c r="DO202" s="327"/>
      <c r="DP202" s="327"/>
      <c r="DQ202" s="327"/>
      <c r="DR202" s="327"/>
      <c r="DS202" s="327"/>
      <c r="DT202" s="327"/>
      <c r="DU202" s="327"/>
      <c r="DV202" s="327"/>
      <c r="DW202" s="327"/>
      <c r="DX202" s="327"/>
      <c r="DY202" s="327"/>
      <c r="DZ202" s="327"/>
      <c r="EA202" s="327"/>
      <c r="EB202" s="327"/>
      <c r="EC202" s="327"/>
      <c r="ED202" s="327"/>
      <c r="EE202" s="327"/>
      <c r="EF202" s="327"/>
      <c r="EG202" s="327"/>
      <c r="EH202" s="327"/>
      <c r="EI202" s="327"/>
      <c r="EJ202" s="327"/>
      <c r="EK202" s="327"/>
      <c r="EL202" s="327"/>
      <c r="EM202" s="327"/>
      <c r="EN202" s="327"/>
      <c r="EO202" s="327"/>
      <c r="EP202" s="327"/>
      <c r="EQ202" s="327"/>
      <c r="ER202" s="327"/>
      <c r="ES202" s="327"/>
      <c r="ET202" s="327"/>
      <c r="EU202" s="327"/>
      <c r="EV202" s="327"/>
      <c r="EW202" s="327"/>
      <c r="EX202" s="327"/>
      <c r="EY202" s="327"/>
      <c r="EZ202" s="327"/>
      <c r="FA202" s="327"/>
      <c r="FB202" s="327"/>
      <c r="FC202" s="327"/>
      <c r="FD202" s="327"/>
      <c r="FE202" s="327"/>
      <c r="FF202" s="327"/>
      <c r="FG202" s="327"/>
      <c r="FH202" s="327"/>
      <c r="FI202" s="327"/>
      <c r="FJ202" s="327"/>
      <c r="FK202" s="327"/>
      <c r="FL202" s="327"/>
      <c r="FM202" s="327"/>
      <c r="FN202" s="327"/>
      <c r="FO202" s="327"/>
      <c r="FP202" s="327"/>
      <c r="FQ202" s="327"/>
      <c r="FR202" s="327"/>
      <c r="FS202" s="327"/>
      <c r="FT202" s="327"/>
      <c r="FU202" s="327"/>
      <c r="FV202" s="327"/>
      <c r="FW202" s="327"/>
      <c r="FX202" s="327"/>
      <c r="FY202" s="327"/>
      <c r="FZ202" s="327"/>
      <c r="GA202" s="327"/>
      <c r="GB202" s="327"/>
      <c r="GC202" s="327"/>
      <c r="GD202" s="327"/>
      <c r="GE202" s="327"/>
      <c r="GF202" s="327"/>
      <c r="GG202" s="327"/>
      <c r="GH202" s="327"/>
      <c r="GI202" s="327"/>
      <c r="GJ202" s="327"/>
      <c r="GK202" s="327"/>
      <c r="GL202" s="327"/>
      <c r="GM202" s="327"/>
      <c r="GN202" s="327"/>
      <c r="GO202" s="327"/>
      <c r="GP202" s="327"/>
      <c r="GQ202" s="327"/>
      <c r="GR202" s="327"/>
      <c r="GS202" s="327"/>
      <c r="GT202" s="327"/>
      <c r="GU202" s="327"/>
      <c r="GV202" s="327"/>
      <c r="GW202" s="327"/>
      <c r="GX202" s="327"/>
      <c r="GY202" s="327"/>
      <c r="GZ202" s="327"/>
      <c r="HA202" s="327"/>
      <c r="HB202" s="327"/>
      <c r="HC202" s="327"/>
      <c r="HD202" s="327"/>
      <c r="HE202" s="327"/>
      <c r="HF202" s="327"/>
      <c r="HG202" s="327"/>
      <c r="HH202" s="327"/>
      <c r="HI202" s="327"/>
      <c r="HJ202" s="327"/>
      <c r="HK202" s="327"/>
      <c r="HL202" s="327"/>
      <c r="HM202" s="327"/>
      <c r="HN202" s="327"/>
      <c r="HO202" s="327"/>
      <c r="HP202" s="327"/>
      <c r="HQ202" s="327"/>
      <c r="HR202" s="327"/>
      <c r="HS202" s="327"/>
    </row>
    <row r="203" spans="1:227" ht="15" customHeight="1">
      <c r="A203" s="330">
        <v>9</v>
      </c>
      <c r="B203" s="435" t="str">
        <f>VLOOKUP(Ruimtestaat[[#This Row],[Code]],Locaties[[Code]:[Locatie]],2,FALSE)</f>
        <v>IKC De Vijverburgh</v>
      </c>
      <c r="C203" s="435" t="str">
        <f>VLOOKUP(Ruimtestaat[[#This Row],[Code]],Locaties[[#All],[Code]:[Adres]],4,FALSE)</f>
        <v>Paltelaan 3</v>
      </c>
      <c r="D203" s="435" t="str">
        <f>VLOOKUP(Ruimtestaat[[#This Row],[Code]],Locaties[[#All],[Code]:[Postcode]],5,FALSE)</f>
        <v>2712 RN</v>
      </c>
      <c r="E203" s="435" t="str">
        <f>VLOOKUP(Ruimtestaat[[#This Row],[Code]],Locaties[#All],6,FALSE)</f>
        <v>Zoetermeer</v>
      </c>
      <c r="F203" s="434"/>
      <c r="G203" s="434" t="s">
        <v>1678</v>
      </c>
      <c r="H203" s="330" t="s">
        <v>1781</v>
      </c>
      <c r="I203" s="450" t="s">
        <v>1679</v>
      </c>
      <c r="J203" s="330">
        <v>16</v>
      </c>
      <c r="K203" s="450" t="str">
        <f>VLOOKUP(Ruimtestaat[[#This Row],[Ruimte code]],Ruimtegroepen[[#All],[Code]:[Ruimte omschrijving]],2,FALSE)</f>
        <v>Leslokalen</v>
      </c>
      <c r="L203" s="434" t="s">
        <v>100</v>
      </c>
      <c r="M203" s="437" t="s">
        <v>1759</v>
      </c>
      <c r="N203" s="439">
        <v>56</v>
      </c>
      <c r="O203" s="439"/>
      <c r="P203" s="439"/>
      <c r="Q203" s="439"/>
      <c r="R203" s="440" t="str">
        <f>VLOOKUP(Ruimtestaat[[#This Row],[Ruimte code]],Ruimtegroepen[],4,FALSE)</f>
        <v>Le</v>
      </c>
      <c r="S203" s="434">
        <v>40</v>
      </c>
      <c r="T203" s="434" t="s">
        <v>2</v>
      </c>
      <c r="U203" s="434">
        <f>IF(S203&gt;0,IF(RIGHT(Ruimtestaat[[#This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3" s="434">
        <f>IF(U203&gt;0,VLOOKUP($J203,Ruimtegroepen[],3,FALSE)*VLOOKUP($L203,Vloersoorten[],3,FALSE)*VLOOKUP($T203,Frequenties[],3,FALSE)*VLOOKUP($A203,Locaties[],3,FALSE),0)</f>
        <v>0</v>
      </c>
      <c r="W203" s="434">
        <f>Ruimtestaat[[#This Row],[Uitvoeringen werkdagen]]*Ruimtestaat[[#This Row],[Oppervlak (netto)]]</f>
        <v>11200</v>
      </c>
      <c r="X203" s="441">
        <f>IF(V203&gt;0,Ruimtestaat[[#This Row],[Prest. (m2 /jaar) werkdagen]]/Ruimtestaat[[#This Row],[Norm (m2/uur) werkdagen]],0)</f>
        <v>0</v>
      </c>
      <c r="Y203" s="442">
        <f>Ruimtestaat[[#This Row],[Uitvoeringen werkdagen]]*Ruimtestaat[[#This Row],[Gedeeltelijk]]</f>
        <v>0</v>
      </c>
      <c r="Z203" s="443" t="e">
        <f>IF(U203&gt;0,Ruimtestaat[[#This Row],[Prest. (m2 / jaar) werkdagen gedeeld]]/Ruimtestaat[[#This Row],[Norm (m2/uur) werkdagen]],0)</f>
        <v>#DIV/0!</v>
      </c>
      <c r="AA203" s="441" t="e">
        <f>Ruimtestaat[[#This Row],[uren / jaar werkdagen gedeeld]]*Tariefsopbouw!$E$35</f>
        <v>#DIV/0!</v>
      </c>
      <c r="AB203" s="441">
        <f>Ruimtestaat[[#This Row],[Uitvoeringen werkdagen]]*Ruimtestaat[[#This Row],[BSO]]</f>
        <v>0</v>
      </c>
      <c r="AC203" s="443" t="e">
        <f>IF(U203&gt;0,Ruimtestaat[[#This Row],[Prest. (m2 / jaar) werkdagen BSO]]/Ruimtestaat[[#This Row],[Norm (m2/uur) werkdagen]],0)</f>
        <v>#DIV/0!</v>
      </c>
      <c r="AD203" s="443" t="e">
        <f>Ruimtestaat[[#This Row],[uren / jaar werkdagen BSO]]*Tariefsopbouw!$E$35</f>
        <v>#DIV/0!</v>
      </c>
      <c r="AE203" s="444">
        <f>Ruimtestaat[[#This Row],[uren / jaar werkdagen]]*Tariefsopbouw!$E$35</f>
        <v>0</v>
      </c>
      <c r="AF203" s="434"/>
      <c r="AG203" s="434">
        <f>IF(Ruimtestaat[[#This Row],[Frequentie weekend]]&gt;0,VALUE(LEFT(AF203,1))*S203,0)</f>
        <v>0</v>
      </c>
      <c r="AH203" s="445">
        <f>IF($AG203&gt;0,VLOOKUP($J203,Ruimtegroepen[],3,FALSE)*VLOOKUP($L203,Vloersoorten[],3,FALSE)*VLOOKUP($AF203,Frequenties[],3,FALSE)*VLOOKUP(Ruimtestaat[[#This Row],[Code]],Locaties[],3,FALSE),0)</f>
        <v>0</v>
      </c>
      <c r="AI203" s="445">
        <f>Ruimtestaat[[#This Row],[Uitvoeringen weekend]]*Ruimtestaat[[#This Row],[Oppervlak (netto)]]</f>
        <v>0</v>
      </c>
      <c r="AJ203" s="445">
        <f>IF(AH203&gt;0,Ruimtestaat[[#This Row],[Prest. (m2 /jaar) weekend]]/Ruimtestaat[[#This Row],[Norm (m2/uur) weekend]],0)</f>
        <v>0</v>
      </c>
      <c r="AK203" s="444">
        <f>Ruimtestaat[[#This Row],[uren / jaar weekend]]*Tariefsopbouw!$D$40</f>
        <v>0</v>
      </c>
      <c r="AL203" s="441">
        <f>Ruimtestaat[[#This Row],[Prest. (m2 /jaar) weekend]]+Ruimtestaat[[#This Row],[Prest. (m2 /jaar) werkdagen]]</f>
        <v>11200</v>
      </c>
      <c r="AM203" s="441">
        <f>Ruimtestaat[[#This Row],[uren / jaar weekend]]+Ruimtestaat[[#This Row],[uren / jaar werkdagen]]</f>
        <v>0</v>
      </c>
      <c r="AN203" s="446">
        <f>Ruimtestaat[[#This Row],[kosten / jaar weekend]]+Ruimtestaat[[#This Row],[kosten / jaar werkdagen]]</f>
        <v>0</v>
      </c>
      <c r="AO203" s="446"/>
      <c r="AP203" s="447" t="str">
        <f>IF(Ruimtestaat[[#This Row],[Frequentie werkdagen]]="","",_xlfn.CONCAT(Ruimtestaat[[#This Row],[Ruimte code]],"-",Ruimtestaat[[#This Row],[Frequentie werkdagen]]," ",Ruimtestaat[[#This Row],[Vloer code]]))</f>
        <v>16-5w L</v>
      </c>
      <c r="AQ203" s="448" t="str">
        <f>_xlfn.IFNA(VLOOKUP($AP203,Programma!$F$3:$G$1101,2,0),"")</f>
        <v>_</v>
      </c>
      <c r="AR203" s="448" t="str">
        <f>_xlfn.IFNA(VLOOKUP($AP203,Programma!$F$3:$H$1101,3,0),"")</f>
        <v>_</v>
      </c>
      <c r="AS203" s="448" t="str">
        <f>_xlfn.IFNA(VLOOKUP($AP203,Programma!$F$3:$I$1101,4,0),"")</f>
        <v>4w</v>
      </c>
      <c r="AT203" s="448" t="str">
        <f>_xlfn.IFNA(VLOOKUP($AP203,Programma!$F$3:$J$1101,5,0),"")</f>
        <v>1w</v>
      </c>
      <c r="AU203" s="448" t="str">
        <f>_xlfn.IFNA(VLOOKUP($AP203,Programma!$F$3:$K$1101,6,0),"")</f>
        <v>_</v>
      </c>
      <c r="AV203" s="448" t="str">
        <f>_xlfn.IFNA(VLOOKUP($AP203,Programma!$F$3:$L$1101,7,0),"")</f>
        <v>_</v>
      </c>
      <c r="AW203" s="448" t="str">
        <f>_xlfn.IFNA(VLOOKUP($AP203,Programma!$F$3:$M$1101,8,0),"")</f>
        <v>_</v>
      </c>
      <c r="AX203" s="448" t="str">
        <f>_xlfn.IFNA(VLOOKUP($AP203,Programma!$F$3:$N$1101,9,0),"")</f>
        <v>_</v>
      </c>
      <c r="AY203" s="448" t="str">
        <f>_xlfn.IFNA(VLOOKUP($AP203,Programma!$F$3:$O$1101,10,0),"")</f>
        <v>5w</v>
      </c>
      <c r="AZ203" s="448" t="str">
        <f>_xlfn.IFNA(VLOOKUP($AP203,Programma!$F$3:$P$1101,11,0),"")</f>
        <v>5w</v>
      </c>
      <c r="BA203" s="448" t="str">
        <f>_xlfn.IFNA(VLOOKUP($AP203,Programma!$F$3:$Q$1101,12,0),"")</f>
        <v>1w</v>
      </c>
      <c r="BB203" s="448" t="str">
        <f>_xlfn.IFNA(VLOOKUP($AP203,Programma!$F$3:$R$1101,13,0),"")</f>
        <v>1w</v>
      </c>
      <c r="BC203" s="448" t="str">
        <f>_xlfn.IFNA(VLOOKUP($AP203,Programma!$F$3:$S$1101,14,0),"")</f>
        <v>1m</v>
      </c>
      <c r="BD203" s="448" t="str">
        <f>_xlfn.IFNA(VLOOKUP($AP203,Programma!$F$3:$T$1101,15,0),"")</f>
        <v>2j</v>
      </c>
      <c r="BE203" s="448" t="str">
        <f>_xlfn.IFNA(VLOOKUP($AP203,Programma!$F$3:$U$1101,16,0),"")</f>
        <v>1j</v>
      </c>
      <c r="BF203" s="448" t="str">
        <f>_xlfn.IFNA(VLOOKUP($AP203,Programma!$F$3:$V$1101,17,0),"")</f>
        <v>_</v>
      </c>
      <c r="BG203" s="448" t="str">
        <f>_xlfn.IFNA(VLOOKUP($AP203,Programma!$F$3:$W$1101,18,0),"")</f>
        <v>_</v>
      </c>
      <c r="BH203" s="448" t="str">
        <f>_xlfn.IFNA(VLOOKUP($AP203,Programma!$F$3:$X$1101,19,0),"")</f>
        <v>_</v>
      </c>
      <c r="BI203" s="448" t="str">
        <f>_xlfn.IFNA(VLOOKUP($AP203,Programma!$F$3:$Y$1101,20,0),"")</f>
        <v>_</v>
      </c>
      <c r="BJ203" s="449"/>
      <c r="BK203" s="447" t="str">
        <f>IF(Ruimtestaat[[#This Row],[Frequentie weekend]]="","",_xlfn.CONCAT(Ruimtestaat[[#This Row],[Ruimte code]],"-",Ruimtestaat[[#This Row],[Frequentie weekend]]," ",Ruimtestaat[[#This Row],[Vloer code]]))</f>
        <v/>
      </c>
      <c r="BL203" s="448" t="str">
        <f>_xlfn.IFNA(VLOOKUP($BK203,Programma!$F$3:$G$1101,2,0),"")</f>
        <v/>
      </c>
      <c r="BM203" s="448" t="str">
        <f>_xlfn.IFNA(VLOOKUP($BK203,Programma!$F$3:$H$1101,3,0),"")</f>
        <v/>
      </c>
      <c r="BN203" s="448" t="str">
        <f>_xlfn.IFNA(VLOOKUP($BK203,Programma!$F$3:$I$1101,4,0),"")</f>
        <v/>
      </c>
      <c r="BO203" s="448" t="str">
        <f>_xlfn.IFNA(VLOOKUP($BK203,Programma!$F$3:$J$1101,5,0),"")</f>
        <v/>
      </c>
      <c r="BP203" s="448" t="str">
        <f>_xlfn.IFNA(VLOOKUP($BK203,Programma!$F$3:$K$1101,6,0),"")</f>
        <v/>
      </c>
      <c r="BQ203" s="448" t="str">
        <f>_xlfn.IFNA(VLOOKUP($BK203,Programma!$F$3:$L$1101,7,0),"")</f>
        <v/>
      </c>
      <c r="BR203" s="448" t="str">
        <f>_xlfn.IFNA(VLOOKUP($BK203,Programma!$F$3:$M$1101,8,0),"")</f>
        <v/>
      </c>
      <c r="BS203" s="448" t="str">
        <f>_xlfn.IFNA(VLOOKUP($BK203,Programma!$F$3:$N$1101,9,0),"")</f>
        <v/>
      </c>
      <c r="BT203" s="448" t="str">
        <f>_xlfn.IFNA(VLOOKUP($BK203,Programma!$F$3:$O$1101,10,0),"")</f>
        <v/>
      </c>
      <c r="BU203" s="448" t="str">
        <f>_xlfn.IFNA(VLOOKUP($BK203,Programma!$F$3:$P$1101,11,0),"")</f>
        <v/>
      </c>
      <c r="BV203" s="448" t="str">
        <f>_xlfn.IFNA(VLOOKUP($BK203,Programma!$F$3:$Q$1101,12,0),"")</f>
        <v/>
      </c>
      <c r="BW203" s="448" t="str">
        <f>_xlfn.IFNA(VLOOKUP($BK203,Programma!$F$3:$R$1101,13,0),"")</f>
        <v/>
      </c>
      <c r="BX203" s="448" t="str">
        <f>_xlfn.IFNA(VLOOKUP($BK203,Programma!$F$3:$S$1101,14,0),"")</f>
        <v/>
      </c>
      <c r="BY203" s="448" t="str">
        <f>_xlfn.IFNA(VLOOKUP($BK203,Programma!$F$3:$T$1101,15,0),"")</f>
        <v/>
      </c>
      <c r="BZ203" s="448" t="str">
        <f>_xlfn.IFNA(VLOOKUP($BK203,Programma!$F$3:$U$1101,16,0),"")</f>
        <v/>
      </c>
      <c r="CA203" s="448" t="str">
        <f>_xlfn.IFNA(VLOOKUP($BK203,Programma!$F$3:$V$1101,17,0),"")</f>
        <v/>
      </c>
      <c r="CB203" s="448" t="str">
        <f>_xlfn.IFNA(VLOOKUP($BK203,Programma!$F$3:$W$1101,18,0),"")</f>
        <v/>
      </c>
      <c r="CC203" s="448" t="str">
        <f>_xlfn.IFNA(VLOOKUP($BK203,Programma!$F$3:$X$1101,19,0),"")</f>
        <v/>
      </c>
      <c r="CD203" s="448" t="str">
        <f>_xlfn.IFNA(VLOOKUP($BK203,Programma!$F$3:$Y$1101,20,0),"")</f>
        <v/>
      </c>
      <c r="CE203" s="327"/>
      <c r="CF203" s="327"/>
      <c r="CG203" s="327"/>
      <c r="CH203" s="327"/>
      <c r="CI203" s="327"/>
      <c r="CJ203" s="327"/>
      <c r="CK203" s="327"/>
      <c r="CL203" s="327"/>
      <c r="CM203" s="327"/>
      <c r="CN203" s="327"/>
      <c r="CO203" s="327"/>
      <c r="CP203" s="327"/>
      <c r="CQ203" s="327"/>
      <c r="CR203" s="327"/>
      <c r="CS203" s="327"/>
      <c r="CT203" s="327"/>
      <c r="CU203" s="327"/>
      <c r="CV203" s="327"/>
      <c r="CW203" s="327"/>
      <c r="CX203" s="327"/>
      <c r="CY203" s="327"/>
      <c r="CZ203" s="327"/>
      <c r="DA203" s="327"/>
      <c r="DB203" s="327"/>
      <c r="DC203" s="327"/>
      <c r="DD203" s="327"/>
      <c r="DE203" s="327"/>
      <c r="DF203" s="327"/>
      <c r="DG203" s="327"/>
      <c r="DH203" s="327"/>
      <c r="DI203" s="327"/>
      <c r="DJ203" s="327"/>
      <c r="DK203" s="327"/>
      <c r="DL203" s="327"/>
      <c r="DM203" s="327"/>
      <c r="DN203" s="327"/>
      <c r="DO203" s="327"/>
      <c r="DP203" s="327"/>
      <c r="DQ203" s="327"/>
      <c r="DR203" s="327"/>
      <c r="DS203" s="327"/>
      <c r="DT203" s="327"/>
      <c r="DU203" s="327"/>
      <c r="DV203" s="327"/>
      <c r="DW203" s="327"/>
      <c r="DX203" s="327"/>
      <c r="DY203" s="327"/>
      <c r="DZ203" s="327"/>
      <c r="EA203" s="327"/>
      <c r="EB203" s="327"/>
      <c r="EC203" s="327"/>
      <c r="ED203" s="327"/>
      <c r="EE203" s="327"/>
      <c r="EF203" s="327"/>
      <c r="EG203" s="327"/>
      <c r="EH203" s="327"/>
      <c r="EI203" s="327"/>
      <c r="EJ203" s="327"/>
      <c r="EK203" s="327"/>
      <c r="EL203" s="327"/>
      <c r="EM203" s="327"/>
      <c r="EN203" s="327"/>
      <c r="EO203" s="327"/>
      <c r="EP203" s="327"/>
      <c r="EQ203" s="327"/>
      <c r="ER203" s="327"/>
      <c r="ES203" s="327"/>
      <c r="ET203" s="327"/>
      <c r="EU203" s="327"/>
      <c r="EV203" s="327"/>
      <c r="EW203" s="327"/>
      <c r="EX203" s="327"/>
      <c r="EY203" s="327"/>
      <c r="EZ203" s="327"/>
      <c r="FA203" s="327"/>
      <c r="FB203" s="327"/>
      <c r="FC203" s="327"/>
      <c r="FD203" s="327"/>
      <c r="FE203" s="327"/>
      <c r="FF203" s="327"/>
      <c r="FG203" s="327"/>
      <c r="FH203" s="327"/>
      <c r="FI203" s="327"/>
      <c r="FJ203" s="327"/>
      <c r="FK203" s="327"/>
      <c r="FL203" s="327"/>
      <c r="FM203" s="327"/>
      <c r="FN203" s="327"/>
      <c r="FO203" s="327"/>
      <c r="FP203" s="327"/>
      <c r="FQ203" s="327"/>
      <c r="FR203" s="327"/>
      <c r="FS203" s="327"/>
      <c r="FT203" s="327"/>
      <c r="FU203" s="327"/>
      <c r="FV203" s="327"/>
      <c r="FW203" s="327"/>
      <c r="FX203" s="327"/>
      <c r="FY203" s="327"/>
      <c r="FZ203" s="327"/>
      <c r="GA203" s="327"/>
      <c r="GB203" s="327"/>
      <c r="GC203" s="327"/>
      <c r="GD203" s="327"/>
      <c r="GE203" s="327"/>
      <c r="GF203" s="327"/>
      <c r="GG203" s="327"/>
      <c r="GH203" s="327"/>
      <c r="GI203" s="327"/>
      <c r="GJ203" s="327"/>
      <c r="GK203" s="327"/>
      <c r="GL203" s="327"/>
      <c r="GM203" s="327"/>
      <c r="GN203" s="327"/>
      <c r="GO203" s="327"/>
      <c r="GP203" s="327"/>
      <c r="GQ203" s="327"/>
      <c r="GR203" s="327"/>
      <c r="GS203" s="327"/>
      <c r="GT203" s="327"/>
      <c r="GU203" s="327"/>
      <c r="GV203" s="327"/>
      <c r="GW203" s="327"/>
      <c r="GX203" s="327"/>
      <c r="GY203" s="327"/>
      <c r="GZ203" s="327"/>
      <c r="HA203" s="327"/>
      <c r="HB203" s="327"/>
      <c r="HC203" s="327"/>
      <c r="HD203" s="327"/>
      <c r="HE203" s="327"/>
      <c r="HF203" s="327"/>
      <c r="HG203" s="327"/>
      <c r="HH203" s="327"/>
      <c r="HI203" s="327"/>
      <c r="HJ203" s="327"/>
      <c r="HK203" s="327"/>
      <c r="HL203" s="327"/>
      <c r="HM203" s="327"/>
      <c r="HN203" s="327"/>
      <c r="HO203" s="327"/>
      <c r="HP203" s="327"/>
      <c r="HQ203" s="327"/>
      <c r="HR203" s="327"/>
      <c r="HS203" s="327"/>
    </row>
    <row r="204" spans="1:227" ht="15" customHeight="1">
      <c r="A204" s="330">
        <v>9</v>
      </c>
      <c r="B204" s="435" t="str">
        <f>VLOOKUP(Ruimtestaat[[#This Row],[Code]],Locaties[[Code]:[Locatie]],2,FALSE)</f>
        <v>IKC De Vijverburgh</v>
      </c>
      <c r="C204" s="435" t="str">
        <f>VLOOKUP(Ruimtestaat[[#This Row],[Code]],Locaties[[#All],[Code]:[Adres]],4,FALSE)</f>
        <v>Paltelaan 3</v>
      </c>
      <c r="D204" s="435" t="str">
        <f>VLOOKUP(Ruimtestaat[[#This Row],[Code]],Locaties[[#All],[Code]:[Postcode]],5,FALSE)</f>
        <v>2712 RN</v>
      </c>
      <c r="E204" s="435" t="str">
        <f>VLOOKUP(Ruimtestaat[[#This Row],[Code]],Locaties[#All],6,FALSE)</f>
        <v>Zoetermeer</v>
      </c>
      <c r="F204" s="434"/>
      <c r="G204" s="434" t="s">
        <v>1678</v>
      </c>
      <c r="H204" s="330" t="s">
        <v>1782</v>
      </c>
      <c r="I204" s="450" t="s">
        <v>1783</v>
      </c>
      <c r="J204" s="330">
        <v>10</v>
      </c>
      <c r="K204" s="450" t="str">
        <f>VLOOKUP(Ruimtestaat[[#This Row],[Ruimte code]],Ruimtegroepen[[#All],[Code]:[Ruimte omschrijving]],2,FALSE)</f>
        <v>Trappenhuizen/lift</v>
      </c>
      <c r="L204" s="434" t="s">
        <v>102</v>
      </c>
      <c r="M204" s="437" t="s">
        <v>120</v>
      </c>
      <c r="N204" s="439">
        <v>2</v>
      </c>
      <c r="O204" s="439"/>
      <c r="P204" s="439"/>
      <c r="Q204" s="439"/>
      <c r="R204" s="440" t="str">
        <f>VLOOKUP(Ruimtestaat[[#This Row],[Ruimte code]],Ruimtegroepen[],4,FALSE)</f>
        <v>Ve</v>
      </c>
      <c r="S204" s="434">
        <v>41</v>
      </c>
      <c r="T204" s="434" t="s">
        <v>2</v>
      </c>
      <c r="U204" s="434">
        <f>IF(S204&gt;0,IF(RIGHT(Ruimtestaat[[#This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04" s="434">
        <f>IF(U204&gt;0,VLOOKUP($J204,Ruimtegroepen[],3,FALSE)*VLOOKUP($L204,Vloersoorten[],3,FALSE)*VLOOKUP($T204,Frequenties[],3,FALSE)*VLOOKUP($A204,Locaties[],3,FALSE),0)</f>
        <v>0</v>
      </c>
      <c r="W204" s="434">
        <f>Ruimtestaat[[#This Row],[Uitvoeringen werkdagen]]*Ruimtestaat[[#This Row],[Oppervlak (netto)]]</f>
        <v>410</v>
      </c>
      <c r="X204" s="441">
        <f>IF(V204&gt;0,Ruimtestaat[[#This Row],[Prest. (m2 /jaar) werkdagen]]/Ruimtestaat[[#This Row],[Norm (m2/uur) werkdagen]],0)</f>
        <v>0</v>
      </c>
      <c r="Y204" s="442">
        <f>Ruimtestaat[[#This Row],[Uitvoeringen werkdagen]]*Ruimtestaat[[#This Row],[Gedeeltelijk]]</f>
        <v>0</v>
      </c>
      <c r="Z204" s="443" t="e">
        <f>IF(U204&gt;0,Ruimtestaat[[#This Row],[Prest. (m2 / jaar) werkdagen gedeeld]]/Ruimtestaat[[#This Row],[Norm (m2/uur) werkdagen]],0)</f>
        <v>#DIV/0!</v>
      </c>
      <c r="AA204" s="441" t="e">
        <f>Ruimtestaat[[#This Row],[uren / jaar werkdagen gedeeld]]*Tariefsopbouw!$E$35</f>
        <v>#DIV/0!</v>
      </c>
      <c r="AB204" s="441">
        <f>Ruimtestaat[[#This Row],[Uitvoeringen werkdagen]]*Ruimtestaat[[#This Row],[BSO]]</f>
        <v>0</v>
      </c>
      <c r="AC204" s="443" t="e">
        <f>IF(U204&gt;0,Ruimtestaat[[#This Row],[Prest. (m2 / jaar) werkdagen BSO]]/Ruimtestaat[[#This Row],[Norm (m2/uur) werkdagen]],0)</f>
        <v>#DIV/0!</v>
      </c>
      <c r="AD204" s="443" t="e">
        <f>Ruimtestaat[[#This Row],[uren / jaar werkdagen BSO]]*Tariefsopbouw!$E$35</f>
        <v>#DIV/0!</v>
      </c>
      <c r="AE204" s="444">
        <f>Ruimtestaat[[#This Row],[uren / jaar werkdagen]]*Tariefsopbouw!$E$35</f>
        <v>0</v>
      </c>
      <c r="AF204" s="434"/>
      <c r="AG204" s="434">
        <f>IF(Ruimtestaat[[#This Row],[Frequentie weekend]]&gt;0,VALUE(LEFT(AF204,1))*S204,0)</f>
        <v>0</v>
      </c>
      <c r="AH204" s="445">
        <f>IF($AG204&gt;0,VLOOKUP($J204,Ruimtegroepen[],3,FALSE)*VLOOKUP($L204,Vloersoorten[],3,FALSE)*VLOOKUP($AF204,Frequenties[],3,FALSE)*VLOOKUP(Ruimtestaat[[#This Row],[Code]],Locaties[],3,FALSE),0)</f>
        <v>0</v>
      </c>
      <c r="AI204" s="445">
        <f>Ruimtestaat[[#This Row],[Uitvoeringen weekend]]*Ruimtestaat[[#This Row],[Oppervlak (netto)]]</f>
        <v>0</v>
      </c>
      <c r="AJ204" s="445">
        <f>IF(AH204&gt;0,Ruimtestaat[[#This Row],[Prest. (m2 /jaar) weekend]]/Ruimtestaat[[#This Row],[Norm (m2/uur) weekend]],0)</f>
        <v>0</v>
      </c>
      <c r="AK204" s="444">
        <f>Ruimtestaat[[#This Row],[uren / jaar weekend]]*Tariefsopbouw!$D$40</f>
        <v>0</v>
      </c>
      <c r="AL204" s="441">
        <f>Ruimtestaat[[#This Row],[Prest. (m2 /jaar) weekend]]+Ruimtestaat[[#This Row],[Prest. (m2 /jaar) werkdagen]]</f>
        <v>410</v>
      </c>
      <c r="AM204" s="441">
        <f>Ruimtestaat[[#This Row],[uren / jaar weekend]]+Ruimtestaat[[#This Row],[uren / jaar werkdagen]]</f>
        <v>0</v>
      </c>
      <c r="AN204" s="446">
        <f>Ruimtestaat[[#This Row],[kosten / jaar weekend]]+Ruimtestaat[[#This Row],[kosten / jaar werkdagen]]</f>
        <v>0</v>
      </c>
      <c r="AO204" s="446"/>
      <c r="AP204" s="447" t="str">
        <f>IF(Ruimtestaat[[#This Row],[Frequentie werkdagen]]="","",_xlfn.CONCAT(Ruimtestaat[[#This Row],[Ruimte code]],"-",Ruimtestaat[[#This Row],[Frequentie werkdagen]]," ",Ruimtestaat[[#This Row],[Vloer code]]))</f>
        <v>10-5w P</v>
      </c>
      <c r="AQ204" s="448" t="str">
        <f>_xlfn.IFNA(VLOOKUP($AP204,Programma!$F$3:$G$1101,2,0),"")</f>
        <v>_</v>
      </c>
      <c r="AR204" s="448" t="str">
        <f>_xlfn.IFNA(VLOOKUP($AP204,Programma!$F$3:$H$1101,3,0),"")</f>
        <v>_</v>
      </c>
      <c r="AS204" s="448" t="str">
        <f>_xlfn.IFNA(VLOOKUP($AP204,Programma!$F$3:$I$1101,4,0),"")</f>
        <v>5w</v>
      </c>
      <c r="AT204" s="448" t="str">
        <f>_xlfn.IFNA(VLOOKUP($AP204,Programma!$F$3:$J$1101,5,0),"")</f>
        <v>_</v>
      </c>
      <c r="AU204" s="448" t="str">
        <f>_xlfn.IFNA(VLOOKUP($AP204,Programma!$F$3:$K$1101,6,0),"")</f>
        <v>4j</v>
      </c>
      <c r="AV204" s="448" t="str">
        <f>_xlfn.IFNA(VLOOKUP($AP204,Programma!$F$3:$L$1101,7,0),"")</f>
        <v>_</v>
      </c>
      <c r="AW204" s="448" t="str">
        <f>_xlfn.IFNA(VLOOKUP($AP204,Programma!$F$3:$M$1101,8,0),"")</f>
        <v>_</v>
      </c>
      <c r="AX204" s="448" t="str">
        <f>_xlfn.IFNA(VLOOKUP($AP204,Programma!$F$3:$N$1101,9,0),"")</f>
        <v>_</v>
      </c>
      <c r="AY204" s="448" t="str">
        <f>_xlfn.IFNA(VLOOKUP($AP204,Programma!$F$3:$O$1101,10,0),"")</f>
        <v>5w</v>
      </c>
      <c r="AZ204" s="448" t="str">
        <f>_xlfn.IFNA(VLOOKUP($AP204,Programma!$F$3:$P$1101,11,0),"")</f>
        <v>5w</v>
      </c>
      <c r="BA204" s="448" t="str">
        <f>_xlfn.IFNA(VLOOKUP($AP204,Programma!$F$3:$Q$1101,12,0),"")</f>
        <v>1w</v>
      </c>
      <c r="BB204" s="448" t="str">
        <f>_xlfn.IFNA(VLOOKUP($AP204,Programma!$F$3:$R$1101,13,0),"")</f>
        <v>1w</v>
      </c>
      <c r="BC204" s="448" t="str">
        <f>_xlfn.IFNA(VLOOKUP($AP204,Programma!$F$3:$S$1101,14,0),"")</f>
        <v>1m</v>
      </c>
      <c r="BD204" s="448" t="str">
        <f>_xlfn.IFNA(VLOOKUP($AP204,Programma!$F$3:$T$1101,15,0),"")</f>
        <v>2j</v>
      </c>
      <c r="BE204" s="448" t="str">
        <f>_xlfn.IFNA(VLOOKUP($AP204,Programma!$F$3:$U$1101,16,0),"")</f>
        <v>1j</v>
      </c>
      <c r="BF204" s="448" t="str">
        <f>_xlfn.IFNA(VLOOKUP($AP204,Programma!$F$3:$V$1101,17,0),"")</f>
        <v>_</v>
      </c>
      <c r="BG204" s="448" t="str">
        <f>_xlfn.IFNA(VLOOKUP($AP204,Programma!$F$3:$W$1101,18,0),"")</f>
        <v>_</v>
      </c>
      <c r="BH204" s="448" t="str">
        <f>_xlfn.IFNA(VLOOKUP($AP204,Programma!$F$3:$X$1101,19,0),"")</f>
        <v>_</v>
      </c>
      <c r="BI204" s="448" t="str">
        <f>_xlfn.IFNA(VLOOKUP($AP204,Programma!$F$3:$Y$1101,20,0),"")</f>
        <v>_</v>
      </c>
      <c r="BJ204" s="449"/>
      <c r="BK204" s="447" t="str">
        <f>IF(Ruimtestaat[[#This Row],[Frequentie weekend]]="","",_xlfn.CONCAT(Ruimtestaat[[#This Row],[Ruimte code]],"-",Ruimtestaat[[#This Row],[Frequentie weekend]]," ",Ruimtestaat[[#This Row],[Vloer code]]))</f>
        <v/>
      </c>
      <c r="BL204" s="448" t="str">
        <f>_xlfn.IFNA(VLOOKUP($BK204,Programma!$F$3:$G$1101,2,0),"")</f>
        <v/>
      </c>
      <c r="BM204" s="448" t="str">
        <f>_xlfn.IFNA(VLOOKUP($BK204,Programma!$F$3:$H$1101,3,0),"")</f>
        <v/>
      </c>
      <c r="BN204" s="448" t="str">
        <f>_xlfn.IFNA(VLOOKUP($BK204,Programma!$F$3:$I$1101,4,0),"")</f>
        <v/>
      </c>
      <c r="BO204" s="448" t="str">
        <f>_xlfn.IFNA(VLOOKUP($BK204,Programma!$F$3:$J$1101,5,0),"")</f>
        <v/>
      </c>
      <c r="BP204" s="448" t="str">
        <f>_xlfn.IFNA(VLOOKUP($BK204,Programma!$F$3:$K$1101,6,0),"")</f>
        <v/>
      </c>
      <c r="BQ204" s="448" t="str">
        <f>_xlfn.IFNA(VLOOKUP($BK204,Programma!$F$3:$L$1101,7,0),"")</f>
        <v/>
      </c>
      <c r="BR204" s="448" t="str">
        <f>_xlfn.IFNA(VLOOKUP($BK204,Programma!$F$3:$M$1101,8,0),"")</f>
        <v/>
      </c>
      <c r="BS204" s="448" t="str">
        <f>_xlfn.IFNA(VLOOKUP($BK204,Programma!$F$3:$N$1101,9,0),"")</f>
        <v/>
      </c>
      <c r="BT204" s="448" t="str">
        <f>_xlfn.IFNA(VLOOKUP($BK204,Programma!$F$3:$O$1101,10,0),"")</f>
        <v/>
      </c>
      <c r="BU204" s="448" t="str">
        <f>_xlfn.IFNA(VLOOKUP($BK204,Programma!$F$3:$P$1101,11,0),"")</f>
        <v/>
      </c>
      <c r="BV204" s="448" t="str">
        <f>_xlfn.IFNA(VLOOKUP($BK204,Programma!$F$3:$Q$1101,12,0),"")</f>
        <v/>
      </c>
      <c r="BW204" s="448" t="str">
        <f>_xlfn.IFNA(VLOOKUP($BK204,Programma!$F$3:$R$1101,13,0),"")</f>
        <v/>
      </c>
      <c r="BX204" s="448" t="str">
        <f>_xlfn.IFNA(VLOOKUP($BK204,Programma!$F$3:$S$1101,14,0),"")</f>
        <v/>
      </c>
      <c r="BY204" s="448" t="str">
        <f>_xlfn.IFNA(VLOOKUP($BK204,Programma!$F$3:$T$1101,15,0),"")</f>
        <v/>
      </c>
      <c r="BZ204" s="448" t="str">
        <f>_xlfn.IFNA(VLOOKUP($BK204,Programma!$F$3:$U$1101,16,0),"")</f>
        <v/>
      </c>
      <c r="CA204" s="448" t="str">
        <f>_xlfn.IFNA(VLOOKUP($BK204,Programma!$F$3:$V$1101,17,0),"")</f>
        <v/>
      </c>
      <c r="CB204" s="448" t="str">
        <f>_xlfn.IFNA(VLOOKUP($BK204,Programma!$F$3:$W$1101,18,0),"")</f>
        <v/>
      </c>
      <c r="CC204" s="448" t="str">
        <f>_xlfn.IFNA(VLOOKUP($BK204,Programma!$F$3:$X$1101,19,0),"")</f>
        <v/>
      </c>
      <c r="CD204" s="448" t="str">
        <f>_xlfn.IFNA(VLOOKUP($BK204,Programma!$F$3:$Y$1101,20,0),"")</f>
        <v/>
      </c>
      <c r="CE204" s="327"/>
      <c r="CF204" s="327"/>
      <c r="CG204" s="327"/>
      <c r="CH204" s="327"/>
      <c r="CI204" s="327"/>
      <c r="CJ204" s="327"/>
      <c r="CK204" s="327"/>
      <c r="CL204" s="327"/>
      <c r="CM204" s="327"/>
      <c r="CN204" s="327"/>
      <c r="CO204" s="327"/>
      <c r="CP204" s="327"/>
      <c r="CQ204" s="327"/>
      <c r="CR204" s="327"/>
      <c r="CS204" s="327"/>
      <c r="CT204" s="327"/>
      <c r="CU204" s="327"/>
      <c r="CV204" s="327"/>
      <c r="CW204" s="327"/>
      <c r="CX204" s="327"/>
      <c r="CY204" s="327"/>
      <c r="CZ204" s="327"/>
      <c r="DA204" s="327"/>
      <c r="DB204" s="327"/>
      <c r="DC204" s="327"/>
      <c r="DD204" s="327"/>
      <c r="DE204" s="327"/>
      <c r="DF204" s="327"/>
      <c r="DG204" s="327"/>
      <c r="DH204" s="327"/>
      <c r="DI204" s="327"/>
      <c r="DJ204" s="327"/>
      <c r="DK204" s="327"/>
      <c r="DL204" s="327"/>
      <c r="DM204" s="327"/>
      <c r="DN204" s="327"/>
      <c r="DO204" s="327"/>
      <c r="DP204" s="327"/>
      <c r="DQ204" s="327"/>
      <c r="DR204" s="327"/>
      <c r="DS204" s="327"/>
      <c r="DT204" s="327"/>
      <c r="DU204" s="327"/>
      <c r="DV204" s="327"/>
      <c r="DW204" s="327"/>
      <c r="DX204" s="327"/>
      <c r="DY204" s="327"/>
      <c r="DZ204" s="327"/>
      <c r="EA204" s="327"/>
      <c r="EB204" s="327"/>
      <c r="EC204" s="327"/>
      <c r="ED204" s="327"/>
      <c r="EE204" s="327"/>
      <c r="EF204" s="327"/>
      <c r="EG204" s="327"/>
      <c r="EH204" s="327"/>
      <c r="EI204" s="327"/>
      <c r="EJ204" s="327"/>
      <c r="EK204" s="327"/>
      <c r="EL204" s="327"/>
      <c r="EM204" s="327"/>
      <c r="EN204" s="327"/>
      <c r="EO204" s="327"/>
      <c r="EP204" s="327"/>
      <c r="EQ204" s="327"/>
      <c r="ER204" s="327"/>
      <c r="ES204" s="327"/>
      <c r="ET204" s="327"/>
      <c r="EU204" s="327"/>
      <c r="EV204" s="327"/>
      <c r="EW204" s="327"/>
      <c r="EX204" s="327"/>
      <c r="EY204" s="327"/>
      <c r="EZ204" s="327"/>
      <c r="FA204" s="327"/>
      <c r="FB204" s="327"/>
      <c r="FC204" s="327"/>
      <c r="FD204" s="327"/>
      <c r="FE204" s="327"/>
      <c r="FF204" s="327"/>
      <c r="FG204" s="327"/>
      <c r="FH204" s="327"/>
      <c r="FI204" s="327"/>
      <c r="FJ204" s="327"/>
      <c r="FK204" s="327"/>
      <c r="FL204" s="327"/>
      <c r="FM204" s="327"/>
      <c r="FN204" s="327"/>
      <c r="FO204" s="327"/>
      <c r="FP204" s="327"/>
      <c r="FQ204" s="327"/>
      <c r="FR204" s="327"/>
      <c r="FS204" s="327"/>
      <c r="FT204" s="327"/>
      <c r="FU204" s="327"/>
      <c r="FV204" s="327"/>
      <c r="FW204" s="327"/>
      <c r="FX204" s="327"/>
      <c r="FY204" s="327"/>
      <c r="FZ204" s="327"/>
      <c r="GA204" s="327"/>
      <c r="GB204" s="327"/>
      <c r="GC204" s="327"/>
      <c r="GD204" s="327"/>
      <c r="GE204" s="327"/>
      <c r="GF204" s="327"/>
      <c r="GG204" s="327"/>
      <c r="GH204" s="327"/>
      <c r="GI204" s="327"/>
      <c r="GJ204" s="327"/>
      <c r="GK204" s="327"/>
      <c r="GL204" s="327"/>
      <c r="GM204" s="327"/>
      <c r="GN204" s="327"/>
      <c r="GO204" s="327"/>
      <c r="GP204" s="327"/>
      <c r="GQ204" s="327"/>
      <c r="GR204" s="327"/>
      <c r="GS204" s="327"/>
      <c r="GT204" s="327"/>
      <c r="GU204" s="327"/>
      <c r="GV204" s="327"/>
      <c r="GW204" s="327"/>
      <c r="GX204" s="327"/>
      <c r="GY204" s="327"/>
      <c r="GZ204" s="327"/>
      <c r="HA204" s="327"/>
      <c r="HB204" s="327"/>
      <c r="HC204" s="327"/>
      <c r="HD204" s="327"/>
      <c r="HE204" s="327"/>
      <c r="HF204" s="327"/>
      <c r="HG204" s="327"/>
      <c r="HH204" s="327"/>
      <c r="HI204" s="327"/>
      <c r="HJ204" s="327"/>
      <c r="HK204" s="327"/>
      <c r="HL204" s="327"/>
      <c r="HM204" s="327"/>
      <c r="HN204" s="327"/>
      <c r="HO204" s="327"/>
      <c r="HP204" s="327"/>
      <c r="HQ204" s="327"/>
      <c r="HR204" s="327"/>
      <c r="HS204" s="327"/>
    </row>
    <row r="205" spans="1:227" ht="15" customHeight="1">
      <c r="A205" s="330">
        <v>9</v>
      </c>
      <c r="B205" s="435" t="str">
        <f>VLOOKUP(Ruimtestaat[[#This Row],[Code]],Locaties[[Code]:[Locatie]],2,FALSE)</f>
        <v>IKC De Vijverburgh</v>
      </c>
      <c r="C205" s="435" t="str">
        <f>VLOOKUP(Ruimtestaat[[#This Row],[Code]],Locaties[[#All],[Code]:[Adres]],4,FALSE)</f>
        <v>Paltelaan 3</v>
      </c>
      <c r="D205" s="435" t="str">
        <f>VLOOKUP(Ruimtestaat[[#This Row],[Code]],Locaties[[#All],[Code]:[Postcode]],5,FALSE)</f>
        <v>2712 RN</v>
      </c>
      <c r="E205" s="435" t="str">
        <f>VLOOKUP(Ruimtestaat[[#This Row],[Code]],Locaties[#All],6,FALSE)</f>
        <v>Zoetermeer</v>
      </c>
      <c r="F205" s="434"/>
      <c r="G205" s="434" t="s">
        <v>1678</v>
      </c>
      <c r="H205" s="330" t="s">
        <v>1784</v>
      </c>
      <c r="I205" s="450" t="s">
        <v>1673</v>
      </c>
      <c r="J205" s="434">
        <v>5</v>
      </c>
      <c r="K205" s="450" t="str">
        <f>VLOOKUP(Ruimtestaat[[#This Row],[Ruimte code]],Ruimtegroepen[[#All],[Code]:[Ruimte omschrijving]],2,FALSE)</f>
        <v>Sanitair</v>
      </c>
      <c r="L205" s="434" t="s">
        <v>101</v>
      </c>
      <c r="M205" s="437" t="s">
        <v>1816</v>
      </c>
      <c r="N205" s="439">
        <v>9</v>
      </c>
      <c r="O205" s="439"/>
      <c r="P205" s="439"/>
      <c r="Q205" s="439"/>
      <c r="R205" s="440" t="str">
        <f>VLOOKUP(Ruimtestaat[[#This Row],[Ruimte code]],Ruimtegroepen[],4,FALSE)</f>
        <v>Sa</v>
      </c>
      <c r="S205" s="434">
        <v>41</v>
      </c>
      <c r="T205" s="434" t="s">
        <v>2</v>
      </c>
      <c r="U205" s="434">
        <f>IF(S205&gt;0,IF(RIGHT(Ruimtestaat[[#This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05" s="434">
        <f>IF(U205&gt;0,VLOOKUP($J205,Ruimtegroepen[],3,FALSE)*VLOOKUP($L205,Vloersoorten[],3,FALSE)*VLOOKUP($T205,Frequenties[],3,FALSE)*VLOOKUP($A205,Locaties[],3,FALSE),0)</f>
        <v>0</v>
      </c>
      <c r="W205" s="434">
        <f>Ruimtestaat[[#This Row],[Uitvoeringen werkdagen]]*Ruimtestaat[[#This Row],[Oppervlak (netto)]]</f>
        <v>1845</v>
      </c>
      <c r="X205" s="441">
        <f>IF(V205&gt;0,Ruimtestaat[[#This Row],[Prest. (m2 /jaar) werkdagen]]/Ruimtestaat[[#This Row],[Norm (m2/uur) werkdagen]],0)</f>
        <v>0</v>
      </c>
      <c r="Y205" s="442">
        <f>Ruimtestaat[[#This Row],[Uitvoeringen werkdagen]]*Ruimtestaat[[#This Row],[Gedeeltelijk]]</f>
        <v>0</v>
      </c>
      <c r="Z205" s="443" t="e">
        <f>IF(U205&gt;0,Ruimtestaat[[#This Row],[Prest. (m2 / jaar) werkdagen gedeeld]]/Ruimtestaat[[#This Row],[Norm (m2/uur) werkdagen]],0)</f>
        <v>#DIV/0!</v>
      </c>
      <c r="AA205" s="441" t="e">
        <f>Ruimtestaat[[#This Row],[uren / jaar werkdagen gedeeld]]*Tariefsopbouw!$E$35</f>
        <v>#DIV/0!</v>
      </c>
      <c r="AB205" s="441">
        <f>Ruimtestaat[[#This Row],[Uitvoeringen werkdagen]]*Ruimtestaat[[#This Row],[BSO]]</f>
        <v>0</v>
      </c>
      <c r="AC205" s="443" t="e">
        <f>IF(U205&gt;0,Ruimtestaat[[#This Row],[Prest. (m2 / jaar) werkdagen BSO]]/Ruimtestaat[[#This Row],[Norm (m2/uur) werkdagen]],0)</f>
        <v>#DIV/0!</v>
      </c>
      <c r="AD205" s="443" t="e">
        <f>Ruimtestaat[[#This Row],[uren / jaar werkdagen BSO]]*Tariefsopbouw!$E$35</f>
        <v>#DIV/0!</v>
      </c>
      <c r="AE205" s="444">
        <f>Ruimtestaat[[#This Row],[uren / jaar werkdagen]]*Tariefsopbouw!$E$35</f>
        <v>0</v>
      </c>
      <c r="AF205" s="434"/>
      <c r="AG205" s="434">
        <f>IF(Ruimtestaat[[#This Row],[Frequentie weekend]]&gt;0,VALUE(LEFT(AF205,1))*S205,0)</f>
        <v>0</v>
      </c>
      <c r="AH205" s="445">
        <f>IF($AG205&gt;0,VLOOKUP($J205,Ruimtegroepen[],3,FALSE)*VLOOKUP($L205,Vloersoorten[],3,FALSE)*VLOOKUP($AF205,Frequenties[],3,FALSE)*VLOOKUP(Ruimtestaat[[#This Row],[Code]],Locaties[],3,FALSE),0)</f>
        <v>0</v>
      </c>
      <c r="AI205" s="445">
        <f>Ruimtestaat[[#This Row],[Uitvoeringen weekend]]*Ruimtestaat[[#This Row],[Oppervlak (netto)]]</f>
        <v>0</v>
      </c>
      <c r="AJ205" s="445">
        <f>IF(AH205&gt;0,Ruimtestaat[[#This Row],[Prest. (m2 /jaar) weekend]]/Ruimtestaat[[#This Row],[Norm (m2/uur) weekend]],0)</f>
        <v>0</v>
      </c>
      <c r="AK205" s="444">
        <f>Ruimtestaat[[#This Row],[uren / jaar weekend]]*Tariefsopbouw!$D$40</f>
        <v>0</v>
      </c>
      <c r="AL205" s="441">
        <f>Ruimtestaat[[#This Row],[Prest. (m2 /jaar) weekend]]+Ruimtestaat[[#This Row],[Prest. (m2 /jaar) werkdagen]]</f>
        <v>1845</v>
      </c>
      <c r="AM205" s="441">
        <f>Ruimtestaat[[#This Row],[uren / jaar weekend]]+Ruimtestaat[[#This Row],[uren / jaar werkdagen]]</f>
        <v>0</v>
      </c>
      <c r="AN205" s="446">
        <f>Ruimtestaat[[#This Row],[kosten / jaar weekend]]+Ruimtestaat[[#This Row],[kosten / jaar werkdagen]]</f>
        <v>0</v>
      </c>
      <c r="AO205" s="446"/>
      <c r="AP205" s="447" t="str">
        <f>IF(Ruimtestaat[[#This Row],[Frequentie werkdagen]]="","",_xlfn.CONCAT(Ruimtestaat[[#This Row],[Ruimte code]],"-",Ruimtestaat[[#This Row],[Frequentie werkdagen]]," ",Ruimtestaat[[#This Row],[Vloer code]]))</f>
        <v>5-5w S</v>
      </c>
      <c r="AQ205" s="448" t="str">
        <f>_xlfn.IFNA(VLOOKUP($AP205,Programma!$F$3:$G$1101,2,0),"")</f>
        <v>_</v>
      </c>
      <c r="AR205" s="448" t="str">
        <f>_xlfn.IFNA(VLOOKUP($AP205,Programma!$F$3:$H$1101,3,0),"")</f>
        <v>_</v>
      </c>
      <c r="AS205" s="448" t="str">
        <f>_xlfn.IFNA(VLOOKUP($AP205,Programma!$F$3:$I$1101,4,0),"")</f>
        <v>_</v>
      </c>
      <c r="AT205" s="448" t="str">
        <f>_xlfn.IFNA(VLOOKUP($AP205,Programma!$F$3:$J$1101,5,0),"")</f>
        <v>4w</v>
      </c>
      <c r="AU205" s="448" t="str">
        <f>_xlfn.IFNA(VLOOKUP($AP205,Programma!$F$3:$K$1101,6,0),"")</f>
        <v>1w</v>
      </c>
      <c r="AV205" s="448" t="str">
        <f>_xlfn.IFNA(VLOOKUP($AP205,Programma!$F$3:$L$1101,7,0),"")</f>
        <v>_</v>
      </c>
      <c r="AW205" s="448" t="str">
        <f>_xlfn.IFNA(VLOOKUP($AP205,Programma!$F$3:$M$1101,8,0),"")</f>
        <v>_</v>
      </c>
      <c r="AX205" s="448" t="str">
        <f>_xlfn.IFNA(VLOOKUP($AP205,Programma!$F$3:$N$1101,9,0),"")</f>
        <v>_</v>
      </c>
      <c r="AY205" s="448" t="str">
        <f>_xlfn.IFNA(VLOOKUP($AP205,Programma!$F$3:$O$1101,10,0),"")</f>
        <v>_</v>
      </c>
      <c r="AZ205" s="448" t="str">
        <f>_xlfn.IFNA(VLOOKUP($AP205,Programma!$F$3:$P$1101,11,0),"")</f>
        <v>_</v>
      </c>
      <c r="BA205" s="448" t="str">
        <f>_xlfn.IFNA(VLOOKUP($AP205,Programma!$F$3:$Q$1101,12,0),"")</f>
        <v>_</v>
      </c>
      <c r="BB205" s="448" t="str">
        <f>_xlfn.IFNA(VLOOKUP($AP205,Programma!$F$3:$R$1101,13,0),"")</f>
        <v>_</v>
      </c>
      <c r="BC205" s="448" t="str">
        <f>_xlfn.IFNA(VLOOKUP($AP205,Programma!$F$3:$S$1101,14,0),"")</f>
        <v>_</v>
      </c>
      <c r="BD205" s="448" t="str">
        <f>_xlfn.IFNA(VLOOKUP($AP205,Programma!$F$3:$T$1101,15,0),"")</f>
        <v>_</v>
      </c>
      <c r="BE205" s="448" t="str">
        <f>_xlfn.IFNA(VLOOKUP($AP205,Programma!$F$3:$U$1101,16,0),"")</f>
        <v>_</v>
      </c>
      <c r="BF205" s="448" t="str">
        <f>_xlfn.IFNA(VLOOKUP($AP205,Programma!$F$3:$V$1101,17,0),"")</f>
        <v>_</v>
      </c>
      <c r="BG205" s="448" t="str">
        <f>_xlfn.IFNA(VLOOKUP($AP205,Programma!$F$3:$W$1101,18,0),"")</f>
        <v>4w</v>
      </c>
      <c r="BH205" s="448" t="str">
        <f>_xlfn.IFNA(VLOOKUP($AP205,Programma!$F$3:$X$1101,19,0),"")</f>
        <v>1w</v>
      </c>
      <c r="BI205" s="448" t="str">
        <f>_xlfn.IFNA(VLOOKUP($AP205,Programma!$F$3:$Y$1101,20,0),"")</f>
        <v>_</v>
      </c>
      <c r="BJ205" s="449"/>
      <c r="BK205" s="447" t="str">
        <f>IF(Ruimtestaat[[#This Row],[Frequentie weekend]]="","",_xlfn.CONCAT(Ruimtestaat[[#This Row],[Ruimte code]],"-",Ruimtestaat[[#This Row],[Frequentie weekend]]," ",Ruimtestaat[[#This Row],[Vloer code]]))</f>
        <v/>
      </c>
      <c r="BL205" s="448" t="str">
        <f>_xlfn.IFNA(VLOOKUP($BK205,Programma!$F$3:$G$1101,2,0),"")</f>
        <v/>
      </c>
      <c r="BM205" s="448" t="str">
        <f>_xlfn.IFNA(VLOOKUP($BK205,Programma!$F$3:$H$1101,3,0),"")</f>
        <v/>
      </c>
      <c r="BN205" s="448" t="str">
        <f>_xlfn.IFNA(VLOOKUP($BK205,Programma!$F$3:$I$1101,4,0),"")</f>
        <v/>
      </c>
      <c r="BO205" s="448" t="str">
        <f>_xlfn.IFNA(VLOOKUP($BK205,Programma!$F$3:$J$1101,5,0),"")</f>
        <v/>
      </c>
      <c r="BP205" s="448" t="str">
        <f>_xlfn.IFNA(VLOOKUP($BK205,Programma!$F$3:$K$1101,6,0),"")</f>
        <v/>
      </c>
      <c r="BQ205" s="448" t="str">
        <f>_xlfn.IFNA(VLOOKUP($BK205,Programma!$F$3:$L$1101,7,0),"")</f>
        <v/>
      </c>
      <c r="BR205" s="448" t="str">
        <f>_xlfn.IFNA(VLOOKUP($BK205,Programma!$F$3:$M$1101,8,0),"")</f>
        <v/>
      </c>
      <c r="BS205" s="448" t="str">
        <f>_xlfn.IFNA(VLOOKUP($BK205,Programma!$F$3:$N$1101,9,0),"")</f>
        <v/>
      </c>
      <c r="BT205" s="448" t="str">
        <f>_xlfn.IFNA(VLOOKUP($BK205,Programma!$F$3:$O$1101,10,0),"")</f>
        <v/>
      </c>
      <c r="BU205" s="448" t="str">
        <f>_xlfn.IFNA(VLOOKUP($BK205,Programma!$F$3:$P$1101,11,0),"")</f>
        <v/>
      </c>
      <c r="BV205" s="448" t="str">
        <f>_xlfn.IFNA(VLOOKUP($BK205,Programma!$F$3:$Q$1101,12,0),"")</f>
        <v/>
      </c>
      <c r="BW205" s="448" t="str">
        <f>_xlfn.IFNA(VLOOKUP($BK205,Programma!$F$3:$R$1101,13,0),"")</f>
        <v/>
      </c>
      <c r="BX205" s="448" t="str">
        <f>_xlfn.IFNA(VLOOKUP($BK205,Programma!$F$3:$S$1101,14,0),"")</f>
        <v/>
      </c>
      <c r="BY205" s="448" t="str">
        <f>_xlfn.IFNA(VLOOKUP($BK205,Programma!$F$3:$T$1101,15,0),"")</f>
        <v/>
      </c>
      <c r="BZ205" s="448" t="str">
        <f>_xlfn.IFNA(VLOOKUP($BK205,Programma!$F$3:$U$1101,16,0),"")</f>
        <v/>
      </c>
      <c r="CA205" s="448" t="str">
        <f>_xlfn.IFNA(VLOOKUP($BK205,Programma!$F$3:$V$1101,17,0),"")</f>
        <v/>
      </c>
      <c r="CB205" s="448" t="str">
        <f>_xlfn.IFNA(VLOOKUP($BK205,Programma!$F$3:$W$1101,18,0),"")</f>
        <v/>
      </c>
      <c r="CC205" s="448" t="str">
        <f>_xlfn.IFNA(VLOOKUP($BK205,Programma!$F$3:$X$1101,19,0),"")</f>
        <v/>
      </c>
      <c r="CD205" s="448" t="str">
        <f>_xlfn.IFNA(VLOOKUP($BK205,Programma!$F$3:$Y$1101,20,0),"")</f>
        <v/>
      </c>
      <c r="CE205" s="327"/>
      <c r="CF205" s="327"/>
      <c r="CG205" s="327"/>
      <c r="CH205" s="327"/>
      <c r="CI205" s="327"/>
      <c r="CJ205" s="327"/>
      <c r="CK205" s="327"/>
      <c r="CL205" s="327"/>
      <c r="CM205" s="327"/>
      <c r="CN205" s="327"/>
      <c r="CO205" s="327"/>
      <c r="CP205" s="327"/>
      <c r="CQ205" s="327"/>
      <c r="CR205" s="327"/>
      <c r="CS205" s="327"/>
      <c r="CT205" s="327"/>
      <c r="CU205" s="327"/>
      <c r="CV205" s="327"/>
      <c r="CW205" s="327"/>
      <c r="CX205" s="327"/>
      <c r="CY205" s="327"/>
      <c r="CZ205" s="327"/>
      <c r="DA205" s="327"/>
      <c r="DB205" s="327"/>
      <c r="DC205" s="327"/>
      <c r="DD205" s="327"/>
      <c r="DE205" s="327"/>
      <c r="DF205" s="327"/>
      <c r="DG205" s="327"/>
      <c r="DH205" s="327"/>
      <c r="DI205" s="327"/>
      <c r="DJ205" s="327"/>
      <c r="DK205" s="327"/>
      <c r="DL205" s="327"/>
      <c r="DM205" s="327"/>
      <c r="DN205" s="327"/>
      <c r="DO205" s="327"/>
      <c r="DP205" s="327"/>
      <c r="DQ205" s="327"/>
      <c r="DR205" s="327"/>
      <c r="DS205" s="327"/>
      <c r="DT205" s="327"/>
      <c r="DU205" s="327"/>
      <c r="DV205" s="327"/>
      <c r="DW205" s="327"/>
      <c r="DX205" s="327"/>
      <c r="DY205" s="327"/>
      <c r="DZ205" s="327"/>
      <c r="EA205" s="327"/>
      <c r="EB205" s="327"/>
      <c r="EC205" s="327"/>
      <c r="ED205" s="327"/>
      <c r="EE205" s="327"/>
      <c r="EF205" s="327"/>
      <c r="EG205" s="327"/>
      <c r="EH205" s="327"/>
      <c r="EI205" s="327"/>
      <c r="EJ205" s="327"/>
      <c r="EK205" s="327"/>
      <c r="EL205" s="327"/>
      <c r="EM205" s="327"/>
      <c r="EN205" s="327"/>
      <c r="EO205" s="327"/>
      <c r="EP205" s="327"/>
      <c r="EQ205" s="327"/>
      <c r="ER205" s="327"/>
      <c r="ES205" s="327"/>
      <c r="ET205" s="327"/>
      <c r="EU205" s="327"/>
      <c r="EV205" s="327"/>
      <c r="EW205" s="327"/>
      <c r="EX205" s="327"/>
      <c r="EY205" s="327"/>
      <c r="EZ205" s="327"/>
      <c r="FA205" s="327"/>
      <c r="FB205" s="327"/>
      <c r="FC205" s="327"/>
      <c r="FD205" s="327"/>
      <c r="FE205" s="327"/>
      <c r="FF205" s="327"/>
      <c r="FG205" s="327"/>
      <c r="FH205" s="327"/>
      <c r="FI205" s="327"/>
      <c r="FJ205" s="327"/>
      <c r="FK205" s="327"/>
      <c r="FL205" s="327"/>
      <c r="FM205" s="327"/>
      <c r="FN205" s="327"/>
      <c r="FO205" s="327"/>
      <c r="FP205" s="327"/>
      <c r="FQ205" s="327"/>
      <c r="FR205" s="327"/>
      <c r="FS205" s="327"/>
      <c r="FT205" s="327"/>
      <c r="FU205" s="327"/>
      <c r="FV205" s="327"/>
      <c r="FW205" s="327"/>
      <c r="FX205" s="327"/>
      <c r="FY205" s="327"/>
      <c r="FZ205" s="327"/>
      <c r="GA205" s="327"/>
      <c r="GB205" s="327"/>
      <c r="GC205" s="327"/>
      <c r="GD205" s="327"/>
      <c r="GE205" s="327"/>
      <c r="GF205" s="327"/>
      <c r="GG205" s="327"/>
      <c r="GH205" s="327"/>
      <c r="GI205" s="327"/>
      <c r="GJ205" s="327"/>
      <c r="GK205" s="327"/>
      <c r="GL205" s="327"/>
      <c r="GM205" s="327"/>
      <c r="GN205" s="327"/>
      <c r="GO205" s="327"/>
      <c r="GP205" s="327"/>
      <c r="GQ205" s="327"/>
      <c r="GR205" s="327"/>
      <c r="GS205" s="327"/>
      <c r="GT205" s="327"/>
      <c r="GU205" s="327"/>
      <c r="GV205" s="327"/>
      <c r="GW205" s="327"/>
      <c r="GX205" s="327"/>
      <c r="GY205" s="327"/>
      <c r="GZ205" s="327"/>
      <c r="HA205" s="327"/>
      <c r="HB205" s="327"/>
      <c r="HC205" s="327"/>
      <c r="HD205" s="327"/>
      <c r="HE205" s="327"/>
      <c r="HF205" s="327"/>
      <c r="HG205" s="327"/>
      <c r="HH205" s="327"/>
      <c r="HI205" s="327"/>
      <c r="HJ205" s="327"/>
      <c r="HK205" s="327"/>
      <c r="HL205" s="327"/>
      <c r="HM205" s="327"/>
      <c r="HN205" s="327"/>
      <c r="HO205" s="327"/>
      <c r="HP205" s="327"/>
      <c r="HQ205" s="327"/>
      <c r="HR205" s="327"/>
      <c r="HS205" s="327"/>
    </row>
    <row r="206" spans="1:227" ht="15" customHeight="1">
      <c r="A206" s="330">
        <v>9</v>
      </c>
      <c r="B206" s="435" t="str">
        <f>VLOOKUP(Ruimtestaat[[#This Row],[Code]],Locaties[[Code]:[Locatie]],2,FALSE)</f>
        <v>IKC De Vijverburgh</v>
      </c>
      <c r="C206" s="435" t="str">
        <f>VLOOKUP(Ruimtestaat[[#This Row],[Code]],Locaties[[#All],[Code]:[Adres]],4,FALSE)</f>
        <v>Paltelaan 3</v>
      </c>
      <c r="D206" s="435" t="str">
        <f>VLOOKUP(Ruimtestaat[[#This Row],[Code]],Locaties[[#All],[Code]:[Postcode]],5,FALSE)</f>
        <v>2712 RN</v>
      </c>
      <c r="E206" s="435" t="str">
        <f>VLOOKUP(Ruimtestaat[[#This Row],[Code]],Locaties[#All],6,FALSE)</f>
        <v>Zoetermeer</v>
      </c>
      <c r="F206" s="434"/>
      <c r="G206" s="434" t="s">
        <v>1678</v>
      </c>
      <c r="H206" s="330" t="s">
        <v>1785</v>
      </c>
      <c r="I206" s="450" t="s">
        <v>1679</v>
      </c>
      <c r="J206" s="330">
        <v>16</v>
      </c>
      <c r="K206" s="450" t="str">
        <f>VLOOKUP(Ruimtestaat[[#This Row],[Ruimte code]],Ruimtegroepen[[#All],[Code]:[Ruimte omschrijving]],2,FALSE)</f>
        <v>Leslokalen</v>
      </c>
      <c r="L206" s="434" t="s">
        <v>100</v>
      </c>
      <c r="M206" s="437" t="s">
        <v>1759</v>
      </c>
      <c r="N206" s="439">
        <v>57</v>
      </c>
      <c r="O206" s="439"/>
      <c r="P206" s="439"/>
      <c r="Q206" s="439"/>
      <c r="R206" s="440" t="str">
        <f>VLOOKUP(Ruimtestaat[[#This Row],[Ruimte code]],Ruimtegroepen[],4,FALSE)</f>
        <v>Le</v>
      </c>
      <c r="S206" s="434">
        <v>40</v>
      </c>
      <c r="T206" s="434" t="s">
        <v>17</v>
      </c>
      <c r="U206" s="434">
        <f>IF(S206&gt;0,IF(RIGHT(Ruimtestaat[[#This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V206" s="434">
        <f>IF(U206&gt;0,VLOOKUP($J206,Ruimtegroepen[],3,FALSE)*VLOOKUP($L206,Vloersoorten[],3,FALSE)*VLOOKUP($T206,Frequenties[],3,FALSE)*VLOOKUP($A206,Locaties[],3,FALSE),0)</f>
        <v>0</v>
      </c>
      <c r="W206" s="434">
        <f>Ruimtestaat[[#This Row],[Uitvoeringen werkdagen]]*Ruimtestaat[[#This Row],[Oppervlak (netto)]]</f>
        <v>4560</v>
      </c>
      <c r="X206" s="441">
        <f>IF(V206&gt;0,Ruimtestaat[[#This Row],[Prest. (m2 /jaar) werkdagen]]/Ruimtestaat[[#This Row],[Norm (m2/uur) werkdagen]],0)</f>
        <v>0</v>
      </c>
      <c r="Y206" s="442">
        <f>Ruimtestaat[[#This Row],[Uitvoeringen werkdagen]]*Ruimtestaat[[#This Row],[Gedeeltelijk]]</f>
        <v>0</v>
      </c>
      <c r="Z206" s="443" t="e">
        <f>IF(U206&gt;0,Ruimtestaat[[#This Row],[Prest. (m2 / jaar) werkdagen gedeeld]]/Ruimtestaat[[#This Row],[Norm (m2/uur) werkdagen]],0)</f>
        <v>#DIV/0!</v>
      </c>
      <c r="AA206" s="441" t="e">
        <f>Ruimtestaat[[#This Row],[uren / jaar werkdagen gedeeld]]*Tariefsopbouw!$E$35</f>
        <v>#DIV/0!</v>
      </c>
      <c r="AB206" s="441">
        <f>Ruimtestaat[[#This Row],[Uitvoeringen werkdagen]]*Ruimtestaat[[#This Row],[BSO]]</f>
        <v>0</v>
      </c>
      <c r="AC206" s="443" t="e">
        <f>IF(U206&gt;0,Ruimtestaat[[#This Row],[Prest. (m2 / jaar) werkdagen BSO]]/Ruimtestaat[[#This Row],[Norm (m2/uur) werkdagen]],0)</f>
        <v>#DIV/0!</v>
      </c>
      <c r="AD206" s="443" t="e">
        <f>Ruimtestaat[[#This Row],[uren / jaar werkdagen BSO]]*Tariefsopbouw!$E$35</f>
        <v>#DIV/0!</v>
      </c>
      <c r="AE206" s="444">
        <f>Ruimtestaat[[#This Row],[uren / jaar werkdagen]]*Tariefsopbouw!$E$35</f>
        <v>0</v>
      </c>
      <c r="AF206" s="434"/>
      <c r="AG206" s="434">
        <f>IF(Ruimtestaat[[#This Row],[Frequentie weekend]]&gt;0,VALUE(LEFT(AF206,1))*S206,0)</f>
        <v>0</v>
      </c>
      <c r="AH206" s="445">
        <f>IF($AG206&gt;0,VLOOKUP($J206,Ruimtegroepen[],3,FALSE)*VLOOKUP($L206,Vloersoorten[],3,FALSE)*VLOOKUP($AF206,Frequenties[],3,FALSE)*VLOOKUP(Ruimtestaat[[#This Row],[Code]],Locaties[],3,FALSE),0)</f>
        <v>0</v>
      </c>
      <c r="AI206" s="445">
        <f>Ruimtestaat[[#This Row],[Uitvoeringen weekend]]*Ruimtestaat[[#This Row],[Oppervlak (netto)]]</f>
        <v>0</v>
      </c>
      <c r="AJ206" s="445">
        <f>IF(AH206&gt;0,Ruimtestaat[[#This Row],[Prest. (m2 /jaar) weekend]]/Ruimtestaat[[#This Row],[Norm (m2/uur) weekend]],0)</f>
        <v>0</v>
      </c>
      <c r="AK206" s="444">
        <f>Ruimtestaat[[#This Row],[uren / jaar weekend]]*Tariefsopbouw!$D$40</f>
        <v>0</v>
      </c>
      <c r="AL206" s="441">
        <f>Ruimtestaat[[#This Row],[Prest. (m2 /jaar) weekend]]+Ruimtestaat[[#This Row],[Prest. (m2 /jaar) werkdagen]]</f>
        <v>4560</v>
      </c>
      <c r="AM206" s="441">
        <f>Ruimtestaat[[#This Row],[uren / jaar weekend]]+Ruimtestaat[[#This Row],[uren / jaar werkdagen]]</f>
        <v>0</v>
      </c>
      <c r="AN206" s="446">
        <f>Ruimtestaat[[#This Row],[kosten / jaar weekend]]+Ruimtestaat[[#This Row],[kosten / jaar werkdagen]]</f>
        <v>0</v>
      </c>
      <c r="AO206" s="446"/>
      <c r="AP206" s="447" t="str">
        <f>IF(Ruimtestaat[[#This Row],[Frequentie werkdagen]]="","",_xlfn.CONCAT(Ruimtestaat[[#This Row],[Ruimte code]],"-",Ruimtestaat[[#This Row],[Frequentie werkdagen]]," ",Ruimtestaat[[#This Row],[Vloer code]]))</f>
        <v>16-2w L</v>
      </c>
      <c r="AQ206" s="448" t="str">
        <f>_xlfn.IFNA(VLOOKUP($AP206,Programma!$F$3:$G$1101,2,0),"")</f>
        <v>_</v>
      </c>
      <c r="AR206" s="448" t="str">
        <f>_xlfn.IFNA(VLOOKUP($AP206,Programma!$F$3:$H$1101,3,0),"")</f>
        <v>_</v>
      </c>
      <c r="AS206" s="448" t="str">
        <f>_xlfn.IFNA(VLOOKUP($AP206,Programma!$F$3:$I$1101,4,0),"")</f>
        <v>_</v>
      </c>
      <c r="AT206" s="448" t="str">
        <f>_xlfn.IFNA(VLOOKUP($AP206,Programma!$F$3:$J$1101,5,0),"")</f>
        <v>2w</v>
      </c>
      <c r="AU206" s="448" t="str">
        <f>_xlfn.IFNA(VLOOKUP($AP206,Programma!$F$3:$K$1101,6,0),"")</f>
        <v>_</v>
      </c>
      <c r="AV206" s="448" t="str">
        <f>_xlfn.IFNA(VLOOKUP($AP206,Programma!$F$3:$L$1101,7,0),"")</f>
        <v>_</v>
      </c>
      <c r="AW206" s="448" t="str">
        <f>_xlfn.IFNA(VLOOKUP($AP206,Programma!$F$3:$M$1101,8,0),"")</f>
        <v>_</v>
      </c>
      <c r="AX206" s="448" t="str">
        <f>_xlfn.IFNA(VLOOKUP($AP206,Programma!$F$3:$N$1101,9,0),"")</f>
        <v>_</v>
      </c>
      <c r="AY206" s="448" t="str">
        <f>_xlfn.IFNA(VLOOKUP($AP206,Programma!$F$3:$O$1101,10,0),"")</f>
        <v>2w</v>
      </c>
      <c r="AZ206" s="448" t="str">
        <f>_xlfn.IFNA(VLOOKUP($AP206,Programma!$F$3:$P$1101,11,0),"")</f>
        <v>2w</v>
      </c>
      <c r="BA206" s="448" t="str">
        <f>_xlfn.IFNA(VLOOKUP($AP206,Programma!$F$3:$Q$1101,12,0),"")</f>
        <v>1w</v>
      </c>
      <c r="BB206" s="448" t="str">
        <f>_xlfn.IFNA(VLOOKUP($AP206,Programma!$F$3:$R$1101,13,0),"")</f>
        <v>1w</v>
      </c>
      <c r="BC206" s="448" t="str">
        <f>_xlfn.IFNA(VLOOKUP($AP206,Programma!$F$3:$S$1101,14,0),"")</f>
        <v>1m</v>
      </c>
      <c r="BD206" s="448" t="str">
        <f>_xlfn.IFNA(VLOOKUP($AP206,Programma!$F$3:$T$1101,15,0),"")</f>
        <v>2j</v>
      </c>
      <c r="BE206" s="448" t="str">
        <f>_xlfn.IFNA(VLOOKUP($AP206,Programma!$F$3:$U$1101,16,0),"")</f>
        <v>1j</v>
      </c>
      <c r="BF206" s="448" t="str">
        <f>_xlfn.IFNA(VLOOKUP($AP206,Programma!$F$3:$V$1101,17,0),"")</f>
        <v>_</v>
      </c>
      <c r="BG206" s="448" t="str">
        <f>_xlfn.IFNA(VLOOKUP($AP206,Programma!$F$3:$W$1101,18,0),"")</f>
        <v>_</v>
      </c>
      <c r="BH206" s="448" t="str">
        <f>_xlfn.IFNA(VLOOKUP($AP206,Programma!$F$3:$X$1101,19,0),"")</f>
        <v>_</v>
      </c>
      <c r="BI206" s="448" t="str">
        <f>_xlfn.IFNA(VLOOKUP($AP206,Programma!$F$3:$Y$1101,20,0),"")</f>
        <v>_</v>
      </c>
      <c r="BJ206" s="449"/>
      <c r="BK206" s="447" t="str">
        <f>IF(Ruimtestaat[[#This Row],[Frequentie weekend]]="","",_xlfn.CONCAT(Ruimtestaat[[#This Row],[Ruimte code]],"-",Ruimtestaat[[#This Row],[Frequentie weekend]]," ",Ruimtestaat[[#This Row],[Vloer code]]))</f>
        <v/>
      </c>
      <c r="BL206" s="448" t="str">
        <f>_xlfn.IFNA(VLOOKUP($BK206,Programma!$F$3:$G$1101,2,0),"")</f>
        <v/>
      </c>
      <c r="BM206" s="448" t="str">
        <f>_xlfn.IFNA(VLOOKUP($BK206,Programma!$F$3:$H$1101,3,0),"")</f>
        <v/>
      </c>
      <c r="BN206" s="448" t="str">
        <f>_xlfn.IFNA(VLOOKUP($BK206,Programma!$F$3:$I$1101,4,0),"")</f>
        <v/>
      </c>
      <c r="BO206" s="448" t="str">
        <f>_xlfn.IFNA(VLOOKUP($BK206,Programma!$F$3:$J$1101,5,0),"")</f>
        <v/>
      </c>
      <c r="BP206" s="448" t="str">
        <f>_xlfn.IFNA(VLOOKUP($BK206,Programma!$F$3:$K$1101,6,0),"")</f>
        <v/>
      </c>
      <c r="BQ206" s="448" t="str">
        <f>_xlfn.IFNA(VLOOKUP($BK206,Programma!$F$3:$L$1101,7,0),"")</f>
        <v/>
      </c>
      <c r="BR206" s="448" t="str">
        <f>_xlfn.IFNA(VLOOKUP($BK206,Programma!$F$3:$M$1101,8,0),"")</f>
        <v/>
      </c>
      <c r="BS206" s="448" t="str">
        <f>_xlfn.IFNA(VLOOKUP($BK206,Programma!$F$3:$N$1101,9,0),"")</f>
        <v/>
      </c>
      <c r="BT206" s="448" t="str">
        <f>_xlfn.IFNA(VLOOKUP($BK206,Programma!$F$3:$O$1101,10,0),"")</f>
        <v/>
      </c>
      <c r="BU206" s="448" t="str">
        <f>_xlfn.IFNA(VLOOKUP($BK206,Programma!$F$3:$P$1101,11,0),"")</f>
        <v/>
      </c>
      <c r="BV206" s="448" t="str">
        <f>_xlfn.IFNA(VLOOKUP($BK206,Programma!$F$3:$Q$1101,12,0),"")</f>
        <v/>
      </c>
      <c r="BW206" s="448" t="str">
        <f>_xlfn.IFNA(VLOOKUP($BK206,Programma!$F$3:$R$1101,13,0),"")</f>
        <v/>
      </c>
      <c r="BX206" s="448" t="str">
        <f>_xlfn.IFNA(VLOOKUP($BK206,Programma!$F$3:$S$1101,14,0),"")</f>
        <v/>
      </c>
      <c r="BY206" s="448" t="str">
        <f>_xlfn.IFNA(VLOOKUP($BK206,Programma!$F$3:$T$1101,15,0),"")</f>
        <v/>
      </c>
      <c r="BZ206" s="448" t="str">
        <f>_xlfn.IFNA(VLOOKUP($BK206,Programma!$F$3:$U$1101,16,0),"")</f>
        <v/>
      </c>
      <c r="CA206" s="448" t="str">
        <f>_xlfn.IFNA(VLOOKUP($BK206,Programma!$F$3:$V$1101,17,0),"")</f>
        <v/>
      </c>
      <c r="CB206" s="448" t="str">
        <f>_xlfn.IFNA(VLOOKUP($BK206,Programma!$F$3:$W$1101,18,0),"")</f>
        <v/>
      </c>
      <c r="CC206" s="448" t="str">
        <f>_xlfn.IFNA(VLOOKUP($BK206,Programma!$F$3:$X$1101,19,0),"")</f>
        <v/>
      </c>
      <c r="CD206" s="448" t="str">
        <f>_xlfn.IFNA(VLOOKUP($BK206,Programma!$F$3:$Y$1101,20,0),"")</f>
        <v/>
      </c>
      <c r="CE206" s="327"/>
      <c r="CF206" s="327"/>
      <c r="CG206" s="327"/>
      <c r="CH206" s="327"/>
      <c r="CI206" s="327"/>
      <c r="CJ206" s="327"/>
      <c r="CK206" s="327"/>
      <c r="CL206" s="327"/>
      <c r="CM206" s="327"/>
      <c r="CN206" s="327"/>
      <c r="CO206" s="327"/>
      <c r="CP206" s="327"/>
      <c r="CQ206" s="327"/>
      <c r="CR206" s="327"/>
      <c r="CS206" s="327"/>
      <c r="CT206" s="327"/>
      <c r="CU206" s="327"/>
      <c r="CV206" s="327"/>
      <c r="CW206" s="327"/>
      <c r="CX206" s="327"/>
      <c r="CY206" s="327"/>
      <c r="CZ206" s="327"/>
      <c r="DA206" s="327"/>
      <c r="DB206" s="327"/>
      <c r="DC206" s="327"/>
      <c r="DD206" s="327"/>
      <c r="DE206" s="327"/>
      <c r="DF206" s="327"/>
      <c r="DG206" s="327"/>
      <c r="DH206" s="327"/>
      <c r="DI206" s="327"/>
      <c r="DJ206" s="327"/>
      <c r="DK206" s="327"/>
      <c r="DL206" s="327"/>
      <c r="DM206" s="327"/>
      <c r="DN206" s="327"/>
      <c r="DO206" s="327"/>
      <c r="DP206" s="327"/>
      <c r="DQ206" s="327"/>
      <c r="DR206" s="327"/>
      <c r="DS206" s="327"/>
      <c r="DT206" s="327"/>
      <c r="DU206" s="327"/>
      <c r="DV206" s="327"/>
      <c r="DW206" s="327"/>
      <c r="DX206" s="327"/>
      <c r="DY206" s="327"/>
      <c r="DZ206" s="327"/>
      <c r="EA206" s="327"/>
      <c r="EB206" s="327"/>
      <c r="EC206" s="327"/>
      <c r="ED206" s="327"/>
      <c r="EE206" s="327"/>
      <c r="EF206" s="327"/>
      <c r="EG206" s="327"/>
      <c r="EH206" s="327"/>
      <c r="EI206" s="327"/>
      <c r="EJ206" s="327"/>
      <c r="EK206" s="327"/>
      <c r="EL206" s="327"/>
      <c r="EM206" s="327"/>
      <c r="EN206" s="327"/>
      <c r="EO206" s="327"/>
      <c r="EP206" s="327"/>
      <c r="EQ206" s="327"/>
      <c r="ER206" s="327"/>
      <c r="ES206" s="327"/>
      <c r="ET206" s="327"/>
      <c r="EU206" s="327"/>
      <c r="EV206" s="327"/>
      <c r="EW206" s="327"/>
      <c r="EX206" s="327"/>
      <c r="EY206" s="327"/>
      <c r="EZ206" s="327"/>
      <c r="FA206" s="327"/>
      <c r="FB206" s="327"/>
      <c r="FC206" s="327"/>
      <c r="FD206" s="327"/>
      <c r="FE206" s="327"/>
      <c r="FF206" s="327"/>
      <c r="FG206" s="327"/>
      <c r="FH206" s="327"/>
      <c r="FI206" s="327"/>
      <c r="FJ206" s="327"/>
      <c r="FK206" s="327"/>
      <c r="FL206" s="327"/>
      <c r="FM206" s="327"/>
      <c r="FN206" s="327"/>
      <c r="FO206" s="327"/>
      <c r="FP206" s="327"/>
      <c r="FQ206" s="327"/>
      <c r="FR206" s="327"/>
      <c r="FS206" s="327"/>
      <c r="FT206" s="327"/>
      <c r="FU206" s="327"/>
      <c r="FV206" s="327"/>
      <c r="FW206" s="327"/>
      <c r="FX206" s="327"/>
      <c r="FY206" s="327"/>
      <c r="FZ206" s="327"/>
      <c r="GA206" s="327"/>
      <c r="GB206" s="327"/>
      <c r="GC206" s="327"/>
      <c r="GD206" s="327"/>
      <c r="GE206" s="327"/>
      <c r="GF206" s="327"/>
      <c r="GG206" s="327"/>
      <c r="GH206" s="327"/>
      <c r="GI206" s="327"/>
      <c r="GJ206" s="327"/>
      <c r="GK206" s="327"/>
      <c r="GL206" s="327"/>
      <c r="GM206" s="327"/>
      <c r="GN206" s="327"/>
      <c r="GO206" s="327"/>
      <c r="GP206" s="327"/>
      <c r="GQ206" s="327"/>
      <c r="GR206" s="327"/>
      <c r="GS206" s="327"/>
      <c r="GT206" s="327"/>
      <c r="GU206" s="327"/>
      <c r="GV206" s="327"/>
      <c r="GW206" s="327"/>
      <c r="GX206" s="327"/>
      <c r="GY206" s="327"/>
      <c r="GZ206" s="327"/>
      <c r="HA206" s="327"/>
      <c r="HB206" s="327"/>
      <c r="HC206" s="327"/>
      <c r="HD206" s="327"/>
      <c r="HE206" s="327"/>
      <c r="HF206" s="327"/>
      <c r="HG206" s="327"/>
      <c r="HH206" s="327"/>
      <c r="HI206" s="327"/>
      <c r="HJ206" s="327"/>
      <c r="HK206" s="327"/>
      <c r="HL206" s="327"/>
      <c r="HM206" s="327"/>
      <c r="HN206" s="327"/>
      <c r="HO206" s="327"/>
      <c r="HP206" s="327"/>
      <c r="HQ206" s="327"/>
      <c r="HR206" s="327"/>
      <c r="HS206" s="327"/>
    </row>
    <row r="207" spans="1:227" ht="15" customHeight="1">
      <c r="A207" s="330">
        <v>9</v>
      </c>
      <c r="B207" s="435" t="str">
        <f>VLOOKUP(Ruimtestaat[[#This Row],[Code]],Locaties[[Code]:[Locatie]],2,FALSE)</f>
        <v>IKC De Vijverburgh</v>
      </c>
      <c r="C207" s="435" t="str">
        <f>VLOOKUP(Ruimtestaat[[#This Row],[Code]],Locaties[[#All],[Code]:[Adres]],4,FALSE)</f>
        <v>Paltelaan 3</v>
      </c>
      <c r="D207" s="435" t="str">
        <f>VLOOKUP(Ruimtestaat[[#This Row],[Code]],Locaties[[#All],[Code]:[Postcode]],5,FALSE)</f>
        <v>2712 RN</v>
      </c>
      <c r="E207" s="435" t="str">
        <f>VLOOKUP(Ruimtestaat[[#This Row],[Code]],Locaties[#All],6,FALSE)</f>
        <v>Zoetermeer</v>
      </c>
      <c r="F207" s="434"/>
      <c r="G207" s="434" t="s">
        <v>1678</v>
      </c>
      <c r="H207" s="330" t="s">
        <v>1786</v>
      </c>
      <c r="I207" s="450" t="s">
        <v>1724</v>
      </c>
      <c r="J207" s="330">
        <v>1</v>
      </c>
      <c r="K207" s="450" t="str">
        <f>VLOOKUP(Ruimtestaat[[#This Row],[Ruimte code]],Ruimtegroepen[[#All],[Code]:[Ruimte omschrijving]],2,FALSE)</f>
        <v>Magazijnen/bergingen</v>
      </c>
      <c r="L207" s="434" t="s">
        <v>100</v>
      </c>
      <c r="M207" s="437" t="s">
        <v>1759</v>
      </c>
      <c r="N207" s="439">
        <v>9</v>
      </c>
      <c r="O207" s="439"/>
      <c r="P207" s="439"/>
      <c r="Q207" s="439"/>
      <c r="R207" s="440" t="str">
        <f>VLOOKUP(Ruimtestaat[[#This Row],[Ruimte code]],Ruimtegroepen[],4,FALSE)</f>
        <v>Ve</v>
      </c>
      <c r="S207" s="434">
        <v>40</v>
      </c>
      <c r="T207" s="434" t="s">
        <v>2</v>
      </c>
      <c r="U207" s="434">
        <f>IF(S207&gt;0,IF(RIGHT(Ruimtestaat[[#This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7" s="434">
        <f>IF(U207&gt;0,VLOOKUP($J207,Ruimtegroepen[],3,FALSE)*VLOOKUP($L207,Vloersoorten[],3,FALSE)*VLOOKUP($T207,Frequenties[],3,FALSE)*VLOOKUP($A207,Locaties[],3,FALSE),0)</f>
        <v>0</v>
      </c>
      <c r="W207" s="434">
        <f>Ruimtestaat[[#This Row],[Uitvoeringen werkdagen]]*Ruimtestaat[[#This Row],[Oppervlak (netto)]]</f>
        <v>1800</v>
      </c>
      <c r="X207" s="441">
        <f>IF(V207&gt;0,Ruimtestaat[[#This Row],[Prest. (m2 /jaar) werkdagen]]/Ruimtestaat[[#This Row],[Norm (m2/uur) werkdagen]],0)</f>
        <v>0</v>
      </c>
      <c r="Y207" s="442">
        <f>Ruimtestaat[[#This Row],[Uitvoeringen werkdagen]]*Ruimtestaat[[#This Row],[Gedeeltelijk]]</f>
        <v>0</v>
      </c>
      <c r="Z207" s="443" t="e">
        <f>IF(U207&gt;0,Ruimtestaat[[#This Row],[Prest. (m2 / jaar) werkdagen gedeeld]]/Ruimtestaat[[#This Row],[Norm (m2/uur) werkdagen]],0)</f>
        <v>#DIV/0!</v>
      </c>
      <c r="AA207" s="441" t="e">
        <f>Ruimtestaat[[#This Row],[uren / jaar werkdagen gedeeld]]*Tariefsopbouw!$E$35</f>
        <v>#DIV/0!</v>
      </c>
      <c r="AB207" s="441">
        <f>Ruimtestaat[[#This Row],[Uitvoeringen werkdagen]]*Ruimtestaat[[#This Row],[BSO]]</f>
        <v>0</v>
      </c>
      <c r="AC207" s="443" t="e">
        <f>IF(U207&gt;0,Ruimtestaat[[#This Row],[Prest. (m2 / jaar) werkdagen BSO]]/Ruimtestaat[[#This Row],[Norm (m2/uur) werkdagen]],0)</f>
        <v>#DIV/0!</v>
      </c>
      <c r="AD207" s="443" t="e">
        <f>Ruimtestaat[[#This Row],[uren / jaar werkdagen BSO]]*Tariefsopbouw!$E$35</f>
        <v>#DIV/0!</v>
      </c>
      <c r="AE207" s="444">
        <f>Ruimtestaat[[#This Row],[uren / jaar werkdagen]]*Tariefsopbouw!$E$35</f>
        <v>0</v>
      </c>
      <c r="AF207" s="434"/>
      <c r="AG207" s="434">
        <f>IF(Ruimtestaat[[#This Row],[Frequentie weekend]]&gt;0,VALUE(LEFT(AF207,1))*S207,0)</f>
        <v>0</v>
      </c>
      <c r="AH207" s="445">
        <f>IF($AG207&gt;0,VLOOKUP($J207,Ruimtegroepen[],3,FALSE)*VLOOKUP($L207,Vloersoorten[],3,FALSE)*VLOOKUP($AF207,Frequenties[],3,FALSE)*VLOOKUP(Ruimtestaat[[#This Row],[Code]],Locaties[],3,FALSE),0)</f>
        <v>0</v>
      </c>
      <c r="AI207" s="445">
        <f>Ruimtestaat[[#This Row],[Uitvoeringen weekend]]*Ruimtestaat[[#This Row],[Oppervlak (netto)]]</f>
        <v>0</v>
      </c>
      <c r="AJ207" s="445">
        <f>IF(AH207&gt;0,Ruimtestaat[[#This Row],[Prest. (m2 /jaar) weekend]]/Ruimtestaat[[#This Row],[Norm (m2/uur) weekend]],0)</f>
        <v>0</v>
      </c>
      <c r="AK207" s="444">
        <f>Ruimtestaat[[#This Row],[uren / jaar weekend]]*Tariefsopbouw!$D$40</f>
        <v>0</v>
      </c>
      <c r="AL207" s="441">
        <f>Ruimtestaat[[#This Row],[Prest. (m2 /jaar) weekend]]+Ruimtestaat[[#This Row],[Prest. (m2 /jaar) werkdagen]]</f>
        <v>1800</v>
      </c>
      <c r="AM207" s="441">
        <f>Ruimtestaat[[#This Row],[uren / jaar weekend]]+Ruimtestaat[[#This Row],[uren / jaar werkdagen]]</f>
        <v>0</v>
      </c>
      <c r="AN207" s="446">
        <f>Ruimtestaat[[#This Row],[kosten / jaar weekend]]+Ruimtestaat[[#This Row],[kosten / jaar werkdagen]]</f>
        <v>0</v>
      </c>
      <c r="AO207" s="446"/>
      <c r="AP207" s="447" t="str">
        <f>IF(Ruimtestaat[[#This Row],[Frequentie werkdagen]]="","",_xlfn.CONCAT(Ruimtestaat[[#This Row],[Ruimte code]],"-",Ruimtestaat[[#This Row],[Frequentie werkdagen]]," ",Ruimtestaat[[#This Row],[Vloer code]]))</f>
        <v>1-5w L</v>
      </c>
      <c r="AQ207" s="448" t="str">
        <f>_xlfn.IFNA(VLOOKUP($AP207,Programma!$F$3:$G$1101,2,0),"")</f>
        <v>_</v>
      </c>
      <c r="AR207" s="448" t="str">
        <f>_xlfn.IFNA(VLOOKUP($AP207,Programma!$F$3:$H$1101,3,0),"")</f>
        <v>_</v>
      </c>
      <c r="AS207" s="448" t="str">
        <f>_xlfn.IFNA(VLOOKUP($AP207,Programma!$F$3:$I$1101,4,0),"")</f>
        <v>4w</v>
      </c>
      <c r="AT207" s="448" t="str">
        <f>_xlfn.IFNA(VLOOKUP($AP207,Programma!$F$3:$J$1101,5,0),"")</f>
        <v>1w</v>
      </c>
      <c r="AU207" s="448" t="str">
        <f>_xlfn.IFNA(VLOOKUP($AP207,Programma!$F$3:$K$1101,6,0),"")</f>
        <v>_</v>
      </c>
      <c r="AV207" s="448" t="str">
        <f>_xlfn.IFNA(VLOOKUP($AP207,Programma!$F$3:$L$1101,7,0),"")</f>
        <v>_</v>
      </c>
      <c r="AW207" s="448" t="str">
        <f>_xlfn.IFNA(VLOOKUP($AP207,Programma!$F$3:$M$1101,8,0),"")</f>
        <v>_</v>
      </c>
      <c r="AX207" s="448" t="str">
        <f>_xlfn.IFNA(VLOOKUP($AP207,Programma!$F$3:$N$1101,9,0),"")</f>
        <v>_</v>
      </c>
      <c r="AY207" s="448" t="str">
        <f>_xlfn.IFNA(VLOOKUP($AP207,Programma!$F$3:$O$1101,10,0),"")</f>
        <v>_</v>
      </c>
      <c r="AZ207" s="448" t="str">
        <f>_xlfn.IFNA(VLOOKUP($AP207,Programma!$F$3:$P$1101,11,0),"")</f>
        <v>_</v>
      </c>
      <c r="BA207" s="448" t="str">
        <f>_xlfn.IFNA(VLOOKUP($AP207,Programma!$F$3:$Q$1101,12,0),"")</f>
        <v>_</v>
      </c>
      <c r="BB207" s="448" t="str">
        <f>_xlfn.IFNA(VLOOKUP($AP207,Programma!$F$3:$R$1101,13,0),"")</f>
        <v>_</v>
      </c>
      <c r="BC207" s="448" t="str">
        <f>_xlfn.IFNA(VLOOKUP($AP207,Programma!$F$3:$S$1101,14,0),"")</f>
        <v>5w</v>
      </c>
      <c r="BD207" s="448" t="str">
        <f>_xlfn.IFNA(VLOOKUP($AP207,Programma!$F$3:$T$1101,15,0),"")</f>
        <v>4j</v>
      </c>
      <c r="BE207" s="448" t="str">
        <f>_xlfn.IFNA(VLOOKUP($AP207,Programma!$F$3:$U$1101,16,0),"")</f>
        <v>4j</v>
      </c>
      <c r="BF207" s="448" t="str">
        <f>_xlfn.IFNA(VLOOKUP($AP207,Programma!$F$3:$V$1101,17,0),"")</f>
        <v>_</v>
      </c>
      <c r="BG207" s="448" t="str">
        <f>_xlfn.IFNA(VLOOKUP($AP207,Programma!$F$3:$W$1101,18,0),"")</f>
        <v>_</v>
      </c>
      <c r="BH207" s="448" t="str">
        <f>_xlfn.IFNA(VLOOKUP($AP207,Programma!$F$3:$X$1101,19,0),"")</f>
        <v>_</v>
      </c>
      <c r="BI207" s="448" t="str">
        <f>_xlfn.IFNA(VLOOKUP($AP207,Programma!$F$3:$Y$1101,20,0),"")</f>
        <v>_</v>
      </c>
      <c r="BJ207" s="449"/>
      <c r="BK207" s="447" t="str">
        <f>IF(Ruimtestaat[[#This Row],[Frequentie weekend]]="","",_xlfn.CONCAT(Ruimtestaat[[#This Row],[Ruimte code]],"-",Ruimtestaat[[#This Row],[Frequentie weekend]]," ",Ruimtestaat[[#This Row],[Vloer code]]))</f>
        <v/>
      </c>
      <c r="BL207" s="448" t="str">
        <f>_xlfn.IFNA(VLOOKUP($BK207,Programma!$F$3:$G$1101,2,0),"")</f>
        <v/>
      </c>
      <c r="BM207" s="448" t="str">
        <f>_xlfn.IFNA(VLOOKUP($BK207,Programma!$F$3:$H$1101,3,0),"")</f>
        <v/>
      </c>
      <c r="BN207" s="448" t="str">
        <f>_xlfn.IFNA(VLOOKUP($BK207,Programma!$F$3:$I$1101,4,0),"")</f>
        <v/>
      </c>
      <c r="BO207" s="448" t="str">
        <f>_xlfn.IFNA(VLOOKUP($BK207,Programma!$F$3:$J$1101,5,0),"")</f>
        <v/>
      </c>
      <c r="BP207" s="448" t="str">
        <f>_xlfn.IFNA(VLOOKUP($BK207,Programma!$F$3:$K$1101,6,0),"")</f>
        <v/>
      </c>
      <c r="BQ207" s="448" t="str">
        <f>_xlfn.IFNA(VLOOKUP($BK207,Programma!$F$3:$L$1101,7,0),"")</f>
        <v/>
      </c>
      <c r="BR207" s="448" t="str">
        <f>_xlfn.IFNA(VLOOKUP($BK207,Programma!$F$3:$M$1101,8,0),"")</f>
        <v/>
      </c>
      <c r="BS207" s="448" t="str">
        <f>_xlfn.IFNA(VLOOKUP($BK207,Programma!$F$3:$N$1101,9,0),"")</f>
        <v/>
      </c>
      <c r="BT207" s="448" t="str">
        <f>_xlfn.IFNA(VLOOKUP($BK207,Programma!$F$3:$O$1101,10,0),"")</f>
        <v/>
      </c>
      <c r="BU207" s="448" t="str">
        <f>_xlfn.IFNA(VLOOKUP($BK207,Programma!$F$3:$P$1101,11,0),"")</f>
        <v/>
      </c>
      <c r="BV207" s="448" t="str">
        <f>_xlfn.IFNA(VLOOKUP($BK207,Programma!$F$3:$Q$1101,12,0),"")</f>
        <v/>
      </c>
      <c r="BW207" s="448" t="str">
        <f>_xlfn.IFNA(VLOOKUP($BK207,Programma!$F$3:$R$1101,13,0),"")</f>
        <v/>
      </c>
      <c r="BX207" s="448" t="str">
        <f>_xlfn.IFNA(VLOOKUP($BK207,Programma!$F$3:$S$1101,14,0),"")</f>
        <v/>
      </c>
      <c r="BY207" s="448" t="str">
        <f>_xlfn.IFNA(VLOOKUP($BK207,Programma!$F$3:$T$1101,15,0),"")</f>
        <v/>
      </c>
      <c r="BZ207" s="448" t="str">
        <f>_xlfn.IFNA(VLOOKUP($BK207,Programma!$F$3:$U$1101,16,0),"")</f>
        <v/>
      </c>
      <c r="CA207" s="448" t="str">
        <f>_xlfn.IFNA(VLOOKUP($BK207,Programma!$F$3:$V$1101,17,0),"")</f>
        <v/>
      </c>
      <c r="CB207" s="448" t="str">
        <f>_xlfn.IFNA(VLOOKUP($BK207,Programma!$F$3:$W$1101,18,0),"")</f>
        <v/>
      </c>
      <c r="CC207" s="448" t="str">
        <f>_xlfn.IFNA(VLOOKUP($BK207,Programma!$F$3:$X$1101,19,0),"")</f>
        <v/>
      </c>
      <c r="CD207" s="448" t="str">
        <f>_xlfn.IFNA(VLOOKUP($BK207,Programma!$F$3:$Y$1101,20,0),"")</f>
        <v/>
      </c>
      <c r="CE207" s="327"/>
      <c r="CF207" s="327"/>
      <c r="CG207" s="327"/>
      <c r="CH207" s="327"/>
      <c r="CI207" s="327"/>
      <c r="CJ207" s="327"/>
      <c r="CK207" s="327"/>
      <c r="CL207" s="327"/>
      <c r="CM207" s="327"/>
      <c r="CN207" s="327"/>
      <c r="CO207" s="327"/>
      <c r="CP207" s="327"/>
      <c r="CQ207" s="327"/>
      <c r="CR207" s="327"/>
      <c r="CS207" s="327"/>
      <c r="CT207" s="327"/>
      <c r="CU207" s="327"/>
      <c r="CV207" s="327"/>
      <c r="CW207" s="327"/>
      <c r="CX207" s="327"/>
      <c r="CY207" s="327"/>
      <c r="CZ207" s="327"/>
      <c r="DA207" s="327"/>
      <c r="DB207" s="327"/>
      <c r="DC207" s="327"/>
      <c r="DD207" s="327"/>
      <c r="DE207" s="327"/>
      <c r="DF207" s="327"/>
      <c r="DG207" s="327"/>
      <c r="DH207" s="327"/>
      <c r="DI207" s="327"/>
      <c r="DJ207" s="327"/>
      <c r="DK207" s="327"/>
      <c r="DL207" s="327"/>
      <c r="DM207" s="327"/>
      <c r="DN207" s="327"/>
      <c r="DO207" s="327"/>
      <c r="DP207" s="327"/>
      <c r="DQ207" s="327"/>
      <c r="DR207" s="327"/>
      <c r="DS207" s="327"/>
      <c r="DT207" s="327"/>
      <c r="DU207" s="327"/>
      <c r="DV207" s="327"/>
      <c r="DW207" s="327"/>
      <c r="DX207" s="327"/>
      <c r="DY207" s="327"/>
      <c r="DZ207" s="327"/>
      <c r="EA207" s="327"/>
      <c r="EB207" s="327"/>
      <c r="EC207" s="327"/>
      <c r="ED207" s="327"/>
      <c r="EE207" s="327"/>
      <c r="EF207" s="327"/>
      <c r="EG207" s="327"/>
      <c r="EH207" s="327"/>
      <c r="EI207" s="327"/>
      <c r="EJ207" s="327"/>
      <c r="EK207" s="327"/>
      <c r="EL207" s="327"/>
      <c r="EM207" s="327"/>
      <c r="EN207" s="327"/>
      <c r="EO207" s="327"/>
      <c r="EP207" s="327"/>
      <c r="EQ207" s="327"/>
      <c r="ER207" s="327"/>
      <c r="ES207" s="327"/>
      <c r="ET207" s="327"/>
      <c r="EU207" s="327"/>
      <c r="EV207" s="327"/>
      <c r="EW207" s="327"/>
      <c r="EX207" s="327"/>
      <c r="EY207" s="327"/>
      <c r="EZ207" s="327"/>
      <c r="FA207" s="327"/>
      <c r="FB207" s="327"/>
      <c r="FC207" s="327"/>
      <c r="FD207" s="327"/>
      <c r="FE207" s="327"/>
      <c r="FF207" s="327"/>
      <c r="FG207" s="327"/>
      <c r="FH207" s="327"/>
      <c r="FI207" s="327"/>
      <c r="FJ207" s="327"/>
      <c r="FK207" s="327"/>
      <c r="FL207" s="327"/>
      <c r="FM207" s="327"/>
      <c r="FN207" s="327"/>
      <c r="FO207" s="327"/>
      <c r="FP207" s="327"/>
      <c r="FQ207" s="327"/>
      <c r="FR207" s="327"/>
      <c r="FS207" s="327"/>
      <c r="FT207" s="327"/>
      <c r="FU207" s="327"/>
      <c r="FV207" s="327"/>
      <c r="FW207" s="327"/>
      <c r="FX207" s="327"/>
      <c r="FY207" s="327"/>
      <c r="FZ207" s="327"/>
      <c r="GA207" s="327"/>
      <c r="GB207" s="327"/>
      <c r="GC207" s="327"/>
      <c r="GD207" s="327"/>
      <c r="GE207" s="327"/>
      <c r="GF207" s="327"/>
      <c r="GG207" s="327"/>
      <c r="GH207" s="327"/>
      <c r="GI207" s="327"/>
      <c r="GJ207" s="327"/>
      <c r="GK207" s="327"/>
      <c r="GL207" s="327"/>
      <c r="GM207" s="327"/>
      <c r="GN207" s="327"/>
      <c r="GO207" s="327"/>
      <c r="GP207" s="327"/>
      <c r="GQ207" s="327"/>
      <c r="GR207" s="327"/>
      <c r="GS207" s="327"/>
      <c r="GT207" s="327"/>
      <c r="GU207" s="327"/>
      <c r="GV207" s="327"/>
      <c r="GW207" s="327"/>
      <c r="GX207" s="327"/>
      <c r="GY207" s="327"/>
      <c r="GZ207" s="327"/>
      <c r="HA207" s="327"/>
      <c r="HB207" s="327"/>
      <c r="HC207" s="327"/>
      <c r="HD207" s="327"/>
      <c r="HE207" s="327"/>
      <c r="HF207" s="327"/>
      <c r="HG207" s="327"/>
      <c r="HH207" s="327"/>
      <c r="HI207" s="327"/>
      <c r="HJ207" s="327"/>
      <c r="HK207" s="327"/>
      <c r="HL207" s="327"/>
      <c r="HM207" s="327"/>
      <c r="HN207" s="327"/>
      <c r="HO207" s="327"/>
      <c r="HP207" s="327"/>
      <c r="HQ207" s="327"/>
      <c r="HR207" s="327"/>
      <c r="HS207" s="327"/>
    </row>
    <row r="208" spans="1:227" ht="15" customHeight="1">
      <c r="A208" s="330">
        <v>9</v>
      </c>
      <c r="B208" s="435" t="str">
        <f>VLOOKUP(Ruimtestaat[[#This Row],[Code]],Locaties[[Code]:[Locatie]],2,FALSE)</f>
        <v>IKC De Vijverburgh</v>
      </c>
      <c r="C208" s="435" t="str">
        <f>VLOOKUP(Ruimtestaat[[#This Row],[Code]],Locaties[[#All],[Code]:[Adres]],4,FALSE)</f>
        <v>Paltelaan 3</v>
      </c>
      <c r="D208" s="435" t="str">
        <f>VLOOKUP(Ruimtestaat[[#This Row],[Code]],Locaties[[#All],[Code]:[Postcode]],5,FALSE)</f>
        <v>2712 RN</v>
      </c>
      <c r="E208" s="435" t="str">
        <f>VLOOKUP(Ruimtestaat[[#This Row],[Code]],Locaties[#All],6,FALSE)</f>
        <v>Zoetermeer</v>
      </c>
      <c r="F208" s="434"/>
      <c r="G208" s="434" t="s">
        <v>1678</v>
      </c>
      <c r="H208" s="330" t="s">
        <v>1681</v>
      </c>
      <c r="I208" s="450" t="s">
        <v>1773</v>
      </c>
      <c r="J208" s="330">
        <v>10</v>
      </c>
      <c r="K208" s="450" t="str">
        <f>VLOOKUP(Ruimtestaat[[#This Row],[Ruimte code]],Ruimtegroepen[[#All],[Code]:[Ruimte omschrijving]],2,FALSE)</f>
        <v>Trappenhuizen/lift</v>
      </c>
      <c r="L208" s="434" t="s">
        <v>1309</v>
      </c>
      <c r="M208" s="437" t="s">
        <v>1817</v>
      </c>
      <c r="N208" s="439">
        <v>13</v>
      </c>
      <c r="O208" s="439"/>
      <c r="P208" s="439"/>
      <c r="Q208" s="439"/>
      <c r="R208" s="440" t="str">
        <f>VLOOKUP(Ruimtestaat[[#This Row],[Ruimte code]],Ruimtegroepen[],4,FALSE)</f>
        <v>Ve</v>
      </c>
      <c r="S208" s="434">
        <v>41</v>
      </c>
      <c r="T208" s="434" t="s">
        <v>2</v>
      </c>
      <c r="U208" s="434">
        <f>IF(S208&gt;0,IF(RIGHT(Ruimtestaat[[#This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08" s="434">
        <f>IF(U208&gt;0,VLOOKUP($J208,Ruimtegroepen[],3,FALSE)*VLOOKUP($L208,Vloersoorten[],3,FALSE)*VLOOKUP($T208,Frequenties[],3,FALSE)*VLOOKUP($A208,Locaties[],3,FALSE),0)</f>
        <v>0</v>
      </c>
      <c r="W208" s="434">
        <f>Ruimtestaat[[#This Row],[Uitvoeringen werkdagen]]*Ruimtestaat[[#This Row],[Oppervlak (netto)]]</f>
        <v>2665</v>
      </c>
      <c r="X208" s="441">
        <f>IF(V208&gt;0,Ruimtestaat[[#This Row],[Prest. (m2 /jaar) werkdagen]]/Ruimtestaat[[#This Row],[Norm (m2/uur) werkdagen]],0)</f>
        <v>0</v>
      </c>
      <c r="Y208" s="442">
        <f>Ruimtestaat[[#This Row],[Uitvoeringen werkdagen]]*Ruimtestaat[[#This Row],[Gedeeltelijk]]</f>
        <v>0</v>
      </c>
      <c r="Z208" s="443" t="e">
        <f>IF(U208&gt;0,Ruimtestaat[[#This Row],[Prest. (m2 / jaar) werkdagen gedeeld]]/Ruimtestaat[[#This Row],[Norm (m2/uur) werkdagen]],0)</f>
        <v>#DIV/0!</v>
      </c>
      <c r="AA208" s="441" t="e">
        <f>Ruimtestaat[[#This Row],[uren / jaar werkdagen gedeeld]]*Tariefsopbouw!$E$35</f>
        <v>#DIV/0!</v>
      </c>
      <c r="AB208" s="441">
        <f>Ruimtestaat[[#This Row],[Uitvoeringen werkdagen]]*Ruimtestaat[[#This Row],[BSO]]</f>
        <v>0</v>
      </c>
      <c r="AC208" s="443" t="e">
        <f>IF(U208&gt;0,Ruimtestaat[[#This Row],[Prest. (m2 / jaar) werkdagen BSO]]/Ruimtestaat[[#This Row],[Norm (m2/uur) werkdagen]],0)</f>
        <v>#DIV/0!</v>
      </c>
      <c r="AD208" s="443" t="e">
        <f>Ruimtestaat[[#This Row],[uren / jaar werkdagen BSO]]*Tariefsopbouw!$E$35</f>
        <v>#DIV/0!</v>
      </c>
      <c r="AE208" s="444">
        <f>Ruimtestaat[[#This Row],[uren / jaar werkdagen]]*Tariefsopbouw!$E$35</f>
        <v>0</v>
      </c>
      <c r="AF208" s="434"/>
      <c r="AG208" s="434">
        <f>IF(Ruimtestaat[[#This Row],[Frequentie weekend]]&gt;0,VALUE(LEFT(AF208,1))*S208,0)</f>
        <v>0</v>
      </c>
      <c r="AH208" s="445">
        <f>IF($AG208&gt;0,VLOOKUP($J208,Ruimtegroepen[],3,FALSE)*VLOOKUP($L208,Vloersoorten[],3,FALSE)*VLOOKUP($AF208,Frequenties[],3,FALSE)*VLOOKUP(Ruimtestaat[[#This Row],[Code]],Locaties[],3,FALSE),0)</f>
        <v>0</v>
      </c>
      <c r="AI208" s="445">
        <f>Ruimtestaat[[#This Row],[Uitvoeringen weekend]]*Ruimtestaat[[#This Row],[Oppervlak (netto)]]</f>
        <v>0</v>
      </c>
      <c r="AJ208" s="445">
        <f>IF(AH208&gt;0,Ruimtestaat[[#This Row],[Prest. (m2 /jaar) weekend]]/Ruimtestaat[[#This Row],[Norm (m2/uur) weekend]],0)</f>
        <v>0</v>
      </c>
      <c r="AK208" s="444">
        <f>Ruimtestaat[[#This Row],[uren / jaar weekend]]*Tariefsopbouw!$D$40</f>
        <v>0</v>
      </c>
      <c r="AL208" s="441">
        <f>Ruimtestaat[[#This Row],[Prest. (m2 /jaar) weekend]]+Ruimtestaat[[#This Row],[Prest. (m2 /jaar) werkdagen]]</f>
        <v>2665</v>
      </c>
      <c r="AM208" s="441">
        <f>Ruimtestaat[[#This Row],[uren / jaar weekend]]+Ruimtestaat[[#This Row],[uren / jaar werkdagen]]</f>
        <v>0</v>
      </c>
      <c r="AN208" s="446">
        <f>Ruimtestaat[[#This Row],[kosten / jaar weekend]]+Ruimtestaat[[#This Row],[kosten / jaar werkdagen]]</f>
        <v>0</v>
      </c>
      <c r="AO208" s="446"/>
      <c r="AP208" s="447" t="str">
        <f>IF(Ruimtestaat[[#This Row],[Frequentie werkdagen]]="","",_xlfn.CONCAT(Ruimtestaat[[#This Row],[Ruimte code]],"-",Ruimtestaat[[#This Row],[Frequentie werkdagen]]," ",Ruimtestaat[[#This Row],[Vloer code]]))</f>
        <v>10-5w H</v>
      </c>
      <c r="AQ208" s="448" t="str">
        <f>_xlfn.IFNA(VLOOKUP($AP208,Programma!$F$3:$G$1101,2,0),"")</f>
        <v>_</v>
      </c>
      <c r="AR208" s="448" t="str">
        <f>_xlfn.IFNA(VLOOKUP($AP208,Programma!$F$3:$H$1101,3,0),"")</f>
        <v>_</v>
      </c>
      <c r="AS208" s="448" t="str">
        <f>_xlfn.IFNA(VLOOKUP($AP208,Programma!$F$3:$I$1101,4,0),"")</f>
        <v>5w</v>
      </c>
      <c r="AT208" s="448" t="str">
        <f>_xlfn.IFNA(VLOOKUP($AP208,Programma!$F$3:$J$1101,5,0),"")</f>
        <v>_</v>
      </c>
      <c r="AU208" s="448" t="str">
        <f>_xlfn.IFNA(VLOOKUP($AP208,Programma!$F$3:$K$1101,6,0),"")</f>
        <v>4j</v>
      </c>
      <c r="AV208" s="448" t="str">
        <f>_xlfn.IFNA(VLOOKUP($AP208,Programma!$F$3:$L$1101,7,0),"")</f>
        <v>_</v>
      </c>
      <c r="AW208" s="448" t="str">
        <f>_xlfn.IFNA(VLOOKUP($AP208,Programma!$F$3:$M$1101,8,0),"")</f>
        <v>_</v>
      </c>
      <c r="AX208" s="448" t="str">
        <f>_xlfn.IFNA(VLOOKUP($AP208,Programma!$F$3:$N$1101,9,0),"")</f>
        <v>_</v>
      </c>
      <c r="AY208" s="448" t="str">
        <f>_xlfn.IFNA(VLOOKUP($AP208,Programma!$F$3:$O$1101,10,0),"")</f>
        <v>5w</v>
      </c>
      <c r="AZ208" s="448" t="str">
        <f>_xlfn.IFNA(VLOOKUP($AP208,Programma!$F$3:$P$1101,11,0),"")</f>
        <v>5w</v>
      </c>
      <c r="BA208" s="448" t="str">
        <f>_xlfn.IFNA(VLOOKUP($AP208,Programma!$F$3:$Q$1101,12,0),"")</f>
        <v>1w</v>
      </c>
      <c r="BB208" s="448" t="str">
        <f>_xlfn.IFNA(VLOOKUP($AP208,Programma!$F$3:$R$1101,13,0),"")</f>
        <v>1w</v>
      </c>
      <c r="BC208" s="448" t="str">
        <f>_xlfn.IFNA(VLOOKUP($AP208,Programma!$F$3:$S$1101,14,0),"")</f>
        <v>1m</v>
      </c>
      <c r="BD208" s="448" t="str">
        <f>_xlfn.IFNA(VLOOKUP($AP208,Programma!$F$3:$T$1101,15,0),"")</f>
        <v>2j</v>
      </c>
      <c r="BE208" s="448" t="str">
        <f>_xlfn.IFNA(VLOOKUP($AP208,Programma!$F$3:$U$1101,16,0),"")</f>
        <v>1j</v>
      </c>
      <c r="BF208" s="448" t="str">
        <f>_xlfn.IFNA(VLOOKUP($AP208,Programma!$F$3:$V$1101,17,0),"")</f>
        <v>_</v>
      </c>
      <c r="BG208" s="448" t="str">
        <f>_xlfn.IFNA(VLOOKUP($AP208,Programma!$F$3:$W$1101,18,0),"")</f>
        <v>_</v>
      </c>
      <c r="BH208" s="448" t="str">
        <f>_xlfn.IFNA(VLOOKUP($AP208,Programma!$F$3:$X$1101,19,0),"")</f>
        <v>_</v>
      </c>
      <c r="BI208" s="448" t="str">
        <f>_xlfn.IFNA(VLOOKUP($AP208,Programma!$F$3:$Y$1101,20,0),"")</f>
        <v>_</v>
      </c>
      <c r="BJ208" s="449"/>
      <c r="BK208" s="447" t="str">
        <f>IF(Ruimtestaat[[#This Row],[Frequentie weekend]]="","",_xlfn.CONCAT(Ruimtestaat[[#This Row],[Ruimte code]],"-",Ruimtestaat[[#This Row],[Frequentie weekend]]," ",Ruimtestaat[[#This Row],[Vloer code]]))</f>
        <v/>
      </c>
      <c r="BL208" s="448" t="str">
        <f>_xlfn.IFNA(VLOOKUP($BK208,Programma!$F$3:$G$1101,2,0),"")</f>
        <v/>
      </c>
      <c r="BM208" s="448" t="str">
        <f>_xlfn.IFNA(VLOOKUP($BK208,Programma!$F$3:$H$1101,3,0),"")</f>
        <v/>
      </c>
      <c r="BN208" s="448" t="str">
        <f>_xlfn.IFNA(VLOOKUP($BK208,Programma!$F$3:$I$1101,4,0),"")</f>
        <v/>
      </c>
      <c r="BO208" s="448" t="str">
        <f>_xlfn.IFNA(VLOOKUP($BK208,Programma!$F$3:$J$1101,5,0),"")</f>
        <v/>
      </c>
      <c r="BP208" s="448" t="str">
        <f>_xlfn.IFNA(VLOOKUP($BK208,Programma!$F$3:$K$1101,6,0),"")</f>
        <v/>
      </c>
      <c r="BQ208" s="448" t="str">
        <f>_xlfn.IFNA(VLOOKUP($BK208,Programma!$F$3:$L$1101,7,0),"")</f>
        <v/>
      </c>
      <c r="BR208" s="448" t="str">
        <f>_xlfn.IFNA(VLOOKUP($BK208,Programma!$F$3:$M$1101,8,0),"")</f>
        <v/>
      </c>
      <c r="BS208" s="448" t="str">
        <f>_xlfn.IFNA(VLOOKUP($BK208,Programma!$F$3:$N$1101,9,0),"")</f>
        <v/>
      </c>
      <c r="BT208" s="448" t="str">
        <f>_xlfn.IFNA(VLOOKUP($BK208,Programma!$F$3:$O$1101,10,0),"")</f>
        <v/>
      </c>
      <c r="BU208" s="448" t="str">
        <f>_xlfn.IFNA(VLOOKUP($BK208,Programma!$F$3:$P$1101,11,0),"")</f>
        <v/>
      </c>
      <c r="BV208" s="448" t="str">
        <f>_xlfn.IFNA(VLOOKUP($BK208,Programma!$F$3:$Q$1101,12,0),"")</f>
        <v/>
      </c>
      <c r="BW208" s="448" t="str">
        <f>_xlfn.IFNA(VLOOKUP($BK208,Programma!$F$3:$R$1101,13,0),"")</f>
        <v/>
      </c>
      <c r="BX208" s="448" t="str">
        <f>_xlfn.IFNA(VLOOKUP($BK208,Programma!$F$3:$S$1101,14,0),"")</f>
        <v/>
      </c>
      <c r="BY208" s="448" t="str">
        <f>_xlfn.IFNA(VLOOKUP($BK208,Programma!$F$3:$T$1101,15,0),"")</f>
        <v/>
      </c>
      <c r="BZ208" s="448" t="str">
        <f>_xlfn.IFNA(VLOOKUP($BK208,Programma!$F$3:$U$1101,16,0),"")</f>
        <v/>
      </c>
      <c r="CA208" s="448" t="str">
        <f>_xlfn.IFNA(VLOOKUP($BK208,Programma!$F$3:$V$1101,17,0),"")</f>
        <v/>
      </c>
      <c r="CB208" s="448" t="str">
        <f>_xlfn.IFNA(VLOOKUP($BK208,Programma!$F$3:$W$1101,18,0),"")</f>
        <v/>
      </c>
      <c r="CC208" s="448" t="str">
        <f>_xlfn.IFNA(VLOOKUP($BK208,Programma!$F$3:$X$1101,19,0),"")</f>
        <v/>
      </c>
      <c r="CD208" s="448" t="str">
        <f>_xlfn.IFNA(VLOOKUP($BK208,Programma!$F$3:$Y$1101,20,0),"")</f>
        <v/>
      </c>
      <c r="CE208" s="327"/>
      <c r="CF208" s="327"/>
      <c r="CG208" s="327"/>
      <c r="CH208" s="327"/>
      <c r="CI208" s="327"/>
      <c r="CJ208" s="327"/>
      <c r="CK208" s="327"/>
      <c r="CL208" s="327"/>
      <c r="CM208" s="327"/>
      <c r="CN208" s="327"/>
      <c r="CO208" s="327"/>
      <c r="CP208" s="327"/>
      <c r="CQ208" s="327"/>
      <c r="CR208" s="327"/>
      <c r="CS208" s="327"/>
      <c r="CT208" s="327"/>
      <c r="CU208" s="327"/>
      <c r="CV208" s="327"/>
      <c r="CW208" s="327"/>
      <c r="CX208" s="327"/>
      <c r="CY208" s="327"/>
      <c r="CZ208" s="327"/>
      <c r="DA208" s="327"/>
      <c r="DB208" s="327"/>
      <c r="DC208" s="327"/>
      <c r="DD208" s="327"/>
      <c r="DE208" s="327"/>
      <c r="DF208" s="327"/>
      <c r="DG208" s="327"/>
      <c r="DH208" s="327"/>
      <c r="DI208" s="327"/>
      <c r="DJ208" s="327"/>
      <c r="DK208" s="327"/>
      <c r="DL208" s="327"/>
      <c r="DM208" s="327"/>
      <c r="DN208" s="327"/>
      <c r="DO208" s="327"/>
      <c r="DP208" s="327"/>
      <c r="DQ208" s="327"/>
      <c r="DR208" s="327"/>
      <c r="DS208" s="327"/>
      <c r="DT208" s="327"/>
      <c r="DU208" s="327"/>
      <c r="DV208" s="327"/>
      <c r="DW208" s="327"/>
      <c r="DX208" s="327"/>
      <c r="DY208" s="327"/>
      <c r="DZ208" s="327"/>
      <c r="EA208" s="327"/>
      <c r="EB208" s="327"/>
      <c r="EC208" s="327"/>
      <c r="ED208" s="327"/>
      <c r="EE208" s="327"/>
      <c r="EF208" s="327"/>
      <c r="EG208" s="327"/>
      <c r="EH208" s="327"/>
      <c r="EI208" s="327"/>
      <c r="EJ208" s="327"/>
      <c r="EK208" s="327"/>
      <c r="EL208" s="327"/>
      <c r="EM208" s="327"/>
      <c r="EN208" s="327"/>
      <c r="EO208" s="327"/>
      <c r="EP208" s="327"/>
      <c r="EQ208" s="327"/>
      <c r="ER208" s="327"/>
      <c r="ES208" s="327"/>
      <c r="ET208" s="327"/>
      <c r="EU208" s="327"/>
      <c r="EV208" s="327"/>
      <c r="EW208" s="327"/>
      <c r="EX208" s="327"/>
      <c r="EY208" s="327"/>
      <c r="EZ208" s="327"/>
      <c r="FA208" s="327"/>
      <c r="FB208" s="327"/>
      <c r="FC208" s="327"/>
      <c r="FD208" s="327"/>
      <c r="FE208" s="327"/>
      <c r="FF208" s="327"/>
      <c r="FG208" s="327"/>
      <c r="FH208" s="327"/>
      <c r="FI208" s="327"/>
      <c r="FJ208" s="327"/>
      <c r="FK208" s="327"/>
      <c r="FL208" s="327"/>
      <c r="FM208" s="327"/>
      <c r="FN208" s="327"/>
      <c r="FO208" s="327"/>
      <c r="FP208" s="327"/>
      <c r="FQ208" s="327"/>
      <c r="FR208" s="327"/>
      <c r="FS208" s="327"/>
      <c r="FT208" s="327"/>
      <c r="FU208" s="327"/>
      <c r="FV208" s="327"/>
      <c r="FW208" s="327"/>
      <c r="FX208" s="327"/>
      <c r="FY208" s="327"/>
      <c r="FZ208" s="327"/>
      <c r="GA208" s="327"/>
      <c r="GB208" s="327"/>
      <c r="GC208" s="327"/>
      <c r="GD208" s="327"/>
      <c r="GE208" s="327"/>
      <c r="GF208" s="327"/>
      <c r="GG208" s="327"/>
      <c r="GH208" s="327"/>
      <c r="GI208" s="327"/>
      <c r="GJ208" s="327"/>
      <c r="GK208" s="327"/>
      <c r="GL208" s="327"/>
      <c r="GM208" s="327"/>
      <c r="GN208" s="327"/>
      <c r="GO208" s="327"/>
      <c r="GP208" s="327"/>
      <c r="GQ208" s="327"/>
      <c r="GR208" s="327"/>
      <c r="GS208" s="327"/>
      <c r="GT208" s="327"/>
      <c r="GU208" s="327"/>
      <c r="GV208" s="327"/>
      <c r="GW208" s="327"/>
      <c r="GX208" s="327"/>
      <c r="GY208" s="327"/>
      <c r="GZ208" s="327"/>
      <c r="HA208" s="327"/>
      <c r="HB208" s="327"/>
      <c r="HC208" s="327"/>
      <c r="HD208" s="327"/>
      <c r="HE208" s="327"/>
      <c r="HF208" s="327"/>
      <c r="HG208" s="327"/>
      <c r="HH208" s="327"/>
      <c r="HI208" s="327"/>
      <c r="HJ208" s="327"/>
      <c r="HK208" s="327"/>
      <c r="HL208" s="327"/>
      <c r="HM208" s="327"/>
      <c r="HN208" s="327"/>
      <c r="HO208" s="327"/>
      <c r="HP208" s="327"/>
      <c r="HQ208" s="327"/>
      <c r="HR208" s="327"/>
      <c r="HS208" s="327"/>
    </row>
    <row r="209" spans="1:227" ht="15" customHeight="1">
      <c r="A209" s="330">
        <v>9</v>
      </c>
      <c r="B209" s="435" t="str">
        <f>VLOOKUP(Ruimtestaat[[#This Row],[Code]],Locaties[[Code]:[Locatie]],2,FALSE)</f>
        <v>IKC De Vijverburgh</v>
      </c>
      <c r="C209" s="435" t="str">
        <f>VLOOKUP(Ruimtestaat[[#This Row],[Code]],Locaties[[#All],[Code]:[Adres]],4,FALSE)</f>
        <v>Paltelaan 3</v>
      </c>
      <c r="D209" s="435" t="str">
        <f>VLOOKUP(Ruimtestaat[[#This Row],[Code]],Locaties[[#All],[Code]:[Postcode]],5,FALSE)</f>
        <v>2712 RN</v>
      </c>
      <c r="E209" s="435" t="str">
        <f>VLOOKUP(Ruimtestaat[[#This Row],[Code]],Locaties[#All],6,FALSE)</f>
        <v>Zoetermeer</v>
      </c>
      <c r="F209" s="434"/>
      <c r="G209" s="434" t="s">
        <v>1678</v>
      </c>
      <c r="H209" s="330" t="s">
        <v>1682</v>
      </c>
      <c r="I209" s="450" t="s">
        <v>1787</v>
      </c>
      <c r="J209" s="330">
        <v>7</v>
      </c>
      <c r="K209" s="450" t="str">
        <f>VLOOKUP(Ruimtestaat[[#This Row],[Ruimte code]],Ruimtegroepen[[#All],[Code]:[Ruimte omschrijving]],2,FALSE)</f>
        <v>Entree</v>
      </c>
      <c r="L209" s="434" t="s">
        <v>99</v>
      </c>
      <c r="M209" s="437" t="s">
        <v>1758</v>
      </c>
      <c r="N209" s="439">
        <v>2</v>
      </c>
      <c r="O209" s="439"/>
      <c r="P209" s="439"/>
      <c r="Q209" s="439"/>
      <c r="R209" s="440" t="str">
        <f>VLOOKUP(Ruimtestaat[[#This Row],[Ruimte code]],Ruimtegroepen[],4,FALSE)</f>
        <v>Ve</v>
      </c>
      <c r="S209" s="434">
        <v>41</v>
      </c>
      <c r="T209" s="434" t="s">
        <v>2</v>
      </c>
      <c r="U209" s="434">
        <f>IF(S209&gt;0,IF(RIGHT(Ruimtestaat[[#This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09" s="434">
        <f>IF(U209&gt;0,VLOOKUP($J209,Ruimtegroepen[],3,FALSE)*VLOOKUP($L209,Vloersoorten[],3,FALSE)*VLOOKUP($T209,Frequenties[],3,FALSE)*VLOOKUP($A209,Locaties[],3,FALSE),0)</f>
        <v>0</v>
      </c>
      <c r="W209" s="434">
        <f>Ruimtestaat[[#This Row],[Uitvoeringen werkdagen]]*Ruimtestaat[[#This Row],[Oppervlak (netto)]]</f>
        <v>410</v>
      </c>
      <c r="X209" s="441">
        <f>IF(V209&gt;0,Ruimtestaat[[#This Row],[Prest. (m2 /jaar) werkdagen]]/Ruimtestaat[[#This Row],[Norm (m2/uur) werkdagen]],0)</f>
        <v>0</v>
      </c>
      <c r="Y209" s="442">
        <f>Ruimtestaat[[#This Row],[Uitvoeringen werkdagen]]*Ruimtestaat[[#This Row],[Gedeeltelijk]]</f>
        <v>0</v>
      </c>
      <c r="Z209" s="443" t="e">
        <f>IF(U209&gt;0,Ruimtestaat[[#This Row],[Prest. (m2 / jaar) werkdagen gedeeld]]/Ruimtestaat[[#This Row],[Norm (m2/uur) werkdagen]],0)</f>
        <v>#DIV/0!</v>
      </c>
      <c r="AA209" s="441" t="e">
        <f>Ruimtestaat[[#This Row],[uren / jaar werkdagen gedeeld]]*Tariefsopbouw!$E$35</f>
        <v>#DIV/0!</v>
      </c>
      <c r="AB209" s="441">
        <f>Ruimtestaat[[#This Row],[Uitvoeringen werkdagen]]*Ruimtestaat[[#This Row],[BSO]]</f>
        <v>0</v>
      </c>
      <c r="AC209" s="443" t="e">
        <f>IF(U209&gt;0,Ruimtestaat[[#This Row],[Prest. (m2 / jaar) werkdagen BSO]]/Ruimtestaat[[#This Row],[Norm (m2/uur) werkdagen]],0)</f>
        <v>#DIV/0!</v>
      </c>
      <c r="AD209" s="443" t="e">
        <f>Ruimtestaat[[#This Row],[uren / jaar werkdagen BSO]]*Tariefsopbouw!$E$35</f>
        <v>#DIV/0!</v>
      </c>
      <c r="AE209" s="444">
        <f>Ruimtestaat[[#This Row],[uren / jaar werkdagen]]*Tariefsopbouw!$E$35</f>
        <v>0</v>
      </c>
      <c r="AF209" s="434"/>
      <c r="AG209" s="434">
        <f>IF(Ruimtestaat[[#This Row],[Frequentie weekend]]&gt;0,VALUE(LEFT(AF209,1))*S209,0)</f>
        <v>0</v>
      </c>
      <c r="AH209" s="445">
        <f>IF($AG209&gt;0,VLOOKUP($J209,Ruimtegroepen[],3,FALSE)*VLOOKUP($L209,Vloersoorten[],3,FALSE)*VLOOKUP($AF209,Frequenties[],3,FALSE)*VLOOKUP(Ruimtestaat[[#This Row],[Code]],Locaties[],3,FALSE),0)</f>
        <v>0</v>
      </c>
      <c r="AI209" s="445">
        <f>Ruimtestaat[[#This Row],[Uitvoeringen weekend]]*Ruimtestaat[[#This Row],[Oppervlak (netto)]]</f>
        <v>0</v>
      </c>
      <c r="AJ209" s="445">
        <f>IF(AH209&gt;0,Ruimtestaat[[#This Row],[Prest. (m2 /jaar) weekend]]/Ruimtestaat[[#This Row],[Norm (m2/uur) weekend]],0)</f>
        <v>0</v>
      </c>
      <c r="AK209" s="444">
        <f>Ruimtestaat[[#This Row],[uren / jaar weekend]]*Tariefsopbouw!$D$40</f>
        <v>0</v>
      </c>
      <c r="AL209" s="441">
        <f>Ruimtestaat[[#This Row],[Prest. (m2 /jaar) weekend]]+Ruimtestaat[[#This Row],[Prest. (m2 /jaar) werkdagen]]</f>
        <v>410</v>
      </c>
      <c r="AM209" s="441">
        <f>Ruimtestaat[[#This Row],[uren / jaar weekend]]+Ruimtestaat[[#This Row],[uren / jaar werkdagen]]</f>
        <v>0</v>
      </c>
      <c r="AN209" s="446">
        <f>Ruimtestaat[[#This Row],[kosten / jaar weekend]]+Ruimtestaat[[#This Row],[kosten / jaar werkdagen]]</f>
        <v>0</v>
      </c>
      <c r="AO209" s="446"/>
      <c r="AP209" s="447" t="str">
        <f>IF(Ruimtestaat[[#This Row],[Frequentie werkdagen]]="","",_xlfn.CONCAT(Ruimtestaat[[#This Row],[Ruimte code]],"-",Ruimtestaat[[#This Row],[Frequentie werkdagen]]," ",Ruimtestaat[[#This Row],[Vloer code]]))</f>
        <v>7-5w T</v>
      </c>
      <c r="AQ209" s="448" t="str">
        <f>_xlfn.IFNA(VLOOKUP($AP209,Programma!$F$3:$G$1101,2,0),"")</f>
        <v>_</v>
      </c>
      <c r="AR209" s="448" t="str">
        <f>_xlfn.IFNA(VLOOKUP($AP209,Programma!$F$3:$H$1101,3,0),"")</f>
        <v>5w</v>
      </c>
      <c r="AS209" s="448" t="str">
        <f>_xlfn.IFNA(VLOOKUP($AP209,Programma!$F$3:$I$1101,4,0),"")</f>
        <v>_</v>
      </c>
      <c r="AT209" s="448" t="str">
        <f>_xlfn.IFNA(VLOOKUP($AP209,Programma!$F$3:$J$1101,5,0),"")</f>
        <v>_</v>
      </c>
      <c r="AU209" s="448" t="str">
        <f>_xlfn.IFNA(VLOOKUP($AP209,Programma!$F$3:$K$1101,6,0),"")</f>
        <v>_</v>
      </c>
      <c r="AV209" s="448" t="str">
        <f>_xlfn.IFNA(VLOOKUP($AP209,Programma!$F$3:$L$1101,7,0),"")</f>
        <v>_</v>
      </c>
      <c r="AW209" s="448" t="str">
        <f>_xlfn.IFNA(VLOOKUP($AP209,Programma!$F$3:$M$1101,8,0),"")</f>
        <v>_</v>
      </c>
      <c r="AX209" s="448" t="str">
        <f>_xlfn.IFNA(VLOOKUP($AP209,Programma!$F$3:$N$1101,9,0),"")</f>
        <v>_</v>
      </c>
      <c r="AY209" s="448" t="str">
        <f>_xlfn.IFNA(VLOOKUP($AP209,Programma!$F$3:$O$1101,10,0),"")</f>
        <v>5w</v>
      </c>
      <c r="AZ209" s="448" t="str">
        <f>_xlfn.IFNA(VLOOKUP($AP209,Programma!$F$3:$P$1101,11,0),"")</f>
        <v>5w</v>
      </c>
      <c r="BA209" s="448" t="str">
        <f>_xlfn.IFNA(VLOOKUP($AP209,Programma!$F$3:$Q$1101,12,0),"")</f>
        <v>1w</v>
      </c>
      <c r="BB209" s="448" t="str">
        <f>_xlfn.IFNA(VLOOKUP($AP209,Programma!$F$3:$R$1101,13,0),"")</f>
        <v>1w</v>
      </c>
      <c r="BC209" s="448" t="str">
        <f>_xlfn.IFNA(VLOOKUP($AP209,Programma!$F$3:$S$1101,14,0),"")</f>
        <v>1m</v>
      </c>
      <c r="BD209" s="448" t="str">
        <f>_xlfn.IFNA(VLOOKUP($AP209,Programma!$F$3:$T$1101,15,0),"")</f>
        <v>2j</v>
      </c>
      <c r="BE209" s="448" t="str">
        <f>_xlfn.IFNA(VLOOKUP($AP209,Programma!$F$3:$U$1101,16,0),"")</f>
        <v>1j</v>
      </c>
      <c r="BF209" s="448" t="str">
        <f>_xlfn.IFNA(VLOOKUP($AP209,Programma!$F$3:$V$1101,17,0),"")</f>
        <v>_</v>
      </c>
      <c r="BG209" s="448" t="str">
        <f>_xlfn.IFNA(VLOOKUP($AP209,Programma!$F$3:$W$1101,18,0),"")</f>
        <v>_</v>
      </c>
      <c r="BH209" s="448" t="str">
        <f>_xlfn.IFNA(VLOOKUP($AP209,Programma!$F$3:$X$1101,19,0),"")</f>
        <v>_</v>
      </c>
      <c r="BI209" s="448" t="str">
        <f>_xlfn.IFNA(VLOOKUP($AP209,Programma!$F$3:$Y$1101,20,0),"")</f>
        <v>_</v>
      </c>
      <c r="BJ209" s="449"/>
      <c r="BK209" s="447" t="str">
        <f>IF(Ruimtestaat[[#This Row],[Frequentie weekend]]="","",_xlfn.CONCAT(Ruimtestaat[[#This Row],[Ruimte code]],"-",Ruimtestaat[[#This Row],[Frequentie weekend]]," ",Ruimtestaat[[#This Row],[Vloer code]]))</f>
        <v/>
      </c>
      <c r="BL209" s="448" t="str">
        <f>_xlfn.IFNA(VLOOKUP($BK209,Programma!$F$3:$G$1101,2,0),"")</f>
        <v/>
      </c>
      <c r="BM209" s="448" t="str">
        <f>_xlfn.IFNA(VLOOKUP($BK209,Programma!$F$3:$H$1101,3,0),"")</f>
        <v/>
      </c>
      <c r="BN209" s="448" t="str">
        <f>_xlfn.IFNA(VLOOKUP($BK209,Programma!$F$3:$I$1101,4,0),"")</f>
        <v/>
      </c>
      <c r="BO209" s="448" t="str">
        <f>_xlfn.IFNA(VLOOKUP($BK209,Programma!$F$3:$J$1101,5,0),"")</f>
        <v/>
      </c>
      <c r="BP209" s="448" t="str">
        <f>_xlfn.IFNA(VLOOKUP($BK209,Programma!$F$3:$K$1101,6,0),"")</f>
        <v/>
      </c>
      <c r="BQ209" s="448" t="str">
        <f>_xlfn.IFNA(VLOOKUP($BK209,Programma!$F$3:$L$1101,7,0),"")</f>
        <v/>
      </c>
      <c r="BR209" s="448" t="str">
        <f>_xlfn.IFNA(VLOOKUP($BK209,Programma!$F$3:$M$1101,8,0),"")</f>
        <v/>
      </c>
      <c r="BS209" s="448" t="str">
        <f>_xlfn.IFNA(VLOOKUP($BK209,Programma!$F$3:$N$1101,9,0),"")</f>
        <v/>
      </c>
      <c r="BT209" s="448" t="str">
        <f>_xlfn.IFNA(VLOOKUP($BK209,Programma!$F$3:$O$1101,10,0),"")</f>
        <v/>
      </c>
      <c r="BU209" s="448" t="str">
        <f>_xlfn.IFNA(VLOOKUP($BK209,Programma!$F$3:$P$1101,11,0),"")</f>
        <v/>
      </c>
      <c r="BV209" s="448" t="str">
        <f>_xlfn.IFNA(VLOOKUP($BK209,Programma!$F$3:$Q$1101,12,0),"")</f>
        <v/>
      </c>
      <c r="BW209" s="448" t="str">
        <f>_xlfn.IFNA(VLOOKUP($BK209,Programma!$F$3:$R$1101,13,0),"")</f>
        <v/>
      </c>
      <c r="BX209" s="448" t="str">
        <f>_xlfn.IFNA(VLOOKUP($BK209,Programma!$F$3:$S$1101,14,0),"")</f>
        <v/>
      </c>
      <c r="BY209" s="448" t="str">
        <f>_xlfn.IFNA(VLOOKUP($BK209,Programma!$F$3:$T$1101,15,0),"")</f>
        <v/>
      </c>
      <c r="BZ209" s="448" t="str">
        <f>_xlfn.IFNA(VLOOKUP($BK209,Programma!$F$3:$U$1101,16,0),"")</f>
        <v/>
      </c>
      <c r="CA209" s="448" t="str">
        <f>_xlfn.IFNA(VLOOKUP($BK209,Programma!$F$3:$V$1101,17,0),"")</f>
        <v/>
      </c>
      <c r="CB209" s="448" t="str">
        <f>_xlfn.IFNA(VLOOKUP($BK209,Programma!$F$3:$W$1101,18,0),"")</f>
        <v/>
      </c>
      <c r="CC209" s="448" t="str">
        <f>_xlfn.IFNA(VLOOKUP($BK209,Programma!$F$3:$X$1101,19,0),"")</f>
        <v/>
      </c>
      <c r="CD209" s="448" t="str">
        <f>_xlfn.IFNA(VLOOKUP($BK209,Programma!$F$3:$Y$1101,20,0),"")</f>
        <v/>
      </c>
      <c r="CE209" s="327"/>
      <c r="CF209" s="327"/>
      <c r="CG209" s="327"/>
      <c r="CH209" s="327"/>
      <c r="CI209" s="327"/>
      <c r="CJ209" s="327"/>
      <c r="CK209" s="327"/>
      <c r="CL209" s="327"/>
      <c r="CM209" s="327"/>
      <c r="CN209" s="327"/>
      <c r="CO209" s="327"/>
      <c r="CP209" s="327"/>
      <c r="CQ209" s="327"/>
      <c r="CR209" s="327"/>
      <c r="CS209" s="327"/>
      <c r="CT209" s="327"/>
      <c r="CU209" s="327"/>
      <c r="CV209" s="327"/>
      <c r="CW209" s="327"/>
      <c r="CX209" s="327"/>
      <c r="CY209" s="327"/>
      <c r="CZ209" s="327"/>
      <c r="DA209" s="327"/>
      <c r="DB209" s="327"/>
      <c r="DC209" s="327"/>
      <c r="DD209" s="327"/>
      <c r="DE209" s="327"/>
      <c r="DF209" s="327"/>
      <c r="DG209" s="327"/>
      <c r="DH209" s="327"/>
      <c r="DI209" s="327"/>
      <c r="DJ209" s="327"/>
      <c r="DK209" s="327"/>
      <c r="DL209" s="327"/>
      <c r="DM209" s="327"/>
      <c r="DN209" s="327"/>
      <c r="DO209" s="327"/>
      <c r="DP209" s="327"/>
      <c r="DQ209" s="327"/>
      <c r="DR209" s="327"/>
      <c r="DS209" s="327"/>
      <c r="DT209" s="327"/>
      <c r="DU209" s="327"/>
      <c r="DV209" s="327"/>
      <c r="DW209" s="327"/>
      <c r="DX209" s="327"/>
      <c r="DY209" s="327"/>
      <c r="DZ209" s="327"/>
      <c r="EA209" s="327"/>
      <c r="EB209" s="327"/>
      <c r="EC209" s="327"/>
      <c r="ED209" s="327"/>
      <c r="EE209" s="327"/>
      <c r="EF209" s="327"/>
      <c r="EG209" s="327"/>
      <c r="EH209" s="327"/>
      <c r="EI209" s="327"/>
      <c r="EJ209" s="327"/>
      <c r="EK209" s="327"/>
      <c r="EL209" s="327"/>
      <c r="EM209" s="327"/>
      <c r="EN209" s="327"/>
      <c r="EO209" s="327"/>
      <c r="EP209" s="327"/>
      <c r="EQ209" s="327"/>
      <c r="ER209" s="327"/>
      <c r="ES209" s="327"/>
      <c r="ET209" s="327"/>
      <c r="EU209" s="327"/>
      <c r="EV209" s="327"/>
      <c r="EW209" s="327"/>
      <c r="EX209" s="327"/>
      <c r="EY209" s="327"/>
      <c r="EZ209" s="327"/>
      <c r="FA209" s="327"/>
      <c r="FB209" s="327"/>
      <c r="FC209" s="327"/>
      <c r="FD209" s="327"/>
      <c r="FE209" s="327"/>
      <c r="FF209" s="327"/>
      <c r="FG209" s="327"/>
      <c r="FH209" s="327"/>
      <c r="FI209" s="327"/>
      <c r="FJ209" s="327"/>
      <c r="FK209" s="327"/>
      <c r="FL209" s="327"/>
      <c r="FM209" s="327"/>
      <c r="FN209" s="327"/>
      <c r="FO209" s="327"/>
      <c r="FP209" s="327"/>
      <c r="FQ209" s="327"/>
      <c r="FR209" s="327"/>
      <c r="FS209" s="327"/>
      <c r="FT209" s="327"/>
      <c r="FU209" s="327"/>
      <c r="FV209" s="327"/>
      <c r="FW209" s="327"/>
      <c r="FX209" s="327"/>
      <c r="FY209" s="327"/>
      <c r="FZ209" s="327"/>
      <c r="GA209" s="327"/>
      <c r="GB209" s="327"/>
      <c r="GC209" s="327"/>
      <c r="GD209" s="327"/>
      <c r="GE209" s="327"/>
      <c r="GF209" s="327"/>
      <c r="GG209" s="327"/>
      <c r="GH209" s="327"/>
      <c r="GI209" s="327"/>
      <c r="GJ209" s="327"/>
      <c r="GK209" s="327"/>
      <c r="GL209" s="327"/>
      <c r="GM209" s="327"/>
      <c r="GN209" s="327"/>
      <c r="GO209" s="327"/>
      <c r="GP209" s="327"/>
      <c r="GQ209" s="327"/>
      <c r="GR209" s="327"/>
      <c r="GS209" s="327"/>
      <c r="GT209" s="327"/>
      <c r="GU209" s="327"/>
      <c r="GV209" s="327"/>
      <c r="GW209" s="327"/>
      <c r="GX209" s="327"/>
      <c r="GY209" s="327"/>
      <c r="GZ209" s="327"/>
      <c r="HA209" s="327"/>
      <c r="HB209" s="327"/>
      <c r="HC209" s="327"/>
      <c r="HD209" s="327"/>
      <c r="HE209" s="327"/>
      <c r="HF209" s="327"/>
      <c r="HG209" s="327"/>
      <c r="HH209" s="327"/>
      <c r="HI209" s="327"/>
      <c r="HJ209" s="327"/>
      <c r="HK209" s="327"/>
      <c r="HL209" s="327"/>
      <c r="HM209" s="327"/>
      <c r="HN209" s="327"/>
      <c r="HO209" s="327"/>
      <c r="HP209" s="327"/>
      <c r="HQ209" s="327"/>
      <c r="HR209" s="327"/>
      <c r="HS209" s="327"/>
    </row>
    <row r="210" spans="1:227" ht="15" customHeight="1">
      <c r="A210" s="330">
        <v>9</v>
      </c>
      <c r="B210" s="435" t="str">
        <f>VLOOKUP(Ruimtestaat[[#This Row],[Code]],Locaties[[Code]:[Locatie]],2,FALSE)</f>
        <v>IKC De Vijverburgh</v>
      </c>
      <c r="C210" s="435" t="str">
        <f>VLOOKUP(Ruimtestaat[[#This Row],[Code]],Locaties[[#All],[Code]:[Adres]],4,FALSE)</f>
        <v>Paltelaan 3</v>
      </c>
      <c r="D210" s="435" t="str">
        <f>VLOOKUP(Ruimtestaat[[#This Row],[Code]],Locaties[[#All],[Code]:[Postcode]],5,FALSE)</f>
        <v>2712 RN</v>
      </c>
      <c r="E210" s="435" t="str">
        <f>VLOOKUP(Ruimtestaat[[#This Row],[Code]],Locaties[#All],6,FALSE)</f>
        <v>Zoetermeer</v>
      </c>
      <c r="F210" s="434"/>
      <c r="G210" s="434" t="s">
        <v>1678</v>
      </c>
      <c r="H210" s="330" t="s">
        <v>1680</v>
      </c>
      <c r="I210" s="450" t="s">
        <v>1708</v>
      </c>
      <c r="J210" s="330">
        <v>6</v>
      </c>
      <c r="K210" s="450" t="str">
        <f>VLOOKUP(Ruimtestaat[[#This Row],[Ruimte code]],Ruimtegroepen[[#All],[Code]:[Ruimte omschrijving]],2,FALSE)</f>
        <v>Gangen/hallen</v>
      </c>
      <c r="L210" s="434" t="s">
        <v>100</v>
      </c>
      <c r="M210" s="437" t="s">
        <v>1759</v>
      </c>
      <c r="N210" s="439">
        <v>88</v>
      </c>
      <c r="O210" s="439"/>
      <c r="P210" s="439"/>
      <c r="Q210" s="439"/>
      <c r="R210" s="440" t="str">
        <f>VLOOKUP(Ruimtestaat[[#This Row],[Ruimte code]],Ruimtegroepen[],4,FALSE)</f>
        <v>Ve</v>
      </c>
      <c r="S210" s="434">
        <v>41</v>
      </c>
      <c r="T210" s="434" t="s">
        <v>2</v>
      </c>
      <c r="U210" s="434">
        <f>IF(S210&gt;0,IF(RIGHT(Ruimtestaat[[#This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10" s="434">
        <f>IF(U210&gt;0,VLOOKUP($J210,Ruimtegroepen[],3,FALSE)*VLOOKUP($L210,Vloersoorten[],3,FALSE)*VLOOKUP($T210,Frequenties[],3,FALSE)*VLOOKUP($A210,Locaties[],3,FALSE),0)</f>
        <v>0</v>
      </c>
      <c r="W210" s="434">
        <f>Ruimtestaat[[#This Row],[Uitvoeringen werkdagen]]*Ruimtestaat[[#This Row],[Oppervlak (netto)]]</f>
        <v>18040</v>
      </c>
      <c r="X210" s="441">
        <f>IF(V210&gt;0,Ruimtestaat[[#This Row],[Prest. (m2 /jaar) werkdagen]]/Ruimtestaat[[#This Row],[Norm (m2/uur) werkdagen]],0)</f>
        <v>0</v>
      </c>
      <c r="Y210" s="442">
        <f>Ruimtestaat[[#This Row],[Uitvoeringen werkdagen]]*Ruimtestaat[[#This Row],[Gedeeltelijk]]</f>
        <v>0</v>
      </c>
      <c r="Z210" s="443" t="e">
        <f>IF(U210&gt;0,Ruimtestaat[[#This Row],[Prest. (m2 / jaar) werkdagen gedeeld]]/Ruimtestaat[[#This Row],[Norm (m2/uur) werkdagen]],0)</f>
        <v>#DIV/0!</v>
      </c>
      <c r="AA210" s="441" t="e">
        <f>Ruimtestaat[[#This Row],[uren / jaar werkdagen gedeeld]]*Tariefsopbouw!$E$35</f>
        <v>#DIV/0!</v>
      </c>
      <c r="AB210" s="441">
        <f>Ruimtestaat[[#This Row],[Uitvoeringen werkdagen]]*Ruimtestaat[[#This Row],[BSO]]</f>
        <v>0</v>
      </c>
      <c r="AC210" s="443" t="e">
        <f>IF(U210&gt;0,Ruimtestaat[[#This Row],[Prest. (m2 / jaar) werkdagen BSO]]/Ruimtestaat[[#This Row],[Norm (m2/uur) werkdagen]],0)</f>
        <v>#DIV/0!</v>
      </c>
      <c r="AD210" s="443" t="e">
        <f>Ruimtestaat[[#This Row],[uren / jaar werkdagen BSO]]*Tariefsopbouw!$E$35</f>
        <v>#DIV/0!</v>
      </c>
      <c r="AE210" s="444">
        <f>Ruimtestaat[[#This Row],[uren / jaar werkdagen]]*Tariefsopbouw!$E$35</f>
        <v>0</v>
      </c>
      <c r="AF210" s="434"/>
      <c r="AG210" s="434">
        <f>IF(Ruimtestaat[[#This Row],[Frequentie weekend]]&gt;0,VALUE(LEFT(AF210,1))*S210,0)</f>
        <v>0</v>
      </c>
      <c r="AH210" s="445">
        <f>IF($AG210&gt;0,VLOOKUP($J210,Ruimtegroepen[],3,FALSE)*VLOOKUP($L210,Vloersoorten[],3,FALSE)*VLOOKUP($AF210,Frequenties[],3,FALSE)*VLOOKUP(Ruimtestaat[[#This Row],[Code]],Locaties[],3,FALSE),0)</f>
        <v>0</v>
      </c>
      <c r="AI210" s="445">
        <f>Ruimtestaat[[#This Row],[Uitvoeringen weekend]]*Ruimtestaat[[#This Row],[Oppervlak (netto)]]</f>
        <v>0</v>
      </c>
      <c r="AJ210" s="445">
        <f>IF(AH210&gt;0,Ruimtestaat[[#This Row],[Prest. (m2 /jaar) weekend]]/Ruimtestaat[[#This Row],[Norm (m2/uur) weekend]],0)</f>
        <v>0</v>
      </c>
      <c r="AK210" s="444">
        <f>Ruimtestaat[[#This Row],[uren / jaar weekend]]*Tariefsopbouw!$D$40</f>
        <v>0</v>
      </c>
      <c r="AL210" s="441">
        <f>Ruimtestaat[[#This Row],[Prest. (m2 /jaar) weekend]]+Ruimtestaat[[#This Row],[Prest. (m2 /jaar) werkdagen]]</f>
        <v>18040</v>
      </c>
      <c r="AM210" s="441">
        <f>Ruimtestaat[[#This Row],[uren / jaar weekend]]+Ruimtestaat[[#This Row],[uren / jaar werkdagen]]</f>
        <v>0</v>
      </c>
      <c r="AN210" s="446">
        <f>Ruimtestaat[[#This Row],[kosten / jaar weekend]]+Ruimtestaat[[#This Row],[kosten / jaar werkdagen]]</f>
        <v>0</v>
      </c>
      <c r="AO210" s="446"/>
      <c r="AP210" s="447" t="str">
        <f>IF(Ruimtestaat[[#This Row],[Frequentie werkdagen]]="","",_xlfn.CONCAT(Ruimtestaat[[#This Row],[Ruimte code]],"-",Ruimtestaat[[#This Row],[Frequentie werkdagen]]," ",Ruimtestaat[[#This Row],[Vloer code]]))</f>
        <v>6-5w L</v>
      </c>
      <c r="AQ210" s="448" t="str">
        <f>_xlfn.IFNA(VLOOKUP($AP210,Programma!$F$3:$G$1101,2,0),"")</f>
        <v>_</v>
      </c>
      <c r="AR210" s="448" t="str">
        <f>_xlfn.IFNA(VLOOKUP($AP210,Programma!$F$3:$H$1101,3,0),"")</f>
        <v>_</v>
      </c>
      <c r="AS210" s="448" t="str">
        <f>_xlfn.IFNA(VLOOKUP($AP210,Programma!$F$3:$I$1101,4,0),"")</f>
        <v>_</v>
      </c>
      <c r="AT210" s="448" t="str">
        <f>_xlfn.IFNA(VLOOKUP($AP210,Programma!$F$3:$J$1101,5,0),"")</f>
        <v>5w</v>
      </c>
      <c r="AU210" s="448" t="str">
        <f>_xlfn.IFNA(VLOOKUP($AP210,Programma!$F$3:$K$1101,6,0),"")</f>
        <v>_</v>
      </c>
      <c r="AV210" s="448" t="str">
        <f>_xlfn.IFNA(VLOOKUP($AP210,Programma!$F$3:$L$1101,7,0),"")</f>
        <v>_</v>
      </c>
      <c r="AW210" s="448" t="str">
        <f>_xlfn.IFNA(VLOOKUP($AP210,Programma!$F$3:$M$1101,8,0),"")</f>
        <v>_</v>
      </c>
      <c r="AX210" s="448" t="str">
        <f>_xlfn.IFNA(VLOOKUP($AP210,Programma!$F$3:$N$1101,9,0),"")</f>
        <v>_</v>
      </c>
      <c r="AY210" s="448" t="str">
        <f>_xlfn.IFNA(VLOOKUP($AP210,Programma!$F$3:$O$1101,10,0),"")</f>
        <v>5w</v>
      </c>
      <c r="AZ210" s="448" t="str">
        <f>_xlfn.IFNA(VLOOKUP($AP210,Programma!$F$3:$P$1101,11,0),"")</f>
        <v>5w</v>
      </c>
      <c r="BA210" s="448" t="str">
        <f>_xlfn.IFNA(VLOOKUP($AP210,Programma!$F$3:$Q$1101,12,0),"")</f>
        <v>1w</v>
      </c>
      <c r="BB210" s="448" t="str">
        <f>_xlfn.IFNA(VLOOKUP($AP210,Programma!$F$3:$R$1101,13,0),"")</f>
        <v>1w</v>
      </c>
      <c r="BC210" s="448" t="str">
        <f>_xlfn.IFNA(VLOOKUP($AP210,Programma!$F$3:$S$1101,14,0),"")</f>
        <v>1m</v>
      </c>
      <c r="BD210" s="448" t="str">
        <f>_xlfn.IFNA(VLOOKUP($AP210,Programma!$F$3:$T$1101,15,0),"")</f>
        <v>2j</v>
      </c>
      <c r="BE210" s="448" t="str">
        <f>_xlfn.IFNA(VLOOKUP($AP210,Programma!$F$3:$U$1101,16,0),"")</f>
        <v>1j</v>
      </c>
      <c r="BF210" s="448" t="str">
        <f>_xlfn.IFNA(VLOOKUP($AP210,Programma!$F$3:$V$1101,17,0),"")</f>
        <v>_</v>
      </c>
      <c r="BG210" s="448" t="str">
        <f>_xlfn.IFNA(VLOOKUP($AP210,Programma!$F$3:$W$1101,18,0),"")</f>
        <v>_</v>
      </c>
      <c r="BH210" s="448" t="str">
        <f>_xlfn.IFNA(VLOOKUP($AP210,Programma!$F$3:$X$1101,19,0),"")</f>
        <v>_</v>
      </c>
      <c r="BI210" s="448" t="str">
        <f>_xlfn.IFNA(VLOOKUP($AP210,Programma!$F$3:$Y$1101,20,0),"")</f>
        <v>_</v>
      </c>
      <c r="BJ210" s="449"/>
      <c r="BK210" s="447" t="str">
        <f>IF(Ruimtestaat[[#This Row],[Frequentie weekend]]="","",_xlfn.CONCAT(Ruimtestaat[[#This Row],[Ruimte code]],"-",Ruimtestaat[[#This Row],[Frequentie weekend]]," ",Ruimtestaat[[#This Row],[Vloer code]]))</f>
        <v/>
      </c>
      <c r="BL210" s="448" t="str">
        <f>_xlfn.IFNA(VLOOKUP($BK210,Programma!$F$3:$G$1101,2,0),"")</f>
        <v/>
      </c>
      <c r="BM210" s="448" t="str">
        <f>_xlfn.IFNA(VLOOKUP($BK210,Programma!$F$3:$H$1101,3,0),"")</f>
        <v/>
      </c>
      <c r="BN210" s="448" t="str">
        <f>_xlfn.IFNA(VLOOKUP($BK210,Programma!$F$3:$I$1101,4,0),"")</f>
        <v/>
      </c>
      <c r="BO210" s="448" t="str">
        <f>_xlfn.IFNA(VLOOKUP($BK210,Programma!$F$3:$J$1101,5,0),"")</f>
        <v/>
      </c>
      <c r="BP210" s="448" t="str">
        <f>_xlfn.IFNA(VLOOKUP($BK210,Programma!$F$3:$K$1101,6,0),"")</f>
        <v/>
      </c>
      <c r="BQ210" s="448" t="str">
        <f>_xlfn.IFNA(VLOOKUP($BK210,Programma!$F$3:$L$1101,7,0),"")</f>
        <v/>
      </c>
      <c r="BR210" s="448" t="str">
        <f>_xlfn.IFNA(VLOOKUP($BK210,Programma!$F$3:$M$1101,8,0),"")</f>
        <v/>
      </c>
      <c r="BS210" s="448" t="str">
        <f>_xlfn.IFNA(VLOOKUP($BK210,Programma!$F$3:$N$1101,9,0),"")</f>
        <v/>
      </c>
      <c r="BT210" s="448" t="str">
        <f>_xlfn.IFNA(VLOOKUP($BK210,Programma!$F$3:$O$1101,10,0),"")</f>
        <v/>
      </c>
      <c r="BU210" s="448" t="str">
        <f>_xlfn.IFNA(VLOOKUP($BK210,Programma!$F$3:$P$1101,11,0),"")</f>
        <v/>
      </c>
      <c r="BV210" s="448" t="str">
        <f>_xlfn.IFNA(VLOOKUP($BK210,Programma!$F$3:$Q$1101,12,0),"")</f>
        <v/>
      </c>
      <c r="BW210" s="448" t="str">
        <f>_xlfn.IFNA(VLOOKUP($BK210,Programma!$F$3:$R$1101,13,0),"")</f>
        <v/>
      </c>
      <c r="BX210" s="448" t="str">
        <f>_xlfn.IFNA(VLOOKUP($BK210,Programma!$F$3:$S$1101,14,0),"")</f>
        <v/>
      </c>
      <c r="BY210" s="448" t="str">
        <f>_xlfn.IFNA(VLOOKUP($BK210,Programma!$F$3:$T$1101,15,0),"")</f>
        <v/>
      </c>
      <c r="BZ210" s="448" t="str">
        <f>_xlfn.IFNA(VLOOKUP($BK210,Programma!$F$3:$U$1101,16,0),"")</f>
        <v/>
      </c>
      <c r="CA210" s="448" t="str">
        <f>_xlfn.IFNA(VLOOKUP($BK210,Programma!$F$3:$V$1101,17,0),"")</f>
        <v/>
      </c>
      <c r="CB210" s="448" t="str">
        <f>_xlfn.IFNA(VLOOKUP($BK210,Programma!$F$3:$W$1101,18,0),"")</f>
        <v/>
      </c>
      <c r="CC210" s="448" t="str">
        <f>_xlfn.IFNA(VLOOKUP($BK210,Programma!$F$3:$X$1101,19,0),"")</f>
        <v/>
      </c>
      <c r="CD210" s="448" t="str">
        <f>_xlfn.IFNA(VLOOKUP($BK210,Programma!$F$3:$Y$1101,20,0),"")</f>
        <v/>
      </c>
      <c r="CE210" s="327"/>
      <c r="CF210" s="327"/>
      <c r="CG210" s="327"/>
      <c r="CH210" s="327"/>
      <c r="CI210" s="327"/>
      <c r="CJ210" s="327"/>
      <c r="CK210" s="327"/>
      <c r="CL210" s="327"/>
      <c r="CM210" s="327"/>
      <c r="CN210" s="327"/>
      <c r="CO210" s="327"/>
      <c r="CP210" s="327"/>
      <c r="CQ210" s="327"/>
      <c r="CR210" s="327"/>
      <c r="CS210" s="327"/>
      <c r="CT210" s="327"/>
      <c r="CU210" s="327"/>
      <c r="CV210" s="327"/>
      <c r="CW210" s="327"/>
      <c r="CX210" s="327"/>
      <c r="CY210" s="327"/>
      <c r="CZ210" s="327"/>
      <c r="DA210" s="327"/>
      <c r="DB210" s="327"/>
      <c r="DC210" s="327"/>
      <c r="DD210" s="327"/>
      <c r="DE210" s="327"/>
      <c r="DF210" s="327"/>
      <c r="DG210" s="327"/>
      <c r="DH210" s="327"/>
      <c r="DI210" s="327"/>
      <c r="DJ210" s="327"/>
      <c r="DK210" s="327"/>
      <c r="DL210" s="327"/>
      <c r="DM210" s="327"/>
      <c r="DN210" s="327"/>
      <c r="DO210" s="327"/>
      <c r="DP210" s="327"/>
      <c r="DQ210" s="327"/>
      <c r="DR210" s="327"/>
      <c r="DS210" s="327"/>
      <c r="DT210" s="327"/>
      <c r="DU210" s="327"/>
      <c r="DV210" s="327"/>
      <c r="DW210" s="327"/>
      <c r="DX210" s="327"/>
      <c r="DY210" s="327"/>
      <c r="DZ210" s="327"/>
      <c r="EA210" s="327"/>
      <c r="EB210" s="327"/>
      <c r="EC210" s="327"/>
      <c r="ED210" s="327"/>
      <c r="EE210" s="327"/>
      <c r="EF210" s="327"/>
      <c r="EG210" s="327"/>
      <c r="EH210" s="327"/>
      <c r="EI210" s="327"/>
      <c r="EJ210" s="327"/>
      <c r="EK210" s="327"/>
      <c r="EL210" s="327"/>
      <c r="EM210" s="327"/>
      <c r="EN210" s="327"/>
      <c r="EO210" s="327"/>
      <c r="EP210" s="327"/>
      <c r="EQ210" s="327"/>
      <c r="ER210" s="327"/>
      <c r="ES210" s="327"/>
      <c r="ET210" s="327"/>
      <c r="EU210" s="327"/>
      <c r="EV210" s="327"/>
      <c r="EW210" s="327"/>
      <c r="EX210" s="327"/>
      <c r="EY210" s="327"/>
      <c r="EZ210" s="327"/>
      <c r="FA210" s="327"/>
      <c r="FB210" s="327"/>
      <c r="FC210" s="327"/>
      <c r="FD210" s="327"/>
      <c r="FE210" s="327"/>
      <c r="FF210" s="327"/>
      <c r="FG210" s="327"/>
      <c r="FH210" s="327"/>
      <c r="FI210" s="327"/>
      <c r="FJ210" s="327"/>
      <c r="FK210" s="327"/>
      <c r="FL210" s="327"/>
      <c r="FM210" s="327"/>
      <c r="FN210" s="327"/>
      <c r="FO210" s="327"/>
      <c r="FP210" s="327"/>
      <c r="FQ210" s="327"/>
      <c r="FR210" s="327"/>
      <c r="FS210" s="327"/>
      <c r="FT210" s="327"/>
      <c r="FU210" s="327"/>
      <c r="FV210" s="327"/>
      <c r="FW210" s="327"/>
      <c r="FX210" s="327"/>
      <c r="FY210" s="327"/>
      <c r="FZ210" s="327"/>
      <c r="GA210" s="327"/>
      <c r="GB210" s="327"/>
      <c r="GC210" s="327"/>
      <c r="GD210" s="327"/>
      <c r="GE210" s="327"/>
      <c r="GF210" s="327"/>
      <c r="GG210" s="327"/>
      <c r="GH210" s="327"/>
      <c r="GI210" s="327"/>
      <c r="GJ210" s="327"/>
      <c r="GK210" s="327"/>
      <c r="GL210" s="327"/>
      <c r="GM210" s="327"/>
      <c r="GN210" s="327"/>
      <c r="GO210" s="327"/>
      <c r="GP210" s="327"/>
      <c r="GQ210" s="327"/>
      <c r="GR210" s="327"/>
      <c r="GS210" s="327"/>
      <c r="GT210" s="327"/>
      <c r="GU210" s="327"/>
      <c r="GV210" s="327"/>
      <c r="GW210" s="327"/>
      <c r="GX210" s="327"/>
      <c r="GY210" s="327"/>
      <c r="GZ210" s="327"/>
      <c r="HA210" s="327"/>
      <c r="HB210" s="327"/>
      <c r="HC210" s="327"/>
      <c r="HD210" s="327"/>
      <c r="HE210" s="327"/>
      <c r="HF210" s="327"/>
      <c r="HG210" s="327"/>
      <c r="HH210" s="327"/>
      <c r="HI210" s="327"/>
      <c r="HJ210" s="327"/>
      <c r="HK210" s="327"/>
      <c r="HL210" s="327"/>
      <c r="HM210" s="327"/>
      <c r="HN210" s="327"/>
      <c r="HO210" s="327"/>
      <c r="HP210" s="327"/>
      <c r="HQ210" s="327"/>
      <c r="HR210" s="327"/>
      <c r="HS210" s="327"/>
    </row>
    <row r="211" spans="1:227" ht="15" customHeight="1">
      <c r="A211" s="330">
        <v>9</v>
      </c>
      <c r="B211" s="435" t="str">
        <f>VLOOKUP(Ruimtestaat[[#This Row],[Code]],Locaties[[Code]:[Locatie]],2,FALSE)</f>
        <v>IKC De Vijverburgh</v>
      </c>
      <c r="C211" s="435" t="str">
        <f>VLOOKUP(Ruimtestaat[[#This Row],[Code]],Locaties[[#All],[Code]:[Adres]],4,FALSE)</f>
        <v>Paltelaan 3</v>
      </c>
      <c r="D211" s="435" t="str">
        <f>VLOOKUP(Ruimtestaat[[#This Row],[Code]],Locaties[[#All],[Code]:[Postcode]],5,FALSE)</f>
        <v>2712 RN</v>
      </c>
      <c r="E211" s="435" t="str">
        <f>VLOOKUP(Ruimtestaat[[#This Row],[Code]],Locaties[#All],6,FALSE)</f>
        <v>Zoetermeer</v>
      </c>
      <c r="F211" s="434"/>
      <c r="G211" s="434" t="s">
        <v>1678</v>
      </c>
      <c r="H211" s="330" t="s">
        <v>1788</v>
      </c>
      <c r="I211" s="450" t="s">
        <v>1789</v>
      </c>
      <c r="J211" s="330">
        <v>2</v>
      </c>
      <c r="K211" s="450" t="str">
        <f>VLOOKUP(Ruimtestaat[[#This Row],[Ruimte code]],Ruimtegroepen[[#All],[Code]:[Ruimte omschrijving]],2,FALSE)</f>
        <v>Kantoren</v>
      </c>
      <c r="L211" s="434" t="s">
        <v>100</v>
      </c>
      <c r="M211" s="437" t="s">
        <v>1759</v>
      </c>
      <c r="N211" s="439">
        <v>21</v>
      </c>
      <c r="O211" s="439"/>
      <c r="P211" s="439"/>
      <c r="Q211" s="439"/>
      <c r="R211" s="440" t="str">
        <f>VLOOKUP(Ruimtestaat[[#This Row],[Ruimte code]],Ruimtegroepen[],4,FALSE)</f>
        <v>Bu</v>
      </c>
      <c r="S211" s="434">
        <v>41</v>
      </c>
      <c r="T211" s="434" t="s">
        <v>2</v>
      </c>
      <c r="U211" s="434">
        <f>IF(S211&gt;0,IF(RIGHT(Ruimtestaat[[#This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11" s="434">
        <f>IF(U211&gt;0,VLOOKUP($J211,Ruimtegroepen[],3,FALSE)*VLOOKUP($L211,Vloersoorten[],3,FALSE)*VLOOKUP($T211,Frequenties[],3,FALSE)*VLOOKUP($A211,Locaties[],3,FALSE),0)</f>
        <v>0</v>
      </c>
      <c r="W211" s="434">
        <f>Ruimtestaat[[#This Row],[Uitvoeringen werkdagen]]*Ruimtestaat[[#This Row],[Oppervlak (netto)]]</f>
        <v>4305</v>
      </c>
      <c r="X211" s="441">
        <f>IF(V211&gt;0,Ruimtestaat[[#This Row],[Prest. (m2 /jaar) werkdagen]]/Ruimtestaat[[#This Row],[Norm (m2/uur) werkdagen]],0)</f>
        <v>0</v>
      </c>
      <c r="Y211" s="442">
        <f>Ruimtestaat[[#This Row],[Uitvoeringen werkdagen]]*Ruimtestaat[[#This Row],[Gedeeltelijk]]</f>
        <v>0</v>
      </c>
      <c r="Z211" s="443" t="e">
        <f>IF(U211&gt;0,Ruimtestaat[[#This Row],[Prest. (m2 / jaar) werkdagen gedeeld]]/Ruimtestaat[[#This Row],[Norm (m2/uur) werkdagen]],0)</f>
        <v>#DIV/0!</v>
      </c>
      <c r="AA211" s="441" t="e">
        <f>Ruimtestaat[[#This Row],[uren / jaar werkdagen gedeeld]]*Tariefsopbouw!$E$35</f>
        <v>#DIV/0!</v>
      </c>
      <c r="AB211" s="441">
        <f>Ruimtestaat[[#This Row],[Uitvoeringen werkdagen]]*Ruimtestaat[[#This Row],[BSO]]</f>
        <v>0</v>
      </c>
      <c r="AC211" s="443" t="e">
        <f>IF(U211&gt;0,Ruimtestaat[[#This Row],[Prest. (m2 / jaar) werkdagen BSO]]/Ruimtestaat[[#This Row],[Norm (m2/uur) werkdagen]],0)</f>
        <v>#DIV/0!</v>
      </c>
      <c r="AD211" s="443" t="e">
        <f>Ruimtestaat[[#This Row],[uren / jaar werkdagen BSO]]*Tariefsopbouw!$E$35</f>
        <v>#DIV/0!</v>
      </c>
      <c r="AE211" s="444">
        <f>Ruimtestaat[[#This Row],[uren / jaar werkdagen]]*Tariefsopbouw!$E$35</f>
        <v>0</v>
      </c>
      <c r="AF211" s="434"/>
      <c r="AG211" s="434">
        <f>IF(Ruimtestaat[[#This Row],[Frequentie weekend]]&gt;0,VALUE(LEFT(AF211,1))*S211,0)</f>
        <v>0</v>
      </c>
      <c r="AH211" s="445">
        <f>IF($AG211&gt;0,VLOOKUP($J211,Ruimtegroepen[],3,FALSE)*VLOOKUP($L211,Vloersoorten[],3,FALSE)*VLOOKUP($AF211,Frequenties[],3,FALSE)*VLOOKUP(Ruimtestaat[[#This Row],[Code]],Locaties[],3,FALSE),0)</f>
        <v>0</v>
      </c>
      <c r="AI211" s="445">
        <f>Ruimtestaat[[#This Row],[Uitvoeringen weekend]]*Ruimtestaat[[#This Row],[Oppervlak (netto)]]</f>
        <v>0</v>
      </c>
      <c r="AJ211" s="445">
        <f>IF(AH211&gt;0,Ruimtestaat[[#This Row],[Prest. (m2 /jaar) weekend]]/Ruimtestaat[[#This Row],[Norm (m2/uur) weekend]],0)</f>
        <v>0</v>
      </c>
      <c r="AK211" s="444">
        <f>Ruimtestaat[[#This Row],[uren / jaar weekend]]*Tariefsopbouw!$D$40</f>
        <v>0</v>
      </c>
      <c r="AL211" s="441">
        <f>Ruimtestaat[[#This Row],[Prest. (m2 /jaar) weekend]]+Ruimtestaat[[#This Row],[Prest. (m2 /jaar) werkdagen]]</f>
        <v>4305</v>
      </c>
      <c r="AM211" s="441">
        <f>Ruimtestaat[[#This Row],[uren / jaar weekend]]+Ruimtestaat[[#This Row],[uren / jaar werkdagen]]</f>
        <v>0</v>
      </c>
      <c r="AN211" s="446">
        <f>Ruimtestaat[[#This Row],[kosten / jaar weekend]]+Ruimtestaat[[#This Row],[kosten / jaar werkdagen]]</f>
        <v>0</v>
      </c>
      <c r="AO211" s="446"/>
      <c r="AP211" s="447" t="str">
        <f>IF(Ruimtestaat[[#This Row],[Frequentie werkdagen]]="","",_xlfn.CONCAT(Ruimtestaat[[#This Row],[Ruimte code]],"-",Ruimtestaat[[#This Row],[Frequentie werkdagen]]," ",Ruimtestaat[[#This Row],[Vloer code]]))</f>
        <v>2-5w L</v>
      </c>
      <c r="AQ211" s="448" t="str">
        <f>_xlfn.IFNA(VLOOKUP($AP211,Programma!$F$3:$G$1101,2,0),"")</f>
        <v>_</v>
      </c>
      <c r="AR211" s="448" t="str">
        <f>_xlfn.IFNA(VLOOKUP($AP211,Programma!$F$3:$H$1101,3,0),"")</f>
        <v>_</v>
      </c>
      <c r="AS211" s="448" t="str">
        <f>_xlfn.IFNA(VLOOKUP($AP211,Programma!$F$3:$I$1101,4,0),"")</f>
        <v>4w</v>
      </c>
      <c r="AT211" s="448" t="str">
        <f>_xlfn.IFNA(VLOOKUP($AP211,Programma!$F$3:$J$1101,5,0),"")</f>
        <v>1w</v>
      </c>
      <c r="AU211" s="448" t="str">
        <f>_xlfn.IFNA(VLOOKUP($AP211,Programma!$F$3:$K$1101,6,0),"")</f>
        <v>_</v>
      </c>
      <c r="AV211" s="448" t="str">
        <f>_xlfn.IFNA(VLOOKUP($AP211,Programma!$F$3:$L$1101,7,0),"")</f>
        <v>_</v>
      </c>
      <c r="AW211" s="448" t="str">
        <f>_xlfn.IFNA(VLOOKUP($AP211,Programma!$F$3:$M$1101,8,0),"")</f>
        <v>_</v>
      </c>
      <c r="AX211" s="448" t="str">
        <f>_xlfn.IFNA(VLOOKUP($AP211,Programma!$F$3:$N$1101,9,0),"")</f>
        <v>_</v>
      </c>
      <c r="AY211" s="448" t="str">
        <f>_xlfn.IFNA(VLOOKUP($AP211,Programma!$F$3:$O$1101,10,0),"")</f>
        <v>5w</v>
      </c>
      <c r="AZ211" s="448" t="str">
        <f>_xlfn.IFNA(VLOOKUP($AP211,Programma!$F$3:$P$1101,11,0),"")</f>
        <v>5w</v>
      </c>
      <c r="BA211" s="448" t="str">
        <f>_xlfn.IFNA(VLOOKUP($AP211,Programma!$F$3:$Q$1101,12,0),"")</f>
        <v>1w</v>
      </c>
      <c r="BB211" s="448" t="str">
        <f>_xlfn.IFNA(VLOOKUP($AP211,Programma!$F$3:$R$1101,13,0),"")</f>
        <v>1w</v>
      </c>
      <c r="BC211" s="448" t="str">
        <f>_xlfn.IFNA(VLOOKUP($AP211,Programma!$F$3:$S$1101,14,0),"")</f>
        <v>1m</v>
      </c>
      <c r="BD211" s="448" t="str">
        <f>_xlfn.IFNA(VLOOKUP($AP211,Programma!$F$3:$T$1101,15,0),"")</f>
        <v>2j</v>
      </c>
      <c r="BE211" s="448" t="str">
        <f>_xlfn.IFNA(VLOOKUP($AP211,Programma!$F$3:$U$1101,16,0),"")</f>
        <v>1j</v>
      </c>
      <c r="BF211" s="448" t="str">
        <f>_xlfn.IFNA(VLOOKUP($AP211,Programma!$F$3:$V$1101,17,0),"")</f>
        <v>_</v>
      </c>
      <c r="BG211" s="448" t="str">
        <f>_xlfn.IFNA(VLOOKUP($AP211,Programma!$F$3:$W$1101,18,0),"")</f>
        <v>_</v>
      </c>
      <c r="BH211" s="448" t="str">
        <f>_xlfn.IFNA(VLOOKUP($AP211,Programma!$F$3:$X$1101,19,0),"")</f>
        <v>_</v>
      </c>
      <c r="BI211" s="448" t="str">
        <f>_xlfn.IFNA(VLOOKUP($AP211,Programma!$F$3:$Y$1101,20,0),"")</f>
        <v>_</v>
      </c>
      <c r="BJ211" s="449"/>
      <c r="BK211" s="447" t="str">
        <f>IF(Ruimtestaat[[#This Row],[Frequentie weekend]]="","",_xlfn.CONCAT(Ruimtestaat[[#This Row],[Ruimte code]],"-",Ruimtestaat[[#This Row],[Frequentie weekend]]," ",Ruimtestaat[[#This Row],[Vloer code]]))</f>
        <v/>
      </c>
      <c r="BL211" s="448" t="str">
        <f>_xlfn.IFNA(VLOOKUP($BK211,Programma!$F$3:$G$1101,2,0),"")</f>
        <v/>
      </c>
      <c r="BM211" s="448" t="str">
        <f>_xlfn.IFNA(VLOOKUP($BK211,Programma!$F$3:$H$1101,3,0),"")</f>
        <v/>
      </c>
      <c r="BN211" s="448" t="str">
        <f>_xlfn.IFNA(VLOOKUP($BK211,Programma!$F$3:$I$1101,4,0),"")</f>
        <v/>
      </c>
      <c r="BO211" s="448" t="str">
        <f>_xlfn.IFNA(VLOOKUP($BK211,Programma!$F$3:$J$1101,5,0),"")</f>
        <v/>
      </c>
      <c r="BP211" s="448" t="str">
        <f>_xlfn.IFNA(VLOOKUP($BK211,Programma!$F$3:$K$1101,6,0),"")</f>
        <v/>
      </c>
      <c r="BQ211" s="448" t="str">
        <f>_xlfn.IFNA(VLOOKUP($BK211,Programma!$F$3:$L$1101,7,0),"")</f>
        <v/>
      </c>
      <c r="BR211" s="448" t="str">
        <f>_xlfn.IFNA(VLOOKUP($BK211,Programma!$F$3:$M$1101,8,0),"")</f>
        <v/>
      </c>
      <c r="BS211" s="448" t="str">
        <f>_xlfn.IFNA(VLOOKUP($BK211,Programma!$F$3:$N$1101,9,0),"")</f>
        <v/>
      </c>
      <c r="BT211" s="448" t="str">
        <f>_xlfn.IFNA(VLOOKUP($BK211,Programma!$F$3:$O$1101,10,0),"")</f>
        <v/>
      </c>
      <c r="BU211" s="448" t="str">
        <f>_xlfn.IFNA(VLOOKUP($BK211,Programma!$F$3:$P$1101,11,0),"")</f>
        <v/>
      </c>
      <c r="BV211" s="448" t="str">
        <f>_xlfn.IFNA(VLOOKUP($BK211,Programma!$F$3:$Q$1101,12,0),"")</f>
        <v/>
      </c>
      <c r="BW211" s="448" t="str">
        <f>_xlfn.IFNA(VLOOKUP($BK211,Programma!$F$3:$R$1101,13,0),"")</f>
        <v/>
      </c>
      <c r="BX211" s="448" t="str">
        <f>_xlfn.IFNA(VLOOKUP($BK211,Programma!$F$3:$S$1101,14,0),"")</f>
        <v/>
      </c>
      <c r="BY211" s="448" t="str">
        <f>_xlfn.IFNA(VLOOKUP($BK211,Programma!$F$3:$T$1101,15,0),"")</f>
        <v/>
      </c>
      <c r="BZ211" s="448" t="str">
        <f>_xlfn.IFNA(VLOOKUP($BK211,Programma!$F$3:$U$1101,16,0),"")</f>
        <v/>
      </c>
      <c r="CA211" s="448" t="str">
        <f>_xlfn.IFNA(VLOOKUP($BK211,Programma!$F$3:$V$1101,17,0),"")</f>
        <v/>
      </c>
      <c r="CB211" s="448" t="str">
        <f>_xlfn.IFNA(VLOOKUP($BK211,Programma!$F$3:$W$1101,18,0),"")</f>
        <v/>
      </c>
      <c r="CC211" s="448" t="str">
        <f>_xlfn.IFNA(VLOOKUP($BK211,Programma!$F$3:$X$1101,19,0),"")</f>
        <v/>
      </c>
      <c r="CD211" s="448" t="str">
        <f>_xlfn.IFNA(VLOOKUP($BK211,Programma!$F$3:$Y$1101,20,0),"")</f>
        <v/>
      </c>
      <c r="CE211" s="327"/>
      <c r="CF211" s="327"/>
      <c r="CG211" s="327"/>
      <c r="CH211" s="327"/>
      <c r="CI211" s="327"/>
      <c r="CJ211" s="327"/>
      <c r="CK211" s="327"/>
      <c r="CL211" s="327"/>
      <c r="CM211" s="327"/>
      <c r="CN211" s="327"/>
      <c r="CO211" s="327"/>
      <c r="CP211" s="327"/>
      <c r="CQ211" s="327"/>
      <c r="CR211" s="327"/>
      <c r="CS211" s="327"/>
      <c r="CT211" s="327"/>
      <c r="CU211" s="327"/>
      <c r="CV211" s="327"/>
      <c r="CW211" s="327"/>
      <c r="CX211" s="327"/>
      <c r="CY211" s="327"/>
      <c r="CZ211" s="327"/>
      <c r="DA211" s="327"/>
      <c r="DB211" s="327"/>
      <c r="DC211" s="327"/>
      <c r="DD211" s="327"/>
      <c r="DE211" s="327"/>
      <c r="DF211" s="327"/>
      <c r="DG211" s="327"/>
      <c r="DH211" s="327"/>
      <c r="DI211" s="327"/>
      <c r="DJ211" s="327"/>
      <c r="DK211" s="327"/>
      <c r="DL211" s="327"/>
      <c r="DM211" s="327"/>
      <c r="DN211" s="327"/>
      <c r="DO211" s="327"/>
      <c r="DP211" s="327"/>
      <c r="DQ211" s="327"/>
      <c r="DR211" s="327"/>
      <c r="DS211" s="327"/>
      <c r="DT211" s="327"/>
      <c r="DU211" s="327"/>
      <c r="DV211" s="327"/>
      <c r="DW211" s="327"/>
      <c r="DX211" s="327"/>
      <c r="DY211" s="327"/>
      <c r="DZ211" s="327"/>
      <c r="EA211" s="327"/>
      <c r="EB211" s="327"/>
      <c r="EC211" s="327"/>
      <c r="ED211" s="327"/>
      <c r="EE211" s="327"/>
      <c r="EF211" s="327"/>
      <c r="EG211" s="327"/>
      <c r="EH211" s="327"/>
      <c r="EI211" s="327"/>
      <c r="EJ211" s="327"/>
      <c r="EK211" s="327"/>
      <c r="EL211" s="327"/>
      <c r="EM211" s="327"/>
      <c r="EN211" s="327"/>
      <c r="EO211" s="327"/>
      <c r="EP211" s="327"/>
      <c r="EQ211" s="327"/>
      <c r="ER211" s="327"/>
      <c r="ES211" s="327"/>
      <c r="ET211" s="327"/>
      <c r="EU211" s="327"/>
      <c r="EV211" s="327"/>
      <c r="EW211" s="327"/>
      <c r="EX211" s="327"/>
      <c r="EY211" s="327"/>
      <c r="EZ211" s="327"/>
      <c r="FA211" s="327"/>
      <c r="FB211" s="327"/>
      <c r="FC211" s="327"/>
      <c r="FD211" s="327"/>
      <c r="FE211" s="327"/>
      <c r="FF211" s="327"/>
      <c r="FG211" s="327"/>
      <c r="FH211" s="327"/>
      <c r="FI211" s="327"/>
      <c r="FJ211" s="327"/>
      <c r="FK211" s="327"/>
      <c r="FL211" s="327"/>
      <c r="FM211" s="327"/>
      <c r="FN211" s="327"/>
      <c r="FO211" s="327"/>
      <c r="FP211" s="327"/>
      <c r="FQ211" s="327"/>
      <c r="FR211" s="327"/>
      <c r="FS211" s="327"/>
      <c r="FT211" s="327"/>
      <c r="FU211" s="327"/>
      <c r="FV211" s="327"/>
      <c r="FW211" s="327"/>
      <c r="FX211" s="327"/>
      <c r="FY211" s="327"/>
      <c r="FZ211" s="327"/>
      <c r="GA211" s="327"/>
      <c r="GB211" s="327"/>
      <c r="GC211" s="327"/>
      <c r="GD211" s="327"/>
      <c r="GE211" s="327"/>
      <c r="GF211" s="327"/>
      <c r="GG211" s="327"/>
      <c r="GH211" s="327"/>
      <c r="GI211" s="327"/>
      <c r="GJ211" s="327"/>
      <c r="GK211" s="327"/>
      <c r="GL211" s="327"/>
      <c r="GM211" s="327"/>
      <c r="GN211" s="327"/>
      <c r="GO211" s="327"/>
      <c r="GP211" s="327"/>
      <c r="GQ211" s="327"/>
      <c r="GR211" s="327"/>
      <c r="GS211" s="327"/>
      <c r="GT211" s="327"/>
      <c r="GU211" s="327"/>
      <c r="GV211" s="327"/>
      <c r="GW211" s="327"/>
      <c r="GX211" s="327"/>
      <c r="GY211" s="327"/>
      <c r="GZ211" s="327"/>
      <c r="HA211" s="327"/>
      <c r="HB211" s="327"/>
      <c r="HC211" s="327"/>
      <c r="HD211" s="327"/>
      <c r="HE211" s="327"/>
      <c r="HF211" s="327"/>
      <c r="HG211" s="327"/>
      <c r="HH211" s="327"/>
      <c r="HI211" s="327"/>
      <c r="HJ211" s="327"/>
      <c r="HK211" s="327"/>
      <c r="HL211" s="327"/>
      <c r="HM211" s="327"/>
      <c r="HN211" s="327"/>
      <c r="HO211" s="327"/>
      <c r="HP211" s="327"/>
      <c r="HQ211" s="327"/>
      <c r="HR211" s="327"/>
      <c r="HS211" s="327"/>
    </row>
    <row r="212" spans="1:227" ht="15" customHeight="1">
      <c r="A212" s="330">
        <v>9</v>
      </c>
      <c r="B212" s="435" t="str">
        <f>VLOOKUP(Ruimtestaat[[#This Row],[Code]],Locaties[[Code]:[Locatie]],2,FALSE)</f>
        <v>IKC De Vijverburgh</v>
      </c>
      <c r="C212" s="435" t="str">
        <f>VLOOKUP(Ruimtestaat[[#This Row],[Code]],Locaties[[#All],[Code]:[Adres]],4,FALSE)</f>
        <v>Paltelaan 3</v>
      </c>
      <c r="D212" s="435" t="str">
        <f>VLOOKUP(Ruimtestaat[[#This Row],[Code]],Locaties[[#All],[Code]:[Postcode]],5,FALSE)</f>
        <v>2712 RN</v>
      </c>
      <c r="E212" s="435" t="str">
        <f>VLOOKUP(Ruimtestaat[[#This Row],[Code]],Locaties[#All],6,FALSE)</f>
        <v>Zoetermeer</v>
      </c>
      <c r="F212" s="434"/>
      <c r="G212" s="434" t="s">
        <v>1678</v>
      </c>
      <c r="H212" s="330" t="s">
        <v>1790</v>
      </c>
      <c r="I212" s="450" t="s">
        <v>1789</v>
      </c>
      <c r="J212" s="330">
        <v>2</v>
      </c>
      <c r="K212" s="450" t="str">
        <f>VLOOKUP(Ruimtestaat[[#This Row],[Ruimte code]],Ruimtegroepen[[#All],[Code]:[Ruimte omschrijving]],2,FALSE)</f>
        <v>Kantoren</v>
      </c>
      <c r="L212" s="434" t="s">
        <v>100</v>
      </c>
      <c r="M212" s="437" t="s">
        <v>1759</v>
      </c>
      <c r="N212" s="439">
        <v>21</v>
      </c>
      <c r="O212" s="439"/>
      <c r="P212" s="439"/>
      <c r="Q212" s="439"/>
      <c r="R212" s="440" t="str">
        <f>VLOOKUP(Ruimtestaat[[#This Row],[Ruimte code]],Ruimtegroepen[],4,FALSE)</f>
        <v>Bu</v>
      </c>
      <c r="S212" s="434">
        <v>41</v>
      </c>
      <c r="T212" s="434" t="s">
        <v>2</v>
      </c>
      <c r="U212" s="434">
        <f>IF(S212&gt;0,IF(RIGHT(Ruimtestaat[[#This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12" s="434">
        <f>IF(U212&gt;0,VLOOKUP($J212,Ruimtegroepen[],3,FALSE)*VLOOKUP($L212,Vloersoorten[],3,FALSE)*VLOOKUP($T212,Frequenties[],3,FALSE)*VLOOKUP($A212,Locaties[],3,FALSE),0)</f>
        <v>0</v>
      </c>
      <c r="W212" s="434">
        <f>Ruimtestaat[[#This Row],[Uitvoeringen werkdagen]]*Ruimtestaat[[#This Row],[Oppervlak (netto)]]</f>
        <v>4305</v>
      </c>
      <c r="X212" s="441">
        <f>IF(V212&gt;0,Ruimtestaat[[#This Row],[Prest. (m2 /jaar) werkdagen]]/Ruimtestaat[[#This Row],[Norm (m2/uur) werkdagen]],0)</f>
        <v>0</v>
      </c>
      <c r="Y212" s="442">
        <f>Ruimtestaat[[#This Row],[Uitvoeringen werkdagen]]*Ruimtestaat[[#This Row],[Gedeeltelijk]]</f>
        <v>0</v>
      </c>
      <c r="Z212" s="443" t="e">
        <f>IF(U212&gt;0,Ruimtestaat[[#This Row],[Prest. (m2 / jaar) werkdagen gedeeld]]/Ruimtestaat[[#This Row],[Norm (m2/uur) werkdagen]],0)</f>
        <v>#DIV/0!</v>
      </c>
      <c r="AA212" s="441" t="e">
        <f>Ruimtestaat[[#This Row],[uren / jaar werkdagen gedeeld]]*Tariefsopbouw!$E$35</f>
        <v>#DIV/0!</v>
      </c>
      <c r="AB212" s="441">
        <f>Ruimtestaat[[#This Row],[Uitvoeringen werkdagen]]*Ruimtestaat[[#This Row],[BSO]]</f>
        <v>0</v>
      </c>
      <c r="AC212" s="443" t="e">
        <f>IF(U212&gt;0,Ruimtestaat[[#This Row],[Prest. (m2 / jaar) werkdagen BSO]]/Ruimtestaat[[#This Row],[Norm (m2/uur) werkdagen]],0)</f>
        <v>#DIV/0!</v>
      </c>
      <c r="AD212" s="443" t="e">
        <f>Ruimtestaat[[#This Row],[uren / jaar werkdagen BSO]]*Tariefsopbouw!$E$35</f>
        <v>#DIV/0!</v>
      </c>
      <c r="AE212" s="444">
        <f>Ruimtestaat[[#This Row],[uren / jaar werkdagen]]*Tariefsopbouw!$E$35</f>
        <v>0</v>
      </c>
      <c r="AF212" s="434"/>
      <c r="AG212" s="434">
        <f>IF(Ruimtestaat[[#This Row],[Frequentie weekend]]&gt;0,VALUE(LEFT(AF212,1))*S212,0)</f>
        <v>0</v>
      </c>
      <c r="AH212" s="445">
        <f>IF($AG212&gt;0,VLOOKUP($J212,Ruimtegroepen[],3,FALSE)*VLOOKUP($L212,Vloersoorten[],3,FALSE)*VLOOKUP($AF212,Frequenties[],3,FALSE)*VLOOKUP(Ruimtestaat[[#This Row],[Code]],Locaties[],3,FALSE),0)</f>
        <v>0</v>
      </c>
      <c r="AI212" s="445">
        <f>Ruimtestaat[[#This Row],[Uitvoeringen weekend]]*Ruimtestaat[[#This Row],[Oppervlak (netto)]]</f>
        <v>0</v>
      </c>
      <c r="AJ212" s="445">
        <f>IF(AH212&gt;0,Ruimtestaat[[#This Row],[Prest. (m2 /jaar) weekend]]/Ruimtestaat[[#This Row],[Norm (m2/uur) weekend]],0)</f>
        <v>0</v>
      </c>
      <c r="AK212" s="444">
        <f>Ruimtestaat[[#This Row],[uren / jaar weekend]]*Tariefsopbouw!$D$40</f>
        <v>0</v>
      </c>
      <c r="AL212" s="441">
        <f>Ruimtestaat[[#This Row],[Prest. (m2 /jaar) weekend]]+Ruimtestaat[[#This Row],[Prest. (m2 /jaar) werkdagen]]</f>
        <v>4305</v>
      </c>
      <c r="AM212" s="441">
        <f>Ruimtestaat[[#This Row],[uren / jaar weekend]]+Ruimtestaat[[#This Row],[uren / jaar werkdagen]]</f>
        <v>0</v>
      </c>
      <c r="AN212" s="446">
        <f>Ruimtestaat[[#This Row],[kosten / jaar weekend]]+Ruimtestaat[[#This Row],[kosten / jaar werkdagen]]</f>
        <v>0</v>
      </c>
      <c r="AO212" s="446"/>
      <c r="AP212" s="447" t="str">
        <f>IF(Ruimtestaat[[#This Row],[Frequentie werkdagen]]="","",_xlfn.CONCAT(Ruimtestaat[[#This Row],[Ruimte code]],"-",Ruimtestaat[[#This Row],[Frequentie werkdagen]]," ",Ruimtestaat[[#This Row],[Vloer code]]))</f>
        <v>2-5w L</v>
      </c>
      <c r="AQ212" s="448" t="str">
        <f>_xlfn.IFNA(VLOOKUP($AP212,Programma!$F$3:$G$1101,2,0),"")</f>
        <v>_</v>
      </c>
      <c r="AR212" s="448" t="str">
        <f>_xlfn.IFNA(VLOOKUP($AP212,Programma!$F$3:$H$1101,3,0),"")</f>
        <v>_</v>
      </c>
      <c r="AS212" s="448" t="str">
        <f>_xlfn.IFNA(VLOOKUP($AP212,Programma!$F$3:$I$1101,4,0),"")</f>
        <v>4w</v>
      </c>
      <c r="AT212" s="448" t="str">
        <f>_xlfn.IFNA(VLOOKUP($AP212,Programma!$F$3:$J$1101,5,0),"")</f>
        <v>1w</v>
      </c>
      <c r="AU212" s="448" t="str">
        <f>_xlfn.IFNA(VLOOKUP($AP212,Programma!$F$3:$K$1101,6,0),"")</f>
        <v>_</v>
      </c>
      <c r="AV212" s="448" t="str">
        <f>_xlfn.IFNA(VLOOKUP($AP212,Programma!$F$3:$L$1101,7,0),"")</f>
        <v>_</v>
      </c>
      <c r="AW212" s="448" t="str">
        <f>_xlfn.IFNA(VLOOKUP($AP212,Programma!$F$3:$M$1101,8,0),"")</f>
        <v>_</v>
      </c>
      <c r="AX212" s="448" t="str">
        <f>_xlfn.IFNA(VLOOKUP($AP212,Programma!$F$3:$N$1101,9,0),"")</f>
        <v>_</v>
      </c>
      <c r="AY212" s="448" t="str">
        <f>_xlfn.IFNA(VLOOKUP($AP212,Programma!$F$3:$O$1101,10,0),"")</f>
        <v>5w</v>
      </c>
      <c r="AZ212" s="448" t="str">
        <f>_xlfn.IFNA(VLOOKUP($AP212,Programma!$F$3:$P$1101,11,0),"")</f>
        <v>5w</v>
      </c>
      <c r="BA212" s="448" t="str">
        <f>_xlfn.IFNA(VLOOKUP($AP212,Programma!$F$3:$Q$1101,12,0),"")</f>
        <v>1w</v>
      </c>
      <c r="BB212" s="448" t="str">
        <f>_xlfn.IFNA(VLOOKUP($AP212,Programma!$F$3:$R$1101,13,0),"")</f>
        <v>1w</v>
      </c>
      <c r="BC212" s="448" t="str">
        <f>_xlfn.IFNA(VLOOKUP($AP212,Programma!$F$3:$S$1101,14,0),"")</f>
        <v>1m</v>
      </c>
      <c r="BD212" s="448" t="str">
        <f>_xlfn.IFNA(VLOOKUP($AP212,Programma!$F$3:$T$1101,15,0),"")</f>
        <v>2j</v>
      </c>
      <c r="BE212" s="448" t="str">
        <f>_xlfn.IFNA(VLOOKUP($AP212,Programma!$F$3:$U$1101,16,0),"")</f>
        <v>1j</v>
      </c>
      <c r="BF212" s="448" t="str">
        <f>_xlfn.IFNA(VLOOKUP($AP212,Programma!$F$3:$V$1101,17,0),"")</f>
        <v>_</v>
      </c>
      <c r="BG212" s="448" t="str">
        <f>_xlfn.IFNA(VLOOKUP($AP212,Programma!$F$3:$W$1101,18,0),"")</f>
        <v>_</v>
      </c>
      <c r="BH212" s="448" t="str">
        <f>_xlfn.IFNA(VLOOKUP($AP212,Programma!$F$3:$X$1101,19,0),"")</f>
        <v>_</v>
      </c>
      <c r="BI212" s="448" t="str">
        <f>_xlfn.IFNA(VLOOKUP($AP212,Programma!$F$3:$Y$1101,20,0),"")</f>
        <v>_</v>
      </c>
      <c r="BJ212" s="449"/>
      <c r="BK212" s="447" t="str">
        <f>IF(Ruimtestaat[[#This Row],[Frequentie weekend]]="","",_xlfn.CONCAT(Ruimtestaat[[#This Row],[Ruimte code]],"-",Ruimtestaat[[#This Row],[Frequentie weekend]]," ",Ruimtestaat[[#This Row],[Vloer code]]))</f>
        <v/>
      </c>
      <c r="BL212" s="448" t="str">
        <f>_xlfn.IFNA(VLOOKUP($BK212,Programma!$F$3:$G$1101,2,0),"")</f>
        <v/>
      </c>
      <c r="BM212" s="448" t="str">
        <f>_xlfn.IFNA(VLOOKUP($BK212,Programma!$F$3:$H$1101,3,0),"")</f>
        <v/>
      </c>
      <c r="BN212" s="448" t="str">
        <f>_xlfn.IFNA(VLOOKUP($BK212,Programma!$F$3:$I$1101,4,0),"")</f>
        <v/>
      </c>
      <c r="BO212" s="448" t="str">
        <f>_xlfn.IFNA(VLOOKUP($BK212,Programma!$F$3:$J$1101,5,0),"")</f>
        <v/>
      </c>
      <c r="BP212" s="448" t="str">
        <f>_xlfn.IFNA(VLOOKUP($BK212,Programma!$F$3:$K$1101,6,0),"")</f>
        <v/>
      </c>
      <c r="BQ212" s="448" t="str">
        <f>_xlfn.IFNA(VLOOKUP($BK212,Programma!$F$3:$L$1101,7,0),"")</f>
        <v/>
      </c>
      <c r="BR212" s="448" t="str">
        <f>_xlfn.IFNA(VLOOKUP($BK212,Programma!$F$3:$M$1101,8,0),"")</f>
        <v/>
      </c>
      <c r="BS212" s="448" t="str">
        <f>_xlfn.IFNA(VLOOKUP($BK212,Programma!$F$3:$N$1101,9,0),"")</f>
        <v/>
      </c>
      <c r="BT212" s="448" t="str">
        <f>_xlfn.IFNA(VLOOKUP($BK212,Programma!$F$3:$O$1101,10,0),"")</f>
        <v/>
      </c>
      <c r="BU212" s="448" t="str">
        <f>_xlfn.IFNA(VLOOKUP($BK212,Programma!$F$3:$P$1101,11,0),"")</f>
        <v/>
      </c>
      <c r="BV212" s="448" t="str">
        <f>_xlfn.IFNA(VLOOKUP($BK212,Programma!$F$3:$Q$1101,12,0),"")</f>
        <v/>
      </c>
      <c r="BW212" s="448" t="str">
        <f>_xlfn.IFNA(VLOOKUP($BK212,Programma!$F$3:$R$1101,13,0),"")</f>
        <v/>
      </c>
      <c r="BX212" s="448" t="str">
        <f>_xlfn.IFNA(VLOOKUP($BK212,Programma!$F$3:$S$1101,14,0),"")</f>
        <v/>
      </c>
      <c r="BY212" s="448" t="str">
        <f>_xlfn.IFNA(VLOOKUP($BK212,Programma!$F$3:$T$1101,15,0),"")</f>
        <v/>
      </c>
      <c r="BZ212" s="448" t="str">
        <f>_xlfn.IFNA(VLOOKUP($BK212,Programma!$F$3:$U$1101,16,0),"")</f>
        <v/>
      </c>
      <c r="CA212" s="448" t="str">
        <f>_xlfn.IFNA(VLOOKUP($BK212,Programma!$F$3:$V$1101,17,0),"")</f>
        <v/>
      </c>
      <c r="CB212" s="448" t="str">
        <f>_xlfn.IFNA(VLOOKUP($BK212,Programma!$F$3:$W$1101,18,0),"")</f>
        <v/>
      </c>
      <c r="CC212" s="448" t="str">
        <f>_xlfn.IFNA(VLOOKUP($BK212,Programma!$F$3:$X$1101,19,0),"")</f>
        <v/>
      </c>
      <c r="CD212" s="448" t="str">
        <f>_xlfn.IFNA(VLOOKUP($BK212,Programma!$F$3:$Y$1101,20,0),"")</f>
        <v/>
      </c>
      <c r="CE212" s="327"/>
      <c r="CF212" s="327"/>
      <c r="CG212" s="327"/>
      <c r="CH212" s="327"/>
      <c r="CI212" s="327"/>
      <c r="CJ212" s="327"/>
      <c r="CK212" s="327"/>
      <c r="CL212" s="327"/>
      <c r="CM212" s="327"/>
      <c r="CN212" s="327"/>
      <c r="CO212" s="327"/>
      <c r="CP212" s="327"/>
      <c r="CQ212" s="327"/>
      <c r="CR212" s="327"/>
      <c r="CS212" s="327"/>
      <c r="CT212" s="327"/>
      <c r="CU212" s="327"/>
      <c r="CV212" s="327"/>
      <c r="CW212" s="327"/>
      <c r="CX212" s="327"/>
      <c r="CY212" s="327"/>
      <c r="CZ212" s="327"/>
      <c r="DA212" s="327"/>
      <c r="DB212" s="327"/>
      <c r="DC212" s="327"/>
      <c r="DD212" s="327"/>
      <c r="DE212" s="327"/>
      <c r="DF212" s="327"/>
      <c r="DG212" s="327"/>
      <c r="DH212" s="327"/>
      <c r="DI212" s="327"/>
      <c r="DJ212" s="327"/>
      <c r="DK212" s="327"/>
      <c r="DL212" s="327"/>
      <c r="DM212" s="327"/>
      <c r="DN212" s="327"/>
      <c r="DO212" s="327"/>
      <c r="DP212" s="327"/>
      <c r="DQ212" s="327"/>
      <c r="DR212" s="327"/>
      <c r="DS212" s="327"/>
      <c r="DT212" s="327"/>
      <c r="DU212" s="327"/>
      <c r="DV212" s="327"/>
      <c r="DW212" s="327"/>
      <c r="DX212" s="327"/>
      <c r="DY212" s="327"/>
      <c r="DZ212" s="327"/>
      <c r="EA212" s="327"/>
      <c r="EB212" s="327"/>
      <c r="EC212" s="327"/>
      <c r="ED212" s="327"/>
      <c r="EE212" s="327"/>
      <c r="EF212" s="327"/>
      <c r="EG212" s="327"/>
      <c r="EH212" s="327"/>
      <c r="EI212" s="327"/>
      <c r="EJ212" s="327"/>
      <c r="EK212" s="327"/>
      <c r="EL212" s="327"/>
      <c r="EM212" s="327"/>
      <c r="EN212" s="327"/>
      <c r="EO212" s="327"/>
      <c r="EP212" s="327"/>
      <c r="EQ212" s="327"/>
      <c r="ER212" s="327"/>
      <c r="ES212" s="327"/>
      <c r="ET212" s="327"/>
      <c r="EU212" s="327"/>
      <c r="EV212" s="327"/>
      <c r="EW212" s="327"/>
      <c r="EX212" s="327"/>
      <c r="EY212" s="327"/>
      <c r="EZ212" s="327"/>
      <c r="FA212" s="327"/>
      <c r="FB212" s="327"/>
      <c r="FC212" s="327"/>
      <c r="FD212" s="327"/>
      <c r="FE212" s="327"/>
      <c r="FF212" s="327"/>
      <c r="FG212" s="327"/>
      <c r="FH212" s="327"/>
      <c r="FI212" s="327"/>
      <c r="FJ212" s="327"/>
      <c r="FK212" s="327"/>
      <c r="FL212" s="327"/>
      <c r="FM212" s="327"/>
      <c r="FN212" s="327"/>
      <c r="FO212" s="327"/>
      <c r="FP212" s="327"/>
      <c r="FQ212" s="327"/>
      <c r="FR212" s="327"/>
      <c r="FS212" s="327"/>
      <c r="FT212" s="327"/>
      <c r="FU212" s="327"/>
      <c r="FV212" s="327"/>
      <c r="FW212" s="327"/>
      <c r="FX212" s="327"/>
      <c r="FY212" s="327"/>
      <c r="FZ212" s="327"/>
      <c r="GA212" s="327"/>
      <c r="GB212" s="327"/>
      <c r="GC212" s="327"/>
      <c r="GD212" s="327"/>
      <c r="GE212" s="327"/>
      <c r="GF212" s="327"/>
      <c r="GG212" s="327"/>
      <c r="GH212" s="327"/>
      <c r="GI212" s="327"/>
      <c r="GJ212" s="327"/>
      <c r="GK212" s="327"/>
      <c r="GL212" s="327"/>
      <c r="GM212" s="327"/>
      <c r="GN212" s="327"/>
      <c r="GO212" s="327"/>
      <c r="GP212" s="327"/>
      <c r="GQ212" s="327"/>
      <c r="GR212" s="327"/>
      <c r="GS212" s="327"/>
      <c r="GT212" s="327"/>
      <c r="GU212" s="327"/>
      <c r="GV212" s="327"/>
      <c r="GW212" s="327"/>
      <c r="GX212" s="327"/>
      <c r="GY212" s="327"/>
      <c r="GZ212" s="327"/>
      <c r="HA212" s="327"/>
      <c r="HB212" s="327"/>
      <c r="HC212" s="327"/>
      <c r="HD212" s="327"/>
      <c r="HE212" s="327"/>
      <c r="HF212" s="327"/>
      <c r="HG212" s="327"/>
      <c r="HH212" s="327"/>
      <c r="HI212" s="327"/>
      <c r="HJ212" s="327"/>
      <c r="HK212" s="327"/>
      <c r="HL212" s="327"/>
      <c r="HM212" s="327"/>
      <c r="HN212" s="327"/>
      <c r="HO212" s="327"/>
      <c r="HP212" s="327"/>
      <c r="HQ212" s="327"/>
      <c r="HR212" s="327"/>
      <c r="HS212" s="327"/>
    </row>
    <row r="213" spans="1:227" ht="15" customHeight="1">
      <c r="A213" s="330">
        <v>9</v>
      </c>
      <c r="B213" s="435" t="str">
        <f>VLOOKUP(Ruimtestaat[[#This Row],[Code]],Locaties[[Code]:[Locatie]],2,FALSE)</f>
        <v>IKC De Vijverburgh</v>
      </c>
      <c r="C213" s="435" t="str">
        <f>VLOOKUP(Ruimtestaat[[#This Row],[Code]],Locaties[[#All],[Code]:[Adres]],4,FALSE)</f>
        <v>Paltelaan 3</v>
      </c>
      <c r="D213" s="435" t="str">
        <f>VLOOKUP(Ruimtestaat[[#This Row],[Code]],Locaties[[#All],[Code]:[Postcode]],5,FALSE)</f>
        <v>2712 RN</v>
      </c>
      <c r="E213" s="435" t="str">
        <f>VLOOKUP(Ruimtestaat[[#This Row],[Code]],Locaties[#All],6,FALSE)</f>
        <v>Zoetermeer</v>
      </c>
      <c r="F213" s="434"/>
      <c r="G213" s="434" t="s">
        <v>1678</v>
      </c>
      <c r="H213" s="330" t="s">
        <v>1791</v>
      </c>
      <c r="I213" s="450" t="s">
        <v>1673</v>
      </c>
      <c r="J213" s="330">
        <v>5</v>
      </c>
      <c r="K213" s="450" t="str">
        <f>VLOOKUP(Ruimtestaat[[#This Row],[Ruimte code]],Ruimtegroepen[[#All],[Code]:[Ruimte omschrijving]],2,FALSE)</f>
        <v>Sanitair</v>
      </c>
      <c r="L213" s="434" t="s">
        <v>101</v>
      </c>
      <c r="M213" s="437" t="s">
        <v>1816</v>
      </c>
      <c r="N213" s="439">
        <v>8</v>
      </c>
      <c r="O213" s="439"/>
      <c r="P213" s="439"/>
      <c r="Q213" s="439"/>
      <c r="R213" s="440" t="str">
        <f>VLOOKUP(Ruimtestaat[[#This Row],[Ruimte code]],Ruimtegroepen[],4,FALSE)</f>
        <v>Sa</v>
      </c>
      <c r="S213" s="434">
        <v>41</v>
      </c>
      <c r="T213" s="434" t="s">
        <v>2</v>
      </c>
      <c r="U213" s="434">
        <f>IF(S213&gt;0,IF(RIGHT(Ruimtestaat[[#This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13" s="434">
        <f>IF(U213&gt;0,VLOOKUP($J213,Ruimtegroepen[],3,FALSE)*VLOOKUP($L213,Vloersoorten[],3,FALSE)*VLOOKUP($T213,Frequenties[],3,FALSE)*VLOOKUP($A213,Locaties[],3,FALSE),0)</f>
        <v>0</v>
      </c>
      <c r="W213" s="434">
        <f>Ruimtestaat[[#This Row],[Uitvoeringen werkdagen]]*Ruimtestaat[[#This Row],[Oppervlak (netto)]]</f>
        <v>1640</v>
      </c>
      <c r="X213" s="441">
        <f>IF(V213&gt;0,Ruimtestaat[[#This Row],[Prest. (m2 /jaar) werkdagen]]/Ruimtestaat[[#This Row],[Norm (m2/uur) werkdagen]],0)</f>
        <v>0</v>
      </c>
      <c r="Y213" s="442">
        <f>Ruimtestaat[[#This Row],[Uitvoeringen werkdagen]]*Ruimtestaat[[#This Row],[Gedeeltelijk]]</f>
        <v>0</v>
      </c>
      <c r="Z213" s="443" t="e">
        <f>IF(U213&gt;0,Ruimtestaat[[#This Row],[Prest. (m2 / jaar) werkdagen gedeeld]]/Ruimtestaat[[#This Row],[Norm (m2/uur) werkdagen]],0)</f>
        <v>#DIV/0!</v>
      </c>
      <c r="AA213" s="441" t="e">
        <f>Ruimtestaat[[#This Row],[uren / jaar werkdagen gedeeld]]*Tariefsopbouw!$E$35</f>
        <v>#DIV/0!</v>
      </c>
      <c r="AB213" s="441">
        <f>Ruimtestaat[[#This Row],[Uitvoeringen werkdagen]]*Ruimtestaat[[#This Row],[BSO]]</f>
        <v>0</v>
      </c>
      <c r="AC213" s="443" t="e">
        <f>IF(U213&gt;0,Ruimtestaat[[#This Row],[Prest. (m2 / jaar) werkdagen BSO]]/Ruimtestaat[[#This Row],[Norm (m2/uur) werkdagen]],0)</f>
        <v>#DIV/0!</v>
      </c>
      <c r="AD213" s="443" t="e">
        <f>Ruimtestaat[[#This Row],[uren / jaar werkdagen BSO]]*Tariefsopbouw!$E$35</f>
        <v>#DIV/0!</v>
      </c>
      <c r="AE213" s="444">
        <f>Ruimtestaat[[#This Row],[uren / jaar werkdagen]]*Tariefsopbouw!$E$35</f>
        <v>0</v>
      </c>
      <c r="AF213" s="434"/>
      <c r="AG213" s="434">
        <f>IF(Ruimtestaat[[#This Row],[Frequentie weekend]]&gt;0,VALUE(LEFT(AF213,1))*S213,0)</f>
        <v>0</v>
      </c>
      <c r="AH213" s="445">
        <f>IF($AG213&gt;0,VLOOKUP($J213,Ruimtegroepen[],3,FALSE)*VLOOKUP($L213,Vloersoorten[],3,FALSE)*VLOOKUP($AF213,Frequenties[],3,FALSE)*VLOOKUP(Ruimtestaat[[#This Row],[Code]],Locaties[],3,FALSE),0)</f>
        <v>0</v>
      </c>
      <c r="AI213" s="445">
        <f>Ruimtestaat[[#This Row],[Uitvoeringen weekend]]*Ruimtestaat[[#This Row],[Oppervlak (netto)]]</f>
        <v>0</v>
      </c>
      <c r="AJ213" s="445">
        <f>IF(AH213&gt;0,Ruimtestaat[[#This Row],[Prest. (m2 /jaar) weekend]]/Ruimtestaat[[#This Row],[Norm (m2/uur) weekend]],0)</f>
        <v>0</v>
      </c>
      <c r="AK213" s="444">
        <f>Ruimtestaat[[#This Row],[uren / jaar weekend]]*Tariefsopbouw!$D$40</f>
        <v>0</v>
      </c>
      <c r="AL213" s="441">
        <f>Ruimtestaat[[#This Row],[Prest. (m2 /jaar) weekend]]+Ruimtestaat[[#This Row],[Prest. (m2 /jaar) werkdagen]]</f>
        <v>1640</v>
      </c>
      <c r="AM213" s="441">
        <f>Ruimtestaat[[#This Row],[uren / jaar weekend]]+Ruimtestaat[[#This Row],[uren / jaar werkdagen]]</f>
        <v>0</v>
      </c>
      <c r="AN213" s="446">
        <f>Ruimtestaat[[#This Row],[kosten / jaar weekend]]+Ruimtestaat[[#This Row],[kosten / jaar werkdagen]]</f>
        <v>0</v>
      </c>
      <c r="AO213" s="446"/>
      <c r="AP213" s="447" t="str">
        <f>IF(Ruimtestaat[[#This Row],[Frequentie werkdagen]]="","",_xlfn.CONCAT(Ruimtestaat[[#This Row],[Ruimte code]],"-",Ruimtestaat[[#This Row],[Frequentie werkdagen]]," ",Ruimtestaat[[#This Row],[Vloer code]]))</f>
        <v>5-5w S</v>
      </c>
      <c r="AQ213" s="448" t="str">
        <f>_xlfn.IFNA(VLOOKUP($AP213,Programma!$F$3:$G$1101,2,0),"")</f>
        <v>_</v>
      </c>
      <c r="AR213" s="448" t="str">
        <f>_xlfn.IFNA(VLOOKUP($AP213,Programma!$F$3:$H$1101,3,0),"")</f>
        <v>_</v>
      </c>
      <c r="AS213" s="448" t="str">
        <f>_xlfn.IFNA(VLOOKUP($AP213,Programma!$F$3:$I$1101,4,0),"")</f>
        <v>_</v>
      </c>
      <c r="AT213" s="448" t="str">
        <f>_xlfn.IFNA(VLOOKUP($AP213,Programma!$F$3:$J$1101,5,0),"")</f>
        <v>4w</v>
      </c>
      <c r="AU213" s="448" t="str">
        <f>_xlfn.IFNA(VLOOKUP($AP213,Programma!$F$3:$K$1101,6,0),"")</f>
        <v>1w</v>
      </c>
      <c r="AV213" s="448" t="str">
        <f>_xlfn.IFNA(VLOOKUP($AP213,Programma!$F$3:$L$1101,7,0),"")</f>
        <v>_</v>
      </c>
      <c r="AW213" s="448" t="str">
        <f>_xlfn.IFNA(VLOOKUP($AP213,Programma!$F$3:$M$1101,8,0),"")</f>
        <v>_</v>
      </c>
      <c r="AX213" s="448" t="str">
        <f>_xlfn.IFNA(VLOOKUP($AP213,Programma!$F$3:$N$1101,9,0),"")</f>
        <v>_</v>
      </c>
      <c r="AY213" s="448" t="str">
        <f>_xlfn.IFNA(VLOOKUP($AP213,Programma!$F$3:$O$1101,10,0),"")</f>
        <v>_</v>
      </c>
      <c r="AZ213" s="448" t="str">
        <f>_xlfn.IFNA(VLOOKUP($AP213,Programma!$F$3:$P$1101,11,0),"")</f>
        <v>_</v>
      </c>
      <c r="BA213" s="448" t="str">
        <f>_xlfn.IFNA(VLOOKUP($AP213,Programma!$F$3:$Q$1101,12,0),"")</f>
        <v>_</v>
      </c>
      <c r="BB213" s="448" t="str">
        <f>_xlfn.IFNA(VLOOKUP($AP213,Programma!$F$3:$R$1101,13,0),"")</f>
        <v>_</v>
      </c>
      <c r="BC213" s="448" t="str">
        <f>_xlfn.IFNA(VLOOKUP($AP213,Programma!$F$3:$S$1101,14,0),"")</f>
        <v>_</v>
      </c>
      <c r="BD213" s="448" t="str">
        <f>_xlfn.IFNA(VLOOKUP($AP213,Programma!$F$3:$T$1101,15,0),"")</f>
        <v>_</v>
      </c>
      <c r="BE213" s="448" t="str">
        <f>_xlfn.IFNA(VLOOKUP($AP213,Programma!$F$3:$U$1101,16,0),"")</f>
        <v>_</v>
      </c>
      <c r="BF213" s="448" t="str">
        <f>_xlfn.IFNA(VLOOKUP($AP213,Programma!$F$3:$V$1101,17,0),"")</f>
        <v>_</v>
      </c>
      <c r="BG213" s="448" t="str">
        <f>_xlfn.IFNA(VLOOKUP($AP213,Programma!$F$3:$W$1101,18,0),"")</f>
        <v>4w</v>
      </c>
      <c r="BH213" s="448" t="str">
        <f>_xlfn.IFNA(VLOOKUP($AP213,Programma!$F$3:$X$1101,19,0),"")</f>
        <v>1w</v>
      </c>
      <c r="BI213" s="448" t="str">
        <f>_xlfn.IFNA(VLOOKUP($AP213,Programma!$F$3:$Y$1101,20,0),"")</f>
        <v>_</v>
      </c>
      <c r="BJ213" s="449"/>
      <c r="BK213" s="447" t="str">
        <f>IF(Ruimtestaat[[#This Row],[Frequentie weekend]]="","",_xlfn.CONCAT(Ruimtestaat[[#This Row],[Ruimte code]],"-",Ruimtestaat[[#This Row],[Frequentie weekend]]," ",Ruimtestaat[[#This Row],[Vloer code]]))</f>
        <v/>
      </c>
      <c r="BL213" s="448" t="str">
        <f>_xlfn.IFNA(VLOOKUP($BK213,Programma!$F$3:$G$1101,2,0),"")</f>
        <v/>
      </c>
      <c r="BM213" s="448" t="str">
        <f>_xlfn.IFNA(VLOOKUP($BK213,Programma!$F$3:$H$1101,3,0),"")</f>
        <v/>
      </c>
      <c r="BN213" s="448" t="str">
        <f>_xlfn.IFNA(VLOOKUP($BK213,Programma!$F$3:$I$1101,4,0),"")</f>
        <v/>
      </c>
      <c r="BO213" s="448" t="str">
        <f>_xlfn.IFNA(VLOOKUP($BK213,Programma!$F$3:$J$1101,5,0),"")</f>
        <v/>
      </c>
      <c r="BP213" s="448" t="str">
        <f>_xlfn.IFNA(VLOOKUP($BK213,Programma!$F$3:$K$1101,6,0),"")</f>
        <v/>
      </c>
      <c r="BQ213" s="448" t="str">
        <f>_xlfn.IFNA(VLOOKUP($BK213,Programma!$F$3:$L$1101,7,0),"")</f>
        <v/>
      </c>
      <c r="BR213" s="448" t="str">
        <f>_xlfn.IFNA(VLOOKUP($BK213,Programma!$F$3:$M$1101,8,0),"")</f>
        <v/>
      </c>
      <c r="BS213" s="448" t="str">
        <f>_xlfn.IFNA(VLOOKUP($BK213,Programma!$F$3:$N$1101,9,0),"")</f>
        <v/>
      </c>
      <c r="BT213" s="448" t="str">
        <f>_xlfn.IFNA(VLOOKUP($BK213,Programma!$F$3:$O$1101,10,0),"")</f>
        <v/>
      </c>
      <c r="BU213" s="448" t="str">
        <f>_xlfn.IFNA(VLOOKUP($BK213,Programma!$F$3:$P$1101,11,0),"")</f>
        <v/>
      </c>
      <c r="BV213" s="448" t="str">
        <f>_xlfn.IFNA(VLOOKUP($BK213,Programma!$F$3:$Q$1101,12,0),"")</f>
        <v/>
      </c>
      <c r="BW213" s="448" t="str">
        <f>_xlfn.IFNA(VLOOKUP($BK213,Programma!$F$3:$R$1101,13,0),"")</f>
        <v/>
      </c>
      <c r="BX213" s="448" t="str">
        <f>_xlfn.IFNA(VLOOKUP($BK213,Programma!$F$3:$S$1101,14,0),"")</f>
        <v/>
      </c>
      <c r="BY213" s="448" t="str">
        <f>_xlfn.IFNA(VLOOKUP($BK213,Programma!$F$3:$T$1101,15,0),"")</f>
        <v/>
      </c>
      <c r="BZ213" s="448" t="str">
        <f>_xlfn.IFNA(VLOOKUP($BK213,Programma!$F$3:$U$1101,16,0),"")</f>
        <v/>
      </c>
      <c r="CA213" s="448" t="str">
        <f>_xlfn.IFNA(VLOOKUP($BK213,Programma!$F$3:$V$1101,17,0),"")</f>
        <v/>
      </c>
      <c r="CB213" s="448" t="str">
        <f>_xlfn.IFNA(VLOOKUP($BK213,Programma!$F$3:$W$1101,18,0),"")</f>
        <v/>
      </c>
      <c r="CC213" s="448" t="str">
        <f>_xlfn.IFNA(VLOOKUP($BK213,Programma!$F$3:$X$1101,19,0),"")</f>
        <v/>
      </c>
      <c r="CD213" s="448" t="str">
        <f>_xlfn.IFNA(VLOOKUP($BK213,Programma!$F$3:$Y$1101,20,0),"")</f>
        <v/>
      </c>
      <c r="CE213" s="327"/>
      <c r="CF213" s="327"/>
      <c r="CG213" s="327"/>
      <c r="CH213" s="327"/>
      <c r="CI213" s="327"/>
      <c r="CJ213" s="327"/>
      <c r="CK213" s="327"/>
      <c r="CL213" s="327"/>
      <c r="CM213" s="327"/>
      <c r="CN213" s="327"/>
      <c r="CO213" s="327"/>
      <c r="CP213" s="327"/>
      <c r="CQ213" s="327"/>
      <c r="CR213" s="327"/>
      <c r="CS213" s="327"/>
      <c r="CT213" s="327"/>
      <c r="CU213" s="327"/>
      <c r="CV213" s="327"/>
      <c r="CW213" s="327"/>
      <c r="CX213" s="327"/>
      <c r="CY213" s="327"/>
      <c r="CZ213" s="327"/>
      <c r="DA213" s="327"/>
      <c r="DB213" s="327"/>
      <c r="DC213" s="327"/>
      <c r="DD213" s="327"/>
      <c r="DE213" s="327"/>
      <c r="DF213" s="327"/>
      <c r="DG213" s="327"/>
      <c r="DH213" s="327"/>
      <c r="DI213" s="327"/>
      <c r="DJ213" s="327"/>
      <c r="DK213" s="327"/>
      <c r="DL213" s="327"/>
      <c r="DM213" s="327"/>
      <c r="DN213" s="327"/>
      <c r="DO213" s="327"/>
      <c r="DP213" s="327"/>
      <c r="DQ213" s="327"/>
      <c r="DR213" s="327"/>
      <c r="DS213" s="327"/>
      <c r="DT213" s="327"/>
      <c r="DU213" s="327"/>
      <c r="DV213" s="327"/>
      <c r="DW213" s="327"/>
      <c r="DX213" s="327"/>
      <c r="DY213" s="327"/>
      <c r="DZ213" s="327"/>
      <c r="EA213" s="327"/>
      <c r="EB213" s="327"/>
      <c r="EC213" s="327"/>
      <c r="ED213" s="327"/>
      <c r="EE213" s="327"/>
      <c r="EF213" s="327"/>
      <c r="EG213" s="327"/>
      <c r="EH213" s="327"/>
      <c r="EI213" s="327"/>
      <c r="EJ213" s="327"/>
      <c r="EK213" s="327"/>
      <c r="EL213" s="327"/>
      <c r="EM213" s="327"/>
      <c r="EN213" s="327"/>
      <c r="EO213" s="327"/>
      <c r="EP213" s="327"/>
      <c r="EQ213" s="327"/>
      <c r="ER213" s="327"/>
      <c r="ES213" s="327"/>
      <c r="ET213" s="327"/>
      <c r="EU213" s="327"/>
      <c r="EV213" s="327"/>
      <c r="EW213" s="327"/>
      <c r="EX213" s="327"/>
      <c r="EY213" s="327"/>
      <c r="EZ213" s="327"/>
      <c r="FA213" s="327"/>
      <c r="FB213" s="327"/>
      <c r="FC213" s="327"/>
      <c r="FD213" s="327"/>
      <c r="FE213" s="327"/>
      <c r="FF213" s="327"/>
      <c r="FG213" s="327"/>
      <c r="FH213" s="327"/>
      <c r="FI213" s="327"/>
      <c r="FJ213" s="327"/>
      <c r="FK213" s="327"/>
      <c r="FL213" s="327"/>
      <c r="FM213" s="327"/>
      <c r="FN213" s="327"/>
      <c r="FO213" s="327"/>
      <c r="FP213" s="327"/>
      <c r="FQ213" s="327"/>
      <c r="FR213" s="327"/>
      <c r="FS213" s="327"/>
      <c r="FT213" s="327"/>
      <c r="FU213" s="327"/>
      <c r="FV213" s="327"/>
      <c r="FW213" s="327"/>
      <c r="FX213" s="327"/>
      <c r="FY213" s="327"/>
      <c r="FZ213" s="327"/>
      <c r="GA213" s="327"/>
      <c r="GB213" s="327"/>
      <c r="GC213" s="327"/>
      <c r="GD213" s="327"/>
      <c r="GE213" s="327"/>
      <c r="GF213" s="327"/>
      <c r="GG213" s="327"/>
      <c r="GH213" s="327"/>
      <c r="GI213" s="327"/>
      <c r="GJ213" s="327"/>
      <c r="GK213" s="327"/>
      <c r="GL213" s="327"/>
      <c r="GM213" s="327"/>
      <c r="GN213" s="327"/>
      <c r="GO213" s="327"/>
      <c r="GP213" s="327"/>
      <c r="GQ213" s="327"/>
      <c r="GR213" s="327"/>
      <c r="GS213" s="327"/>
      <c r="GT213" s="327"/>
      <c r="GU213" s="327"/>
      <c r="GV213" s="327"/>
      <c r="GW213" s="327"/>
      <c r="GX213" s="327"/>
      <c r="GY213" s="327"/>
      <c r="GZ213" s="327"/>
      <c r="HA213" s="327"/>
      <c r="HB213" s="327"/>
      <c r="HC213" s="327"/>
      <c r="HD213" s="327"/>
      <c r="HE213" s="327"/>
      <c r="HF213" s="327"/>
      <c r="HG213" s="327"/>
      <c r="HH213" s="327"/>
      <c r="HI213" s="327"/>
      <c r="HJ213" s="327"/>
      <c r="HK213" s="327"/>
      <c r="HL213" s="327"/>
      <c r="HM213" s="327"/>
      <c r="HN213" s="327"/>
      <c r="HO213" s="327"/>
      <c r="HP213" s="327"/>
      <c r="HQ213" s="327"/>
      <c r="HR213" s="327"/>
      <c r="HS213" s="327"/>
    </row>
    <row r="214" spans="1:227" ht="15" customHeight="1">
      <c r="A214" s="330">
        <v>9</v>
      </c>
      <c r="B214" s="435" t="str">
        <f>VLOOKUP(Ruimtestaat[[#This Row],[Code]],Locaties[[Code]:[Locatie]],2,FALSE)</f>
        <v>IKC De Vijverburgh</v>
      </c>
      <c r="C214" s="435" t="str">
        <f>VLOOKUP(Ruimtestaat[[#This Row],[Code]],Locaties[[#All],[Code]:[Adres]],4,FALSE)</f>
        <v>Paltelaan 3</v>
      </c>
      <c r="D214" s="435" t="str">
        <f>VLOOKUP(Ruimtestaat[[#This Row],[Code]],Locaties[[#All],[Code]:[Postcode]],5,FALSE)</f>
        <v>2712 RN</v>
      </c>
      <c r="E214" s="435" t="str">
        <f>VLOOKUP(Ruimtestaat[[#This Row],[Code]],Locaties[#All],6,FALSE)</f>
        <v>Zoetermeer</v>
      </c>
      <c r="F214" s="434"/>
      <c r="G214" s="434" t="s">
        <v>1678</v>
      </c>
      <c r="H214" s="330" t="s">
        <v>1792</v>
      </c>
      <c r="I214" s="450" t="s">
        <v>1793</v>
      </c>
      <c r="J214" s="330">
        <v>5</v>
      </c>
      <c r="K214" s="450" t="str">
        <f>VLOOKUP(Ruimtestaat[[#This Row],[Ruimte code]],Ruimtegroepen[[#All],[Code]:[Ruimte omschrijving]],2,FALSE)</f>
        <v>Sanitair</v>
      </c>
      <c r="L214" s="434" t="s">
        <v>101</v>
      </c>
      <c r="M214" s="437" t="s">
        <v>1816</v>
      </c>
      <c r="N214" s="439">
        <v>6</v>
      </c>
      <c r="O214" s="439"/>
      <c r="P214" s="439"/>
      <c r="Q214" s="439"/>
      <c r="R214" s="440" t="str">
        <f>VLOOKUP(Ruimtestaat[[#This Row],[Ruimte code]],Ruimtegroepen[],4,FALSE)</f>
        <v>Sa</v>
      </c>
      <c r="S214" s="434">
        <v>41</v>
      </c>
      <c r="T214" s="434" t="s">
        <v>2</v>
      </c>
      <c r="U214" s="434">
        <f>IF(S214&gt;0,IF(RIGHT(Ruimtestaat[[#This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14" s="434">
        <f>IF(U214&gt;0,VLOOKUP($J214,Ruimtegroepen[],3,FALSE)*VLOOKUP($L214,Vloersoorten[],3,FALSE)*VLOOKUP($T214,Frequenties[],3,FALSE)*VLOOKUP($A214,Locaties[],3,FALSE),0)</f>
        <v>0</v>
      </c>
      <c r="W214" s="434">
        <f>Ruimtestaat[[#This Row],[Uitvoeringen werkdagen]]*Ruimtestaat[[#This Row],[Oppervlak (netto)]]</f>
        <v>1230</v>
      </c>
      <c r="X214" s="441">
        <f>IF(V214&gt;0,Ruimtestaat[[#This Row],[Prest. (m2 /jaar) werkdagen]]/Ruimtestaat[[#This Row],[Norm (m2/uur) werkdagen]],0)</f>
        <v>0</v>
      </c>
      <c r="Y214" s="442">
        <f>Ruimtestaat[[#This Row],[Uitvoeringen werkdagen]]*Ruimtestaat[[#This Row],[Gedeeltelijk]]</f>
        <v>0</v>
      </c>
      <c r="Z214" s="443" t="e">
        <f>IF(U214&gt;0,Ruimtestaat[[#This Row],[Prest. (m2 / jaar) werkdagen gedeeld]]/Ruimtestaat[[#This Row],[Norm (m2/uur) werkdagen]],0)</f>
        <v>#DIV/0!</v>
      </c>
      <c r="AA214" s="441" t="e">
        <f>Ruimtestaat[[#This Row],[uren / jaar werkdagen gedeeld]]*Tariefsopbouw!$E$35</f>
        <v>#DIV/0!</v>
      </c>
      <c r="AB214" s="441">
        <f>Ruimtestaat[[#This Row],[Uitvoeringen werkdagen]]*Ruimtestaat[[#This Row],[BSO]]</f>
        <v>0</v>
      </c>
      <c r="AC214" s="443" t="e">
        <f>IF(U214&gt;0,Ruimtestaat[[#This Row],[Prest. (m2 / jaar) werkdagen BSO]]/Ruimtestaat[[#This Row],[Norm (m2/uur) werkdagen]],0)</f>
        <v>#DIV/0!</v>
      </c>
      <c r="AD214" s="443" t="e">
        <f>Ruimtestaat[[#This Row],[uren / jaar werkdagen BSO]]*Tariefsopbouw!$E$35</f>
        <v>#DIV/0!</v>
      </c>
      <c r="AE214" s="444">
        <f>Ruimtestaat[[#This Row],[uren / jaar werkdagen]]*Tariefsopbouw!$E$35</f>
        <v>0</v>
      </c>
      <c r="AF214" s="434"/>
      <c r="AG214" s="434">
        <f>IF(Ruimtestaat[[#This Row],[Frequentie weekend]]&gt;0,VALUE(LEFT(AF214,1))*S214,0)</f>
        <v>0</v>
      </c>
      <c r="AH214" s="445">
        <f>IF($AG214&gt;0,VLOOKUP($J214,Ruimtegroepen[],3,FALSE)*VLOOKUP($L214,Vloersoorten[],3,FALSE)*VLOOKUP($AF214,Frequenties[],3,FALSE)*VLOOKUP(Ruimtestaat[[#This Row],[Code]],Locaties[],3,FALSE),0)</f>
        <v>0</v>
      </c>
      <c r="AI214" s="445">
        <f>Ruimtestaat[[#This Row],[Uitvoeringen weekend]]*Ruimtestaat[[#This Row],[Oppervlak (netto)]]</f>
        <v>0</v>
      </c>
      <c r="AJ214" s="445">
        <f>IF(AH214&gt;0,Ruimtestaat[[#This Row],[Prest. (m2 /jaar) weekend]]/Ruimtestaat[[#This Row],[Norm (m2/uur) weekend]],0)</f>
        <v>0</v>
      </c>
      <c r="AK214" s="444">
        <f>Ruimtestaat[[#This Row],[uren / jaar weekend]]*Tariefsopbouw!$D$40</f>
        <v>0</v>
      </c>
      <c r="AL214" s="441">
        <f>Ruimtestaat[[#This Row],[Prest. (m2 /jaar) weekend]]+Ruimtestaat[[#This Row],[Prest. (m2 /jaar) werkdagen]]</f>
        <v>1230</v>
      </c>
      <c r="AM214" s="441">
        <f>Ruimtestaat[[#This Row],[uren / jaar weekend]]+Ruimtestaat[[#This Row],[uren / jaar werkdagen]]</f>
        <v>0</v>
      </c>
      <c r="AN214" s="446">
        <f>Ruimtestaat[[#This Row],[kosten / jaar weekend]]+Ruimtestaat[[#This Row],[kosten / jaar werkdagen]]</f>
        <v>0</v>
      </c>
      <c r="AO214" s="446"/>
      <c r="AP214" s="447" t="str">
        <f>IF(Ruimtestaat[[#This Row],[Frequentie werkdagen]]="","",_xlfn.CONCAT(Ruimtestaat[[#This Row],[Ruimte code]],"-",Ruimtestaat[[#This Row],[Frequentie werkdagen]]," ",Ruimtestaat[[#This Row],[Vloer code]]))</f>
        <v>5-5w S</v>
      </c>
      <c r="AQ214" s="448" t="str">
        <f>_xlfn.IFNA(VLOOKUP($AP214,Programma!$F$3:$G$1101,2,0),"")</f>
        <v>_</v>
      </c>
      <c r="AR214" s="448" t="str">
        <f>_xlfn.IFNA(VLOOKUP($AP214,Programma!$F$3:$H$1101,3,0),"")</f>
        <v>_</v>
      </c>
      <c r="AS214" s="448" t="str">
        <f>_xlfn.IFNA(VLOOKUP($AP214,Programma!$F$3:$I$1101,4,0),"")</f>
        <v>_</v>
      </c>
      <c r="AT214" s="448" t="str">
        <f>_xlfn.IFNA(VLOOKUP($AP214,Programma!$F$3:$J$1101,5,0),"")</f>
        <v>4w</v>
      </c>
      <c r="AU214" s="448" t="str">
        <f>_xlfn.IFNA(VLOOKUP($AP214,Programma!$F$3:$K$1101,6,0),"")</f>
        <v>1w</v>
      </c>
      <c r="AV214" s="448" t="str">
        <f>_xlfn.IFNA(VLOOKUP($AP214,Programma!$F$3:$L$1101,7,0),"")</f>
        <v>_</v>
      </c>
      <c r="AW214" s="448" t="str">
        <f>_xlfn.IFNA(VLOOKUP($AP214,Programma!$F$3:$M$1101,8,0),"")</f>
        <v>_</v>
      </c>
      <c r="AX214" s="448" t="str">
        <f>_xlfn.IFNA(VLOOKUP($AP214,Programma!$F$3:$N$1101,9,0),"")</f>
        <v>_</v>
      </c>
      <c r="AY214" s="448" t="str">
        <f>_xlfn.IFNA(VLOOKUP($AP214,Programma!$F$3:$O$1101,10,0),"")</f>
        <v>_</v>
      </c>
      <c r="AZ214" s="448" t="str">
        <f>_xlfn.IFNA(VLOOKUP($AP214,Programma!$F$3:$P$1101,11,0),"")</f>
        <v>_</v>
      </c>
      <c r="BA214" s="448" t="str">
        <f>_xlfn.IFNA(VLOOKUP($AP214,Programma!$F$3:$Q$1101,12,0),"")</f>
        <v>_</v>
      </c>
      <c r="BB214" s="448" t="str">
        <f>_xlfn.IFNA(VLOOKUP($AP214,Programma!$F$3:$R$1101,13,0),"")</f>
        <v>_</v>
      </c>
      <c r="BC214" s="448" t="str">
        <f>_xlfn.IFNA(VLOOKUP($AP214,Programma!$F$3:$S$1101,14,0),"")</f>
        <v>_</v>
      </c>
      <c r="BD214" s="448" t="str">
        <f>_xlfn.IFNA(VLOOKUP($AP214,Programma!$F$3:$T$1101,15,0),"")</f>
        <v>_</v>
      </c>
      <c r="BE214" s="448" t="str">
        <f>_xlfn.IFNA(VLOOKUP($AP214,Programma!$F$3:$U$1101,16,0),"")</f>
        <v>_</v>
      </c>
      <c r="BF214" s="448" t="str">
        <f>_xlfn.IFNA(VLOOKUP($AP214,Programma!$F$3:$V$1101,17,0),"")</f>
        <v>_</v>
      </c>
      <c r="BG214" s="448" t="str">
        <f>_xlfn.IFNA(VLOOKUP($AP214,Programma!$F$3:$W$1101,18,0),"")</f>
        <v>4w</v>
      </c>
      <c r="BH214" s="448" t="str">
        <f>_xlfn.IFNA(VLOOKUP($AP214,Programma!$F$3:$X$1101,19,0),"")</f>
        <v>1w</v>
      </c>
      <c r="BI214" s="448" t="str">
        <f>_xlfn.IFNA(VLOOKUP($AP214,Programma!$F$3:$Y$1101,20,0),"")</f>
        <v>_</v>
      </c>
      <c r="BJ214" s="449"/>
      <c r="BK214" s="447" t="str">
        <f>IF(Ruimtestaat[[#This Row],[Frequentie weekend]]="","",_xlfn.CONCAT(Ruimtestaat[[#This Row],[Ruimte code]],"-",Ruimtestaat[[#This Row],[Frequentie weekend]]," ",Ruimtestaat[[#This Row],[Vloer code]]))</f>
        <v/>
      </c>
      <c r="BL214" s="448" t="str">
        <f>_xlfn.IFNA(VLOOKUP($BK214,Programma!$F$3:$G$1101,2,0),"")</f>
        <v/>
      </c>
      <c r="BM214" s="448" t="str">
        <f>_xlfn.IFNA(VLOOKUP($BK214,Programma!$F$3:$H$1101,3,0),"")</f>
        <v/>
      </c>
      <c r="BN214" s="448" t="str">
        <f>_xlfn.IFNA(VLOOKUP($BK214,Programma!$F$3:$I$1101,4,0),"")</f>
        <v/>
      </c>
      <c r="BO214" s="448" t="str">
        <f>_xlfn.IFNA(VLOOKUP($BK214,Programma!$F$3:$J$1101,5,0),"")</f>
        <v/>
      </c>
      <c r="BP214" s="448" t="str">
        <f>_xlfn.IFNA(VLOOKUP($BK214,Programma!$F$3:$K$1101,6,0),"")</f>
        <v/>
      </c>
      <c r="BQ214" s="448" t="str">
        <f>_xlfn.IFNA(VLOOKUP($BK214,Programma!$F$3:$L$1101,7,0),"")</f>
        <v/>
      </c>
      <c r="BR214" s="448" t="str">
        <f>_xlfn.IFNA(VLOOKUP($BK214,Programma!$F$3:$M$1101,8,0),"")</f>
        <v/>
      </c>
      <c r="BS214" s="448" t="str">
        <f>_xlfn.IFNA(VLOOKUP($BK214,Programma!$F$3:$N$1101,9,0),"")</f>
        <v/>
      </c>
      <c r="BT214" s="448" t="str">
        <f>_xlfn.IFNA(VLOOKUP($BK214,Programma!$F$3:$O$1101,10,0),"")</f>
        <v/>
      </c>
      <c r="BU214" s="448" t="str">
        <f>_xlfn.IFNA(VLOOKUP($BK214,Programma!$F$3:$P$1101,11,0),"")</f>
        <v/>
      </c>
      <c r="BV214" s="448" t="str">
        <f>_xlfn.IFNA(VLOOKUP($BK214,Programma!$F$3:$Q$1101,12,0),"")</f>
        <v/>
      </c>
      <c r="BW214" s="448" t="str">
        <f>_xlfn.IFNA(VLOOKUP($BK214,Programma!$F$3:$R$1101,13,0),"")</f>
        <v/>
      </c>
      <c r="BX214" s="448" t="str">
        <f>_xlfn.IFNA(VLOOKUP($BK214,Programma!$F$3:$S$1101,14,0),"")</f>
        <v/>
      </c>
      <c r="BY214" s="448" t="str">
        <f>_xlfn.IFNA(VLOOKUP($BK214,Programma!$F$3:$T$1101,15,0),"")</f>
        <v/>
      </c>
      <c r="BZ214" s="448" t="str">
        <f>_xlfn.IFNA(VLOOKUP($BK214,Programma!$F$3:$U$1101,16,0),"")</f>
        <v/>
      </c>
      <c r="CA214" s="448" t="str">
        <f>_xlfn.IFNA(VLOOKUP($BK214,Programma!$F$3:$V$1101,17,0),"")</f>
        <v/>
      </c>
      <c r="CB214" s="448" t="str">
        <f>_xlfn.IFNA(VLOOKUP($BK214,Programma!$F$3:$W$1101,18,0),"")</f>
        <v/>
      </c>
      <c r="CC214" s="448" t="str">
        <f>_xlfn.IFNA(VLOOKUP($BK214,Programma!$F$3:$X$1101,19,0),"")</f>
        <v/>
      </c>
      <c r="CD214" s="448" t="str">
        <f>_xlfn.IFNA(VLOOKUP($BK214,Programma!$F$3:$Y$1101,20,0),"")</f>
        <v/>
      </c>
      <c r="CE214" s="327"/>
      <c r="CF214" s="327"/>
      <c r="CG214" s="327"/>
      <c r="CH214" s="327"/>
      <c r="CI214" s="327"/>
      <c r="CJ214" s="327"/>
      <c r="CK214" s="327"/>
      <c r="CL214" s="327"/>
      <c r="CM214" s="327"/>
      <c r="CN214" s="327"/>
      <c r="CO214" s="327"/>
      <c r="CP214" s="327"/>
      <c r="CQ214" s="327"/>
      <c r="CR214" s="327"/>
      <c r="CS214" s="327"/>
      <c r="CT214" s="327"/>
      <c r="CU214" s="327"/>
      <c r="CV214" s="327"/>
      <c r="CW214" s="327"/>
      <c r="CX214" s="327"/>
      <c r="CY214" s="327"/>
      <c r="CZ214" s="327"/>
      <c r="DA214" s="327"/>
      <c r="DB214" s="327"/>
      <c r="DC214" s="327"/>
      <c r="DD214" s="327"/>
      <c r="DE214" s="327"/>
      <c r="DF214" s="327"/>
      <c r="DG214" s="327"/>
      <c r="DH214" s="327"/>
      <c r="DI214" s="327"/>
      <c r="DJ214" s="327"/>
      <c r="DK214" s="327"/>
      <c r="DL214" s="327"/>
      <c r="DM214" s="327"/>
      <c r="DN214" s="327"/>
      <c r="DO214" s="327"/>
      <c r="DP214" s="327"/>
      <c r="DQ214" s="327"/>
      <c r="DR214" s="327"/>
      <c r="DS214" s="327"/>
      <c r="DT214" s="327"/>
      <c r="DU214" s="327"/>
      <c r="DV214" s="327"/>
      <c r="DW214" s="327"/>
      <c r="DX214" s="327"/>
      <c r="DY214" s="327"/>
      <c r="DZ214" s="327"/>
      <c r="EA214" s="327"/>
      <c r="EB214" s="327"/>
      <c r="EC214" s="327"/>
      <c r="ED214" s="327"/>
      <c r="EE214" s="327"/>
      <c r="EF214" s="327"/>
      <c r="EG214" s="327"/>
      <c r="EH214" s="327"/>
      <c r="EI214" s="327"/>
      <c r="EJ214" s="327"/>
      <c r="EK214" s="327"/>
      <c r="EL214" s="327"/>
      <c r="EM214" s="327"/>
      <c r="EN214" s="327"/>
      <c r="EO214" s="327"/>
      <c r="EP214" s="327"/>
      <c r="EQ214" s="327"/>
      <c r="ER214" s="327"/>
      <c r="ES214" s="327"/>
      <c r="ET214" s="327"/>
      <c r="EU214" s="327"/>
      <c r="EV214" s="327"/>
      <c r="EW214" s="327"/>
      <c r="EX214" s="327"/>
      <c r="EY214" s="327"/>
      <c r="EZ214" s="327"/>
      <c r="FA214" s="327"/>
      <c r="FB214" s="327"/>
      <c r="FC214" s="327"/>
      <c r="FD214" s="327"/>
      <c r="FE214" s="327"/>
      <c r="FF214" s="327"/>
      <c r="FG214" s="327"/>
      <c r="FH214" s="327"/>
      <c r="FI214" s="327"/>
      <c r="FJ214" s="327"/>
      <c r="FK214" s="327"/>
      <c r="FL214" s="327"/>
      <c r="FM214" s="327"/>
      <c r="FN214" s="327"/>
      <c r="FO214" s="327"/>
      <c r="FP214" s="327"/>
      <c r="FQ214" s="327"/>
      <c r="FR214" s="327"/>
      <c r="FS214" s="327"/>
      <c r="FT214" s="327"/>
      <c r="FU214" s="327"/>
      <c r="FV214" s="327"/>
      <c r="FW214" s="327"/>
      <c r="FX214" s="327"/>
      <c r="FY214" s="327"/>
      <c r="FZ214" s="327"/>
      <c r="GA214" s="327"/>
      <c r="GB214" s="327"/>
      <c r="GC214" s="327"/>
      <c r="GD214" s="327"/>
      <c r="GE214" s="327"/>
      <c r="GF214" s="327"/>
      <c r="GG214" s="327"/>
      <c r="GH214" s="327"/>
      <c r="GI214" s="327"/>
      <c r="GJ214" s="327"/>
      <c r="GK214" s="327"/>
      <c r="GL214" s="327"/>
      <c r="GM214" s="327"/>
      <c r="GN214" s="327"/>
      <c r="GO214" s="327"/>
      <c r="GP214" s="327"/>
      <c r="GQ214" s="327"/>
      <c r="GR214" s="327"/>
      <c r="GS214" s="327"/>
      <c r="GT214" s="327"/>
      <c r="GU214" s="327"/>
      <c r="GV214" s="327"/>
      <c r="GW214" s="327"/>
      <c r="GX214" s="327"/>
      <c r="GY214" s="327"/>
      <c r="GZ214" s="327"/>
      <c r="HA214" s="327"/>
      <c r="HB214" s="327"/>
      <c r="HC214" s="327"/>
      <c r="HD214" s="327"/>
      <c r="HE214" s="327"/>
      <c r="HF214" s="327"/>
      <c r="HG214" s="327"/>
      <c r="HH214" s="327"/>
      <c r="HI214" s="327"/>
      <c r="HJ214" s="327"/>
      <c r="HK214" s="327"/>
      <c r="HL214" s="327"/>
      <c r="HM214" s="327"/>
      <c r="HN214" s="327"/>
      <c r="HO214" s="327"/>
      <c r="HP214" s="327"/>
      <c r="HQ214" s="327"/>
      <c r="HR214" s="327"/>
      <c r="HS214" s="327"/>
    </row>
    <row r="215" spans="1:227" ht="15" customHeight="1">
      <c r="A215" s="330">
        <v>9</v>
      </c>
      <c r="B215" s="435" t="str">
        <f>VLOOKUP(Ruimtestaat[[#This Row],[Code]],Locaties[[Code]:[Locatie]],2,FALSE)</f>
        <v>IKC De Vijverburgh</v>
      </c>
      <c r="C215" s="435" t="str">
        <f>VLOOKUP(Ruimtestaat[[#This Row],[Code]],Locaties[[#All],[Code]:[Adres]],4,FALSE)</f>
        <v>Paltelaan 3</v>
      </c>
      <c r="D215" s="435" t="str">
        <f>VLOOKUP(Ruimtestaat[[#This Row],[Code]],Locaties[[#All],[Code]:[Postcode]],5,FALSE)</f>
        <v>2712 RN</v>
      </c>
      <c r="E215" s="435" t="str">
        <f>VLOOKUP(Ruimtestaat[[#This Row],[Code]],Locaties[#All],6,FALSE)</f>
        <v>Zoetermeer</v>
      </c>
      <c r="F215" s="434"/>
      <c r="G215" s="434" t="s">
        <v>1678</v>
      </c>
      <c r="H215" s="330" t="s">
        <v>1794</v>
      </c>
      <c r="I215" s="450" t="s">
        <v>1795</v>
      </c>
      <c r="J215" s="330">
        <v>1</v>
      </c>
      <c r="K215" s="450" t="str">
        <f>VLOOKUP(Ruimtestaat[[#This Row],[Ruimte code]],Ruimtegroepen[[#All],[Code]:[Ruimte omschrijving]],2,FALSE)</f>
        <v>Magazijnen/bergingen</v>
      </c>
      <c r="L215" s="434" t="s">
        <v>100</v>
      </c>
      <c r="M215" s="437" t="s">
        <v>1759</v>
      </c>
      <c r="N215" s="439">
        <v>15</v>
      </c>
      <c r="O215" s="439"/>
      <c r="P215" s="439"/>
      <c r="Q215" s="439"/>
      <c r="R215" s="440" t="str">
        <f>VLOOKUP(Ruimtestaat[[#This Row],[Ruimte code]],Ruimtegroepen[],4,FALSE)</f>
        <v>Ve</v>
      </c>
      <c r="S215" s="434">
        <v>40</v>
      </c>
      <c r="T215" s="434" t="s">
        <v>2</v>
      </c>
      <c r="U215" s="434">
        <f>IF(S215&gt;0,IF(RIGHT(Ruimtestaat[[#This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5" s="434">
        <f>IF(U215&gt;0,VLOOKUP($J215,Ruimtegroepen[],3,FALSE)*VLOOKUP($L215,Vloersoorten[],3,FALSE)*VLOOKUP($T215,Frequenties[],3,FALSE)*VLOOKUP($A215,Locaties[],3,FALSE),0)</f>
        <v>0</v>
      </c>
      <c r="W215" s="434">
        <f>Ruimtestaat[[#This Row],[Uitvoeringen werkdagen]]*Ruimtestaat[[#This Row],[Oppervlak (netto)]]</f>
        <v>3000</v>
      </c>
      <c r="X215" s="441">
        <f>IF(V215&gt;0,Ruimtestaat[[#This Row],[Prest. (m2 /jaar) werkdagen]]/Ruimtestaat[[#This Row],[Norm (m2/uur) werkdagen]],0)</f>
        <v>0</v>
      </c>
      <c r="Y215" s="442">
        <f>Ruimtestaat[[#This Row],[Uitvoeringen werkdagen]]*Ruimtestaat[[#This Row],[Gedeeltelijk]]</f>
        <v>0</v>
      </c>
      <c r="Z215" s="443" t="e">
        <f>IF(U215&gt;0,Ruimtestaat[[#This Row],[Prest. (m2 / jaar) werkdagen gedeeld]]/Ruimtestaat[[#This Row],[Norm (m2/uur) werkdagen]],0)</f>
        <v>#DIV/0!</v>
      </c>
      <c r="AA215" s="441" t="e">
        <f>Ruimtestaat[[#This Row],[uren / jaar werkdagen gedeeld]]*Tariefsopbouw!$E$35</f>
        <v>#DIV/0!</v>
      </c>
      <c r="AB215" s="441">
        <f>Ruimtestaat[[#This Row],[Uitvoeringen werkdagen]]*Ruimtestaat[[#This Row],[BSO]]</f>
        <v>0</v>
      </c>
      <c r="AC215" s="443" t="e">
        <f>IF(U215&gt;0,Ruimtestaat[[#This Row],[Prest. (m2 / jaar) werkdagen BSO]]/Ruimtestaat[[#This Row],[Norm (m2/uur) werkdagen]],0)</f>
        <v>#DIV/0!</v>
      </c>
      <c r="AD215" s="443" t="e">
        <f>Ruimtestaat[[#This Row],[uren / jaar werkdagen BSO]]*Tariefsopbouw!$E$35</f>
        <v>#DIV/0!</v>
      </c>
      <c r="AE215" s="444">
        <f>Ruimtestaat[[#This Row],[uren / jaar werkdagen]]*Tariefsopbouw!$E$35</f>
        <v>0</v>
      </c>
      <c r="AF215" s="434"/>
      <c r="AG215" s="434">
        <f>IF(Ruimtestaat[[#This Row],[Frequentie weekend]]&gt;0,VALUE(LEFT(AF215,1))*S215,0)</f>
        <v>0</v>
      </c>
      <c r="AH215" s="445">
        <f>IF($AG215&gt;0,VLOOKUP($J215,Ruimtegroepen[],3,FALSE)*VLOOKUP($L215,Vloersoorten[],3,FALSE)*VLOOKUP($AF215,Frequenties[],3,FALSE)*VLOOKUP(Ruimtestaat[[#This Row],[Code]],Locaties[],3,FALSE),0)</f>
        <v>0</v>
      </c>
      <c r="AI215" s="445">
        <f>Ruimtestaat[[#This Row],[Uitvoeringen weekend]]*Ruimtestaat[[#This Row],[Oppervlak (netto)]]</f>
        <v>0</v>
      </c>
      <c r="AJ215" s="445">
        <f>IF(AH215&gt;0,Ruimtestaat[[#This Row],[Prest. (m2 /jaar) weekend]]/Ruimtestaat[[#This Row],[Norm (m2/uur) weekend]],0)</f>
        <v>0</v>
      </c>
      <c r="AK215" s="444">
        <f>Ruimtestaat[[#This Row],[uren / jaar weekend]]*Tariefsopbouw!$D$40</f>
        <v>0</v>
      </c>
      <c r="AL215" s="441">
        <f>Ruimtestaat[[#This Row],[Prest. (m2 /jaar) weekend]]+Ruimtestaat[[#This Row],[Prest. (m2 /jaar) werkdagen]]</f>
        <v>3000</v>
      </c>
      <c r="AM215" s="441">
        <f>Ruimtestaat[[#This Row],[uren / jaar weekend]]+Ruimtestaat[[#This Row],[uren / jaar werkdagen]]</f>
        <v>0</v>
      </c>
      <c r="AN215" s="446">
        <f>Ruimtestaat[[#This Row],[kosten / jaar weekend]]+Ruimtestaat[[#This Row],[kosten / jaar werkdagen]]</f>
        <v>0</v>
      </c>
      <c r="AO215" s="446"/>
      <c r="AP215" s="447" t="str">
        <f>IF(Ruimtestaat[[#This Row],[Frequentie werkdagen]]="","",_xlfn.CONCAT(Ruimtestaat[[#This Row],[Ruimte code]],"-",Ruimtestaat[[#This Row],[Frequentie werkdagen]]," ",Ruimtestaat[[#This Row],[Vloer code]]))</f>
        <v>1-5w L</v>
      </c>
      <c r="AQ215" s="448" t="str">
        <f>_xlfn.IFNA(VLOOKUP($AP215,Programma!$F$3:$G$1101,2,0),"")</f>
        <v>_</v>
      </c>
      <c r="AR215" s="448" t="str">
        <f>_xlfn.IFNA(VLOOKUP($AP215,Programma!$F$3:$H$1101,3,0),"")</f>
        <v>_</v>
      </c>
      <c r="AS215" s="448" t="str">
        <f>_xlfn.IFNA(VLOOKUP($AP215,Programma!$F$3:$I$1101,4,0),"")</f>
        <v>4w</v>
      </c>
      <c r="AT215" s="448" t="str">
        <f>_xlfn.IFNA(VLOOKUP($AP215,Programma!$F$3:$J$1101,5,0),"")</f>
        <v>1w</v>
      </c>
      <c r="AU215" s="448" t="str">
        <f>_xlfn.IFNA(VLOOKUP($AP215,Programma!$F$3:$K$1101,6,0),"")</f>
        <v>_</v>
      </c>
      <c r="AV215" s="448" t="str">
        <f>_xlfn.IFNA(VLOOKUP($AP215,Programma!$F$3:$L$1101,7,0),"")</f>
        <v>_</v>
      </c>
      <c r="AW215" s="448" t="str">
        <f>_xlfn.IFNA(VLOOKUP($AP215,Programma!$F$3:$M$1101,8,0),"")</f>
        <v>_</v>
      </c>
      <c r="AX215" s="448" t="str">
        <f>_xlfn.IFNA(VLOOKUP($AP215,Programma!$F$3:$N$1101,9,0),"")</f>
        <v>_</v>
      </c>
      <c r="AY215" s="448" t="str">
        <f>_xlfn.IFNA(VLOOKUP($AP215,Programma!$F$3:$O$1101,10,0),"")</f>
        <v>_</v>
      </c>
      <c r="AZ215" s="448" t="str">
        <f>_xlfn.IFNA(VLOOKUP($AP215,Programma!$F$3:$P$1101,11,0),"")</f>
        <v>_</v>
      </c>
      <c r="BA215" s="448" t="str">
        <f>_xlfn.IFNA(VLOOKUP($AP215,Programma!$F$3:$Q$1101,12,0),"")</f>
        <v>_</v>
      </c>
      <c r="BB215" s="448" t="str">
        <f>_xlfn.IFNA(VLOOKUP($AP215,Programma!$F$3:$R$1101,13,0),"")</f>
        <v>_</v>
      </c>
      <c r="BC215" s="448" t="str">
        <f>_xlfn.IFNA(VLOOKUP($AP215,Programma!$F$3:$S$1101,14,0),"")</f>
        <v>5w</v>
      </c>
      <c r="BD215" s="448" t="str">
        <f>_xlfn.IFNA(VLOOKUP($AP215,Programma!$F$3:$T$1101,15,0),"")</f>
        <v>4j</v>
      </c>
      <c r="BE215" s="448" t="str">
        <f>_xlfn.IFNA(VLOOKUP($AP215,Programma!$F$3:$U$1101,16,0),"")</f>
        <v>4j</v>
      </c>
      <c r="BF215" s="448" t="str">
        <f>_xlfn.IFNA(VLOOKUP($AP215,Programma!$F$3:$V$1101,17,0),"")</f>
        <v>_</v>
      </c>
      <c r="BG215" s="448" t="str">
        <f>_xlfn.IFNA(VLOOKUP($AP215,Programma!$F$3:$W$1101,18,0),"")</f>
        <v>_</v>
      </c>
      <c r="BH215" s="448" t="str">
        <f>_xlfn.IFNA(VLOOKUP($AP215,Programma!$F$3:$X$1101,19,0),"")</f>
        <v>_</v>
      </c>
      <c r="BI215" s="448" t="str">
        <f>_xlfn.IFNA(VLOOKUP($AP215,Programma!$F$3:$Y$1101,20,0),"")</f>
        <v>_</v>
      </c>
      <c r="BJ215" s="449"/>
      <c r="BK215" s="447" t="str">
        <f>IF(Ruimtestaat[[#This Row],[Frequentie weekend]]="","",_xlfn.CONCAT(Ruimtestaat[[#This Row],[Ruimte code]],"-",Ruimtestaat[[#This Row],[Frequentie weekend]]," ",Ruimtestaat[[#This Row],[Vloer code]]))</f>
        <v/>
      </c>
      <c r="BL215" s="448" t="str">
        <f>_xlfn.IFNA(VLOOKUP($BK215,Programma!$F$3:$G$1101,2,0),"")</f>
        <v/>
      </c>
      <c r="BM215" s="448" t="str">
        <f>_xlfn.IFNA(VLOOKUP($BK215,Programma!$F$3:$H$1101,3,0),"")</f>
        <v/>
      </c>
      <c r="BN215" s="448" t="str">
        <f>_xlfn.IFNA(VLOOKUP($BK215,Programma!$F$3:$I$1101,4,0),"")</f>
        <v/>
      </c>
      <c r="BO215" s="448" t="str">
        <f>_xlfn.IFNA(VLOOKUP($BK215,Programma!$F$3:$J$1101,5,0),"")</f>
        <v/>
      </c>
      <c r="BP215" s="448" t="str">
        <f>_xlfn.IFNA(VLOOKUP($BK215,Programma!$F$3:$K$1101,6,0),"")</f>
        <v/>
      </c>
      <c r="BQ215" s="448" t="str">
        <f>_xlfn.IFNA(VLOOKUP($BK215,Programma!$F$3:$L$1101,7,0),"")</f>
        <v/>
      </c>
      <c r="BR215" s="448" t="str">
        <f>_xlfn.IFNA(VLOOKUP($BK215,Programma!$F$3:$M$1101,8,0),"")</f>
        <v/>
      </c>
      <c r="BS215" s="448" t="str">
        <f>_xlfn.IFNA(VLOOKUP($BK215,Programma!$F$3:$N$1101,9,0),"")</f>
        <v/>
      </c>
      <c r="BT215" s="448" t="str">
        <f>_xlfn.IFNA(VLOOKUP($BK215,Programma!$F$3:$O$1101,10,0),"")</f>
        <v/>
      </c>
      <c r="BU215" s="448" t="str">
        <f>_xlfn.IFNA(VLOOKUP($BK215,Programma!$F$3:$P$1101,11,0),"")</f>
        <v/>
      </c>
      <c r="BV215" s="448" t="str">
        <f>_xlfn.IFNA(VLOOKUP($BK215,Programma!$F$3:$Q$1101,12,0),"")</f>
        <v/>
      </c>
      <c r="BW215" s="448" t="str">
        <f>_xlfn.IFNA(VLOOKUP($BK215,Programma!$F$3:$R$1101,13,0),"")</f>
        <v/>
      </c>
      <c r="BX215" s="448" t="str">
        <f>_xlfn.IFNA(VLOOKUP($BK215,Programma!$F$3:$S$1101,14,0),"")</f>
        <v/>
      </c>
      <c r="BY215" s="448" t="str">
        <f>_xlfn.IFNA(VLOOKUP($BK215,Programma!$F$3:$T$1101,15,0),"")</f>
        <v/>
      </c>
      <c r="BZ215" s="448" t="str">
        <f>_xlfn.IFNA(VLOOKUP($BK215,Programma!$F$3:$U$1101,16,0),"")</f>
        <v/>
      </c>
      <c r="CA215" s="448" t="str">
        <f>_xlfn.IFNA(VLOOKUP($BK215,Programma!$F$3:$V$1101,17,0),"")</f>
        <v/>
      </c>
      <c r="CB215" s="448" t="str">
        <f>_xlfn.IFNA(VLOOKUP($BK215,Programma!$F$3:$W$1101,18,0),"")</f>
        <v/>
      </c>
      <c r="CC215" s="448" t="str">
        <f>_xlfn.IFNA(VLOOKUP($BK215,Programma!$F$3:$X$1101,19,0),"")</f>
        <v/>
      </c>
      <c r="CD215" s="448" t="str">
        <f>_xlfn.IFNA(VLOOKUP($BK215,Programma!$F$3:$Y$1101,20,0),"")</f>
        <v/>
      </c>
      <c r="CE215" s="327"/>
      <c r="CF215" s="327"/>
      <c r="CG215" s="327"/>
      <c r="CH215" s="327"/>
      <c r="CI215" s="327"/>
      <c r="CJ215" s="327"/>
      <c r="CK215" s="327"/>
      <c r="CL215" s="327"/>
      <c r="CM215" s="327"/>
      <c r="CN215" s="327"/>
      <c r="CO215" s="327"/>
      <c r="CP215" s="327"/>
      <c r="CQ215" s="327"/>
      <c r="CR215" s="327"/>
      <c r="CS215" s="327"/>
      <c r="CT215" s="327"/>
      <c r="CU215" s="327"/>
      <c r="CV215" s="327"/>
      <c r="CW215" s="327"/>
      <c r="CX215" s="327"/>
      <c r="CY215" s="327"/>
      <c r="CZ215" s="327"/>
      <c r="DA215" s="327"/>
      <c r="DB215" s="327"/>
      <c r="DC215" s="327"/>
      <c r="DD215" s="327"/>
      <c r="DE215" s="327"/>
      <c r="DF215" s="327"/>
      <c r="DG215" s="327"/>
      <c r="DH215" s="327"/>
      <c r="DI215" s="327"/>
      <c r="DJ215" s="327"/>
      <c r="DK215" s="327"/>
      <c r="DL215" s="327"/>
      <c r="DM215" s="327"/>
      <c r="DN215" s="327"/>
      <c r="DO215" s="327"/>
      <c r="DP215" s="327"/>
      <c r="DQ215" s="327"/>
      <c r="DR215" s="327"/>
      <c r="DS215" s="327"/>
      <c r="DT215" s="327"/>
      <c r="DU215" s="327"/>
      <c r="DV215" s="327"/>
      <c r="DW215" s="327"/>
      <c r="DX215" s="327"/>
      <c r="DY215" s="327"/>
      <c r="DZ215" s="327"/>
      <c r="EA215" s="327"/>
      <c r="EB215" s="327"/>
      <c r="EC215" s="327"/>
      <c r="ED215" s="327"/>
      <c r="EE215" s="327"/>
      <c r="EF215" s="327"/>
      <c r="EG215" s="327"/>
      <c r="EH215" s="327"/>
      <c r="EI215" s="327"/>
      <c r="EJ215" s="327"/>
      <c r="EK215" s="327"/>
      <c r="EL215" s="327"/>
      <c r="EM215" s="327"/>
      <c r="EN215" s="327"/>
      <c r="EO215" s="327"/>
      <c r="EP215" s="327"/>
      <c r="EQ215" s="327"/>
      <c r="ER215" s="327"/>
      <c r="ES215" s="327"/>
      <c r="ET215" s="327"/>
      <c r="EU215" s="327"/>
      <c r="EV215" s="327"/>
      <c r="EW215" s="327"/>
      <c r="EX215" s="327"/>
      <c r="EY215" s="327"/>
      <c r="EZ215" s="327"/>
      <c r="FA215" s="327"/>
      <c r="FB215" s="327"/>
      <c r="FC215" s="327"/>
      <c r="FD215" s="327"/>
      <c r="FE215" s="327"/>
      <c r="FF215" s="327"/>
      <c r="FG215" s="327"/>
      <c r="FH215" s="327"/>
      <c r="FI215" s="327"/>
      <c r="FJ215" s="327"/>
      <c r="FK215" s="327"/>
      <c r="FL215" s="327"/>
      <c r="FM215" s="327"/>
      <c r="FN215" s="327"/>
      <c r="FO215" s="327"/>
      <c r="FP215" s="327"/>
      <c r="FQ215" s="327"/>
      <c r="FR215" s="327"/>
      <c r="FS215" s="327"/>
      <c r="FT215" s="327"/>
      <c r="FU215" s="327"/>
      <c r="FV215" s="327"/>
      <c r="FW215" s="327"/>
      <c r="FX215" s="327"/>
      <c r="FY215" s="327"/>
      <c r="FZ215" s="327"/>
      <c r="GA215" s="327"/>
      <c r="GB215" s="327"/>
      <c r="GC215" s="327"/>
      <c r="GD215" s="327"/>
      <c r="GE215" s="327"/>
      <c r="GF215" s="327"/>
      <c r="GG215" s="327"/>
      <c r="GH215" s="327"/>
      <c r="GI215" s="327"/>
      <c r="GJ215" s="327"/>
      <c r="GK215" s="327"/>
      <c r="GL215" s="327"/>
      <c r="GM215" s="327"/>
      <c r="GN215" s="327"/>
      <c r="GO215" s="327"/>
      <c r="GP215" s="327"/>
      <c r="GQ215" s="327"/>
      <c r="GR215" s="327"/>
      <c r="GS215" s="327"/>
      <c r="GT215" s="327"/>
      <c r="GU215" s="327"/>
      <c r="GV215" s="327"/>
      <c r="GW215" s="327"/>
      <c r="GX215" s="327"/>
      <c r="GY215" s="327"/>
      <c r="GZ215" s="327"/>
      <c r="HA215" s="327"/>
      <c r="HB215" s="327"/>
      <c r="HC215" s="327"/>
      <c r="HD215" s="327"/>
      <c r="HE215" s="327"/>
      <c r="HF215" s="327"/>
      <c r="HG215" s="327"/>
      <c r="HH215" s="327"/>
      <c r="HI215" s="327"/>
      <c r="HJ215" s="327"/>
      <c r="HK215" s="327"/>
      <c r="HL215" s="327"/>
      <c r="HM215" s="327"/>
      <c r="HN215" s="327"/>
      <c r="HO215" s="327"/>
      <c r="HP215" s="327"/>
      <c r="HQ215" s="327"/>
      <c r="HR215" s="327"/>
      <c r="HS215" s="327"/>
    </row>
    <row r="216" spans="1:227" ht="15" customHeight="1">
      <c r="A216" s="330">
        <v>9</v>
      </c>
      <c r="B216" s="435" t="str">
        <f>VLOOKUP(Ruimtestaat[[#This Row],[Code]],Locaties[[Code]:[Locatie]],2,FALSE)</f>
        <v>IKC De Vijverburgh</v>
      </c>
      <c r="C216" s="435" t="str">
        <f>VLOOKUP(Ruimtestaat[[#This Row],[Code]],Locaties[[#All],[Code]:[Adres]],4,FALSE)</f>
        <v>Paltelaan 3</v>
      </c>
      <c r="D216" s="435" t="str">
        <f>VLOOKUP(Ruimtestaat[[#This Row],[Code]],Locaties[[#All],[Code]:[Postcode]],5,FALSE)</f>
        <v>2712 RN</v>
      </c>
      <c r="E216" s="435" t="str">
        <f>VLOOKUP(Ruimtestaat[[#This Row],[Code]],Locaties[#All],6,FALSE)</f>
        <v>Zoetermeer</v>
      </c>
      <c r="F216" s="434"/>
      <c r="G216" s="434" t="s">
        <v>1678</v>
      </c>
      <c r="H216" s="330" t="s">
        <v>1796</v>
      </c>
      <c r="I216" s="450" t="s">
        <v>1724</v>
      </c>
      <c r="J216" s="330">
        <v>1</v>
      </c>
      <c r="K216" s="450" t="str">
        <f>VLOOKUP(Ruimtestaat[[#This Row],[Ruimte code]],Ruimtegroepen[[#All],[Code]:[Ruimte omschrijving]],2,FALSE)</f>
        <v>Magazijnen/bergingen</v>
      </c>
      <c r="L216" s="434" t="s">
        <v>100</v>
      </c>
      <c r="M216" s="437" t="s">
        <v>1759</v>
      </c>
      <c r="N216" s="439">
        <v>9</v>
      </c>
      <c r="O216" s="439"/>
      <c r="P216" s="439"/>
      <c r="Q216" s="439"/>
      <c r="R216" s="440" t="str">
        <f>VLOOKUP(Ruimtestaat[[#This Row],[Ruimte code]],Ruimtegroepen[],4,FALSE)</f>
        <v>Ve</v>
      </c>
      <c r="S216" s="434">
        <v>40</v>
      </c>
      <c r="T216" s="434" t="s">
        <v>2</v>
      </c>
      <c r="U216" s="434">
        <f>IF(S216&gt;0,IF(RIGHT(Ruimtestaat[[#This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6" s="434">
        <f>IF(U216&gt;0,VLOOKUP($J216,Ruimtegroepen[],3,FALSE)*VLOOKUP($L216,Vloersoorten[],3,FALSE)*VLOOKUP($T216,Frequenties[],3,FALSE)*VLOOKUP($A216,Locaties[],3,FALSE),0)</f>
        <v>0</v>
      </c>
      <c r="W216" s="434">
        <f>Ruimtestaat[[#This Row],[Uitvoeringen werkdagen]]*Ruimtestaat[[#This Row],[Oppervlak (netto)]]</f>
        <v>1800</v>
      </c>
      <c r="X216" s="441">
        <f>IF(V216&gt;0,Ruimtestaat[[#This Row],[Prest. (m2 /jaar) werkdagen]]/Ruimtestaat[[#This Row],[Norm (m2/uur) werkdagen]],0)</f>
        <v>0</v>
      </c>
      <c r="Y216" s="442">
        <f>Ruimtestaat[[#This Row],[Uitvoeringen werkdagen]]*Ruimtestaat[[#This Row],[Gedeeltelijk]]</f>
        <v>0</v>
      </c>
      <c r="Z216" s="443" t="e">
        <f>IF(U216&gt;0,Ruimtestaat[[#This Row],[Prest. (m2 / jaar) werkdagen gedeeld]]/Ruimtestaat[[#This Row],[Norm (m2/uur) werkdagen]],0)</f>
        <v>#DIV/0!</v>
      </c>
      <c r="AA216" s="441" t="e">
        <f>Ruimtestaat[[#This Row],[uren / jaar werkdagen gedeeld]]*Tariefsopbouw!$E$35</f>
        <v>#DIV/0!</v>
      </c>
      <c r="AB216" s="441">
        <f>Ruimtestaat[[#This Row],[Uitvoeringen werkdagen]]*Ruimtestaat[[#This Row],[BSO]]</f>
        <v>0</v>
      </c>
      <c r="AC216" s="443" t="e">
        <f>IF(U216&gt;0,Ruimtestaat[[#This Row],[Prest. (m2 / jaar) werkdagen BSO]]/Ruimtestaat[[#This Row],[Norm (m2/uur) werkdagen]],0)</f>
        <v>#DIV/0!</v>
      </c>
      <c r="AD216" s="443" t="e">
        <f>Ruimtestaat[[#This Row],[uren / jaar werkdagen BSO]]*Tariefsopbouw!$E$35</f>
        <v>#DIV/0!</v>
      </c>
      <c r="AE216" s="444">
        <f>Ruimtestaat[[#This Row],[uren / jaar werkdagen]]*Tariefsopbouw!$E$35</f>
        <v>0</v>
      </c>
      <c r="AF216" s="434"/>
      <c r="AG216" s="434">
        <f>IF(Ruimtestaat[[#This Row],[Frequentie weekend]]&gt;0,VALUE(LEFT(AF216,1))*S216,0)</f>
        <v>0</v>
      </c>
      <c r="AH216" s="445">
        <f>IF($AG216&gt;0,VLOOKUP($J216,Ruimtegroepen[],3,FALSE)*VLOOKUP($L216,Vloersoorten[],3,FALSE)*VLOOKUP($AF216,Frequenties[],3,FALSE)*VLOOKUP(Ruimtestaat[[#This Row],[Code]],Locaties[],3,FALSE),0)</f>
        <v>0</v>
      </c>
      <c r="AI216" s="445">
        <f>Ruimtestaat[[#This Row],[Uitvoeringen weekend]]*Ruimtestaat[[#This Row],[Oppervlak (netto)]]</f>
        <v>0</v>
      </c>
      <c r="AJ216" s="445">
        <f>IF(AH216&gt;0,Ruimtestaat[[#This Row],[Prest. (m2 /jaar) weekend]]/Ruimtestaat[[#This Row],[Norm (m2/uur) weekend]],0)</f>
        <v>0</v>
      </c>
      <c r="AK216" s="444">
        <f>Ruimtestaat[[#This Row],[uren / jaar weekend]]*Tariefsopbouw!$D$40</f>
        <v>0</v>
      </c>
      <c r="AL216" s="441">
        <f>Ruimtestaat[[#This Row],[Prest. (m2 /jaar) weekend]]+Ruimtestaat[[#This Row],[Prest. (m2 /jaar) werkdagen]]</f>
        <v>1800</v>
      </c>
      <c r="AM216" s="441">
        <f>Ruimtestaat[[#This Row],[uren / jaar weekend]]+Ruimtestaat[[#This Row],[uren / jaar werkdagen]]</f>
        <v>0</v>
      </c>
      <c r="AN216" s="446">
        <f>Ruimtestaat[[#This Row],[kosten / jaar weekend]]+Ruimtestaat[[#This Row],[kosten / jaar werkdagen]]</f>
        <v>0</v>
      </c>
      <c r="AO216" s="446"/>
      <c r="AP216" s="447" t="str">
        <f>IF(Ruimtestaat[[#This Row],[Frequentie werkdagen]]="","",_xlfn.CONCAT(Ruimtestaat[[#This Row],[Ruimte code]],"-",Ruimtestaat[[#This Row],[Frequentie werkdagen]]," ",Ruimtestaat[[#This Row],[Vloer code]]))</f>
        <v>1-5w L</v>
      </c>
      <c r="AQ216" s="448" t="str">
        <f>_xlfn.IFNA(VLOOKUP($AP216,Programma!$F$3:$G$1101,2,0),"")</f>
        <v>_</v>
      </c>
      <c r="AR216" s="448" t="str">
        <f>_xlfn.IFNA(VLOOKUP($AP216,Programma!$F$3:$H$1101,3,0),"")</f>
        <v>_</v>
      </c>
      <c r="AS216" s="448" t="str">
        <f>_xlfn.IFNA(VLOOKUP($AP216,Programma!$F$3:$I$1101,4,0),"")</f>
        <v>4w</v>
      </c>
      <c r="AT216" s="448" t="str">
        <f>_xlfn.IFNA(VLOOKUP($AP216,Programma!$F$3:$J$1101,5,0),"")</f>
        <v>1w</v>
      </c>
      <c r="AU216" s="448" t="str">
        <f>_xlfn.IFNA(VLOOKUP($AP216,Programma!$F$3:$K$1101,6,0),"")</f>
        <v>_</v>
      </c>
      <c r="AV216" s="448" t="str">
        <f>_xlfn.IFNA(VLOOKUP($AP216,Programma!$F$3:$L$1101,7,0),"")</f>
        <v>_</v>
      </c>
      <c r="AW216" s="448" t="str">
        <f>_xlfn.IFNA(VLOOKUP($AP216,Programma!$F$3:$M$1101,8,0),"")</f>
        <v>_</v>
      </c>
      <c r="AX216" s="448" t="str">
        <f>_xlfn.IFNA(VLOOKUP($AP216,Programma!$F$3:$N$1101,9,0),"")</f>
        <v>_</v>
      </c>
      <c r="AY216" s="448" t="str">
        <f>_xlfn.IFNA(VLOOKUP($AP216,Programma!$F$3:$O$1101,10,0),"")</f>
        <v>_</v>
      </c>
      <c r="AZ216" s="448" t="str">
        <f>_xlfn.IFNA(VLOOKUP($AP216,Programma!$F$3:$P$1101,11,0),"")</f>
        <v>_</v>
      </c>
      <c r="BA216" s="448" t="str">
        <f>_xlfn.IFNA(VLOOKUP($AP216,Programma!$F$3:$Q$1101,12,0),"")</f>
        <v>_</v>
      </c>
      <c r="BB216" s="448" t="str">
        <f>_xlfn.IFNA(VLOOKUP($AP216,Programma!$F$3:$R$1101,13,0),"")</f>
        <v>_</v>
      </c>
      <c r="BC216" s="448" t="str">
        <f>_xlfn.IFNA(VLOOKUP($AP216,Programma!$F$3:$S$1101,14,0),"")</f>
        <v>5w</v>
      </c>
      <c r="BD216" s="448" t="str">
        <f>_xlfn.IFNA(VLOOKUP($AP216,Programma!$F$3:$T$1101,15,0),"")</f>
        <v>4j</v>
      </c>
      <c r="BE216" s="448" t="str">
        <f>_xlfn.IFNA(VLOOKUP($AP216,Programma!$F$3:$U$1101,16,0),"")</f>
        <v>4j</v>
      </c>
      <c r="BF216" s="448" t="str">
        <f>_xlfn.IFNA(VLOOKUP($AP216,Programma!$F$3:$V$1101,17,0),"")</f>
        <v>_</v>
      </c>
      <c r="BG216" s="448" t="str">
        <f>_xlfn.IFNA(VLOOKUP($AP216,Programma!$F$3:$W$1101,18,0),"")</f>
        <v>_</v>
      </c>
      <c r="BH216" s="448" t="str">
        <f>_xlfn.IFNA(VLOOKUP($AP216,Programma!$F$3:$X$1101,19,0),"")</f>
        <v>_</v>
      </c>
      <c r="BI216" s="448" t="str">
        <f>_xlfn.IFNA(VLOOKUP($AP216,Programma!$F$3:$Y$1101,20,0),"")</f>
        <v>_</v>
      </c>
      <c r="BJ216" s="449"/>
      <c r="BK216" s="447" t="str">
        <f>IF(Ruimtestaat[[#This Row],[Frequentie weekend]]="","",_xlfn.CONCAT(Ruimtestaat[[#This Row],[Ruimte code]],"-",Ruimtestaat[[#This Row],[Frequentie weekend]]," ",Ruimtestaat[[#This Row],[Vloer code]]))</f>
        <v/>
      </c>
      <c r="BL216" s="448" t="str">
        <f>_xlfn.IFNA(VLOOKUP($BK216,Programma!$F$3:$G$1101,2,0),"")</f>
        <v/>
      </c>
      <c r="BM216" s="448" t="str">
        <f>_xlfn.IFNA(VLOOKUP($BK216,Programma!$F$3:$H$1101,3,0),"")</f>
        <v/>
      </c>
      <c r="BN216" s="448" t="str">
        <f>_xlfn.IFNA(VLOOKUP($BK216,Programma!$F$3:$I$1101,4,0),"")</f>
        <v/>
      </c>
      <c r="BO216" s="448" t="str">
        <f>_xlfn.IFNA(VLOOKUP($BK216,Programma!$F$3:$J$1101,5,0),"")</f>
        <v/>
      </c>
      <c r="BP216" s="448" t="str">
        <f>_xlfn.IFNA(VLOOKUP($BK216,Programma!$F$3:$K$1101,6,0),"")</f>
        <v/>
      </c>
      <c r="BQ216" s="448" t="str">
        <f>_xlfn.IFNA(VLOOKUP($BK216,Programma!$F$3:$L$1101,7,0),"")</f>
        <v/>
      </c>
      <c r="BR216" s="448" t="str">
        <f>_xlfn.IFNA(VLOOKUP($BK216,Programma!$F$3:$M$1101,8,0),"")</f>
        <v/>
      </c>
      <c r="BS216" s="448" t="str">
        <f>_xlfn.IFNA(VLOOKUP($BK216,Programma!$F$3:$N$1101,9,0),"")</f>
        <v/>
      </c>
      <c r="BT216" s="448" t="str">
        <f>_xlfn.IFNA(VLOOKUP($BK216,Programma!$F$3:$O$1101,10,0),"")</f>
        <v/>
      </c>
      <c r="BU216" s="448" t="str">
        <f>_xlfn.IFNA(VLOOKUP($BK216,Programma!$F$3:$P$1101,11,0),"")</f>
        <v/>
      </c>
      <c r="BV216" s="448" t="str">
        <f>_xlfn.IFNA(VLOOKUP($BK216,Programma!$F$3:$Q$1101,12,0),"")</f>
        <v/>
      </c>
      <c r="BW216" s="448" t="str">
        <f>_xlfn.IFNA(VLOOKUP($BK216,Programma!$F$3:$R$1101,13,0),"")</f>
        <v/>
      </c>
      <c r="BX216" s="448" t="str">
        <f>_xlfn.IFNA(VLOOKUP($BK216,Programma!$F$3:$S$1101,14,0),"")</f>
        <v/>
      </c>
      <c r="BY216" s="448" t="str">
        <f>_xlfn.IFNA(VLOOKUP($BK216,Programma!$F$3:$T$1101,15,0),"")</f>
        <v/>
      </c>
      <c r="BZ216" s="448" t="str">
        <f>_xlfn.IFNA(VLOOKUP($BK216,Programma!$F$3:$U$1101,16,0),"")</f>
        <v/>
      </c>
      <c r="CA216" s="448" t="str">
        <f>_xlfn.IFNA(VLOOKUP($BK216,Programma!$F$3:$V$1101,17,0),"")</f>
        <v/>
      </c>
      <c r="CB216" s="448" t="str">
        <f>_xlfn.IFNA(VLOOKUP($BK216,Programma!$F$3:$W$1101,18,0),"")</f>
        <v/>
      </c>
      <c r="CC216" s="448" t="str">
        <f>_xlfn.IFNA(VLOOKUP($BK216,Programma!$F$3:$X$1101,19,0),"")</f>
        <v/>
      </c>
      <c r="CD216" s="448" t="str">
        <f>_xlfn.IFNA(VLOOKUP($BK216,Programma!$F$3:$Y$1101,20,0),"")</f>
        <v/>
      </c>
      <c r="CE216" s="327"/>
      <c r="CF216" s="327"/>
      <c r="CG216" s="327"/>
      <c r="CH216" s="327"/>
      <c r="CI216" s="327"/>
      <c r="CJ216" s="327"/>
      <c r="CK216" s="327"/>
      <c r="CL216" s="327"/>
      <c r="CM216" s="327"/>
      <c r="CN216" s="327"/>
      <c r="CO216" s="327"/>
      <c r="CP216" s="327"/>
      <c r="CQ216" s="327"/>
      <c r="CR216" s="327"/>
      <c r="CS216" s="327"/>
      <c r="CT216" s="327"/>
      <c r="CU216" s="327"/>
      <c r="CV216" s="327"/>
      <c r="CW216" s="327"/>
      <c r="CX216" s="327"/>
      <c r="CY216" s="327"/>
      <c r="CZ216" s="327"/>
      <c r="DA216" s="327"/>
      <c r="DB216" s="327"/>
      <c r="DC216" s="327"/>
      <c r="DD216" s="327"/>
      <c r="DE216" s="327"/>
      <c r="DF216" s="327"/>
      <c r="DG216" s="327"/>
      <c r="DH216" s="327"/>
      <c r="DI216" s="327"/>
      <c r="DJ216" s="327"/>
      <c r="DK216" s="327"/>
      <c r="DL216" s="327"/>
      <c r="DM216" s="327"/>
      <c r="DN216" s="327"/>
      <c r="DO216" s="327"/>
      <c r="DP216" s="327"/>
      <c r="DQ216" s="327"/>
      <c r="DR216" s="327"/>
      <c r="DS216" s="327"/>
      <c r="DT216" s="327"/>
      <c r="DU216" s="327"/>
      <c r="DV216" s="327"/>
      <c r="DW216" s="327"/>
      <c r="DX216" s="327"/>
      <c r="DY216" s="327"/>
      <c r="DZ216" s="327"/>
      <c r="EA216" s="327"/>
      <c r="EB216" s="327"/>
      <c r="EC216" s="327"/>
      <c r="ED216" s="327"/>
      <c r="EE216" s="327"/>
      <c r="EF216" s="327"/>
      <c r="EG216" s="327"/>
      <c r="EH216" s="327"/>
      <c r="EI216" s="327"/>
      <c r="EJ216" s="327"/>
      <c r="EK216" s="327"/>
      <c r="EL216" s="327"/>
      <c r="EM216" s="327"/>
      <c r="EN216" s="327"/>
      <c r="EO216" s="327"/>
      <c r="EP216" s="327"/>
      <c r="EQ216" s="327"/>
      <c r="ER216" s="327"/>
      <c r="ES216" s="327"/>
      <c r="ET216" s="327"/>
      <c r="EU216" s="327"/>
      <c r="EV216" s="327"/>
      <c r="EW216" s="327"/>
      <c r="EX216" s="327"/>
      <c r="EY216" s="327"/>
      <c r="EZ216" s="327"/>
      <c r="FA216" s="327"/>
      <c r="FB216" s="327"/>
      <c r="FC216" s="327"/>
      <c r="FD216" s="327"/>
      <c r="FE216" s="327"/>
      <c r="FF216" s="327"/>
      <c r="FG216" s="327"/>
      <c r="FH216" s="327"/>
      <c r="FI216" s="327"/>
      <c r="FJ216" s="327"/>
      <c r="FK216" s="327"/>
      <c r="FL216" s="327"/>
      <c r="FM216" s="327"/>
      <c r="FN216" s="327"/>
      <c r="FO216" s="327"/>
      <c r="FP216" s="327"/>
      <c r="FQ216" s="327"/>
      <c r="FR216" s="327"/>
      <c r="FS216" s="327"/>
      <c r="FT216" s="327"/>
      <c r="FU216" s="327"/>
      <c r="FV216" s="327"/>
      <c r="FW216" s="327"/>
      <c r="FX216" s="327"/>
      <c r="FY216" s="327"/>
      <c r="FZ216" s="327"/>
      <c r="GA216" s="327"/>
      <c r="GB216" s="327"/>
      <c r="GC216" s="327"/>
      <c r="GD216" s="327"/>
      <c r="GE216" s="327"/>
      <c r="GF216" s="327"/>
      <c r="GG216" s="327"/>
      <c r="GH216" s="327"/>
      <c r="GI216" s="327"/>
      <c r="GJ216" s="327"/>
      <c r="GK216" s="327"/>
      <c r="GL216" s="327"/>
      <c r="GM216" s="327"/>
      <c r="GN216" s="327"/>
      <c r="GO216" s="327"/>
      <c r="GP216" s="327"/>
      <c r="GQ216" s="327"/>
      <c r="GR216" s="327"/>
      <c r="GS216" s="327"/>
      <c r="GT216" s="327"/>
      <c r="GU216" s="327"/>
      <c r="GV216" s="327"/>
      <c r="GW216" s="327"/>
      <c r="GX216" s="327"/>
      <c r="GY216" s="327"/>
      <c r="GZ216" s="327"/>
      <c r="HA216" s="327"/>
      <c r="HB216" s="327"/>
      <c r="HC216" s="327"/>
      <c r="HD216" s="327"/>
      <c r="HE216" s="327"/>
      <c r="HF216" s="327"/>
      <c r="HG216" s="327"/>
      <c r="HH216" s="327"/>
      <c r="HI216" s="327"/>
      <c r="HJ216" s="327"/>
      <c r="HK216" s="327"/>
      <c r="HL216" s="327"/>
      <c r="HM216" s="327"/>
      <c r="HN216" s="327"/>
      <c r="HO216" s="327"/>
      <c r="HP216" s="327"/>
      <c r="HQ216" s="327"/>
      <c r="HR216" s="327"/>
      <c r="HS216" s="327"/>
    </row>
    <row r="217" spans="1:227" ht="15" customHeight="1">
      <c r="A217" s="330">
        <v>9</v>
      </c>
      <c r="B217" s="435" t="str">
        <f>VLOOKUP(Ruimtestaat[[#This Row],[Code]],Locaties[[Code]:[Locatie]],2,FALSE)</f>
        <v>IKC De Vijverburgh</v>
      </c>
      <c r="C217" s="435" t="str">
        <f>VLOOKUP(Ruimtestaat[[#This Row],[Code]],Locaties[[#All],[Code]:[Adres]],4,FALSE)</f>
        <v>Paltelaan 3</v>
      </c>
      <c r="D217" s="435" t="str">
        <f>VLOOKUP(Ruimtestaat[[#This Row],[Code]],Locaties[[#All],[Code]:[Postcode]],5,FALSE)</f>
        <v>2712 RN</v>
      </c>
      <c r="E217" s="435" t="str">
        <f>VLOOKUP(Ruimtestaat[[#This Row],[Code]],Locaties[#All],6,FALSE)</f>
        <v>Zoetermeer</v>
      </c>
      <c r="F217" s="434"/>
      <c r="G217" s="434" t="s">
        <v>1678</v>
      </c>
      <c r="H217" s="330" t="s">
        <v>1797</v>
      </c>
      <c r="I217" s="450" t="s">
        <v>1724</v>
      </c>
      <c r="J217" s="330">
        <v>1</v>
      </c>
      <c r="K217" s="450" t="str">
        <f>VLOOKUP(Ruimtestaat[[#This Row],[Ruimte code]],Ruimtegroepen[[#All],[Code]:[Ruimte omschrijving]],2,FALSE)</f>
        <v>Magazijnen/bergingen</v>
      </c>
      <c r="L217" s="434" t="s">
        <v>100</v>
      </c>
      <c r="M217" s="437" t="s">
        <v>1759</v>
      </c>
      <c r="N217" s="439">
        <v>4</v>
      </c>
      <c r="O217" s="439"/>
      <c r="P217" s="439"/>
      <c r="Q217" s="439"/>
      <c r="R217" s="440" t="str">
        <f>VLOOKUP(Ruimtestaat[[#This Row],[Ruimte code]],Ruimtegroepen[],4,FALSE)</f>
        <v>Ve</v>
      </c>
      <c r="S217" s="434">
        <v>40</v>
      </c>
      <c r="T217" s="434" t="s">
        <v>2</v>
      </c>
      <c r="U217" s="434">
        <f>IF(S217&gt;0,IF(RIGHT(Ruimtestaat[[#This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7" s="434">
        <f>IF(U217&gt;0,VLOOKUP($J217,Ruimtegroepen[],3,FALSE)*VLOOKUP($L217,Vloersoorten[],3,FALSE)*VLOOKUP($T217,Frequenties[],3,FALSE)*VLOOKUP($A217,Locaties[],3,FALSE),0)</f>
        <v>0</v>
      </c>
      <c r="W217" s="434">
        <f>Ruimtestaat[[#This Row],[Uitvoeringen werkdagen]]*Ruimtestaat[[#This Row],[Oppervlak (netto)]]</f>
        <v>800</v>
      </c>
      <c r="X217" s="441">
        <f>IF(V217&gt;0,Ruimtestaat[[#This Row],[Prest. (m2 /jaar) werkdagen]]/Ruimtestaat[[#This Row],[Norm (m2/uur) werkdagen]],0)</f>
        <v>0</v>
      </c>
      <c r="Y217" s="442">
        <f>Ruimtestaat[[#This Row],[Uitvoeringen werkdagen]]*Ruimtestaat[[#This Row],[Gedeeltelijk]]</f>
        <v>0</v>
      </c>
      <c r="Z217" s="443" t="e">
        <f>IF(U217&gt;0,Ruimtestaat[[#This Row],[Prest. (m2 / jaar) werkdagen gedeeld]]/Ruimtestaat[[#This Row],[Norm (m2/uur) werkdagen]],0)</f>
        <v>#DIV/0!</v>
      </c>
      <c r="AA217" s="441" t="e">
        <f>Ruimtestaat[[#This Row],[uren / jaar werkdagen gedeeld]]*Tariefsopbouw!$E$35</f>
        <v>#DIV/0!</v>
      </c>
      <c r="AB217" s="441">
        <f>Ruimtestaat[[#This Row],[Uitvoeringen werkdagen]]*Ruimtestaat[[#This Row],[BSO]]</f>
        <v>0</v>
      </c>
      <c r="AC217" s="443" t="e">
        <f>IF(U217&gt;0,Ruimtestaat[[#This Row],[Prest. (m2 / jaar) werkdagen BSO]]/Ruimtestaat[[#This Row],[Norm (m2/uur) werkdagen]],0)</f>
        <v>#DIV/0!</v>
      </c>
      <c r="AD217" s="443" t="e">
        <f>Ruimtestaat[[#This Row],[uren / jaar werkdagen BSO]]*Tariefsopbouw!$E$35</f>
        <v>#DIV/0!</v>
      </c>
      <c r="AE217" s="444">
        <f>Ruimtestaat[[#This Row],[uren / jaar werkdagen]]*Tariefsopbouw!$E$35</f>
        <v>0</v>
      </c>
      <c r="AF217" s="434"/>
      <c r="AG217" s="434">
        <f>IF(Ruimtestaat[[#This Row],[Frequentie weekend]]&gt;0,VALUE(LEFT(AF217,1))*S217,0)</f>
        <v>0</v>
      </c>
      <c r="AH217" s="445">
        <f>IF($AG217&gt;0,VLOOKUP($J217,Ruimtegroepen[],3,FALSE)*VLOOKUP($L217,Vloersoorten[],3,FALSE)*VLOOKUP($AF217,Frequenties[],3,FALSE)*VLOOKUP(Ruimtestaat[[#This Row],[Code]],Locaties[],3,FALSE),0)</f>
        <v>0</v>
      </c>
      <c r="AI217" s="445">
        <f>Ruimtestaat[[#This Row],[Uitvoeringen weekend]]*Ruimtestaat[[#This Row],[Oppervlak (netto)]]</f>
        <v>0</v>
      </c>
      <c r="AJ217" s="445">
        <f>IF(AH217&gt;0,Ruimtestaat[[#This Row],[Prest. (m2 /jaar) weekend]]/Ruimtestaat[[#This Row],[Norm (m2/uur) weekend]],0)</f>
        <v>0</v>
      </c>
      <c r="AK217" s="444">
        <f>Ruimtestaat[[#This Row],[uren / jaar weekend]]*Tariefsopbouw!$D$40</f>
        <v>0</v>
      </c>
      <c r="AL217" s="441">
        <f>Ruimtestaat[[#This Row],[Prest. (m2 /jaar) weekend]]+Ruimtestaat[[#This Row],[Prest. (m2 /jaar) werkdagen]]</f>
        <v>800</v>
      </c>
      <c r="AM217" s="441">
        <f>Ruimtestaat[[#This Row],[uren / jaar weekend]]+Ruimtestaat[[#This Row],[uren / jaar werkdagen]]</f>
        <v>0</v>
      </c>
      <c r="AN217" s="446">
        <f>Ruimtestaat[[#This Row],[kosten / jaar weekend]]+Ruimtestaat[[#This Row],[kosten / jaar werkdagen]]</f>
        <v>0</v>
      </c>
      <c r="AO217" s="446"/>
      <c r="AP217" s="447" t="str">
        <f>IF(Ruimtestaat[[#This Row],[Frequentie werkdagen]]="","",_xlfn.CONCAT(Ruimtestaat[[#This Row],[Ruimte code]],"-",Ruimtestaat[[#This Row],[Frequentie werkdagen]]," ",Ruimtestaat[[#This Row],[Vloer code]]))</f>
        <v>1-5w L</v>
      </c>
      <c r="AQ217" s="448" t="str">
        <f>_xlfn.IFNA(VLOOKUP($AP217,Programma!$F$3:$G$1101,2,0),"")</f>
        <v>_</v>
      </c>
      <c r="AR217" s="448" t="str">
        <f>_xlfn.IFNA(VLOOKUP($AP217,Programma!$F$3:$H$1101,3,0),"")</f>
        <v>_</v>
      </c>
      <c r="AS217" s="448" t="str">
        <f>_xlfn.IFNA(VLOOKUP($AP217,Programma!$F$3:$I$1101,4,0),"")</f>
        <v>4w</v>
      </c>
      <c r="AT217" s="448" t="str">
        <f>_xlfn.IFNA(VLOOKUP($AP217,Programma!$F$3:$J$1101,5,0),"")</f>
        <v>1w</v>
      </c>
      <c r="AU217" s="448" t="str">
        <f>_xlfn.IFNA(VLOOKUP($AP217,Programma!$F$3:$K$1101,6,0),"")</f>
        <v>_</v>
      </c>
      <c r="AV217" s="448" t="str">
        <f>_xlfn.IFNA(VLOOKUP($AP217,Programma!$F$3:$L$1101,7,0),"")</f>
        <v>_</v>
      </c>
      <c r="AW217" s="448" t="str">
        <f>_xlfn.IFNA(VLOOKUP($AP217,Programma!$F$3:$M$1101,8,0),"")</f>
        <v>_</v>
      </c>
      <c r="AX217" s="448" t="str">
        <f>_xlfn.IFNA(VLOOKUP($AP217,Programma!$F$3:$N$1101,9,0),"")</f>
        <v>_</v>
      </c>
      <c r="AY217" s="448" t="str">
        <f>_xlfn.IFNA(VLOOKUP($AP217,Programma!$F$3:$O$1101,10,0),"")</f>
        <v>_</v>
      </c>
      <c r="AZ217" s="448" t="str">
        <f>_xlfn.IFNA(VLOOKUP($AP217,Programma!$F$3:$P$1101,11,0),"")</f>
        <v>_</v>
      </c>
      <c r="BA217" s="448" t="str">
        <f>_xlfn.IFNA(VLOOKUP($AP217,Programma!$F$3:$Q$1101,12,0),"")</f>
        <v>_</v>
      </c>
      <c r="BB217" s="448" t="str">
        <f>_xlfn.IFNA(VLOOKUP($AP217,Programma!$F$3:$R$1101,13,0),"")</f>
        <v>_</v>
      </c>
      <c r="BC217" s="448" t="str">
        <f>_xlfn.IFNA(VLOOKUP($AP217,Programma!$F$3:$S$1101,14,0),"")</f>
        <v>5w</v>
      </c>
      <c r="BD217" s="448" t="str">
        <f>_xlfn.IFNA(VLOOKUP($AP217,Programma!$F$3:$T$1101,15,0),"")</f>
        <v>4j</v>
      </c>
      <c r="BE217" s="448" t="str">
        <f>_xlfn.IFNA(VLOOKUP($AP217,Programma!$F$3:$U$1101,16,0),"")</f>
        <v>4j</v>
      </c>
      <c r="BF217" s="448" t="str">
        <f>_xlfn.IFNA(VLOOKUP($AP217,Programma!$F$3:$V$1101,17,0),"")</f>
        <v>_</v>
      </c>
      <c r="BG217" s="448" t="str">
        <f>_xlfn.IFNA(VLOOKUP($AP217,Programma!$F$3:$W$1101,18,0),"")</f>
        <v>_</v>
      </c>
      <c r="BH217" s="448" t="str">
        <f>_xlfn.IFNA(VLOOKUP($AP217,Programma!$F$3:$X$1101,19,0),"")</f>
        <v>_</v>
      </c>
      <c r="BI217" s="448" t="str">
        <f>_xlfn.IFNA(VLOOKUP($AP217,Programma!$F$3:$Y$1101,20,0),"")</f>
        <v>_</v>
      </c>
      <c r="BJ217" s="449"/>
      <c r="BK217" s="447" t="str">
        <f>IF(Ruimtestaat[[#This Row],[Frequentie weekend]]="","",_xlfn.CONCAT(Ruimtestaat[[#This Row],[Ruimte code]],"-",Ruimtestaat[[#This Row],[Frequentie weekend]]," ",Ruimtestaat[[#This Row],[Vloer code]]))</f>
        <v/>
      </c>
      <c r="BL217" s="448" t="str">
        <f>_xlfn.IFNA(VLOOKUP($BK217,Programma!$F$3:$G$1101,2,0),"")</f>
        <v/>
      </c>
      <c r="BM217" s="448" t="str">
        <f>_xlfn.IFNA(VLOOKUP($BK217,Programma!$F$3:$H$1101,3,0),"")</f>
        <v/>
      </c>
      <c r="BN217" s="448" t="str">
        <f>_xlfn.IFNA(VLOOKUP($BK217,Programma!$F$3:$I$1101,4,0),"")</f>
        <v/>
      </c>
      <c r="BO217" s="448" t="str">
        <f>_xlfn.IFNA(VLOOKUP($BK217,Programma!$F$3:$J$1101,5,0),"")</f>
        <v/>
      </c>
      <c r="BP217" s="448" t="str">
        <f>_xlfn.IFNA(VLOOKUP($BK217,Programma!$F$3:$K$1101,6,0),"")</f>
        <v/>
      </c>
      <c r="BQ217" s="448" t="str">
        <f>_xlfn.IFNA(VLOOKUP($BK217,Programma!$F$3:$L$1101,7,0),"")</f>
        <v/>
      </c>
      <c r="BR217" s="448" t="str">
        <f>_xlfn.IFNA(VLOOKUP($BK217,Programma!$F$3:$M$1101,8,0),"")</f>
        <v/>
      </c>
      <c r="BS217" s="448" t="str">
        <f>_xlfn.IFNA(VLOOKUP($BK217,Programma!$F$3:$N$1101,9,0),"")</f>
        <v/>
      </c>
      <c r="BT217" s="448" t="str">
        <f>_xlfn.IFNA(VLOOKUP($BK217,Programma!$F$3:$O$1101,10,0),"")</f>
        <v/>
      </c>
      <c r="BU217" s="448" t="str">
        <f>_xlfn.IFNA(VLOOKUP($BK217,Programma!$F$3:$P$1101,11,0),"")</f>
        <v/>
      </c>
      <c r="BV217" s="448" t="str">
        <f>_xlfn.IFNA(VLOOKUP($BK217,Programma!$F$3:$Q$1101,12,0),"")</f>
        <v/>
      </c>
      <c r="BW217" s="448" t="str">
        <f>_xlfn.IFNA(VLOOKUP($BK217,Programma!$F$3:$R$1101,13,0),"")</f>
        <v/>
      </c>
      <c r="BX217" s="448" t="str">
        <f>_xlfn.IFNA(VLOOKUP($BK217,Programma!$F$3:$S$1101,14,0),"")</f>
        <v/>
      </c>
      <c r="BY217" s="448" t="str">
        <f>_xlfn.IFNA(VLOOKUP($BK217,Programma!$F$3:$T$1101,15,0),"")</f>
        <v/>
      </c>
      <c r="BZ217" s="448" t="str">
        <f>_xlfn.IFNA(VLOOKUP($BK217,Programma!$F$3:$U$1101,16,0),"")</f>
        <v/>
      </c>
      <c r="CA217" s="448" t="str">
        <f>_xlfn.IFNA(VLOOKUP($BK217,Programma!$F$3:$V$1101,17,0),"")</f>
        <v/>
      </c>
      <c r="CB217" s="448" t="str">
        <f>_xlfn.IFNA(VLOOKUP($BK217,Programma!$F$3:$W$1101,18,0),"")</f>
        <v/>
      </c>
      <c r="CC217" s="448" t="str">
        <f>_xlfn.IFNA(VLOOKUP($BK217,Programma!$F$3:$X$1101,19,0),"")</f>
        <v/>
      </c>
      <c r="CD217" s="448" t="str">
        <f>_xlfn.IFNA(VLOOKUP($BK217,Programma!$F$3:$Y$1101,20,0),"")</f>
        <v/>
      </c>
      <c r="CE217" s="327"/>
      <c r="CF217" s="327"/>
      <c r="CG217" s="327"/>
      <c r="CH217" s="327"/>
      <c r="CI217" s="327"/>
      <c r="CJ217" s="327"/>
      <c r="CK217" s="327"/>
      <c r="CL217" s="327"/>
      <c r="CM217" s="327"/>
      <c r="CN217" s="327"/>
      <c r="CO217" s="327"/>
      <c r="CP217" s="327"/>
      <c r="CQ217" s="327"/>
      <c r="CR217" s="327"/>
      <c r="CS217" s="327"/>
      <c r="CT217" s="327"/>
      <c r="CU217" s="327"/>
      <c r="CV217" s="327"/>
      <c r="CW217" s="327"/>
      <c r="CX217" s="327"/>
      <c r="CY217" s="327"/>
      <c r="CZ217" s="327"/>
      <c r="DA217" s="327"/>
      <c r="DB217" s="327"/>
      <c r="DC217" s="327"/>
      <c r="DD217" s="327"/>
      <c r="DE217" s="327"/>
      <c r="DF217" s="327"/>
      <c r="DG217" s="327"/>
      <c r="DH217" s="327"/>
      <c r="DI217" s="327"/>
      <c r="DJ217" s="327"/>
      <c r="DK217" s="327"/>
      <c r="DL217" s="327"/>
      <c r="DM217" s="327"/>
      <c r="DN217" s="327"/>
      <c r="DO217" s="327"/>
      <c r="DP217" s="327"/>
      <c r="DQ217" s="327"/>
      <c r="DR217" s="327"/>
      <c r="DS217" s="327"/>
      <c r="DT217" s="327"/>
      <c r="DU217" s="327"/>
      <c r="DV217" s="327"/>
      <c r="DW217" s="327"/>
      <c r="DX217" s="327"/>
      <c r="DY217" s="327"/>
      <c r="DZ217" s="327"/>
      <c r="EA217" s="327"/>
      <c r="EB217" s="327"/>
      <c r="EC217" s="327"/>
      <c r="ED217" s="327"/>
      <c r="EE217" s="327"/>
      <c r="EF217" s="327"/>
      <c r="EG217" s="327"/>
      <c r="EH217" s="327"/>
      <c r="EI217" s="327"/>
      <c r="EJ217" s="327"/>
      <c r="EK217" s="327"/>
      <c r="EL217" s="327"/>
      <c r="EM217" s="327"/>
      <c r="EN217" s="327"/>
      <c r="EO217" s="327"/>
      <c r="EP217" s="327"/>
      <c r="EQ217" s="327"/>
      <c r="ER217" s="327"/>
      <c r="ES217" s="327"/>
      <c r="ET217" s="327"/>
      <c r="EU217" s="327"/>
      <c r="EV217" s="327"/>
      <c r="EW217" s="327"/>
      <c r="EX217" s="327"/>
      <c r="EY217" s="327"/>
      <c r="EZ217" s="327"/>
      <c r="FA217" s="327"/>
      <c r="FB217" s="327"/>
      <c r="FC217" s="327"/>
      <c r="FD217" s="327"/>
      <c r="FE217" s="327"/>
      <c r="FF217" s="327"/>
      <c r="FG217" s="327"/>
      <c r="FH217" s="327"/>
      <c r="FI217" s="327"/>
      <c r="FJ217" s="327"/>
      <c r="FK217" s="327"/>
      <c r="FL217" s="327"/>
      <c r="FM217" s="327"/>
      <c r="FN217" s="327"/>
      <c r="FO217" s="327"/>
      <c r="FP217" s="327"/>
      <c r="FQ217" s="327"/>
      <c r="FR217" s="327"/>
      <c r="FS217" s="327"/>
      <c r="FT217" s="327"/>
      <c r="FU217" s="327"/>
      <c r="FV217" s="327"/>
      <c r="FW217" s="327"/>
      <c r="FX217" s="327"/>
      <c r="FY217" s="327"/>
      <c r="FZ217" s="327"/>
      <c r="GA217" s="327"/>
      <c r="GB217" s="327"/>
      <c r="GC217" s="327"/>
      <c r="GD217" s="327"/>
      <c r="GE217" s="327"/>
      <c r="GF217" s="327"/>
      <c r="GG217" s="327"/>
      <c r="GH217" s="327"/>
      <c r="GI217" s="327"/>
      <c r="GJ217" s="327"/>
      <c r="GK217" s="327"/>
      <c r="GL217" s="327"/>
      <c r="GM217" s="327"/>
      <c r="GN217" s="327"/>
      <c r="GO217" s="327"/>
      <c r="GP217" s="327"/>
      <c r="GQ217" s="327"/>
      <c r="GR217" s="327"/>
      <c r="GS217" s="327"/>
      <c r="GT217" s="327"/>
      <c r="GU217" s="327"/>
      <c r="GV217" s="327"/>
      <c r="GW217" s="327"/>
      <c r="GX217" s="327"/>
      <c r="GY217" s="327"/>
      <c r="GZ217" s="327"/>
      <c r="HA217" s="327"/>
      <c r="HB217" s="327"/>
      <c r="HC217" s="327"/>
      <c r="HD217" s="327"/>
      <c r="HE217" s="327"/>
      <c r="HF217" s="327"/>
      <c r="HG217" s="327"/>
      <c r="HH217" s="327"/>
      <c r="HI217" s="327"/>
      <c r="HJ217" s="327"/>
      <c r="HK217" s="327"/>
      <c r="HL217" s="327"/>
      <c r="HM217" s="327"/>
      <c r="HN217" s="327"/>
      <c r="HO217" s="327"/>
      <c r="HP217" s="327"/>
      <c r="HQ217" s="327"/>
      <c r="HR217" s="327"/>
      <c r="HS217" s="327"/>
    </row>
    <row r="218" spans="1:227" ht="15" customHeight="1">
      <c r="A218" s="330">
        <v>9</v>
      </c>
      <c r="B218" s="435" t="str">
        <f>VLOOKUP(Ruimtestaat[[#This Row],[Code]],Locaties[[Code]:[Locatie]],2,FALSE)</f>
        <v>IKC De Vijverburgh</v>
      </c>
      <c r="C218" s="435" t="str">
        <f>VLOOKUP(Ruimtestaat[[#This Row],[Code]],Locaties[[#All],[Code]:[Adres]],4,FALSE)</f>
        <v>Paltelaan 3</v>
      </c>
      <c r="D218" s="435" t="str">
        <f>VLOOKUP(Ruimtestaat[[#This Row],[Code]],Locaties[[#All],[Code]:[Postcode]],5,FALSE)</f>
        <v>2712 RN</v>
      </c>
      <c r="E218" s="435" t="str">
        <f>VLOOKUP(Ruimtestaat[[#This Row],[Code]],Locaties[#All],6,FALSE)</f>
        <v>Zoetermeer</v>
      </c>
      <c r="F218" s="434"/>
      <c r="G218" s="434" t="s">
        <v>1678</v>
      </c>
      <c r="H218" s="330" t="s">
        <v>1798</v>
      </c>
      <c r="I218" s="450" t="s">
        <v>1724</v>
      </c>
      <c r="J218" s="330">
        <v>1</v>
      </c>
      <c r="K218" s="450" t="str">
        <f>VLOOKUP(Ruimtestaat[[#This Row],[Ruimte code]],Ruimtegroepen[[#All],[Code]:[Ruimte omschrijving]],2,FALSE)</f>
        <v>Magazijnen/bergingen</v>
      </c>
      <c r="L218" s="434" t="s">
        <v>100</v>
      </c>
      <c r="M218" s="437" t="s">
        <v>1759</v>
      </c>
      <c r="N218" s="439">
        <v>7</v>
      </c>
      <c r="O218" s="439"/>
      <c r="P218" s="439"/>
      <c r="Q218" s="439"/>
      <c r="R218" s="440" t="str">
        <f>VLOOKUP(Ruimtestaat[[#This Row],[Ruimte code]],Ruimtegroepen[],4,FALSE)</f>
        <v>Ve</v>
      </c>
      <c r="S218" s="434">
        <v>40</v>
      </c>
      <c r="T218" s="434" t="s">
        <v>2</v>
      </c>
      <c r="U218" s="434">
        <f>IF(S218&gt;0,IF(RIGHT(Ruimtestaat[[#This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8" s="434">
        <f>IF(U218&gt;0,VLOOKUP($J218,Ruimtegroepen[],3,FALSE)*VLOOKUP($L218,Vloersoorten[],3,FALSE)*VLOOKUP($T218,Frequenties[],3,FALSE)*VLOOKUP($A218,Locaties[],3,FALSE),0)</f>
        <v>0</v>
      </c>
      <c r="W218" s="434">
        <f>Ruimtestaat[[#This Row],[Uitvoeringen werkdagen]]*Ruimtestaat[[#This Row],[Oppervlak (netto)]]</f>
        <v>1400</v>
      </c>
      <c r="X218" s="441">
        <f>IF(V218&gt;0,Ruimtestaat[[#This Row],[Prest. (m2 /jaar) werkdagen]]/Ruimtestaat[[#This Row],[Norm (m2/uur) werkdagen]],0)</f>
        <v>0</v>
      </c>
      <c r="Y218" s="442">
        <f>Ruimtestaat[[#This Row],[Uitvoeringen werkdagen]]*Ruimtestaat[[#This Row],[Gedeeltelijk]]</f>
        <v>0</v>
      </c>
      <c r="Z218" s="443" t="e">
        <f>IF(U218&gt;0,Ruimtestaat[[#This Row],[Prest. (m2 / jaar) werkdagen gedeeld]]/Ruimtestaat[[#This Row],[Norm (m2/uur) werkdagen]],0)</f>
        <v>#DIV/0!</v>
      </c>
      <c r="AA218" s="441" t="e">
        <f>Ruimtestaat[[#This Row],[uren / jaar werkdagen gedeeld]]*Tariefsopbouw!$E$35</f>
        <v>#DIV/0!</v>
      </c>
      <c r="AB218" s="441">
        <f>Ruimtestaat[[#This Row],[Uitvoeringen werkdagen]]*Ruimtestaat[[#This Row],[BSO]]</f>
        <v>0</v>
      </c>
      <c r="AC218" s="443" t="e">
        <f>IF(U218&gt;0,Ruimtestaat[[#This Row],[Prest. (m2 / jaar) werkdagen BSO]]/Ruimtestaat[[#This Row],[Norm (m2/uur) werkdagen]],0)</f>
        <v>#DIV/0!</v>
      </c>
      <c r="AD218" s="443" t="e">
        <f>Ruimtestaat[[#This Row],[uren / jaar werkdagen BSO]]*Tariefsopbouw!$E$35</f>
        <v>#DIV/0!</v>
      </c>
      <c r="AE218" s="444">
        <f>Ruimtestaat[[#This Row],[uren / jaar werkdagen]]*Tariefsopbouw!$E$35</f>
        <v>0</v>
      </c>
      <c r="AF218" s="434"/>
      <c r="AG218" s="434">
        <f>IF(Ruimtestaat[[#This Row],[Frequentie weekend]]&gt;0,VALUE(LEFT(AF218,1))*S218,0)</f>
        <v>0</v>
      </c>
      <c r="AH218" s="445">
        <f>IF($AG218&gt;0,VLOOKUP($J218,Ruimtegroepen[],3,FALSE)*VLOOKUP($L218,Vloersoorten[],3,FALSE)*VLOOKUP($AF218,Frequenties[],3,FALSE)*VLOOKUP(Ruimtestaat[[#This Row],[Code]],Locaties[],3,FALSE),0)</f>
        <v>0</v>
      </c>
      <c r="AI218" s="445">
        <f>Ruimtestaat[[#This Row],[Uitvoeringen weekend]]*Ruimtestaat[[#This Row],[Oppervlak (netto)]]</f>
        <v>0</v>
      </c>
      <c r="AJ218" s="445">
        <f>IF(AH218&gt;0,Ruimtestaat[[#This Row],[Prest. (m2 /jaar) weekend]]/Ruimtestaat[[#This Row],[Norm (m2/uur) weekend]],0)</f>
        <v>0</v>
      </c>
      <c r="AK218" s="444">
        <f>Ruimtestaat[[#This Row],[uren / jaar weekend]]*Tariefsopbouw!$D$40</f>
        <v>0</v>
      </c>
      <c r="AL218" s="441">
        <f>Ruimtestaat[[#This Row],[Prest. (m2 /jaar) weekend]]+Ruimtestaat[[#This Row],[Prest. (m2 /jaar) werkdagen]]</f>
        <v>1400</v>
      </c>
      <c r="AM218" s="441">
        <f>Ruimtestaat[[#This Row],[uren / jaar weekend]]+Ruimtestaat[[#This Row],[uren / jaar werkdagen]]</f>
        <v>0</v>
      </c>
      <c r="AN218" s="446">
        <f>Ruimtestaat[[#This Row],[kosten / jaar weekend]]+Ruimtestaat[[#This Row],[kosten / jaar werkdagen]]</f>
        <v>0</v>
      </c>
      <c r="AO218" s="446"/>
      <c r="AP218" s="447" t="str">
        <f>IF(Ruimtestaat[[#This Row],[Frequentie werkdagen]]="","",_xlfn.CONCAT(Ruimtestaat[[#This Row],[Ruimte code]],"-",Ruimtestaat[[#This Row],[Frequentie werkdagen]]," ",Ruimtestaat[[#This Row],[Vloer code]]))</f>
        <v>1-5w L</v>
      </c>
      <c r="AQ218" s="448" t="str">
        <f>_xlfn.IFNA(VLOOKUP($AP218,Programma!$F$3:$G$1101,2,0),"")</f>
        <v>_</v>
      </c>
      <c r="AR218" s="448" t="str">
        <f>_xlfn.IFNA(VLOOKUP($AP218,Programma!$F$3:$H$1101,3,0),"")</f>
        <v>_</v>
      </c>
      <c r="AS218" s="448" t="str">
        <f>_xlfn.IFNA(VLOOKUP($AP218,Programma!$F$3:$I$1101,4,0),"")</f>
        <v>4w</v>
      </c>
      <c r="AT218" s="448" t="str">
        <f>_xlfn.IFNA(VLOOKUP($AP218,Programma!$F$3:$J$1101,5,0),"")</f>
        <v>1w</v>
      </c>
      <c r="AU218" s="448" t="str">
        <f>_xlfn.IFNA(VLOOKUP($AP218,Programma!$F$3:$K$1101,6,0),"")</f>
        <v>_</v>
      </c>
      <c r="AV218" s="448" t="str">
        <f>_xlfn.IFNA(VLOOKUP($AP218,Programma!$F$3:$L$1101,7,0),"")</f>
        <v>_</v>
      </c>
      <c r="AW218" s="448" t="str">
        <f>_xlfn.IFNA(VLOOKUP($AP218,Programma!$F$3:$M$1101,8,0),"")</f>
        <v>_</v>
      </c>
      <c r="AX218" s="448" t="str">
        <f>_xlfn.IFNA(VLOOKUP($AP218,Programma!$F$3:$N$1101,9,0),"")</f>
        <v>_</v>
      </c>
      <c r="AY218" s="448" t="str">
        <f>_xlfn.IFNA(VLOOKUP($AP218,Programma!$F$3:$O$1101,10,0),"")</f>
        <v>_</v>
      </c>
      <c r="AZ218" s="448" t="str">
        <f>_xlfn.IFNA(VLOOKUP($AP218,Programma!$F$3:$P$1101,11,0),"")</f>
        <v>_</v>
      </c>
      <c r="BA218" s="448" t="str">
        <f>_xlfn.IFNA(VLOOKUP($AP218,Programma!$F$3:$Q$1101,12,0),"")</f>
        <v>_</v>
      </c>
      <c r="BB218" s="448" t="str">
        <f>_xlfn.IFNA(VLOOKUP($AP218,Programma!$F$3:$R$1101,13,0),"")</f>
        <v>_</v>
      </c>
      <c r="BC218" s="448" t="str">
        <f>_xlfn.IFNA(VLOOKUP($AP218,Programma!$F$3:$S$1101,14,0),"")</f>
        <v>5w</v>
      </c>
      <c r="BD218" s="448" t="str">
        <f>_xlfn.IFNA(VLOOKUP($AP218,Programma!$F$3:$T$1101,15,0),"")</f>
        <v>4j</v>
      </c>
      <c r="BE218" s="448" t="str">
        <f>_xlfn.IFNA(VLOOKUP($AP218,Programma!$F$3:$U$1101,16,0),"")</f>
        <v>4j</v>
      </c>
      <c r="BF218" s="448" t="str">
        <f>_xlfn.IFNA(VLOOKUP($AP218,Programma!$F$3:$V$1101,17,0),"")</f>
        <v>_</v>
      </c>
      <c r="BG218" s="448" t="str">
        <f>_xlfn.IFNA(VLOOKUP($AP218,Programma!$F$3:$W$1101,18,0),"")</f>
        <v>_</v>
      </c>
      <c r="BH218" s="448" t="str">
        <f>_xlfn.IFNA(VLOOKUP($AP218,Programma!$F$3:$X$1101,19,0),"")</f>
        <v>_</v>
      </c>
      <c r="BI218" s="448" t="str">
        <f>_xlfn.IFNA(VLOOKUP($AP218,Programma!$F$3:$Y$1101,20,0),"")</f>
        <v>_</v>
      </c>
      <c r="BJ218" s="449"/>
      <c r="BK218" s="447" t="str">
        <f>IF(Ruimtestaat[[#This Row],[Frequentie weekend]]="","",_xlfn.CONCAT(Ruimtestaat[[#This Row],[Ruimte code]],"-",Ruimtestaat[[#This Row],[Frequentie weekend]]," ",Ruimtestaat[[#This Row],[Vloer code]]))</f>
        <v/>
      </c>
      <c r="BL218" s="448" t="str">
        <f>_xlfn.IFNA(VLOOKUP($BK218,Programma!$F$3:$G$1101,2,0),"")</f>
        <v/>
      </c>
      <c r="BM218" s="448" t="str">
        <f>_xlfn.IFNA(VLOOKUP($BK218,Programma!$F$3:$H$1101,3,0),"")</f>
        <v/>
      </c>
      <c r="BN218" s="448" t="str">
        <f>_xlfn.IFNA(VLOOKUP($BK218,Programma!$F$3:$I$1101,4,0),"")</f>
        <v/>
      </c>
      <c r="BO218" s="448" t="str">
        <f>_xlfn.IFNA(VLOOKUP($BK218,Programma!$F$3:$J$1101,5,0),"")</f>
        <v/>
      </c>
      <c r="BP218" s="448" t="str">
        <f>_xlfn.IFNA(VLOOKUP($BK218,Programma!$F$3:$K$1101,6,0),"")</f>
        <v/>
      </c>
      <c r="BQ218" s="448" t="str">
        <f>_xlfn.IFNA(VLOOKUP($BK218,Programma!$F$3:$L$1101,7,0),"")</f>
        <v/>
      </c>
      <c r="BR218" s="448" t="str">
        <f>_xlfn.IFNA(VLOOKUP($BK218,Programma!$F$3:$M$1101,8,0),"")</f>
        <v/>
      </c>
      <c r="BS218" s="448" t="str">
        <f>_xlfn.IFNA(VLOOKUP($BK218,Programma!$F$3:$N$1101,9,0),"")</f>
        <v/>
      </c>
      <c r="BT218" s="448" t="str">
        <f>_xlfn.IFNA(VLOOKUP($BK218,Programma!$F$3:$O$1101,10,0),"")</f>
        <v/>
      </c>
      <c r="BU218" s="448" t="str">
        <f>_xlfn.IFNA(VLOOKUP($BK218,Programma!$F$3:$P$1101,11,0),"")</f>
        <v/>
      </c>
      <c r="BV218" s="448" t="str">
        <f>_xlfn.IFNA(VLOOKUP($BK218,Programma!$F$3:$Q$1101,12,0),"")</f>
        <v/>
      </c>
      <c r="BW218" s="448" t="str">
        <f>_xlfn.IFNA(VLOOKUP($BK218,Programma!$F$3:$R$1101,13,0),"")</f>
        <v/>
      </c>
      <c r="BX218" s="448" t="str">
        <f>_xlfn.IFNA(VLOOKUP($BK218,Programma!$F$3:$S$1101,14,0),"")</f>
        <v/>
      </c>
      <c r="BY218" s="448" t="str">
        <f>_xlfn.IFNA(VLOOKUP($BK218,Programma!$F$3:$T$1101,15,0),"")</f>
        <v/>
      </c>
      <c r="BZ218" s="448" t="str">
        <f>_xlfn.IFNA(VLOOKUP($BK218,Programma!$F$3:$U$1101,16,0),"")</f>
        <v/>
      </c>
      <c r="CA218" s="448" t="str">
        <f>_xlfn.IFNA(VLOOKUP($BK218,Programma!$F$3:$V$1101,17,0),"")</f>
        <v/>
      </c>
      <c r="CB218" s="448" t="str">
        <f>_xlfn.IFNA(VLOOKUP($BK218,Programma!$F$3:$W$1101,18,0),"")</f>
        <v/>
      </c>
      <c r="CC218" s="448" t="str">
        <f>_xlfn.IFNA(VLOOKUP($BK218,Programma!$F$3:$X$1101,19,0),"")</f>
        <v/>
      </c>
      <c r="CD218" s="448" t="str">
        <f>_xlfn.IFNA(VLOOKUP($BK218,Programma!$F$3:$Y$1101,20,0),"")</f>
        <v/>
      </c>
      <c r="CE218" s="327"/>
      <c r="CF218" s="327"/>
      <c r="CG218" s="327"/>
      <c r="CH218" s="327"/>
      <c r="CI218" s="327"/>
      <c r="CJ218" s="327"/>
      <c r="CK218" s="327"/>
      <c r="CL218" s="327"/>
      <c r="CM218" s="327"/>
      <c r="CN218" s="327"/>
      <c r="CO218" s="327"/>
      <c r="CP218" s="327"/>
      <c r="CQ218" s="327"/>
      <c r="CR218" s="327"/>
      <c r="CS218" s="327"/>
      <c r="CT218" s="327"/>
      <c r="CU218" s="327"/>
      <c r="CV218" s="327"/>
      <c r="CW218" s="327"/>
      <c r="CX218" s="327"/>
      <c r="CY218" s="327"/>
      <c r="CZ218" s="327"/>
      <c r="DA218" s="327"/>
      <c r="DB218" s="327"/>
      <c r="DC218" s="327"/>
      <c r="DD218" s="327"/>
      <c r="DE218" s="327"/>
      <c r="DF218" s="327"/>
      <c r="DG218" s="327"/>
      <c r="DH218" s="327"/>
      <c r="DI218" s="327"/>
      <c r="DJ218" s="327"/>
      <c r="DK218" s="327"/>
      <c r="DL218" s="327"/>
      <c r="DM218" s="327"/>
      <c r="DN218" s="327"/>
      <c r="DO218" s="327"/>
      <c r="DP218" s="327"/>
      <c r="DQ218" s="327"/>
      <c r="DR218" s="327"/>
      <c r="DS218" s="327"/>
      <c r="DT218" s="327"/>
      <c r="DU218" s="327"/>
      <c r="DV218" s="327"/>
      <c r="DW218" s="327"/>
      <c r="DX218" s="327"/>
      <c r="DY218" s="327"/>
      <c r="DZ218" s="327"/>
      <c r="EA218" s="327"/>
      <c r="EB218" s="327"/>
      <c r="EC218" s="327"/>
      <c r="ED218" s="327"/>
      <c r="EE218" s="327"/>
      <c r="EF218" s="327"/>
      <c r="EG218" s="327"/>
      <c r="EH218" s="327"/>
      <c r="EI218" s="327"/>
      <c r="EJ218" s="327"/>
      <c r="EK218" s="327"/>
      <c r="EL218" s="327"/>
      <c r="EM218" s="327"/>
      <c r="EN218" s="327"/>
      <c r="EO218" s="327"/>
      <c r="EP218" s="327"/>
      <c r="EQ218" s="327"/>
      <c r="ER218" s="327"/>
      <c r="ES218" s="327"/>
      <c r="ET218" s="327"/>
      <c r="EU218" s="327"/>
      <c r="EV218" s="327"/>
      <c r="EW218" s="327"/>
      <c r="EX218" s="327"/>
      <c r="EY218" s="327"/>
      <c r="EZ218" s="327"/>
      <c r="FA218" s="327"/>
      <c r="FB218" s="327"/>
      <c r="FC218" s="327"/>
      <c r="FD218" s="327"/>
      <c r="FE218" s="327"/>
      <c r="FF218" s="327"/>
      <c r="FG218" s="327"/>
      <c r="FH218" s="327"/>
      <c r="FI218" s="327"/>
      <c r="FJ218" s="327"/>
      <c r="FK218" s="327"/>
      <c r="FL218" s="327"/>
      <c r="FM218" s="327"/>
      <c r="FN218" s="327"/>
      <c r="FO218" s="327"/>
      <c r="FP218" s="327"/>
      <c r="FQ218" s="327"/>
      <c r="FR218" s="327"/>
      <c r="FS218" s="327"/>
      <c r="FT218" s="327"/>
      <c r="FU218" s="327"/>
      <c r="FV218" s="327"/>
      <c r="FW218" s="327"/>
      <c r="FX218" s="327"/>
      <c r="FY218" s="327"/>
      <c r="FZ218" s="327"/>
      <c r="GA218" s="327"/>
      <c r="GB218" s="327"/>
      <c r="GC218" s="327"/>
      <c r="GD218" s="327"/>
      <c r="GE218" s="327"/>
      <c r="GF218" s="327"/>
      <c r="GG218" s="327"/>
      <c r="GH218" s="327"/>
      <c r="GI218" s="327"/>
      <c r="GJ218" s="327"/>
      <c r="GK218" s="327"/>
      <c r="GL218" s="327"/>
      <c r="GM218" s="327"/>
      <c r="GN218" s="327"/>
      <c r="GO218" s="327"/>
      <c r="GP218" s="327"/>
      <c r="GQ218" s="327"/>
      <c r="GR218" s="327"/>
      <c r="GS218" s="327"/>
      <c r="GT218" s="327"/>
      <c r="GU218" s="327"/>
      <c r="GV218" s="327"/>
      <c r="GW218" s="327"/>
      <c r="GX218" s="327"/>
      <c r="GY218" s="327"/>
      <c r="GZ218" s="327"/>
      <c r="HA218" s="327"/>
      <c r="HB218" s="327"/>
      <c r="HC218" s="327"/>
      <c r="HD218" s="327"/>
      <c r="HE218" s="327"/>
      <c r="HF218" s="327"/>
      <c r="HG218" s="327"/>
      <c r="HH218" s="327"/>
      <c r="HI218" s="327"/>
      <c r="HJ218" s="327"/>
      <c r="HK218" s="327"/>
      <c r="HL218" s="327"/>
      <c r="HM218" s="327"/>
      <c r="HN218" s="327"/>
      <c r="HO218" s="327"/>
      <c r="HP218" s="327"/>
      <c r="HQ218" s="327"/>
      <c r="HR218" s="327"/>
      <c r="HS218" s="327"/>
    </row>
    <row r="219" spans="1:227" ht="15" customHeight="1">
      <c r="A219" s="330">
        <v>9</v>
      </c>
      <c r="B219" s="435" t="str">
        <f>VLOOKUP(Ruimtestaat[[#This Row],[Code]],Locaties[[Code]:[Locatie]],2,FALSE)</f>
        <v>IKC De Vijverburgh</v>
      </c>
      <c r="C219" s="435" t="str">
        <f>VLOOKUP(Ruimtestaat[[#This Row],[Code]],Locaties[[#All],[Code]:[Adres]],4,FALSE)</f>
        <v>Paltelaan 3</v>
      </c>
      <c r="D219" s="435" t="str">
        <f>VLOOKUP(Ruimtestaat[[#This Row],[Code]],Locaties[[#All],[Code]:[Postcode]],5,FALSE)</f>
        <v>2712 RN</v>
      </c>
      <c r="E219" s="435" t="str">
        <f>VLOOKUP(Ruimtestaat[[#This Row],[Code]],Locaties[#All],6,FALSE)</f>
        <v>Zoetermeer</v>
      </c>
      <c r="F219" s="434"/>
      <c r="G219" s="434" t="s">
        <v>1678</v>
      </c>
      <c r="H219" s="330" t="s">
        <v>1799</v>
      </c>
      <c r="I219" s="450" t="s">
        <v>1679</v>
      </c>
      <c r="J219" s="330">
        <v>16</v>
      </c>
      <c r="K219" s="450" t="str">
        <f>VLOOKUP(Ruimtestaat[[#This Row],[Ruimte code]],Ruimtegroepen[[#All],[Code]:[Ruimte omschrijving]],2,FALSE)</f>
        <v>Leslokalen</v>
      </c>
      <c r="L219" s="434" t="s">
        <v>100</v>
      </c>
      <c r="M219" s="437" t="s">
        <v>1759</v>
      </c>
      <c r="N219" s="439">
        <v>56</v>
      </c>
      <c r="O219" s="439"/>
      <c r="P219" s="439"/>
      <c r="Q219" s="439"/>
      <c r="R219" s="440" t="str">
        <f>VLOOKUP(Ruimtestaat[[#This Row],[Ruimte code]],Ruimtegroepen[],4,FALSE)</f>
        <v>Le</v>
      </c>
      <c r="S219" s="434">
        <v>40</v>
      </c>
      <c r="T219" s="434" t="s">
        <v>17</v>
      </c>
      <c r="U219" s="434">
        <f>IF(S219&gt;0,IF(RIGHT(Ruimtestaat[[#This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V219" s="434">
        <f>IF(U219&gt;0,VLOOKUP($J219,Ruimtegroepen[],3,FALSE)*VLOOKUP($L219,Vloersoorten[],3,FALSE)*VLOOKUP($T219,Frequenties[],3,FALSE)*VLOOKUP($A219,Locaties[],3,FALSE),0)</f>
        <v>0</v>
      </c>
      <c r="W219" s="434">
        <f>Ruimtestaat[[#This Row],[Uitvoeringen werkdagen]]*Ruimtestaat[[#This Row],[Oppervlak (netto)]]</f>
        <v>4480</v>
      </c>
      <c r="X219" s="441">
        <f>IF(V219&gt;0,Ruimtestaat[[#This Row],[Prest. (m2 /jaar) werkdagen]]/Ruimtestaat[[#This Row],[Norm (m2/uur) werkdagen]],0)</f>
        <v>0</v>
      </c>
      <c r="Y219" s="442">
        <f>Ruimtestaat[[#This Row],[Uitvoeringen werkdagen]]*Ruimtestaat[[#This Row],[Gedeeltelijk]]</f>
        <v>0</v>
      </c>
      <c r="Z219" s="443" t="e">
        <f>IF(U219&gt;0,Ruimtestaat[[#This Row],[Prest. (m2 / jaar) werkdagen gedeeld]]/Ruimtestaat[[#This Row],[Norm (m2/uur) werkdagen]],0)</f>
        <v>#DIV/0!</v>
      </c>
      <c r="AA219" s="441" t="e">
        <f>Ruimtestaat[[#This Row],[uren / jaar werkdagen gedeeld]]*Tariefsopbouw!$E$35</f>
        <v>#DIV/0!</v>
      </c>
      <c r="AB219" s="441">
        <f>Ruimtestaat[[#This Row],[Uitvoeringen werkdagen]]*Ruimtestaat[[#This Row],[BSO]]</f>
        <v>0</v>
      </c>
      <c r="AC219" s="443" t="e">
        <f>IF(U219&gt;0,Ruimtestaat[[#This Row],[Prest. (m2 / jaar) werkdagen BSO]]/Ruimtestaat[[#This Row],[Norm (m2/uur) werkdagen]],0)</f>
        <v>#DIV/0!</v>
      </c>
      <c r="AD219" s="443" t="e">
        <f>Ruimtestaat[[#This Row],[uren / jaar werkdagen BSO]]*Tariefsopbouw!$E$35</f>
        <v>#DIV/0!</v>
      </c>
      <c r="AE219" s="444">
        <f>Ruimtestaat[[#This Row],[uren / jaar werkdagen]]*Tariefsopbouw!$E$35</f>
        <v>0</v>
      </c>
      <c r="AF219" s="434"/>
      <c r="AG219" s="434">
        <f>IF(Ruimtestaat[[#This Row],[Frequentie weekend]]&gt;0,VALUE(LEFT(AF219,1))*S219,0)</f>
        <v>0</v>
      </c>
      <c r="AH219" s="445">
        <f>IF($AG219&gt;0,VLOOKUP($J219,Ruimtegroepen[],3,FALSE)*VLOOKUP($L219,Vloersoorten[],3,FALSE)*VLOOKUP($AF219,Frequenties[],3,FALSE)*VLOOKUP(Ruimtestaat[[#This Row],[Code]],Locaties[],3,FALSE),0)</f>
        <v>0</v>
      </c>
      <c r="AI219" s="445">
        <f>Ruimtestaat[[#This Row],[Uitvoeringen weekend]]*Ruimtestaat[[#This Row],[Oppervlak (netto)]]</f>
        <v>0</v>
      </c>
      <c r="AJ219" s="445">
        <f>IF(AH219&gt;0,Ruimtestaat[[#This Row],[Prest. (m2 /jaar) weekend]]/Ruimtestaat[[#This Row],[Norm (m2/uur) weekend]],0)</f>
        <v>0</v>
      </c>
      <c r="AK219" s="444">
        <f>Ruimtestaat[[#This Row],[uren / jaar weekend]]*Tariefsopbouw!$D$40</f>
        <v>0</v>
      </c>
      <c r="AL219" s="441">
        <f>Ruimtestaat[[#This Row],[Prest. (m2 /jaar) weekend]]+Ruimtestaat[[#This Row],[Prest. (m2 /jaar) werkdagen]]</f>
        <v>4480</v>
      </c>
      <c r="AM219" s="441">
        <f>Ruimtestaat[[#This Row],[uren / jaar weekend]]+Ruimtestaat[[#This Row],[uren / jaar werkdagen]]</f>
        <v>0</v>
      </c>
      <c r="AN219" s="446">
        <f>Ruimtestaat[[#This Row],[kosten / jaar weekend]]+Ruimtestaat[[#This Row],[kosten / jaar werkdagen]]</f>
        <v>0</v>
      </c>
      <c r="AO219" s="446"/>
      <c r="AP219" s="447" t="str">
        <f>IF(Ruimtestaat[[#This Row],[Frequentie werkdagen]]="","",_xlfn.CONCAT(Ruimtestaat[[#This Row],[Ruimte code]],"-",Ruimtestaat[[#This Row],[Frequentie werkdagen]]," ",Ruimtestaat[[#This Row],[Vloer code]]))</f>
        <v>16-2w L</v>
      </c>
      <c r="AQ219" s="448" t="str">
        <f>_xlfn.IFNA(VLOOKUP($AP219,Programma!$F$3:$G$1101,2,0),"")</f>
        <v>_</v>
      </c>
      <c r="AR219" s="448" t="str">
        <f>_xlfn.IFNA(VLOOKUP($AP219,Programma!$F$3:$H$1101,3,0),"")</f>
        <v>_</v>
      </c>
      <c r="AS219" s="448" t="str">
        <f>_xlfn.IFNA(VLOOKUP($AP219,Programma!$F$3:$I$1101,4,0),"")</f>
        <v>_</v>
      </c>
      <c r="AT219" s="448" t="str">
        <f>_xlfn.IFNA(VLOOKUP($AP219,Programma!$F$3:$J$1101,5,0),"")</f>
        <v>2w</v>
      </c>
      <c r="AU219" s="448" t="str">
        <f>_xlfn.IFNA(VLOOKUP($AP219,Programma!$F$3:$K$1101,6,0),"")</f>
        <v>_</v>
      </c>
      <c r="AV219" s="448" t="str">
        <f>_xlfn.IFNA(VLOOKUP($AP219,Programma!$F$3:$L$1101,7,0),"")</f>
        <v>_</v>
      </c>
      <c r="AW219" s="448" t="str">
        <f>_xlfn.IFNA(VLOOKUP($AP219,Programma!$F$3:$M$1101,8,0),"")</f>
        <v>_</v>
      </c>
      <c r="AX219" s="448" t="str">
        <f>_xlfn.IFNA(VLOOKUP($AP219,Programma!$F$3:$N$1101,9,0),"")</f>
        <v>_</v>
      </c>
      <c r="AY219" s="448" t="str">
        <f>_xlfn.IFNA(VLOOKUP($AP219,Programma!$F$3:$O$1101,10,0),"")</f>
        <v>2w</v>
      </c>
      <c r="AZ219" s="448" t="str">
        <f>_xlfn.IFNA(VLOOKUP($AP219,Programma!$F$3:$P$1101,11,0),"")</f>
        <v>2w</v>
      </c>
      <c r="BA219" s="448" t="str">
        <f>_xlfn.IFNA(VLOOKUP($AP219,Programma!$F$3:$Q$1101,12,0),"")</f>
        <v>1w</v>
      </c>
      <c r="BB219" s="448" t="str">
        <f>_xlfn.IFNA(VLOOKUP($AP219,Programma!$F$3:$R$1101,13,0),"")</f>
        <v>1w</v>
      </c>
      <c r="BC219" s="448" t="str">
        <f>_xlfn.IFNA(VLOOKUP($AP219,Programma!$F$3:$S$1101,14,0),"")</f>
        <v>1m</v>
      </c>
      <c r="BD219" s="448" t="str">
        <f>_xlfn.IFNA(VLOOKUP($AP219,Programma!$F$3:$T$1101,15,0),"")</f>
        <v>2j</v>
      </c>
      <c r="BE219" s="448" t="str">
        <f>_xlfn.IFNA(VLOOKUP($AP219,Programma!$F$3:$U$1101,16,0),"")</f>
        <v>1j</v>
      </c>
      <c r="BF219" s="448" t="str">
        <f>_xlfn.IFNA(VLOOKUP($AP219,Programma!$F$3:$V$1101,17,0),"")</f>
        <v>_</v>
      </c>
      <c r="BG219" s="448" t="str">
        <f>_xlfn.IFNA(VLOOKUP($AP219,Programma!$F$3:$W$1101,18,0),"")</f>
        <v>_</v>
      </c>
      <c r="BH219" s="448" t="str">
        <f>_xlfn.IFNA(VLOOKUP($AP219,Programma!$F$3:$X$1101,19,0),"")</f>
        <v>_</v>
      </c>
      <c r="BI219" s="448" t="str">
        <f>_xlfn.IFNA(VLOOKUP($AP219,Programma!$F$3:$Y$1101,20,0),"")</f>
        <v>_</v>
      </c>
      <c r="BJ219" s="449"/>
      <c r="BK219" s="447" t="str">
        <f>IF(Ruimtestaat[[#This Row],[Frequentie weekend]]="","",_xlfn.CONCAT(Ruimtestaat[[#This Row],[Ruimte code]],"-",Ruimtestaat[[#This Row],[Frequentie weekend]]," ",Ruimtestaat[[#This Row],[Vloer code]]))</f>
        <v/>
      </c>
      <c r="BL219" s="448" t="str">
        <f>_xlfn.IFNA(VLOOKUP($BK219,Programma!$F$3:$G$1101,2,0),"")</f>
        <v/>
      </c>
      <c r="BM219" s="448" t="str">
        <f>_xlfn.IFNA(VLOOKUP($BK219,Programma!$F$3:$H$1101,3,0),"")</f>
        <v/>
      </c>
      <c r="BN219" s="448" t="str">
        <f>_xlfn.IFNA(VLOOKUP($BK219,Programma!$F$3:$I$1101,4,0),"")</f>
        <v/>
      </c>
      <c r="BO219" s="448" t="str">
        <f>_xlfn.IFNA(VLOOKUP($BK219,Programma!$F$3:$J$1101,5,0),"")</f>
        <v/>
      </c>
      <c r="BP219" s="448" t="str">
        <f>_xlfn.IFNA(VLOOKUP($BK219,Programma!$F$3:$K$1101,6,0),"")</f>
        <v/>
      </c>
      <c r="BQ219" s="448" t="str">
        <f>_xlfn.IFNA(VLOOKUP($BK219,Programma!$F$3:$L$1101,7,0),"")</f>
        <v/>
      </c>
      <c r="BR219" s="448" t="str">
        <f>_xlfn.IFNA(VLOOKUP($BK219,Programma!$F$3:$M$1101,8,0),"")</f>
        <v/>
      </c>
      <c r="BS219" s="448" t="str">
        <f>_xlfn.IFNA(VLOOKUP($BK219,Programma!$F$3:$N$1101,9,0),"")</f>
        <v/>
      </c>
      <c r="BT219" s="448" t="str">
        <f>_xlfn.IFNA(VLOOKUP($BK219,Programma!$F$3:$O$1101,10,0),"")</f>
        <v/>
      </c>
      <c r="BU219" s="448" t="str">
        <f>_xlfn.IFNA(VLOOKUP($BK219,Programma!$F$3:$P$1101,11,0),"")</f>
        <v/>
      </c>
      <c r="BV219" s="448" t="str">
        <f>_xlfn.IFNA(VLOOKUP($BK219,Programma!$F$3:$Q$1101,12,0),"")</f>
        <v/>
      </c>
      <c r="BW219" s="448" t="str">
        <f>_xlfn.IFNA(VLOOKUP($BK219,Programma!$F$3:$R$1101,13,0),"")</f>
        <v/>
      </c>
      <c r="BX219" s="448" t="str">
        <f>_xlfn.IFNA(VLOOKUP($BK219,Programma!$F$3:$S$1101,14,0),"")</f>
        <v/>
      </c>
      <c r="BY219" s="448" t="str">
        <f>_xlfn.IFNA(VLOOKUP($BK219,Programma!$F$3:$T$1101,15,0),"")</f>
        <v/>
      </c>
      <c r="BZ219" s="448" t="str">
        <f>_xlfn.IFNA(VLOOKUP($BK219,Programma!$F$3:$U$1101,16,0),"")</f>
        <v/>
      </c>
      <c r="CA219" s="448" t="str">
        <f>_xlfn.IFNA(VLOOKUP($BK219,Programma!$F$3:$V$1101,17,0),"")</f>
        <v/>
      </c>
      <c r="CB219" s="448" t="str">
        <f>_xlfn.IFNA(VLOOKUP($BK219,Programma!$F$3:$W$1101,18,0),"")</f>
        <v/>
      </c>
      <c r="CC219" s="448" t="str">
        <f>_xlfn.IFNA(VLOOKUP($BK219,Programma!$F$3:$X$1101,19,0),"")</f>
        <v/>
      </c>
      <c r="CD219" s="448" t="str">
        <f>_xlfn.IFNA(VLOOKUP($BK219,Programma!$F$3:$Y$1101,20,0),"")</f>
        <v/>
      </c>
      <c r="CE219" s="327"/>
      <c r="CF219" s="327"/>
      <c r="CG219" s="327"/>
      <c r="CH219" s="327"/>
      <c r="CI219" s="327"/>
      <c r="CJ219" s="327"/>
      <c r="CK219" s="327"/>
      <c r="CL219" s="327"/>
      <c r="CM219" s="327"/>
      <c r="CN219" s="327"/>
      <c r="CO219" s="327"/>
      <c r="CP219" s="327"/>
      <c r="CQ219" s="327"/>
      <c r="CR219" s="327"/>
      <c r="CS219" s="327"/>
      <c r="CT219" s="327"/>
      <c r="CU219" s="327"/>
      <c r="CV219" s="327"/>
      <c r="CW219" s="327"/>
      <c r="CX219" s="327"/>
      <c r="CY219" s="327"/>
      <c r="CZ219" s="327"/>
      <c r="DA219" s="327"/>
      <c r="DB219" s="327"/>
      <c r="DC219" s="327"/>
      <c r="DD219" s="327"/>
      <c r="DE219" s="327"/>
      <c r="DF219" s="327"/>
      <c r="DG219" s="327"/>
      <c r="DH219" s="327"/>
      <c r="DI219" s="327"/>
      <c r="DJ219" s="327"/>
      <c r="DK219" s="327"/>
      <c r="DL219" s="327"/>
      <c r="DM219" s="327"/>
      <c r="DN219" s="327"/>
      <c r="DO219" s="327"/>
      <c r="DP219" s="327"/>
      <c r="DQ219" s="327"/>
      <c r="DR219" s="327"/>
      <c r="DS219" s="327"/>
      <c r="DT219" s="327"/>
      <c r="DU219" s="327"/>
      <c r="DV219" s="327"/>
      <c r="DW219" s="327"/>
      <c r="DX219" s="327"/>
      <c r="DY219" s="327"/>
      <c r="DZ219" s="327"/>
      <c r="EA219" s="327"/>
      <c r="EB219" s="327"/>
      <c r="EC219" s="327"/>
      <c r="ED219" s="327"/>
      <c r="EE219" s="327"/>
      <c r="EF219" s="327"/>
      <c r="EG219" s="327"/>
      <c r="EH219" s="327"/>
      <c r="EI219" s="327"/>
      <c r="EJ219" s="327"/>
      <c r="EK219" s="327"/>
      <c r="EL219" s="327"/>
      <c r="EM219" s="327"/>
      <c r="EN219" s="327"/>
      <c r="EO219" s="327"/>
      <c r="EP219" s="327"/>
      <c r="EQ219" s="327"/>
      <c r="ER219" s="327"/>
      <c r="ES219" s="327"/>
      <c r="ET219" s="327"/>
      <c r="EU219" s="327"/>
      <c r="EV219" s="327"/>
      <c r="EW219" s="327"/>
      <c r="EX219" s="327"/>
      <c r="EY219" s="327"/>
      <c r="EZ219" s="327"/>
      <c r="FA219" s="327"/>
      <c r="FB219" s="327"/>
      <c r="FC219" s="327"/>
      <c r="FD219" s="327"/>
      <c r="FE219" s="327"/>
      <c r="FF219" s="327"/>
      <c r="FG219" s="327"/>
      <c r="FH219" s="327"/>
      <c r="FI219" s="327"/>
      <c r="FJ219" s="327"/>
      <c r="FK219" s="327"/>
      <c r="FL219" s="327"/>
      <c r="FM219" s="327"/>
      <c r="FN219" s="327"/>
      <c r="FO219" s="327"/>
      <c r="FP219" s="327"/>
      <c r="FQ219" s="327"/>
      <c r="FR219" s="327"/>
      <c r="FS219" s="327"/>
      <c r="FT219" s="327"/>
      <c r="FU219" s="327"/>
      <c r="FV219" s="327"/>
      <c r="FW219" s="327"/>
      <c r="FX219" s="327"/>
      <c r="FY219" s="327"/>
      <c r="FZ219" s="327"/>
      <c r="GA219" s="327"/>
      <c r="GB219" s="327"/>
      <c r="GC219" s="327"/>
      <c r="GD219" s="327"/>
      <c r="GE219" s="327"/>
      <c r="GF219" s="327"/>
      <c r="GG219" s="327"/>
      <c r="GH219" s="327"/>
      <c r="GI219" s="327"/>
      <c r="GJ219" s="327"/>
      <c r="GK219" s="327"/>
      <c r="GL219" s="327"/>
      <c r="GM219" s="327"/>
      <c r="GN219" s="327"/>
      <c r="GO219" s="327"/>
      <c r="GP219" s="327"/>
      <c r="GQ219" s="327"/>
      <c r="GR219" s="327"/>
      <c r="GS219" s="327"/>
      <c r="GT219" s="327"/>
      <c r="GU219" s="327"/>
      <c r="GV219" s="327"/>
      <c r="GW219" s="327"/>
      <c r="GX219" s="327"/>
      <c r="GY219" s="327"/>
      <c r="GZ219" s="327"/>
      <c r="HA219" s="327"/>
      <c r="HB219" s="327"/>
      <c r="HC219" s="327"/>
      <c r="HD219" s="327"/>
      <c r="HE219" s="327"/>
      <c r="HF219" s="327"/>
      <c r="HG219" s="327"/>
      <c r="HH219" s="327"/>
      <c r="HI219" s="327"/>
      <c r="HJ219" s="327"/>
      <c r="HK219" s="327"/>
      <c r="HL219" s="327"/>
      <c r="HM219" s="327"/>
      <c r="HN219" s="327"/>
      <c r="HO219" s="327"/>
      <c r="HP219" s="327"/>
      <c r="HQ219" s="327"/>
      <c r="HR219" s="327"/>
      <c r="HS219" s="327"/>
    </row>
    <row r="220" spans="1:227" ht="15" customHeight="1">
      <c r="A220" s="330">
        <v>9</v>
      </c>
      <c r="B220" s="435" t="str">
        <f>VLOOKUP(Ruimtestaat[[#This Row],[Code]],Locaties[[Code]:[Locatie]],2,FALSE)</f>
        <v>IKC De Vijverburgh</v>
      </c>
      <c r="C220" s="435" t="str">
        <f>VLOOKUP(Ruimtestaat[[#This Row],[Code]],Locaties[[#All],[Code]:[Adres]],4,FALSE)</f>
        <v>Paltelaan 3</v>
      </c>
      <c r="D220" s="435" t="str">
        <f>VLOOKUP(Ruimtestaat[[#This Row],[Code]],Locaties[[#All],[Code]:[Postcode]],5,FALSE)</f>
        <v>2712 RN</v>
      </c>
      <c r="E220" s="435" t="str">
        <f>VLOOKUP(Ruimtestaat[[#This Row],[Code]],Locaties[#All],6,FALSE)</f>
        <v>Zoetermeer</v>
      </c>
      <c r="F220" s="434"/>
      <c r="G220" s="434" t="s">
        <v>1678</v>
      </c>
      <c r="H220" s="330" t="s">
        <v>1800</v>
      </c>
      <c r="I220" s="450" t="s">
        <v>1673</v>
      </c>
      <c r="J220" s="330">
        <v>5</v>
      </c>
      <c r="K220" s="450" t="str">
        <f>VLOOKUP(Ruimtestaat[[#This Row],[Ruimte code]],Ruimtegroepen[[#All],[Code]:[Ruimte omschrijving]],2,FALSE)</f>
        <v>Sanitair</v>
      </c>
      <c r="L220" s="434" t="s">
        <v>101</v>
      </c>
      <c r="M220" s="437" t="s">
        <v>1816</v>
      </c>
      <c r="N220" s="439">
        <v>7</v>
      </c>
      <c r="O220" s="439"/>
      <c r="P220" s="439"/>
      <c r="Q220" s="439"/>
      <c r="R220" s="440" t="str">
        <f>VLOOKUP(Ruimtestaat[[#This Row],[Ruimte code]],Ruimtegroepen[],4,FALSE)</f>
        <v>Sa</v>
      </c>
      <c r="S220" s="434">
        <v>41</v>
      </c>
      <c r="T220" s="434" t="s">
        <v>2</v>
      </c>
      <c r="U220" s="434">
        <f>IF(S220&gt;0,IF(RIGHT(Ruimtestaat[[#This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20" s="434">
        <f>IF(U220&gt;0,VLOOKUP($J220,Ruimtegroepen[],3,FALSE)*VLOOKUP($L220,Vloersoorten[],3,FALSE)*VLOOKUP($T220,Frequenties[],3,FALSE)*VLOOKUP($A220,Locaties[],3,FALSE),0)</f>
        <v>0</v>
      </c>
      <c r="W220" s="434">
        <f>Ruimtestaat[[#This Row],[Uitvoeringen werkdagen]]*Ruimtestaat[[#This Row],[Oppervlak (netto)]]</f>
        <v>1435</v>
      </c>
      <c r="X220" s="441">
        <f>IF(V220&gt;0,Ruimtestaat[[#This Row],[Prest. (m2 /jaar) werkdagen]]/Ruimtestaat[[#This Row],[Norm (m2/uur) werkdagen]],0)</f>
        <v>0</v>
      </c>
      <c r="Y220" s="442">
        <f>Ruimtestaat[[#This Row],[Uitvoeringen werkdagen]]*Ruimtestaat[[#This Row],[Gedeeltelijk]]</f>
        <v>0</v>
      </c>
      <c r="Z220" s="443" t="e">
        <f>IF(U220&gt;0,Ruimtestaat[[#This Row],[Prest. (m2 / jaar) werkdagen gedeeld]]/Ruimtestaat[[#This Row],[Norm (m2/uur) werkdagen]],0)</f>
        <v>#DIV/0!</v>
      </c>
      <c r="AA220" s="441" t="e">
        <f>Ruimtestaat[[#This Row],[uren / jaar werkdagen gedeeld]]*Tariefsopbouw!$E$35</f>
        <v>#DIV/0!</v>
      </c>
      <c r="AB220" s="441">
        <f>Ruimtestaat[[#This Row],[Uitvoeringen werkdagen]]*Ruimtestaat[[#This Row],[BSO]]</f>
        <v>0</v>
      </c>
      <c r="AC220" s="443" t="e">
        <f>IF(U220&gt;0,Ruimtestaat[[#This Row],[Prest. (m2 / jaar) werkdagen BSO]]/Ruimtestaat[[#This Row],[Norm (m2/uur) werkdagen]],0)</f>
        <v>#DIV/0!</v>
      </c>
      <c r="AD220" s="443" t="e">
        <f>Ruimtestaat[[#This Row],[uren / jaar werkdagen BSO]]*Tariefsopbouw!$E$35</f>
        <v>#DIV/0!</v>
      </c>
      <c r="AE220" s="444">
        <f>Ruimtestaat[[#This Row],[uren / jaar werkdagen]]*Tariefsopbouw!$E$35</f>
        <v>0</v>
      </c>
      <c r="AF220" s="434"/>
      <c r="AG220" s="434">
        <f>IF(Ruimtestaat[[#This Row],[Frequentie weekend]]&gt;0,VALUE(LEFT(AF220,1))*S220,0)</f>
        <v>0</v>
      </c>
      <c r="AH220" s="445">
        <f>IF($AG220&gt;0,VLOOKUP($J220,Ruimtegroepen[],3,FALSE)*VLOOKUP($L220,Vloersoorten[],3,FALSE)*VLOOKUP($AF220,Frequenties[],3,FALSE)*VLOOKUP(Ruimtestaat[[#This Row],[Code]],Locaties[],3,FALSE),0)</f>
        <v>0</v>
      </c>
      <c r="AI220" s="445">
        <f>Ruimtestaat[[#This Row],[Uitvoeringen weekend]]*Ruimtestaat[[#This Row],[Oppervlak (netto)]]</f>
        <v>0</v>
      </c>
      <c r="AJ220" s="445">
        <f>IF(AH220&gt;0,Ruimtestaat[[#This Row],[Prest. (m2 /jaar) weekend]]/Ruimtestaat[[#This Row],[Norm (m2/uur) weekend]],0)</f>
        <v>0</v>
      </c>
      <c r="AK220" s="444">
        <f>Ruimtestaat[[#This Row],[uren / jaar weekend]]*Tariefsopbouw!$D$40</f>
        <v>0</v>
      </c>
      <c r="AL220" s="441">
        <f>Ruimtestaat[[#This Row],[Prest. (m2 /jaar) weekend]]+Ruimtestaat[[#This Row],[Prest. (m2 /jaar) werkdagen]]</f>
        <v>1435</v>
      </c>
      <c r="AM220" s="441">
        <f>Ruimtestaat[[#This Row],[uren / jaar weekend]]+Ruimtestaat[[#This Row],[uren / jaar werkdagen]]</f>
        <v>0</v>
      </c>
      <c r="AN220" s="446">
        <f>Ruimtestaat[[#This Row],[kosten / jaar weekend]]+Ruimtestaat[[#This Row],[kosten / jaar werkdagen]]</f>
        <v>0</v>
      </c>
      <c r="AO220" s="446"/>
      <c r="AP220" s="447" t="str">
        <f>IF(Ruimtestaat[[#This Row],[Frequentie werkdagen]]="","",_xlfn.CONCAT(Ruimtestaat[[#This Row],[Ruimte code]],"-",Ruimtestaat[[#This Row],[Frequentie werkdagen]]," ",Ruimtestaat[[#This Row],[Vloer code]]))</f>
        <v>5-5w S</v>
      </c>
      <c r="AQ220" s="448" t="str">
        <f>_xlfn.IFNA(VLOOKUP($AP220,Programma!$F$3:$G$1101,2,0),"")</f>
        <v>_</v>
      </c>
      <c r="AR220" s="448" t="str">
        <f>_xlfn.IFNA(VLOOKUP($AP220,Programma!$F$3:$H$1101,3,0),"")</f>
        <v>_</v>
      </c>
      <c r="AS220" s="448" t="str">
        <f>_xlfn.IFNA(VLOOKUP($AP220,Programma!$F$3:$I$1101,4,0),"")</f>
        <v>_</v>
      </c>
      <c r="AT220" s="448" t="str">
        <f>_xlfn.IFNA(VLOOKUP($AP220,Programma!$F$3:$J$1101,5,0),"")</f>
        <v>4w</v>
      </c>
      <c r="AU220" s="448" t="str">
        <f>_xlfn.IFNA(VLOOKUP($AP220,Programma!$F$3:$K$1101,6,0),"")</f>
        <v>1w</v>
      </c>
      <c r="AV220" s="448" t="str">
        <f>_xlfn.IFNA(VLOOKUP($AP220,Programma!$F$3:$L$1101,7,0),"")</f>
        <v>_</v>
      </c>
      <c r="AW220" s="448" t="str">
        <f>_xlfn.IFNA(VLOOKUP($AP220,Programma!$F$3:$M$1101,8,0),"")</f>
        <v>_</v>
      </c>
      <c r="AX220" s="448" t="str">
        <f>_xlfn.IFNA(VLOOKUP($AP220,Programma!$F$3:$N$1101,9,0),"")</f>
        <v>_</v>
      </c>
      <c r="AY220" s="448" t="str">
        <f>_xlfn.IFNA(VLOOKUP($AP220,Programma!$F$3:$O$1101,10,0),"")</f>
        <v>_</v>
      </c>
      <c r="AZ220" s="448" t="str">
        <f>_xlfn.IFNA(VLOOKUP($AP220,Programma!$F$3:$P$1101,11,0),"")</f>
        <v>_</v>
      </c>
      <c r="BA220" s="448" t="str">
        <f>_xlfn.IFNA(VLOOKUP($AP220,Programma!$F$3:$Q$1101,12,0),"")</f>
        <v>_</v>
      </c>
      <c r="BB220" s="448" t="str">
        <f>_xlfn.IFNA(VLOOKUP($AP220,Programma!$F$3:$R$1101,13,0),"")</f>
        <v>_</v>
      </c>
      <c r="BC220" s="448" t="str">
        <f>_xlfn.IFNA(VLOOKUP($AP220,Programma!$F$3:$S$1101,14,0),"")</f>
        <v>_</v>
      </c>
      <c r="BD220" s="448" t="str">
        <f>_xlfn.IFNA(VLOOKUP($AP220,Programma!$F$3:$T$1101,15,0),"")</f>
        <v>_</v>
      </c>
      <c r="BE220" s="448" t="str">
        <f>_xlfn.IFNA(VLOOKUP($AP220,Programma!$F$3:$U$1101,16,0),"")</f>
        <v>_</v>
      </c>
      <c r="BF220" s="448" t="str">
        <f>_xlfn.IFNA(VLOOKUP($AP220,Programma!$F$3:$V$1101,17,0),"")</f>
        <v>_</v>
      </c>
      <c r="BG220" s="448" t="str">
        <f>_xlfn.IFNA(VLOOKUP($AP220,Programma!$F$3:$W$1101,18,0),"")</f>
        <v>4w</v>
      </c>
      <c r="BH220" s="448" t="str">
        <f>_xlfn.IFNA(VLOOKUP($AP220,Programma!$F$3:$X$1101,19,0),"")</f>
        <v>1w</v>
      </c>
      <c r="BI220" s="448" t="str">
        <f>_xlfn.IFNA(VLOOKUP($AP220,Programma!$F$3:$Y$1101,20,0),"")</f>
        <v>_</v>
      </c>
      <c r="BJ220" s="449"/>
      <c r="BK220" s="447" t="str">
        <f>IF(Ruimtestaat[[#This Row],[Frequentie weekend]]="","",_xlfn.CONCAT(Ruimtestaat[[#This Row],[Ruimte code]],"-",Ruimtestaat[[#This Row],[Frequentie weekend]]," ",Ruimtestaat[[#This Row],[Vloer code]]))</f>
        <v/>
      </c>
      <c r="BL220" s="448" t="str">
        <f>_xlfn.IFNA(VLOOKUP($BK220,Programma!$F$3:$G$1101,2,0),"")</f>
        <v/>
      </c>
      <c r="BM220" s="448" t="str">
        <f>_xlfn.IFNA(VLOOKUP($BK220,Programma!$F$3:$H$1101,3,0),"")</f>
        <v/>
      </c>
      <c r="BN220" s="448" t="str">
        <f>_xlfn.IFNA(VLOOKUP($BK220,Programma!$F$3:$I$1101,4,0),"")</f>
        <v/>
      </c>
      <c r="BO220" s="448" t="str">
        <f>_xlfn.IFNA(VLOOKUP($BK220,Programma!$F$3:$J$1101,5,0),"")</f>
        <v/>
      </c>
      <c r="BP220" s="448" t="str">
        <f>_xlfn.IFNA(VLOOKUP($BK220,Programma!$F$3:$K$1101,6,0),"")</f>
        <v/>
      </c>
      <c r="BQ220" s="448" t="str">
        <f>_xlfn.IFNA(VLOOKUP($BK220,Programma!$F$3:$L$1101,7,0),"")</f>
        <v/>
      </c>
      <c r="BR220" s="448" t="str">
        <f>_xlfn.IFNA(VLOOKUP($BK220,Programma!$F$3:$M$1101,8,0),"")</f>
        <v/>
      </c>
      <c r="BS220" s="448" t="str">
        <f>_xlfn.IFNA(VLOOKUP($BK220,Programma!$F$3:$N$1101,9,0),"")</f>
        <v/>
      </c>
      <c r="BT220" s="448" t="str">
        <f>_xlfn.IFNA(VLOOKUP($BK220,Programma!$F$3:$O$1101,10,0),"")</f>
        <v/>
      </c>
      <c r="BU220" s="448" t="str">
        <f>_xlfn.IFNA(VLOOKUP($BK220,Programma!$F$3:$P$1101,11,0),"")</f>
        <v/>
      </c>
      <c r="BV220" s="448" t="str">
        <f>_xlfn.IFNA(VLOOKUP($BK220,Programma!$F$3:$Q$1101,12,0),"")</f>
        <v/>
      </c>
      <c r="BW220" s="448" t="str">
        <f>_xlfn.IFNA(VLOOKUP($BK220,Programma!$F$3:$R$1101,13,0),"")</f>
        <v/>
      </c>
      <c r="BX220" s="448" t="str">
        <f>_xlfn.IFNA(VLOOKUP($BK220,Programma!$F$3:$S$1101,14,0),"")</f>
        <v/>
      </c>
      <c r="BY220" s="448" t="str">
        <f>_xlfn.IFNA(VLOOKUP($BK220,Programma!$F$3:$T$1101,15,0),"")</f>
        <v/>
      </c>
      <c r="BZ220" s="448" t="str">
        <f>_xlfn.IFNA(VLOOKUP($BK220,Programma!$F$3:$U$1101,16,0),"")</f>
        <v/>
      </c>
      <c r="CA220" s="448" t="str">
        <f>_xlfn.IFNA(VLOOKUP($BK220,Programma!$F$3:$V$1101,17,0),"")</f>
        <v/>
      </c>
      <c r="CB220" s="448" t="str">
        <f>_xlfn.IFNA(VLOOKUP($BK220,Programma!$F$3:$W$1101,18,0),"")</f>
        <v/>
      </c>
      <c r="CC220" s="448" t="str">
        <f>_xlfn.IFNA(VLOOKUP($BK220,Programma!$F$3:$X$1101,19,0),"")</f>
        <v/>
      </c>
      <c r="CD220" s="448" t="str">
        <f>_xlfn.IFNA(VLOOKUP($BK220,Programma!$F$3:$Y$1101,20,0),"")</f>
        <v/>
      </c>
      <c r="CE220" s="327"/>
      <c r="CF220" s="327"/>
      <c r="CG220" s="327"/>
      <c r="CH220" s="327"/>
      <c r="CI220" s="327"/>
      <c r="CJ220" s="327"/>
      <c r="CK220" s="327"/>
      <c r="CL220" s="327"/>
      <c r="CM220" s="327"/>
      <c r="CN220" s="327"/>
      <c r="CO220" s="327"/>
      <c r="CP220" s="327"/>
      <c r="CQ220" s="327"/>
      <c r="CR220" s="327"/>
      <c r="CS220" s="327"/>
      <c r="CT220" s="327"/>
      <c r="CU220" s="327"/>
      <c r="CV220" s="327"/>
      <c r="CW220" s="327"/>
      <c r="CX220" s="327"/>
      <c r="CY220" s="327"/>
      <c r="CZ220" s="327"/>
      <c r="DA220" s="327"/>
      <c r="DB220" s="327"/>
      <c r="DC220" s="327"/>
      <c r="DD220" s="327"/>
      <c r="DE220" s="327"/>
      <c r="DF220" s="327"/>
      <c r="DG220" s="327"/>
      <c r="DH220" s="327"/>
      <c r="DI220" s="327"/>
      <c r="DJ220" s="327"/>
      <c r="DK220" s="327"/>
      <c r="DL220" s="327"/>
      <c r="DM220" s="327"/>
      <c r="DN220" s="327"/>
      <c r="DO220" s="327"/>
      <c r="DP220" s="327"/>
      <c r="DQ220" s="327"/>
      <c r="DR220" s="327"/>
      <c r="DS220" s="327"/>
      <c r="DT220" s="327"/>
      <c r="DU220" s="327"/>
      <c r="DV220" s="327"/>
      <c r="DW220" s="327"/>
      <c r="DX220" s="327"/>
      <c r="DY220" s="327"/>
      <c r="DZ220" s="327"/>
      <c r="EA220" s="327"/>
      <c r="EB220" s="327"/>
      <c r="EC220" s="327"/>
      <c r="ED220" s="327"/>
      <c r="EE220" s="327"/>
      <c r="EF220" s="327"/>
      <c r="EG220" s="327"/>
      <c r="EH220" s="327"/>
      <c r="EI220" s="327"/>
      <c r="EJ220" s="327"/>
      <c r="EK220" s="327"/>
      <c r="EL220" s="327"/>
      <c r="EM220" s="327"/>
      <c r="EN220" s="327"/>
      <c r="EO220" s="327"/>
      <c r="EP220" s="327"/>
      <c r="EQ220" s="327"/>
      <c r="ER220" s="327"/>
      <c r="ES220" s="327"/>
      <c r="ET220" s="327"/>
      <c r="EU220" s="327"/>
      <c r="EV220" s="327"/>
      <c r="EW220" s="327"/>
      <c r="EX220" s="327"/>
      <c r="EY220" s="327"/>
      <c r="EZ220" s="327"/>
      <c r="FA220" s="327"/>
      <c r="FB220" s="327"/>
      <c r="FC220" s="327"/>
      <c r="FD220" s="327"/>
      <c r="FE220" s="327"/>
      <c r="FF220" s="327"/>
      <c r="FG220" s="327"/>
      <c r="FH220" s="327"/>
      <c r="FI220" s="327"/>
      <c r="FJ220" s="327"/>
      <c r="FK220" s="327"/>
      <c r="FL220" s="327"/>
      <c r="FM220" s="327"/>
      <c r="FN220" s="327"/>
      <c r="FO220" s="327"/>
      <c r="FP220" s="327"/>
      <c r="FQ220" s="327"/>
      <c r="FR220" s="327"/>
      <c r="FS220" s="327"/>
      <c r="FT220" s="327"/>
      <c r="FU220" s="327"/>
      <c r="FV220" s="327"/>
      <c r="FW220" s="327"/>
      <c r="FX220" s="327"/>
      <c r="FY220" s="327"/>
      <c r="FZ220" s="327"/>
      <c r="GA220" s="327"/>
      <c r="GB220" s="327"/>
      <c r="GC220" s="327"/>
      <c r="GD220" s="327"/>
      <c r="GE220" s="327"/>
      <c r="GF220" s="327"/>
      <c r="GG220" s="327"/>
      <c r="GH220" s="327"/>
      <c r="GI220" s="327"/>
      <c r="GJ220" s="327"/>
      <c r="GK220" s="327"/>
      <c r="GL220" s="327"/>
      <c r="GM220" s="327"/>
      <c r="GN220" s="327"/>
      <c r="GO220" s="327"/>
      <c r="GP220" s="327"/>
      <c r="GQ220" s="327"/>
      <c r="GR220" s="327"/>
      <c r="GS220" s="327"/>
      <c r="GT220" s="327"/>
      <c r="GU220" s="327"/>
      <c r="GV220" s="327"/>
      <c r="GW220" s="327"/>
      <c r="GX220" s="327"/>
      <c r="GY220" s="327"/>
      <c r="GZ220" s="327"/>
      <c r="HA220" s="327"/>
      <c r="HB220" s="327"/>
      <c r="HC220" s="327"/>
      <c r="HD220" s="327"/>
      <c r="HE220" s="327"/>
      <c r="HF220" s="327"/>
      <c r="HG220" s="327"/>
      <c r="HH220" s="327"/>
      <c r="HI220" s="327"/>
      <c r="HJ220" s="327"/>
      <c r="HK220" s="327"/>
      <c r="HL220" s="327"/>
      <c r="HM220" s="327"/>
      <c r="HN220" s="327"/>
      <c r="HO220" s="327"/>
      <c r="HP220" s="327"/>
      <c r="HQ220" s="327"/>
      <c r="HR220" s="327"/>
      <c r="HS220" s="327"/>
    </row>
    <row r="221" spans="1:227" ht="15" customHeight="1">
      <c r="A221" s="330">
        <v>9</v>
      </c>
      <c r="B221" s="435" t="str">
        <f>VLOOKUP(Ruimtestaat[[#This Row],[Code]],Locaties[[Code]:[Locatie]],2,FALSE)</f>
        <v>IKC De Vijverburgh</v>
      </c>
      <c r="C221" s="435" t="str">
        <f>VLOOKUP(Ruimtestaat[[#This Row],[Code]],Locaties[[#All],[Code]:[Adres]],4,FALSE)</f>
        <v>Paltelaan 3</v>
      </c>
      <c r="D221" s="435" t="str">
        <f>VLOOKUP(Ruimtestaat[[#This Row],[Code]],Locaties[[#All],[Code]:[Postcode]],5,FALSE)</f>
        <v>2712 RN</v>
      </c>
      <c r="E221" s="435" t="str">
        <f>VLOOKUP(Ruimtestaat[[#This Row],[Code]],Locaties[#All],6,FALSE)</f>
        <v>Zoetermeer</v>
      </c>
      <c r="F221" s="434"/>
      <c r="G221" s="434" t="s">
        <v>1678</v>
      </c>
      <c r="H221" s="330" t="s">
        <v>1801</v>
      </c>
      <c r="I221" s="450" t="s">
        <v>1679</v>
      </c>
      <c r="J221" s="330">
        <v>16</v>
      </c>
      <c r="K221" s="450" t="str">
        <f>VLOOKUP(Ruimtestaat[[#This Row],[Ruimte code]],Ruimtegroepen[[#All],[Code]:[Ruimte omschrijving]],2,FALSE)</f>
        <v>Leslokalen</v>
      </c>
      <c r="L221" s="434" t="s">
        <v>100</v>
      </c>
      <c r="M221" s="437" t="s">
        <v>1759</v>
      </c>
      <c r="N221" s="439">
        <v>56</v>
      </c>
      <c r="O221" s="439"/>
      <c r="P221" s="439"/>
      <c r="Q221" s="439"/>
      <c r="R221" s="440" t="str">
        <f>VLOOKUP(Ruimtestaat[[#This Row],[Ruimte code]],Ruimtegroepen[],4,FALSE)</f>
        <v>Le</v>
      </c>
      <c r="S221" s="434">
        <v>40</v>
      </c>
      <c r="T221" s="434" t="s">
        <v>2</v>
      </c>
      <c r="U221" s="434">
        <f>IF(S221&gt;0,IF(RIGHT(Ruimtestaat[[#This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1" s="434">
        <f>IF(U221&gt;0,VLOOKUP($J221,Ruimtegroepen[],3,FALSE)*VLOOKUP($L221,Vloersoorten[],3,FALSE)*VLOOKUP($T221,Frequenties[],3,FALSE)*VLOOKUP($A221,Locaties[],3,FALSE),0)</f>
        <v>0</v>
      </c>
      <c r="W221" s="434">
        <f>Ruimtestaat[[#This Row],[Uitvoeringen werkdagen]]*Ruimtestaat[[#This Row],[Oppervlak (netto)]]</f>
        <v>11200</v>
      </c>
      <c r="X221" s="441">
        <f>IF(V221&gt;0,Ruimtestaat[[#This Row],[Prest. (m2 /jaar) werkdagen]]/Ruimtestaat[[#This Row],[Norm (m2/uur) werkdagen]],0)</f>
        <v>0</v>
      </c>
      <c r="Y221" s="442">
        <f>Ruimtestaat[[#This Row],[Uitvoeringen werkdagen]]*Ruimtestaat[[#This Row],[Gedeeltelijk]]</f>
        <v>0</v>
      </c>
      <c r="Z221" s="443" t="e">
        <f>IF(U221&gt;0,Ruimtestaat[[#This Row],[Prest. (m2 / jaar) werkdagen gedeeld]]/Ruimtestaat[[#This Row],[Norm (m2/uur) werkdagen]],0)</f>
        <v>#DIV/0!</v>
      </c>
      <c r="AA221" s="441" t="e">
        <f>Ruimtestaat[[#This Row],[uren / jaar werkdagen gedeeld]]*Tariefsopbouw!$E$35</f>
        <v>#DIV/0!</v>
      </c>
      <c r="AB221" s="441">
        <f>Ruimtestaat[[#This Row],[Uitvoeringen werkdagen]]*Ruimtestaat[[#This Row],[BSO]]</f>
        <v>0</v>
      </c>
      <c r="AC221" s="443" t="e">
        <f>IF(U221&gt;0,Ruimtestaat[[#This Row],[Prest. (m2 / jaar) werkdagen BSO]]/Ruimtestaat[[#This Row],[Norm (m2/uur) werkdagen]],0)</f>
        <v>#DIV/0!</v>
      </c>
      <c r="AD221" s="443" t="e">
        <f>Ruimtestaat[[#This Row],[uren / jaar werkdagen BSO]]*Tariefsopbouw!$E$35</f>
        <v>#DIV/0!</v>
      </c>
      <c r="AE221" s="444">
        <f>Ruimtestaat[[#This Row],[uren / jaar werkdagen]]*Tariefsopbouw!$E$35</f>
        <v>0</v>
      </c>
      <c r="AF221" s="434"/>
      <c r="AG221" s="434">
        <f>IF(Ruimtestaat[[#This Row],[Frequentie weekend]]&gt;0,VALUE(LEFT(AF221,1))*S221,0)</f>
        <v>0</v>
      </c>
      <c r="AH221" s="445">
        <f>IF($AG221&gt;0,VLOOKUP($J221,Ruimtegroepen[],3,FALSE)*VLOOKUP($L221,Vloersoorten[],3,FALSE)*VLOOKUP($AF221,Frequenties[],3,FALSE)*VLOOKUP(Ruimtestaat[[#This Row],[Code]],Locaties[],3,FALSE),0)</f>
        <v>0</v>
      </c>
      <c r="AI221" s="445">
        <f>Ruimtestaat[[#This Row],[Uitvoeringen weekend]]*Ruimtestaat[[#This Row],[Oppervlak (netto)]]</f>
        <v>0</v>
      </c>
      <c r="AJ221" s="445">
        <f>IF(AH221&gt;0,Ruimtestaat[[#This Row],[Prest. (m2 /jaar) weekend]]/Ruimtestaat[[#This Row],[Norm (m2/uur) weekend]],0)</f>
        <v>0</v>
      </c>
      <c r="AK221" s="444">
        <f>Ruimtestaat[[#This Row],[uren / jaar weekend]]*Tariefsopbouw!$D$40</f>
        <v>0</v>
      </c>
      <c r="AL221" s="441">
        <f>Ruimtestaat[[#This Row],[Prest. (m2 /jaar) weekend]]+Ruimtestaat[[#This Row],[Prest. (m2 /jaar) werkdagen]]</f>
        <v>11200</v>
      </c>
      <c r="AM221" s="441">
        <f>Ruimtestaat[[#This Row],[uren / jaar weekend]]+Ruimtestaat[[#This Row],[uren / jaar werkdagen]]</f>
        <v>0</v>
      </c>
      <c r="AN221" s="446">
        <f>Ruimtestaat[[#This Row],[kosten / jaar weekend]]+Ruimtestaat[[#This Row],[kosten / jaar werkdagen]]</f>
        <v>0</v>
      </c>
      <c r="AO221" s="446"/>
      <c r="AP221" s="447" t="str">
        <f>IF(Ruimtestaat[[#This Row],[Frequentie werkdagen]]="","",_xlfn.CONCAT(Ruimtestaat[[#This Row],[Ruimte code]],"-",Ruimtestaat[[#This Row],[Frequentie werkdagen]]," ",Ruimtestaat[[#This Row],[Vloer code]]))</f>
        <v>16-5w L</v>
      </c>
      <c r="AQ221" s="448" t="str">
        <f>_xlfn.IFNA(VLOOKUP($AP221,Programma!$F$3:$G$1101,2,0),"")</f>
        <v>_</v>
      </c>
      <c r="AR221" s="448" t="str">
        <f>_xlfn.IFNA(VLOOKUP($AP221,Programma!$F$3:$H$1101,3,0),"")</f>
        <v>_</v>
      </c>
      <c r="AS221" s="448" t="str">
        <f>_xlfn.IFNA(VLOOKUP($AP221,Programma!$F$3:$I$1101,4,0),"")</f>
        <v>4w</v>
      </c>
      <c r="AT221" s="448" t="str">
        <f>_xlfn.IFNA(VLOOKUP($AP221,Programma!$F$3:$J$1101,5,0),"")</f>
        <v>1w</v>
      </c>
      <c r="AU221" s="448" t="str">
        <f>_xlfn.IFNA(VLOOKUP($AP221,Programma!$F$3:$K$1101,6,0),"")</f>
        <v>_</v>
      </c>
      <c r="AV221" s="448" t="str">
        <f>_xlfn.IFNA(VLOOKUP($AP221,Programma!$F$3:$L$1101,7,0),"")</f>
        <v>_</v>
      </c>
      <c r="AW221" s="448" t="str">
        <f>_xlfn.IFNA(VLOOKUP($AP221,Programma!$F$3:$M$1101,8,0),"")</f>
        <v>_</v>
      </c>
      <c r="AX221" s="448" t="str">
        <f>_xlfn.IFNA(VLOOKUP($AP221,Programma!$F$3:$N$1101,9,0),"")</f>
        <v>_</v>
      </c>
      <c r="AY221" s="448" t="str">
        <f>_xlfn.IFNA(VLOOKUP($AP221,Programma!$F$3:$O$1101,10,0),"")</f>
        <v>5w</v>
      </c>
      <c r="AZ221" s="448" t="str">
        <f>_xlfn.IFNA(VLOOKUP($AP221,Programma!$F$3:$P$1101,11,0),"")</f>
        <v>5w</v>
      </c>
      <c r="BA221" s="448" t="str">
        <f>_xlfn.IFNA(VLOOKUP($AP221,Programma!$F$3:$Q$1101,12,0),"")</f>
        <v>1w</v>
      </c>
      <c r="BB221" s="448" t="str">
        <f>_xlfn.IFNA(VLOOKUP($AP221,Programma!$F$3:$R$1101,13,0),"")</f>
        <v>1w</v>
      </c>
      <c r="BC221" s="448" t="str">
        <f>_xlfn.IFNA(VLOOKUP($AP221,Programma!$F$3:$S$1101,14,0),"")</f>
        <v>1m</v>
      </c>
      <c r="BD221" s="448" t="str">
        <f>_xlfn.IFNA(VLOOKUP($AP221,Programma!$F$3:$T$1101,15,0),"")</f>
        <v>2j</v>
      </c>
      <c r="BE221" s="448" t="str">
        <f>_xlfn.IFNA(VLOOKUP($AP221,Programma!$F$3:$U$1101,16,0),"")</f>
        <v>1j</v>
      </c>
      <c r="BF221" s="448" t="str">
        <f>_xlfn.IFNA(VLOOKUP($AP221,Programma!$F$3:$V$1101,17,0),"")</f>
        <v>_</v>
      </c>
      <c r="BG221" s="448" t="str">
        <f>_xlfn.IFNA(VLOOKUP($AP221,Programma!$F$3:$W$1101,18,0),"")</f>
        <v>_</v>
      </c>
      <c r="BH221" s="448" t="str">
        <f>_xlfn.IFNA(VLOOKUP($AP221,Programma!$F$3:$X$1101,19,0),"")</f>
        <v>_</v>
      </c>
      <c r="BI221" s="448" t="str">
        <f>_xlfn.IFNA(VLOOKUP($AP221,Programma!$F$3:$Y$1101,20,0),"")</f>
        <v>_</v>
      </c>
      <c r="BJ221" s="449"/>
      <c r="BK221" s="447" t="str">
        <f>IF(Ruimtestaat[[#This Row],[Frequentie weekend]]="","",_xlfn.CONCAT(Ruimtestaat[[#This Row],[Ruimte code]],"-",Ruimtestaat[[#This Row],[Frequentie weekend]]," ",Ruimtestaat[[#This Row],[Vloer code]]))</f>
        <v/>
      </c>
      <c r="BL221" s="448" t="str">
        <f>_xlfn.IFNA(VLOOKUP($BK221,Programma!$F$3:$G$1101,2,0),"")</f>
        <v/>
      </c>
      <c r="BM221" s="448" t="str">
        <f>_xlfn.IFNA(VLOOKUP($BK221,Programma!$F$3:$H$1101,3,0),"")</f>
        <v/>
      </c>
      <c r="BN221" s="448" t="str">
        <f>_xlfn.IFNA(VLOOKUP($BK221,Programma!$F$3:$I$1101,4,0),"")</f>
        <v/>
      </c>
      <c r="BO221" s="448" t="str">
        <f>_xlfn.IFNA(VLOOKUP($BK221,Programma!$F$3:$J$1101,5,0),"")</f>
        <v/>
      </c>
      <c r="BP221" s="448" t="str">
        <f>_xlfn.IFNA(VLOOKUP($BK221,Programma!$F$3:$K$1101,6,0),"")</f>
        <v/>
      </c>
      <c r="BQ221" s="448" t="str">
        <f>_xlfn.IFNA(VLOOKUP($BK221,Programma!$F$3:$L$1101,7,0),"")</f>
        <v/>
      </c>
      <c r="BR221" s="448" t="str">
        <f>_xlfn.IFNA(VLOOKUP($BK221,Programma!$F$3:$M$1101,8,0),"")</f>
        <v/>
      </c>
      <c r="BS221" s="448" t="str">
        <f>_xlfn.IFNA(VLOOKUP($BK221,Programma!$F$3:$N$1101,9,0),"")</f>
        <v/>
      </c>
      <c r="BT221" s="448" t="str">
        <f>_xlfn.IFNA(VLOOKUP($BK221,Programma!$F$3:$O$1101,10,0),"")</f>
        <v/>
      </c>
      <c r="BU221" s="448" t="str">
        <f>_xlfn.IFNA(VLOOKUP($BK221,Programma!$F$3:$P$1101,11,0),"")</f>
        <v/>
      </c>
      <c r="BV221" s="448" t="str">
        <f>_xlfn.IFNA(VLOOKUP($BK221,Programma!$F$3:$Q$1101,12,0),"")</f>
        <v/>
      </c>
      <c r="BW221" s="448" t="str">
        <f>_xlfn.IFNA(VLOOKUP($BK221,Programma!$F$3:$R$1101,13,0),"")</f>
        <v/>
      </c>
      <c r="BX221" s="448" t="str">
        <f>_xlfn.IFNA(VLOOKUP($BK221,Programma!$F$3:$S$1101,14,0),"")</f>
        <v/>
      </c>
      <c r="BY221" s="448" t="str">
        <f>_xlfn.IFNA(VLOOKUP($BK221,Programma!$F$3:$T$1101,15,0),"")</f>
        <v/>
      </c>
      <c r="BZ221" s="448" t="str">
        <f>_xlfn.IFNA(VLOOKUP($BK221,Programma!$F$3:$U$1101,16,0),"")</f>
        <v/>
      </c>
      <c r="CA221" s="448" t="str">
        <f>_xlfn.IFNA(VLOOKUP($BK221,Programma!$F$3:$V$1101,17,0),"")</f>
        <v/>
      </c>
      <c r="CB221" s="448" t="str">
        <f>_xlfn.IFNA(VLOOKUP($BK221,Programma!$F$3:$W$1101,18,0),"")</f>
        <v/>
      </c>
      <c r="CC221" s="448" t="str">
        <f>_xlfn.IFNA(VLOOKUP($BK221,Programma!$F$3:$X$1101,19,0),"")</f>
        <v/>
      </c>
      <c r="CD221" s="448" t="str">
        <f>_xlfn.IFNA(VLOOKUP($BK221,Programma!$F$3:$Y$1101,20,0),"")</f>
        <v/>
      </c>
      <c r="CE221" s="327"/>
      <c r="CF221" s="327"/>
      <c r="CG221" s="327"/>
      <c r="CH221" s="327"/>
      <c r="CI221" s="327"/>
      <c r="CJ221" s="327"/>
      <c r="CK221" s="327"/>
      <c r="CL221" s="327"/>
      <c r="CM221" s="327"/>
      <c r="CN221" s="327"/>
      <c r="CO221" s="327"/>
      <c r="CP221" s="327"/>
      <c r="CQ221" s="327"/>
      <c r="CR221" s="327"/>
      <c r="CS221" s="327"/>
      <c r="CT221" s="327"/>
      <c r="CU221" s="327"/>
      <c r="CV221" s="327"/>
      <c r="CW221" s="327"/>
      <c r="CX221" s="327"/>
      <c r="CY221" s="327"/>
      <c r="CZ221" s="327"/>
      <c r="DA221" s="327"/>
      <c r="DB221" s="327"/>
      <c r="DC221" s="327"/>
      <c r="DD221" s="327"/>
      <c r="DE221" s="327"/>
      <c r="DF221" s="327"/>
      <c r="DG221" s="327"/>
      <c r="DH221" s="327"/>
      <c r="DI221" s="327"/>
      <c r="DJ221" s="327"/>
      <c r="DK221" s="327"/>
      <c r="DL221" s="327"/>
      <c r="DM221" s="327"/>
      <c r="DN221" s="327"/>
      <c r="DO221" s="327"/>
      <c r="DP221" s="327"/>
      <c r="DQ221" s="327"/>
      <c r="DR221" s="327"/>
      <c r="DS221" s="327"/>
      <c r="DT221" s="327"/>
      <c r="DU221" s="327"/>
      <c r="DV221" s="327"/>
      <c r="DW221" s="327"/>
      <c r="DX221" s="327"/>
      <c r="DY221" s="327"/>
      <c r="DZ221" s="327"/>
      <c r="EA221" s="327"/>
      <c r="EB221" s="327"/>
      <c r="EC221" s="327"/>
      <c r="ED221" s="327"/>
      <c r="EE221" s="327"/>
      <c r="EF221" s="327"/>
      <c r="EG221" s="327"/>
      <c r="EH221" s="327"/>
      <c r="EI221" s="327"/>
      <c r="EJ221" s="327"/>
      <c r="EK221" s="327"/>
      <c r="EL221" s="327"/>
      <c r="EM221" s="327"/>
      <c r="EN221" s="327"/>
      <c r="EO221" s="327"/>
      <c r="EP221" s="327"/>
      <c r="EQ221" s="327"/>
      <c r="ER221" s="327"/>
      <c r="ES221" s="327"/>
      <c r="ET221" s="327"/>
      <c r="EU221" s="327"/>
      <c r="EV221" s="327"/>
      <c r="EW221" s="327"/>
      <c r="EX221" s="327"/>
      <c r="EY221" s="327"/>
      <c r="EZ221" s="327"/>
      <c r="FA221" s="327"/>
      <c r="FB221" s="327"/>
      <c r="FC221" s="327"/>
      <c r="FD221" s="327"/>
      <c r="FE221" s="327"/>
      <c r="FF221" s="327"/>
      <c r="FG221" s="327"/>
      <c r="FH221" s="327"/>
      <c r="FI221" s="327"/>
      <c r="FJ221" s="327"/>
      <c r="FK221" s="327"/>
      <c r="FL221" s="327"/>
      <c r="FM221" s="327"/>
      <c r="FN221" s="327"/>
      <c r="FO221" s="327"/>
      <c r="FP221" s="327"/>
      <c r="FQ221" s="327"/>
      <c r="FR221" s="327"/>
      <c r="FS221" s="327"/>
      <c r="FT221" s="327"/>
      <c r="FU221" s="327"/>
      <c r="FV221" s="327"/>
      <c r="FW221" s="327"/>
      <c r="FX221" s="327"/>
      <c r="FY221" s="327"/>
      <c r="FZ221" s="327"/>
      <c r="GA221" s="327"/>
      <c r="GB221" s="327"/>
      <c r="GC221" s="327"/>
      <c r="GD221" s="327"/>
      <c r="GE221" s="327"/>
      <c r="GF221" s="327"/>
      <c r="GG221" s="327"/>
      <c r="GH221" s="327"/>
      <c r="GI221" s="327"/>
      <c r="GJ221" s="327"/>
      <c r="GK221" s="327"/>
      <c r="GL221" s="327"/>
      <c r="GM221" s="327"/>
      <c r="GN221" s="327"/>
      <c r="GO221" s="327"/>
      <c r="GP221" s="327"/>
      <c r="GQ221" s="327"/>
      <c r="GR221" s="327"/>
      <c r="GS221" s="327"/>
      <c r="GT221" s="327"/>
      <c r="GU221" s="327"/>
      <c r="GV221" s="327"/>
      <c r="GW221" s="327"/>
      <c r="GX221" s="327"/>
      <c r="GY221" s="327"/>
      <c r="GZ221" s="327"/>
      <c r="HA221" s="327"/>
      <c r="HB221" s="327"/>
      <c r="HC221" s="327"/>
      <c r="HD221" s="327"/>
      <c r="HE221" s="327"/>
      <c r="HF221" s="327"/>
      <c r="HG221" s="327"/>
      <c r="HH221" s="327"/>
      <c r="HI221" s="327"/>
      <c r="HJ221" s="327"/>
      <c r="HK221" s="327"/>
      <c r="HL221" s="327"/>
      <c r="HM221" s="327"/>
      <c r="HN221" s="327"/>
      <c r="HO221" s="327"/>
      <c r="HP221" s="327"/>
      <c r="HQ221" s="327"/>
      <c r="HR221" s="327"/>
      <c r="HS221" s="327"/>
    </row>
    <row r="222" spans="1:227" ht="15" customHeight="1">
      <c r="A222" s="330">
        <v>9</v>
      </c>
      <c r="B222" s="435" t="str">
        <f>VLOOKUP(Ruimtestaat[[#This Row],[Code]],Locaties[[Code]:[Locatie]],2,FALSE)</f>
        <v>IKC De Vijverburgh</v>
      </c>
      <c r="C222" s="435" t="str">
        <f>VLOOKUP(Ruimtestaat[[#This Row],[Code]],Locaties[[#All],[Code]:[Adres]],4,FALSE)</f>
        <v>Paltelaan 3</v>
      </c>
      <c r="D222" s="435" t="str">
        <f>VLOOKUP(Ruimtestaat[[#This Row],[Code]],Locaties[[#All],[Code]:[Postcode]],5,FALSE)</f>
        <v>2712 RN</v>
      </c>
      <c r="E222" s="435" t="str">
        <f>VLOOKUP(Ruimtestaat[[#This Row],[Code]],Locaties[#All],6,FALSE)</f>
        <v>Zoetermeer</v>
      </c>
      <c r="F222" s="434"/>
      <c r="G222" s="434" t="s">
        <v>1678</v>
      </c>
      <c r="H222" s="330" t="s">
        <v>1802</v>
      </c>
      <c r="I222" s="450" t="s">
        <v>1745</v>
      </c>
      <c r="J222" s="330">
        <v>12</v>
      </c>
      <c r="K222" s="450" t="str">
        <f>VLOOKUP(Ruimtestaat[[#This Row],[Ruimte code]],Ruimtegroepen[[#All],[Code]:[Ruimte omschrijving]],2,FALSE)</f>
        <v>Kantine/Aula</v>
      </c>
      <c r="L222" s="434" t="s">
        <v>100</v>
      </c>
      <c r="M222" s="437" t="s">
        <v>1759</v>
      </c>
      <c r="N222" s="439">
        <v>125</v>
      </c>
      <c r="O222" s="439"/>
      <c r="P222" s="439"/>
      <c r="Q222" s="439"/>
      <c r="R222" s="440" t="str">
        <f>VLOOKUP(Ruimtestaat[[#This Row],[Ruimte code]],Ruimtegroepen[],4,FALSE)</f>
        <v>Ve</v>
      </c>
      <c r="S222" s="434">
        <v>41</v>
      </c>
      <c r="T222" s="434" t="s">
        <v>2</v>
      </c>
      <c r="U222" s="434">
        <f>IF(S222&gt;0,IF(RIGHT(Ruimtestaat[[#This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22" s="434">
        <f>IF(U222&gt;0,VLOOKUP($J222,Ruimtegroepen[],3,FALSE)*VLOOKUP($L222,Vloersoorten[],3,FALSE)*VLOOKUP($T222,Frequenties[],3,FALSE)*VLOOKUP($A222,Locaties[],3,FALSE),0)</f>
        <v>0</v>
      </c>
      <c r="W222" s="434">
        <f>Ruimtestaat[[#This Row],[Uitvoeringen werkdagen]]*Ruimtestaat[[#This Row],[Oppervlak (netto)]]</f>
        <v>25625</v>
      </c>
      <c r="X222" s="441">
        <f>IF(V222&gt;0,Ruimtestaat[[#This Row],[Prest. (m2 /jaar) werkdagen]]/Ruimtestaat[[#This Row],[Norm (m2/uur) werkdagen]],0)</f>
        <v>0</v>
      </c>
      <c r="Y222" s="442">
        <f>Ruimtestaat[[#This Row],[Uitvoeringen werkdagen]]*Ruimtestaat[[#This Row],[Gedeeltelijk]]</f>
        <v>0</v>
      </c>
      <c r="Z222" s="443" t="e">
        <f>IF(U222&gt;0,Ruimtestaat[[#This Row],[Prest. (m2 / jaar) werkdagen gedeeld]]/Ruimtestaat[[#This Row],[Norm (m2/uur) werkdagen]],0)</f>
        <v>#DIV/0!</v>
      </c>
      <c r="AA222" s="441" t="e">
        <f>Ruimtestaat[[#This Row],[uren / jaar werkdagen gedeeld]]*Tariefsopbouw!$E$35</f>
        <v>#DIV/0!</v>
      </c>
      <c r="AB222" s="441">
        <f>Ruimtestaat[[#This Row],[Uitvoeringen werkdagen]]*Ruimtestaat[[#This Row],[BSO]]</f>
        <v>0</v>
      </c>
      <c r="AC222" s="443" t="e">
        <f>IF(U222&gt;0,Ruimtestaat[[#This Row],[Prest. (m2 / jaar) werkdagen BSO]]/Ruimtestaat[[#This Row],[Norm (m2/uur) werkdagen]],0)</f>
        <v>#DIV/0!</v>
      </c>
      <c r="AD222" s="443" t="e">
        <f>Ruimtestaat[[#This Row],[uren / jaar werkdagen BSO]]*Tariefsopbouw!$E$35</f>
        <v>#DIV/0!</v>
      </c>
      <c r="AE222" s="444">
        <f>Ruimtestaat[[#This Row],[uren / jaar werkdagen]]*Tariefsopbouw!$E$35</f>
        <v>0</v>
      </c>
      <c r="AF222" s="434"/>
      <c r="AG222" s="434">
        <f>IF(Ruimtestaat[[#This Row],[Frequentie weekend]]&gt;0,VALUE(LEFT(AF222,1))*S222,0)</f>
        <v>0</v>
      </c>
      <c r="AH222" s="445">
        <f>IF($AG222&gt;0,VLOOKUP($J222,Ruimtegroepen[],3,FALSE)*VLOOKUP($L222,Vloersoorten[],3,FALSE)*VLOOKUP($AF222,Frequenties[],3,FALSE)*VLOOKUP(Ruimtestaat[[#This Row],[Code]],Locaties[],3,FALSE),0)</f>
        <v>0</v>
      </c>
      <c r="AI222" s="445">
        <f>Ruimtestaat[[#This Row],[Uitvoeringen weekend]]*Ruimtestaat[[#This Row],[Oppervlak (netto)]]</f>
        <v>0</v>
      </c>
      <c r="AJ222" s="445">
        <f>IF(AH222&gt;0,Ruimtestaat[[#This Row],[Prest. (m2 /jaar) weekend]]/Ruimtestaat[[#This Row],[Norm (m2/uur) weekend]],0)</f>
        <v>0</v>
      </c>
      <c r="AK222" s="444">
        <f>Ruimtestaat[[#This Row],[uren / jaar weekend]]*Tariefsopbouw!$D$40</f>
        <v>0</v>
      </c>
      <c r="AL222" s="441">
        <f>Ruimtestaat[[#This Row],[Prest. (m2 /jaar) weekend]]+Ruimtestaat[[#This Row],[Prest. (m2 /jaar) werkdagen]]</f>
        <v>25625</v>
      </c>
      <c r="AM222" s="441">
        <f>Ruimtestaat[[#This Row],[uren / jaar weekend]]+Ruimtestaat[[#This Row],[uren / jaar werkdagen]]</f>
        <v>0</v>
      </c>
      <c r="AN222" s="446">
        <f>Ruimtestaat[[#This Row],[kosten / jaar weekend]]+Ruimtestaat[[#This Row],[kosten / jaar werkdagen]]</f>
        <v>0</v>
      </c>
      <c r="AO222" s="446"/>
      <c r="AP222" s="447" t="str">
        <f>IF(Ruimtestaat[[#This Row],[Frequentie werkdagen]]="","",_xlfn.CONCAT(Ruimtestaat[[#This Row],[Ruimte code]],"-",Ruimtestaat[[#This Row],[Frequentie werkdagen]]," ",Ruimtestaat[[#This Row],[Vloer code]]))</f>
        <v>12-5w L</v>
      </c>
      <c r="AQ222" s="448" t="str">
        <f>_xlfn.IFNA(VLOOKUP($AP222,Programma!$F$3:$G$1101,2,0),"")</f>
        <v>_</v>
      </c>
      <c r="AR222" s="448" t="str">
        <f>_xlfn.IFNA(VLOOKUP($AP222,Programma!$F$3:$H$1101,3,0),"")</f>
        <v>_</v>
      </c>
      <c r="AS222" s="448" t="str">
        <f>_xlfn.IFNA(VLOOKUP($AP222,Programma!$F$3:$I$1101,4,0),"")</f>
        <v>_</v>
      </c>
      <c r="AT222" s="448" t="str">
        <f>_xlfn.IFNA(VLOOKUP($AP222,Programma!$F$3:$J$1101,5,0),"")</f>
        <v>5w</v>
      </c>
      <c r="AU222" s="448" t="str">
        <f>_xlfn.IFNA(VLOOKUP($AP222,Programma!$F$3:$K$1101,6,0),"")</f>
        <v>_</v>
      </c>
      <c r="AV222" s="448" t="str">
        <f>_xlfn.IFNA(VLOOKUP($AP222,Programma!$F$3:$L$1101,7,0),"")</f>
        <v>_</v>
      </c>
      <c r="AW222" s="448" t="str">
        <f>_xlfn.IFNA(VLOOKUP($AP222,Programma!$F$3:$M$1101,8,0),"")</f>
        <v>_</v>
      </c>
      <c r="AX222" s="448" t="str">
        <f>_xlfn.IFNA(VLOOKUP($AP222,Programma!$F$3:$N$1101,9,0),"")</f>
        <v>_</v>
      </c>
      <c r="AY222" s="448" t="str">
        <f>_xlfn.IFNA(VLOOKUP($AP222,Programma!$F$3:$O$1101,10,0),"")</f>
        <v>5w</v>
      </c>
      <c r="AZ222" s="448" t="str">
        <f>_xlfn.IFNA(VLOOKUP($AP222,Programma!$F$3:$P$1101,11,0),"")</f>
        <v>5w</v>
      </c>
      <c r="BA222" s="448" t="str">
        <f>_xlfn.IFNA(VLOOKUP($AP222,Programma!$F$3:$Q$1101,12,0),"")</f>
        <v>1w</v>
      </c>
      <c r="BB222" s="448" t="str">
        <f>_xlfn.IFNA(VLOOKUP($AP222,Programma!$F$3:$R$1101,13,0),"")</f>
        <v>1w</v>
      </c>
      <c r="BC222" s="448" t="str">
        <f>_xlfn.IFNA(VLOOKUP($AP222,Programma!$F$3:$S$1101,14,0),"")</f>
        <v>1m</v>
      </c>
      <c r="BD222" s="448" t="str">
        <f>_xlfn.IFNA(VLOOKUP($AP222,Programma!$F$3:$T$1101,15,0),"")</f>
        <v>2j</v>
      </c>
      <c r="BE222" s="448" t="str">
        <f>_xlfn.IFNA(VLOOKUP($AP222,Programma!$F$3:$U$1101,16,0),"")</f>
        <v>1j</v>
      </c>
      <c r="BF222" s="448" t="str">
        <f>_xlfn.IFNA(VLOOKUP($AP222,Programma!$F$3:$V$1101,17,0),"")</f>
        <v>_</v>
      </c>
      <c r="BG222" s="448" t="str">
        <f>_xlfn.IFNA(VLOOKUP($AP222,Programma!$F$3:$W$1101,18,0),"")</f>
        <v>_</v>
      </c>
      <c r="BH222" s="448" t="str">
        <f>_xlfn.IFNA(VLOOKUP($AP222,Programma!$F$3:$X$1101,19,0),"")</f>
        <v>_</v>
      </c>
      <c r="BI222" s="448" t="str">
        <f>_xlfn.IFNA(VLOOKUP($AP222,Programma!$F$3:$Y$1101,20,0),"")</f>
        <v>_</v>
      </c>
      <c r="BJ222" s="449"/>
      <c r="BK222" s="447" t="str">
        <f>IF(Ruimtestaat[[#This Row],[Frequentie weekend]]="","",_xlfn.CONCAT(Ruimtestaat[[#This Row],[Ruimte code]],"-",Ruimtestaat[[#This Row],[Frequentie weekend]]," ",Ruimtestaat[[#This Row],[Vloer code]]))</f>
        <v/>
      </c>
      <c r="BL222" s="448" t="str">
        <f>_xlfn.IFNA(VLOOKUP($BK222,Programma!$F$3:$G$1101,2,0),"")</f>
        <v/>
      </c>
      <c r="BM222" s="448" t="str">
        <f>_xlfn.IFNA(VLOOKUP($BK222,Programma!$F$3:$H$1101,3,0),"")</f>
        <v/>
      </c>
      <c r="BN222" s="448" t="str">
        <f>_xlfn.IFNA(VLOOKUP($BK222,Programma!$F$3:$I$1101,4,0),"")</f>
        <v/>
      </c>
      <c r="BO222" s="448" t="str">
        <f>_xlfn.IFNA(VLOOKUP($BK222,Programma!$F$3:$J$1101,5,0),"")</f>
        <v/>
      </c>
      <c r="BP222" s="448" t="str">
        <f>_xlfn.IFNA(VLOOKUP($BK222,Programma!$F$3:$K$1101,6,0),"")</f>
        <v/>
      </c>
      <c r="BQ222" s="448" t="str">
        <f>_xlfn.IFNA(VLOOKUP($BK222,Programma!$F$3:$L$1101,7,0),"")</f>
        <v/>
      </c>
      <c r="BR222" s="448" t="str">
        <f>_xlfn.IFNA(VLOOKUP($BK222,Programma!$F$3:$M$1101,8,0),"")</f>
        <v/>
      </c>
      <c r="BS222" s="448" t="str">
        <f>_xlfn.IFNA(VLOOKUP($BK222,Programma!$F$3:$N$1101,9,0),"")</f>
        <v/>
      </c>
      <c r="BT222" s="448" t="str">
        <f>_xlfn.IFNA(VLOOKUP($BK222,Programma!$F$3:$O$1101,10,0),"")</f>
        <v/>
      </c>
      <c r="BU222" s="448" t="str">
        <f>_xlfn.IFNA(VLOOKUP($BK222,Programma!$F$3:$P$1101,11,0),"")</f>
        <v/>
      </c>
      <c r="BV222" s="448" t="str">
        <f>_xlfn.IFNA(VLOOKUP($BK222,Programma!$F$3:$Q$1101,12,0),"")</f>
        <v/>
      </c>
      <c r="BW222" s="448" t="str">
        <f>_xlfn.IFNA(VLOOKUP($BK222,Programma!$F$3:$R$1101,13,0),"")</f>
        <v/>
      </c>
      <c r="BX222" s="448" t="str">
        <f>_xlfn.IFNA(VLOOKUP($BK222,Programma!$F$3:$S$1101,14,0),"")</f>
        <v/>
      </c>
      <c r="BY222" s="448" t="str">
        <f>_xlfn.IFNA(VLOOKUP($BK222,Programma!$F$3:$T$1101,15,0),"")</f>
        <v/>
      </c>
      <c r="BZ222" s="448" t="str">
        <f>_xlfn.IFNA(VLOOKUP($BK222,Programma!$F$3:$U$1101,16,0),"")</f>
        <v/>
      </c>
      <c r="CA222" s="448" t="str">
        <f>_xlfn.IFNA(VLOOKUP($BK222,Programma!$F$3:$V$1101,17,0),"")</f>
        <v/>
      </c>
      <c r="CB222" s="448" t="str">
        <f>_xlfn.IFNA(VLOOKUP($BK222,Programma!$F$3:$W$1101,18,0),"")</f>
        <v/>
      </c>
      <c r="CC222" s="448" t="str">
        <f>_xlfn.IFNA(VLOOKUP($BK222,Programma!$F$3:$X$1101,19,0),"")</f>
        <v/>
      </c>
      <c r="CD222" s="448" t="str">
        <f>_xlfn.IFNA(VLOOKUP($BK222,Programma!$F$3:$Y$1101,20,0),"")</f>
        <v/>
      </c>
      <c r="CE222" s="327"/>
      <c r="CF222" s="327"/>
      <c r="CG222" s="327"/>
      <c r="CH222" s="327"/>
      <c r="CI222" s="327"/>
      <c r="CJ222" s="327"/>
      <c r="CK222" s="327"/>
      <c r="CL222" s="327"/>
      <c r="CM222" s="327"/>
      <c r="CN222" s="327"/>
      <c r="CO222" s="327"/>
      <c r="CP222" s="327"/>
      <c r="CQ222" s="327"/>
      <c r="CR222" s="327"/>
      <c r="CS222" s="327"/>
      <c r="CT222" s="327"/>
      <c r="CU222" s="327"/>
      <c r="CV222" s="327"/>
      <c r="CW222" s="327"/>
      <c r="CX222" s="327"/>
      <c r="CY222" s="327"/>
      <c r="CZ222" s="327"/>
      <c r="DA222" s="327"/>
      <c r="DB222" s="327"/>
      <c r="DC222" s="327"/>
      <c r="DD222" s="327"/>
      <c r="DE222" s="327"/>
      <c r="DF222" s="327"/>
      <c r="DG222" s="327"/>
      <c r="DH222" s="327"/>
      <c r="DI222" s="327"/>
      <c r="DJ222" s="327"/>
      <c r="DK222" s="327"/>
      <c r="DL222" s="327"/>
      <c r="DM222" s="327"/>
      <c r="DN222" s="327"/>
      <c r="DO222" s="327"/>
      <c r="DP222" s="327"/>
      <c r="DQ222" s="327"/>
      <c r="DR222" s="327"/>
      <c r="DS222" s="327"/>
      <c r="DT222" s="327"/>
      <c r="DU222" s="327"/>
      <c r="DV222" s="327"/>
      <c r="DW222" s="327"/>
      <c r="DX222" s="327"/>
      <c r="DY222" s="327"/>
      <c r="DZ222" s="327"/>
      <c r="EA222" s="327"/>
      <c r="EB222" s="327"/>
      <c r="EC222" s="327"/>
      <c r="ED222" s="327"/>
      <c r="EE222" s="327"/>
      <c r="EF222" s="327"/>
      <c r="EG222" s="327"/>
      <c r="EH222" s="327"/>
      <c r="EI222" s="327"/>
      <c r="EJ222" s="327"/>
      <c r="EK222" s="327"/>
      <c r="EL222" s="327"/>
      <c r="EM222" s="327"/>
      <c r="EN222" s="327"/>
      <c r="EO222" s="327"/>
      <c r="EP222" s="327"/>
      <c r="EQ222" s="327"/>
      <c r="ER222" s="327"/>
      <c r="ES222" s="327"/>
      <c r="ET222" s="327"/>
      <c r="EU222" s="327"/>
      <c r="EV222" s="327"/>
      <c r="EW222" s="327"/>
      <c r="EX222" s="327"/>
      <c r="EY222" s="327"/>
      <c r="EZ222" s="327"/>
      <c r="FA222" s="327"/>
      <c r="FB222" s="327"/>
      <c r="FC222" s="327"/>
      <c r="FD222" s="327"/>
      <c r="FE222" s="327"/>
      <c r="FF222" s="327"/>
      <c r="FG222" s="327"/>
      <c r="FH222" s="327"/>
      <c r="FI222" s="327"/>
      <c r="FJ222" s="327"/>
      <c r="FK222" s="327"/>
      <c r="FL222" s="327"/>
      <c r="FM222" s="327"/>
      <c r="FN222" s="327"/>
      <c r="FO222" s="327"/>
      <c r="FP222" s="327"/>
      <c r="FQ222" s="327"/>
      <c r="FR222" s="327"/>
      <c r="FS222" s="327"/>
      <c r="FT222" s="327"/>
      <c r="FU222" s="327"/>
      <c r="FV222" s="327"/>
      <c r="FW222" s="327"/>
      <c r="FX222" s="327"/>
      <c r="FY222" s="327"/>
      <c r="FZ222" s="327"/>
      <c r="GA222" s="327"/>
      <c r="GB222" s="327"/>
      <c r="GC222" s="327"/>
      <c r="GD222" s="327"/>
      <c r="GE222" s="327"/>
      <c r="GF222" s="327"/>
      <c r="GG222" s="327"/>
      <c r="GH222" s="327"/>
      <c r="GI222" s="327"/>
      <c r="GJ222" s="327"/>
      <c r="GK222" s="327"/>
      <c r="GL222" s="327"/>
      <c r="GM222" s="327"/>
      <c r="GN222" s="327"/>
      <c r="GO222" s="327"/>
      <c r="GP222" s="327"/>
      <c r="GQ222" s="327"/>
      <c r="GR222" s="327"/>
      <c r="GS222" s="327"/>
      <c r="GT222" s="327"/>
      <c r="GU222" s="327"/>
      <c r="GV222" s="327"/>
      <c r="GW222" s="327"/>
      <c r="GX222" s="327"/>
      <c r="GY222" s="327"/>
      <c r="GZ222" s="327"/>
      <c r="HA222" s="327"/>
      <c r="HB222" s="327"/>
      <c r="HC222" s="327"/>
      <c r="HD222" s="327"/>
      <c r="HE222" s="327"/>
      <c r="HF222" s="327"/>
      <c r="HG222" s="327"/>
      <c r="HH222" s="327"/>
      <c r="HI222" s="327"/>
      <c r="HJ222" s="327"/>
      <c r="HK222" s="327"/>
      <c r="HL222" s="327"/>
      <c r="HM222" s="327"/>
      <c r="HN222" s="327"/>
      <c r="HO222" s="327"/>
      <c r="HP222" s="327"/>
      <c r="HQ222" s="327"/>
      <c r="HR222" s="327"/>
      <c r="HS222" s="327"/>
    </row>
    <row r="223" spans="1:227" ht="15" customHeight="1">
      <c r="A223" s="330">
        <v>9</v>
      </c>
      <c r="B223" s="435" t="str">
        <f>VLOOKUP(Ruimtestaat[[#This Row],[Code]],Locaties[[Code]:[Locatie]],2,FALSE)</f>
        <v>IKC De Vijverburgh</v>
      </c>
      <c r="C223" s="435" t="str">
        <f>VLOOKUP(Ruimtestaat[[#This Row],[Code]],Locaties[[#All],[Code]:[Adres]],4,FALSE)</f>
        <v>Paltelaan 3</v>
      </c>
      <c r="D223" s="435" t="str">
        <f>VLOOKUP(Ruimtestaat[[#This Row],[Code]],Locaties[[#All],[Code]:[Postcode]],5,FALSE)</f>
        <v>2712 RN</v>
      </c>
      <c r="E223" s="435" t="str">
        <f>VLOOKUP(Ruimtestaat[[#This Row],[Code]],Locaties[#All],6,FALSE)</f>
        <v>Zoetermeer</v>
      </c>
      <c r="F223" s="434"/>
      <c r="G223" s="434" t="s">
        <v>1678</v>
      </c>
      <c r="I223" s="450" t="s">
        <v>1773</v>
      </c>
      <c r="J223" s="330">
        <v>10</v>
      </c>
      <c r="K223" s="450" t="str">
        <f>VLOOKUP(Ruimtestaat[[#This Row],[Ruimte code]],Ruimtegroepen[[#All],[Code]:[Ruimte omschrijving]],2,FALSE)</f>
        <v>Trappenhuizen/lift</v>
      </c>
      <c r="L223" s="434" t="s">
        <v>1309</v>
      </c>
      <c r="M223" s="437" t="s">
        <v>1817</v>
      </c>
      <c r="N223" s="439">
        <v>18</v>
      </c>
      <c r="O223" s="439"/>
      <c r="P223" s="439"/>
      <c r="Q223" s="439"/>
      <c r="R223" s="440" t="str">
        <f>VLOOKUP(Ruimtestaat[[#This Row],[Ruimte code]],Ruimtegroepen[],4,FALSE)</f>
        <v>Ve</v>
      </c>
      <c r="S223" s="434">
        <v>41</v>
      </c>
      <c r="T223" s="434" t="s">
        <v>2</v>
      </c>
      <c r="U223" s="434">
        <f>IF(S223&gt;0,IF(RIGHT(Ruimtestaat[[#This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23" s="434">
        <f>IF(U223&gt;0,VLOOKUP($J223,Ruimtegroepen[],3,FALSE)*VLOOKUP($L223,Vloersoorten[],3,FALSE)*VLOOKUP($T223,Frequenties[],3,FALSE)*VLOOKUP($A223,Locaties[],3,FALSE),0)</f>
        <v>0</v>
      </c>
      <c r="W223" s="434">
        <f>Ruimtestaat[[#This Row],[Uitvoeringen werkdagen]]*Ruimtestaat[[#This Row],[Oppervlak (netto)]]</f>
        <v>3690</v>
      </c>
      <c r="X223" s="441">
        <f>IF(V223&gt;0,Ruimtestaat[[#This Row],[Prest. (m2 /jaar) werkdagen]]/Ruimtestaat[[#This Row],[Norm (m2/uur) werkdagen]],0)</f>
        <v>0</v>
      </c>
      <c r="Y223" s="442">
        <f>Ruimtestaat[[#This Row],[Uitvoeringen werkdagen]]*Ruimtestaat[[#This Row],[Gedeeltelijk]]</f>
        <v>0</v>
      </c>
      <c r="Z223" s="443" t="e">
        <f>IF(U223&gt;0,Ruimtestaat[[#This Row],[Prest. (m2 / jaar) werkdagen gedeeld]]/Ruimtestaat[[#This Row],[Norm (m2/uur) werkdagen]],0)</f>
        <v>#DIV/0!</v>
      </c>
      <c r="AA223" s="441" t="e">
        <f>Ruimtestaat[[#This Row],[uren / jaar werkdagen gedeeld]]*Tariefsopbouw!$E$35</f>
        <v>#DIV/0!</v>
      </c>
      <c r="AB223" s="441">
        <f>Ruimtestaat[[#This Row],[Uitvoeringen werkdagen]]*Ruimtestaat[[#This Row],[BSO]]</f>
        <v>0</v>
      </c>
      <c r="AC223" s="443" t="e">
        <f>IF(U223&gt;0,Ruimtestaat[[#This Row],[Prest. (m2 / jaar) werkdagen BSO]]/Ruimtestaat[[#This Row],[Norm (m2/uur) werkdagen]],0)</f>
        <v>#DIV/0!</v>
      </c>
      <c r="AD223" s="443" t="e">
        <f>Ruimtestaat[[#This Row],[uren / jaar werkdagen BSO]]*Tariefsopbouw!$E$35</f>
        <v>#DIV/0!</v>
      </c>
      <c r="AE223" s="444">
        <f>Ruimtestaat[[#This Row],[uren / jaar werkdagen]]*Tariefsopbouw!$E$35</f>
        <v>0</v>
      </c>
      <c r="AF223" s="434"/>
      <c r="AG223" s="434">
        <f>IF(Ruimtestaat[[#This Row],[Frequentie weekend]]&gt;0,VALUE(LEFT(AF223,1))*S223,0)</f>
        <v>0</v>
      </c>
      <c r="AH223" s="445">
        <f>IF($AG223&gt;0,VLOOKUP($J223,Ruimtegroepen[],3,FALSE)*VLOOKUP($L223,Vloersoorten[],3,FALSE)*VLOOKUP($AF223,Frequenties[],3,FALSE)*VLOOKUP(Ruimtestaat[[#This Row],[Code]],Locaties[],3,FALSE),0)</f>
        <v>0</v>
      </c>
      <c r="AI223" s="445">
        <f>Ruimtestaat[[#This Row],[Uitvoeringen weekend]]*Ruimtestaat[[#This Row],[Oppervlak (netto)]]</f>
        <v>0</v>
      </c>
      <c r="AJ223" s="445">
        <f>IF(AH223&gt;0,Ruimtestaat[[#This Row],[Prest. (m2 /jaar) weekend]]/Ruimtestaat[[#This Row],[Norm (m2/uur) weekend]],0)</f>
        <v>0</v>
      </c>
      <c r="AK223" s="444">
        <f>Ruimtestaat[[#This Row],[uren / jaar weekend]]*Tariefsopbouw!$D$40</f>
        <v>0</v>
      </c>
      <c r="AL223" s="441">
        <f>Ruimtestaat[[#This Row],[Prest. (m2 /jaar) weekend]]+Ruimtestaat[[#This Row],[Prest. (m2 /jaar) werkdagen]]</f>
        <v>3690</v>
      </c>
      <c r="AM223" s="441">
        <f>Ruimtestaat[[#This Row],[uren / jaar weekend]]+Ruimtestaat[[#This Row],[uren / jaar werkdagen]]</f>
        <v>0</v>
      </c>
      <c r="AN223" s="446">
        <f>Ruimtestaat[[#This Row],[kosten / jaar weekend]]+Ruimtestaat[[#This Row],[kosten / jaar werkdagen]]</f>
        <v>0</v>
      </c>
      <c r="AO223" s="446"/>
      <c r="AP223" s="447" t="str">
        <f>IF(Ruimtestaat[[#This Row],[Frequentie werkdagen]]="","",_xlfn.CONCAT(Ruimtestaat[[#This Row],[Ruimte code]],"-",Ruimtestaat[[#This Row],[Frequentie werkdagen]]," ",Ruimtestaat[[#This Row],[Vloer code]]))</f>
        <v>10-5w H</v>
      </c>
      <c r="AQ223" s="448" t="str">
        <f>_xlfn.IFNA(VLOOKUP($AP223,Programma!$F$3:$G$1101,2,0),"")</f>
        <v>_</v>
      </c>
      <c r="AR223" s="448" t="str">
        <f>_xlfn.IFNA(VLOOKUP($AP223,Programma!$F$3:$H$1101,3,0),"")</f>
        <v>_</v>
      </c>
      <c r="AS223" s="448" t="str">
        <f>_xlfn.IFNA(VLOOKUP($AP223,Programma!$F$3:$I$1101,4,0),"")</f>
        <v>5w</v>
      </c>
      <c r="AT223" s="448" t="str">
        <f>_xlfn.IFNA(VLOOKUP($AP223,Programma!$F$3:$J$1101,5,0),"")</f>
        <v>_</v>
      </c>
      <c r="AU223" s="448" t="str">
        <f>_xlfn.IFNA(VLOOKUP($AP223,Programma!$F$3:$K$1101,6,0),"")</f>
        <v>4j</v>
      </c>
      <c r="AV223" s="448" t="str">
        <f>_xlfn.IFNA(VLOOKUP($AP223,Programma!$F$3:$L$1101,7,0),"")</f>
        <v>_</v>
      </c>
      <c r="AW223" s="448" t="str">
        <f>_xlfn.IFNA(VLOOKUP($AP223,Programma!$F$3:$M$1101,8,0),"")</f>
        <v>_</v>
      </c>
      <c r="AX223" s="448" t="str">
        <f>_xlfn.IFNA(VLOOKUP($AP223,Programma!$F$3:$N$1101,9,0),"")</f>
        <v>_</v>
      </c>
      <c r="AY223" s="448" t="str">
        <f>_xlfn.IFNA(VLOOKUP($AP223,Programma!$F$3:$O$1101,10,0),"")</f>
        <v>5w</v>
      </c>
      <c r="AZ223" s="448" t="str">
        <f>_xlfn.IFNA(VLOOKUP($AP223,Programma!$F$3:$P$1101,11,0),"")</f>
        <v>5w</v>
      </c>
      <c r="BA223" s="448" t="str">
        <f>_xlfn.IFNA(VLOOKUP($AP223,Programma!$F$3:$Q$1101,12,0),"")</f>
        <v>1w</v>
      </c>
      <c r="BB223" s="448" t="str">
        <f>_xlfn.IFNA(VLOOKUP($AP223,Programma!$F$3:$R$1101,13,0),"")</f>
        <v>1w</v>
      </c>
      <c r="BC223" s="448" t="str">
        <f>_xlfn.IFNA(VLOOKUP($AP223,Programma!$F$3:$S$1101,14,0),"")</f>
        <v>1m</v>
      </c>
      <c r="BD223" s="448" t="str">
        <f>_xlfn.IFNA(VLOOKUP($AP223,Programma!$F$3:$T$1101,15,0),"")</f>
        <v>2j</v>
      </c>
      <c r="BE223" s="448" t="str">
        <f>_xlfn.IFNA(VLOOKUP($AP223,Programma!$F$3:$U$1101,16,0),"")</f>
        <v>1j</v>
      </c>
      <c r="BF223" s="448" t="str">
        <f>_xlfn.IFNA(VLOOKUP($AP223,Programma!$F$3:$V$1101,17,0),"")</f>
        <v>_</v>
      </c>
      <c r="BG223" s="448" t="str">
        <f>_xlfn.IFNA(VLOOKUP($AP223,Programma!$F$3:$W$1101,18,0),"")</f>
        <v>_</v>
      </c>
      <c r="BH223" s="448" t="str">
        <f>_xlfn.IFNA(VLOOKUP($AP223,Programma!$F$3:$X$1101,19,0),"")</f>
        <v>_</v>
      </c>
      <c r="BI223" s="448" t="str">
        <f>_xlfn.IFNA(VLOOKUP($AP223,Programma!$F$3:$Y$1101,20,0),"")</f>
        <v>_</v>
      </c>
      <c r="BJ223" s="449"/>
      <c r="BK223" s="447" t="str">
        <f>IF(Ruimtestaat[[#This Row],[Frequentie weekend]]="","",_xlfn.CONCAT(Ruimtestaat[[#This Row],[Ruimte code]],"-",Ruimtestaat[[#This Row],[Frequentie weekend]]," ",Ruimtestaat[[#This Row],[Vloer code]]))</f>
        <v/>
      </c>
      <c r="BL223" s="448" t="str">
        <f>_xlfn.IFNA(VLOOKUP($BK223,Programma!$F$3:$G$1101,2,0),"")</f>
        <v/>
      </c>
      <c r="BM223" s="448" t="str">
        <f>_xlfn.IFNA(VLOOKUP($BK223,Programma!$F$3:$H$1101,3,0),"")</f>
        <v/>
      </c>
      <c r="BN223" s="448" t="str">
        <f>_xlfn.IFNA(VLOOKUP($BK223,Programma!$F$3:$I$1101,4,0),"")</f>
        <v/>
      </c>
      <c r="BO223" s="448" t="str">
        <f>_xlfn.IFNA(VLOOKUP($BK223,Programma!$F$3:$J$1101,5,0),"")</f>
        <v/>
      </c>
      <c r="BP223" s="448" t="str">
        <f>_xlfn.IFNA(VLOOKUP($BK223,Programma!$F$3:$K$1101,6,0),"")</f>
        <v/>
      </c>
      <c r="BQ223" s="448" t="str">
        <f>_xlfn.IFNA(VLOOKUP($BK223,Programma!$F$3:$L$1101,7,0),"")</f>
        <v/>
      </c>
      <c r="BR223" s="448" t="str">
        <f>_xlfn.IFNA(VLOOKUP($BK223,Programma!$F$3:$M$1101,8,0),"")</f>
        <v/>
      </c>
      <c r="BS223" s="448" t="str">
        <f>_xlfn.IFNA(VLOOKUP($BK223,Programma!$F$3:$N$1101,9,0),"")</f>
        <v/>
      </c>
      <c r="BT223" s="448" t="str">
        <f>_xlfn.IFNA(VLOOKUP($BK223,Programma!$F$3:$O$1101,10,0),"")</f>
        <v/>
      </c>
      <c r="BU223" s="448" t="str">
        <f>_xlfn.IFNA(VLOOKUP($BK223,Programma!$F$3:$P$1101,11,0),"")</f>
        <v/>
      </c>
      <c r="BV223" s="448" t="str">
        <f>_xlfn.IFNA(VLOOKUP($BK223,Programma!$F$3:$Q$1101,12,0),"")</f>
        <v/>
      </c>
      <c r="BW223" s="448" t="str">
        <f>_xlfn.IFNA(VLOOKUP($BK223,Programma!$F$3:$R$1101,13,0),"")</f>
        <v/>
      </c>
      <c r="BX223" s="448" t="str">
        <f>_xlfn.IFNA(VLOOKUP($BK223,Programma!$F$3:$S$1101,14,0),"")</f>
        <v/>
      </c>
      <c r="BY223" s="448" t="str">
        <f>_xlfn.IFNA(VLOOKUP($BK223,Programma!$F$3:$T$1101,15,0),"")</f>
        <v/>
      </c>
      <c r="BZ223" s="448" t="str">
        <f>_xlfn.IFNA(VLOOKUP($BK223,Programma!$F$3:$U$1101,16,0),"")</f>
        <v/>
      </c>
      <c r="CA223" s="448" t="str">
        <f>_xlfn.IFNA(VLOOKUP($BK223,Programma!$F$3:$V$1101,17,0),"")</f>
        <v/>
      </c>
      <c r="CB223" s="448" t="str">
        <f>_xlfn.IFNA(VLOOKUP($BK223,Programma!$F$3:$W$1101,18,0),"")</f>
        <v/>
      </c>
      <c r="CC223" s="448" t="str">
        <f>_xlfn.IFNA(VLOOKUP($BK223,Programma!$F$3:$X$1101,19,0),"")</f>
        <v/>
      </c>
      <c r="CD223" s="448" t="str">
        <f>_xlfn.IFNA(VLOOKUP($BK223,Programma!$F$3:$Y$1101,20,0),"")</f>
        <v/>
      </c>
      <c r="CE223" s="327"/>
      <c r="CF223" s="327"/>
      <c r="CG223" s="327"/>
      <c r="CH223" s="327"/>
      <c r="CI223" s="327"/>
      <c r="CJ223" s="327"/>
      <c r="CK223" s="327"/>
      <c r="CL223" s="327"/>
      <c r="CM223" s="327"/>
      <c r="CN223" s="327"/>
      <c r="CO223" s="327"/>
      <c r="CP223" s="327"/>
      <c r="CQ223" s="327"/>
      <c r="CR223" s="327"/>
      <c r="CS223" s="327"/>
      <c r="CT223" s="327"/>
      <c r="CU223" s="327"/>
      <c r="CV223" s="327"/>
      <c r="CW223" s="327"/>
      <c r="CX223" s="327"/>
      <c r="CY223" s="327"/>
      <c r="CZ223" s="327"/>
      <c r="DA223" s="327"/>
      <c r="DB223" s="327"/>
      <c r="DC223" s="327"/>
      <c r="DD223" s="327"/>
      <c r="DE223" s="327"/>
      <c r="DF223" s="327"/>
      <c r="DG223" s="327"/>
      <c r="DH223" s="327"/>
      <c r="DI223" s="327"/>
      <c r="DJ223" s="327"/>
      <c r="DK223" s="327"/>
      <c r="DL223" s="327"/>
      <c r="DM223" s="327"/>
      <c r="DN223" s="327"/>
      <c r="DO223" s="327"/>
      <c r="DP223" s="327"/>
      <c r="DQ223" s="327"/>
      <c r="DR223" s="327"/>
      <c r="DS223" s="327"/>
      <c r="DT223" s="327"/>
      <c r="DU223" s="327"/>
      <c r="DV223" s="327"/>
      <c r="DW223" s="327"/>
      <c r="DX223" s="327"/>
      <c r="DY223" s="327"/>
      <c r="DZ223" s="327"/>
      <c r="EA223" s="327"/>
      <c r="EB223" s="327"/>
      <c r="EC223" s="327"/>
      <c r="ED223" s="327"/>
      <c r="EE223" s="327"/>
      <c r="EF223" s="327"/>
      <c r="EG223" s="327"/>
      <c r="EH223" s="327"/>
      <c r="EI223" s="327"/>
      <c r="EJ223" s="327"/>
      <c r="EK223" s="327"/>
      <c r="EL223" s="327"/>
      <c r="EM223" s="327"/>
      <c r="EN223" s="327"/>
      <c r="EO223" s="327"/>
      <c r="EP223" s="327"/>
      <c r="EQ223" s="327"/>
      <c r="ER223" s="327"/>
      <c r="ES223" s="327"/>
      <c r="ET223" s="327"/>
      <c r="EU223" s="327"/>
      <c r="EV223" s="327"/>
      <c r="EW223" s="327"/>
      <c r="EX223" s="327"/>
      <c r="EY223" s="327"/>
      <c r="EZ223" s="327"/>
      <c r="FA223" s="327"/>
      <c r="FB223" s="327"/>
      <c r="FC223" s="327"/>
      <c r="FD223" s="327"/>
      <c r="FE223" s="327"/>
      <c r="FF223" s="327"/>
      <c r="FG223" s="327"/>
      <c r="FH223" s="327"/>
      <c r="FI223" s="327"/>
      <c r="FJ223" s="327"/>
      <c r="FK223" s="327"/>
      <c r="FL223" s="327"/>
      <c r="FM223" s="327"/>
      <c r="FN223" s="327"/>
      <c r="FO223" s="327"/>
      <c r="FP223" s="327"/>
      <c r="FQ223" s="327"/>
      <c r="FR223" s="327"/>
      <c r="FS223" s="327"/>
      <c r="FT223" s="327"/>
      <c r="FU223" s="327"/>
      <c r="FV223" s="327"/>
      <c r="FW223" s="327"/>
      <c r="FX223" s="327"/>
      <c r="FY223" s="327"/>
      <c r="FZ223" s="327"/>
      <c r="GA223" s="327"/>
      <c r="GB223" s="327"/>
      <c r="GC223" s="327"/>
      <c r="GD223" s="327"/>
      <c r="GE223" s="327"/>
      <c r="GF223" s="327"/>
      <c r="GG223" s="327"/>
      <c r="GH223" s="327"/>
      <c r="GI223" s="327"/>
      <c r="GJ223" s="327"/>
      <c r="GK223" s="327"/>
      <c r="GL223" s="327"/>
      <c r="GM223" s="327"/>
      <c r="GN223" s="327"/>
      <c r="GO223" s="327"/>
      <c r="GP223" s="327"/>
      <c r="GQ223" s="327"/>
      <c r="GR223" s="327"/>
      <c r="GS223" s="327"/>
      <c r="GT223" s="327"/>
      <c r="GU223" s="327"/>
      <c r="GV223" s="327"/>
      <c r="GW223" s="327"/>
      <c r="GX223" s="327"/>
      <c r="GY223" s="327"/>
      <c r="GZ223" s="327"/>
      <c r="HA223" s="327"/>
      <c r="HB223" s="327"/>
      <c r="HC223" s="327"/>
      <c r="HD223" s="327"/>
      <c r="HE223" s="327"/>
      <c r="HF223" s="327"/>
      <c r="HG223" s="327"/>
      <c r="HH223" s="327"/>
      <c r="HI223" s="327"/>
      <c r="HJ223" s="327"/>
      <c r="HK223" s="327"/>
      <c r="HL223" s="327"/>
      <c r="HM223" s="327"/>
      <c r="HN223" s="327"/>
      <c r="HO223" s="327"/>
      <c r="HP223" s="327"/>
      <c r="HQ223" s="327"/>
      <c r="HR223" s="327"/>
      <c r="HS223" s="327"/>
    </row>
    <row r="224" spans="1:227" ht="15" customHeight="1">
      <c r="A224" s="330">
        <v>9</v>
      </c>
      <c r="B224" s="435" t="str">
        <f>VLOOKUP(Ruimtestaat[[#This Row],[Code]],Locaties[[Code]:[Locatie]],2,FALSE)</f>
        <v>IKC De Vijverburgh</v>
      </c>
      <c r="C224" s="435" t="str">
        <f>VLOOKUP(Ruimtestaat[[#This Row],[Code]],Locaties[[#All],[Code]:[Adres]],4,FALSE)</f>
        <v>Paltelaan 3</v>
      </c>
      <c r="D224" s="435" t="str">
        <f>VLOOKUP(Ruimtestaat[[#This Row],[Code]],Locaties[[#All],[Code]:[Postcode]],5,FALSE)</f>
        <v>2712 RN</v>
      </c>
      <c r="E224" s="435" t="str">
        <f>VLOOKUP(Ruimtestaat[[#This Row],[Code]],Locaties[#All],6,FALSE)</f>
        <v>Zoetermeer</v>
      </c>
      <c r="F224" s="434"/>
      <c r="G224" s="434" t="s">
        <v>1678</v>
      </c>
      <c r="H224" s="330" t="s">
        <v>1779</v>
      </c>
      <c r="I224" s="450" t="s">
        <v>1803</v>
      </c>
      <c r="J224" s="330">
        <v>1</v>
      </c>
      <c r="K224" s="450" t="str">
        <f>VLOOKUP(Ruimtestaat[[#This Row],[Ruimte code]],Ruimtegroepen[[#All],[Code]:[Ruimte omschrijving]],2,FALSE)</f>
        <v>Magazijnen/bergingen</v>
      </c>
      <c r="L224" s="434" t="s">
        <v>100</v>
      </c>
      <c r="M224" s="437" t="s">
        <v>1759</v>
      </c>
      <c r="N224" s="439">
        <v>9</v>
      </c>
      <c r="O224" s="439"/>
      <c r="P224" s="439"/>
      <c r="Q224" s="439"/>
      <c r="R224" s="440" t="str">
        <f>VLOOKUP(Ruimtestaat[[#This Row],[Ruimte code]],Ruimtegroepen[],4,FALSE)</f>
        <v>Ve</v>
      </c>
      <c r="S224" s="434">
        <v>40</v>
      </c>
      <c r="T224" s="434" t="s">
        <v>2</v>
      </c>
      <c r="U224" s="434">
        <f>IF(S224&gt;0,IF(RIGHT(Ruimtestaat[[#This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4" s="434">
        <f>IF(U224&gt;0,VLOOKUP($J224,Ruimtegroepen[],3,FALSE)*VLOOKUP($L224,Vloersoorten[],3,FALSE)*VLOOKUP($T224,Frequenties[],3,FALSE)*VLOOKUP($A224,Locaties[],3,FALSE),0)</f>
        <v>0</v>
      </c>
      <c r="W224" s="434">
        <f>Ruimtestaat[[#This Row],[Uitvoeringen werkdagen]]*Ruimtestaat[[#This Row],[Oppervlak (netto)]]</f>
        <v>1800</v>
      </c>
      <c r="X224" s="441">
        <f>IF(V224&gt;0,Ruimtestaat[[#This Row],[Prest. (m2 /jaar) werkdagen]]/Ruimtestaat[[#This Row],[Norm (m2/uur) werkdagen]],0)</f>
        <v>0</v>
      </c>
      <c r="Y224" s="442">
        <f>Ruimtestaat[[#This Row],[Uitvoeringen werkdagen]]*Ruimtestaat[[#This Row],[Gedeeltelijk]]</f>
        <v>0</v>
      </c>
      <c r="Z224" s="443" t="e">
        <f>IF(U224&gt;0,Ruimtestaat[[#This Row],[Prest. (m2 / jaar) werkdagen gedeeld]]/Ruimtestaat[[#This Row],[Norm (m2/uur) werkdagen]],0)</f>
        <v>#DIV/0!</v>
      </c>
      <c r="AA224" s="441" t="e">
        <f>Ruimtestaat[[#This Row],[uren / jaar werkdagen gedeeld]]*Tariefsopbouw!$E$35</f>
        <v>#DIV/0!</v>
      </c>
      <c r="AB224" s="441">
        <f>Ruimtestaat[[#This Row],[Uitvoeringen werkdagen]]*Ruimtestaat[[#This Row],[BSO]]</f>
        <v>0</v>
      </c>
      <c r="AC224" s="443" t="e">
        <f>IF(U224&gt;0,Ruimtestaat[[#This Row],[Prest. (m2 / jaar) werkdagen BSO]]/Ruimtestaat[[#This Row],[Norm (m2/uur) werkdagen]],0)</f>
        <v>#DIV/0!</v>
      </c>
      <c r="AD224" s="443" t="e">
        <f>Ruimtestaat[[#This Row],[uren / jaar werkdagen BSO]]*Tariefsopbouw!$E$35</f>
        <v>#DIV/0!</v>
      </c>
      <c r="AE224" s="444">
        <f>Ruimtestaat[[#This Row],[uren / jaar werkdagen]]*Tariefsopbouw!$E$35</f>
        <v>0</v>
      </c>
      <c r="AF224" s="434"/>
      <c r="AG224" s="434">
        <f>IF(Ruimtestaat[[#This Row],[Frequentie weekend]]&gt;0,VALUE(LEFT(AF224,1))*S224,0)</f>
        <v>0</v>
      </c>
      <c r="AH224" s="445">
        <f>IF($AG224&gt;0,VLOOKUP($J224,Ruimtegroepen[],3,FALSE)*VLOOKUP($L224,Vloersoorten[],3,FALSE)*VLOOKUP($AF224,Frequenties[],3,FALSE)*VLOOKUP(Ruimtestaat[[#This Row],[Code]],Locaties[],3,FALSE),0)</f>
        <v>0</v>
      </c>
      <c r="AI224" s="445">
        <f>Ruimtestaat[[#This Row],[Uitvoeringen weekend]]*Ruimtestaat[[#This Row],[Oppervlak (netto)]]</f>
        <v>0</v>
      </c>
      <c r="AJ224" s="445">
        <f>IF(AH224&gt;0,Ruimtestaat[[#This Row],[Prest. (m2 /jaar) weekend]]/Ruimtestaat[[#This Row],[Norm (m2/uur) weekend]],0)</f>
        <v>0</v>
      </c>
      <c r="AK224" s="444">
        <f>Ruimtestaat[[#This Row],[uren / jaar weekend]]*Tariefsopbouw!$D$40</f>
        <v>0</v>
      </c>
      <c r="AL224" s="441">
        <f>Ruimtestaat[[#This Row],[Prest. (m2 /jaar) weekend]]+Ruimtestaat[[#This Row],[Prest. (m2 /jaar) werkdagen]]</f>
        <v>1800</v>
      </c>
      <c r="AM224" s="441">
        <f>Ruimtestaat[[#This Row],[uren / jaar weekend]]+Ruimtestaat[[#This Row],[uren / jaar werkdagen]]</f>
        <v>0</v>
      </c>
      <c r="AN224" s="446">
        <f>Ruimtestaat[[#This Row],[kosten / jaar weekend]]+Ruimtestaat[[#This Row],[kosten / jaar werkdagen]]</f>
        <v>0</v>
      </c>
      <c r="AO224" s="446"/>
      <c r="AP224" s="447" t="str">
        <f>IF(Ruimtestaat[[#This Row],[Frequentie werkdagen]]="","",_xlfn.CONCAT(Ruimtestaat[[#This Row],[Ruimte code]],"-",Ruimtestaat[[#This Row],[Frequentie werkdagen]]," ",Ruimtestaat[[#This Row],[Vloer code]]))</f>
        <v>1-5w L</v>
      </c>
      <c r="AQ224" s="448" t="str">
        <f>_xlfn.IFNA(VLOOKUP($AP224,Programma!$F$3:$G$1101,2,0),"")</f>
        <v>_</v>
      </c>
      <c r="AR224" s="448" t="str">
        <f>_xlfn.IFNA(VLOOKUP($AP224,Programma!$F$3:$H$1101,3,0),"")</f>
        <v>_</v>
      </c>
      <c r="AS224" s="448" t="str">
        <f>_xlfn.IFNA(VLOOKUP($AP224,Programma!$F$3:$I$1101,4,0),"")</f>
        <v>4w</v>
      </c>
      <c r="AT224" s="448" t="str">
        <f>_xlfn.IFNA(VLOOKUP($AP224,Programma!$F$3:$J$1101,5,0),"")</f>
        <v>1w</v>
      </c>
      <c r="AU224" s="448" t="str">
        <f>_xlfn.IFNA(VLOOKUP($AP224,Programma!$F$3:$K$1101,6,0),"")</f>
        <v>_</v>
      </c>
      <c r="AV224" s="448" t="str">
        <f>_xlfn.IFNA(VLOOKUP($AP224,Programma!$F$3:$L$1101,7,0),"")</f>
        <v>_</v>
      </c>
      <c r="AW224" s="448" t="str">
        <f>_xlfn.IFNA(VLOOKUP($AP224,Programma!$F$3:$M$1101,8,0),"")</f>
        <v>_</v>
      </c>
      <c r="AX224" s="448" t="str">
        <f>_xlfn.IFNA(VLOOKUP($AP224,Programma!$F$3:$N$1101,9,0),"")</f>
        <v>_</v>
      </c>
      <c r="AY224" s="448" t="str">
        <f>_xlfn.IFNA(VLOOKUP($AP224,Programma!$F$3:$O$1101,10,0),"")</f>
        <v>_</v>
      </c>
      <c r="AZ224" s="448" t="str">
        <f>_xlfn.IFNA(VLOOKUP($AP224,Programma!$F$3:$P$1101,11,0),"")</f>
        <v>_</v>
      </c>
      <c r="BA224" s="448" t="str">
        <f>_xlfn.IFNA(VLOOKUP($AP224,Programma!$F$3:$Q$1101,12,0),"")</f>
        <v>_</v>
      </c>
      <c r="BB224" s="448" t="str">
        <f>_xlfn.IFNA(VLOOKUP($AP224,Programma!$F$3:$R$1101,13,0),"")</f>
        <v>_</v>
      </c>
      <c r="BC224" s="448" t="str">
        <f>_xlfn.IFNA(VLOOKUP($AP224,Programma!$F$3:$S$1101,14,0),"")</f>
        <v>5w</v>
      </c>
      <c r="BD224" s="448" t="str">
        <f>_xlfn.IFNA(VLOOKUP($AP224,Programma!$F$3:$T$1101,15,0),"")</f>
        <v>4j</v>
      </c>
      <c r="BE224" s="448" t="str">
        <f>_xlfn.IFNA(VLOOKUP($AP224,Programma!$F$3:$U$1101,16,0),"")</f>
        <v>4j</v>
      </c>
      <c r="BF224" s="448" t="str">
        <f>_xlfn.IFNA(VLOOKUP($AP224,Programma!$F$3:$V$1101,17,0),"")</f>
        <v>_</v>
      </c>
      <c r="BG224" s="448" t="str">
        <f>_xlfn.IFNA(VLOOKUP($AP224,Programma!$F$3:$W$1101,18,0),"")</f>
        <v>_</v>
      </c>
      <c r="BH224" s="448" t="str">
        <f>_xlfn.IFNA(VLOOKUP($AP224,Programma!$F$3:$X$1101,19,0),"")</f>
        <v>_</v>
      </c>
      <c r="BI224" s="448" t="str">
        <f>_xlfn.IFNA(VLOOKUP($AP224,Programma!$F$3:$Y$1101,20,0),"")</f>
        <v>_</v>
      </c>
      <c r="BJ224" s="449"/>
      <c r="BK224" s="447" t="str">
        <f>IF(Ruimtestaat[[#This Row],[Frequentie weekend]]="","",_xlfn.CONCAT(Ruimtestaat[[#This Row],[Ruimte code]],"-",Ruimtestaat[[#This Row],[Frequentie weekend]]," ",Ruimtestaat[[#This Row],[Vloer code]]))</f>
        <v/>
      </c>
      <c r="BL224" s="448" t="str">
        <f>_xlfn.IFNA(VLOOKUP($BK224,Programma!$F$3:$G$1101,2,0),"")</f>
        <v/>
      </c>
      <c r="BM224" s="448" t="str">
        <f>_xlfn.IFNA(VLOOKUP($BK224,Programma!$F$3:$H$1101,3,0),"")</f>
        <v/>
      </c>
      <c r="BN224" s="448" t="str">
        <f>_xlfn.IFNA(VLOOKUP($BK224,Programma!$F$3:$I$1101,4,0),"")</f>
        <v/>
      </c>
      <c r="BO224" s="448" t="str">
        <f>_xlfn.IFNA(VLOOKUP($BK224,Programma!$F$3:$J$1101,5,0),"")</f>
        <v/>
      </c>
      <c r="BP224" s="448" t="str">
        <f>_xlfn.IFNA(VLOOKUP($BK224,Programma!$F$3:$K$1101,6,0),"")</f>
        <v/>
      </c>
      <c r="BQ224" s="448" t="str">
        <f>_xlfn.IFNA(VLOOKUP($BK224,Programma!$F$3:$L$1101,7,0),"")</f>
        <v/>
      </c>
      <c r="BR224" s="448" t="str">
        <f>_xlfn.IFNA(VLOOKUP($BK224,Programma!$F$3:$M$1101,8,0),"")</f>
        <v/>
      </c>
      <c r="BS224" s="448" t="str">
        <f>_xlfn.IFNA(VLOOKUP($BK224,Programma!$F$3:$N$1101,9,0),"")</f>
        <v/>
      </c>
      <c r="BT224" s="448" t="str">
        <f>_xlfn.IFNA(VLOOKUP($BK224,Programma!$F$3:$O$1101,10,0),"")</f>
        <v/>
      </c>
      <c r="BU224" s="448" t="str">
        <f>_xlfn.IFNA(VLOOKUP($BK224,Programma!$F$3:$P$1101,11,0),"")</f>
        <v/>
      </c>
      <c r="BV224" s="448" t="str">
        <f>_xlfn.IFNA(VLOOKUP($BK224,Programma!$F$3:$Q$1101,12,0),"")</f>
        <v/>
      </c>
      <c r="BW224" s="448" t="str">
        <f>_xlfn.IFNA(VLOOKUP($BK224,Programma!$F$3:$R$1101,13,0),"")</f>
        <v/>
      </c>
      <c r="BX224" s="448" t="str">
        <f>_xlfn.IFNA(VLOOKUP($BK224,Programma!$F$3:$S$1101,14,0),"")</f>
        <v/>
      </c>
      <c r="BY224" s="448" t="str">
        <f>_xlfn.IFNA(VLOOKUP($BK224,Programma!$F$3:$T$1101,15,0),"")</f>
        <v/>
      </c>
      <c r="BZ224" s="448" t="str">
        <f>_xlfn.IFNA(VLOOKUP($BK224,Programma!$F$3:$U$1101,16,0),"")</f>
        <v/>
      </c>
      <c r="CA224" s="448" t="str">
        <f>_xlfn.IFNA(VLOOKUP($BK224,Programma!$F$3:$V$1101,17,0),"")</f>
        <v/>
      </c>
      <c r="CB224" s="448" t="str">
        <f>_xlfn.IFNA(VLOOKUP($BK224,Programma!$F$3:$W$1101,18,0),"")</f>
        <v/>
      </c>
      <c r="CC224" s="448" t="str">
        <f>_xlfn.IFNA(VLOOKUP($BK224,Programma!$F$3:$X$1101,19,0),"")</f>
        <v/>
      </c>
      <c r="CD224" s="448" t="str">
        <f>_xlfn.IFNA(VLOOKUP($BK224,Programma!$F$3:$Y$1101,20,0),"")</f>
        <v/>
      </c>
      <c r="CE224" s="327"/>
      <c r="CF224" s="327"/>
      <c r="CG224" s="327"/>
      <c r="CH224" s="327"/>
      <c r="CI224" s="327"/>
      <c r="CJ224" s="327"/>
      <c r="CK224" s="327"/>
      <c r="CL224" s="327"/>
      <c r="CM224" s="327"/>
      <c r="CN224" s="327"/>
      <c r="CO224" s="327"/>
      <c r="CP224" s="327"/>
      <c r="CQ224" s="327"/>
      <c r="CR224" s="327"/>
      <c r="CS224" s="327"/>
      <c r="CT224" s="327"/>
      <c r="CU224" s="327"/>
      <c r="CV224" s="327"/>
      <c r="CW224" s="327"/>
      <c r="CX224" s="327"/>
      <c r="CY224" s="327"/>
      <c r="CZ224" s="327"/>
      <c r="DA224" s="327"/>
      <c r="DB224" s="327"/>
      <c r="DC224" s="327"/>
      <c r="DD224" s="327"/>
      <c r="DE224" s="327"/>
      <c r="DF224" s="327"/>
      <c r="DG224" s="327"/>
      <c r="DH224" s="327"/>
      <c r="DI224" s="327"/>
      <c r="DJ224" s="327"/>
      <c r="DK224" s="327"/>
      <c r="DL224" s="327"/>
      <c r="DM224" s="327"/>
      <c r="DN224" s="327"/>
      <c r="DO224" s="327"/>
      <c r="DP224" s="327"/>
      <c r="DQ224" s="327"/>
      <c r="DR224" s="327"/>
      <c r="DS224" s="327"/>
      <c r="DT224" s="327"/>
      <c r="DU224" s="327"/>
      <c r="DV224" s="327"/>
      <c r="DW224" s="327"/>
      <c r="DX224" s="327"/>
      <c r="DY224" s="327"/>
      <c r="DZ224" s="327"/>
      <c r="EA224" s="327"/>
      <c r="EB224" s="327"/>
      <c r="EC224" s="327"/>
      <c r="ED224" s="327"/>
      <c r="EE224" s="327"/>
      <c r="EF224" s="327"/>
      <c r="EG224" s="327"/>
      <c r="EH224" s="327"/>
      <c r="EI224" s="327"/>
      <c r="EJ224" s="327"/>
      <c r="EK224" s="327"/>
      <c r="EL224" s="327"/>
      <c r="EM224" s="327"/>
      <c r="EN224" s="327"/>
      <c r="EO224" s="327"/>
      <c r="EP224" s="327"/>
      <c r="EQ224" s="327"/>
      <c r="ER224" s="327"/>
      <c r="ES224" s="327"/>
      <c r="ET224" s="327"/>
      <c r="EU224" s="327"/>
      <c r="EV224" s="327"/>
      <c r="EW224" s="327"/>
      <c r="EX224" s="327"/>
      <c r="EY224" s="327"/>
      <c r="EZ224" s="327"/>
      <c r="FA224" s="327"/>
      <c r="FB224" s="327"/>
      <c r="FC224" s="327"/>
      <c r="FD224" s="327"/>
      <c r="FE224" s="327"/>
      <c r="FF224" s="327"/>
      <c r="FG224" s="327"/>
      <c r="FH224" s="327"/>
      <c r="FI224" s="327"/>
      <c r="FJ224" s="327"/>
      <c r="FK224" s="327"/>
      <c r="FL224" s="327"/>
      <c r="FM224" s="327"/>
      <c r="FN224" s="327"/>
      <c r="FO224" s="327"/>
      <c r="FP224" s="327"/>
      <c r="FQ224" s="327"/>
      <c r="FR224" s="327"/>
      <c r="FS224" s="327"/>
      <c r="FT224" s="327"/>
      <c r="FU224" s="327"/>
      <c r="FV224" s="327"/>
      <c r="FW224" s="327"/>
      <c r="FX224" s="327"/>
      <c r="FY224" s="327"/>
      <c r="FZ224" s="327"/>
      <c r="GA224" s="327"/>
      <c r="GB224" s="327"/>
      <c r="GC224" s="327"/>
      <c r="GD224" s="327"/>
      <c r="GE224" s="327"/>
      <c r="GF224" s="327"/>
      <c r="GG224" s="327"/>
      <c r="GH224" s="327"/>
      <c r="GI224" s="327"/>
      <c r="GJ224" s="327"/>
      <c r="GK224" s="327"/>
      <c r="GL224" s="327"/>
      <c r="GM224" s="327"/>
      <c r="GN224" s="327"/>
      <c r="GO224" s="327"/>
      <c r="GP224" s="327"/>
      <c r="GQ224" s="327"/>
      <c r="GR224" s="327"/>
      <c r="GS224" s="327"/>
      <c r="GT224" s="327"/>
      <c r="GU224" s="327"/>
      <c r="GV224" s="327"/>
      <c r="GW224" s="327"/>
      <c r="GX224" s="327"/>
      <c r="GY224" s="327"/>
      <c r="GZ224" s="327"/>
      <c r="HA224" s="327"/>
      <c r="HB224" s="327"/>
      <c r="HC224" s="327"/>
      <c r="HD224" s="327"/>
      <c r="HE224" s="327"/>
      <c r="HF224" s="327"/>
      <c r="HG224" s="327"/>
      <c r="HH224" s="327"/>
      <c r="HI224" s="327"/>
      <c r="HJ224" s="327"/>
      <c r="HK224" s="327"/>
      <c r="HL224" s="327"/>
      <c r="HM224" s="327"/>
      <c r="HN224" s="327"/>
      <c r="HO224" s="327"/>
      <c r="HP224" s="327"/>
      <c r="HQ224" s="327"/>
      <c r="HR224" s="327"/>
      <c r="HS224" s="327"/>
    </row>
    <row r="225" spans="1:227" ht="15" customHeight="1">
      <c r="A225" s="330">
        <v>9</v>
      </c>
      <c r="B225" s="435" t="str">
        <f>VLOOKUP(Ruimtestaat[[#This Row],[Code]],Locaties[[Code]:[Locatie]],2,FALSE)</f>
        <v>IKC De Vijverburgh</v>
      </c>
      <c r="C225" s="435" t="str">
        <f>VLOOKUP(Ruimtestaat[[#This Row],[Code]],Locaties[[#All],[Code]:[Adres]],4,FALSE)</f>
        <v>Paltelaan 3</v>
      </c>
      <c r="D225" s="435" t="str">
        <f>VLOOKUP(Ruimtestaat[[#This Row],[Code]],Locaties[[#All],[Code]:[Postcode]],5,FALSE)</f>
        <v>2712 RN</v>
      </c>
      <c r="E225" s="435" t="str">
        <f>VLOOKUP(Ruimtestaat[[#This Row],[Code]],Locaties[#All],6,FALSE)</f>
        <v>Zoetermeer</v>
      </c>
      <c r="F225" s="450" t="s">
        <v>1705</v>
      </c>
      <c r="G225" s="434" t="s">
        <v>1678</v>
      </c>
      <c r="H225" s="330" t="s">
        <v>1680</v>
      </c>
      <c r="I225" s="450" t="s">
        <v>1679</v>
      </c>
      <c r="J225" s="330">
        <v>8</v>
      </c>
      <c r="K225" s="450" t="str">
        <f>VLOOKUP(Ruimtestaat[[#This Row],[Ruimte code]],Ruimtegroepen[[#All],[Code]:[Ruimte omschrijving]],2,FALSE)</f>
        <v>Kinderopvang</v>
      </c>
      <c r="L225" s="434" t="s">
        <v>100</v>
      </c>
      <c r="M225" s="437" t="s">
        <v>1759</v>
      </c>
      <c r="N225" s="439"/>
      <c r="O225" s="439"/>
      <c r="P225" s="439"/>
      <c r="Q225" s="439">
        <v>67</v>
      </c>
      <c r="R225" s="440" t="str">
        <f>VLOOKUP(Ruimtestaat[[#This Row],[Ruimte code]],Ruimtegroepen[],4,FALSE)</f>
        <v>Le</v>
      </c>
      <c r="S225" s="434">
        <v>51</v>
      </c>
      <c r="T225" s="434" t="s">
        <v>2</v>
      </c>
      <c r="U225" s="434">
        <f>IF(S225&gt;0,IF(RIGHT(Ruimtestaat[[#This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225" s="434">
        <f>IF(U225&gt;0,VLOOKUP($J225,Ruimtegroepen[],3,FALSE)*VLOOKUP($L225,Vloersoorten[],3,FALSE)*VLOOKUP($T225,Frequenties[],3,FALSE)*VLOOKUP($A225,Locaties[],3,FALSE),0)</f>
        <v>0</v>
      </c>
      <c r="W225" s="434">
        <f>Ruimtestaat[[#This Row],[Uitvoeringen werkdagen]]*Ruimtestaat[[#This Row],[Oppervlak (netto)]]</f>
        <v>0</v>
      </c>
      <c r="X225" s="441">
        <f>IF(V225&gt;0,Ruimtestaat[[#This Row],[Prest. (m2 /jaar) werkdagen]]/Ruimtestaat[[#This Row],[Norm (m2/uur) werkdagen]],0)</f>
        <v>0</v>
      </c>
      <c r="Y225" s="442">
        <f>Ruimtestaat[[#This Row],[Uitvoeringen werkdagen]]*Ruimtestaat[[#This Row],[Gedeeltelijk]]</f>
        <v>0</v>
      </c>
      <c r="Z225" s="443" t="e">
        <f>IF(U225&gt;0,Ruimtestaat[[#This Row],[Prest. (m2 / jaar) werkdagen gedeeld]]/Ruimtestaat[[#This Row],[Norm (m2/uur) werkdagen]],0)</f>
        <v>#DIV/0!</v>
      </c>
      <c r="AA225" s="441" t="e">
        <f>Ruimtestaat[[#This Row],[uren / jaar werkdagen gedeeld]]*Tariefsopbouw!$E$35</f>
        <v>#DIV/0!</v>
      </c>
      <c r="AB225" s="441">
        <f>Ruimtestaat[[#This Row],[Uitvoeringen werkdagen]]*Ruimtestaat[[#This Row],[BSO]]</f>
        <v>17085</v>
      </c>
      <c r="AC225" s="443" t="e">
        <f>IF(U225&gt;0,Ruimtestaat[[#This Row],[Prest. (m2 / jaar) werkdagen BSO]]/Ruimtestaat[[#This Row],[Norm (m2/uur) werkdagen]],0)</f>
        <v>#DIV/0!</v>
      </c>
      <c r="AD225" s="443" t="e">
        <f>Ruimtestaat[[#This Row],[uren / jaar werkdagen BSO]]*Tariefsopbouw!$E$35</f>
        <v>#DIV/0!</v>
      </c>
      <c r="AE225" s="444">
        <f>Ruimtestaat[[#This Row],[uren / jaar werkdagen]]*Tariefsopbouw!$E$35</f>
        <v>0</v>
      </c>
      <c r="AF225" s="434"/>
      <c r="AG225" s="434">
        <f>IF(Ruimtestaat[[#This Row],[Frequentie weekend]]&gt;0,VALUE(LEFT(AF225,1))*S225,0)</f>
        <v>0</v>
      </c>
      <c r="AH225" s="445">
        <f>IF($AG225&gt;0,VLOOKUP($J225,Ruimtegroepen[],3,FALSE)*VLOOKUP($L225,Vloersoorten[],3,FALSE)*VLOOKUP($AF225,Frequenties[],3,FALSE)*VLOOKUP(Ruimtestaat[[#This Row],[Code]],Locaties[],3,FALSE),0)</f>
        <v>0</v>
      </c>
      <c r="AI225" s="445">
        <f>Ruimtestaat[[#This Row],[Uitvoeringen weekend]]*Ruimtestaat[[#This Row],[Oppervlak (netto)]]</f>
        <v>0</v>
      </c>
      <c r="AJ225" s="445">
        <f>IF(AH225&gt;0,Ruimtestaat[[#This Row],[Prest. (m2 /jaar) weekend]]/Ruimtestaat[[#This Row],[Norm (m2/uur) weekend]],0)</f>
        <v>0</v>
      </c>
      <c r="AK225" s="444">
        <f>Ruimtestaat[[#This Row],[uren / jaar weekend]]*Tariefsopbouw!$D$40</f>
        <v>0</v>
      </c>
      <c r="AL225" s="441">
        <f>Ruimtestaat[[#This Row],[Prest. (m2 /jaar) weekend]]+Ruimtestaat[[#This Row],[Prest. (m2 /jaar) werkdagen]]</f>
        <v>0</v>
      </c>
      <c r="AM225" s="441">
        <f>Ruimtestaat[[#This Row],[uren / jaar weekend]]+Ruimtestaat[[#This Row],[uren / jaar werkdagen]]</f>
        <v>0</v>
      </c>
      <c r="AN225" s="446">
        <f>Ruimtestaat[[#This Row],[kosten / jaar weekend]]+Ruimtestaat[[#This Row],[kosten / jaar werkdagen]]</f>
        <v>0</v>
      </c>
      <c r="AO225" s="446"/>
      <c r="AP225" s="447" t="str">
        <f>IF(Ruimtestaat[[#This Row],[Frequentie werkdagen]]="","",_xlfn.CONCAT(Ruimtestaat[[#This Row],[Ruimte code]],"-",Ruimtestaat[[#This Row],[Frequentie werkdagen]]," ",Ruimtestaat[[#This Row],[Vloer code]]))</f>
        <v>8-5w L</v>
      </c>
      <c r="AQ225" s="448" t="str">
        <f>_xlfn.IFNA(VLOOKUP($AP225,Programma!$F$3:$G$1101,2,0),"")</f>
        <v>_</v>
      </c>
      <c r="AR225" s="448" t="str">
        <f>_xlfn.IFNA(VLOOKUP($AP225,Programma!$F$3:$H$1101,3,0),"")</f>
        <v>_</v>
      </c>
      <c r="AS225" s="448" t="str">
        <f>_xlfn.IFNA(VLOOKUP($AP225,Programma!$F$3:$I$1101,4,0),"")</f>
        <v>4w</v>
      </c>
      <c r="AT225" s="448" t="str">
        <f>_xlfn.IFNA(VLOOKUP($AP225,Programma!$F$3:$J$1101,5,0),"")</f>
        <v>1w</v>
      </c>
      <c r="AU225" s="448" t="str">
        <f>_xlfn.IFNA(VLOOKUP($AP225,Programma!$F$3:$K$1101,6,0),"")</f>
        <v>_</v>
      </c>
      <c r="AV225" s="448" t="str">
        <f>_xlfn.IFNA(VLOOKUP($AP225,Programma!$F$3:$L$1101,7,0),"")</f>
        <v>_</v>
      </c>
      <c r="AW225" s="448" t="str">
        <f>_xlfn.IFNA(VLOOKUP($AP225,Programma!$F$3:$M$1101,8,0),"")</f>
        <v>_</v>
      </c>
      <c r="AX225" s="448" t="str">
        <f>_xlfn.IFNA(VLOOKUP($AP225,Programma!$F$3:$N$1101,9,0),"")</f>
        <v>_</v>
      </c>
      <c r="AY225" s="448" t="str">
        <f>_xlfn.IFNA(VLOOKUP($AP225,Programma!$F$3:$O$1101,10,0),"")</f>
        <v>5w</v>
      </c>
      <c r="AZ225" s="448" t="str">
        <f>_xlfn.IFNA(VLOOKUP($AP225,Programma!$F$3:$P$1101,11,0),"")</f>
        <v>5w</v>
      </c>
      <c r="BA225" s="448" t="str">
        <f>_xlfn.IFNA(VLOOKUP($AP225,Programma!$F$3:$Q$1101,12,0),"")</f>
        <v>1w</v>
      </c>
      <c r="BB225" s="448" t="str">
        <f>_xlfn.IFNA(VLOOKUP($AP225,Programma!$F$3:$R$1101,13,0),"")</f>
        <v>1w</v>
      </c>
      <c r="BC225" s="448" t="str">
        <f>_xlfn.IFNA(VLOOKUP($AP225,Programma!$F$3:$S$1101,14,0),"")</f>
        <v>1m</v>
      </c>
      <c r="BD225" s="448" t="str">
        <f>_xlfn.IFNA(VLOOKUP($AP225,Programma!$F$3:$T$1101,15,0),"")</f>
        <v>2j</v>
      </c>
      <c r="BE225" s="448" t="str">
        <f>_xlfn.IFNA(VLOOKUP($AP225,Programma!$F$3:$U$1101,16,0),"")</f>
        <v>1j</v>
      </c>
      <c r="BF225" s="448" t="str">
        <f>_xlfn.IFNA(VLOOKUP($AP225,Programma!$F$3:$V$1101,17,0),"")</f>
        <v>_</v>
      </c>
      <c r="BG225" s="448" t="str">
        <f>_xlfn.IFNA(VLOOKUP($AP225,Programma!$F$3:$W$1101,18,0),"")</f>
        <v>_</v>
      </c>
      <c r="BH225" s="448" t="str">
        <f>_xlfn.IFNA(VLOOKUP($AP225,Programma!$F$3:$X$1101,19,0),"")</f>
        <v>_</v>
      </c>
      <c r="BI225" s="448" t="str">
        <f>_xlfn.IFNA(VLOOKUP($AP225,Programma!$F$3:$Y$1101,20,0),"")</f>
        <v>_</v>
      </c>
      <c r="BJ225" s="449"/>
      <c r="BK225" s="447" t="str">
        <f>IF(Ruimtestaat[[#This Row],[Frequentie weekend]]="","",_xlfn.CONCAT(Ruimtestaat[[#This Row],[Ruimte code]],"-",Ruimtestaat[[#This Row],[Frequentie weekend]]," ",Ruimtestaat[[#This Row],[Vloer code]]))</f>
        <v/>
      </c>
      <c r="BL225" s="448" t="str">
        <f>_xlfn.IFNA(VLOOKUP($BK225,Programma!$F$3:$G$1101,2,0),"")</f>
        <v/>
      </c>
      <c r="BM225" s="448" t="str">
        <f>_xlfn.IFNA(VLOOKUP($BK225,Programma!$F$3:$H$1101,3,0),"")</f>
        <v/>
      </c>
      <c r="BN225" s="448" t="str">
        <f>_xlfn.IFNA(VLOOKUP($BK225,Programma!$F$3:$I$1101,4,0),"")</f>
        <v/>
      </c>
      <c r="BO225" s="448" t="str">
        <f>_xlfn.IFNA(VLOOKUP($BK225,Programma!$F$3:$J$1101,5,0),"")</f>
        <v/>
      </c>
      <c r="BP225" s="448" t="str">
        <f>_xlfn.IFNA(VLOOKUP($BK225,Programma!$F$3:$K$1101,6,0),"")</f>
        <v/>
      </c>
      <c r="BQ225" s="448" t="str">
        <f>_xlfn.IFNA(VLOOKUP($BK225,Programma!$F$3:$L$1101,7,0),"")</f>
        <v/>
      </c>
      <c r="BR225" s="448" t="str">
        <f>_xlfn.IFNA(VLOOKUP($BK225,Programma!$F$3:$M$1101,8,0),"")</f>
        <v/>
      </c>
      <c r="BS225" s="448" t="str">
        <f>_xlfn.IFNA(VLOOKUP($BK225,Programma!$F$3:$N$1101,9,0),"")</f>
        <v/>
      </c>
      <c r="BT225" s="448" t="str">
        <f>_xlfn.IFNA(VLOOKUP($BK225,Programma!$F$3:$O$1101,10,0),"")</f>
        <v/>
      </c>
      <c r="BU225" s="448" t="str">
        <f>_xlfn.IFNA(VLOOKUP($BK225,Programma!$F$3:$P$1101,11,0),"")</f>
        <v/>
      </c>
      <c r="BV225" s="448" t="str">
        <f>_xlfn.IFNA(VLOOKUP($BK225,Programma!$F$3:$Q$1101,12,0),"")</f>
        <v/>
      </c>
      <c r="BW225" s="448" t="str">
        <f>_xlfn.IFNA(VLOOKUP($BK225,Programma!$F$3:$R$1101,13,0),"")</f>
        <v/>
      </c>
      <c r="BX225" s="448" t="str">
        <f>_xlfn.IFNA(VLOOKUP($BK225,Programma!$F$3:$S$1101,14,0),"")</f>
        <v/>
      </c>
      <c r="BY225" s="448" t="str">
        <f>_xlfn.IFNA(VLOOKUP($BK225,Programma!$F$3:$T$1101,15,0),"")</f>
        <v/>
      </c>
      <c r="BZ225" s="448" t="str">
        <f>_xlfn.IFNA(VLOOKUP($BK225,Programma!$F$3:$U$1101,16,0),"")</f>
        <v/>
      </c>
      <c r="CA225" s="448" t="str">
        <f>_xlfn.IFNA(VLOOKUP($BK225,Programma!$F$3:$V$1101,17,0),"")</f>
        <v/>
      </c>
      <c r="CB225" s="448" t="str">
        <f>_xlfn.IFNA(VLOOKUP($BK225,Programma!$F$3:$W$1101,18,0),"")</f>
        <v/>
      </c>
      <c r="CC225" s="448" t="str">
        <f>_xlfn.IFNA(VLOOKUP($BK225,Programma!$F$3:$X$1101,19,0),"")</f>
        <v/>
      </c>
      <c r="CD225" s="448" t="str">
        <f>_xlfn.IFNA(VLOOKUP($BK225,Programma!$F$3:$Y$1101,20,0),"")</f>
        <v/>
      </c>
      <c r="CE225" s="327"/>
      <c r="CF225" s="327"/>
      <c r="CG225" s="327"/>
      <c r="CH225" s="327"/>
      <c r="CI225" s="327"/>
      <c r="CJ225" s="327"/>
      <c r="CK225" s="327"/>
      <c r="CL225" s="327"/>
      <c r="CM225" s="327"/>
      <c r="CN225" s="327"/>
      <c r="CO225" s="327"/>
      <c r="CP225" s="327"/>
      <c r="CQ225" s="327"/>
      <c r="CR225" s="327"/>
      <c r="CS225" s="327"/>
      <c r="CT225" s="327"/>
      <c r="CU225" s="327"/>
      <c r="CV225" s="327"/>
      <c r="CW225" s="327"/>
      <c r="CX225" s="327"/>
      <c r="CY225" s="327"/>
      <c r="CZ225" s="327"/>
      <c r="DA225" s="327"/>
      <c r="DB225" s="327"/>
      <c r="DC225" s="327"/>
      <c r="DD225" s="327"/>
      <c r="DE225" s="327"/>
      <c r="DF225" s="327"/>
      <c r="DG225" s="327"/>
      <c r="DH225" s="327"/>
      <c r="DI225" s="327"/>
      <c r="DJ225" s="327"/>
      <c r="DK225" s="327"/>
      <c r="DL225" s="327"/>
      <c r="DM225" s="327"/>
      <c r="DN225" s="327"/>
      <c r="DO225" s="327"/>
      <c r="DP225" s="327"/>
      <c r="DQ225" s="327"/>
      <c r="DR225" s="327"/>
      <c r="DS225" s="327"/>
      <c r="DT225" s="327"/>
      <c r="DU225" s="327"/>
      <c r="DV225" s="327"/>
      <c r="DW225" s="327"/>
      <c r="DX225" s="327"/>
      <c r="DY225" s="327"/>
      <c r="DZ225" s="327"/>
      <c r="EA225" s="327"/>
      <c r="EB225" s="327"/>
      <c r="EC225" s="327"/>
      <c r="ED225" s="327"/>
      <c r="EE225" s="327"/>
      <c r="EF225" s="327"/>
      <c r="EG225" s="327"/>
      <c r="EH225" s="327"/>
      <c r="EI225" s="327"/>
      <c r="EJ225" s="327"/>
      <c r="EK225" s="327"/>
      <c r="EL225" s="327"/>
      <c r="EM225" s="327"/>
      <c r="EN225" s="327"/>
      <c r="EO225" s="327"/>
      <c r="EP225" s="327"/>
      <c r="EQ225" s="327"/>
      <c r="ER225" s="327"/>
      <c r="ES225" s="327"/>
      <c r="ET225" s="327"/>
      <c r="EU225" s="327"/>
      <c r="EV225" s="327"/>
      <c r="EW225" s="327"/>
      <c r="EX225" s="327"/>
      <c r="EY225" s="327"/>
      <c r="EZ225" s="327"/>
      <c r="FA225" s="327"/>
      <c r="FB225" s="327"/>
      <c r="FC225" s="327"/>
      <c r="FD225" s="327"/>
      <c r="FE225" s="327"/>
      <c r="FF225" s="327"/>
      <c r="FG225" s="327"/>
      <c r="FH225" s="327"/>
      <c r="FI225" s="327"/>
      <c r="FJ225" s="327"/>
      <c r="FK225" s="327"/>
      <c r="FL225" s="327"/>
      <c r="FM225" s="327"/>
      <c r="FN225" s="327"/>
      <c r="FO225" s="327"/>
      <c r="FP225" s="327"/>
      <c r="FQ225" s="327"/>
      <c r="FR225" s="327"/>
      <c r="FS225" s="327"/>
      <c r="FT225" s="327"/>
      <c r="FU225" s="327"/>
      <c r="FV225" s="327"/>
      <c r="FW225" s="327"/>
      <c r="FX225" s="327"/>
      <c r="FY225" s="327"/>
      <c r="FZ225" s="327"/>
      <c r="GA225" s="327"/>
      <c r="GB225" s="327"/>
      <c r="GC225" s="327"/>
      <c r="GD225" s="327"/>
      <c r="GE225" s="327"/>
      <c r="GF225" s="327"/>
      <c r="GG225" s="327"/>
      <c r="GH225" s="327"/>
      <c r="GI225" s="327"/>
      <c r="GJ225" s="327"/>
      <c r="GK225" s="327"/>
      <c r="GL225" s="327"/>
      <c r="GM225" s="327"/>
      <c r="GN225" s="327"/>
      <c r="GO225" s="327"/>
      <c r="GP225" s="327"/>
      <c r="GQ225" s="327"/>
      <c r="GR225" s="327"/>
      <c r="GS225" s="327"/>
      <c r="GT225" s="327"/>
      <c r="GU225" s="327"/>
      <c r="GV225" s="327"/>
      <c r="GW225" s="327"/>
      <c r="GX225" s="327"/>
      <c r="GY225" s="327"/>
      <c r="GZ225" s="327"/>
      <c r="HA225" s="327"/>
      <c r="HB225" s="327"/>
      <c r="HC225" s="327"/>
      <c r="HD225" s="327"/>
      <c r="HE225" s="327"/>
      <c r="HF225" s="327"/>
      <c r="HG225" s="327"/>
      <c r="HH225" s="327"/>
      <c r="HI225" s="327"/>
      <c r="HJ225" s="327"/>
      <c r="HK225" s="327"/>
      <c r="HL225" s="327"/>
      <c r="HM225" s="327"/>
      <c r="HN225" s="327"/>
      <c r="HO225" s="327"/>
      <c r="HP225" s="327"/>
      <c r="HQ225" s="327"/>
      <c r="HR225" s="327"/>
      <c r="HS225" s="327"/>
    </row>
    <row r="226" spans="1:227" ht="15" customHeight="1">
      <c r="A226" s="330">
        <v>9</v>
      </c>
      <c r="B226" s="435" t="str">
        <f>VLOOKUP(Ruimtestaat[[#This Row],[Code]],Locaties[[Code]:[Locatie]],2,FALSE)</f>
        <v>IKC De Vijverburgh</v>
      </c>
      <c r="C226" s="435" t="str">
        <f>VLOOKUP(Ruimtestaat[[#This Row],[Code]],Locaties[[#All],[Code]:[Adres]],4,FALSE)</f>
        <v>Paltelaan 3</v>
      </c>
      <c r="D226" s="435" t="str">
        <f>VLOOKUP(Ruimtestaat[[#This Row],[Code]],Locaties[[#All],[Code]:[Postcode]],5,FALSE)</f>
        <v>2712 RN</v>
      </c>
      <c r="E226" s="435" t="str">
        <f>VLOOKUP(Ruimtestaat[[#This Row],[Code]],Locaties[#All],6,FALSE)</f>
        <v>Zoetermeer</v>
      </c>
      <c r="F226" s="450" t="s">
        <v>1705</v>
      </c>
      <c r="G226" s="434" t="s">
        <v>1678</v>
      </c>
      <c r="H226" s="330" t="s">
        <v>1681</v>
      </c>
      <c r="I226" s="450" t="s">
        <v>1679</v>
      </c>
      <c r="J226" s="330">
        <v>8</v>
      </c>
      <c r="K226" s="450" t="str">
        <f>VLOOKUP(Ruimtestaat[[#This Row],[Ruimte code]],Ruimtegroepen[[#All],[Code]:[Ruimte omschrijving]],2,FALSE)</f>
        <v>Kinderopvang</v>
      </c>
      <c r="L226" s="434" t="s">
        <v>100</v>
      </c>
      <c r="M226" s="437" t="s">
        <v>1759</v>
      </c>
      <c r="N226" s="439"/>
      <c r="O226" s="439"/>
      <c r="P226" s="439"/>
      <c r="Q226" s="439">
        <v>67</v>
      </c>
      <c r="R226" s="440" t="str">
        <f>VLOOKUP(Ruimtestaat[[#This Row],[Ruimte code]],Ruimtegroepen[],4,FALSE)</f>
        <v>Le</v>
      </c>
      <c r="S226" s="434">
        <v>51</v>
      </c>
      <c r="T226" s="434" t="s">
        <v>2</v>
      </c>
      <c r="U226" s="434">
        <f>IF(S226&gt;0,IF(RIGHT(Ruimtestaat[[#This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226" s="434">
        <f>IF(U226&gt;0,VLOOKUP($J226,Ruimtegroepen[],3,FALSE)*VLOOKUP($L226,Vloersoorten[],3,FALSE)*VLOOKUP($T226,Frequenties[],3,FALSE)*VLOOKUP($A226,Locaties[],3,FALSE),0)</f>
        <v>0</v>
      </c>
      <c r="W226" s="434">
        <f>Ruimtestaat[[#This Row],[Uitvoeringen werkdagen]]*Ruimtestaat[[#This Row],[Oppervlak (netto)]]</f>
        <v>0</v>
      </c>
      <c r="X226" s="441">
        <f>IF(V226&gt;0,Ruimtestaat[[#This Row],[Prest. (m2 /jaar) werkdagen]]/Ruimtestaat[[#This Row],[Norm (m2/uur) werkdagen]],0)</f>
        <v>0</v>
      </c>
      <c r="Y226" s="442">
        <f>Ruimtestaat[[#This Row],[Uitvoeringen werkdagen]]*Ruimtestaat[[#This Row],[Gedeeltelijk]]</f>
        <v>0</v>
      </c>
      <c r="Z226" s="443" t="e">
        <f>IF(U226&gt;0,Ruimtestaat[[#This Row],[Prest. (m2 / jaar) werkdagen gedeeld]]/Ruimtestaat[[#This Row],[Norm (m2/uur) werkdagen]],0)</f>
        <v>#DIV/0!</v>
      </c>
      <c r="AA226" s="441" t="e">
        <f>Ruimtestaat[[#This Row],[uren / jaar werkdagen gedeeld]]*Tariefsopbouw!$E$35</f>
        <v>#DIV/0!</v>
      </c>
      <c r="AB226" s="441">
        <f>Ruimtestaat[[#This Row],[Uitvoeringen werkdagen]]*Ruimtestaat[[#This Row],[BSO]]</f>
        <v>17085</v>
      </c>
      <c r="AC226" s="443" t="e">
        <f>IF(U226&gt;0,Ruimtestaat[[#This Row],[Prest. (m2 / jaar) werkdagen BSO]]/Ruimtestaat[[#This Row],[Norm (m2/uur) werkdagen]],0)</f>
        <v>#DIV/0!</v>
      </c>
      <c r="AD226" s="443" t="e">
        <f>Ruimtestaat[[#This Row],[uren / jaar werkdagen BSO]]*Tariefsopbouw!$E$35</f>
        <v>#DIV/0!</v>
      </c>
      <c r="AE226" s="444">
        <f>Ruimtestaat[[#This Row],[uren / jaar werkdagen]]*Tariefsopbouw!$E$35</f>
        <v>0</v>
      </c>
      <c r="AF226" s="434"/>
      <c r="AG226" s="434">
        <f>IF(Ruimtestaat[[#This Row],[Frequentie weekend]]&gt;0,VALUE(LEFT(AF226,1))*S226,0)</f>
        <v>0</v>
      </c>
      <c r="AH226" s="445">
        <f>IF($AG226&gt;0,VLOOKUP($J226,Ruimtegroepen[],3,FALSE)*VLOOKUP($L226,Vloersoorten[],3,FALSE)*VLOOKUP($AF226,Frequenties[],3,FALSE)*VLOOKUP(Ruimtestaat[[#This Row],[Code]],Locaties[],3,FALSE),0)</f>
        <v>0</v>
      </c>
      <c r="AI226" s="445">
        <f>Ruimtestaat[[#This Row],[Uitvoeringen weekend]]*Ruimtestaat[[#This Row],[Oppervlak (netto)]]</f>
        <v>0</v>
      </c>
      <c r="AJ226" s="445">
        <f>IF(AH226&gt;0,Ruimtestaat[[#This Row],[Prest. (m2 /jaar) weekend]]/Ruimtestaat[[#This Row],[Norm (m2/uur) weekend]],0)</f>
        <v>0</v>
      </c>
      <c r="AK226" s="444">
        <f>Ruimtestaat[[#This Row],[uren / jaar weekend]]*Tariefsopbouw!$D$40</f>
        <v>0</v>
      </c>
      <c r="AL226" s="441">
        <f>Ruimtestaat[[#This Row],[Prest. (m2 /jaar) weekend]]+Ruimtestaat[[#This Row],[Prest. (m2 /jaar) werkdagen]]</f>
        <v>0</v>
      </c>
      <c r="AM226" s="441">
        <f>Ruimtestaat[[#This Row],[uren / jaar weekend]]+Ruimtestaat[[#This Row],[uren / jaar werkdagen]]</f>
        <v>0</v>
      </c>
      <c r="AN226" s="446">
        <f>Ruimtestaat[[#This Row],[kosten / jaar weekend]]+Ruimtestaat[[#This Row],[kosten / jaar werkdagen]]</f>
        <v>0</v>
      </c>
      <c r="AO226" s="446"/>
      <c r="AP226" s="447" t="str">
        <f>IF(Ruimtestaat[[#This Row],[Frequentie werkdagen]]="","",_xlfn.CONCAT(Ruimtestaat[[#This Row],[Ruimte code]],"-",Ruimtestaat[[#This Row],[Frequentie werkdagen]]," ",Ruimtestaat[[#This Row],[Vloer code]]))</f>
        <v>8-5w L</v>
      </c>
      <c r="AQ226" s="448" t="str">
        <f>_xlfn.IFNA(VLOOKUP($AP226,Programma!$F$3:$G$1101,2,0),"")</f>
        <v>_</v>
      </c>
      <c r="AR226" s="448" t="str">
        <f>_xlfn.IFNA(VLOOKUP($AP226,Programma!$F$3:$H$1101,3,0),"")</f>
        <v>_</v>
      </c>
      <c r="AS226" s="448" t="str">
        <f>_xlfn.IFNA(VLOOKUP($AP226,Programma!$F$3:$I$1101,4,0),"")</f>
        <v>4w</v>
      </c>
      <c r="AT226" s="448" t="str">
        <f>_xlfn.IFNA(VLOOKUP($AP226,Programma!$F$3:$J$1101,5,0),"")</f>
        <v>1w</v>
      </c>
      <c r="AU226" s="448" t="str">
        <f>_xlfn.IFNA(VLOOKUP($AP226,Programma!$F$3:$K$1101,6,0),"")</f>
        <v>_</v>
      </c>
      <c r="AV226" s="448" t="str">
        <f>_xlfn.IFNA(VLOOKUP($AP226,Programma!$F$3:$L$1101,7,0),"")</f>
        <v>_</v>
      </c>
      <c r="AW226" s="448" t="str">
        <f>_xlfn.IFNA(VLOOKUP($AP226,Programma!$F$3:$M$1101,8,0),"")</f>
        <v>_</v>
      </c>
      <c r="AX226" s="448" t="str">
        <f>_xlfn.IFNA(VLOOKUP($AP226,Programma!$F$3:$N$1101,9,0),"")</f>
        <v>_</v>
      </c>
      <c r="AY226" s="448" t="str">
        <f>_xlfn.IFNA(VLOOKUP($AP226,Programma!$F$3:$O$1101,10,0),"")</f>
        <v>5w</v>
      </c>
      <c r="AZ226" s="448" t="str">
        <f>_xlfn.IFNA(VLOOKUP($AP226,Programma!$F$3:$P$1101,11,0),"")</f>
        <v>5w</v>
      </c>
      <c r="BA226" s="448" t="str">
        <f>_xlfn.IFNA(VLOOKUP($AP226,Programma!$F$3:$Q$1101,12,0),"")</f>
        <v>1w</v>
      </c>
      <c r="BB226" s="448" t="str">
        <f>_xlfn.IFNA(VLOOKUP($AP226,Programma!$F$3:$R$1101,13,0),"")</f>
        <v>1w</v>
      </c>
      <c r="BC226" s="448" t="str">
        <f>_xlfn.IFNA(VLOOKUP($AP226,Programma!$F$3:$S$1101,14,0),"")</f>
        <v>1m</v>
      </c>
      <c r="BD226" s="448" t="str">
        <f>_xlfn.IFNA(VLOOKUP($AP226,Programma!$F$3:$T$1101,15,0),"")</f>
        <v>2j</v>
      </c>
      <c r="BE226" s="448" t="str">
        <f>_xlfn.IFNA(VLOOKUP($AP226,Programma!$F$3:$U$1101,16,0),"")</f>
        <v>1j</v>
      </c>
      <c r="BF226" s="448" t="str">
        <f>_xlfn.IFNA(VLOOKUP($AP226,Programma!$F$3:$V$1101,17,0),"")</f>
        <v>_</v>
      </c>
      <c r="BG226" s="448" t="str">
        <f>_xlfn.IFNA(VLOOKUP($AP226,Programma!$F$3:$W$1101,18,0),"")</f>
        <v>_</v>
      </c>
      <c r="BH226" s="448" t="str">
        <f>_xlfn.IFNA(VLOOKUP($AP226,Programma!$F$3:$X$1101,19,0),"")</f>
        <v>_</v>
      </c>
      <c r="BI226" s="448" t="str">
        <f>_xlfn.IFNA(VLOOKUP($AP226,Programma!$F$3:$Y$1101,20,0),"")</f>
        <v>_</v>
      </c>
      <c r="BJ226" s="449"/>
      <c r="BK226" s="447" t="str">
        <f>IF(Ruimtestaat[[#This Row],[Frequentie weekend]]="","",_xlfn.CONCAT(Ruimtestaat[[#This Row],[Ruimte code]],"-",Ruimtestaat[[#This Row],[Frequentie weekend]]," ",Ruimtestaat[[#This Row],[Vloer code]]))</f>
        <v/>
      </c>
      <c r="BL226" s="448" t="str">
        <f>_xlfn.IFNA(VLOOKUP($BK226,Programma!$F$3:$G$1101,2,0),"")</f>
        <v/>
      </c>
      <c r="BM226" s="448" t="str">
        <f>_xlfn.IFNA(VLOOKUP($BK226,Programma!$F$3:$H$1101,3,0),"")</f>
        <v/>
      </c>
      <c r="BN226" s="448" t="str">
        <f>_xlfn.IFNA(VLOOKUP($BK226,Programma!$F$3:$I$1101,4,0),"")</f>
        <v/>
      </c>
      <c r="BO226" s="448" t="str">
        <f>_xlfn.IFNA(VLOOKUP($BK226,Programma!$F$3:$J$1101,5,0),"")</f>
        <v/>
      </c>
      <c r="BP226" s="448" t="str">
        <f>_xlfn.IFNA(VLOOKUP($BK226,Programma!$F$3:$K$1101,6,0),"")</f>
        <v/>
      </c>
      <c r="BQ226" s="448" t="str">
        <f>_xlfn.IFNA(VLOOKUP($BK226,Programma!$F$3:$L$1101,7,0),"")</f>
        <v/>
      </c>
      <c r="BR226" s="448" t="str">
        <f>_xlfn.IFNA(VLOOKUP($BK226,Programma!$F$3:$M$1101,8,0),"")</f>
        <v/>
      </c>
      <c r="BS226" s="448" t="str">
        <f>_xlfn.IFNA(VLOOKUP($BK226,Programma!$F$3:$N$1101,9,0),"")</f>
        <v/>
      </c>
      <c r="BT226" s="448" t="str">
        <f>_xlfn.IFNA(VLOOKUP($BK226,Programma!$F$3:$O$1101,10,0),"")</f>
        <v/>
      </c>
      <c r="BU226" s="448" t="str">
        <f>_xlfn.IFNA(VLOOKUP($BK226,Programma!$F$3:$P$1101,11,0),"")</f>
        <v/>
      </c>
      <c r="BV226" s="448" t="str">
        <f>_xlfn.IFNA(VLOOKUP($BK226,Programma!$F$3:$Q$1101,12,0),"")</f>
        <v/>
      </c>
      <c r="BW226" s="448" t="str">
        <f>_xlfn.IFNA(VLOOKUP($BK226,Programma!$F$3:$R$1101,13,0),"")</f>
        <v/>
      </c>
      <c r="BX226" s="448" t="str">
        <f>_xlfn.IFNA(VLOOKUP($BK226,Programma!$F$3:$S$1101,14,0),"")</f>
        <v/>
      </c>
      <c r="BY226" s="448" t="str">
        <f>_xlfn.IFNA(VLOOKUP($BK226,Programma!$F$3:$T$1101,15,0),"")</f>
        <v/>
      </c>
      <c r="BZ226" s="448" t="str">
        <f>_xlfn.IFNA(VLOOKUP($BK226,Programma!$F$3:$U$1101,16,0),"")</f>
        <v/>
      </c>
      <c r="CA226" s="448" t="str">
        <f>_xlfn.IFNA(VLOOKUP($BK226,Programma!$F$3:$V$1101,17,0),"")</f>
        <v/>
      </c>
      <c r="CB226" s="448" t="str">
        <f>_xlfn.IFNA(VLOOKUP($BK226,Programma!$F$3:$W$1101,18,0),"")</f>
        <v/>
      </c>
      <c r="CC226" s="448" t="str">
        <f>_xlfn.IFNA(VLOOKUP($BK226,Programma!$F$3:$X$1101,19,0),"")</f>
        <v/>
      </c>
      <c r="CD226" s="448" t="str">
        <f>_xlfn.IFNA(VLOOKUP($BK226,Programma!$F$3:$Y$1101,20,0),"")</f>
        <v/>
      </c>
      <c r="CE226" s="327"/>
      <c r="CF226" s="327"/>
      <c r="CG226" s="327"/>
      <c r="CH226" s="327"/>
      <c r="CI226" s="327"/>
      <c r="CJ226" s="327"/>
      <c r="CK226" s="327"/>
      <c r="CL226" s="327"/>
      <c r="CM226" s="327"/>
      <c r="CN226" s="327"/>
      <c r="CO226" s="327"/>
      <c r="CP226" s="327"/>
      <c r="CQ226" s="327"/>
      <c r="CR226" s="327"/>
      <c r="CS226" s="327"/>
      <c r="CT226" s="327"/>
      <c r="CU226" s="327"/>
      <c r="CV226" s="327"/>
      <c r="CW226" s="327"/>
      <c r="CX226" s="327"/>
      <c r="CY226" s="327"/>
      <c r="CZ226" s="327"/>
      <c r="DA226" s="327"/>
      <c r="DB226" s="327"/>
      <c r="DC226" s="327"/>
      <c r="DD226" s="327"/>
      <c r="DE226" s="327"/>
      <c r="DF226" s="327"/>
      <c r="DG226" s="327"/>
      <c r="DH226" s="327"/>
      <c r="DI226" s="327"/>
      <c r="DJ226" s="327"/>
      <c r="DK226" s="327"/>
      <c r="DL226" s="327"/>
      <c r="DM226" s="327"/>
      <c r="DN226" s="327"/>
      <c r="DO226" s="327"/>
      <c r="DP226" s="327"/>
      <c r="DQ226" s="327"/>
      <c r="DR226" s="327"/>
      <c r="DS226" s="327"/>
      <c r="DT226" s="327"/>
      <c r="DU226" s="327"/>
      <c r="DV226" s="327"/>
      <c r="DW226" s="327"/>
      <c r="DX226" s="327"/>
      <c r="DY226" s="327"/>
      <c r="DZ226" s="327"/>
      <c r="EA226" s="327"/>
      <c r="EB226" s="327"/>
      <c r="EC226" s="327"/>
      <c r="ED226" s="327"/>
      <c r="EE226" s="327"/>
      <c r="EF226" s="327"/>
      <c r="EG226" s="327"/>
      <c r="EH226" s="327"/>
      <c r="EI226" s="327"/>
      <c r="EJ226" s="327"/>
      <c r="EK226" s="327"/>
      <c r="EL226" s="327"/>
      <c r="EM226" s="327"/>
      <c r="EN226" s="327"/>
      <c r="EO226" s="327"/>
      <c r="EP226" s="327"/>
      <c r="EQ226" s="327"/>
      <c r="ER226" s="327"/>
      <c r="ES226" s="327"/>
      <c r="ET226" s="327"/>
      <c r="EU226" s="327"/>
      <c r="EV226" s="327"/>
      <c r="EW226" s="327"/>
      <c r="EX226" s="327"/>
      <c r="EY226" s="327"/>
      <c r="EZ226" s="327"/>
      <c r="FA226" s="327"/>
      <c r="FB226" s="327"/>
      <c r="FC226" s="327"/>
      <c r="FD226" s="327"/>
      <c r="FE226" s="327"/>
      <c r="FF226" s="327"/>
      <c r="FG226" s="327"/>
      <c r="FH226" s="327"/>
      <c r="FI226" s="327"/>
      <c r="FJ226" s="327"/>
      <c r="FK226" s="327"/>
      <c r="FL226" s="327"/>
      <c r="FM226" s="327"/>
      <c r="FN226" s="327"/>
      <c r="FO226" s="327"/>
      <c r="FP226" s="327"/>
      <c r="FQ226" s="327"/>
      <c r="FR226" s="327"/>
      <c r="FS226" s="327"/>
      <c r="FT226" s="327"/>
      <c r="FU226" s="327"/>
      <c r="FV226" s="327"/>
      <c r="FW226" s="327"/>
      <c r="FX226" s="327"/>
      <c r="FY226" s="327"/>
      <c r="FZ226" s="327"/>
      <c r="GA226" s="327"/>
      <c r="GB226" s="327"/>
      <c r="GC226" s="327"/>
      <c r="GD226" s="327"/>
      <c r="GE226" s="327"/>
      <c r="GF226" s="327"/>
      <c r="GG226" s="327"/>
      <c r="GH226" s="327"/>
      <c r="GI226" s="327"/>
      <c r="GJ226" s="327"/>
      <c r="GK226" s="327"/>
      <c r="GL226" s="327"/>
      <c r="GM226" s="327"/>
      <c r="GN226" s="327"/>
      <c r="GO226" s="327"/>
      <c r="GP226" s="327"/>
      <c r="GQ226" s="327"/>
      <c r="GR226" s="327"/>
      <c r="GS226" s="327"/>
      <c r="GT226" s="327"/>
      <c r="GU226" s="327"/>
      <c r="GV226" s="327"/>
      <c r="GW226" s="327"/>
      <c r="GX226" s="327"/>
      <c r="GY226" s="327"/>
      <c r="GZ226" s="327"/>
      <c r="HA226" s="327"/>
      <c r="HB226" s="327"/>
      <c r="HC226" s="327"/>
      <c r="HD226" s="327"/>
      <c r="HE226" s="327"/>
      <c r="HF226" s="327"/>
      <c r="HG226" s="327"/>
      <c r="HH226" s="327"/>
      <c r="HI226" s="327"/>
      <c r="HJ226" s="327"/>
      <c r="HK226" s="327"/>
      <c r="HL226" s="327"/>
      <c r="HM226" s="327"/>
      <c r="HN226" s="327"/>
      <c r="HO226" s="327"/>
      <c r="HP226" s="327"/>
      <c r="HQ226" s="327"/>
      <c r="HR226" s="327"/>
      <c r="HS226" s="327"/>
    </row>
    <row r="227" spans="1:227" ht="15" customHeight="1">
      <c r="A227" s="330">
        <v>9</v>
      </c>
      <c r="B227" s="435" t="str">
        <f>VLOOKUP(Ruimtestaat[[#This Row],[Code]],Locaties[[Code]:[Locatie]],2,FALSE)</f>
        <v>IKC De Vijverburgh</v>
      </c>
      <c r="C227" s="435" t="str">
        <f>VLOOKUP(Ruimtestaat[[#This Row],[Code]],Locaties[[#All],[Code]:[Adres]],4,FALSE)</f>
        <v>Paltelaan 3</v>
      </c>
      <c r="D227" s="435" t="str">
        <f>VLOOKUP(Ruimtestaat[[#This Row],[Code]],Locaties[[#All],[Code]:[Postcode]],5,FALSE)</f>
        <v>2712 RN</v>
      </c>
      <c r="E227" s="435" t="str">
        <f>VLOOKUP(Ruimtestaat[[#This Row],[Code]],Locaties[#All],6,FALSE)</f>
        <v>Zoetermeer</v>
      </c>
      <c r="F227" s="434"/>
      <c r="G227" s="434" t="s">
        <v>1769</v>
      </c>
      <c r="H227" s="330" t="s">
        <v>1804</v>
      </c>
      <c r="I227" s="450" t="s">
        <v>1708</v>
      </c>
      <c r="J227" s="330">
        <v>6</v>
      </c>
      <c r="K227" s="450" t="str">
        <f>VLOOKUP(Ruimtestaat[[#This Row],[Ruimte code]],Ruimtegroepen[[#All],[Code]:[Ruimte omschrijving]],2,FALSE)</f>
        <v>Gangen/hallen</v>
      </c>
      <c r="L227" s="434" t="s">
        <v>100</v>
      </c>
      <c r="M227" s="437" t="s">
        <v>1759</v>
      </c>
      <c r="N227" s="439">
        <v>45</v>
      </c>
      <c r="O227" s="439"/>
      <c r="P227" s="439"/>
      <c r="Q227" s="439"/>
      <c r="R227" s="440" t="str">
        <f>VLOOKUP(Ruimtestaat[[#This Row],[Ruimte code]],Ruimtegroepen[],4,FALSE)</f>
        <v>Ve</v>
      </c>
      <c r="S227" s="434">
        <v>41</v>
      </c>
      <c r="T227" s="434" t="s">
        <v>2</v>
      </c>
      <c r="U227" s="434">
        <f>IF(S227&gt;0,IF(RIGHT(Ruimtestaat[[#This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27" s="434">
        <f>IF(U227&gt;0,VLOOKUP($J227,Ruimtegroepen[],3,FALSE)*VLOOKUP($L227,Vloersoorten[],3,FALSE)*VLOOKUP($T227,Frequenties[],3,FALSE)*VLOOKUP($A227,Locaties[],3,FALSE),0)</f>
        <v>0</v>
      </c>
      <c r="W227" s="434">
        <f>Ruimtestaat[[#This Row],[Uitvoeringen werkdagen]]*Ruimtestaat[[#This Row],[Oppervlak (netto)]]</f>
        <v>9225</v>
      </c>
      <c r="X227" s="441">
        <f>IF(V227&gt;0,Ruimtestaat[[#This Row],[Prest. (m2 /jaar) werkdagen]]/Ruimtestaat[[#This Row],[Norm (m2/uur) werkdagen]],0)</f>
        <v>0</v>
      </c>
      <c r="Y227" s="442">
        <f>Ruimtestaat[[#This Row],[Uitvoeringen werkdagen]]*Ruimtestaat[[#This Row],[Gedeeltelijk]]</f>
        <v>0</v>
      </c>
      <c r="Z227" s="443" t="e">
        <f>IF(U227&gt;0,Ruimtestaat[[#This Row],[Prest. (m2 / jaar) werkdagen gedeeld]]/Ruimtestaat[[#This Row],[Norm (m2/uur) werkdagen]],0)</f>
        <v>#DIV/0!</v>
      </c>
      <c r="AA227" s="441" t="e">
        <f>Ruimtestaat[[#This Row],[uren / jaar werkdagen gedeeld]]*Tariefsopbouw!$E$35</f>
        <v>#DIV/0!</v>
      </c>
      <c r="AB227" s="441">
        <f>Ruimtestaat[[#This Row],[Uitvoeringen werkdagen]]*Ruimtestaat[[#This Row],[BSO]]</f>
        <v>0</v>
      </c>
      <c r="AC227" s="443" t="e">
        <f>IF(U227&gt;0,Ruimtestaat[[#This Row],[Prest. (m2 / jaar) werkdagen BSO]]/Ruimtestaat[[#This Row],[Norm (m2/uur) werkdagen]],0)</f>
        <v>#DIV/0!</v>
      </c>
      <c r="AD227" s="443" t="e">
        <f>Ruimtestaat[[#This Row],[uren / jaar werkdagen BSO]]*Tariefsopbouw!$E$35</f>
        <v>#DIV/0!</v>
      </c>
      <c r="AE227" s="444">
        <f>Ruimtestaat[[#This Row],[uren / jaar werkdagen]]*Tariefsopbouw!$E$35</f>
        <v>0</v>
      </c>
      <c r="AF227" s="434"/>
      <c r="AG227" s="434">
        <f>IF(Ruimtestaat[[#This Row],[Frequentie weekend]]&gt;0,VALUE(LEFT(AF227,1))*S227,0)</f>
        <v>0</v>
      </c>
      <c r="AH227" s="445">
        <f>IF($AG227&gt;0,VLOOKUP($J227,Ruimtegroepen[],3,FALSE)*VLOOKUP($L227,Vloersoorten[],3,FALSE)*VLOOKUP($AF227,Frequenties[],3,FALSE)*VLOOKUP(Ruimtestaat[[#This Row],[Code]],Locaties[],3,FALSE),0)</f>
        <v>0</v>
      </c>
      <c r="AI227" s="445">
        <f>Ruimtestaat[[#This Row],[Uitvoeringen weekend]]*Ruimtestaat[[#This Row],[Oppervlak (netto)]]</f>
        <v>0</v>
      </c>
      <c r="AJ227" s="445">
        <f>IF(AH227&gt;0,Ruimtestaat[[#This Row],[Prest. (m2 /jaar) weekend]]/Ruimtestaat[[#This Row],[Norm (m2/uur) weekend]],0)</f>
        <v>0</v>
      </c>
      <c r="AK227" s="444">
        <f>Ruimtestaat[[#This Row],[uren / jaar weekend]]*Tariefsopbouw!$D$40</f>
        <v>0</v>
      </c>
      <c r="AL227" s="441">
        <f>Ruimtestaat[[#This Row],[Prest. (m2 /jaar) weekend]]+Ruimtestaat[[#This Row],[Prest. (m2 /jaar) werkdagen]]</f>
        <v>9225</v>
      </c>
      <c r="AM227" s="441">
        <f>Ruimtestaat[[#This Row],[uren / jaar weekend]]+Ruimtestaat[[#This Row],[uren / jaar werkdagen]]</f>
        <v>0</v>
      </c>
      <c r="AN227" s="446">
        <f>Ruimtestaat[[#This Row],[kosten / jaar weekend]]+Ruimtestaat[[#This Row],[kosten / jaar werkdagen]]</f>
        <v>0</v>
      </c>
      <c r="AO227" s="446"/>
      <c r="AP227" s="447" t="str">
        <f>IF(Ruimtestaat[[#This Row],[Frequentie werkdagen]]="","",_xlfn.CONCAT(Ruimtestaat[[#This Row],[Ruimte code]],"-",Ruimtestaat[[#This Row],[Frequentie werkdagen]]," ",Ruimtestaat[[#This Row],[Vloer code]]))</f>
        <v>6-5w L</v>
      </c>
      <c r="AQ227" s="448" t="str">
        <f>_xlfn.IFNA(VLOOKUP($AP227,Programma!$F$3:$G$1101,2,0),"")</f>
        <v>_</v>
      </c>
      <c r="AR227" s="448" t="str">
        <f>_xlfn.IFNA(VLOOKUP($AP227,Programma!$F$3:$H$1101,3,0),"")</f>
        <v>_</v>
      </c>
      <c r="AS227" s="448" t="str">
        <f>_xlfn.IFNA(VLOOKUP($AP227,Programma!$F$3:$I$1101,4,0),"")</f>
        <v>_</v>
      </c>
      <c r="AT227" s="448" t="str">
        <f>_xlfn.IFNA(VLOOKUP($AP227,Programma!$F$3:$J$1101,5,0),"")</f>
        <v>5w</v>
      </c>
      <c r="AU227" s="448" t="str">
        <f>_xlfn.IFNA(VLOOKUP($AP227,Programma!$F$3:$K$1101,6,0),"")</f>
        <v>_</v>
      </c>
      <c r="AV227" s="448" t="str">
        <f>_xlfn.IFNA(VLOOKUP($AP227,Programma!$F$3:$L$1101,7,0),"")</f>
        <v>_</v>
      </c>
      <c r="AW227" s="448" t="str">
        <f>_xlfn.IFNA(VLOOKUP($AP227,Programma!$F$3:$M$1101,8,0),"")</f>
        <v>_</v>
      </c>
      <c r="AX227" s="448" t="str">
        <f>_xlfn.IFNA(VLOOKUP($AP227,Programma!$F$3:$N$1101,9,0),"")</f>
        <v>_</v>
      </c>
      <c r="AY227" s="448" t="str">
        <f>_xlfn.IFNA(VLOOKUP($AP227,Programma!$F$3:$O$1101,10,0),"")</f>
        <v>5w</v>
      </c>
      <c r="AZ227" s="448" t="str">
        <f>_xlfn.IFNA(VLOOKUP($AP227,Programma!$F$3:$P$1101,11,0),"")</f>
        <v>5w</v>
      </c>
      <c r="BA227" s="448" t="str">
        <f>_xlfn.IFNA(VLOOKUP($AP227,Programma!$F$3:$Q$1101,12,0),"")</f>
        <v>1w</v>
      </c>
      <c r="BB227" s="448" t="str">
        <f>_xlfn.IFNA(VLOOKUP($AP227,Programma!$F$3:$R$1101,13,0),"")</f>
        <v>1w</v>
      </c>
      <c r="BC227" s="448" t="str">
        <f>_xlfn.IFNA(VLOOKUP($AP227,Programma!$F$3:$S$1101,14,0),"")</f>
        <v>1m</v>
      </c>
      <c r="BD227" s="448" t="str">
        <f>_xlfn.IFNA(VLOOKUP($AP227,Programma!$F$3:$T$1101,15,0),"")</f>
        <v>2j</v>
      </c>
      <c r="BE227" s="448" t="str">
        <f>_xlfn.IFNA(VLOOKUP($AP227,Programma!$F$3:$U$1101,16,0),"")</f>
        <v>1j</v>
      </c>
      <c r="BF227" s="448" t="str">
        <f>_xlfn.IFNA(VLOOKUP($AP227,Programma!$F$3:$V$1101,17,0),"")</f>
        <v>_</v>
      </c>
      <c r="BG227" s="448" t="str">
        <f>_xlfn.IFNA(VLOOKUP($AP227,Programma!$F$3:$W$1101,18,0),"")</f>
        <v>_</v>
      </c>
      <c r="BH227" s="448" t="str">
        <f>_xlfn.IFNA(VLOOKUP($AP227,Programma!$F$3:$X$1101,19,0),"")</f>
        <v>_</v>
      </c>
      <c r="BI227" s="448" t="str">
        <f>_xlfn.IFNA(VLOOKUP($AP227,Programma!$F$3:$Y$1101,20,0),"")</f>
        <v>_</v>
      </c>
      <c r="BJ227" s="449"/>
      <c r="BK227" s="447" t="str">
        <f>IF(Ruimtestaat[[#This Row],[Frequentie weekend]]="","",_xlfn.CONCAT(Ruimtestaat[[#This Row],[Ruimte code]],"-",Ruimtestaat[[#This Row],[Frequentie weekend]]," ",Ruimtestaat[[#This Row],[Vloer code]]))</f>
        <v/>
      </c>
      <c r="BL227" s="448" t="str">
        <f>_xlfn.IFNA(VLOOKUP($BK227,Programma!$F$3:$G$1101,2,0),"")</f>
        <v/>
      </c>
      <c r="BM227" s="448" t="str">
        <f>_xlfn.IFNA(VLOOKUP($BK227,Programma!$F$3:$H$1101,3,0),"")</f>
        <v/>
      </c>
      <c r="BN227" s="448" t="str">
        <f>_xlfn.IFNA(VLOOKUP($BK227,Programma!$F$3:$I$1101,4,0),"")</f>
        <v/>
      </c>
      <c r="BO227" s="448" t="str">
        <f>_xlfn.IFNA(VLOOKUP($BK227,Programma!$F$3:$J$1101,5,0),"")</f>
        <v/>
      </c>
      <c r="BP227" s="448" t="str">
        <f>_xlfn.IFNA(VLOOKUP($BK227,Programma!$F$3:$K$1101,6,0),"")</f>
        <v/>
      </c>
      <c r="BQ227" s="448" t="str">
        <f>_xlfn.IFNA(VLOOKUP($BK227,Programma!$F$3:$L$1101,7,0),"")</f>
        <v/>
      </c>
      <c r="BR227" s="448" t="str">
        <f>_xlfn.IFNA(VLOOKUP($BK227,Programma!$F$3:$M$1101,8,0),"")</f>
        <v/>
      </c>
      <c r="BS227" s="448" t="str">
        <f>_xlfn.IFNA(VLOOKUP($BK227,Programma!$F$3:$N$1101,9,0),"")</f>
        <v/>
      </c>
      <c r="BT227" s="448" t="str">
        <f>_xlfn.IFNA(VLOOKUP($BK227,Programma!$F$3:$O$1101,10,0),"")</f>
        <v/>
      </c>
      <c r="BU227" s="448" t="str">
        <f>_xlfn.IFNA(VLOOKUP($BK227,Programma!$F$3:$P$1101,11,0),"")</f>
        <v/>
      </c>
      <c r="BV227" s="448" t="str">
        <f>_xlfn.IFNA(VLOOKUP($BK227,Programma!$F$3:$Q$1101,12,0),"")</f>
        <v/>
      </c>
      <c r="BW227" s="448" t="str">
        <f>_xlfn.IFNA(VLOOKUP($BK227,Programma!$F$3:$R$1101,13,0),"")</f>
        <v/>
      </c>
      <c r="BX227" s="448" t="str">
        <f>_xlfn.IFNA(VLOOKUP($BK227,Programma!$F$3:$S$1101,14,0),"")</f>
        <v/>
      </c>
      <c r="BY227" s="448" t="str">
        <f>_xlfn.IFNA(VLOOKUP($BK227,Programma!$F$3:$T$1101,15,0),"")</f>
        <v/>
      </c>
      <c r="BZ227" s="448" t="str">
        <f>_xlfn.IFNA(VLOOKUP($BK227,Programma!$F$3:$U$1101,16,0),"")</f>
        <v/>
      </c>
      <c r="CA227" s="448" t="str">
        <f>_xlfn.IFNA(VLOOKUP($BK227,Programma!$F$3:$V$1101,17,0),"")</f>
        <v/>
      </c>
      <c r="CB227" s="448" t="str">
        <f>_xlfn.IFNA(VLOOKUP($BK227,Programma!$F$3:$W$1101,18,0),"")</f>
        <v/>
      </c>
      <c r="CC227" s="448" t="str">
        <f>_xlfn.IFNA(VLOOKUP($BK227,Programma!$F$3:$X$1101,19,0),"")</f>
        <v/>
      </c>
      <c r="CD227" s="448" t="str">
        <f>_xlfn.IFNA(VLOOKUP($BK227,Programma!$F$3:$Y$1101,20,0),"")</f>
        <v/>
      </c>
      <c r="CE227" s="327"/>
      <c r="CF227" s="327"/>
      <c r="CG227" s="327"/>
      <c r="CH227" s="327"/>
      <c r="CI227" s="327"/>
      <c r="CJ227" s="327"/>
      <c r="CK227" s="327"/>
      <c r="CL227" s="327"/>
      <c r="CM227" s="327"/>
      <c r="CN227" s="327"/>
      <c r="CO227" s="327"/>
      <c r="CP227" s="327"/>
      <c r="CQ227" s="327"/>
      <c r="CR227" s="327"/>
      <c r="CS227" s="327"/>
      <c r="CT227" s="327"/>
      <c r="CU227" s="327"/>
      <c r="CV227" s="327"/>
      <c r="CW227" s="327"/>
      <c r="CX227" s="327"/>
      <c r="CY227" s="327"/>
      <c r="CZ227" s="327"/>
      <c r="DA227" s="327"/>
      <c r="DB227" s="327"/>
      <c r="DC227" s="327"/>
      <c r="DD227" s="327"/>
      <c r="DE227" s="327"/>
      <c r="DF227" s="327"/>
      <c r="DG227" s="327"/>
      <c r="DH227" s="327"/>
      <c r="DI227" s="327"/>
      <c r="DJ227" s="327"/>
      <c r="DK227" s="327"/>
      <c r="DL227" s="327"/>
      <c r="DM227" s="327"/>
      <c r="DN227" s="327"/>
      <c r="DO227" s="327"/>
      <c r="DP227" s="327"/>
      <c r="DQ227" s="327"/>
      <c r="DR227" s="327"/>
      <c r="DS227" s="327"/>
      <c r="DT227" s="327"/>
      <c r="DU227" s="327"/>
      <c r="DV227" s="327"/>
      <c r="DW227" s="327"/>
      <c r="DX227" s="327"/>
      <c r="DY227" s="327"/>
      <c r="DZ227" s="327"/>
      <c r="EA227" s="327"/>
      <c r="EB227" s="327"/>
      <c r="EC227" s="327"/>
      <c r="ED227" s="327"/>
      <c r="EE227" s="327"/>
      <c r="EF227" s="327"/>
      <c r="EG227" s="327"/>
      <c r="EH227" s="327"/>
      <c r="EI227" s="327"/>
      <c r="EJ227" s="327"/>
      <c r="EK227" s="327"/>
      <c r="EL227" s="327"/>
      <c r="EM227" s="327"/>
      <c r="EN227" s="327"/>
      <c r="EO227" s="327"/>
      <c r="EP227" s="327"/>
      <c r="EQ227" s="327"/>
      <c r="ER227" s="327"/>
      <c r="ES227" s="327"/>
      <c r="ET227" s="327"/>
      <c r="EU227" s="327"/>
      <c r="EV227" s="327"/>
      <c r="EW227" s="327"/>
      <c r="EX227" s="327"/>
      <c r="EY227" s="327"/>
      <c r="EZ227" s="327"/>
      <c r="FA227" s="327"/>
      <c r="FB227" s="327"/>
      <c r="FC227" s="327"/>
      <c r="FD227" s="327"/>
      <c r="FE227" s="327"/>
      <c r="FF227" s="327"/>
      <c r="FG227" s="327"/>
      <c r="FH227" s="327"/>
      <c r="FI227" s="327"/>
      <c r="FJ227" s="327"/>
      <c r="FK227" s="327"/>
      <c r="FL227" s="327"/>
      <c r="FM227" s="327"/>
      <c r="FN227" s="327"/>
      <c r="FO227" s="327"/>
      <c r="FP227" s="327"/>
      <c r="FQ227" s="327"/>
      <c r="FR227" s="327"/>
      <c r="FS227" s="327"/>
      <c r="FT227" s="327"/>
      <c r="FU227" s="327"/>
      <c r="FV227" s="327"/>
      <c r="FW227" s="327"/>
      <c r="FX227" s="327"/>
      <c r="FY227" s="327"/>
      <c r="FZ227" s="327"/>
      <c r="GA227" s="327"/>
      <c r="GB227" s="327"/>
      <c r="GC227" s="327"/>
      <c r="GD227" s="327"/>
      <c r="GE227" s="327"/>
      <c r="GF227" s="327"/>
      <c r="GG227" s="327"/>
      <c r="GH227" s="327"/>
      <c r="GI227" s="327"/>
      <c r="GJ227" s="327"/>
      <c r="GK227" s="327"/>
      <c r="GL227" s="327"/>
      <c r="GM227" s="327"/>
      <c r="GN227" s="327"/>
      <c r="GO227" s="327"/>
      <c r="GP227" s="327"/>
      <c r="GQ227" s="327"/>
      <c r="GR227" s="327"/>
      <c r="GS227" s="327"/>
      <c r="GT227" s="327"/>
      <c r="GU227" s="327"/>
      <c r="GV227" s="327"/>
      <c r="GW227" s="327"/>
      <c r="GX227" s="327"/>
      <c r="GY227" s="327"/>
      <c r="GZ227" s="327"/>
      <c r="HA227" s="327"/>
      <c r="HB227" s="327"/>
      <c r="HC227" s="327"/>
      <c r="HD227" s="327"/>
      <c r="HE227" s="327"/>
      <c r="HF227" s="327"/>
      <c r="HG227" s="327"/>
      <c r="HH227" s="327"/>
      <c r="HI227" s="327"/>
      <c r="HJ227" s="327"/>
      <c r="HK227" s="327"/>
      <c r="HL227" s="327"/>
      <c r="HM227" s="327"/>
      <c r="HN227" s="327"/>
      <c r="HO227" s="327"/>
      <c r="HP227" s="327"/>
      <c r="HQ227" s="327"/>
      <c r="HR227" s="327"/>
      <c r="HS227" s="327"/>
    </row>
    <row r="228" spans="1:227" ht="15" customHeight="1">
      <c r="A228" s="330">
        <v>9</v>
      </c>
      <c r="B228" s="435" t="str">
        <f>VLOOKUP(Ruimtestaat[[#This Row],[Code]],Locaties[[Code]:[Locatie]],2,FALSE)</f>
        <v>IKC De Vijverburgh</v>
      </c>
      <c r="C228" s="435" t="str">
        <f>VLOOKUP(Ruimtestaat[[#This Row],[Code]],Locaties[[#All],[Code]:[Adres]],4,FALSE)</f>
        <v>Paltelaan 3</v>
      </c>
      <c r="D228" s="435" t="str">
        <f>VLOOKUP(Ruimtestaat[[#This Row],[Code]],Locaties[[#All],[Code]:[Postcode]],5,FALSE)</f>
        <v>2712 RN</v>
      </c>
      <c r="E228" s="435" t="str">
        <f>VLOOKUP(Ruimtestaat[[#This Row],[Code]],Locaties[#All],6,FALSE)</f>
        <v>Zoetermeer</v>
      </c>
      <c r="F228" s="434"/>
      <c r="G228" s="434" t="s">
        <v>1769</v>
      </c>
      <c r="H228" s="330" t="s">
        <v>1805</v>
      </c>
      <c r="I228" s="450" t="s">
        <v>1679</v>
      </c>
      <c r="J228" s="330">
        <v>16</v>
      </c>
      <c r="K228" s="450" t="str">
        <f>VLOOKUP(Ruimtestaat[[#This Row],[Ruimte code]],Ruimtegroepen[[#All],[Code]:[Ruimte omschrijving]],2,FALSE)</f>
        <v>Leslokalen</v>
      </c>
      <c r="L228" s="434" t="s">
        <v>100</v>
      </c>
      <c r="M228" s="437" t="s">
        <v>1759</v>
      </c>
      <c r="N228" s="439">
        <v>56</v>
      </c>
      <c r="O228" s="439"/>
      <c r="P228" s="439"/>
      <c r="Q228" s="439"/>
      <c r="R228" s="440" t="str">
        <f>VLOOKUP(Ruimtestaat[[#This Row],[Ruimte code]],Ruimtegroepen[],4,FALSE)</f>
        <v>Le</v>
      </c>
      <c r="S228" s="434">
        <v>40</v>
      </c>
      <c r="T228" s="434" t="s">
        <v>2</v>
      </c>
      <c r="U228" s="434">
        <f>IF(S228&gt;0,IF(RIGHT(Ruimtestaat[[#This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8" s="434">
        <f>IF(U228&gt;0,VLOOKUP($J228,Ruimtegroepen[],3,FALSE)*VLOOKUP($L228,Vloersoorten[],3,FALSE)*VLOOKUP($T228,Frequenties[],3,FALSE)*VLOOKUP($A228,Locaties[],3,FALSE),0)</f>
        <v>0</v>
      </c>
      <c r="W228" s="434">
        <f>Ruimtestaat[[#This Row],[Uitvoeringen werkdagen]]*Ruimtestaat[[#This Row],[Oppervlak (netto)]]</f>
        <v>11200</v>
      </c>
      <c r="X228" s="441">
        <f>IF(V228&gt;0,Ruimtestaat[[#This Row],[Prest. (m2 /jaar) werkdagen]]/Ruimtestaat[[#This Row],[Norm (m2/uur) werkdagen]],0)</f>
        <v>0</v>
      </c>
      <c r="Y228" s="442">
        <f>Ruimtestaat[[#This Row],[Uitvoeringen werkdagen]]*Ruimtestaat[[#This Row],[Gedeeltelijk]]</f>
        <v>0</v>
      </c>
      <c r="Z228" s="443" t="e">
        <f>IF(U228&gt;0,Ruimtestaat[[#This Row],[Prest. (m2 / jaar) werkdagen gedeeld]]/Ruimtestaat[[#This Row],[Norm (m2/uur) werkdagen]],0)</f>
        <v>#DIV/0!</v>
      </c>
      <c r="AA228" s="441" t="e">
        <f>Ruimtestaat[[#This Row],[uren / jaar werkdagen gedeeld]]*Tariefsopbouw!$E$35</f>
        <v>#DIV/0!</v>
      </c>
      <c r="AB228" s="441">
        <f>Ruimtestaat[[#This Row],[Uitvoeringen werkdagen]]*Ruimtestaat[[#This Row],[BSO]]</f>
        <v>0</v>
      </c>
      <c r="AC228" s="443" t="e">
        <f>IF(U228&gt;0,Ruimtestaat[[#This Row],[Prest. (m2 / jaar) werkdagen BSO]]/Ruimtestaat[[#This Row],[Norm (m2/uur) werkdagen]],0)</f>
        <v>#DIV/0!</v>
      </c>
      <c r="AD228" s="443" t="e">
        <f>Ruimtestaat[[#This Row],[uren / jaar werkdagen BSO]]*Tariefsopbouw!$E$35</f>
        <v>#DIV/0!</v>
      </c>
      <c r="AE228" s="444">
        <f>Ruimtestaat[[#This Row],[uren / jaar werkdagen]]*Tariefsopbouw!$E$35</f>
        <v>0</v>
      </c>
      <c r="AF228" s="434"/>
      <c r="AG228" s="434">
        <f>IF(Ruimtestaat[[#This Row],[Frequentie weekend]]&gt;0,VALUE(LEFT(AF228,1))*S228,0)</f>
        <v>0</v>
      </c>
      <c r="AH228" s="445">
        <f>IF($AG228&gt;0,VLOOKUP($J228,Ruimtegroepen[],3,FALSE)*VLOOKUP($L228,Vloersoorten[],3,FALSE)*VLOOKUP($AF228,Frequenties[],3,FALSE)*VLOOKUP(Ruimtestaat[[#This Row],[Code]],Locaties[],3,FALSE),0)</f>
        <v>0</v>
      </c>
      <c r="AI228" s="445">
        <f>Ruimtestaat[[#This Row],[Uitvoeringen weekend]]*Ruimtestaat[[#This Row],[Oppervlak (netto)]]</f>
        <v>0</v>
      </c>
      <c r="AJ228" s="445">
        <f>IF(AH228&gt;0,Ruimtestaat[[#This Row],[Prest. (m2 /jaar) weekend]]/Ruimtestaat[[#This Row],[Norm (m2/uur) weekend]],0)</f>
        <v>0</v>
      </c>
      <c r="AK228" s="444">
        <f>Ruimtestaat[[#This Row],[uren / jaar weekend]]*Tariefsopbouw!$D$40</f>
        <v>0</v>
      </c>
      <c r="AL228" s="441">
        <f>Ruimtestaat[[#This Row],[Prest. (m2 /jaar) weekend]]+Ruimtestaat[[#This Row],[Prest. (m2 /jaar) werkdagen]]</f>
        <v>11200</v>
      </c>
      <c r="AM228" s="441">
        <f>Ruimtestaat[[#This Row],[uren / jaar weekend]]+Ruimtestaat[[#This Row],[uren / jaar werkdagen]]</f>
        <v>0</v>
      </c>
      <c r="AN228" s="446">
        <f>Ruimtestaat[[#This Row],[kosten / jaar weekend]]+Ruimtestaat[[#This Row],[kosten / jaar werkdagen]]</f>
        <v>0</v>
      </c>
      <c r="AO228" s="446"/>
      <c r="AP228" s="447" t="str">
        <f>IF(Ruimtestaat[[#This Row],[Frequentie werkdagen]]="","",_xlfn.CONCAT(Ruimtestaat[[#This Row],[Ruimte code]],"-",Ruimtestaat[[#This Row],[Frequentie werkdagen]]," ",Ruimtestaat[[#This Row],[Vloer code]]))</f>
        <v>16-5w L</v>
      </c>
      <c r="AQ228" s="448" t="str">
        <f>_xlfn.IFNA(VLOOKUP($AP228,Programma!$F$3:$G$1101,2,0),"")</f>
        <v>_</v>
      </c>
      <c r="AR228" s="448" t="str">
        <f>_xlfn.IFNA(VLOOKUP($AP228,Programma!$F$3:$H$1101,3,0),"")</f>
        <v>_</v>
      </c>
      <c r="AS228" s="448" t="str">
        <f>_xlfn.IFNA(VLOOKUP($AP228,Programma!$F$3:$I$1101,4,0),"")</f>
        <v>4w</v>
      </c>
      <c r="AT228" s="448" t="str">
        <f>_xlfn.IFNA(VLOOKUP($AP228,Programma!$F$3:$J$1101,5,0),"")</f>
        <v>1w</v>
      </c>
      <c r="AU228" s="448" t="str">
        <f>_xlfn.IFNA(VLOOKUP($AP228,Programma!$F$3:$K$1101,6,0),"")</f>
        <v>_</v>
      </c>
      <c r="AV228" s="448" t="str">
        <f>_xlfn.IFNA(VLOOKUP($AP228,Programma!$F$3:$L$1101,7,0),"")</f>
        <v>_</v>
      </c>
      <c r="AW228" s="448" t="str">
        <f>_xlfn.IFNA(VLOOKUP($AP228,Programma!$F$3:$M$1101,8,0),"")</f>
        <v>_</v>
      </c>
      <c r="AX228" s="448" t="str">
        <f>_xlfn.IFNA(VLOOKUP($AP228,Programma!$F$3:$N$1101,9,0),"")</f>
        <v>_</v>
      </c>
      <c r="AY228" s="448" t="str">
        <f>_xlfn.IFNA(VLOOKUP($AP228,Programma!$F$3:$O$1101,10,0),"")</f>
        <v>5w</v>
      </c>
      <c r="AZ228" s="448" t="str">
        <f>_xlfn.IFNA(VLOOKUP($AP228,Programma!$F$3:$P$1101,11,0),"")</f>
        <v>5w</v>
      </c>
      <c r="BA228" s="448" t="str">
        <f>_xlfn.IFNA(VLOOKUP($AP228,Programma!$F$3:$Q$1101,12,0),"")</f>
        <v>1w</v>
      </c>
      <c r="BB228" s="448" t="str">
        <f>_xlfn.IFNA(VLOOKUP($AP228,Programma!$F$3:$R$1101,13,0),"")</f>
        <v>1w</v>
      </c>
      <c r="BC228" s="448" t="str">
        <f>_xlfn.IFNA(VLOOKUP($AP228,Programma!$F$3:$S$1101,14,0),"")</f>
        <v>1m</v>
      </c>
      <c r="BD228" s="448" t="str">
        <f>_xlfn.IFNA(VLOOKUP($AP228,Programma!$F$3:$T$1101,15,0),"")</f>
        <v>2j</v>
      </c>
      <c r="BE228" s="448" t="str">
        <f>_xlfn.IFNA(VLOOKUP($AP228,Programma!$F$3:$U$1101,16,0),"")</f>
        <v>1j</v>
      </c>
      <c r="BF228" s="448" t="str">
        <f>_xlfn.IFNA(VLOOKUP($AP228,Programma!$F$3:$V$1101,17,0),"")</f>
        <v>_</v>
      </c>
      <c r="BG228" s="448" t="str">
        <f>_xlfn.IFNA(VLOOKUP($AP228,Programma!$F$3:$W$1101,18,0),"")</f>
        <v>_</v>
      </c>
      <c r="BH228" s="448" t="str">
        <f>_xlfn.IFNA(VLOOKUP($AP228,Programma!$F$3:$X$1101,19,0),"")</f>
        <v>_</v>
      </c>
      <c r="BI228" s="448" t="str">
        <f>_xlfn.IFNA(VLOOKUP($AP228,Programma!$F$3:$Y$1101,20,0),"")</f>
        <v>_</v>
      </c>
      <c r="BJ228" s="449"/>
      <c r="BK228" s="447" t="str">
        <f>IF(Ruimtestaat[[#This Row],[Frequentie weekend]]="","",_xlfn.CONCAT(Ruimtestaat[[#This Row],[Ruimte code]],"-",Ruimtestaat[[#This Row],[Frequentie weekend]]," ",Ruimtestaat[[#This Row],[Vloer code]]))</f>
        <v/>
      </c>
      <c r="BL228" s="448" t="str">
        <f>_xlfn.IFNA(VLOOKUP($BK228,Programma!$F$3:$G$1101,2,0),"")</f>
        <v/>
      </c>
      <c r="BM228" s="448" t="str">
        <f>_xlfn.IFNA(VLOOKUP($BK228,Programma!$F$3:$H$1101,3,0),"")</f>
        <v/>
      </c>
      <c r="BN228" s="448" t="str">
        <f>_xlfn.IFNA(VLOOKUP($BK228,Programma!$F$3:$I$1101,4,0),"")</f>
        <v/>
      </c>
      <c r="BO228" s="448" t="str">
        <f>_xlfn.IFNA(VLOOKUP($BK228,Programma!$F$3:$J$1101,5,0),"")</f>
        <v/>
      </c>
      <c r="BP228" s="448" t="str">
        <f>_xlfn.IFNA(VLOOKUP($BK228,Programma!$F$3:$K$1101,6,0),"")</f>
        <v/>
      </c>
      <c r="BQ228" s="448" t="str">
        <f>_xlfn.IFNA(VLOOKUP($BK228,Programma!$F$3:$L$1101,7,0),"")</f>
        <v/>
      </c>
      <c r="BR228" s="448" t="str">
        <f>_xlfn.IFNA(VLOOKUP($BK228,Programma!$F$3:$M$1101,8,0),"")</f>
        <v/>
      </c>
      <c r="BS228" s="448" t="str">
        <f>_xlfn.IFNA(VLOOKUP($BK228,Programma!$F$3:$N$1101,9,0),"")</f>
        <v/>
      </c>
      <c r="BT228" s="448" t="str">
        <f>_xlfn.IFNA(VLOOKUP($BK228,Programma!$F$3:$O$1101,10,0),"")</f>
        <v/>
      </c>
      <c r="BU228" s="448" t="str">
        <f>_xlfn.IFNA(VLOOKUP($BK228,Programma!$F$3:$P$1101,11,0),"")</f>
        <v/>
      </c>
      <c r="BV228" s="448" t="str">
        <f>_xlfn.IFNA(VLOOKUP($BK228,Programma!$F$3:$Q$1101,12,0),"")</f>
        <v/>
      </c>
      <c r="BW228" s="448" t="str">
        <f>_xlfn.IFNA(VLOOKUP($BK228,Programma!$F$3:$R$1101,13,0),"")</f>
        <v/>
      </c>
      <c r="BX228" s="448" t="str">
        <f>_xlfn.IFNA(VLOOKUP($BK228,Programma!$F$3:$S$1101,14,0),"")</f>
        <v/>
      </c>
      <c r="BY228" s="448" t="str">
        <f>_xlfn.IFNA(VLOOKUP($BK228,Programma!$F$3:$T$1101,15,0),"")</f>
        <v/>
      </c>
      <c r="BZ228" s="448" t="str">
        <f>_xlfn.IFNA(VLOOKUP($BK228,Programma!$F$3:$U$1101,16,0),"")</f>
        <v/>
      </c>
      <c r="CA228" s="448" t="str">
        <f>_xlfn.IFNA(VLOOKUP($BK228,Programma!$F$3:$V$1101,17,0),"")</f>
        <v/>
      </c>
      <c r="CB228" s="448" t="str">
        <f>_xlfn.IFNA(VLOOKUP($BK228,Programma!$F$3:$W$1101,18,0),"")</f>
        <v/>
      </c>
      <c r="CC228" s="448" t="str">
        <f>_xlfn.IFNA(VLOOKUP($BK228,Programma!$F$3:$X$1101,19,0),"")</f>
        <v/>
      </c>
      <c r="CD228" s="448" t="str">
        <f>_xlfn.IFNA(VLOOKUP($BK228,Programma!$F$3:$Y$1101,20,0),"")</f>
        <v/>
      </c>
      <c r="CE228" s="327"/>
      <c r="CF228" s="327"/>
      <c r="CG228" s="327"/>
      <c r="CH228" s="327"/>
      <c r="CI228" s="327"/>
      <c r="CJ228" s="327"/>
      <c r="CK228" s="327"/>
      <c r="CL228" s="327"/>
      <c r="CM228" s="327"/>
      <c r="CN228" s="327"/>
      <c r="CO228" s="327"/>
      <c r="CP228" s="327"/>
      <c r="CQ228" s="327"/>
      <c r="CR228" s="327"/>
      <c r="CS228" s="327"/>
      <c r="CT228" s="327"/>
      <c r="CU228" s="327"/>
      <c r="CV228" s="327"/>
      <c r="CW228" s="327"/>
      <c r="CX228" s="327"/>
      <c r="CY228" s="327"/>
      <c r="CZ228" s="327"/>
      <c r="DA228" s="327"/>
      <c r="DB228" s="327"/>
      <c r="DC228" s="327"/>
      <c r="DD228" s="327"/>
      <c r="DE228" s="327"/>
      <c r="DF228" s="327"/>
      <c r="DG228" s="327"/>
      <c r="DH228" s="327"/>
      <c r="DI228" s="327"/>
      <c r="DJ228" s="327"/>
      <c r="DK228" s="327"/>
      <c r="DL228" s="327"/>
      <c r="DM228" s="327"/>
      <c r="DN228" s="327"/>
      <c r="DO228" s="327"/>
      <c r="DP228" s="327"/>
      <c r="DQ228" s="327"/>
      <c r="DR228" s="327"/>
      <c r="DS228" s="327"/>
      <c r="DT228" s="327"/>
      <c r="DU228" s="327"/>
      <c r="DV228" s="327"/>
      <c r="DW228" s="327"/>
      <c r="DX228" s="327"/>
      <c r="DY228" s="327"/>
      <c r="DZ228" s="327"/>
      <c r="EA228" s="327"/>
      <c r="EB228" s="327"/>
      <c r="EC228" s="327"/>
      <c r="ED228" s="327"/>
      <c r="EE228" s="327"/>
      <c r="EF228" s="327"/>
      <c r="EG228" s="327"/>
      <c r="EH228" s="327"/>
      <c r="EI228" s="327"/>
      <c r="EJ228" s="327"/>
      <c r="EK228" s="327"/>
      <c r="EL228" s="327"/>
      <c r="EM228" s="327"/>
      <c r="EN228" s="327"/>
      <c r="EO228" s="327"/>
      <c r="EP228" s="327"/>
      <c r="EQ228" s="327"/>
      <c r="ER228" s="327"/>
      <c r="ES228" s="327"/>
      <c r="ET228" s="327"/>
      <c r="EU228" s="327"/>
      <c r="EV228" s="327"/>
      <c r="EW228" s="327"/>
      <c r="EX228" s="327"/>
      <c r="EY228" s="327"/>
      <c r="EZ228" s="327"/>
      <c r="FA228" s="327"/>
      <c r="FB228" s="327"/>
      <c r="FC228" s="327"/>
      <c r="FD228" s="327"/>
      <c r="FE228" s="327"/>
      <c r="FF228" s="327"/>
      <c r="FG228" s="327"/>
      <c r="FH228" s="327"/>
      <c r="FI228" s="327"/>
      <c r="FJ228" s="327"/>
      <c r="FK228" s="327"/>
      <c r="FL228" s="327"/>
      <c r="FM228" s="327"/>
      <c r="FN228" s="327"/>
      <c r="FO228" s="327"/>
      <c r="FP228" s="327"/>
      <c r="FQ228" s="327"/>
      <c r="FR228" s="327"/>
      <c r="FS228" s="327"/>
      <c r="FT228" s="327"/>
      <c r="FU228" s="327"/>
      <c r="FV228" s="327"/>
      <c r="FW228" s="327"/>
      <c r="FX228" s="327"/>
      <c r="FY228" s="327"/>
      <c r="FZ228" s="327"/>
      <c r="GA228" s="327"/>
      <c r="GB228" s="327"/>
      <c r="GC228" s="327"/>
      <c r="GD228" s="327"/>
      <c r="GE228" s="327"/>
      <c r="GF228" s="327"/>
      <c r="GG228" s="327"/>
      <c r="GH228" s="327"/>
      <c r="GI228" s="327"/>
      <c r="GJ228" s="327"/>
      <c r="GK228" s="327"/>
      <c r="GL228" s="327"/>
      <c r="GM228" s="327"/>
      <c r="GN228" s="327"/>
      <c r="GO228" s="327"/>
      <c r="GP228" s="327"/>
      <c r="GQ228" s="327"/>
      <c r="GR228" s="327"/>
      <c r="GS228" s="327"/>
      <c r="GT228" s="327"/>
      <c r="GU228" s="327"/>
      <c r="GV228" s="327"/>
      <c r="GW228" s="327"/>
      <c r="GX228" s="327"/>
      <c r="GY228" s="327"/>
      <c r="GZ228" s="327"/>
      <c r="HA228" s="327"/>
      <c r="HB228" s="327"/>
      <c r="HC228" s="327"/>
      <c r="HD228" s="327"/>
      <c r="HE228" s="327"/>
      <c r="HF228" s="327"/>
      <c r="HG228" s="327"/>
      <c r="HH228" s="327"/>
      <c r="HI228" s="327"/>
      <c r="HJ228" s="327"/>
      <c r="HK228" s="327"/>
      <c r="HL228" s="327"/>
      <c r="HM228" s="327"/>
      <c r="HN228" s="327"/>
      <c r="HO228" s="327"/>
      <c r="HP228" s="327"/>
      <c r="HQ228" s="327"/>
      <c r="HR228" s="327"/>
      <c r="HS228" s="327"/>
    </row>
    <row r="229" spans="1:227" ht="15" customHeight="1">
      <c r="A229" s="330">
        <v>9</v>
      </c>
      <c r="B229" s="435" t="str">
        <f>VLOOKUP(Ruimtestaat[[#This Row],[Code]],Locaties[[Code]:[Locatie]],2,FALSE)</f>
        <v>IKC De Vijverburgh</v>
      </c>
      <c r="C229" s="435" t="str">
        <f>VLOOKUP(Ruimtestaat[[#This Row],[Code]],Locaties[[#All],[Code]:[Adres]],4,FALSE)</f>
        <v>Paltelaan 3</v>
      </c>
      <c r="D229" s="435" t="str">
        <f>VLOOKUP(Ruimtestaat[[#This Row],[Code]],Locaties[[#All],[Code]:[Postcode]],5,FALSE)</f>
        <v>2712 RN</v>
      </c>
      <c r="E229" s="435" t="str">
        <f>VLOOKUP(Ruimtestaat[[#This Row],[Code]],Locaties[#All],6,FALSE)</f>
        <v>Zoetermeer</v>
      </c>
      <c r="F229" s="434"/>
      <c r="G229" s="434" t="s">
        <v>1769</v>
      </c>
      <c r="H229" s="330" t="s">
        <v>1806</v>
      </c>
      <c r="I229" s="450" t="s">
        <v>1679</v>
      </c>
      <c r="J229" s="330">
        <v>16</v>
      </c>
      <c r="K229" s="450" t="str">
        <f>VLOOKUP(Ruimtestaat[[#This Row],[Ruimte code]],Ruimtegroepen[[#All],[Code]:[Ruimte omschrijving]],2,FALSE)</f>
        <v>Leslokalen</v>
      </c>
      <c r="L229" s="434" t="s">
        <v>100</v>
      </c>
      <c r="M229" s="437" t="s">
        <v>1759</v>
      </c>
      <c r="N229" s="439">
        <v>56</v>
      </c>
      <c r="O229" s="439"/>
      <c r="P229" s="439"/>
      <c r="Q229" s="439"/>
      <c r="R229" s="440" t="str">
        <f>VLOOKUP(Ruimtestaat[[#This Row],[Ruimte code]],Ruimtegroepen[],4,FALSE)</f>
        <v>Le</v>
      </c>
      <c r="S229" s="434">
        <v>40</v>
      </c>
      <c r="T229" s="434" t="s">
        <v>2</v>
      </c>
      <c r="U229" s="434">
        <f>IF(S229&gt;0,IF(RIGHT(Ruimtestaat[[#This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9" s="434">
        <f>IF(U229&gt;0,VLOOKUP($J229,Ruimtegroepen[],3,FALSE)*VLOOKUP($L229,Vloersoorten[],3,FALSE)*VLOOKUP($T229,Frequenties[],3,FALSE)*VLOOKUP($A229,Locaties[],3,FALSE),0)</f>
        <v>0</v>
      </c>
      <c r="W229" s="434">
        <f>Ruimtestaat[[#This Row],[Uitvoeringen werkdagen]]*Ruimtestaat[[#This Row],[Oppervlak (netto)]]</f>
        <v>11200</v>
      </c>
      <c r="X229" s="441">
        <f>IF(V229&gt;0,Ruimtestaat[[#This Row],[Prest. (m2 /jaar) werkdagen]]/Ruimtestaat[[#This Row],[Norm (m2/uur) werkdagen]],0)</f>
        <v>0</v>
      </c>
      <c r="Y229" s="442">
        <f>Ruimtestaat[[#This Row],[Uitvoeringen werkdagen]]*Ruimtestaat[[#This Row],[Gedeeltelijk]]</f>
        <v>0</v>
      </c>
      <c r="Z229" s="443" t="e">
        <f>IF(U229&gt;0,Ruimtestaat[[#This Row],[Prest. (m2 / jaar) werkdagen gedeeld]]/Ruimtestaat[[#This Row],[Norm (m2/uur) werkdagen]],0)</f>
        <v>#DIV/0!</v>
      </c>
      <c r="AA229" s="441" t="e">
        <f>Ruimtestaat[[#This Row],[uren / jaar werkdagen gedeeld]]*Tariefsopbouw!$E$35</f>
        <v>#DIV/0!</v>
      </c>
      <c r="AB229" s="441">
        <f>Ruimtestaat[[#This Row],[Uitvoeringen werkdagen]]*Ruimtestaat[[#This Row],[BSO]]</f>
        <v>0</v>
      </c>
      <c r="AC229" s="443" t="e">
        <f>IF(U229&gt;0,Ruimtestaat[[#This Row],[Prest. (m2 / jaar) werkdagen BSO]]/Ruimtestaat[[#This Row],[Norm (m2/uur) werkdagen]],0)</f>
        <v>#DIV/0!</v>
      </c>
      <c r="AD229" s="443" t="e">
        <f>Ruimtestaat[[#This Row],[uren / jaar werkdagen BSO]]*Tariefsopbouw!$E$35</f>
        <v>#DIV/0!</v>
      </c>
      <c r="AE229" s="444">
        <f>Ruimtestaat[[#This Row],[uren / jaar werkdagen]]*Tariefsopbouw!$E$35</f>
        <v>0</v>
      </c>
      <c r="AF229" s="434"/>
      <c r="AG229" s="434">
        <f>IF(Ruimtestaat[[#This Row],[Frequentie weekend]]&gt;0,VALUE(LEFT(AF229,1))*S229,0)</f>
        <v>0</v>
      </c>
      <c r="AH229" s="445">
        <f>IF($AG229&gt;0,VLOOKUP($J229,Ruimtegroepen[],3,FALSE)*VLOOKUP($L229,Vloersoorten[],3,FALSE)*VLOOKUP($AF229,Frequenties[],3,FALSE)*VLOOKUP(Ruimtestaat[[#This Row],[Code]],Locaties[],3,FALSE),0)</f>
        <v>0</v>
      </c>
      <c r="AI229" s="445">
        <f>Ruimtestaat[[#This Row],[Uitvoeringen weekend]]*Ruimtestaat[[#This Row],[Oppervlak (netto)]]</f>
        <v>0</v>
      </c>
      <c r="AJ229" s="445">
        <f>IF(AH229&gt;0,Ruimtestaat[[#This Row],[Prest. (m2 /jaar) weekend]]/Ruimtestaat[[#This Row],[Norm (m2/uur) weekend]],0)</f>
        <v>0</v>
      </c>
      <c r="AK229" s="444">
        <f>Ruimtestaat[[#This Row],[uren / jaar weekend]]*Tariefsopbouw!$D$40</f>
        <v>0</v>
      </c>
      <c r="AL229" s="441">
        <f>Ruimtestaat[[#This Row],[Prest. (m2 /jaar) weekend]]+Ruimtestaat[[#This Row],[Prest. (m2 /jaar) werkdagen]]</f>
        <v>11200</v>
      </c>
      <c r="AM229" s="441">
        <f>Ruimtestaat[[#This Row],[uren / jaar weekend]]+Ruimtestaat[[#This Row],[uren / jaar werkdagen]]</f>
        <v>0</v>
      </c>
      <c r="AN229" s="446">
        <f>Ruimtestaat[[#This Row],[kosten / jaar weekend]]+Ruimtestaat[[#This Row],[kosten / jaar werkdagen]]</f>
        <v>0</v>
      </c>
      <c r="AO229" s="446"/>
      <c r="AP229" s="447" t="str">
        <f>IF(Ruimtestaat[[#This Row],[Frequentie werkdagen]]="","",_xlfn.CONCAT(Ruimtestaat[[#This Row],[Ruimte code]],"-",Ruimtestaat[[#This Row],[Frequentie werkdagen]]," ",Ruimtestaat[[#This Row],[Vloer code]]))</f>
        <v>16-5w L</v>
      </c>
      <c r="AQ229" s="448" t="str">
        <f>_xlfn.IFNA(VLOOKUP($AP229,Programma!$F$3:$G$1101,2,0),"")</f>
        <v>_</v>
      </c>
      <c r="AR229" s="448" t="str">
        <f>_xlfn.IFNA(VLOOKUP($AP229,Programma!$F$3:$H$1101,3,0),"")</f>
        <v>_</v>
      </c>
      <c r="AS229" s="448" t="str">
        <f>_xlfn.IFNA(VLOOKUP($AP229,Programma!$F$3:$I$1101,4,0),"")</f>
        <v>4w</v>
      </c>
      <c r="AT229" s="448" t="str">
        <f>_xlfn.IFNA(VLOOKUP($AP229,Programma!$F$3:$J$1101,5,0),"")</f>
        <v>1w</v>
      </c>
      <c r="AU229" s="448" t="str">
        <f>_xlfn.IFNA(VLOOKUP($AP229,Programma!$F$3:$K$1101,6,0),"")</f>
        <v>_</v>
      </c>
      <c r="AV229" s="448" t="str">
        <f>_xlfn.IFNA(VLOOKUP($AP229,Programma!$F$3:$L$1101,7,0),"")</f>
        <v>_</v>
      </c>
      <c r="AW229" s="448" t="str">
        <f>_xlfn.IFNA(VLOOKUP($AP229,Programma!$F$3:$M$1101,8,0),"")</f>
        <v>_</v>
      </c>
      <c r="AX229" s="448" t="str">
        <f>_xlfn.IFNA(VLOOKUP($AP229,Programma!$F$3:$N$1101,9,0),"")</f>
        <v>_</v>
      </c>
      <c r="AY229" s="448" t="str">
        <f>_xlfn.IFNA(VLOOKUP($AP229,Programma!$F$3:$O$1101,10,0),"")</f>
        <v>5w</v>
      </c>
      <c r="AZ229" s="448" t="str">
        <f>_xlfn.IFNA(VLOOKUP($AP229,Programma!$F$3:$P$1101,11,0),"")</f>
        <v>5w</v>
      </c>
      <c r="BA229" s="448" t="str">
        <f>_xlfn.IFNA(VLOOKUP($AP229,Programma!$F$3:$Q$1101,12,0),"")</f>
        <v>1w</v>
      </c>
      <c r="BB229" s="448" t="str">
        <f>_xlfn.IFNA(VLOOKUP($AP229,Programma!$F$3:$R$1101,13,0),"")</f>
        <v>1w</v>
      </c>
      <c r="BC229" s="448" t="str">
        <f>_xlfn.IFNA(VLOOKUP($AP229,Programma!$F$3:$S$1101,14,0),"")</f>
        <v>1m</v>
      </c>
      <c r="BD229" s="448" t="str">
        <f>_xlfn.IFNA(VLOOKUP($AP229,Programma!$F$3:$T$1101,15,0),"")</f>
        <v>2j</v>
      </c>
      <c r="BE229" s="448" t="str">
        <f>_xlfn.IFNA(VLOOKUP($AP229,Programma!$F$3:$U$1101,16,0),"")</f>
        <v>1j</v>
      </c>
      <c r="BF229" s="448" t="str">
        <f>_xlfn.IFNA(VLOOKUP($AP229,Programma!$F$3:$V$1101,17,0),"")</f>
        <v>_</v>
      </c>
      <c r="BG229" s="448" t="str">
        <f>_xlfn.IFNA(VLOOKUP($AP229,Programma!$F$3:$W$1101,18,0),"")</f>
        <v>_</v>
      </c>
      <c r="BH229" s="448" t="str">
        <f>_xlfn.IFNA(VLOOKUP($AP229,Programma!$F$3:$X$1101,19,0),"")</f>
        <v>_</v>
      </c>
      <c r="BI229" s="448" t="str">
        <f>_xlfn.IFNA(VLOOKUP($AP229,Programma!$F$3:$Y$1101,20,0),"")</f>
        <v>_</v>
      </c>
      <c r="BJ229" s="449"/>
      <c r="BK229" s="447" t="str">
        <f>IF(Ruimtestaat[[#This Row],[Frequentie weekend]]="","",_xlfn.CONCAT(Ruimtestaat[[#This Row],[Ruimte code]],"-",Ruimtestaat[[#This Row],[Frequentie weekend]]," ",Ruimtestaat[[#This Row],[Vloer code]]))</f>
        <v/>
      </c>
      <c r="BL229" s="448" t="str">
        <f>_xlfn.IFNA(VLOOKUP($BK229,Programma!$F$3:$G$1101,2,0),"")</f>
        <v/>
      </c>
      <c r="BM229" s="448" t="str">
        <f>_xlfn.IFNA(VLOOKUP($BK229,Programma!$F$3:$H$1101,3,0),"")</f>
        <v/>
      </c>
      <c r="BN229" s="448" t="str">
        <f>_xlfn.IFNA(VLOOKUP($BK229,Programma!$F$3:$I$1101,4,0),"")</f>
        <v/>
      </c>
      <c r="BO229" s="448" t="str">
        <f>_xlfn.IFNA(VLOOKUP($BK229,Programma!$F$3:$J$1101,5,0),"")</f>
        <v/>
      </c>
      <c r="BP229" s="448" t="str">
        <f>_xlfn.IFNA(VLOOKUP($BK229,Programma!$F$3:$K$1101,6,0),"")</f>
        <v/>
      </c>
      <c r="BQ229" s="448" t="str">
        <f>_xlfn.IFNA(VLOOKUP($BK229,Programma!$F$3:$L$1101,7,0),"")</f>
        <v/>
      </c>
      <c r="BR229" s="448" t="str">
        <f>_xlfn.IFNA(VLOOKUP($BK229,Programma!$F$3:$M$1101,8,0),"")</f>
        <v/>
      </c>
      <c r="BS229" s="448" t="str">
        <f>_xlfn.IFNA(VLOOKUP($BK229,Programma!$F$3:$N$1101,9,0),"")</f>
        <v/>
      </c>
      <c r="BT229" s="448" t="str">
        <f>_xlfn.IFNA(VLOOKUP($BK229,Programma!$F$3:$O$1101,10,0),"")</f>
        <v/>
      </c>
      <c r="BU229" s="448" t="str">
        <f>_xlfn.IFNA(VLOOKUP($BK229,Programma!$F$3:$P$1101,11,0),"")</f>
        <v/>
      </c>
      <c r="BV229" s="448" t="str">
        <f>_xlfn.IFNA(VLOOKUP($BK229,Programma!$F$3:$Q$1101,12,0),"")</f>
        <v/>
      </c>
      <c r="BW229" s="448" t="str">
        <f>_xlfn.IFNA(VLOOKUP($BK229,Programma!$F$3:$R$1101,13,0),"")</f>
        <v/>
      </c>
      <c r="BX229" s="448" t="str">
        <f>_xlfn.IFNA(VLOOKUP($BK229,Programma!$F$3:$S$1101,14,0),"")</f>
        <v/>
      </c>
      <c r="BY229" s="448" t="str">
        <f>_xlfn.IFNA(VLOOKUP($BK229,Programma!$F$3:$T$1101,15,0),"")</f>
        <v/>
      </c>
      <c r="BZ229" s="448" t="str">
        <f>_xlfn.IFNA(VLOOKUP($BK229,Programma!$F$3:$U$1101,16,0),"")</f>
        <v/>
      </c>
      <c r="CA229" s="448" t="str">
        <f>_xlfn.IFNA(VLOOKUP($BK229,Programma!$F$3:$V$1101,17,0),"")</f>
        <v/>
      </c>
      <c r="CB229" s="448" t="str">
        <f>_xlfn.IFNA(VLOOKUP($BK229,Programma!$F$3:$W$1101,18,0),"")</f>
        <v/>
      </c>
      <c r="CC229" s="448" t="str">
        <f>_xlfn.IFNA(VLOOKUP($BK229,Programma!$F$3:$X$1101,19,0),"")</f>
        <v/>
      </c>
      <c r="CD229" s="448" t="str">
        <f>_xlfn.IFNA(VLOOKUP($BK229,Programma!$F$3:$Y$1101,20,0),"")</f>
        <v/>
      </c>
      <c r="CE229" s="327"/>
      <c r="CF229" s="327"/>
      <c r="CG229" s="327"/>
      <c r="CH229" s="327"/>
      <c r="CI229" s="327"/>
      <c r="CJ229" s="327"/>
      <c r="CK229" s="327"/>
      <c r="CL229" s="327"/>
      <c r="CM229" s="327"/>
      <c r="CN229" s="327"/>
      <c r="CO229" s="327"/>
      <c r="CP229" s="327"/>
      <c r="CQ229" s="327"/>
      <c r="CR229" s="327"/>
      <c r="CS229" s="327"/>
      <c r="CT229" s="327"/>
      <c r="CU229" s="327"/>
      <c r="CV229" s="327"/>
      <c r="CW229" s="327"/>
      <c r="CX229" s="327"/>
      <c r="CY229" s="327"/>
      <c r="CZ229" s="327"/>
      <c r="DA229" s="327"/>
      <c r="DB229" s="327"/>
      <c r="DC229" s="327"/>
      <c r="DD229" s="327"/>
      <c r="DE229" s="327"/>
      <c r="DF229" s="327"/>
      <c r="DG229" s="327"/>
      <c r="DH229" s="327"/>
      <c r="DI229" s="327"/>
      <c r="DJ229" s="327"/>
      <c r="DK229" s="327"/>
      <c r="DL229" s="327"/>
      <c r="DM229" s="327"/>
      <c r="DN229" s="327"/>
      <c r="DO229" s="327"/>
      <c r="DP229" s="327"/>
      <c r="DQ229" s="327"/>
      <c r="DR229" s="327"/>
      <c r="DS229" s="327"/>
      <c r="DT229" s="327"/>
      <c r="DU229" s="327"/>
      <c r="DV229" s="327"/>
      <c r="DW229" s="327"/>
      <c r="DX229" s="327"/>
      <c r="DY229" s="327"/>
      <c r="DZ229" s="327"/>
      <c r="EA229" s="327"/>
      <c r="EB229" s="327"/>
      <c r="EC229" s="327"/>
      <c r="ED229" s="327"/>
      <c r="EE229" s="327"/>
      <c r="EF229" s="327"/>
      <c r="EG229" s="327"/>
      <c r="EH229" s="327"/>
      <c r="EI229" s="327"/>
      <c r="EJ229" s="327"/>
      <c r="EK229" s="327"/>
      <c r="EL229" s="327"/>
      <c r="EM229" s="327"/>
      <c r="EN229" s="327"/>
      <c r="EO229" s="327"/>
      <c r="EP229" s="327"/>
      <c r="EQ229" s="327"/>
      <c r="ER229" s="327"/>
      <c r="ES229" s="327"/>
      <c r="ET229" s="327"/>
      <c r="EU229" s="327"/>
      <c r="EV229" s="327"/>
      <c r="EW229" s="327"/>
      <c r="EX229" s="327"/>
      <c r="EY229" s="327"/>
      <c r="EZ229" s="327"/>
      <c r="FA229" s="327"/>
      <c r="FB229" s="327"/>
      <c r="FC229" s="327"/>
      <c r="FD229" s="327"/>
      <c r="FE229" s="327"/>
      <c r="FF229" s="327"/>
      <c r="FG229" s="327"/>
      <c r="FH229" s="327"/>
      <c r="FI229" s="327"/>
      <c r="FJ229" s="327"/>
      <c r="FK229" s="327"/>
      <c r="FL229" s="327"/>
      <c r="FM229" s="327"/>
      <c r="FN229" s="327"/>
      <c r="FO229" s="327"/>
      <c r="FP229" s="327"/>
      <c r="FQ229" s="327"/>
      <c r="FR229" s="327"/>
      <c r="FS229" s="327"/>
      <c r="FT229" s="327"/>
      <c r="FU229" s="327"/>
      <c r="FV229" s="327"/>
      <c r="FW229" s="327"/>
      <c r="FX229" s="327"/>
      <c r="FY229" s="327"/>
      <c r="FZ229" s="327"/>
      <c r="GA229" s="327"/>
      <c r="GB229" s="327"/>
      <c r="GC229" s="327"/>
      <c r="GD229" s="327"/>
      <c r="GE229" s="327"/>
      <c r="GF229" s="327"/>
      <c r="GG229" s="327"/>
      <c r="GH229" s="327"/>
      <c r="GI229" s="327"/>
      <c r="GJ229" s="327"/>
      <c r="GK229" s="327"/>
      <c r="GL229" s="327"/>
      <c r="GM229" s="327"/>
      <c r="GN229" s="327"/>
      <c r="GO229" s="327"/>
      <c r="GP229" s="327"/>
      <c r="GQ229" s="327"/>
      <c r="GR229" s="327"/>
      <c r="GS229" s="327"/>
      <c r="GT229" s="327"/>
      <c r="GU229" s="327"/>
      <c r="GV229" s="327"/>
      <c r="GW229" s="327"/>
      <c r="GX229" s="327"/>
      <c r="GY229" s="327"/>
      <c r="GZ229" s="327"/>
      <c r="HA229" s="327"/>
      <c r="HB229" s="327"/>
      <c r="HC229" s="327"/>
      <c r="HD229" s="327"/>
      <c r="HE229" s="327"/>
      <c r="HF229" s="327"/>
      <c r="HG229" s="327"/>
      <c r="HH229" s="327"/>
      <c r="HI229" s="327"/>
      <c r="HJ229" s="327"/>
      <c r="HK229" s="327"/>
      <c r="HL229" s="327"/>
      <c r="HM229" s="327"/>
      <c r="HN229" s="327"/>
      <c r="HO229" s="327"/>
      <c r="HP229" s="327"/>
      <c r="HQ229" s="327"/>
      <c r="HR229" s="327"/>
      <c r="HS229" s="327"/>
    </row>
    <row r="230" spans="1:227" ht="15" customHeight="1">
      <c r="A230" s="330">
        <v>9</v>
      </c>
      <c r="B230" s="435" t="str">
        <f>VLOOKUP(Ruimtestaat[[#This Row],[Code]],Locaties[[Code]:[Locatie]],2,FALSE)</f>
        <v>IKC De Vijverburgh</v>
      </c>
      <c r="C230" s="435" t="str">
        <f>VLOOKUP(Ruimtestaat[[#This Row],[Code]],Locaties[[#All],[Code]:[Adres]],4,FALSE)</f>
        <v>Paltelaan 3</v>
      </c>
      <c r="D230" s="435" t="str">
        <f>VLOOKUP(Ruimtestaat[[#This Row],[Code]],Locaties[[#All],[Code]:[Postcode]],5,FALSE)</f>
        <v>2712 RN</v>
      </c>
      <c r="E230" s="435" t="str">
        <f>VLOOKUP(Ruimtestaat[[#This Row],[Code]],Locaties[#All],6,FALSE)</f>
        <v>Zoetermeer</v>
      </c>
      <c r="F230" s="434"/>
      <c r="G230" s="434" t="s">
        <v>1769</v>
      </c>
      <c r="H230" s="330" t="s">
        <v>1807</v>
      </c>
      <c r="I230" s="450" t="s">
        <v>1673</v>
      </c>
      <c r="J230" s="330">
        <v>5</v>
      </c>
      <c r="K230" s="450" t="str">
        <f>VLOOKUP(Ruimtestaat[[#This Row],[Ruimte code]],Ruimtegroepen[[#All],[Code]:[Ruimte omschrijving]],2,FALSE)</f>
        <v>Sanitair</v>
      </c>
      <c r="L230" s="434" t="s">
        <v>101</v>
      </c>
      <c r="M230" s="437" t="s">
        <v>1816</v>
      </c>
      <c r="N230" s="439">
        <v>9</v>
      </c>
      <c r="O230" s="439"/>
      <c r="P230" s="439"/>
      <c r="Q230" s="439"/>
      <c r="R230" s="440" t="str">
        <f>VLOOKUP(Ruimtestaat[[#This Row],[Ruimte code]],Ruimtegroepen[],4,FALSE)</f>
        <v>Sa</v>
      </c>
      <c r="S230" s="434">
        <v>41</v>
      </c>
      <c r="T230" s="434" t="s">
        <v>2</v>
      </c>
      <c r="U230" s="434">
        <f>IF(S230&gt;0,IF(RIGHT(Ruimtestaat[[#This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30" s="434">
        <f>IF(U230&gt;0,VLOOKUP($J230,Ruimtegroepen[],3,FALSE)*VLOOKUP($L230,Vloersoorten[],3,FALSE)*VLOOKUP($T230,Frequenties[],3,FALSE)*VLOOKUP($A230,Locaties[],3,FALSE),0)</f>
        <v>0</v>
      </c>
      <c r="W230" s="434">
        <f>Ruimtestaat[[#This Row],[Uitvoeringen werkdagen]]*Ruimtestaat[[#This Row],[Oppervlak (netto)]]</f>
        <v>1845</v>
      </c>
      <c r="X230" s="441">
        <f>IF(V230&gt;0,Ruimtestaat[[#This Row],[Prest. (m2 /jaar) werkdagen]]/Ruimtestaat[[#This Row],[Norm (m2/uur) werkdagen]],0)</f>
        <v>0</v>
      </c>
      <c r="Y230" s="442">
        <f>Ruimtestaat[[#This Row],[Uitvoeringen werkdagen]]*Ruimtestaat[[#This Row],[Gedeeltelijk]]</f>
        <v>0</v>
      </c>
      <c r="Z230" s="443" t="e">
        <f>IF(U230&gt;0,Ruimtestaat[[#This Row],[Prest. (m2 / jaar) werkdagen gedeeld]]/Ruimtestaat[[#This Row],[Norm (m2/uur) werkdagen]],0)</f>
        <v>#DIV/0!</v>
      </c>
      <c r="AA230" s="441" t="e">
        <f>Ruimtestaat[[#This Row],[uren / jaar werkdagen gedeeld]]*Tariefsopbouw!$E$35</f>
        <v>#DIV/0!</v>
      </c>
      <c r="AB230" s="441">
        <f>Ruimtestaat[[#This Row],[Uitvoeringen werkdagen]]*Ruimtestaat[[#This Row],[BSO]]</f>
        <v>0</v>
      </c>
      <c r="AC230" s="443" t="e">
        <f>IF(U230&gt;0,Ruimtestaat[[#This Row],[Prest. (m2 / jaar) werkdagen BSO]]/Ruimtestaat[[#This Row],[Norm (m2/uur) werkdagen]],0)</f>
        <v>#DIV/0!</v>
      </c>
      <c r="AD230" s="443" t="e">
        <f>Ruimtestaat[[#This Row],[uren / jaar werkdagen BSO]]*Tariefsopbouw!$E$35</f>
        <v>#DIV/0!</v>
      </c>
      <c r="AE230" s="444">
        <f>Ruimtestaat[[#This Row],[uren / jaar werkdagen]]*Tariefsopbouw!$E$35</f>
        <v>0</v>
      </c>
      <c r="AF230" s="434"/>
      <c r="AG230" s="434">
        <f>IF(Ruimtestaat[[#This Row],[Frequentie weekend]]&gt;0,VALUE(LEFT(AF230,1))*S230,0)</f>
        <v>0</v>
      </c>
      <c r="AH230" s="445">
        <f>IF($AG230&gt;0,VLOOKUP($J230,Ruimtegroepen[],3,FALSE)*VLOOKUP($L230,Vloersoorten[],3,FALSE)*VLOOKUP($AF230,Frequenties[],3,FALSE)*VLOOKUP(Ruimtestaat[[#This Row],[Code]],Locaties[],3,FALSE),0)</f>
        <v>0</v>
      </c>
      <c r="AI230" s="445">
        <f>Ruimtestaat[[#This Row],[Uitvoeringen weekend]]*Ruimtestaat[[#This Row],[Oppervlak (netto)]]</f>
        <v>0</v>
      </c>
      <c r="AJ230" s="445">
        <f>IF(AH230&gt;0,Ruimtestaat[[#This Row],[Prest. (m2 /jaar) weekend]]/Ruimtestaat[[#This Row],[Norm (m2/uur) weekend]],0)</f>
        <v>0</v>
      </c>
      <c r="AK230" s="444">
        <f>Ruimtestaat[[#This Row],[uren / jaar weekend]]*Tariefsopbouw!$D$40</f>
        <v>0</v>
      </c>
      <c r="AL230" s="441">
        <f>Ruimtestaat[[#This Row],[Prest. (m2 /jaar) weekend]]+Ruimtestaat[[#This Row],[Prest. (m2 /jaar) werkdagen]]</f>
        <v>1845</v>
      </c>
      <c r="AM230" s="441">
        <f>Ruimtestaat[[#This Row],[uren / jaar weekend]]+Ruimtestaat[[#This Row],[uren / jaar werkdagen]]</f>
        <v>0</v>
      </c>
      <c r="AN230" s="446">
        <f>Ruimtestaat[[#This Row],[kosten / jaar weekend]]+Ruimtestaat[[#This Row],[kosten / jaar werkdagen]]</f>
        <v>0</v>
      </c>
      <c r="AO230" s="446"/>
      <c r="AP230" s="447" t="str">
        <f>IF(Ruimtestaat[[#This Row],[Frequentie werkdagen]]="","",_xlfn.CONCAT(Ruimtestaat[[#This Row],[Ruimte code]],"-",Ruimtestaat[[#This Row],[Frequentie werkdagen]]," ",Ruimtestaat[[#This Row],[Vloer code]]))</f>
        <v>5-5w S</v>
      </c>
      <c r="AQ230" s="448" t="str">
        <f>_xlfn.IFNA(VLOOKUP($AP230,Programma!$F$3:$G$1101,2,0),"")</f>
        <v>_</v>
      </c>
      <c r="AR230" s="448" t="str">
        <f>_xlfn.IFNA(VLOOKUP($AP230,Programma!$F$3:$H$1101,3,0),"")</f>
        <v>_</v>
      </c>
      <c r="AS230" s="448" t="str">
        <f>_xlfn.IFNA(VLOOKUP($AP230,Programma!$F$3:$I$1101,4,0),"")</f>
        <v>_</v>
      </c>
      <c r="AT230" s="448" t="str">
        <f>_xlfn.IFNA(VLOOKUP($AP230,Programma!$F$3:$J$1101,5,0),"")</f>
        <v>4w</v>
      </c>
      <c r="AU230" s="448" t="str">
        <f>_xlfn.IFNA(VLOOKUP($AP230,Programma!$F$3:$K$1101,6,0),"")</f>
        <v>1w</v>
      </c>
      <c r="AV230" s="448" t="str">
        <f>_xlfn.IFNA(VLOOKUP($AP230,Programma!$F$3:$L$1101,7,0),"")</f>
        <v>_</v>
      </c>
      <c r="AW230" s="448" t="str">
        <f>_xlfn.IFNA(VLOOKUP($AP230,Programma!$F$3:$M$1101,8,0),"")</f>
        <v>_</v>
      </c>
      <c r="AX230" s="448" t="str">
        <f>_xlfn.IFNA(VLOOKUP($AP230,Programma!$F$3:$N$1101,9,0),"")</f>
        <v>_</v>
      </c>
      <c r="AY230" s="448" t="str">
        <f>_xlfn.IFNA(VLOOKUP($AP230,Programma!$F$3:$O$1101,10,0),"")</f>
        <v>_</v>
      </c>
      <c r="AZ230" s="448" t="str">
        <f>_xlfn.IFNA(VLOOKUP($AP230,Programma!$F$3:$P$1101,11,0),"")</f>
        <v>_</v>
      </c>
      <c r="BA230" s="448" t="str">
        <f>_xlfn.IFNA(VLOOKUP($AP230,Programma!$F$3:$Q$1101,12,0),"")</f>
        <v>_</v>
      </c>
      <c r="BB230" s="448" t="str">
        <f>_xlfn.IFNA(VLOOKUP($AP230,Programma!$F$3:$R$1101,13,0),"")</f>
        <v>_</v>
      </c>
      <c r="BC230" s="448" t="str">
        <f>_xlfn.IFNA(VLOOKUP($AP230,Programma!$F$3:$S$1101,14,0),"")</f>
        <v>_</v>
      </c>
      <c r="BD230" s="448" t="str">
        <f>_xlfn.IFNA(VLOOKUP($AP230,Programma!$F$3:$T$1101,15,0),"")</f>
        <v>_</v>
      </c>
      <c r="BE230" s="448" t="str">
        <f>_xlfn.IFNA(VLOOKUP($AP230,Programma!$F$3:$U$1101,16,0),"")</f>
        <v>_</v>
      </c>
      <c r="BF230" s="448" t="str">
        <f>_xlfn.IFNA(VLOOKUP($AP230,Programma!$F$3:$V$1101,17,0),"")</f>
        <v>_</v>
      </c>
      <c r="BG230" s="448" t="str">
        <f>_xlfn.IFNA(VLOOKUP($AP230,Programma!$F$3:$W$1101,18,0),"")</f>
        <v>4w</v>
      </c>
      <c r="BH230" s="448" t="str">
        <f>_xlfn.IFNA(VLOOKUP($AP230,Programma!$F$3:$X$1101,19,0),"")</f>
        <v>1w</v>
      </c>
      <c r="BI230" s="448" t="str">
        <f>_xlfn.IFNA(VLOOKUP($AP230,Programma!$F$3:$Y$1101,20,0),"")</f>
        <v>_</v>
      </c>
      <c r="BJ230" s="449"/>
      <c r="BK230" s="447" t="str">
        <f>IF(Ruimtestaat[[#This Row],[Frequentie weekend]]="","",_xlfn.CONCAT(Ruimtestaat[[#This Row],[Ruimte code]],"-",Ruimtestaat[[#This Row],[Frequentie weekend]]," ",Ruimtestaat[[#This Row],[Vloer code]]))</f>
        <v/>
      </c>
      <c r="BL230" s="448" t="str">
        <f>_xlfn.IFNA(VLOOKUP($BK230,Programma!$F$3:$G$1101,2,0),"")</f>
        <v/>
      </c>
      <c r="BM230" s="448" t="str">
        <f>_xlfn.IFNA(VLOOKUP($BK230,Programma!$F$3:$H$1101,3,0),"")</f>
        <v/>
      </c>
      <c r="BN230" s="448" t="str">
        <f>_xlfn.IFNA(VLOOKUP($BK230,Programma!$F$3:$I$1101,4,0),"")</f>
        <v/>
      </c>
      <c r="BO230" s="448" t="str">
        <f>_xlfn.IFNA(VLOOKUP($BK230,Programma!$F$3:$J$1101,5,0),"")</f>
        <v/>
      </c>
      <c r="BP230" s="448" t="str">
        <f>_xlfn.IFNA(VLOOKUP($BK230,Programma!$F$3:$K$1101,6,0),"")</f>
        <v/>
      </c>
      <c r="BQ230" s="448" t="str">
        <f>_xlfn.IFNA(VLOOKUP($BK230,Programma!$F$3:$L$1101,7,0),"")</f>
        <v/>
      </c>
      <c r="BR230" s="448" t="str">
        <f>_xlfn.IFNA(VLOOKUP($BK230,Programma!$F$3:$M$1101,8,0),"")</f>
        <v/>
      </c>
      <c r="BS230" s="448" t="str">
        <f>_xlfn.IFNA(VLOOKUP($BK230,Programma!$F$3:$N$1101,9,0),"")</f>
        <v/>
      </c>
      <c r="BT230" s="448" t="str">
        <f>_xlfn.IFNA(VLOOKUP($BK230,Programma!$F$3:$O$1101,10,0),"")</f>
        <v/>
      </c>
      <c r="BU230" s="448" t="str">
        <f>_xlfn.IFNA(VLOOKUP($BK230,Programma!$F$3:$P$1101,11,0),"")</f>
        <v/>
      </c>
      <c r="BV230" s="448" t="str">
        <f>_xlfn.IFNA(VLOOKUP($BK230,Programma!$F$3:$Q$1101,12,0),"")</f>
        <v/>
      </c>
      <c r="BW230" s="448" t="str">
        <f>_xlfn.IFNA(VLOOKUP($BK230,Programma!$F$3:$R$1101,13,0),"")</f>
        <v/>
      </c>
      <c r="BX230" s="448" t="str">
        <f>_xlfn.IFNA(VLOOKUP($BK230,Programma!$F$3:$S$1101,14,0),"")</f>
        <v/>
      </c>
      <c r="BY230" s="448" t="str">
        <f>_xlfn.IFNA(VLOOKUP($BK230,Programma!$F$3:$T$1101,15,0),"")</f>
        <v/>
      </c>
      <c r="BZ230" s="448" t="str">
        <f>_xlfn.IFNA(VLOOKUP($BK230,Programma!$F$3:$U$1101,16,0),"")</f>
        <v/>
      </c>
      <c r="CA230" s="448" t="str">
        <f>_xlfn.IFNA(VLOOKUP($BK230,Programma!$F$3:$V$1101,17,0),"")</f>
        <v/>
      </c>
      <c r="CB230" s="448" t="str">
        <f>_xlfn.IFNA(VLOOKUP($BK230,Programma!$F$3:$W$1101,18,0),"")</f>
        <v/>
      </c>
      <c r="CC230" s="448" t="str">
        <f>_xlfn.IFNA(VLOOKUP($BK230,Programma!$F$3:$X$1101,19,0),"")</f>
        <v/>
      </c>
      <c r="CD230" s="448" t="str">
        <f>_xlfn.IFNA(VLOOKUP($BK230,Programma!$F$3:$Y$1101,20,0),"")</f>
        <v/>
      </c>
      <c r="CE230" s="327"/>
      <c r="CF230" s="327"/>
      <c r="CG230" s="327"/>
      <c r="CH230" s="327"/>
      <c r="CI230" s="327"/>
      <c r="CJ230" s="327"/>
      <c r="CK230" s="327"/>
      <c r="CL230" s="327"/>
      <c r="CM230" s="327"/>
      <c r="CN230" s="327"/>
      <c r="CO230" s="327"/>
      <c r="CP230" s="327"/>
      <c r="CQ230" s="327"/>
      <c r="CR230" s="327"/>
      <c r="CS230" s="327"/>
      <c r="CT230" s="327"/>
      <c r="CU230" s="327"/>
      <c r="CV230" s="327"/>
      <c r="CW230" s="327"/>
      <c r="CX230" s="327"/>
      <c r="CY230" s="327"/>
      <c r="CZ230" s="327"/>
      <c r="DA230" s="327"/>
      <c r="DB230" s="327"/>
      <c r="DC230" s="327"/>
      <c r="DD230" s="327"/>
      <c r="DE230" s="327"/>
      <c r="DF230" s="327"/>
      <c r="DG230" s="327"/>
      <c r="DH230" s="327"/>
      <c r="DI230" s="327"/>
      <c r="DJ230" s="327"/>
      <c r="DK230" s="327"/>
      <c r="DL230" s="327"/>
      <c r="DM230" s="327"/>
      <c r="DN230" s="327"/>
      <c r="DO230" s="327"/>
      <c r="DP230" s="327"/>
      <c r="DQ230" s="327"/>
      <c r="DR230" s="327"/>
      <c r="DS230" s="327"/>
      <c r="DT230" s="327"/>
      <c r="DU230" s="327"/>
      <c r="DV230" s="327"/>
      <c r="DW230" s="327"/>
      <c r="DX230" s="327"/>
      <c r="DY230" s="327"/>
      <c r="DZ230" s="327"/>
      <c r="EA230" s="327"/>
      <c r="EB230" s="327"/>
      <c r="EC230" s="327"/>
      <c r="ED230" s="327"/>
      <c r="EE230" s="327"/>
      <c r="EF230" s="327"/>
      <c r="EG230" s="327"/>
      <c r="EH230" s="327"/>
      <c r="EI230" s="327"/>
      <c r="EJ230" s="327"/>
      <c r="EK230" s="327"/>
      <c r="EL230" s="327"/>
      <c r="EM230" s="327"/>
      <c r="EN230" s="327"/>
      <c r="EO230" s="327"/>
      <c r="EP230" s="327"/>
      <c r="EQ230" s="327"/>
      <c r="ER230" s="327"/>
      <c r="ES230" s="327"/>
      <c r="ET230" s="327"/>
      <c r="EU230" s="327"/>
      <c r="EV230" s="327"/>
      <c r="EW230" s="327"/>
      <c r="EX230" s="327"/>
      <c r="EY230" s="327"/>
      <c r="EZ230" s="327"/>
      <c r="FA230" s="327"/>
      <c r="FB230" s="327"/>
      <c r="FC230" s="327"/>
      <c r="FD230" s="327"/>
      <c r="FE230" s="327"/>
      <c r="FF230" s="327"/>
      <c r="FG230" s="327"/>
      <c r="FH230" s="327"/>
      <c r="FI230" s="327"/>
      <c r="FJ230" s="327"/>
      <c r="FK230" s="327"/>
      <c r="FL230" s="327"/>
      <c r="FM230" s="327"/>
      <c r="FN230" s="327"/>
      <c r="FO230" s="327"/>
      <c r="FP230" s="327"/>
      <c r="FQ230" s="327"/>
      <c r="FR230" s="327"/>
      <c r="FS230" s="327"/>
      <c r="FT230" s="327"/>
      <c r="FU230" s="327"/>
      <c r="FV230" s="327"/>
      <c r="FW230" s="327"/>
      <c r="FX230" s="327"/>
      <c r="FY230" s="327"/>
      <c r="FZ230" s="327"/>
      <c r="GA230" s="327"/>
      <c r="GB230" s="327"/>
      <c r="GC230" s="327"/>
      <c r="GD230" s="327"/>
      <c r="GE230" s="327"/>
      <c r="GF230" s="327"/>
      <c r="GG230" s="327"/>
      <c r="GH230" s="327"/>
      <c r="GI230" s="327"/>
      <c r="GJ230" s="327"/>
      <c r="GK230" s="327"/>
      <c r="GL230" s="327"/>
      <c r="GM230" s="327"/>
      <c r="GN230" s="327"/>
      <c r="GO230" s="327"/>
      <c r="GP230" s="327"/>
      <c r="GQ230" s="327"/>
      <c r="GR230" s="327"/>
      <c r="GS230" s="327"/>
      <c r="GT230" s="327"/>
      <c r="GU230" s="327"/>
      <c r="GV230" s="327"/>
      <c r="GW230" s="327"/>
      <c r="GX230" s="327"/>
      <c r="GY230" s="327"/>
      <c r="GZ230" s="327"/>
      <c r="HA230" s="327"/>
      <c r="HB230" s="327"/>
      <c r="HC230" s="327"/>
      <c r="HD230" s="327"/>
      <c r="HE230" s="327"/>
      <c r="HF230" s="327"/>
      <c r="HG230" s="327"/>
      <c r="HH230" s="327"/>
      <c r="HI230" s="327"/>
      <c r="HJ230" s="327"/>
      <c r="HK230" s="327"/>
      <c r="HL230" s="327"/>
      <c r="HM230" s="327"/>
      <c r="HN230" s="327"/>
      <c r="HO230" s="327"/>
      <c r="HP230" s="327"/>
      <c r="HQ230" s="327"/>
      <c r="HR230" s="327"/>
      <c r="HS230" s="327"/>
    </row>
    <row r="231" spans="1:227" ht="15" customHeight="1">
      <c r="A231" s="330">
        <v>9</v>
      </c>
      <c r="B231" s="435" t="str">
        <f>VLOOKUP(Ruimtestaat[[#This Row],[Code]],Locaties[[Code]:[Locatie]],2,FALSE)</f>
        <v>IKC De Vijverburgh</v>
      </c>
      <c r="C231" s="435" t="str">
        <f>VLOOKUP(Ruimtestaat[[#This Row],[Code]],Locaties[[#All],[Code]:[Adres]],4,FALSE)</f>
        <v>Paltelaan 3</v>
      </c>
      <c r="D231" s="435" t="str">
        <f>VLOOKUP(Ruimtestaat[[#This Row],[Code]],Locaties[[#All],[Code]:[Postcode]],5,FALSE)</f>
        <v>2712 RN</v>
      </c>
      <c r="E231" s="435" t="str">
        <f>VLOOKUP(Ruimtestaat[[#This Row],[Code]],Locaties[#All],6,FALSE)</f>
        <v>Zoetermeer</v>
      </c>
      <c r="F231" s="434"/>
      <c r="G231" s="434" t="s">
        <v>1769</v>
      </c>
      <c r="H231" s="330" t="s">
        <v>1808</v>
      </c>
      <c r="I231" s="450" t="s">
        <v>1679</v>
      </c>
      <c r="J231" s="330">
        <v>16</v>
      </c>
      <c r="K231" s="450" t="str">
        <f>VLOOKUP(Ruimtestaat[[#This Row],[Ruimte code]],Ruimtegroepen[[#All],[Code]:[Ruimte omschrijving]],2,FALSE)</f>
        <v>Leslokalen</v>
      </c>
      <c r="L231" s="434" t="s">
        <v>100</v>
      </c>
      <c r="M231" s="437" t="s">
        <v>1759</v>
      </c>
      <c r="N231" s="439">
        <v>56</v>
      </c>
      <c r="O231" s="439"/>
      <c r="P231" s="439"/>
      <c r="Q231" s="439"/>
      <c r="R231" s="440" t="str">
        <f>VLOOKUP(Ruimtestaat[[#This Row],[Ruimte code]],Ruimtegroepen[],4,FALSE)</f>
        <v>Le</v>
      </c>
      <c r="S231" s="434">
        <v>40</v>
      </c>
      <c r="T231" s="434" t="s">
        <v>2</v>
      </c>
      <c r="U231" s="434">
        <f>IF(S231&gt;0,IF(RIGHT(Ruimtestaat[[#This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1" s="434">
        <f>IF(U231&gt;0,VLOOKUP($J231,Ruimtegroepen[],3,FALSE)*VLOOKUP($L231,Vloersoorten[],3,FALSE)*VLOOKUP($T231,Frequenties[],3,FALSE)*VLOOKUP($A231,Locaties[],3,FALSE),0)</f>
        <v>0</v>
      </c>
      <c r="W231" s="434">
        <f>Ruimtestaat[[#This Row],[Uitvoeringen werkdagen]]*Ruimtestaat[[#This Row],[Oppervlak (netto)]]</f>
        <v>11200</v>
      </c>
      <c r="X231" s="441">
        <f>IF(V231&gt;0,Ruimtestaat[[#This Row],[Prest. (m2 /jaar) werkdagen]]/Ruimtestaat[[#This Row],[Norm (m2/uur) werkdagen]],0)</f>
        <v>0</v>
      </c>
      <c r="Y231" s="442">
        <f>Ruimtestaat[[#This Row],[Uitvoeringen werkdagen]]*Ruimtestaat[[#This Row],[Gedeeltelijk]]</f>
        <v>0</v>
      </c>
      <c r="Z231" s="443" t="e">
        <f>IF(U231&gt;0,Ruimtestaat[[#This Row],[Prest. (m2 / jaar) werkdagen gedeeld]]/Ruimtestaat[[#This Row],[Norm (m2/uur) werkdagen]],0)</f>
        <v>#DIV/0!</v>
      </c>
      <c r="AA231" s="441" t="e">
        <f>Ruimtestaat[[#This Row],[uren / jaar werkdagen gedeeld]]*Tariefsopbouw!$E$35</f>
        <v>#DIV/0!</v>
      </c>
      <c r="AB231" s="441">
        <f>Ruimtestaat[[#This Row],[Uitvoeringen werkdagen]]*Ruimtestaat[[#This Row],[BSO]]</f>
        <v>0</v>
      </c>
      <c r="AC231" s="443" t="e">
        <f>IF(U231&gt;0,Ruimtestaat[[#This Row],[Prest. (m2 / jaar) werkdagen BSO]]/Ruimtestaat[[#This Row],[Norm (m2/uur) werkdagen]],0)</f>
        <v>#DIV/0!</v>
      </c>
      <c r="AD231" s="443" t="e">
        <f>Ruimtestaat[[#This Row],[uren / jaar werkdagen BSO]]*Tariefsopbouw!$E$35</f>
        <v>#DIV/0!</v>
      </c>
      <c r="AE231" s="444">
        <f>Ruimtestaat[[#This Row],[uren / jaar werkdagen]]*Tariefsopbouw!$E$35</f>
        <v>0</v>
      </c>
      <c r="AF231" s="434"/>
      <c r="AG231" s="434">
        <f>IF(Ruimtestaat[[#This Row],[Frequentie weekend]]&gt;0,VALUE(LEFT(AF231,1))*S231,0)</f>
        <v>0</v>
      </c>
      <c r="AH231" s="445">
        <f>IF($AG231&gt;0,VLOOKUP($J231,Ruimtegroepen[],3,FALSE)*VLOOKUP($L231,Vloersoorten[],3,FALSE)*VLOOKUP($AF231,Frequenties[],3,FALSE)*VLOOKUP(Ruimtestaat[[#This Row],[Code]],Locaties[],3,FALSE),0)</f>
        <v>0</v>
      </c>
      <c r="AI231" s="445">
        <f>Ruimtestaat[[#This Row],[Uitvoeringen weekend]]*Ruimtestaat[[#This Row],[Oppervlak (netto)]]</f>
        <v>0</v>
      </c>
      <c r="AJ231" s="445">
        <f>IF(AH231&gt;0,Ruimtestaat[[#This Row],[Prest. (m2 /jaar) weekend]]/Ruimtestaat[[#This Row],[Norm (m2/uur) weekend]],0)</f>
        <v>0</v>
      </c>
      <c r="AK231" s="444">
        <f>Ruimtestaat[[#This Row],[uren / jaar weekend]]*Tariefsopbouw!$D$40</f>
        <v>0</v>
      </c>
      <c r="AL231" s="441">
        <f>Ruimtestaat[[#This Row],[Prest. (m2 /jaar) weekend]]+Ruimtestaat[[#This Row],[Prest. (m2 /jaar) werkdagen]]</f>
        <v>11200</v>
      </c>
      <c r="AM231" s="441">
        <f>Ruimtestaat[[#This Row],[uren / jaar weekend]]+Ruimtestaat[[#This Row],[uren / jaar werkdagen]]</f>
        <v>0</v>
      </c>
      <c r="AN231" s="446">
        <f>Ruimtestaat[[#This Row],[kosten / jaar weekend]]+Ruimtestaat[[#This Row],[kosten / jaar werkdagen]]</f>
        <v>0</v>
      </c>
      <c r="AO231" s="446"/>
      <c r="AP231" s="447" t="str">
        <f>IF(Ruimtestaat[[#This Row],[Frequentie werkdagen]]="","",_xlfn.CONCAT(Ruimtestaat[[#This Row],[Ruimte code]],"-",Ruimtestaat[[#This Row],[Frequentie werkdagen]]," ",Ruimtestaat[[#This Row],[Vloer code]]))</f>
        <v>16-5w L</v>
      </c>
      <c r="AQ231" s="448" t="str">
        <f>_xlfn.IFNA(VLOOKUP($AP231,Programma!$F$3:$G$1101,2,0),"")</f>
        <v>_</v>
      </c>
      <c r="AR231" s="448" t="str">
        <f>_xlfn.IFNA(VLOOKUP($AP231,Programma!$F$3:$H$1101,3,0),"")</f>
        <v>_</v>
      </c>
      <c r="AS231" s="448" t="str">
        <f>_xlfn.IFNA(VLOOKUP($AP231,Programma!$F$3:$I$1101,4,0),"")</f>
        <v>4w</v>
      </c>
      <c r="AT231" s="448" t="str">
        <f>_xlfn.IFNA(VLOOKUP($AP231,Programma!$F$3:$J$1101,5,0),"")</f>
        <v>1w</v>
      </c>
      <c r="AU231" s="448" t="str">
        <f>_xlfn.IFNA(VLOOKUP($AP231,Programma!$F$3:$K$1101,6,0),"")</f>
        <v>_</v>
      </c>
      <c r="AV231" s="448" t="str">
        <f>_xlfn.IFNA(VLOOKUP($AP231,Programma!$F$3:$L$1101,7,0),"")</f>
        <v>_</v>
      </c>
      <c r="AW231" s="448" t="str">
        <f>_xlfn.IFNA(VLOOKUP($AP231,Programma!$F$3:$M$1101,8,0),"")</f>
        <v>_</v>
      </c>
      <c r="AX231" s="448" t="str">
        <f>_xlfn.IFNA(VLOOKUP($AP231,Programma!$F$3:$N$1101,9,0),"")</f>
        <v>_</v>
      </c>
      <c r="AY231" s="448" t="str">
        <f>_xlfn.IFNA(VLOOKUP($AP231,Programma!$F$3:$O$1101,10,0),"")</f>
        <v>5w</v>
      </c>
      <c r="AZ231" s="448" t="str">
        <f>_xlfn.IFNA(VLOOKUP($AP231,Programma!$F$3:$P$1101,11,0),"")</f>
        <v>5w</v>
      </c>
      <c r="BA231" s="448" t="str">
        <f>_xlfn.IFNA(VLOOKUP($AP231,Programma!$F$3:$Q$1101,12,0),"")</f>
        <v>1w</v>
      </c>
      <c r="BB231" s="448" t="str">
        <f>_xlfn.IFNA(VLOOKUP($AP231,Programma!$F$3:$R$1101,13,0),"")</f>
        <v>1w</v>
      </c>
      <c r="BC231" s="448" t="str">
        <f>_xlfn.IFNA(VLOOKUP($AP231,Programma!$F$3:$S$1101,14,0),"")</f>
        <v>1m</v>
      </c>
      <c r="BD231" s="448" t="str">
        <f>_xlfn.IFNA(VLOOKUP($AP231,Programma!$F$3:$T$1101,15,0),"")</f>
        <v>2j</v>
      </c>
      <c r="BE231" s="448" t="str">
        <f>_xlfn.IFNA(VLOOKUP($AP231,Programma!$F$3:$U$1101,16,0),"")</f>
        <v>1j</v>
      </c>
      <c r="BF231" s="448" t="str">
        <f>_xlfn.IFNA(VLOOKUP($AP231,Programma!$F$3:$V$1101,17,0),"")</f>
        <v>_</v>
      </c>
      <c r="BG231" s="448" t="str">
        <f>_xlfn.IFNA(VLOOKUP($AP231,Programma!$F$3:$W$1101,18,0),"")</f>
        <v>_</v>
      </c>
      <c r="BH231" s="448" t="str">
        <f>_xlfn.IFNA(VLOOKUP($AP231,Programma!$F$3:$X$1101,19,0),"")</f>
        <v>_</v>
      </c>
      <c r="BI231" s="448" t="str">
        <f>_xlfn.IFNA(VLOOKUP($AP231,Programma!$F$3:$Y$1101,20,0),"")</f>
        <v>_</v>
      </c>
      <c r="BJ231" s="449"/>
      <c r="BK231" s="447" t="str">
        <f>IF(Ruimtestaat[[#This Row],[Frequentie weekend]]="","",_xlfn.CONCAT(Ruimtestaat[[#This Row],[Ruimte code]],"-",Ruimtestaat[[#This Row],[Frequentie weekend]]," ",Ruimtestaat[[#This Row],[Vloer code]]))</f>
        <v/>
      </c>
      <c r="BL231" s="448" t="str">
        <f>_xlfn.IFNA(VLOOKUP($BK231,Programma!$F$3:$G$1101,2,0),"")</f>
        <v/>
      </c>
      <c r="BM231" s="448" t="str">
        <f>_xlfn.IFNA(VLOOKUP($BK231,Programma!$F$3:$H$1101,3,0),"")</f>
        <v/>
      </c>
      <c r="BN231" s="448" t="str">
        <f>_xlfn.IFNA(VLOOKUP($BK231,Programma!$F$3:$I$1101,4,0),"")</f>
        <v/>
      </c>
      <c r="BO231" s="448" t="str">
        <f>_xlfn.IFNA(VLOOKUP($BK231,Programma!$F$3:$J$1101,5,0),"")</f>
        <v/>
      </c>
      <c r="BP231" s="448" t="str">
        <f>_xlfn.IFNA(VLOOKUP($BK231,Programma!$F$3:$K$1101,6,0),"")</f>
        <v/>
      </c>
      <c r="BQ231" s="448" t="str">
        <f>_xlfn.IFNA(VLOOKUP($BK231,Programma!$F$3:$L$1101,7,0),"")</f>
        <v/>
      </c>
      <c r="BR231" s="448" t="str">
        <f>_xlfn.IFNA(VLOOKUP($BK231,Programma!$F$3:$M$1101,8,0),"")</f>
        <v/>
      </c>
      <c r="BS231" s="448" t="str">
        <f>_xlfn.IFNA(VLOOKUP($BK231,Programma!$F$3:$N$1101,9,0),"")</f>
        <v/>
      </c>
      <c r="BT231" s="448" t="str">
        <f>_xlfn.IFNA(VLOOKUP($BK231,Programma!$F$3:$O$1101,10,0),"")</f>
        <v/>
      </c>
      <c r="BU231" s="448" t="str">
        <f>_xlfn.IFNA(VLOOKUP($BK231,Programma!$F$3:$P$1101,11,0),"")</f>
        <v/>
      </c>
      <c r="BV231" s="448" t="str">
        <f>_xlfn.IFNA(VLOOKUP($BK231,Programma!$F$3:$Q$1101,12,0),"")</f>
        <v/>
      </c>
      <c r="BW231" s="448" t="str">
        <f>_xlfn.IFNA(VLOOKUP($BK231,Programma!$F$3:$R$1101,13,0),"")</f>
        <v/>
      </c>
      <c r="BX231" s="448" t="str">
        <f>_xlfn.IFNA(VLOOKUP($BK231,Programma!$F$3:$S$1101,14,0),"")</f>
        <v/>
      </c>
      <c r="BY231" s="448" t="str">
        <f>_xlfn.IFNA(VLOOKUP($BK231,Programma!$F$3:$T$1101,15,0),"")</f>
        <v/>
      </c>
      <c r="BZ231" s="448" t="str">
        <f>_xlfn.IFNA(VLOOKUP($BK231,Programma!$F$3:$U$1101,16,0),"")</f>
        <v/>
      </c>
      <c r="CA231" s="448" t="str">
        <f>_xlfn.IFNA(VLOOKUP($BK231,Programma!$F$3:$V$1101,17,0),"")</f>
        <v/>
      </c>
      <c r="CB231" s="448" t="str">
        <f>_xlfn.IFNA(VLOOKUP($BK231,Programma!$F$3:$W$1101,18,0),"")</f>
        <v/>
      </c>
      <c r="CC231" s="448" t="str">
        <f>_xlfn.IFNA(VLOOKUP($BK231,Programma!$F$3:$X$1101,19,0),"")</f>
        <v/>
      </c>
      <c r="CD231" s="448" t="str">
        <f>_xlfn.IFNA(VLOOKUP($BK231,Programma!$F$3:$Y$1101,20,0),"")</f>
        <v/>
      </c>
      <c r="CE231" s="327"/>
      <c r="CF231" s="327"/>
      <c r="CG231" s="327"/>
      <c r="CH231" s="327"/>
      <c r="CI231" s="327"/>
      <c r="CJ231" s="327"/>
      <c r="CK231" s="327"/>
      <c r="CL231" s="327"/>
      <c r="CM231" s="327"/>
      <c r="CN231" s="327"/>
      <c r="CO231" s="327"/>
      <c r="CP231" s="327"/>
      <c r="CQ231" s="327"/>
      <c r="CR231" s="327"/>
      <c r="CS231" s="327"/>
      <c r="CT231" s="327"/>
      <c r="CU231" s="327"/>
      <c r="CV231" s="327"/>
      <c r="CW231" s="327"/>
      <c r="CX231" s="327"/>
      <c r="CY231" s="327"/>
      <c r="CZ231" s="327"/>
      <c r="DA231" s="327"/>
      <c r="DB231" s="327"/>
      <c r="DC231" s="327"/>
      <c r="DD231" s="327"/>
      <c r="DE231" s="327"/>
      <c r="DF231" s="327"/>
      <c r="DG231" s="327"/>
      <c r="DH231" s="327"/>
      <c r="DI231" s="327"/>
      <c r="DJ231" s="327"/>
      <c r="DK231" s="327"/>
      <c r="DL231" s="327"/>
      <c r="DM231" s="327"/>
      <c r="DN231" s="327"/>
      <c r="DO231" s="327"/>
      <c r="DP231" s="327"/>
      <c r="DQ231" s="327"/>
      <c r="DR231" s="327"/>
      <c r="DS231" s="327"/>
      <c r="DT231" s="327"/>
      <c r="DU231" s="327"/>
      <c r="DV231" s="327"/>
      <c r="DW231" s="327"/>
      <c r="DX231" s="327"/>
      <c r="DY231" s="327"/>
      <c r="DZ231" s="327"/>
      <c r="EA231" s="327"/>
      <c r="EB231" s="327"/>
      <c r="EC231" s="327"/>
      <c r="ED231" s="327"/>
      <c r="EE231" s="327"/>
      <c r="EF231" s="327"/>
      <c r="EG231" s="327"/>
      <c r="EH231" s="327"/>
      <c r="EI231" s="327"/>
      <c r="EJ231" s="327"/>
      <c r="EK231" s="327"/>
      <c r="EL231" s="327"/>
      <c r="EM231" s="327"/>
      <c r="EN231" s="327"/>
      <c r="EO231" s="327"/>
      <c r="EP231" s="327"/>
      <c r="EQ231" s="327"/>
      <c r="ER231" s="327"/>
      <c r="ES231" s="327"/>
      <c r="ET231" s="327"/>
      <c r="EU231" s="327"/>
      <c r="EV231" s="327"/>
      <c r="EW231" s="327"/>
      <c r="EX231" s="327"/>
      <c r="EY231" s="327"/>
      <c r="EZ231" s="327"/>
      <c r="FA231" s="327"/>
      <c r="FB231" s="327"/>
      <c r="FC231" s="327"/>
      <c r="FD231" s="327"/>
      <c r="FE231" s="327"/>
      <c r="FF231" s="327"/>
      <c r="FG231" s="327"/>
      <c r="FH231" s="327"/>
      <c r="FI231" s="327"/>
      <c r="FJ231" s="327"/>
      <c r="FK231" s="327"/>
      <c r="FL231" s="327"/>
      <c r="FM231" s="327"/>
      <c r="FN231" s="327"/>
      <c r="FO231" s="327"/>
      <c r="FP231" s="327"/>
      <c r="FQ231" s="327"/>
      <c r="FR231" s="327"/>
      <c r="FS231" s="327"/>
      <c r="FT231" s="327"/>
      <c r="FU231" s="327"/>
      <c r="FV231" s="327"/>
      <c r="FW231" s="327"/>
      <c r="FX231" s="327"/>
      <c r="FY231" s="327"/>
      <c r="FZ231" s="327"/>
      <c r="GA231" s="327"/>
      <c r="GB231" s="327"/>
      <c r="GC231" s="327"/>
      <c r="GD231" s="327"/>
      <c r="GE231" s="327"/>
      <c r="GF231" s="327"/>
      <c r="GG231" s="327"/>
      <c r="GH231" s="327"/>
      <c r="GI231" s="327"/>
      <c r="GJ231" s="327"/>
      <c r="GK231" s="327"/>
      <c r="GL231" s="327"/>
      <c r="GM231" s="327"/>
      <c r="GN231" s="327"/>
      <c r="GO231" s="327"/>
      <c r="GP231" s="327"/>
      <c r="GQ231" s="327"/>
      <c r="GR231" s="327"/>
      <c r="GS231" s="327"/>
      <c r="GT231" s="327"/>
      <c r="GU231" s="327"/>
      <c r="GV231" s="327"/>
      <c r="GW231" s="327"/>
      <c r="GX231" s="327"/>
      <c r="GY231" s="327"/>
      <c r="GZ231" s="327"/>
      <c r="HA231" s="327"/>
      <c r="HB231" s="327"/>
      <c r="HC231" s="327"/>
      <c r="HD231" s="327"/>
      <c r="HE231" s="327"/>
      <c r="HF231" s="327"/>
      <c r="HG231" s="327"/>
      <c r="HH231" s="327"/>
      <c r="HI231" s="327"/>
      <c r="HJ231" s="327"/>
      <c r="HK231" s="327"/>
      <c r="HL231" s="327"/>
      <c r="HM231" s="327"/>
      <c r="HN231" s="327"/>
      <c r="HO231" s="327"/>
      <c r="HP231" s="327"/>
      <c r="HQ231" s="327"/>
      <c r="HR231" s="327"/>
      <c r="HS231" s="327"/>
    </row>
    <row r="232" spans="1:227" ht="15" customHeight="1">
      <c r="A232" s="330">
        <v>9</v>
      </c>
      <c r="B232" s="435" t="str">
        <f>VLOOKUP(Ruimtestaat[[#This Row],[Code]],Locaties[[Code]:[Locatie]],2,FALSE)</f>
        <v>IKC De Vijverburgh</v>
      </c>
      <c r="C232" s="435" t="str">
        <f>VLOOKUP(Ruimtestaat[[#This Row],[Code]],Locaties[[#All],[Code]:[Adres]],4,FALSE)</f>
        <v>Paltelaan 3</v>
      </c>
      <c r="D232" s="435" t="str">
        <f>VLOOKUP(Ruimtestaat[[#This Row],[Code]],Locaties[[#All],[Code]:[Postcode]],5,FALSE)</f>
        <v>2712 RN</v>
      </c>
      <c r="E232" s="435" t="str">
        <f>VLOOKUP(Ruimtestaat[[#This Row],[Code]],Locaties[#All],6,FALSE)</f>
        <v>Zoetermeer</v>
      </c>
      <c r="F232" s="434"/>
      <c r="G232" s="434" t="s">
        <v>1769</v>
      </c>
      <c r="H232" s="330" t="s">
        <v>1809</v>
      </c>
      <c r="I232" s="450" t="s">
        <v>1708</v>
      </c>
      <c r="J232" s="330">
        <v>6</v>
      </c>
      <c r="K232" s="450" t="str">
        <f>VLOOKUP(Ruimtestaat[[#This Row],[Ruimte code]],Ruimtegroepen[[#All],[Code]:[Ruimte omschrijving]],2,FALSE)</f>
        <v>Gangen/hallen</v>
      </c>
      <c r="L232" s="434" t="s">
        <v>100</v>
      </c>
      <c r="M232" s="437" t="s">
        <v>1759</v>
      </c>
      <c r="N232" s="439">
        <v>14</v>
      </c>
      <c r="O232" s="439"/>
      <c r="P232" s="439"/>
      <c r="Q232" s="439"/>
      <c r="R232" s="440" t="str">
        <f>VLOOKUP(Ruimtestaat[[#This Row],[Ruimte code]],Ruimtegroepen[],4,FALSE)</f>
        <v>Ve</v>
      </c>
      <c r="S232" s="434">
        <v>41</v>
      </c>
      <c r="T232" s="434" t="s">
        <v>2</v>
      </c>
      <c r="U232" s="434">
        <f>IF(S232&gt;0,IF(RIGHT(Ruimtestaat[[#This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32" s="434">
        <f>IF(U232&gt;0,VLOOKUP($J232,Ruimtegroepen[],3,FALSE)*VLOOKUP($L232,Vloersoorten[],3,FALSE)*VLOOKUP($T232,Frequenties[],3,FALSE)*VLOOKUP($A232,Locaties[],3,FALSE),0)</f>
        <v>0</v>
      </c>
      <c r="W232" s="434">
        <f>Ruimtestaat[[#This Row],[Uitvoeringen werkdagen]]*Ruimtestaat[[#This Row],[Oppervlak (netto)]]</f>
        <v>2870</v>
      </c>
      <c r="X232" s="441">
        <f>IF(V232&gt;0,Ruimtestaat[[#This Row],[Prest. (m2 /jaar) werkdagen]]/Ruimtestaat[[#This Row],[Norm (m2/uur) werkdagen]],0)</f>
        <v>0</v>
      </c>
      <c r="Y232" s="442">
        <f>Ruimtestaat[[#This Row],[Uitvoeringen werkdagen]]*Ruimtestaat[[#This Row],[Gedeeltelijk]]</f>
        <v>0</v>
      </c>
      <c r="Z232" s="443" t="e">
        <f>IF(U232&gt;0,Ruimtestaat[[#This Row],[Prest. (m2 / jaar) werkdagen gedeeld]]/Ruimtestaat[[#This Row],[Norm (m2/uur) werkdagen]],0)</f>
        <v>#DIV/0!</v>
      </c>
      <c r="AA232" s="441" t="e">
        <f>Ruimtestaat[[#This Row],[uren / jaar werkdagen gedeeld]]*Tariefsopbouw!$E$35</f>
        <v>#DIV/0!</v>
      </c>
      <c r="AB232" s="441">
        <f>Ruimtestaat[[#This Row],[Uitvoeringen werkdagen]]*Ruimtestaat[[#This Row],[BSO]]</f>
        <v>0</v>
      </c>
      <c r="AC232" s="443" t="e">
        <f>IF(U232&gt;0,Ruimtestaat[[#This Row],[Prest. (m2 / jaar) werkdagen BSO]]/Ruimtestaat[[#This Row],[Norm (m2/uur) werkdagen]],0)</f>
        <v>#DIV/0!</v>
      </c>
      <c r="AD232" s="443" t="e">
        <f>Ruimtestaat[[#This Row],[uren / jaar werkdagen BSO]]*Tariefsopbouw!$E$35</f>
        <v>#DIV/0!</v>
      </c>
      <c r="AE232" s="444">
        <f>Ruimtestaat[[#This Row],[uren / jaar werkdagen]]*Tariefsopbouw!$E$35</f>
        <v>0</v>
      </c>
      <c r="AF232" s="434"/>
      <c r="AG232" s="434">
        <f>IF(Ruimtestaat[[#This Row],[Frequentie weekend]]&gt;0,VALUE(LEFT(AF232,1))*S232,0)</f>
        <v>0</v>
      </c>
      <c r="AH232" s="445">
        <f>IF($AG232&gt;0,VLOOKUP($J232,Ruimtegroepen[],3,FALSE)*VLOOKUP($L232,Vloersoorten[],3,FALSE)*VLOOKUP($AF232,Frequenties[],3,FALSE)*VLOOKUP(Ruimtestaat[[#This Row],[Code]],Locaties[],3,FALSE),0)</f>
        <v>0</v>
      </c>
      <c r="AI232" s="445">
        <f>Ruimtestaat[[#This Row],[Uitvoeringen weekend]]*Ruimtestaat[[#This Row],[Oppervlak (netto)]]</f>
        <v>0</v>
      </c>
      <c r="AJ232" s="445">
        <f>IF(AH232&gt;0,Ruimtestaat[[#This Row],[Prest. (m2 /jaar) weekend]]/Ruimtestaat[[#This Row],[Norm (m2/uur) weekend]],0)</f>
        <v>0</v>
      </c>
      <c r="AK232" s="444">
        <f>Ruimtestaat[[#This Row],[uren / jaar weekend]]*Tariefsopbouw!$D$40</f>
        <v>0</v>
      </c>
      <c r="AL232" s="441">
        <f>Ruimtestaat[[#This Row],[Prest. (m2 /jaar) weekend]]+Ruimtestaat[[#This Row],[Prest. (m2 /jaar) werkdagen]]</f>
        <v>2870</v>
      </c>
      <c r="AM232" s="441">
        <f>Ruimtestaat[[#This Row],[uren / jaar weekend]]+Ruimtestaat[[#This Row],[uren / jaar werkdagen]]</f>
        <v>0</v>
      </c>
      <c r="AN232" s="446">
        <f>Ruimtestaat[[#This Row],[kosten / jaar weekend]]+Ruimtestaat[[#This Row],[kosten / jaar werkdagen]]</f>
        <v>0</v>
      </c>
      <c r="AO232" s="446"/>
      <c r="AP232" s="447" t="str">
        <f>IF(Ruimtestaat[[#This Row],[Frequentie werkdagen]]="","",_xlfn.CONCAT(Ruimtestaat[[#This Row],[Ruimte code]],"-",Ruimtestaat[[#This Row],[Frequentie werkdagen]]," ",Ruimtestaat[[#This Row],[Vloer code]]))</f>
        <v>6-5w L</v>
      </c>
      <c r="AQ232" s="448" t="str">
        <f>_xlfn.IFNA(VLOOKUP($AP232,Programma!$F$3:$G$1101,2,0),"")</f>
        <v>_</v>
      </c>
      <c r="AR232" s="448" t="str">
        <f>_xlfn.IFNA(VLOOKUP($AP232,Programma!$F$3:$H$1101,3,0),"")</f>
        <v>_</v>
      </c>
      <c r="AS232" s="448" t="str">
        <f>_xlfn.IFNA(VLOOKUP($AP232,Programma!$F$3:$I$1101,4,0),"")</f>
        <v>_</v>
      </c>
      <c r="AT232" s="448" t="str">
        <f>_xlfn.IFNA(VLOOKUP($AP232,Programma!$F$3:$J$1101,5,0),"")</f>
        <v>5w</v>
      </c>
      <c r="AU232" s="448" t="str">
        <f>_xlfn.IFNA(VLOOKUP($AP232,Programma!$F$3:$K$1101,6,0),"")</f>
        <v>_</v>
      </c>
      <c r="AV232" s="448" t="str">
        <f>_xlfn.IFNA(VLOOKUP($AP232,Programma!$F$3:$L$1101,7,0),"")</f>
        <v>_</v>
      </c>
      <c r="AW232" s="448" t="str">
        <f>_xlfn.IFNA(VLOOKUP($AP232,Programma!$F$3:$M$1101,8,0),"")</f>
        <v>_</v>
      </c>
      <c r="AX232" s="448" t="str">
        <f>_xlfn.IFNA(VLOOKUP($AP232,Programma!$F$3:$N$1101,9,0),"")</f>
        <v>_</v>
      </c>
      <c r="AY232" s="448" t="str">
        <f>_xlfn.IFNA(VLOOKUP($AP232,Programma!$F$3:$O$1101,10,0),"")</f>
        <v>5w</v>
      </c>
      <c r="AZ232" s="448" t="str">
        <f>_xlfn.IFNA(VLOOKUP($AP232,Programma!$F$3:$P$1101,11,0),"")</f>
        <v>5w</v>
      </c>
      <c r="BA232" s="448" t="str">
        <f>_xlfn.IFNA(VLOOKUP($AP232,Programma!$F$3:$Q$1101,12,0),"")</f>
        <v>1w</v>
      </c>
      <c r="BB232" s="448" t="str">
        <f>_xlfn.IFNA(VLOOKUP($AP232,Programma!$F$3:$R$1101,13,0),"")</f>
        <v>1w</v>
      </c>
      <c r="BC232" s="448" t="str">
        <f>_xlfn.IFNA(VLOOKUP($AP232,Programma!$F$3:$S$1101,14,0),"")</f>
        <v>1m</v>
      </c>
      <c r="BD232" s="448" t="str">
        <f>_xlfn.IFNA(VLOOKUP($AP232,Programma!$F$3:$T$1101,15,0),"")</f>
        <v>2j</v>
      </c>
      <c r="BE232" s="448" t="str">
        <f>_xlfn.IFNA(VLOOKUP($AP232,Programma!$F$3:$U$1101,16,0),"")</f>
        <v>1j</v>
      </c>
      <c r="BF232" s="448" t="str">
        <f>_xlfn.IFNA(VLOOKUP($AP232,Programma!$F$3:$V$1101,17,0),"")</f>
        <v>_</v>
      </c>
      <c r="BG232" s="448" t="str">
        <f>_xlfn.IFNA(VLOOKUP($AP232,Programma!$F$3:$W$1101,18,0),"")</f>
        <v>_</v>
      </c>
      <c r="BH232" s="448" t="str">
        <f>_xlfn.IFNA(VLOOKUP($AP232,Programma!$F$3:$X$1101,19,0),"")</f>
        <v>_</v>
      </c>
      <c r="BI232" s="448" t="str">
        <f>_xlfn.IFNA(VLOOKUP($AP232,Programma!$F$3:$Y$1101,20,0),"")</f>
        <v>_</v>
      </c>
      <c r="BJ232" s="449"/>
      <c r="BK232" s="447" t="str">
        <f>IF(Ruimtestaat[[#This Row],[Frequentie weekend]]="","",_xlfn.CONCAT(Ruimtestaat[[#This Row],[Ruimte code]],"-",Ruimtestaat[[#This Row],[Frequentie weekend]]," ",Ruimtestaat[[#This Row],[Vloer code]]))</f>
        <v/>
      </c>
      <c r="BL232" s="448" t="str">
        <f>_xlfn.IFNA(VLOOKUP($BK232,Programma!$F$3:$G$1101,2,0),"")</f>
        <v/>
      </c>
      <c r="BM232" s="448" t="str">
        <f>_xlfn.IFNA(VLOOKUP($BK232,Programma!$F$3:$H$1101,3,0),"")</f>
        <v/>
      </c>
      <c r="BN232" s="448" t="str">
        <f>_xlfn.IFNA(VLOOKUP($BK232,Programma!$F$3:$I$1101,4,0),"")</f>
        <v/>
      </c>
      <c r="BO232" s="448" t="str">
        <f>_xlfn.IFNA(VLOOKUP($BK232,Programma!$F$3:$J$1101,5,0),"")</f>
        <v/>
      </c>
      <c r="BP232" s="448" t="str">
        <f>_xlfn.IFNA(VLOOKUP($BK232,Programma!$F$3:$K$1101,6,0),"")</f>
        <v/>
      </c>
      <c r="BQ232" s="448" t="str">
        <f>_xlfn.IFNA(VLOOKUP($BK232,Programma!$F$3:$L$1101,7,0),"")</f>
        <v/>
      </c>
      <c r="BR232" s="448" t="str">
        <f>_xlfn.IFNA(VLOOKUP($BK232,Programma!$F$3:$M$1101,8,0),"")</f>
        <v/>
      </c>
      <c r="BS232" s="448" t="str">
        <f>_xlfn.IFNA(VLOOKUP($BK232,Programma!$F$3:$N$1101,9,0),"")</f>
        <v/>
      </c>
      <c r="BT232" s="448" t="str">
        <f>_xlfn.IFNA(VLOOKUP($BK232,Programma!$F$3:$O$1101,10,0),"")</f>
        <v/>
      </c>
      <c r="BU232" s="448" t="str">
        <f>_xlfn.IFNA(VLOOKUP($BK232,Programma!$F$3:$P$1101,11,0),"")</f>
        <v/>
      </c>
      <c r="BV232" s="448" t="str">
        <f>_xlfn.IFNA(VLOOKUP($BK232,Programma!$F$3:$Q$1101,12,0),"")</f>
        <v/>
      </c>
      <c r="BW232" s="448" t="str">
        <f>_xlfn.IFNA(VLOOKUP($BK232,Programma!$F$3:$R$1101,13,0),"")</f>
        <v/>
      </c>
      <c r="BX232" s="448" t="str">
        <f>_xlfn.IFNA(VLOOKUP($BK232,Programma!$F$3:$S$1101,14,0),"")</f>
        <v/>
      </c>
      <c r="BY232" s="448" t="str">
        <f>_xlfn.IFNA(VLOOKUP($BK232,Programma!$F$3:$T$1101,15,0),"")</f>
        <v/>
      </c>
      <c r="BZ232" s="448" t="str">
        <f>_xlfn.IFNA(VLOOKUP($BK232,Programma!$F$3:$U$1101,16,0),"")</f>
        <v/>
      </c>
      <c r="CA232" s="448" t="str">
        <f>_xlfn.IFNA(VLOOKUP($BK232,Programma!$F$3:$V$1101,17,0),"")</f>
        <v/>
      </c>
      <c r="CB232" s="448" t="str">
        <f>_xlfn.IFNA(VLOOKUP($BK232,Programma!$F$3:$W$1101,18,0),"")</f>
        <v/>
      </c>
      <c r="CC232" s="448" t="str">
        <f>_xlfn.IFNA(VLOOKUP($BK232,Programma!$F$3:$X$1101,19,0),"")</f>
        <v/>
      </c>
      <c r="CD232" s="448" t="str">
        <f>_xlfn.IFNA(VLOOKUP($BK232,Programma!$F$3:$Y$1101,20,0),"")</f>
        <v/>
      </c>
      <c r="CE232" s="327"/>
      <c r="CF232" s="327"/>
      <c r="CG232" s="327"/>
      <c r="CH232" s="327"/>
      <c r="CI232" s="327"/>
      <c r="CJ232" s="327"/>
      <c r="CK232" s="327"/>
      <c r="CL232" s="327"/>
      <c r="CM232" s="327"/>
      <c r="CN232" s="327"/>
      <c r="CO232" s="327"/>
      <c r="CP232" s="327"/>
      <c r="CQ232" s="327"/>
      <c r="CR232" s="327"/>
      <c r="CS232" s="327"/>
      <c r="CT232" s="327"/>
      <c r="CU232" s="327"/>
      <c r="CV232" s="327"/>
      <c r="CW232" s="327"/>
      <c r="CX232" s="327"/>
      <c r="CY232" s="327"/>
      <c r="CZ232" s="327"/>
      <c r="DA232" s="327"/>
      <c r="DB232" s="327"/>
      <c r="DC232" s="327"/>
      <c r="DD232" s="327"/>
      <c r="DE232" s="327"/>
      <c r="DF232" s="327"/>
      <c r="DG232" s="327"/>
      <c r="DH232" s="327"/>
      <c r="DI232" s="327"/>
      <c r="DJ232" s="327"/>
      <c r="DK232" s="327"/>
      <c r="DL232" s="327"/>
      <c r="DM232" s="327"/>
      <c r="DN232" s="327"/>
      <c r="DO232" s="327"/>
      <c r="DP232" s="327"/>
      <c r="DQ232" s="327"/>
      <c r="DR232" s="327"/>
      <c r="DS232" s="327"/>
      <c r="DT232" s="327"/>
      <c r="DU232" s="327"/>
      <c r="DV232" s="327"/>
      <c r="DW232" s="327"/>
      <c r="DX232" s="327"/>
      <c r="DY232" s="327"/>
      <c r="DZ232" s="327"/>
      <c r="EA232" s="327"/>
      <c r="EB232" s="327"/>
      <c r="EC232" s="327"/>
      <c r="ED232" s="327"/>
      <c r="EE232" s="327"/>
      <c r="EF232" s="327"/>
      <c r="EG232" s="327"/>
      <c r="EH232" s="327"/>
      <c r="EI232" s="327"/>
      <c r="EJ232" s="327"/>
      <c r="EK232" s="327"/>
      <c r="EL232" s="327"/>
      <c r="EM232" s="327"/>
      <c r="EN232" s="327"/>
      <c r="EO232" s="327"/>
      <c r="EP232" s="327"/>
      <c r="EQ232" s="327"/>
      <c r="ER232" s="327"/>
      <c r="ES232" s="327"/>
      <c r="ET232" s="327"/>
      <c r="EU232" s="327"/>
      <c r="EV232" s="327"/>
      <c r="EW232" s="327"/>
      <c r="EX232" s="327"/>
      <c r="EY232" s="327"/>
      <c r="EZ232" s="327"/>
      <c r="FA232" s="327"/>
      <c r="FB232" s="327"/>
      <c r="FC232" s="327"/>
      <c r="FD232" s="327"/>
      <c r="FE232" s="327"/>
      <c r="FF232" s="327"/>
      <c r="FG232" s="327"/>
      <c r="FH232" s="327"/>
      <c r="FI232" s="327"/>
      <c r="FJ232" s="327"/>
      <c r="FK232" s="327"/>
      <c r="FL232" s="327"/>
      <c r="FM232" s="327"/>
      <c r="FN232" s="327"/>
      <c r="FO232" s="327"/>
      <c r="FP232" s="327"/>
      <c r="FQ232" s="327"/>
      <c r="FR232" s="327"/>
      <c r="FS232" s="327"/>
      <c r="FT232" s="327"/>
      <c r="FU232" s="327"/>
      <c r="FV232" s="327"/>
      <c r="FW232" s="327"/>
      <c r="FX232" s="327"/>
      <c r="FY232" s="327"/>
      <c r="FZ232" s="327"/>
      <c r="GA232" s="327"/>
      <c r="GB232" s="327"/>
      <c r="GC232" s="327"/>
      <c r="GD232" s="327"/>
      <c r="GE232" s="327"/>
      <c r="GF232" s="327"/>
      <c r="GG232" s="327"/>
      <c r="GH232" s="327"/>
      <c r="GI232" s="327"/>
      <c r="GJ232" s="327"/>
      <c r="GK232" s="327"/>
      <c r="GL232" s="327"/>
      <c r="GM232" s="327"/>
      <c r="GN232" s="327"/>
      <c r="GO232" s="327"/>
      <c r="GP232" s="327"/>
      <c r="GQ232" s="327"/>
      <c r="GR232" s="327"/>
      <c r="GS232" s="327"/>
      <c r="GT232" s="327"/>
      <c r="GU232" s="327"/>
      <c r="GV232" s="327"/>
      <c r="GW232" s="327"/>
      <c r="GX232" s="327"/>
      <c r="GY232" s="327"/>
      <c r="GZ232" s="327"/>
      <c r="HA232" s="327"/>
      <c r="HB232" s="327"/>
      <c r="HC232" s="327"/>
      <c r="HD232" s="327"/>
      <c r="HE232" s="327"/>
      <c r="HF232" s="327"/>
      <c r="HG232" s="327"/>
      <c r="HH232" s="327"/>
      <c r="HI232" s="327"/>
      <c r="HJ232" s="327"/>
      <c r="HK232" s="327"/>
      <c r="HL232" s="327"/>
      <c r="HM232" s="327"/>
      <c r="HN232" s="327"/>
      <c r="HO232" s="327"/>
      <c r="HP232" s="327"/>
      <c r="HQ232" s="327"/>
      <c r="HR232" s="327"/>
      <c r="HS232" s="327"/>
    </row>
    <row r="233" spans="1:227" ht="15" customHeight="1">
      <c r="A233" s="330">
        <v>9</v>
      </c>
      <c r="B233" s="435" t="str">
        <f>VLOOKUP(Ruimtestaat[[#This Row],[Code]],Locaties[[Code]:[Locatie]],2,FALSE)</f>
        <v>IKC De Vijverburgh</v>
      </c>
      <c r="C233" s="435" t="str">
        <f>VLOOKUP(Ruimtestaat[[#This Row],[Code]],Locaties[[#All],[Code]:[Adres]],4,FALSE)</f>
        <v>Paltelaan 3</v>
      </c>
      <c r="D233" s="435" t="str">
        <f>VLOOKUP(Ruimtestaat[[#This Row],[Code]],Locaties[[#All],[Code]:[Postcode]],5,FALSE)</f>
        <v>2712 RN</v>
      </c>
      <c r="E233" s="435" t="str">
        <f>VLOOKUP(Ruimtestaat[[#This Row],[Code]],Locaties[#All],6,FALSE)</f>
        <v>Zoetermeer</v>
      </c>
      <c r="F233" s="434"/>
      <c r="G233" s="434" t="s">
        <v>1769</v>
      </c>
      <c r="H233" s="330" t="s">
        <v>1810</v>
      </c>
      <c r="I233" s="450" t="s">
        <v>1724</v>
      </c>
      <c r="J233" s="330">
        <v>1</v>
      </c>
      <c r="K233" s="450" t="str">
        <f>VLOOKUP(Ruimtestaat[[#This Row],[Ruimte code]],Ruimtegroepen[[#All],[Code]:[Ruimte omschrijving]],2,FALSE)</f>
        <v>Magazijnen/bergingen</v>
      </c>
      <c r="L233" s="434" t="s">
        <v>100</v>
      </c>
      <c r="M233" s="437" t="s">
        <v>1759</v>
      </c>
      <c r="N233" s="439">
        <v>15</v>
      </c>
      <c r="O233" s="439"/>
      <c r="P233" s="439"/>
      <c r="Q233" s="439"/>
      <c r="R233" s="440" t="str">
        <f>VLOOKUP(Ruimtestaat[[#This Row],[Ruimte code]],Ruimtegroepen[],4,FALSE)</f>
        <v>Ve</v>
      </c>
      <c r="S233" s="434">
        <v>40</v>
      </c>
      <c r="T233" s="434" t="s">
        <v>2</v>
      </c>
      <c r="U233" s="434">
        <f>IF(S233&gt;0,IF(RIGHT(Ruimtestaat[[#This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3" s="434">
        <f>IF(U233&gt;0,VLOOKUP($J233,Ruimtegroepen[],3,FALSE)*VLOOKUP($L233,Vloersoorten[],3,FALSE)*VLOOKUP($T233,Frequenties[],3,FALSE)*VLOOKUP($A233,Locaties[],3,FALSE),0)</f>
        <v>0</v>
      </c>
      <c r="W233" s="434">
        <f>Ruimtestaat[[#This Row],[Uitvoeringen werkdagen]]*Ruimtestaat[[#This Row],[Oppervlak (netto)]]</f>
        <v>3000</v>
      </c>
      <c r="X233" s="441">
        <f>IF(V233&gt;0,Ruimtestaat[[#This Row],[Prest. (m2 /jaar) werkdagen]]/Ruimtestaat[[#This Row],[Norm (m2/uur) werkdagen]],0)</f>
        <v>0</v>
      </c>
      <c r="Y233" s="442">
        <f>Ruimtestaat[[#This Row],[Uitvoeringen werkdagen]]*Ruimtestaat[[#This Row],[Gedeeltelijk]]</f>
        <v>0</v>
      </c>
      <c r="Z233" s="443" t="e">
        <f>IF(U233&gt;0,Ruimtestaat[[#This Row],[Prest. (m2 / jaar) werkdagen gedeeld]]/Ruimtestaat[[#This Row],[Norm (m2/uur) werkdagen]],0)</f>
        <v>#DIV/0!</v>
      </c>
      <c r="AA233" s="441" t="e">
        <f>Ruimtestaat[[#This Row],[uren / jaar werkdagen gedeeld]]*Tariefsopbouw!$E$35</f>
        <v>#DIV/0!</v>
      </c>
      <c r="AB233" s="441">
        <f>Ruimtestaat[[#This Row],[Uitvoeringen werkdagen]]*Ruimtestaat[[#This Row],[BSO]]</f>
        <v>0</v>
      </c>
      <c r="AC233" s="443" t="e">
        <f>IF(U233&gt;0,Ruimtestaat[[#This Row],[Prest. (m2 / jaar) werkdagen BSO]]/Ruimtestaat[[#This Row],[Norm (m2/uur) werkdagen]],0)</f>
        <v>#DIV/0!</v>
      </c>
      <c r="AD233" s="443" t="e">
        <f>Ruimtestaat[[#This Row],[uren / jaar werkdagen BSO]]*Tariefsopbouw!$E$35</f>
        <v>#DIV/0!</v>
      </c>
      <c r="AE233" s="444">
        <f>Ruimtestaat[[#This Row],[uren / jaar werkdagen]]*Tariefsopbouw!$E$35</f>
        <v>0</v>
      </c>
      <c r="AF233" s="434"/>
      <c r="AG233" s="434">
        <f>IF(Ruimtestaat[[#This Row],[Frequentie weekend]]&gt;0,VALUE(LEFT(AF233,1))*S233,0)</f>
        <v>0</v>
      </c>
      <c r="AH233" s="445">
        <f>IF($AG233&gt;0,VLOOKUP($J233,Ruimtegroepen[],3,FALSE)*VLOOKUP($L233,Vloersoorten[],3,FALSE)*VLOOKUP($AF233,Frequenties[],3,FALSE)*VLOOKUP(Ruimtestaat[[#This Row],[Code]],Locaties[],3,FALSE),0)</f>
        <v>0</v>
      </c>
      <c r="AI233" s="445">
        <f>Ruimtestaat[[#This Row],[Uitvoeringen weekend]]*Ruimtestaat[[#This Row],[Oppervlak (netto)]]</f>
        <v>0</v>
      </c>
      <c r="AJ233" s="445">
        <f>IF(AH233&gt;0,Ruimtestaat[[#This Row],[Prest. (m2 /jaar) weekend]]/Ruimtestaat[[#This Row],[Norm (m2/uur) weekend]],0)</f>
        <v>0</v>
      </c>
      <c r="AK233" s="444">
        <f>Ruimtestaat[[#This Row],[uren / jaar weekend]]*Tariefsopbouw!$D$40</f>
        <v>0</v>
      </c>
      <c r="AL233" s="441">
        <f>Ruimtestaat[[#This Row],[Prest. (m2 /jaar) weekend]]+Ruimtestaat[[#This Row],[Prest. (m2 /jaar) werkdagen]]</f>
        <v>3000</v>
      </c>
      <c r="AM233" s="441">
        <f>Ruimtestaat[[#This Row],[uren / jaar weekend]]+Ruimtestaat[[#This Row],[uren / jaar werkdagen]]</f>
        <v>0</v>
      </c>
      <c r="AN233" s="446">
        <f>Ruimtestaat[[#This Row],[kosten / jaar weekend]]+Ruimtestaat[[#This Row],[kosten / jaar werkdagen]]</f>
        <v>0</v>
      </c>
      <c r="AO233" s="446"/>
      <c r="AP233" s="447" t="str">
        <f>IF(Ruimtestaat[[#This Row],[Frequentie werkdagen]]="","",_xlfn.CONCAT(Ruimtestaat[[#This Row],[Ruimte code]],"-",Ruimtestaat[[#This Row],[Frequentie werkdagen]]," ",Ruimtestaat[[#This Row],[Vloer code]]))</f>
        <v>1-5w L</v>
      </c>
      <c r="AQ233" s="448" t="str">
        <f>_xlfn.IFNA(VLOOKUP($AP233,Programma!$F$3:$G$1101,2,0),"")</f>
        <v>_</v>
      </c>
      <c r="AR233" s="448" t="str">
        <f>_xlfn.IFNA(VLOOKUP($AP233,Programma!$F$3:$H$1101,3,0),"")</f>
        <v>_</v>
      </c>
      <c r="AS233" s="448" t="str">
        <f>_xlfn.IFNA(VLOOKUP($AP233,Programma!$F$3:$I$1101,4,0),"")</f>
        <v>4w</v>
      </c>
      <c r="AT233" s="448" t="str">
        <f>_xlfn.IFNA(VLOOKUP($AP233,Programma!$F$3:$J$1101,5,0),"")</f>
        <v>1w</v>
      </c>
      <c r="AU233" s="448" t="str">
        <f>_xlfn.IFNA(VLOOKUP($AP233,Programma!$F$3:$K$1101,6,0),"")</f>
        <v>_</v>
      </c>
      <c r="AV233" s="448" t="str">
        <f>_xlfn.IFNA(VLOOKUP($AP233,Programma!$F$3:$L$1101,7,0),"")</f>
        <v>_</v>
      </c>
      <c r="AW233" s="448" t="str">
        <f>_xlfn.IFNA(VLOOKUP($AP233,Programma!$F$3:$M$1101,8,0),"")</f>
        <v>_</v>
      </c>
      <c r="AX233" s="448" t="str">
        <f>_xlfn.IFNA(VLOOKUP($AP233,Programma!$F$3:$N$1101,9,0),"")</f>
        <v>_</v>
      </c>
      <c r="AY233" s="448" t="str">
        <f>_xlfn.IFNA(VLOOKUP($AP233,Programma!$F$3:$O$1101,10,0),"")</f>
        <v>_</v>
      </c>
      <c r="AZ233" s="448" t="str">
        <f>_xlfn.IFNA(VLOOKUP($AP233,Programma!$F$3:$P$1101,11,0),"")</f>
        <v>_</v>
      </c>
      <c r="BA233" s="448" t="str">
        <f>_xlfn.IFNA(VLOOKUP($AP233,Programma!$F$3:$Q$1101,12,0),"")</f>
        <v>_</v>
      </c>
      <c r="BB233" s="448" t="str">
        <f>_xlfn.IFNA(VLOOKUP($AP233,Programma!$F$3:$R$1101,13,0),"")</f>
        <v>_</v>
      </c>
      <c r="BC233" s="448" t="str">
        <f>_xlfn.IFNA(VLOOKUP($AP233,Programma!$F$3:$S$1101,14,0),"")</f>
        <v>5w</v>
      </c>
      <c r="BD233" s="448" t="str">
        <f>_xlfn.IFNA(VLOOKUP($AP233,Programma!$F$3:$T$1101,15,0),"")</f>
        <v>4j</v>
      </c>
      <c r="BE233" s="448" t="str">
        <f>_xlfn.IFNA(VLOOKUP($AP233,Programma!$F$3:$U$1101,16,0),"")</f>
        <v>4j</v>
      </c>
      <c r="BF233" s="448" t="str">
        <f>_xlfn.IFNA(VLOOKUP($AP233,Programma!$F$3:$V$1101,17,0),"")</f>
        <v>_</v>
      </c>
      <c r="BG233" s="448" t="str">
        <f>_xlfn.IFNA(VLOOKUP($AP233,Programma!$F$3:$W$1101,18,0),"")</f>
        <v>_</v>
      </c>
      <c r="BH233" s="448" t="str">
        <f>_xlfn.IFNA(VLOOKUP($AP233,Programma!$F$3:$X$1101,19,0),"")</f>
        <v>_</v>
      </c>
      <c r="BI233" s="448" t="str">
        <f>_xlfn.IFNA(VLOOKUP($AP233,Programma!$F$3:$Y$1101,20,0),"")</f>
        <v>_</v>
      </c>
      <c r="BJ233" s="449"/>
      <c r="BK233" s="447" t="str">
        <f>IF(Ruimtestaat[[#This Row],[Frequentie weekend]]="","",_xlfn.CONCAT(Ruimtestaat[[#This Row],[Ruimte code]],"-",Ruimtestaat[[#This Row],[Frequentie weekend]]," ",Ruimtestaat[[#This Row],[Vloer code]]))</f>
        <v/>
      </c>
      <c r="BL233" s="448" t="str">
        <f>_xlfn.IFNA(VLOOKUP($BK233,Programma!$F$3:$G$1101,2,0),"")</f>
        <v/>
      </c>
      <c r="BM233" s="448" t="str">
        <f>_xlfn.IFNA(VLOOKUP($BK233,Programma!$F$3:$H$1101,3,0),"")</f>
        <v/>
      </c>
      <c r="BN233" s="448" t="str">
        <f>_xlfn.IFNA(VLOOKUP($BK233,Programma!$F$3:$I$1101,4,0),"")</f>
        <v/>
      </c>
      <c r="BO233" s="448" t="str">
        <f>_xlfn.IFNA(VLOOKUP($BK233,Programma!$F$3:$J$1101,5,0),"")</f>
        <v/>
      </c>
      <c r="BP233" s="448" t="str">
        <f>_xlfn.IFNA(VLOOKUP($BK233,Programma!$F$3:$K$1101,6,0),"")</f>
        <v/>
      </c>
      <c r="BQ233" s="448" t="str">
        <f>_xlfn.IFNA(VLOOKUP($BK233,Programma!$F$3:$L$1101,7,0),"")</f>
        <v/>
      </c>
      <c r="BR233" s="448" t="str">
        <f>_xlfn.IFNA(VLOOKUP($BK233,Programma!$F$3:$M$1101,8,0),"")</f>
        <v/>
      </c>
      <c r="BS233" s="448" t="str">
        <f>_xlfn.IFNA(VLOOKUP($BK233,Programma!$F$3:$N$1101,9,0),"")</f>
        <v/>
      </c>
      <c r="BT233" s="448" t="str">
        <f>_xlfn.IFNA(VLOOKUP($BK233,Programma!$F$3:$O$1101,10,0),"")</f>
        <v/>
      </c>
      <c r="BU233" s="448" t="str">
        <f>_xlfn.IFNA(VLOOKUP($BK233,Programma!$F$3:$P$1101,11,0),"")</f>
        <v/>
      </c>
      <c r="BV233" s="448" t="str">
        <f>_xlfn.IFNA(VLOOKUP($BK233,Programma!$F$3:$Q$1101,12,0),"")</f>
        <v/>
      </c>
      <c r="BW233" s="448" t="str">
        <f>_xlfn.IFNA(VLOOKUP($BK233,Programma!$F$3:$R$1101,13,0),"")</f>
        <v/>
      </c>
      <c r="BX233" s="448" t="str">
        <f>_xlfn.IFNA(VLOOKUP($BK233,Programma!$F$3:$S$1101,14,0),"")</f>
        <v/>
      </c>
      <c r="BY233" s="448" t="str">
        <f>_xlfn.IFNA(VLOOKUP($BK233,Programma!$F$3:$T$1101,15,0),"")</f>
        <v/>
      </c>
      <c r="BZ233" s="448" t="str">
        <f>_xlfn.IFNA(VLOOKUP($BK233,Programma!$F$3:$U$1101,16,0),"")</f>
        <v/>
      </c>
      <c r="CA233" s="448" t="str">
        <f>_xlfn.IFNA(VLOOKUP($BK233,Programma!$F$3:$V$1101,17,0),"")</f>
        <v/>
      </c>
      <c r="CB233" s="448" t="str">
        <f>_xlfn.IFNA(VLOOKUP($BK233,Programma!$F$3:$W$1101,18,0),"")</f>
        <v/>
      </c>
      <c r="CC233" s="448" t="str">
        <f>_xlfn.IFNA(VLOOKUP($BK233,Programma!$F$3:$X$1101,19,0),"")</f>
        <v/>
      </c>
      <c r="CD233" s="448" t="str">
        <f>_xlfn.IFNA(VLOOKUP($BK233,Programma!$F$3:$Y$1101,20,0),"")</f>
        <v/>
      </c>
      <c r="CE233" s="327"/>
      <c r="CF233" s="327"/>
      <c r="CG233" s="327"/>
      <c r="CH233" s="327"/>
      <c r="CI233" s="327"/>
      <c r="CJ233" s="327"/>
      <c r="CK233" s="327"/>
      <c r="CL233" s="327"/>
      <c r="CM233" s="327"/>
      <c r="CN233" s="327"/>
      <c r="CO233" s="327"/>
      <c r="CP233" s="327"/>
      <c r="CQ233" s="327"/>
      <c r="CR233" s="327"/>
      <c r="CS233" s="327"/>
      <c r="CT233" s="327"/>
      <c r="CU233" s="327"/>
      <c r="CV233" s="327"/>
      <c r="CW233" s="327"/>
      <c r="CX233" s="327"/>
      <c r="CY233" s="327"/>
      <c r="CZ233" s="327"/>
      <c r="DA233" s="327"/>
      <c r="DB233" s="327"/>
      <c r="DC233" s="327"/>
      <c r="DD233" s="327"/>
      <c r="DE233" s="327"/>
      <c r="DF233" s="327"/>
      <c r="DG233" s="327"/>
      <c r="DH233" s="327"/>
      <c r="DI233" s="327"/>
      <c r="DJ233" s="327"/>
      <c r="DK233" s="327"/>
      <c r="DL233" s="327"/>
      <c r="DM233" s="327"/>
      <c r="DN233" s="327"/>
      <c r="DO233" s="327"/>
      <c r="DP233" s="327"/>
      <c r="DQ233" s="327"/>
      <c r="DR233" s="327"/>
      <c r="DS233" s="327"/>
      <c r="DT233" s="327"/>
      <c r="DU233" s="327"/>
      <c r="DV233" s="327"/>
      <c r="DW233" s="327"/>
      <c r="DX233" s="327"/>
      <c r="DY233" s="327"/>
      <c r="DZ233" s="327"/>
      <c r="EA233" s="327"/>
      <c r="EB233" s="327"/>
      <c r="EC233" s="327"/>
      <c r="ED233" s="327"/>
      <c r="EE233" s="327"/>
      <c r="EF233" s="327"/>
      <c r="EG233" s="327"/>
      <c r="EH233" s="327"/>
      <c r="EI233" s="327"/>
      <c r="EJ233" s="327"/>
      <c r="EK233" s="327"/>
      <c r="EL233" s="327"/>
      <c r="EM233" s="327"/>
      <c r="EN233" s="327"/>
      <c r="EO233" s="327"/>
      <c r="EP233" s="327"/>
      <c r="EQ233" s="327"/>
      <c r="ER233" s="327"/>
      <c r="ES233" s="327"/>
      <c r="ET233" s="327"/>
      <c r="EU233" s="327"/>
      <c r="EV233" s="327"/>
      <c r="EW233" s="327"/>
      <c r="EX233" s="327"/>
      <c r="EY233" s="327"/>
      <c r="EZ233" s="327"/>
      <c r="FA233" s="327"/>
      <c r="FB233" s="327"/>
      <c r="FC233" s="327"/>
      <c r="FD233" s="327"/>
      <c r="FE233" s="327"/>
      <c r="FF233" s="327"/>
      <c r="FG233" s="327"/>
      <c r="FH233" s="327"/>
      <c r="FI233" s="327"/>
      <c r="FJ233" s="327"/>
      <c r="FK233" s="327"/>
      <c r="FL233" s="327"/>
      <c r="FM233" s="327"/>
      <c r="FN233" s="327"/>
      <c r="FO233" s="327"/>
      <c r="FP233" s="327"/>
      <c r="FQ233" s="327"/>
      <c r="FR233" s="327"/>
      <c r="FS233" s="327"/>
      <c r="FT233" s="327"/>
      <c r="FU233" s="327"/>
      <c r="FV233" s="327"/>
      <c r="FW233" s="327"/>
      <c r="FX233" s="327"/>
      <c r="FY233" s="327"/>
      <c r="FZ233" s="327"/>
      <c r="GA233" s="327"/>
      <c r="GB233" s="327"/>
      <c r="GC233" s="327"/>
      <c r="GD233" s="327"/>
      <c r="GE233" s="327"/>
      <c r="GF233" s="327"/>
      <c r="GG233" s="327"/>
      <c r="GH233" s="327"/>
      <c r="GI233" s="327"/>
      <c r="GJ233" s="327"/>
      <c r="GK233" s="327"/>
      <c r="GL233" s="327"/>
      <c r="GM233" s="327"/>
      <c r="GN233" s="327"/>
      <c r="GO233" s="327"/>
      <c r="GP233" s="327"/>
      <c r="GQ233" s="327"/>
      <c r="GR233" s="327"/>
      <c r="GS233" s="327"/>
      <c r="GT233" s="327"/>
      <c r="GU233" s="327"/>
      <c r="GV233" s="327"/>
      <c r="GW233" s="327"/>
      <c r="GX233" s="327"/>
      <c r="GY233" s="327"/>
      <c r="GZ233" s="327"/>
      <c r="HA233" s="327"/>
      <c r="HB233" s="327"/>
      <c r="HC233" s="327"/>
      <c r="HD233" s="327"/>
      <c r="HE233" s="327"/>
      <c r="HF233" s="327"/>
      <c r="HG233" s="327"/>
      <c r="HH233" s="327"/>
      <c r="HI233" s="327"/>
      <c r="HJ233" s="327"/>
      <c r="HK233" s="327"/>
      <c r="HL233" s="327"/>
      <c r="HM233" s="327"/>
      <c r="HN233" s="327"/>
      <c r="HO233" s="327"/>
      <c r="HP233" s="327"/>
      <c r="HQ233" s="327"/>
      <c r="HR233" s="327"/>
      <c r="HS233" s="327"/>
    </row>
    <row r="234" spans="1:227" ht="15" customHeight="1">
      <c r="A234" s="330">
        <v>9</v>
      </c>
      <c r="B234" s="435" t="str">
        <f>VLOOKUP(Ruimtestaat[[#This Row],[Code]],Locaties[[Code]:[Locatie]],2,FALSE)</f>
        <v>IKC De Vijverburgh</v>
      </c>
      <c r="C234" s="435" t="str">
        <f>VLOOKUP(Ruimtestaat[[#This Row],[Code]],Locaties[[#All],[Code]:[Adres]],4,FALSE)</f>
        <v>Paltelaan 3</v>
      </c>
      <c r="D234" s="435" t="str">
        <f>VLOOKUP(Ruimtestaat[[#This Row],[Code]],Locaties[[#All],[Code]:[Postcode]],5,FALSE)</f>
        <v>2712 RN</v>
      </c>
      <c r="E234" s="435" t="str">
        <f>VLOOKUP(Ruimtestaat[[#This Row],[Code]],Locaties[#All],6,FALSE)</f>
        <v>Zoetermeer</v>
      </c>
      <c r="F234" s="434"/>
      <c r="G234" s="434" t="s">
        <v>1769</v>
      </c>
      <c r="H234" s="330" t="s">
        <v>1811</v>
      </c>
      <c r="I234" s="450" t="s">
        <v>1749</v>
      </c>
      <c r="J234" s="330">
        <v>2</v>
      </c>
      <c r="K234" s="450" t="str">
        <f>VLOOKUP(Ruimtestaat[[#This Row],[Ruimte code]],Ruimtegroepen[[#All],[Code]:[Ruimte omschrijving]],2,FALSE)</f>
        <v>Kantoren</v>
      </c>
      <c r="L234" s="434" t="s">
        <v>100</v>
      </c>
      <c r="M234" s="437" t="s">
        <v>1759</v>
      </c>
      <c r="N234" s="439">
        <v>12</v>
      </c>
      <c r="O234" s="439"/>
      <c r="P234" s="439"/>
      <c r="Q234" s="439"/>
      <c r="R234" s="440" t="str">
        <f>VLOOKUP(Ruimtestaat[[#This Row],[Ruimte code]],Ruimtegroepen[],4,FALSE)</f>
        <v>Bu</v>
      </c>
      <c r="S234" s="434">
        <v>41</v>
      </c>
      <c r="T234" s="434" t="s">
        <v>2</v>
      </c>
      <c r="U234" s="434">
        <f>IF(S234&gt;0,IF(RIGHT(Ruimtestaat[[#This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34" s="434">
        <f>IF(U234&gt;0,VLOOKUP($J234,Ruimtegroepen[],3,FALSE)*VLOOKUP($L234,Vloersoorten[],3,FALSE)*VLOOKUP($T234,Frequenties[],3,FALSE)*VLOOKUP($A234,Locaties[],3,FALSE),0)</f>
        <v>0</v>
      </c>
      <c r="W234" s="434">
        <f>Ruimtestaat[[#This Row],[Uitvoeringen werkdagen]]*Ruimtestaat[[#This Row],[Oppervlak (netto)]]</f>
        <v>2460</v>
      </c>
      <c r="X234" s="441">
        <f>IF(V234&gt;0,Ruimtestaat[[#This Row],[Prest. (m2 /jaar) werkdagen]]/Ruimtestaat[[#This Row],[Norm (m2/uur) werkdagen]],0)</f>
        <v>0</v>
      </c>
      <c r="Y234" s="442">
        <f>Ruimtestaat[[#This Row],[Uitvoeringen werkdagen]]*Ruimtestaat[[#This Row],[Gedeeltelijk]]</f>
        <v>0</v>
      </c>
      <c r="Z234" s="443" t="e">
        <f>IF(U234&gt;0,Ruimtestaat[[#This Row],[Prest. (m2 / jaar) werkdagen gedeeld]]/Ruimtestaat[[#This Row],[Norm (m2/uur) werkdagen]],0)</f>
        <v>#DIV/0!</v>
      </c>
      <c r="AA234" s="441" t="e">
        <f>Ruimtestaat[[#This Row],[uren / jaar werkdagen gedeeld]]*Tariefsopbouw!$E$35</f>
        <v>#DIV/0!</v>
      </c>
      <c r="AB234" s="441">
        <f>Ruimtestaat[[#This Row],[Uitvoeringen werkdagen]]*Ruimtestaat[[#This Row],[BSO]]</f>
        <v>0</v>
      </c>
      <c r="AC234" s="443" t="e">
        <f>IF(U234&gt;0,Ruimtestaat[[#This Row],[Prest. (m2 / jaar) werkdagen BSO]]/Ruimtestaat[[#This Row],[Norm (m2/uur) werkdagen]],0)</f>
        <v>#DIV/0!</v>
      </c>
      <c r="AD234" s="443" t="e">
        <f>Ruimtestaat[[#This Row],[uren / jaar werkdagen BSO]]*Tariefsopbouw!$E$35</f>
        <v>#DIV/0!</v>
      </c>
      <c r="AE234" s="444">
        <f>Ruimtestaat[[#This Row],[uren / jaar werkdagen]]*Tariefsopbouw!$E$35</f>
        <v>0</v>
      </c>
      <c r="AF234" s="434"/>
      <c r="AG234" s="434">
        <f>IF(Ruimtestaat[[#This Row],[Frequentie weekend]]&gt;0,VALUE(LEFT(AF234,1))*S234,0)</f>
        <v>0</v>
      </c>
      <c r="AH234" s="445">
        <f>IF($AG234&gt;0,VLOOKUP($J234,Ruimtegroepen[],3,FALSE)*VLOOKUP($L234,Vloersoorten[],3,FALSE)*VLOOKUP($AF234,Frequenties[],3,FALSE)*VLOOKUP(Ruimtestaat[[#This Row],[Code]],Locaties[],3,FALSE),0)</f>
        <v>0</v>
      </c>
      <c r="AI234" s="445">
        <f>Ruimtestaat[[#This Row],[Uitvoeringen weekend]]*Ruimtestaat[[#This Row],[Oppervlak (netto)]]</f>
        <v>0</v>
      </c>
      <c r="AJ234" s="445">
        <f>IF(AH234&gt;0,Ruimtestaat[[#This Row],[Prest. (m2 /jaar) weekend]]/Ruimtestaat[[#This Row],[Norm (m2/uur) weekend]],0)</f>
        <v>0</v>
      </c>
      <c r="AK234" s="444">
        <f>Ruimtestaat[[#This Row],[uren / jaar weekend]]*Tariefsopbouw!$D$40</f>
        <v>0</v>
      </c>
      <c r="AL234" s="441">
        <f>Ruimtestaat[[#This Row],[Prest. (m2 /jaar) weekend]]+Ruimtestaat[[#This Row],[Prest. (m2 /jaar) werkdagen]]</f>
        <v>2460</v>
      </c>
      <c r="AM234" s="441">
        <f>Ruimtestaat[[#This Row],[uren / jaar weekend]]+Ruimtestaat[[#This Row],[uren / jaar werkdagen]]</f>
        <v>0</v>
      </c>
      <c r="AN234" s="446">
        <f>Ruimtestaat[[#This Row],[kosten / jaar weekend]]+Ruimtestaat[[#This Row],[kosten / jaar werkdagen]]</f>
        <v>0</v>
      </c>
      <c r="AO234" s="446"/>
      <c r="AP234" s="447" t="str">
        <f>IF(Ruimtestaat[[#This Row],[Frequentie werkdagen]]="","",_xlfn.CONCAT(Ruimtestaat[[#This Row],[Ruimte code]],"-",Ruimtestaat[[#This Row],[Frequentie werkdagen]]," ",Ruimtestaat[[#This Row],[Vloer code]]))</f>
        <v>2-5w L</v>
      </c>
      <c r="AQ234" s="448" t="str">
        <f>_xlfn.IFNA(VLOOKUP($AP234,Programma!$F$3:$G$1101,2,0),"")</f>
        <v>_</v>
      </c>
      <c r="AR234" s="448" t="str">
        <f>_xlfn.IFNA(VLOOKUP($AP234,Programma!$F$3:$H$1101,3,0),"")</f>
        <v>_</v>
      </c>
      <c r="AS234" s="448" t="str">
        <f>_xlfn.IFNA(VLOOKUP($AP234,Programma!$F$3:$I$1101,4,0),"")</f>
        <v>4w</v>
      </c>
      <c r="AT234" s="448" t="str">
        <f>_xlfn.IFNA(VLOOKUP($AP234,Programma!$F$3:$J$1101,5,0),"")</f>
        <v>1w</v>
      </c>
      <c r="AU234" s="448" t="str">
        <f>_xlfn.IFNA(VLOOKUP($AP234,Programma!$F$3:$K$1101,6,0),"")</f>
        <v>_</v>
      </c>
      <c r="AV234" s="448" t="str">
        <f>_xlfn.IFNA(VLOOKUP($AP234,Programma!$F$3:$L$1101,7,0),"")</f>
        <v>_</v>
      </c>
      <c r="AW234" s="448" t="str">
        <f>_xlfn.IFNA(VLOOKUP($AP234,Programma!$F$3:$M$1101,8,0),"")</f>
        <v>_</v>
      </c>
      <c r="AX234" s="448" t="str">
        <f>_xlfn.IFNA(VLOOKUP($AP234,Programma!$F$3:$N$1101,9,0),"")</f>
        <v>_</v>
      </c>
      <c r="AY234" s="448" t="str">
        <f>_xlfn.IFNA(VLOOKUP($AP234,Programma!$F$3:$O$1101,10,0),"")</f>
        <v>5w</v>
      </c>
      <c r="AZ234" s="448" t="str">
        <f>_xlfn.IFNA(VLOOKUP($AP234,Programma!$F$3:$P$1101,11,0),"")</f>
        <v>5w</v>
      </c>
      <c r="BA234" s="448" t="str">
        <f>_xlfn.IFNA(VLOOKUP($AP234,Programma!$F$3:$Q$1101,12,0),"")</f>
        <v>1w</v>
      </c>
      <c r="BB234" s="448" t="str">
        <f>_xlfn.IFNA(VLOOKUP($AP234,Programma!$F$3:$R$1101,13,0),"")</f>
        <v>1w</v>
      </c>
      <c r="BC234" s="448" t="str">
        <f>_xlfn.IFNA(VLOOKUP($AP234,Programma!$F$3:$S$1101,14,0),"")</f>
        <v>1m</v>
      </c>
      <c r="BD234" s="448" t="str">
        <f>_xlfn.IFNA(VLOOKUP($AP234,Programma!$F$3:$T$1101,15,0),"")</f>
        <v>2j</v>
      </c>
      <c r="BE234" s="448" t="str">
        <f>_xlfn.IFNA(VLOOKUP($AP234,Programma!$F$3:$U$1101,16,0),"")</f>
        <v>1j</v>
      </c>
      <c r="BF234" s="448" t="str">
        <f>_xlfn.IFNA(VLOOKUP($AP234,Programma!$F$3:$V$1101,17,0),"")</f>
        <v>_</v>
      </c>
      <c r="BG234" s="448" t="str">
        <f>_xlfn.IFNA(VLOOKUP($AP234,Programma!$F$3:$W$1101,18,0),"")</f>
        <v>_</v>
      </c>
      <c r="BH234" s="448" t="str">
        <f>_xlfn.IFNA(VLOOKUP($AP234,Programma!$F$3:$X$1101,19,0),"")</f>
        <v>_</v>
      </c>
      <c r="BI234" s="448" t="str">
        <f>_xlfn.IFNA(VLOOKUP($AP234,Programma!$F$3:$Y$1101,20,0),"")</f>
        <v>_</v>
      </c>
      <c r="BJ234" s="449"/>
      <c r="BK234" s="447" t="str">
        <f>IF(Ruimtestaat[[#This Row],[Frequentie weekend]]="","",_xlfn.CONCAT(Ruimtestaat[[#This Row],[Ruimte code]],"-",Ruimtestaat[[#This Row],[Frequentie weekend]]," ",Ruimtestaat[[#This Row],[Vloer code]]))</f>
        <v/>
      </c>
      <c r="BL234" s="448" t="str">
        <f>_xlfn.IFNA(VLOOKUP($BK234,Programma!$F$3:$G$1101,2,0),"")</f>
        <v/>
      </c>
      <c r="BM234" s="448" t="str">
        <f>_xlfn.IFNA(VLOOKUP($BK234,Programma!$F$3:$H$1101,3,0),"")</f>
        <v/>
      </c>
      <c r="BN234" s="448" t="str">
        <f>_xlfn.IFNA(VLOOKUP($BK234,Programma!$F$3:$I$1101,4,0),"")</f>
        <v/>
      </c>
      <c r="BO234" s="448" t="str">
        <f>_xlfn.IFNA(VLOOKUP($BK234,Programma!$F$3:$J$1101,5,0),"")</f>
        <v/>
      </c>
      <c r="BP234" s="448" t="str">
        <f>_xlfn.IFNA(VLOOKUP($BK234,Programma!$F$3:$K$1101,6,0),"")</f>
        <v/>
      </c>
      <c r="BQ234" s="448" t="str">
        <f>_xlfn.IFNA(VLOOKUP($BK234,Programma!$F$3:$L$1101,7,0),"")</f>
        <v/>
      </c>
      <c r="BR234" s="448" t="str">
        <f>_xlfn.IFNA(VLOOKUP($BK234,Programma!$F$3:$M$1101,8,0),"")</f>
        <v/>
      </c>
      <c r="BS234" s="448" t="str">
        <f>_xlfn.IFNA(VLOOKUP($BK234,Programma!$F$3:$N$1101,9,0),"")</f>
        <v/>
      </c>
      <c r="BT234" s="448" t="str">
        <f>_xlfn.IFNA(VLOOKUP($BK234,Programma!$F$3:$O$1101,10,0),"")</f>
        <v/>
      </c>
      <c r="BU234" s="448" t="str">
        <f>_xlfn.IFNA(VLOOKUP($BK234,Programma!$F$3:$P$1101,11,0),"")</f>
        <v/>
      </c>
      <c r="BV234" s="448" t="str">
        <f>_xlfn.IFNA(VLOOKUP($BK234,Programma!$F$3:$Q$1101,12,0),"")</f>
        <v/>
      </c>
      <c r="BW234" s="448" t="str">
        <f>_xlfn.IFNA(VLOOKUP($BK234,Programma!$F$3:$R$1101,13,0),"")</f>
        <v/>
      </c>
      <c r="BX234" s="448" t="str">
        <f>_xlfn.IFNA(VLOOKUP($BK234,Programma!$F$3:$S$1101,14,0),"")</f>
        <v/>
      </c>
      <c r="BY234" s="448" t="str">
        <f>_xlfn.IFNA(VLOOKUP($BK234,Programma!$F$3:$T$1101,15,0),"")</f>
        <v/>
      </c>
      <c r="BZ234" s="448" t="str">
        <f>_xlfn.IFNA(VLOOKUP($BK234,Programma!$F$3:$U$1101,16,0),"")</f>
        <v/>
      </c>
      <c r="CA234" s="448" t="str">
        <f>_xlfn.IFNA(VLOOKUP($BK234,Programma!$F$3:$V$1101,17,0),"")</f>
        <v/>
      </c>
      <c r="CB234" s="448" t="str">
        <f>_xlfn.IFNA(VLOOKUP($BK234,Programma!$F$3:$W$1101,18,0),"")</f>
        <v/>
      </c>
      <c r="CC234" s="448" t="str">
        <f>_xlfn.IFNA(VLOOKUP($BK234,Programma!$F$3:$X$1101,19,0),"")</f>
        <v/>
      </c>
      <c r="CD234" s="448" t="str">
        <f>_xlfn.IFNA(VLOOKUP($BK234,Programma!$F$3:$Y$1101,20,0),"")</f>
        <v/>
      </c>
      <c r="CE234" s="327"/>
      <c r="CF234" s="327"/>
      <c r="CG234" s="327"/>
      <c r="CH234" s="327"/>
      <c r="CI234" s="327"/>
      <c r="CJ234" s="327"/>
      <c r="CK234" s="327"/>
      <c r="CL234" s="327"/>
      <c r="CM234" s="327"/>
      <c r="CN234" s="327"/>
      <c r="CO234" s="327"/>
      <c r="CP234" s="327"/>
      <c r="CQ234" s="327"/>
      <c r="CR234" s="327"/>
      <c r="CS234" s="327"/>
      <c r="CT234" s="327"/>
      <c r="CU234" s="327"/>
      <c r="CV234" s="327"/>
      <c r="CW234" s="327"/>
      <c r="CX234" s="327"/>
      <c r="CY234" s="327"/>
      <c r="CZ234" s="327"/>
      <c r="DA234" s="327"/>
      <c r="DB234" s="327"/>
      <c r="DC234" s="327"/>
      <c r="DD234" s="327"/>
      <c r="DE234" s="327"/>
      <c r="DF234" s="327"/>
      <c r="DG234" s="327"/>
      <c r="DH234" s="327"/>
      <c r="DI234" s="327"/>
      <c r="DJ234" s="327"/>
      <c r="DK234" s="327"/>
      <c r="DL234" s="327"/>
      <c r="DM234" s="327"/>
      <c r="DN234" s="327"/>
      <c r="DO234" s="327"/>
      <c r="DP234" s="327"/>
      <c r="DQ234" s="327"/>
      <c r="DR234" s="327"/>
      <c r="DS234" s="327"/>
      <c r="DT234" s="327"/>
      <c r="DU234" s="327"/>
      <c r="DV234" s="327"/>
      <c r="DW234" s="327"/>
      <c r="DX234" s="327"/>
      <c r="DY234" s="327"/>
      <c r="DZ234" s="327"/>
      <c r="EA234" s="327"/>
      <c r="EB234" s="327"/>
      <c r="EC234" s="327"/>
      <c r="ED234" s="327"/>
      <c r="EE234" s="327"/>
      <c r="EF234" s="327"/>
      <c r="EG234" s="327"/>
      <c r="EH234" s="327"/>
      <c r="EI234" s="327"/>
      <c r="EJ234" s="327"/>
      <c r="EK234" s="327"/>
      <c r="EL234" s="327"/>
      <c r="EM234" s="327"/>
      <c r="EN234" s="327"/>
      <c r="EO234" s="327"/>
      <c r="EP234" s="327"/>
      <c r="EQ234" s="327"/>
      <c r="ER234" s="327"/>
      <c r="ES234" s="327"/>
      <c r="ET234" s="327"/>
      <c r="EU234" s="327"/>
      <c r="EV234" s="327"/>
      <c r="EW234" s="327"/>
      <c r="EX234" s="327"/>
      <c r="EY234" s="327"/>
      <c r="EZ234" s="327"/>
      <c r="FA234" s="327"/>
      <c r="FB234" s="327"/>
      <c r="FC234" s="327"/>
      <c r="FD234" s="327"/>
      <c r="FE234" s="327"/>
      <c r="FF234" s="327"/>
      <c r="FG234" s="327"/>
      <c r="FH234" s="327"/>
      <c r="FI234" s="327"/>
      <c r="FJ234" s="327"/>
      <c r="FK234" s="327"/>
      <c r="FL234" s="327"/>
      <c r="FM234" s="327"/>
      <c r="FN234" s="327"/>
      <c r="FO234" s="327"/>
      <c r="FP234" s="327"/>
      <c r="FQ234" s="327"/>
      <c r="FR234" s="327"/>
      <c r="FS234" s="327"/>
      <c r="FT234" s="327"/>
      <c r="FU234" s="327"/>
      <c r="FV234" s="327"/>
      <c r="FW234" s="327"/>
      <c r="FX234" s="327"/>
      <c r="FY234" s="327"/>
      <c r="FZ234" s="327"/>
      <c r="GA234" s="327"/>
      <c r="GB234" s="327"/>
      <c r="GC234" s="327"/>
      <c r="GD234" s="327"/>
      <c r="GE234" s="327"/>
      <c r="GF234" s="327"/>
      <c r="GG234" s="327"/>
      <c r="GH234" s="327"/>
      <c r="GI234" s="327"/>
      <c r="GJ234" s="327"/>
      <c r="GK234" s="327"/>
      <c r="GL234" s="327"/>
      <c r="GM234" s="327"/>
      <c r="GN234" s="327"/>
      <c r="GO234" s="327"/>
      <c r="GP234" s="327"/>
      <c r="GQ234" s="327"/>
      <c r="GR234" s="327"/>
      <c r="GS234" s="327"/>
      <c r="GT234" s="327"/>
      <c r="GU234" s="327"/>
      <c r="GV234" s="327"/>
      <c r="GW234" s="327"/>
      <c r="GX234" s="327"/>
      <c r="GY234" s="327"/>
      <c r="GZ234" s="327"/>
      <c r="HA234" s="327"/>
      <c r="HB234" s="327"/>
      <c r="HC234" s="327"/>
      <c r="HD234" s="327"/>
      <c r="HE234" s="327"/>
      <c r="HF234" s="327"/>
      <c r="HG234" s="327"/>
      <c r="HH234" s="327"/>
      <c r="HI234" s="327"/>
      <c r="HJ234" s="327"/>
      <c r="HK234" s="327"/>
      <c r="HL234" s="327"/>
      <c r="HM234" s="327"/>
      <c r="HN234" s="327"/>
      <c r="HO234" s="327"/>
      <c r="HP234" s="327"/>
      <c r="HQ234" s="327"/>
      <c r="HR234" s="327"/>
      <c r="HS234" s="327"/>
    </row>
    <row r="235" spans="1:227" ht="15" customHeight="1">
      <c r="A235" s="330">
        <v>9</v>
      </c>
      <c r="B235" s="435" t="str">
        <f>VLOOKUP(Ruimtestaat[[#This Row],[Code]],Locaties[[Code]:[Locatie]],2,FALSE)</f>
        <v>IKC De Vijverburgh</v>
      </c>
      <c r="C235" s="435" t="str">
        <f>VLOOKUP(Ruimtestaat[[#This Row],[Code]],Locaties[[#All],[Code]:[Adres]],4,FALSE)</f>
        <v>Paltelaan 3</v>
      </c>
      <c r="D235" s="435" t="str">
        <f>VLOOKUP(Ruimtestaat[[#This Row],[Code]],Locaties[[#All],[Code]:[Postcode]],5,FALSE)</f>
        <v>2712 RN</v>
      </c>
      <c r="E235" s="435" t="str">
        <f>VLOOKUP(Ruimtestaat[[#This Row],[Code]],Locaties[#All],6,FALSE)</f>
        <v>Zoetermeer</v>
      </c>
      <c r="F235" s="434"/>
      <c r="G235" s="434" t="s">
        <v>1769</v>
      </c>
      <c r="H235" s="330" t="s">
        <v>1812</v>
      </c>
      <c r="I235" s="450" t="s">
        <v>1749</v>
      </c>
      <c r="J235" s="330">
        <v>2</v>
      </c>
      <c r="K235" s="450" t="str">
        <f>VLOOKUP(Ruimtestaat[[#This Row],[Ruimte code]],Ruimtegroepen[[#All],[Code]:[Ruimte omschrijving]],2,FALSE)</f>
        <v>Kantoren</v>
      </c>
      <c r="L235" s="434" t="s">
        <v>100</v>
      </c>
      <c r="M235" s="437" t="s">
        <v>1759</v>
      </c>
      <c r="N235" s="439">
        <v>29</v>
      </c>
      <c r="O235" s="439"/>
      <c r="P235" s="439"/>
      <c r="Q235" s="439"/>
      <c r="R235" s="440" t="str">
        <f>VLOOKUP(Ruimtestaat[[#This Row],[Ruimte code]],Ruimtegroepen[],4,FALSE)</f>
        <v>Bu</v>
      </c>
      <c r="S235" s="434">
        <v>41</v>
      </c>
      <c r="T235" s="434" t="s">
        <v>2</v>
      </c>
      <c r="U235" s="434">
        <f>IF(S235&gt;0,IF(RIGHT(Ruimtestaat[[#This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35" s="434">
        <f>IF(U235&gt;0,VLOOKUP($J235,Ruimtegroepen[],3,FALSE)*VLOOKUP($L235,Vloersoorten[],3,FALSE)*VLOOKUP($T235,Frequenties[],3,FALSE)*VLOOKUP($A235,Locaties[],3,FALSE),0)</f>
        <v>0</v>
      </c>
      <c r="W235" s="434">
        <f>Ruimtestaat[[#This Row],[Uitvoeringen werkdagen]]*Ruimtestaat[[#This Row],[Oppervlak (netto)]]</f>
        <v>5945</v>
      </c>
      <c r="X235" s="441">
        <f>IF(V235&gt;0,Ruimtestaat[[#This Row],[Prest. (m2 /jaar) werkdagen]]/Ruimtestaat[[#This Row],[Norm (m2/uur) werkdagen]],0)</f>
        <v>0</v>
      </c>
      <c r="Y235" s="442">
        <f>Ruimtestaat[[#This Row],[Uitvoeringen werkdagen]]*Ruimtestaat[[#This Row],[Gedeeltelijk]]</f>
        <v>0</v>
      </c>
      <c r="Z235" s="443" t="e">
        <f>IF(U235&gt;0,Ruimtestaat[[#This Row],[Prest. (m2 / jaar) werkdagen gedeeld]]/Ruimtestaat[[#This Row],[Norm (m2/uur) werkdagen]],0)</f>
        <v>#DIV/0!</v>
      </c>
      <c r="AA235" s="441" t="e">
        <f>Ruimtestaat[[#This Row],[uren / jaar werkdagen gedeeld]]*Tariefsopbouw!$E$35</f>
        <v>#DIV/0!</v>
      </c>
      <c r="AB235" s="441">
        <f>Ruimtestaat[[#This Row],[Uitvoeringen werkdagen]]*Ruimtestaat[[#This Row],[BSO]]</f>
        <v>0</v>
      </c>
      <c r="AC235" s="443" t="e">
        <f>IF(U235&gt;0,Ruimtestaat[[#This Row],[Prest. (m2 / jaar) werkdagen BSO]]/Ruimtestaat[[#This Row],[Norm (m2/uur) werkdagen]],0)</f>
        <v>#DIV/0!</v>
      </c>
      <c r="AD235" s="443" t="e">
        <f>Ruimtestaat[[#This Row],[uren / jaar werkdagen BSO]]*Tariefsopbouw!$E$35</f>
        <v>#DIV/0!</v>
      </c>
      <c r="AE235" s="444">
        <f>Ruimtestaat[[#This Row],[uren / jaar werkdagen]]*Tariefsopbouw!$E$35</f>
        <v>0</v>
      </c>
      <c r="AF235" s="434"/>
      <c r="AG235" s="434">
        <f>IF(Ruimtestaat[[#This Row],[Frequentie weekend]]&gt;0,VALUE(LEFT(AF235,1))*S235,0)</f>
        <v>0</v>
      </c>
      <c r="AH235" s="445">
        <f>IF($AG235&gt;0,VLOOKUP($J235,Ruimtegroepen[],3,FALSE)*VLOOKUP($L235,Vloersoorten[],3,FALSE)*VLOOKUP($AF235,Frequenties[],3,FALSE)*VLOOKUP(Ruimtestaat[[#This Row],[Code]],Locaties[],3,FALSE),0)</f>
        <v>0</v>
      </c>
      <c r="AI235" s="445">
        <f>Ruimtestaat[[#This Row],[Uitvoeringen weekend]]*Ruimtestaat[[#This Row],[Oppervlak (netto)]]</f>
        <v>0</v>
      </c>
      <c r="AJ235" s="445">
        <f>IF(AH235&gt;0,Ruimtestaat[[#This Row],[Prest. (m2 /jaar) weekend]]/Ruimtestaat[[#This Row],[Norm (m2/uur) weekend]],0)</f>
        <v>0</v>
      </c>
      <c r="AK235" s="444">
        <f>Ruimtestaat[[#This Row],[uren / jaar weekend]]*Tariefsopbouw!$D$40</f>
        <v>0</v>
      </c>
      <c r="AL235" s="441">
        <f>Ruimtestaat[[#This Row],[Prest. (m2 /jaar) weekend]]+Ruimtestaat[[#This Row],[Prest. (m2 /jaar) werkdagen]]</f>
        <v>5945</v>
      </c>
      <c r="AM235" s="441">
        <f>Ruimtestaat[[#This Row],[uren / jaar weekend]]+Ruimtestaat[[#This Row],[uren / jaar werkdagen]]</f>
        <v>0</v>
      </c>
      <c r="AN235" s="446">
        <f>Ruimtestaat[[#This Row],[kosten / jaar weekend]]+Ruimtestaat[[#This Row],[kosten / jaar werkdagen]]</f>
        <v>0</v>
      </c>
      <c r="AO235" s="446"/>
      <c r="AP235" s="447" t="str">
        <f>IF(Ruimtestaat[[#This Row],[Frequentie werkdagen]]="","",_xlfn.CONCAT(Ruimtestaat[[#This Row],[Ruimte code]],"-",Ruimtestaat[[#This Row],[Frequentie werkdagen]]," ",Ruimtestaat[[#This Row],[Vloer code]]))</f>
        <v>2-5w L</v>
      </c>
      <c r="AQ235" s="448" t="str">
        <f>_xlfn.IFNA(VLOOKUP($AP235,Programma!$F$3:$G$1101,2,0),"")</f>
        <v>_</v>
      </c>
      <c r="AR235" s="448" t="str">
        <f>_xlfn.IFNA(VLOOKUP($AP235,Programma!$F$3:$H$1101,3,0),"")</f>
        <v>_</v>
      </c>
      <c r="AS235" s="448" t="str">
        <f>_xlfn.IFNA(VLOOKUP($AP235,Programma!$F$3:$I$1101,4,0),"")</f>
        <v>4w</v>
      </c>
      <c r="AT235" s="448" t="str">
        <f>_xlfn.IFNA(VLOOKUP($AP235,Programma!$F$3:$J$1101,5,0),"")</f>
        <v>1w</v>
      </c>
      <c r="AU235" s="448" t="str">
        <f>_xlfn.IFNA(VLOOKUP($AP235,Programma!$F$3:$K$1101,6,0),"")</f>
        <v>_</v>
      </c>
      <c r="AV235" s="448" t="str">
        <f>_xlfn.IFNA(VLOOKUP($AP235,Programma!$F$3:$L$1101,7,0),"")</f>
        <v>_</v>
      </c>
      <c r="AW235" s="448" t="str">
        <f>_xlfn.IFNA(VLOOKUP($AP235,Programma!$F$3:$M$1101,8,0),"")</f>
        <v>_</v>
      </c>
      <c r="AX235" s="448" t="str">
        <f>_xlfn.IFNA(VLOOKUP($AP235,Programma!$F$3:$N$1101,9,0),"")</f>
        <v>_</v>
      </c>
      <c r="AY235" s="448" t="str">
        <f>_xlfn.IFNA(VLOOKUP($AP235,Programma!$F$3:$O$1101,10,0),"")</f>
        <v>5w</v>
      </c>
      <c r="AZ235" s="448" t="str">
        <f>_xlfn.IFNA(VLOOKUP($AP235,Programma!$F$3:$P$1101,11,0),"")</f>
        <v>5w</v>
      </c>
      <c r="BA235" s="448" t="str">
        <f>_xlfn.IFNA(VLOOKUP($AP235,Programma!$F$3:$Q$1101,12,0),"")</f>
        <v>1w</v>
      </c>
      <c r="BB235" s="448" t="str">
        <f>_xlfn.IFNA(VLOOKUP($AP235,Programma!$F$3:$R$1101,13,0),"")</f>
        <v>1w</v>
      </c>
      <c r="BC235" s="448" t="str">
        <f>_xlfn.IFNA(VLOOKUP($AP235,Programma!$F$3:$S$1101,14,0),"")</f>
        <v>1m</v>
      </c>
      <c r="BD235" s="448" t="str">
        <f>_xlfn.IFNA(VLOOKUP($AP235,Programma!$F$3:$T$1101,15,0),"")</f>
        <v>2j</v>
      </c>
      <c r="BE235" s="448" t="str">
        <f>_xlfn.IFNA(VLOOKUP($AP235,Programma!$F$3:$U$1101,16,0),"")</f>
        <v>1j</v>
      </c>
      <c r="BF235" s="448" t="str">
        <f>_xlfn.IFNA(VLOOKUP($AP235,Programma!$F$3:$V$1101,17,0),"")</f>
        <v>_</v>
      </c>
      <c r="BG235" s="448" t="str">
        <f>_xlfn.IFNA(VLOOKUP($AP235,Programma!$F$3:$W$1101,18,0),"")</f>
        <v>_</v>
      </c>
      <c r="BH235" s="448" t="str">
        <f>_xlfn.IFNA(VLOOKUP($AP235,Programma!$F$3:$X$1101,19,0),"")</f>
        <v>_</v>
      </c>
      <c r="BI235" s="448" t="str">
        <f>_xlfn.IFNA(VLOOKUP($AP235,Programma!$F$3:$Y$1101,20,0),"")</f>
        <v>_</v>
      </c>
      <c r="BJ235" s="449"/>
      <c r="BK235" s="447" t="str">
        <f>IF(Ruimtestaat[[#This Row],[Frequentie weekend]]="","",_xlfn.CONCAT(Ruimtestaat[[#This Row],[Ruimte code]],"-",Ruimtestaat[[#This Row],[Frequentie weekend]]," ",Ruimtestaat[[#This Row],[Vloer code]]))</f>
        <v/>
      </c>
      <c r="BL235" s="448" t="str">
        <f>_xlfn.IFNA(VLOOKUP($BK235,Programma!$F$3:$G$1101,2,0),"")</f>
        <v/>
      </c>
      <c r="BM235" s="448" t="str">
        <f>_xlfn.IFNA(VLOOKUP($BK235,Programma!$F$3:$H$1101,3,0),"")</f>
        <v/>
      </c>
      <c r="BN235" s="448" t="str">
        <f>_xlfn.IFNA(VLOOKUP($BK235,Programma!$F$3:$I$1101,4,0),"")</f>
        <v/>
      </c>
      <c r="BO235" s="448" t="str">
        <f>_xlfn.IFNA(VLOOKUP($BK235,Programma!$F$3:$J$1101,5,0),"")</f>
        <v/>
      </c>
      <c r="BP235" s="448" t="str">
        <f>_xlfn.IFNA(VLOOKUP($BK235,Programma!$F$3:$K$1101,6,0),"")</f>
        <v/>
      </c>
      <c r="BQ235" s="448" t="str">
        <f>_xlfn.IFNA(VLOOKUP($BK235,Programma!$F$3:$L$1101,7,0),"")</f>
        <v/>
      </c>
      <c r="BR235" s="448" t="str">
        <f>_xlfn.IFNA(VLOOKUP($BK235,Programma!$F$3:$M$1101,8,0),"")</f>
        <v/>
      </c>
      <c r="BS235" s="448" t="str">
        <f>_xlfn.IFNA(VLOOKUP($BK235,Programma!$F$3:$N$1101,9,0),"")</f>
        <v/>
      </c>
      <c r="BT235" s="448" t="str">
        <f>_xlfn.IFNA(VLOOKUP($BK235,Programma!$F$3:$O$1101,10,0),"")</f>
        <v/>
      </c>
      <c r="BU235" s="448" t="str">
        <f>_xlfn.IFNA(VLOOKUP($BK235,Programma!$F$3:$P$1101,11,0),"")</f>
        <v/>
      </c>
      <c r="BV235" s="448" t="str">
        <f>_xlfn.IFNA(VLOOKUP($BK235,Programma!$F$3:$Q$1101,12,0),"")</f>
        <v/>
      </c>
      <c r="BW235" s="448" t="str">
        <f>_xlfn.IFNA(VLOOKUP($BK235,Programma!$F$3:$R$1101,13,0),"")</f>
        <v/>
      </c>
      <c r="BX235" s="448" t="str">
        <f>_xlfn.IFNA(VLOOKUP($BK235,Programma!$F$3:$S$1101,14,0),"")</f>
        <v/>
      </c>
      <c r="BY235" s="448" t="str">
        <f>_xlfn.IFNA(VLOOKUP($BK235,Programma!$F$3:$T$1101,15,0),"")</f>
        <v/>
      </c>
      <c r="BZ235" s="448" t="str">
        <f>_xlfn.IFNA(VLOOKUP($BK235,Programma!$F$3:$U$1101,16,0),"")</f>
        <v/>
      </c>
      <c r="CA235" s="448" t="str">
        <f>_xlfn.IFNA(VLOOKUP($BK235,Programma!$F$3:$V$1101,17,0),"")</f>
        <v/>
      </c>
      <c r="CB235" s="448" t="str">
        <f>_xlfn.IFNA(VLOOKUP($BK235,Programma!$F$3:$W$1101,18,0),"")</f>
        <v/>
      </c>
      <c r="CC235" s="448" t="str">
        <f>_xlfn.IFNA(VLOOKUP($BK235,Programma!$F$3:$X$1101,19,0),"")</f>
        <v/>
      </c>
      <c r="CD235" s="448" t="str">
        <f>_xlfn.IFNA(VLOOKUP($BK235,Programma!$F$3:$Y$1101,20,0),"")</f>
        <v/>
      </c>
      <c r="CE235" s="327"/>
      <c r="CF235" s="327"/>
      <c r="CG235" s="327"/>
      <c r="CH235" s="327"/>
      <c r="CI235" s="327"/>
      <c r="CJ235" s="327"/>
      <c r="CK235" s="327"/>
      <c r="CL235" s="327"/>
      <c r="CM235" s="327"/>
      <c r="CN235" s="327"/>
      <c r="CO235" s="327"/>
      <c r="CP235" s="327"/>
      <c r="CQ235" s="327"/>
      <c r="CR235" s="327"/>
      <c r="CS235" s="327"/>
      <c r="CT235" s="327"/>
      <c r="CU235" s="327"/>
      <c r="CV235" s="327"/>
      <c r="CW235" s="327"/>
      <c r="CX235" s="327"/>
      <c r="CY235" s="327"/>
      <c r="CZ235" s="327"/>
      <c r="DA235" s="327"/>
      <c r="DB235" s="327"/>
      <c r="DC235" s="327"/>
      <c r="DD235" s="327"/>
      <c r="DE235" s="327"/>
      <c r="DF235" s="327"/>
      <c r="DG235" s="327"/>
      <c r="DH235" s="327"/>
      <c r="DI235" s="327"/>
      <c r="DJ235" s="327"/>
      <c r="DK235" s="327"/>
      <c r="DL235" s="327"/>
      <c r="DM235" s="327"/>
      <c r="DN235" s="327"/>
      <c r="DO235" s="327"/>
      <c r="DP235" s="327"/>
      <c r="DQ235" s="327"/>
      <c r="DR235" s="327"/>
      <c r="DS235" s="327"/>
      <c r="DT235" s="327"/>
      <c r="DU235" s="327"/>
      <c r="DV235" s="327"/>
      <c r="DW235" s="327"/>
      <c r="DX235" s="327"/>
      <c r="DY235" s="327"/>
      <c r="DZ235" s="327"/>
      <c r="EA235" s="327"/>
      <c r="EB235" s="327"/>
      <c r="EC235" s="327"/>
      <c r="ED235" s="327"/>
      <c r="EE235" s="327"/>
      <c r="EF235" s="327"/>
      <c r="EG235" s="327"/>
      <c r="EH235" s="327"/>
      <c r="EI235" s="327"/>
      <c r="EJ235" s="327"/>
      <c r="EK235" s="327"/>
      <c r="EL235" s="327"/>
      <c r="EM235" s="327"/>
      <c r="EN235" s="327"/>
      <c r="EO235" s="327"/>
      <c r="EP235" s="327"/>
      <c r="EQ235" s="327"/>
      <c r="ER235" s="327"/>
      <c r="ES235" s="327"/>
      <c r="ET235" s="327"/>
      <c r="EU235" s="327"/>
      <c r="EV235" s="327"/>
      <c r="EW235" s="327"/>
      <c r="EX235" s="327"/>
      <c r="EY235" s="327"/>
      <c r="EZ235" s="327"/>
      <c r="FA235" s="327"/>
      <c r="FB235" s="327"/>
      <c r="FC235" s="327"/>
      <c r="FD235" s="327"/>
      <c r="FE235" s="327"/>
      <c r="FF235" s="327"/>
      <c r="FG235" s="327"/>
      <c r="FH235" s="327"/>
      <c r="FI235" s="327"/>
      <c r="FJ235" s="327"/>
      <c r="FK235" s="327"/>
      <c r="FL235" s="327"/>
      <c r="FM235" s="327"/>
      <c r="FN235" s="327"/>
      <c r="FO235" s="327"/>
      <c r="FP235" s="327"/>
      <c r="FQ235" s="327"/>
      <c r="FR235" s="327"/>
      <c r="FS235" s="327"/>
      <c r="FT235" s="327"/>
      <c r="FU235" s="327"/>
      <c r="FV235" s="327"/>
      <c r="FW235" s="327"/>
      <c r="FX235" s="327"/>
      <c r="FY235" s="327"/>
      <c r="FZ235" s="327"/>
      <c r="GA235" s="327"/>
      <c r="GB235" s="327"/>
      <c r="GC235" s="327"/>
      <c r="GD235" s="327"/>
      <c r="GE235" s="327"/>
      <c r="GF235" s="327"/>
      <c r="GG235" s="327"/>
      <c r="GH235" s="327"/>
      <c r="GI235" s="327"/>
      <c r="GJ235" s="327"/>
      <c r="GK235" s="327"/>
      <c r="GL235" s="327"/>
      <c r="GM235" s="327"/>
      <c r="GN235" s="327"/>
      <c r="GO235" s="327"/>
      <c r="GP235" s="327"/>
      <c r="GQ235" s="327"/>
      <c r="GR235" s="327"/>
      <c r="GS235" s="327"/>
      <c r="GT235" s="327"/>
      <c r="GU235" s="327"/>
      <c r="GV235" s="327"/>
      <c r="GW235" s="327"/>
      <c r="GX235" s="327"/>
      <c r="GY235" s="327"/>
      <c r="GZ235" s="327"/>
      <c r="HA235" s="327"/>
      <c r="HB235" s="327"/>
      <c r="HC235" s="327"/>
      <c r="HD235" s="327"/>
      <c r="HE235" s="327"/>
      <c r="HF235" s="327"/>
      <c r="HG235" s="327"/>
      <c r="HH235" s="327"/>
      <c r="HI235" s="327"/>
      <c r="HJ235" s="327"/>
      <c r="HK235" s="327"/>
      <c r="HL235" s="327"/>
      <c r="HM235" s="327"/>
      <c r="HN235" s="327"/>
      <c r="HO235" s="327"/>
      <c r="HP235" s="327"/>
      <c r="HQ235" s="327"/>
      <c r="HR235" s="327"/>
      <c r="HS235" s="327"/>
    </row>
    <row r="236" spans="1:227" ht="15" customHeight="1">
      <c r="A236" s="330">
        <v>9</v>
      </c>
      <c r="B236" s="435" t="str">
        <f>VLOOKUP(Ruimtestaat[[#This Row],[Code]],Locaties[[Code]:[Locatie]],2,FALSE)</f>
        <v>IKC De Vijverburgh</v>
      </c>
      <c r="C236" s="435" t="str">
        <f>VLOOKUP(Ruimtestaat[[#This Row],[Code]],Locaties[[#All],[Code]:[Adres]],4,FALSE)</f>
        <v>Paltelaan 3</v>
      </c>
      <c r="D236" s="435" t="str">
        <f>VLOOKUP(Ruimtestaat[[#This Row],[Code]],Locaties[[#All],[Code]:[Postcode]],5,FALSE)</f>
        <v>2712 RN</v>
      </c>
      <c r="E236" s="435" t="str">
        <f>VLOOKUP(Ruimtestaat[[#This Row],[Code]],Locaties[#All],6,FALSE)</f>
        <v>Zoetermeer</v>
      </c>
      <c r="F236" s="450"/>
      <c r="G236" s="434" t="s">
        <v>1769</v>
      </c>
      <c r="H236" s="330" t="s">
        <v>1813</v>
      </c>
      <c r="I236" s="450" t="s">
        <v>1814</v>
      </c>
      <c r="J236" s="330">
        <v>9</v>
      </c>
      <c r="K236" s="450" t="str">
        <f>VLOOKUP(Ruimtestaat[[#This Row],[Ruimte code]],Ruimtegroepen[[#All],[Code]:[Ruimte omschrijving]],2,FALSE)</f>
        <v>Bibliotheek/OLC</v>
      </c>
      <c r="L236" s="434" t="s">
        <v>100</v>
      </c>
      <c r="M236" s="437" t="s">
        <v>1759</v>
      </c>
      <c r="N236" s="439">
        <v>25</v>
      </c>
      <c r="O236" s="439"/>
      <c r="P236" s="439"/>
      <c r="Q236" s="439"/>
      <c r="R236" s="440" t="str">
        <f>VLOOKUP(Ruimtestaat[[#This Row],[Ruimte code]],Ruimtegroepen[],4,FALSE)</f>
        <v>Le</v>
      </c>
      <c r="S236" s="434">
        <v>40</v>
      </c>
      <c r="T236" s="434" t="s">
        <v>2</v>
      </c>
      <c r="U236" s="434">
        <f>IF(S236&gt;0,IF(RIGHT(Ruimtestaat[[#This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6" s="434">
        <f>IF(U236&gt;0,VLOOKUP($J236,Ruimtegroepen[],3,FALSE)*VLOOKUP($L236,Vloersoorten[],3,FALSE)*VLOOKUP($T236,Frequenties[],3,FALSE)*VLOOKUP($A236,Locaties[],3,FALSE),0)</f>
        <v>0</v>
      </c>
      <c r="W236" s="434">
        <f>Ruimtestaat[[#This Row],[Uitvoeringen werkdagen]]*Ruimtestaat[[#This Row],[Oppervlak (netto)]]</f>
        <v>5000</v>
      </c>
      <c r="X236" s="441">
        <f>IF(V236&gt;0,Ruimtestaat[[#This Row],[Prest. (m2 /jaar) werkdagen]]/Ruimtestaat[[#This Row],[Norm (m2/uur) werkdagen]],0)</f>
        <v>0</v>
      </c>
      <c r="Y236" s="442">
        <f>Ruimtestaat[[#This Row],[Uitvoeringen werkdagen]]*Ruimtestaat[[#This Row],[Gedeeltelijk]]</f>
        <v>0</v>
      </c>
      <c r="Z236" s="443" t="e">
        <f>IF(U236&gt;0,Ruimtestaat[[#This Row],[Prest. (m2 / jaar) werkdagen gedeeld]]/Ruimtestaat[[#This Row],[Norm (m2/uur) werkdagen]],0)</f>
        <v>#DIV/0!</v>
      </c>
      <c r="AA236" s="441" t="e">
        <f>Ruimtestaat[[#This Row],[uren / jaar werkdagen gedeeld]]*Tariefsopbouw!$E$35</f>
        <v>#DIV/0!</v>
      </c>
      <c r="AB236" s="441">
        <f>Ruimtestaat[[#This Row],[Uitvoeringen werkdagen]]*Ruimtestaat[[#This Row],[BSO]]</f>
        <v>0</v>
      </c>
      <c r="AC236" s="443" t="e">
        <f>IF(U236&gt;0,Ruimtestaat[[#This Row],[Prest. (m2 / jaar) werkdagen BSO]]/Ruimtestaat[[#This Row],[Norm (m2/uur) werkdagen]],0)</f>
        <v>#DIV/0!</v>
      </c>
      <c r="AD236" s="443" t="e">
        <f>Ruimtestaat[[#This Row],[uren / jaar werkdagen BSO]]*Tariefsopbouw!$E$35</f>
        <v>#DIV/0!</v>
      </c>
      <c r="AE236" s="444">
        <f>Ruimtestaat[[#This Row],[uren / jaar werkdagen]]*Tariefsopbouw!$E$35</f>
        <v>0</v>
      </c>
      <c r="AF236" s="434"/>
      <c r="AG236" s="434">
        <f>IF(Ruimtestaat[[#This Row],[Frequentie weekend]]&gt;0,VALUE(LEFT(AF236,1))*S236,0)</f>
        <v>0</v>
      </c>
      <c r="AH236" s="445">
        <f>IF($AG236&gt;0,VLOOKUP($J236,Ruimtegroepen[],3,FALSE)*VLOOKUP($L236,Vloersoorten[],3,FALSE)*VLOOKUP($AF236,Frequenties[],3,FALSE)*VLOOKUP(Ruimtestaat[[#This Row],[Code]],Locaties[],3,FALSE),0)</f>
        <v>0</v>
      </c>
      <c r="AI236" s="445">
        <f>Ruimtestaat[[#This Row],[Uitvoeringen weekend]]*Ruimtestaat[[#This Row],[Oppervlak (netto)]]</f>
        <v>0</v>
      </c>
      <c r="AJ236" s="445">
        <f>IF(AH236&gt;0,Ruimtestaat[[#This Row],[Prest. (m2 /jaar) weekend]]/Ruimtestaat[[#This Row],[Norm (m2/uur) weekend]],0)</f>
        <v>0</v>
      </c>
      <c r="AK236" s="444">
        <f>Ruimtestaat[[#This Row],[uren / jaar weekend]]*Tariefsopbouw!$D$40</f>
        <v>0</v>
      </c>
      <c r="AL236" s="441">
        <f>Ruimtestaat[[#This Row],[Prest. (m2 /jaar) weekend]]+Ruimtestaat[[#This Row],[Prest. (m2 /jaar) werkdagen]]</f>
        <v>5000</v>
      </c>
      <c r="AM236" s="441">
        <f>Ruimtestaat[[#This Row],[uren / jaar weekend]]+Ruimtestaat[[#This Row],[uren / jaar werkdagen]]</f>
        <v>0</v>
      </c>
      <c r="AN236" s="446">
        <f>Ruimtestaat[[#This Row],[kosten / jaar weekend]]+Ruimtestaat[[#This Row],[kosten / jaar werkdagen]]</f>
        <v>0</v>
      </c>
      <c r="AO236" s="446"/>
      <c r="AP236" s="447" t="str">
        <f>IF(Ruimtestaat[[#This Row],[Frequentie werkdagen]]="","",_xlfn.CONCAT(Ruimtestaat[[#This Row],[Ruimte code]],"-",Ruimtestaat[[#This Row],[Frequentie werkdagen]]," ",Ruimtestaat[[#This Row],[Vloer code]]))</f>
        <v>9-5w L</v>
      </c>
      <c r="AQ236" s="448" t="str">
        <f>_xlfn.IFNA(VLOOKUP($AP236,Programma!$F$3:$G$1101,2,0),"")</f>
        <v>_</v>
      </c>
      <c r="AR236" s="448" t="str">
        <f>_xlfn.IFNA(VLOOKUP($AP236,Programma!$F$3:$H$1101,3,0),"")</f>
        <v>_</v>
      </c>
      <c r="AS236" s="448" t="str">
        <f>_xlfn.IFNA(VLOOKUP($AP236,Programma!$F$3:$I$1101,4,0),"")</f>
        <v>4w</v>
      </c>
      <c r="AT236" s="448" t="str">
        <f>_xlfn.IFNA(VLOOKUP($AP236,Programma!$F$3:$J$1101,5,0),"")</f>
        <v>1w</v>
      </c>
      <c r="AU236" s="448" t="str">
        <f>_xlfn.IFNA(VLOOKUP($AP236,Programma!$F$3:$K$1101,6,0),"")</f>
        <v>_</v>
      </c>
      <c r="AV236" s="448" t="str">
        <f>_xlfn.IFNA(VLOOKUP($AP236,Programma!$F$3:$L$1101,7,0),"")</f>
        <v>_</v>
      </c>
      <c r="AW236" s="448" t="str">
        <f>_xlfn.IFNA(VLOOKUP($AP236,Programma!$F$3:$M$1101,8,0),"")</f>
        <v>_</v>
      </c>
      <c r="AX236" s="448" t="str">
        <f>_xlfn.IFNA(VLOOKUP($AP236,Programma!$F$3:$N$1101,9,0),"")</f>
        <v>_</v>
      </c>
      <c r="AY236" s="448" t="str">
        <f>_xlfn.IFNA(VLOOKUP($AP236,Programma!$F$3:$O$1101,10,0),"")</f>
        <v>5w</v>
      </c>
      <c r="AZ236" s="448" t="str">
        <f>_xlfn.IFNA(VLOOKUP($AP236,Programma!$F$3:$P$1101,11,0),"")</f>
        <v>5w</v>
      </c>
      <c r="BA236" s="448" t="str">
        <f>_xlfn.IFNA(VLOOKUP($AP236,Programma!$F$3:$Q$1101,12,0),"")</f>
        <v>1w</v>
      </c>
      <c r="BB236" s="448" t="str">
        <f>_xlfn.IFNA(VLOOKUP($AP236,Programma!$F$3:$R$1101,13,0),"")</f>
        <v>1w</v>
      </c>
      <c r="BC236" s="448" t="str">
        <f>_xlfn.IFNA(VLOOKUP($AP236,Programma!$F$3:$S$1101,14,0),"")</f>
        <v>1m</v>
      </c>
      <c r="BD236" s="448" t="str">
        <f>_xlfn.IFNA(VLOOKUP($AP236,Programma!$F$3:$T$1101,15,0),"")</f>
        <v>2j</v>
      </c>
      <c r="BE236" s="448" t="str">
        <f>_xlfn.IFNA(VLOOKUP($AP236,Programma!$F$3:$U$1101,16,0),"")</f>
        <v>1j</v>
      </c>
      <c r="BF236" s="448" t="str">
        <f>_xlfn.IFNA(VLOOKUP($AP236,Programma!$F$3:$V$1101,17,0),"")</f>
        <v>_</v>
      </c>
      <c r="BG236" s="448" t="str">
        <f>_xlfn.IFNA(VLOOKUP($AP236,Programma!$F$3:$W$1101,18,0),"")</f>
        <v>_</v>
      </c>
      <c r="BH236" s="448" t="str">
        <f>_xlfn.IFNA(VLOOKUP($AP236,Programma!$F$3:$X$1101,19,0),"")</f>
        <v>_</v>
      </c>
      <c r="BI236" s="448" t="str">
        <f>_xlfn.IFNA(VLOOKUP($AP236,Programma!$F$3:$Y$1101,20,0),"")</f>
        <v>_</v>
      </c>
      <c r="BJ236" s="449"/>
      <c r="BK236" s="447" t="str">
        <f>IF(Ruimtestaat[[#This Row],[Frequentie weekend]]="","",_xlfn.CONCAT(Ruimtestaat[[#This Row],[Ruimte code]],"-",Ruimtestaat[[#This Row],[Frequentie weekend]]," ",Ruimtestaat[[#This Row],[Vloer code]]))</f>
        <v/>
      </c>
      <c r="BL236" s="448" t="str">
        <f>_xlfn.IFNA(VLOOKUP($BK236,Programma!$F$3:$G$1101,2,0),"")</f>
        <v/>
      </c>
      <c r="BM236" s="448" t="str">
        <f>_xlfn.IFNA(VLOOKUP($BK236,Programma!$F$3:$H$1101,3,0),"")</f>
        <v/>
      </c>
      <c r="BN236" s="448" t="str">
        <f>_xlfn.IFNA(VLOOKUP($BK236,Programma!$F$3:$I$1101,4,0),"")</f>
        <v/>
      </c>
      <c r="BO236" s="448" t="str">
        <f>_xlfn.IFNA(VLOOKUP($BK236,Programma!$F$3:$J$1101,5,0),"")</f>
        <v/>
      </c>
      <c r="BP236" s="448" t="str">
        <f>_xlfn.IFNA(VLOOKUP($BK236,Programma!$F$3:$K$1101,6,0),"")</f>
        <v/>
      </c>
      <c r="BQ236" s="448" t="str">
        <f>_xlfn.IFNA(VLOOKUP($BK236,Programma!$F$3:$L$1101,7,0),"")</f>
        <v/>
      </c>
      <c r="BR236" s="448" t="str">
        <f>_xlfn.IFNA(VLOOKUP($BK236,Programma!$F$3:$M$1101,8,0),"")</f>
        <v/>
      </c>
      <c r="BS236" s="448" t="str">
        <f>_xlfn.IFNA(VLOOKUP($BK236,Programma!$F$3:$N$1101,9,0),"")</f>
        <v/>
      </c>
      <c r="BT236" s="448" t="str">
        <f>_xlfn.IFNA(VLOOKUP($BK236,Programma!$F$3:$O$1101,10,0),"")</f>
        <v/>
      </c>
      <c r="BU236" s="448" t="str">
        <f>_xlfn.IFNA(VLOOKUP($BK236,Programma!$F$3:$P$1101,11,0),"")</f>
        <v/>
      </c>
      <c r="BV236" s="448" t="str">
        <f>_xlfn.IFNA(VLOOKUP($BK236,Programma!$F$3:$Q$1101,12,0),"")</f>
        <v/>
      </c>
      <c r="BW236" s="448" t="str">
        <f>_xlfn.IFNA(VLOOKUP($BK236,Programma!$F$3:$R$1101,13,0),"")</f>
        <v/>
      </c>
      <c r="BX236" s="448" t="str">
        <f>_xlfn.IFNA(VLOOKUP($BK236,Programma!$F$3:$S$1101,14,0),"")</f>
        <v/>
      </c>
      <c r="BY236" s="448" t="str">
        <f>_xlfn.IFNA(VLOOKUP($BK236,Programma!$F$3:$T$1101,15,0),"")</f>
        <v/>
      </c>
      <c r="BZ236" s="448" t="str">
        <f>_xlfn.IFNA(VLOOKUP($BK236,Programma!$F$3:$U$1101,16,0),"")</f>
        <v/>
      </c>
      <c r="CA236" s="448" t="str">
        <f>_xlfn.IFNA(VLOOKUP($BK236,Programma!$F$3:$V$1101,17,0),"")</f>
        <v/>
      </c>
      <c r="CB236" s="448" t="str">
        <f>_xlfn.IFNA(VLOOKUP($BK236,Programma!$F$3:$W$1101,18,0),"")</f>
        <v/>
      </c>
      <c r="CC236" s="448" t="str">
        <f>_xlfn.IFNA(VLOOKUP($BK236,Programma!$F$3:$X$1101,19,0),"")</f>
        <v/>
      </c>
      <c r="CD236" s="448" t="str">
        <f>_xlfn.IFNA(VLOOKUP($BK236,Programma!$F$3:$Y$1101,20,0),"")</f>
        <v/>
      </c>
      <c r="CE236" s="327"/>
      <c r="CF236" s="327"/>
      <c r="CG236" s="327"/>
      <c r="CH236" s="327"/>
      <c r="CI236" s="327"/>
      <c r="CJ236" s="327"/>
      <c r="CK236" s="327"/>
      <c r="CL236" s="327"/>
      <c r="CM236" s="327"/>
      <c r="CN236" s="327"/>
      <c r="CO236" s="327"/>
      <c r="CP236" s="327"/>
      <c r="CQ236" s="327"/>
      <c r="CR236" s="327"/>
      <c r="CS236" s="327"/>
      <c r="CT236" s="327"/>
      <c r="CU236" s="327"/>
      <c r="CV236" s="327"/>
      <c r="CW236" s="327"/>
      <c r="CX236" s="327"/>
      <c r="CY236" s="327"/>
      <c r="CZ236" s="327"/>
      <c r="DA236" s="327"/>
      <c r="DB236" s="327"/>
      <c r="DC236" s="327"/>
      <c r="DD236" s="327"/>
      <c r="DE236" s="327"/>
      <c r="DF236" s="327"/>
      <c r="DG236" s="327"/>
      <c r="DH236" s="327"/>
      <c r="DI236" s="327"/>
      <c r="DJ236" s="327"/>
      <c r="DK236" s="327"/>
      <c r="DL236" s="327"/>
      <c r="DM236" s="327"/>
      <c r="DN236" s="327"/>
      <c r="DO236" s="327"/>
      <c r="DP236" s="327"/>
      <c r="DQ236" s="327"/>
      <c r="DR236" s="327"/>
      <c r="DS236" s="327"/>
      <c r="DT236" s="327"/>
      <c r="DU236" s="327"/>
      <c r="DV236" s="327"/>
      <c r="DW236" s="327"/>
      <c r="DX236" s="327"/>
      <c r="DY236" s="327"/>
      <c r="DZ236" s="327"/>
      <c r="EA236" s="327"/>
      <c r="EB236" s="327"/>
      <c r="EC236" s="327"/>
      <c r="ED236" s="327"/>
      <c r="EE236" s="327"/>
      <c r="EF236" s="327"/>
      <c r="EG236" s="327"/>
      <c r="EH236" s="327"/>
      <c r="EI236" s="327"/>
      <c r="EJ236" s="327"/>
      <c r="EK236" s="327"/>
      <c r="EL236" s="327"/>
      <c r="EM236" s="327"/>
      <c r="EN236" s="327"/>
      <c r="EO236" s="327"/>
      <c r="EP236" s="327"/>
      <c r="EQ236" s="327"/>
      <c r="ER236" s="327"/>
      <c r="ES236" s="327"/>
      <c r="ET236" s="327"/>
      <c r="EU236" s="327"/>
      <c r="EV236" s="327"/>
      <c r="EW236" s="327"/>
      <c r="EX236" s="327"/>
      <c r="EY236" s="327"/>
      <c r="EZ236" s="327"/>
      <c r="FA236" s="327"/>
      <c r="FB236" s="327"/>
      <c r="FC236" s="327"/>
      <c r="FD236" s="327"/>
      <c r="FE236" s="327"/>
      <c r="FF236" s="327"/>
      <c r="FG236" s="327"/>
      <c r="FH236" s="327"/>
      <c r="FI236" s="327"/>
      <c r="FJ236" s="327"/>
      <c r="FK236" s="327"/>
      <c r="FL236" s="327"/>
      <c r="FM236" s="327"/>
      <c r="FN236" s="327"/>
      <c r="FO236" s="327"/>
      <c r="FP236" s="327"/>
      <c r="FQ236" s="327"/>
      <c r="FR236" s="327"/>
      <c r="FS236" s="327"/>
      <c r="FT236" s="327"/>
      <c r="FU236" s="327"/>
      <c r="FV236" s="327"/>
      <c r="FW236" s="327"/>
      <c r="FX236" s="327"/>
      <c r="FY236" s="327"/>
      <c r="FZ236" s="327"/>
      <c r="GA236" s="327"/>
      <c r="GB236" s="327"/>
      <c r="GC236" s="327"/>
      <c r="GD236" s="327"/>
      <c r="GE236" s="327"/>
      <c r="GF236" s="327"/>
      <c r="GG236" s="327"/>
      <c r="GH236" s="327"/>
      <c r="GI236" s="327"/>
      <c r="GJ236" s="327"/>
      <c r="GK236" s="327"/>
      <c r="GL236" s="327"/>
      <c r="GM236" s="327"/>
      <c r="GN236" s="327"/>
      <c r="GO236" s="327"/>
      <c r="GP236" s="327"/>
      <c r="GQ236" s="327"/>
      <c r="GR236" s="327"/>
      <c r="GS236" s="327"/>
      <c r="GT236" s="327"/>
      <c r="GU236" s="327"/>
      <c r="GV236" s="327"/>
      <c r="GW236" s="327"/>
      <c r="GX236" s="327"/>
      <c r="GY236" s="327"/>
      <c r="GZ236" s="327"/>
      <c r="HA236" s="327"/>
      <c r="HB236" s="327"/>
      <c r="HC236" s="327"/>
      <c r="HD236" s="327"/>
      <c r="HE236" s="327"/>
      <c r="HF236" s="327"/>
      <c r="HG236" s="327"/>
      <c r="HH236" s="327"/>
      <c r="HI236" s="327"/>
      <c r="HJ236" s="327"/>
      <c r="HK236" s="327"/>
      <c r="HL236" s="327"/>
      <c r="HM236" s="327"/>
      <c r="HN236" s="327"/>
      <c r="HO236" s="327"/>
      <c r="HP236" s="327"/>
      <c r="HQ236" s="327"/>
      <c r="HR236" s="327"/>
      <c r="HS236" s="327"/>
    </row>
    <row r="237" spans="1:227" ht="15" customHeight="1">
      <c r="A237" s="330">
        <v>9</v>
      </c>
      <c r="B237" s="435" t="str">
        <f>VLOOKUP(Ruimtestaat[[#This Row],[Code]],Locaties[[Code]:[Locatie]],2,FALSE)</f>
        <v>IKC De Vijverburgh</v>
      </c>
      <c r="C237" s="435" t="str">
        <f>VLOOKUP(Ruimtestaat[[#This Row],[Code]],Locaties[[#All],[Code]:[Adres]],4,FALSE)</f>
        <v>Paltelaan 3</v>
      </c>
      <c r="D237" s="435" t="str">
        <f>VLOOKUP(Ruimtestaat[[#This Row],[Code]],Locaties[[#All],[Code]:[Postcode]],5,FALSE)</f>
        <v>2712 RN</v>
      </c>
      <c r="E237" s="435" t="str">
        <f>VLOOKUP(Ruimtestaat[[#This Row],[Code]],Locaties[#All],6,FALSE)</f>
        <v>Zoetermeer</v>
      </c>
      <c r="F237" s="450"/>
      <c r="G237" s="434" t="s">
        <v>1769</v>
      </c>
      <c r="H237" s="330" t="s">
        <v>1815</v>
      </c>
      <c r="I237" s="450" t="s">
        <v>1803</v>
      </c>
      <c r="J237" s="330">
        <v>1</v>
      </c>
      <c r="K237" s="450" t="str">
        <f>VLOOKUP(Ruimtestaat[[#This Row],[Ruimte code]],Ruimtegroepen[[#All],[Code]:[Ruimte omschrijving]],2,FALSE)</f>
        <v>Magazijnen/bergingen</v>
      </c>
      <c r="L237" s="434" t="s">
        <v>100</v>
      </c>
      <c r="M237" s="437" t="s">
        <v>1759</v>
      </c>
      <c r="N237" s="439">
        <v>11</v>
      </c>
      <c r="O237" s="439"/>
      <c r="P237" s="439"/>
      <c r="Q237" s="439"/>
      <c r="R237" s="440" t="str">
        <f>VLOOKUP(Ruimtestaat[[#This Row],[Ruimte code]],Ruimtegroepen[],4,FALSE)</f>
        <v>Ve</v>
      </c>
      <c r="S237" s="434">
        <v>40</v>
      </c>
      <c r="T237" s="434" t="s">
        <v>2</v>
      </c>
      <c r="U237" s="434">
        <f>IF(S237&gt;0,IF(RIGHT(Ruimtestaat[[#This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7" s="434">
        <f>IF(U237&gt;0,VLOOKUP($J237,Ruimtegroepen[],3,FALSE)*VLOOKUP($L237,Vloersoorten[],3,FALSE)*VLOOKUP($T237,Frequenties[],3,FALSE)*VLOOKUP($A237,Locaties[],3,FALSE),0)</f>
        <v>0</v>
      </c>
      <c r="W237" s="434">
        <f>Ruimtestaat[[#This Row],[Uitvoeringen werkdagen]]*Ruimtestaat[[#This Row],[Oppervlak (netto)]]</f>
        <v>2200</v>
      </c>
      <c r="X237" s="441">
        <f>IF(V237&gt;0,Ruimtestaat[[#This Row],[Prest. (m2 /jaar) werkdagen]]/Ruimtestaat[[#This Row],[Norm (m2/uur) werkdagen]],0)</f>
        <v>0</v>
      </c>
      <c r="Y237" s="442">
        <f>Ruimtestaat[[#This Row],[Uitvoeringen werkdagen]]*Ruimtestaat[[#This Row],[Gedeeltelijk]]</f>
        <v>0</v>
      </c>
      <c r="Z237" s="443" t="e">
        <f>IF(U237&gt;0,Ruimtestaat[[#This Row],[Prest. (m2 / jaar) werkdagen gedeeld]]/Ruimtestaat[[#This Row],[Norm (m2/uur) werkdagen]],0)</f>
        <v>#DIV/0!</v>
      </c>
      <c r="AA237" s="441" t="e">
        <f>Ruimtestaat[[#This Row],[uren / jaar werkdagen gedeeld]]*Tariefsopbouw!$E$35</f>
        <v>#DIV/0!</v>
      </c>
      <c r="AB237" s="441">
        <f>Ruimtestaat[[#This Row],[Uitvoeringen werkdagen]]*Ruimtestaat[[#This Row],[BSO]]</f>
        <v>0</v>
      </c>
      <c r="AC237" s="443" t="e">
        <f>IF(U237&gt;0,Ruimtestaat[[#This Row],[Prest. (m2 / jaar) werkdagen BSO]]/Ruimtestaat[[#This Row],[Norm (m2/uur) werkdagen]],0)</f>
        <v>#DIV/0!</v>
      </c>
      <c r="AD237" s="443" t="e">
        <f>Ruimtestaat[[#This Row],[uren / jaar werkdagen BSO]]*Tariefsopbouw!$E$35</f>
        <v>#DIV/0!</v>
      </c>
      <c r="AE237" s="444">
        <f>Ruimtestaat[[#This Row],[uren / jaar werkdagen]]*Tariefsopbouw!$E$35</f>
        <v>0</v>
      </c>
      <c r="AF237" s="434"/>
      <c r="AG237" s="434">
        <f>IF(Ruimtestaat[[#This Row],[Frequentie weekend]]&gt;0,VALUE(LEFT(AF237,1))*S237,0)</f>
        <v>0</v>
      </c>
      <c r="AH237" s="445">
        <f>IF($AG237&gt;0,VLOOKUP($J237,Ruimtegroepen[],3,FALSE)*VLOOKUP($L237,Vloersoorten[],3,FALSE)*VLOOKUP($AF237,Frequenties[],3,FALSE)*VLOOKUP(Ruimtestaat[[#This Row],[Code]],Locaties[],3,FALSE),0)</f>
        <v>0</v>
      </c>
      <c r="AI237" s="445">
        <f>Ruimtestaat[[#This Row],[Uitvoeringen weekend]]*Ruimtestaat[[#This Row],[Oppervlak (netto)]]</f>
        <v>0</v>
      </c>
      <c r="AJ237" s="445">
        <f>IF(AH237&gt;0,Ruimtestaat[[#This Row],[Prest. (m2 /jaar) weekend]]/Ruimtestaat[[#This Row],[Norm (m2/uur) weekend]],0)</f>
        <v>0</v>
      </c>
      <c r="AK237" s="444">
        <f>Ruimtestaat[[#This Row],[uren / jaar weekend]]*Tariefsopbouw!$D$40</f>
        <v>0</v>
      </c>
      <c r="AL237" s="441">
        <f>Ruimtestaat[[#This Row],[Prest. (m2 /jaar) weekend]]+Ruimtestaat[[#This Row],[Prest. (m2 /jaar) werkdagen]]</f>
        <v>2200</v>
      </c>
      <c r="AM237" s="441">
        <f>Ruimtestaat[[#This Row],[uren / jaar weekend]]+Ruimtestaat[[#This Row],[uren / jaar werkdagen]]</f>
        <v>0</v>
      </c>
      <c r="AN237" s="446">
        <f>Ruimtestaat[[#This Row],[kosten / jaar weekend]]+Ruimtestaat[[#This Row],[kosten / jaar werkdagen]]</f>
        <v>0</v>
      </c>
      <c r="AO237" s="446"/>
      <c r="AP237" s="447" t="str">
        <f>IF(Ruimtestaat[[#This Row],[Frequentie werkdagen]]="","",_xlfn.CONCAT(Ruimtestaat[[#This Row],[Ruimte code]],"-",Ruimtestaat[[#This Row],[Frequentie werkdagen]]," ",Ruimtestaat[[#This Row],[Vloer code]]))</f>
        <v>1-5w L</v>
      </c>
      <c r="AQ237" s="448" t="str">
        <f>_xlfn.IFNA(VLOOKUP($AP237,Programma!$F$3:$G$1101,2,0),"")</f>
        <v>_</v>
      </c>
      <c r="AR237" s="448" t="str">
        <f>_xlfn.IFNA(VLOOKUP($AP237,Programma!$F$3:$H$1101,3,0),"")</f>
        <v>_</v>
      </c>
      <c r="AS237" s="448" t="str">
        <f>_xlfn.IFNA(VLOOKUP($AP237,Programma!$F$3:$I$1101,4,0),"")</f>
        <v>4w</v>
      </c>
      <c r="AT237" s="448" t="str">
        <f>_xlfn.IFNA(VLOOKUP($AP237,Programma!$F$3:$J$1101,5,0),"")</f>
        <v>1w</v>
      </c>
      <c r="AU237" s="448" t="str">
        <f>_xlfn.IFNA(VLOOKUP($AP237,Programma!$F$3:$K$1101,6,0),"")</f>
        <v>_</v>
      </c>
      <c r="AV237" s="448" t="str">
        <f>_xlfn.IFNA(VLOOKUP($AP237,Programma!$F$3:$L$1101,7,0),"")</f>
        <v>_</v>
      </c>
      <c r="AW237" s="448" t="str">
        <f>_xlfn.IFNA(VLOOKUP($AP237,Programma!$F$3:$M$1101,8,0),"")</f>
        <v>_</v>
      </c>
      <c r="AX237" s="448" t="str">
        <f>_xlfn.IFNA(VLOOKUP($AP237,Programma!$F$3:$N$1101,9,0),"")</f>
        <v>_</v>
      </c>
      <c r="AY237" s="448" t="str">
        <f>_xlfn.IFNA(VLOOKUP($AP237,Programma!$F$3:$O$1101,10,0),"")</f>
        <v>_</v>
      </c>
      <c r="AZ237" s="448" t="str">
        <f>_xlfn.IFNA(VLOOKUP($AP237,Programma!$F$3:$P$1101,11,0),"")</f>
        <v>_</v>
      </c>
      <c r="BA237" s="448" t="str">
        <f>_xlfn.IFNA(VLOOKUP($AP237,Programma!$F$3:$Q$1101,12,0),"")</f>
        <v>_</v>
      </c>
      <c r="BB237" s="448" t="str">
        <f>_xlfn.IFNA(VLOOKUP($AP237,Programma!$F$3:$R$1101,13,0),"")</f>
        <v>_</v>
      </c>
      <c r="BC237" s="448" t="str">
        <f>_xlfn.IFNA(VLOOKUP($AP237,Programma!$F$3:$S$1101,14,0),"")</f>
        <v>5w</v>
      </c>
      <c r="BD237" s="448" t="str">
        <f>_xlfn.IFNA(VLOOKUP($AP237,Programma!$F$3:$T$1101,15,0),"")</f>
        <v>4j</v>
      </c>
      <c r="BE237" s="448" t="str">
        <f>_xlfn.IFNA(VLOOKUP($AP237,Programma!$F$3:$U$1101,16,0),"")</f>
        <v>4j</v>
      </c>
      <c r="BF237" s="448" t="str">
        <f>_xlfn.IFNA(VLOOKUP($AP237,Programma!$F$3:$V$1101,17,0),"")</f>
        <v>_</v>
      </c>
      <c r="BG237" s="448" t="str">
        <f>_xlfn.IFNA(VLOOKUP($AP237,Programma!$F$3:$W$1101,18,0),"")</f>
        <v>_</v>
      </c>
      <c r="BH237" s="448" t="str">
        <f>_xlfn.IFNA(VLOOKUP($AP237,Programma!$F$3:$X$1101,19,0),"")</f>
        <v>_</v>
      </c>
      <c r="BI237" s="448" t="str">
        <f>_xlfn.IFNA(VLOOKUP($AP237,Programma!$F$3:$Y$1101,20,0),"")</f>
        <v>_</v>
      </c>
      <c r="BJ237" s="449"/>
      <c r="BK237" s="447" t="str">
        <f>IF(Ruimtestaat[[#This Row],[Frequentie weekend]]="","",_xlfn.CONCAT(Ruimtestaat[[#This Row],[Ruimte code]],"-",Ruimtestaat[[#This Row],[Frequentie weekend]]," ",Ruimtestaat[[#This Row],[Vloer code]]))</f>
        <v/>
      </c>
      <c r="BL237" s="448" t="str">
        <f>_xlfn.IFNA(VLOOKUP($BK237,Programma!$F$3:$G$1101,2,0),"")</f>
        <v/>
      </c>
      <c r="BM237" s="448" t="str">
        <f>_xlfn.IFNA(VLOOKUP($BK237,Programma!$F$3:$H$1101,3,0),"")</f>
        <v/>
      </c>
      <c r="BN237" s="448" t="str">
        <f>_xlfn.IFNA(VLOOKUP($BK237,Programma!$F$3:$I$1101,4,0),"")</f>
        <v/>
      </c>
      <c r="BO237" s="448" t="str">
        <f>_xlfn.IFNA(VLOOKUP($BK237,Programma!$F$3:$J$1101,5,0),"")</f>
        <v/>
      </c>
      <c r="BP237" s="448" t="str">
        <f>_xlfn.IFNA(VLOOKUP($BK237,Programma!$F$3:$K$1101,6,0),"")</f>
        <v/>
      </c>
      <c r="BQ237" s="448" t="str">
        <f>_xlfn.IFNA(VLOOKUP($BK237,Programma!$F$3:$L$1101,7,0),"")</f>
        <v/>
      </c>
      <c r="BR237" s="448" t="str">
        <f>_xlfn.IFNA(VLOOKUP($BK237,Programma!$F$3:$M$1101,8,0),"")</f>
        <v/>
      </c>
      <c r="BS237" s="448" t="str">
        <f>_xlfn.IFNA(VLOOKUP($BK237,Programma!$F$3:$N$1101,9,0),"")</f>
        <v/>
      </c>
      <c r="BT237" s="448" t="str">
        <f>_xlfn.IFNA(VLOOKUP($BK237,Programma!$F$3:$O$1101,10,0),"")</f>
        <v/>
      </c>
      <c r="BU237" s="448" t="str">
        <f>_xlfn.IFNA(VLOOKUP($BK237,Programma!$F$3:$P$1101,11,0),"")</f>
        <v/>
      </c>
      <c r="BV237" s="448" t="str">
        <f>_xlfn.IFNA(VLOOKUP($BK237,Programma!$F$3:$Q$1101,12,0),"")</f>
        <v/>
      </c>
      <c r="BW237" s="448" t="str">
        <f>_xlfn.IFNA(VLOOKUP($BK237,Programma!$F$3:$R$1101,13,0),"")</f>
        <v/>
      </c>
      <c r="BX237" s="448" t="str">
        <f>_xlfn.IFNA(VLOOKUP($BK237,Programma!$F$3:$S$1101,14,0),"")</f>
        <v/>
      </c>
      <c r="BY237" s="448" t="str">
        <f>_xlfn.IFNA(VLOOKUP($BK237,Programma!$F$3:$T$1101,15,0),"")</f>
        <v/>
      </c>
      <c r="BZ237" s="448" t="str">
        <f>_xlfn.IFNA(VLOOKUP($BK237,Programma!$F$3:$U$1101,16,0),"")</f>
        <v/>
      </c>
      <c r="CA237" s="448" t="str">
        <f>_xlfn.IFNA(VLOOKUP($BK237,Programma!$F$3:$V$1101,17,0),"")</f>
        <v/>
      </c>
      <c r="CB237" s="448" t="str">
        <f>_xlfn.IFNA(VLOOKUP($BK237,Programma!$F$3:$W$1101,18,0),"")</f>
        <v/>
      </c>
      <c r="CC237" s="448" t="str">
        <f>_xlfn.IFNA(VLOOKUP($BK237,Programma!$F$3:$X$1101,19,0),"")</f>
        <v/>
      </c>
      <c r="CD237" s="448" t="str">
        <f>_xlfn.IFNA(VLOOKUP($BK237,Programma!$F$3:$Y$1101,20,0),"")</f>
        <v/>
      </c>
      <c r="CE237" s="327"/>
      <c r="CF237" s="327"/>
      <c r="CG237" s="327"/>
      <c r="CH237" s="327"/>
      <c r="CI237" s="327"/>
      <c r="CJ237" s="327"/>
      <c r="CK237" s="327"/>
      <c r="CL237" s="327"/>
      <c r="CM237" s="327"/>
      <c r="CN237" s="327"/>
      <c r="CO237" s="327"/>
      <c r="CP237" s="327"/>
      <c r="CQ237" s="327"/>
      <c r="CR237" s="327"/>
      <c r="CS237" s="327"/>
      <c r="CT237" s="327"/>
      <c r="CU237" s="327"/>
      <c r="CV237" s="327"/>
      <c r="CW237" s="327"/>
      <c r="CX237" s="327"/>
      <c r="CY237" s="327"/>
      <c r="CZ237" s="327"/>
      <c r="DA237" s="327"/>
      <c r="DB237" s="327"/>
      <c r="DC237" s="327"/>
      <c r="DD237" s="327"/>
      <c r="DE237" s="327"/>
      <c r="DF237" s="327"/>
      <c r="DG237" s="327"/>
      <c r="DH237" s="327"/>
      <c r="DI237" s="327"/>
      <c r="DJ237" s="327"/>
      <c r="DK237" s="327"/>
      <c r="DL237" s="327"/>
      <c r="DM237" s="327"/>
      <c r="DN237" s="327"/>
      <c r="DO237" s="327"/>
      <c r="DP237" s="327"/>
      <c r="DQ237" s="327"/>
      <c r="DR237" s="327"/>
      <c r="DS237" s="327"/>
      <c r="DT237" s="327"/>
      <c r="DU237" s="327"/>
      <c r="DV237" s="327"/>
      <c r="DW237" s="327"/>
      <c r="DX237" s="327"/>
      <c r="DY237" s="327"/>
      <c r="DZ237" s="327"/>
      <c r="EA237" s="327"/>
      <c r="EB237" s="327"/>
      <c r="EC237" s="327"/>
      <c r="ED237" s="327"/>
      <c r="EE237" s="327"/>
      <c r="EF237" s="327"/>
      <c r="EG237" s="327"/>
      <c r="EH237" s="327"/>
      <c r="EI237" s="327"/>
      <c r="EJ237" s="327"/>
      <c r="EK237" s="327"/>
      <c r="EL237" s="327"/>
      <c r="EM237" s="327"/>
      <c r="EN237" s="327"/>
      <c r="EO237" s="327"/>
      <c r="EP237" s="327"/>
      <c r="EQ237" s="327"/>
      <c r="ER237" s="327"/>
      <c r="ES237" s="327"/>
      <c r="ET237" s="327"/>
      <c r="EU237" s="327"/>
      <c r="EV237" s="327"/>
      <c r="EW237" s="327"/>
      <c r="EX237" s="327"/>
      <c r="EY237" s="327"/>
      <c r="EZ237" s="327"/>
      <c r="FA237" s="327"/>
      <c r="FB237" s="327"/>
      <c r="FC237" s="327"/>
      <c r="FD237" s="327"/>
      <c r="FE237" s="327"/>
      <c r="FF237" s="327"/>
      <c r="FG237" s="327"/>
      <c r="FH237" s="327"/>
      <c r="FI237" s="327"/>
      <c r="FJ237" s="327"/>
      <c r="FK237" s="327"/>
      <c r="FL237" s="327"/>
      <c r="FM237" s="327"/>
      <c r="FN237" s="327"/>
      <c r="FO237" s="327"/>
      <c r="FP237" s="327"/>
      <c r="FQ237" s="327"/>
      <c r="FR237" s="327"/>
      <c r="FS237" s="327"/>
      <c r="FT237" s="327"/>
      <c r="FU237" s="327"/>
      <c r="FV237" s="327"/>
      <c r="FW237" s="327"/>
      <c r="FX237" s="327"/>
      <c r="FY237" s="327"/>
      <c r="FZ237" s="327"/>
      <c r="GA237" s="327"/>
      <c r="GB237" s="327"/>
      <c r="GC237" s="327"/>
      <c r="GD237" s="327"/>
      <c r="GE237" s="327"/>
      <c r="GF237" s="327"/>
      <c r="GG237" s="327"/>
      <c r="GH237" s="327"/>
      <c r="GI237" s="327"/>
      <c r="GJ237" s="327"/>
      <c r="GK237" s="327"/>
      <c r="GL237" s="327"/>
      <c r="GM237" s="327"/>
      <c r="GN237" s="327"/>
      <c r="GO237" s="327"/>
      <c r="GP237" s="327"/>
      <c r="GQ237" s="327"/>
      <c r="GR237" s="327"/>
      <c r="GS237" s="327"/>
      <c r="GT237" s="327"/>
      <c r="GU237" s="327"/>
      <c r="GV237" s="327"/>
      <c r="GW237" s="327"/>
      <c r="GX237" s="327"/>
      <c r="GY237" s="327"/>
      <c r="GZ237" s="327"/>
      <c r="HA237" s="327"/>
      <c r="HB237" s="327"/>
      <c r="HC237" s="327"/>
      <c r="HD237" s="327"/>
      <c r="HE237" s="327"/>
      <c r="HF237" s="327"/>
      <c r="HG237" s="327"/>
      <c r="HH237" s="327"/>
      <c r="HI237" s="327"/>
      <c r="HJ237" s="327"/>
      <c r="HK237" s="327"/>
      <c r="HL237" s="327"/>
      <c r="HM237" s="327"/>
      <c r="HN237" s="327"/>
      <c r="HO237" s="327"/>
      <c r="HP237" s="327"/>
      <c r="HQ237" s="327"/>
      <c r="HR237" s="327"/>
      <c r="HS237" s="327"/>
    </row>
    <row r="238" spans="1:227" ht="15" customHeight="1">
      <c r="A238" s="330">
        <v>10</v>
      </c>
      <c r="B238" s="435" t="str">
        <f>VLOOKUP(Ruimtestaat[[#This Row],[Code]],Locaties[[Code]:[Locatie]],2,FALSE)</f>
        <v xml:space="preserve">IKC De Edelsteen </v>
      </c>
      <c r="C238" s="435" t="str">
        <f>VLOOKUP(Ruimtestaat[[#This Row],[Code]],Locaties[[#All],[Code]:[Adres]],4,FALSE)</f>
        <v>Sieraadlaan 100-102</v>
      </c>
      <c r="D238" s="435" t="str">
        <f>VLOOKUP(Ruimtestaat[[#This Row],[Code]],Locaties[[#All],[Code]:[Postcode]],5,FALSE)</f>
        <v>2719 SN</v>
      </c>
      <c r="E238" s="435" t="str">
        <f>VLOOKUP(Ruimtestaat[[#This Row],[Code]],Locaties[#All],6,FALSE)</f>
        <v>Zoetermeer</v>
      </c>
      <c r="F238" s="450"/>
      <c r="G238" s="330" t="s">
        <v>1678</v>
      </c>
      <c r="H238" s="330" t="s">
        <v>1662</v>
      </c>
      <c r="I238" s="450" t="s">
        <v>1679</v>
      </c>
      <c r="J238" s="330">
        <v>16</v>
      </c>
      <c r="K238" s="450" t="str">
        <f>VLOOKUP(Ruimtestaat[[#This Row],[Ruimte code]],Ruimtegroepen[[#All],[Code]:[Ruimte omschrijving]],2,FALSE)</f>
        <v>Leslokalen</v>
      </c>
      <c r="L238" s="434" t="s">
        <v>100</v>
      </c>
      <c r="M238" s="437" t="s">
        <v>1759</v>
      </c>
      <c r="N238" s="439">
        <v>55</v>
      </c>
      <c r="O238" s="439"/>
      <c r="P238" s="439"/>
      <c r="Q238" s="439"/>
      <c r="R238" s="440" t="str">
        <f>VLOOKUP(Ruimtestaat[[#This Row],[Ruimte code]],Ruimtegroepen[],4,FALSE)</f>
        <v>Le</v>
      </c>
      <c r="S238" s="434">
        <v>40</v>
      </c>
      <c r="T238" s="434" t="s">
        <v>2</v>
      </c>
      <c r="U238" s="434">
        <f>IF(S238&gt;0,IF(RIGHT(Ruimtestaat[[#This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8" s="434">
        <f>IF(U238&gt;0,VLOOKUP($J238,Ruimtegroepen[],3,FALSE)*VLOOKUP($L238,Vloersoorten[],3,FALSE)*VLOOKUP($T238,Frequenties[],3,FALSE)*VLOOKUP($A238,Locaties[],3,FALSE),0)</f>
        <v>0</v>
      </c>
      <c r="W238" s="434">
        <f>Ruimtestaat[[#This Row],[Uitvoeringen werkdagen]]*Ruimtestaat[[#This Row],[Oppervlak (netto)]]</f>
        <v>11000</v>
      </c>
      <c r="X238" s="441">
        <f>IF(V238&gt;0,Ruimtestaat[[#This Row],[Prest. (m2 /jaar) werkdagen]]/Ruimtestaat[[#This Row],[Norm (m2/uur) werkdagen]],0)</f>
        <v>0</v>
      </c>
      <c r="Y238" s="442">
        <f>Ruimtestaat[[#This Row],[Uitvoeringen werkdagen]]*Ruimtestaat[[#This Row],[Gedeeltelijk]]</f>
        <v>0</v>
      </c>
      <c r="Z238" s="443" t="e">
        <f>IF(U238&gt;0,Ruimtestaat[[#This Row],[Prest. (m2 / jaar) werkdagen gedeeld]]/Ruimtestaat[[#This Row],[Norm (m2/uur) werkdagen]],0)</f>
        <v>#DIV/0!</v>
      </c>
      <c r="AA238" s="441" t="e">
        <f>Ruimtestaat[[#This Row],[uren / jaar werkdagen gedeeld]]*Tariefsopbouw!$E$35</f>
        <v>#DIV/0!</v>
      </c>
      <c r="AB238" s="441">
        <f>Ruimtestaat[[#This Row],[Uitvoeringen werkdagen]]*Ruimtestaat[[#This Row],[BSO]]</f>
        <v>0</v>
      </c>
      <c r="AC238" s="443" t="e">
        <f>IF(U238&gt;0,Ruimtestaat[[#This Row],[Prest. (m2 / jaar) werkdagen BSO]]/Ruimtestaat[[#This Row],[Norm (m2/uur) werkdagen]],0)</f>
        <v>#DIV/0!</v>
      </c>
      <c r="AD238" s="443" t="e">
        <f>Ruimtestaat[[#This Row],[uren / jaar werkdagen BSO]]*Tariefsopbouw!$E$35</f>
        <v>#DIV/0!</v>
      </c>
      <c r="AE238" s="444">
        <f>Ruimtestaat[[#This Row],[uren / jaar werkdagen]]*Tariefsopbouw!$E$35</f>
        <v>0</v>
      </c>
      <c r="AF238" s="434"/>
      <c r="AG238" s="434">
        <f>IF(Ruimtestaat[[#This Row],[Frequentie weekend]]&gt;0,VALUE(LEFT(AF238,1))*S238,0)</f>
        <v>0</v>
      </c>
      <c r="AH238" s="445">
        <f>IF($AG238&gt;0,VLOOKUP($J238,Ruimtegroepen[],3,FALSE)*VLOOKUP($L238,Vloersoorten[],3,FALSE)*VLOOKUP($AF238,Frequenties[],3,FALSE)*VLOOKUP(Ruimtestaat[[#This Row],[Code]],Locaties[],3,FALSE),0)</f>
        <v>0</v>
      </c>
      <c r="AI238" s="445">
        <f>Ruimtestaat[[#This Row],[Uitvoeringen weekend]]*Ruimtestaat[[#This Row],[Oppervlak (netto)]]</f>
        <v>0</v>
      </c>
      <c r="AJ238" s="445">
        <f>IF(AH238&gt;0,Ruimtestaat[[#This Row],[Prest. (m2 /jaar) weekend]]/Ruimtestaat[[#This Row],[Norm (m2/uur) weekend]],0)</f>
        <v>0</v>
      </c>
      <c r="AK238" s="444">
        <f>Ruimtestaat[[#This Row],[uren / jaar weekend]]*Tariefsopbouw!$D$40</f>
        <v>0</v>
      </c>
      <c r="AL238" s="441">
        <f>Ruimtestaat[[#This Row],[Prest. (m2 /jaar) weekend]]+Ruimtestaat[[#This Row],[Prest. (m2 /jaar) werkdagen]]</f>
        <v>11000</v>
      </c>
      <c r="AM238" s="441">
        <f>Ruimtestaat[[#This Row],[uren / jaar weekend]]+Ruimtestaat[[#This Row],[uren / jaar werkdagen]]</f>
        <v>0</v>
      </c>
      <c r="AN238" s="446">
        <f>Ruimtestaat[[#This Row],[kosten / jaar weekend]]+Ruimtestaat[[#This Row],[kosten / jaar werkdagen]]</f>
        <v>0</v>
      </c>
      <c r="AO238" s="446"/>
      <c r="AP238" s="447" t="str">
        <f>IF(Ruimtestaat[[#This Row],[Frequentie werkdagen]]="","",_xlfn.CONCAT(Ruimtestaat[[#This Row],[Ruimte code]],"-",Ruimtestaat[[#This Row],[Frequentie werkdagen]]," ",Ruimtestaat[[#This Row],[Vloer code]]))</f>
        <v>16-5w L</v>
      </c>
      <c r="AQ238" s="448" t="str">
        <f>_xlfn.IFNA(VLOOKUP($AP238,Programma!$F$3:$G$1101,2,0),"")</f>
        <v>_</v>
      </c>
      <c r="AR238" s="448" t="str">
        <f>_xlfn.IFNA(VLOOKUP($AP238,Programma!$F$3:$H$1101,3,0),"")</f>
        <v>_</v>
      </c>
      <c r="AS238" s="448" t="str">
        <f>_xlfn.IFNA(VLOOKUP($AP238,Programma!$F$3:$I$1101,4,0),"")</f>
        <v>4w</v>
      </c>
      <c r="AT238" s="448" t="str">
        <f>_xlfn.IFNA(VLOOKUP($AP238,Programma!$F$3:$J$1101,5,0),"")</f>
        <v>1w</v>
      </c>
      <c r="AU238" s="448" t="str">
        <f>_xlfn.IFNA(VLOOKUP($AP238,Programma!$F$3:$K$1101,6,0),"")</f>
        <v>_</v>
      </c>
      <c r="AV238" s="448" t="str">
        <f>_xlfn.IFNA(VLOOKUP($AP238,Programma!$F$3:$L$1101,7,0),"")</f>
        <v>_</v>
      </c>
      <c r="AW238" s="448" t="str">
        <f>_xlfn.IFNA(VLOOKUP($AP238,Programma!$F$3:$M$1101,8,0),"")</f>
        <v>_</v>
      </c>
      <c r="AX238" s="448" t="str">
        <f>_xlfn.IFNA(VLOOKUP($AP238,Programma!$F$3:$N$1101,9,0),"")</f>
        <v>_</v>
      </c>
      <c r="AY238" s="448" t="str">
        <f>_xlfn.IFNA(VLOOKUP($AP238,Programma!$F$3:$O$1101,10,0),"")</f>
        <v>5w</v>
      </c>
      <c r="AZ238" s="448" t="str">
        <f>_xlfn.IFNA(VLOOKUP($AP238,Programma!$F$3:$P$1101,11,0),"")</f>
        <v>5w</v>
      </c>
      <c r="BA238" s="448" t="str">
        <f>_xlfn.IFNA(VLOOKUP($AP238,Programma!$F$3:$Q$1101,12,0),"")</f>
        <v>1w</v>
      </c>
      <c r="BB238" s="448" t="str">
        <f>_xlfn.IFNA(VLOOKUP($AP238,Programma!$F$3:$R$1101,13,0),"")</f>
        <v>1w</v>
      </c>
      <c r="BC238" s="448" t="str">
        <f>_xlfn.IFNA(VLOOKUP($AP238,Programma!$F$3:$S$1101,14,0),"")</f>
        <v>1m</v>
      </c>
      <c r="BD238" s="448" t="str">
        <f>_xlfn.IFNA(VLOOKUP($AP238,Programma!$F$3:$T$1101,15,0),"")</f>
        <v>2j</v>
      </c>
      <c r="BE238" s="448" t="str">
        <f>_xlfn.IFNA(VLOOKUP($AP238,Programma!$F$3:$U$1101,16,0),"")</f>
        <v>1j</v>
      </c>
      <c r="BF238" s="448" t="str">
        <f>_xlfn.IFNA(VLOOKUP($AP238,Programma!$F$3:$V$1101,17,0),"")</f>
        <v>_</v>
      </c>
      <c r="BG238" s="448" t="str">
        <f>_xlfn.IFNA(VLOOKUP($AP238,Programma!$F$3:$W$1101,18,0),"")</f>
        <v>_</v>
      </c>
      <c r="BH238" s="448" t="str">
        <f>_xlfn.IFNA(VLOOKUP($AP238,Programma!$F$3:$X$1101,19,0),"")</f>
        <v>_</v>
      </c>
      <c r="BI238" s="448" t="str">
        <f>_xlfn.IFNA(VLOOKUP($AP238,Programma!$F$3:$Y$1101,20,0),"")</f>
        <v>_</v>
      </c>
      <c r="BJ238" s="449"/>
      <c r="BK238" s="447" t="str">
        <f>IF(Ruimtestaat[[#This Row],[Frequentie weekend]]="","",_xlfn.CONCAT(Ruimtestaat[[#This Row],[Ruimte code]],"-",Ruimtestaat[[#This Row],[Frequentie weekend]]," ",Ruimtestaat[[#This Row],[Vloer code]]))</f>
        <v/>
      </c>
      <c r="BL238" s="448" t="str">
        <f>_xlfn.IFNA(VLOOKUP($BK238,Programma!$F$3:$G$1101,2,0),"")</f>
        <v/>
      </c>
      <c r="BM238" s="448" t="str">
        <f>_xlfn.IFNA(VLOOKUP($BK238,Programma!$F$3:$H$1101,3,0),"")</f>
        <v/>
      </c>
      <c r="BN238" s="448" t="str">
        <f>_xlfn.IFNA(VLOOKUP($BK238,Programma!$F$3:$I$1101,4,0),"")</f>
        <v/>
      </c>
      <c r="BO238" s="448" t="str">
        <f>_xlfn.IFNA(VLOOKUP($BK238,Programma!$F$3:$J$1101,5,0),"")</f>
        <v/>
      </c>
      <c r="BP238" s="448" t="str">
        <f>_xlfn.IFNA(VLOOKUP($BK238,Programma!$F$3:$K$1101,6,0),"")</f>
        <v/>
      </c>
      <c r="BQ238" s="448" t="str">
        <f>_xlfn.IFNA(VLOOKUP($BK238,Programma!$F$3:$L$1101,7,0),"")</f>
        <v/>
      </c>
      <c r="BR238" s="448" t="str">
        <f>_xlfn.IFNA(VLOOKUP($BK238,Programma!$F$3:$M$1101,8,0),"")</f>
        <v/>
      </c>
      <c r="BS238" s="448" t="str">
        <f>_xlfn.IFNA(VLOOKUP($BK238,Programma!$F$3:$N$1101,9,0),"")</f>
        <v/>
      </c>
      <c r="BT238" s="448" t="str">
        <f>_xlfn.IFNA(VLOOKUP($BK238,Programma!$F$3:$O$1101,10,0),"")</f>
        <v/>
      </c>
      <c r="BU238" s="448" t="str">
        <f>_xlfn.IFNA(VLOOKUP($BK238,Programma!$F$3:$P$1101,11,0),"")</f>
        <v/>
      </c>
      <c r="BV238" s="448" t="str">
        <f>_xlfn.IFNA(VLOOKUP($BK238,Programma!$F$3:$Q$1101,12,0),"")</f>
        <v/>
      </c>
      <c r="BW238" s="448" t="str">
        <f>_xlfn.IFNA(VLOOKUP($BK238,Programma!$F$3:$R$1101,13,0),"")</f>
        <v/>
      </c>
      <c r="BX238" s="448" t="str">
        <f>_xlfn.IFNA(VLOOKUP($BK238,Programma!$F$3:$S$1101,14,0),"")</f>
        <v/>
      </c>
      <c r="BY238" s="448" t="str">
        <f>_xlfn.IFNA(VLOOKUP($BK238,Programma!$F$3:$T$1101,15,0),"")</f>
        <v/>
      </c>
      <c r="BZ238" s="448" t="str">
        <f>_xlfn.IFNA(VLOOKUP($BK238,Programma!$F$3:$U$1101,16,0),"")</f>
        <v/>
      </c>
      <c r="CA238" s="448" t="str">
        <f>_xlfn.IFNA(VLOOKUP($BK238,Programma!$F$3:$V$1101,17,0),"")</f>
        <v/>
      </c>
      <c r="CB238" s="448" t="str">
        <f>_xlfn.IFNA(VLOOKUP($BK238,Programma!$F$3:$W$1101,18,0),"")</f>
        <v/>
      </c>
      <c r="CC238" s="448" t="str">
        <f>_xlfn.IFNA(VLOOKUP($BK238,Programma!$F$3:$X$1101,19,0),"")</f>
        <v/>
      </c>
      <c r="CD238" s="448" t="str">
        <f>_xlfn.IFNA(VLOOKUP($BK238,Programma!$F$3:$Y$1101,20,0),"")</f>
        <v/>
      </c>
      <c r="CE238" s="327"/>
      <c r="CF238" s="327"/>
      <c r="CG238" s="327"/>
      <c r="CH238" s="327"/>
      <c r="CI238" s="327"/>
      <c r="CJ238" s="327"/>
      <c r="CK238" s="327"/>
      <c r="CL238" s="327"/>
      <c r="CM238" s="327"/>
      <c r="CN238" s="327"/>
      <c r="CO238" s="327"/>
      <c r="CP238" s="327"/>
      <c r="CQ238" s="327"/>
      <c r="CR238" s="327"/>
      <c r="CS238" s="327"/>
      <c r="CT238" s="327"/>
      <c r="CU238" s="327"/>
      <c r="CV238" s="327"/>
      <c r="CW238" s="327"/>
      <c r="CX238" s="327"/>
      <c r="CY238" s="327"/>
      <c r="CZ238" s="327"/>
      <c r="DA238" s="327"/>
      <c r="DB238" s="327"/>
      <c r="DC238" s="327"/>
      <c r="DD238" s="327"/>
      <c r="DE238" s="327"/>
      <c r="DF238" s="327"/>
      <c r="DG238" s="327"/>
      <c r="DH238" s="327"/>
      <c r="DI238" s="327"/>
      <c r="DJ238" s="327"/>
      <c r="DK238" s="327"/>
      <c r="DL238" s="327"/>
      <c r="DM238" s="327"/>
      <c r="DN238" s="327"/>
      <c r="DO238" s="327"/>
      <c r="DP238" s="327"/>
      <c r="DQ238" s="327"/>
      <c r="DR238" s="327"/>
      <c r="DS238" s="327"/>
      <c r="DT238" s="327"/>
      <c r="DU238" s="327"/>
      <c r="DV238" s="327"/>
      <c r="DW238" s="327"/>
      <c r="DX238" s="327"/>
      <c r="DY238" s="327"/>
      <c r="DZ238" s="327"/>
      <c r="EA238" s="327"/>
      <c r="EB238" s="327"/>
      <c r="EC238" s="327"/>
      <c r="ED238" s="327"/>
      <c r="EE238" s="327"/>
      <c r="EF238" s="327"/>
      <c r="EG238" s="327"/>
      <c r="EH238" s="327"/>
      <c r="EI238" s="327"/>
      <c r="EJ238" s="327"/>
      <c r="EK238" s="327"/>
      <c r="EL238" s="327"/>
      <c r="EM238" s="327"/>
      <c r="EN238" s="327"/>
      <c r="EO238" s="327"/>
      <c r="EP238" s="327"/>
      <c r="EQ238" s="327"/>
      <c r="ER238" s="327"/>
      <c r="ES238" s="327"/>
      <c r="ET238" s="327"/>
      <c r="EU238" s="327"/>
      <c r="EV238" s="327"/>
      <c r="EW238" s="327"/>
      <c r="EX238" s="327"/>
      <c r="EY238" s="327"/>
      <c r="EZ238" s="327"/>
      <c r="FA238" s="327"/>
      <c r="FB238" s="327"/>
      <c r="FC238" s="327"/>
      <c r="FD238" s="327"/>
      <c r="FE238" s="327"/>
      <c r="FF238" s="327"/>
      <c r="FG238" s="327"/>
      <c r="FH238" s="327"/>
      <c r="FI238" s="327"/>
      <c r="FJ238" s="327"/>
      <c r="FK238" s="327"/>
      <c r="FL238" s="327"/>
      <c r="FM238" s="327"/>
      <c r="FN238" s="327"/>
      <c r="FO238" s="327"/>
      <c r="FP238" s="327"/>
      <c r="FQ238" s="327"/>
      <c r="FR238" s="327"/>
      <c r="FS238" s="327"/>
      <c r="FT238" s="327"/>
      <c r="FU238" s="327"/>
      <c r="FV238" s="327"/>
      <c r="FW238" s="327"/>
      <c r="FX238" s="327"/>
      <c r="FY238" s="327"/>
      <c r="FZ238" s="327"/>
      <c r="GA238" s="327"/>
      <c r="GB238" s="327"/>
      <c r="GC238" s="327"/>
      <c r="GD238" s="327"/>
      <c r="GE238" s="327"/>
      <c r="GF238" s="327"/>
      <c r="GG238" s="327"/>
      <c r="GH238" s="327"/>
      <c r="GI238" s="327"/>
      <c r="GJ238" s="327"/>
      <c r="GK238" s="327"/>
      <c r="GL238" s="327"/>
      <c r="GM238" s="327"/>
      <c r="GN238" s="327"/>
      <c r="GO238" s="327"/>
      <c r="GP238" s="327"/>
      <c r="GQ238" s="327"/>
      <c r="GR238" s="327"/>
      <c r="GS238" s="327"/>
      <c r="GT238" s="327"/>
      <c r="GU238" s="327"/>
      <c r="GV238" s="327"/>
      <c r="GW238" s="327"/>
      <c r="GX238" s="327"/>
      <c r="GY238" s="327"/>
      <c r="GZ238" s="327"/>
      <c r="HA238" s="327"/>
      <c r="HB238" s="327"/>
      <c r="HC238" s="327"/>
      <c r="HD238" s="327"/>
      <c r="HE238" s="327"/>
      <c r="HF238" s="327"/>
      <c r="HG238" s="327"/>
      <c r="HH238" s="327"/>
      <c r="HI238" s="327"/>
      <c r="HJ238" s="327"/>
      <c r="HK238" s="327"/>
      <c r="HL238" s="327"/>
      <c r="HM238" s="327"/>
      <c r="HN238" s="327"/>
      <c r="HO238" s="327"/>
      <c r="HP238" s="327"/>
      <c r="HQ238" s="327"/>
      <c r="HR238" s="327"/>
      <c r="HS238" s="327"/>
    </row>
    <row r="239" spans="1:227" ht="15" customHeight="1">
      <c r="A239" s="330">
        <v>10</v>
      </c>
      <c r="B239" s="435" t="str">
        <f>VLOOKUP(Ruimtestaat[[#This Row],[Code]],Locaties[[Code]:[Locatie]],2,FALSE)</f>
        <v xml:space="preserve">IKC De Edelsteen </v>
      </c>
      <c r="C239" s="435" t="str">
        <f>VLOOKUP(Ruimtestaat[[#This Row],[Code]],Locaties[[#All],[Code]:[Adres]],4,FALSE)</f>
        <v>Sieraadlaan 100-102</v>
      </c>
      <c r="D239" s="435" t="str">
        <f>VLOOKUP(Ruimtestaat[[#This Row],[Code]],Locaties[[#All],[Code]:[Postcode]],5,FALSE)</f>
        <v>2719 SN</v>
      </c>
      <c r="E239" s="435" t="str">
        <f>VLOOKUP(Ruimtestaat[[#This Row],[Code]],Locaties[#All],6,FALSE)</f>
        <v>Zoetermeer</v>
      </c>
      <c r="F239" s="450"/>
      <c r="G239" s="330" t="s">
        <v>1678</v>
      </c>
      <c r="H239" s="330" t="s">
        <v>1665</v>
      </c>
      <c r="I239" s="450" t="s">
        <v>1679</v>
      </c>
      <c r="J239" s="330">
        <v>16</v>
      </c>
      <c r="K239" s="450" t="str">
        <f>VLOOKUP(Ruimtestaat[[#This Row],[Ruimte code]],Ruimtegroepen[[#All],[Code]:[Ruimte omschrijving]],2,FALSE)</f>
        <v>Leslokalen</v>
      </c>
      <c r="L239" s="434" t="s">
        <v>100</v>
      </c>
      <c r="M239" s="437" t="s">
        <v>1759</v>
      </c>
      <c r="N239" s="439">
        <v>56</v>
      </c>
      <c r="O239" s="439"/>
      <c r="P239" s="439"/>
      <c r="Q239" s="439"/>
      <c r="R239" s="440" t="str">
        <f>VLOOKUP(Ruimtestaat[[#This Row],[Ruimte code]],Ruimtegroepen[],4,FALSE)</f>
        <v>Le</v>
      </c>
      <c r="S239" s="434">
        <v>40</v>
      </c>
      <c r="T239" s="434" t="s">
        <v>2</v>
      </c>
      <c r="U239" s="434">
        <f>IF(S239&gt;0,IF(RIGHT(Ruimtestaat[[#This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9" s="434">
        <f>IF(U239&gt;0,VLOOKUP($J239,Ruimtegroepen[],3,FALSE)*VLOOKUP($L239,Vloersoorten[],3,FALSE)*VLOOKUP($T239,Frequenties[],3,FALSE)*VLOOKUP($A239,Locaties[],3,FALSE),0)</f>
        <v>0</v>
      </c>
      <c r="W239" s="434">
        <f>Ruimtestaat[[#This Row],[Uitvoeringen werkdagen]]*Ruimtestaat[[#This Row],[Oppervlak (netto)]]</f>
        <v>11200</v>
      </c>
      <c r="X239" s="441">
        <f>IF(V239&gt;0,Ruimtestaat[[#This Row],[Prest. (m2 /jaar) werkdagen]]/Ruimtestaat[[#This Row],[Norm (m2/uur) werkdagen]],0)</f>
        <v>0</v>
      </c>
      <c r="Y239" s="442">
        <f>Ruimtestaat[[#This Row],[Uitvoeringen werkdagen]]*Ruimtestaat[[#This Row],[Gedeeltelijk]]</f>
        <v>0</v>
      </c>
      <c r="Z239" s="443" t="e">
        <f>IF(U239&gt;0,Ruimtestaat[[#This Row],[Prest. (m2 / jaar) werkdagen gedeeld]]/Ruimtestaat[[#This Row],[Norm (m2/uur) werkdagen]],0)</f>
        <v>#DIV/0!</v>
      </c>
      <c r="AA239" s="441" t="e">
        <f>Ruimtestaat[[#This Row],[uren / jaar werkdagen gedeeld]]*Tariefsopbouw!$E$35</f>
        <v>#DIV/0!</v>
      </c>
      <c r="AB239" s="441">
        <f>Ruimtestaat[[#This Row],[Uitvoeringen werkdagen]]*Ruimtestaat[[#This Row],[BSO]]</f>
        <v>0</v>
      </c>
      <c r="AC239" s="443" t="e">
        <f>IF(U239&gt;0,Ruimtestaat[[#This Row],[Prest. (m2 / jaar) werkdagen BSO]]/Ruimtestaat[[#This Row],[Norm (m2/uur) werkdagen]],0)</f>
        <v>#DIV/0!</v>
      </c>
      <c r="AD239" s="443" t="e">
        <f>Ruimtestaat[[#This Row],[uren / jaar werkdagen BSO]]*Tariefsopbouw!$E$35</f>
        <v>#DIV/0!</v>
      </c>
      <c r="AE239" s="444">
        <f>Ruimtestaat[[#This Row],[uren / jaar werkdagen]]*Tariefsopbouw!$E$35</f>
        <v>0</v>
      </c>
      <c r="AF239" s="434"/>
      <c r="AG239" s="434">
        <f>IF(Ruimtestaat[[#This Row],[Frequentie weekend]]&gt;0,VALUE(LEFT(AF239,1))*S239,0)</f>
        <v>0</v>
      </c>
      <c r="AH239" s="445">
        <f>IF($AG239&gt;0,VLOOKUP($J239,Ruimtegroepen[],3,FALSE)*VLOOKUP($L239,Vloersoorten[],3,FALSE)*VLOOKUP($AF239,Frequenties[],3,FALSE)*VLOOKUP(Ruimtestaat[[#This Row],[Code]],Locaties[],3,FALSE),0)</f>
        <v>0</v>
      </c>
      <c r="AI239" s="445">
        <f>Ruimtestaat[[#This Row],[Uitvoeringen weekend]]*Ruimtestaat[[#This Row],[Oppervlak (netto)]]</f>
        <v>0</v>
      </c>
      <c r="AJ239" s="445">
        <f>IF(AH239&gt;0,Ruimtestaat[[#This Row],[Prest. (m2 /jaar) weekend]]/Ruimtestaat[[#This Row],[Norm (m2/uur) weekend]],0)</f>
        <v>0</v>
      </c>
      <c r="AK239" s="444">
        <f>Ruimtestaat[[#This Row],[uren / jaar weekend]]*Tariefsopbouw!$D$40</f>
        <v>0</v>
      </c>
      <c r="AL239" s="441">
        <f>Ruimtestaat[[#This Row],[Prest. (m2 /jaar) weekend]]+Ruimtestaat[[#This Row],[Prest. (m2 /jaar) werkdagen]]</f>
        <v>11200</v>
      </c>
      <c r="AM239" s="441">
        <f>Ruimtestaat[[#This Row],[uren / jaar weekend]]+Ruimtestaat[[#This Row],[uren / jaar werkdagen]]</f>
        <v>0</v>
      </c>
      <c r="AN239" s="446">
        <f>Ruimtestaat[[#This Row],[kosten / jaar weekend]]+Ruimtestaat[[#This Row],[kosten / jaar werkdagen]]</f>
        <v>0</v>
      </c>
      <c r="AO239" s="446"/>
      <c r="AP239" s="447" t="str">
        <f>IF(Ruimtestaat[[#This Row],[Frequentie werkdagen]]="","",_xlfn.CONCAT(Ruimtestaat[[#This Row],[Ruimte code]],"-",Ruimtestaat[[#This Row],[Frequentie werkdagen]]," ",Ruimtestaat[[#This Row],[Vloer code]]))</f>
        <v>16-5w L</v>
      </c>
      <c r="AQ239" s="448" t="str">
        <f>_xlfn.IFNA(VLOOKUP($AP239,Programma!$F$3:$G$1101,2,0),"")</f>
        <v>_</v>
      </c>
      <c r="AR239" s="448" t="str">
        <f>_xlfn.IFNA(VLOOKUP($AP239,Programma!$F$3:$H$1101,3,0),"")</f>
        <v>_</v>
      </c>
      <c r="AS239" s="448" t="str">
        <f>_xlfn.IFNA(VLOOKUP($AP239,Programma!$F$3:$I$1101,4,0),"")</f>
        <v>4w</v>
      </c>
      <c r="AT239" s="448" t="str">
        <f>_xlfn.IFNA(VLOOKUP($AP239,Programma!$F$3:$J$1101,5,0),"")</f>
        <v>1w</v>
      </c>
      <c r="AU239" s="448" t="str">
        <f>_xlfn.IFNA(VLOOKUP($AP239,Programma!$F$3:$K$1101,6,0),"")</f>
        <v>_</v>
      </c>
      <c r="AV239" s="448" t="str">
        <f>_xlfn.IFNA(VLOOKUP($AP239,Programma!$F$3:$L$1101,7,0),"")</f>
        <v>_</v>
      </c>
      <c r="AW239" s="448" t="str">
        <f>_xlfn.IFNA(VLOOKUP($AP239,Programma!$F$3:$M$1101,8,0),"")</f>
        <v>_</v>
      </c>
      <c r="AX239" s="448" t="str">
        <f>_xlfn.IFNA(VLOOKUP($AP239,Programma!$F$3:$N$1101,9,0),"")</f>
        <v>_</v>
      </c>
      <c r="AY239" s="448" t="str">
        <f>_xlfn.IFNA(VLOOKUP($AP239,Programma!$F$3:$O$1101,10,0),"")</f>
        <v>5w</v>
      </c>
      <c r="AZ239" s="448" t="str">
        <f>_xlfn.IFNA(VLOOKUP($AP239,Programma!$F$3:$P$1101,11,0),"")</f>
        <v>5w</v>
      </c>
      <c r="BA239" s="448" t="str">
        <f>_xlfn.IFNA(VLOOKUP($AP239,Programma!$F$3:$Q$1101,12,0),"")</f>
        <v>1w</v>
      </c>
      <c r="BB239" s="448" t="str">
        <f>_xlfn.IFNA(VLOOKUP($AP239,Programma!$F$3:$R$1101,13,0),"")</f>
        <v>1w</v>
      </c>
      <c r="BC239" s="448" t="str">
        <f>_xlfn.IFNA(VLOOKUP($AP239,Programma!$F$3:$S$1101,14,0),"")</f>
        <v>1m</v>
      </c>
      <c r="BD239" s="448" t="str">
        <f>_xlfn.IFNA(VLOOKUP($AP239,Programma!$F$3:$T$1101,15,0),"")</f>
        <v>2j</v>
      </c>
      <c r="BE239" s="448" t="str">
        <f>_xlfn.IFNA(VLOOKUP($AP239,Programma!$F$3:$U$1101,16,0),"")</f>
        <v>1j</v>
      </c>
      <c r="BF239" s="448" t="str">
        <f>_xlfn.IFNA(VLOOKUP($AP239,Programma!$F$3:$V$1101,17,0),"")</f>
        <v>_</v>
      </c>
      <c r="BG239" s="448" t="str">
        <f>_xlfn.IFNA(VLOOKUP($AP239,Programma!$F$3:$W$1101,18,0),"")</f>
        <v>_</v>
      </c>
      <c r="BH239" s="448" t="str">
        <f>_xlfn.IFNA(VLOOKUP($AP239,Programma!$F$3:$X$1101,19,0),"")</f>
        <v>_</v>
      </c>
      <c r="BI239" s="448" t="str">
        <f>_xlfn.IFNA(VLOOKUP($AP239,Programma!$F$3:$Y$1101,20,0),"")</f>
        <v>_</v>
      </c>
      <c r="BJ239" s="449"/>
      <c r="BK239" s="447" t="str">
        <f>IF(Ruimtestaat[[#This Row],[Frequentie weekend]]="","",_xlfn.CONCAT(Ruimtestaat[[#This Row],[Ruimte code]],"-",Ruimtestaat[[#This Row],[Frequentie weekend]]," ",Ruimtestaat[[#This Row],[Vloer code]]))</f>
        <v/>
      </c>
      <c r="BL239" s="448" t="str">
        <f>_xlfn.IFNA(VLOOKUP($BK239,Programma!$F$3:$G$1101,2,0),"")</f>
        <v/>
      </c>
      <c r="BM239" s="448" t="str">
        <f>_xlfn.IFNA(VLOOKUP($BK239,Programma!$F$3:$H$1101,3,0),"")</f>
        <v/>
      </c>
      <c r="BN239" s="448" t="str">
        <f>_xlfn.IFNA(VLOOKUP($BK239,Programma!$F$3:$I$1101,4,0),"")</f>
        <v/>
      </c>
      <c r="BO239" s="448" t="str">
        <f>_xlfn.IFNA(VLOOKUP($BK239,Programma!$F$3:$J$1101,5,0),"")</f>
        <v/>
      </c>
      <c r="BP239" s="448" t="str">
        <f>_xlfn.IFNA(VLOOKUP($BK239,Programma!$F$3:$K$1101,6,0),"")</f>
        <v/>
      </c>
      <c r="BQ239" s="448" t="str">
        <f>_xlfn.IFNA(VLOOKUP($BK239,Programma!$F$3:$L$1101,7,0),"")</f>
        <v/>
      </c>
      <c r="BR239" s="448" t="str">
        <f>_xlfn.IFNA(VLOOKUP($BK239,Programma!$F$3:$M$1101,8,0),"")</f>
        <v/>
      </c>
      <c r="BS239" s="448" t="str">
        <f>_xlfn.IFNA(VLOOKUP($BK239,Programma!$F$3:$N$1101,9,0),"")</f>
        <v/>
      </c>
      <c r="BT239" s="448" t="str">
        <f>_xlfn.IFNA(VLOOKUP($BK239,Programma!$F$3:$O$1101,10,0),"")</f>
        <v/>
      </c>
      <c r="BU239" s="448" t="str">
        <f>_xlfn.IFNA(VLOOKUP($BK239,Programma!$F$3:$P$1101,11,0),"")</f>
        <v/>
      </c>
      <c r="BV239" s="448" t="str">
        <f>_xlfn.IFNA(VLOOKUP($BK239,Programma!$F$3:$Q$1101,12,0),"")</f>
        <v/>
      </c>
      <c r="BW239" s="448" t="str">
        <f>_xlfn.IFNA(VLOOKUP($BK239,Programma!$F$3:$R$1101,13,0),"")</f>
        <v/>
      </c>
      <c r="BX239" s="448" t="str">
        <f>_xlfn.IFNA(VLOOKUP($BK239,Programma!$F$3:$S$1101,14,0),"")</f>
        <v/>
      </c>
      <c r="BY239" s="448" t="str">
        <f>_xlfn.IFNA(VLOOKUP($BK239,Programma!$F$3:$T$1101,15,0),"")</f>
        <v/>
      </c>
      <c r="BZ239" s="448" t="str">
        <f>_xlfn.IFNA(VLOOKUP($BK239,Programma!$F$3:$U$1101,16,0),"")</f>
        <v/>
      </c>
      <c r="CA239" s="448" t="str">
        <f>_xlfn.IFNA(VLOOKUP($BK239,Programma!$F$3:$V$1101,17,0),"")</f>
        <v/>
      </c>
      <c r="CB239" s="448" t="str">
        <f>_xlfn.IFNA(VLOOKUP($BK239,Programma!$F$3:$W$1101,18,0),"")</f>
        <v/>
      </c>
      <c r="CC239" s="448" t="str">
        <f>_xlfn.IFNA(VLOOKUP($BK239,Programma!$F$3:$X$1101,19,0),"")</f>
        <v/>
      </c>
      <c r="CD239" s="448" t="str">
        <f>_xlfn.IFNA(VLOOKUP($BK239,Programma!$F$3:$Y$1101,20,0),"")</f>
        <v/>
      </c>
      <c r="CE239" s="327"/>
      <c r="CF239" s="327"/>
      <c r="CG239" s="327"/>
      <c r="CH239" s="327"/>
      <c r="CI239" s="327"/>
      <c r="CJ239" s="327"/>
      <c r="CK239" s="327"/>
      <c r="CL239" s="327"/>
      <c r="CM239" s="327"/>
      <c r="CN239" s="327"/>
      <c r="CO239" s="327"/>
      <c r="CP239" s="327"/>
      <c r="CQ239" s="327"/>
      <c r="CR239" s="327"/>
      <c r="CS239" s="327"/>
      <c r="CT239" s="327"/>
      <c r="CU239" s="327"/>
      <c r="CV239" s="327"/>
      <c r="CW239" s="327"/>
      <c r="CX239" s="327"/>
      <c r="CY239" s="327"/>
      <c r="CZ239" s="327"/>
      <c r="DA239" s="327"/>
      <c r="DB239" s="327"/>
      <c r="DC239" s="327"/>
      <c r="DD239" s="327"/>
      <c r="DE239" s="327"/>
      <c r="DF239" s="327"/>
      <c r="DG239" s="327"/>
      <c r="DH239" s="327"/>
      <c r="DI239" s="327"/>
      <c r="DJ239" s="327"/>
      <c r="DK239" s="327"/>
      <c r="DL239" s="327"/>
      <c r="DM239" s="327"/>
      <c r="DN239" s="327"/>
      <c r="DO239" s="327"/>
      <c r="DP239" s="327"/>
      <c r="DQ239" s="327"/>
      <c r="DR239" s="327"/>
      <c r="DS239" s="327"/>
      <c r="DT239" s="327"/>
      <c r="DU239" s="327"/>
      <c r="DV239" s="327"/>
      <c r="DW239" s="327"/>
      <c r="DX239" s="327"/>
      <c r="DY239" s="327"/>
      <c r="DZ239" s="327"/>
      <c r="EA239" s="327"/>
      <c r="EB239" s="327"/>
      <c r="EC239" s="327"/>
      <c r="ED239" s="327"/>
      <c r="EE239" s="327"/>
      <c r="EF239" s="327"/>
      <c r="EG239" s="327"/>
      <c r="EH239" s="327"/>
      <c r="EI239" s="327"/>
      <c r="EJ239" s="327"/>
      <c r="EK239" s="327"/>
      <c r="EL239" s="327"/>
      <c r="EM239" s="327"/>
      <c r="EN239" s="327"/>
      <c r="EO239" s="327"/>
      <c r="EP239" s="327"/>
      <c r="EQ239" s="327"/>
      <c r="ER239" s="327"/>
      <c r="ES239" s="327"/>
      <c r="ET239" s="327"/>
      <c r="EU239" s="327"/>
      <c r="EV239" s="327"/>
      <c r="EW239" s="327"/>
      <c r="EX239" s="327"/>
      <c r="EY239" s="327"/>
      <c r="EZ239" s="327"/>
      <c r="FA239" s="327"/>
      <c r="FB239" s="327"/>
      <c r="FC239" s="327"/>
      <c r="FD239" s="327"/>
      <c r="FE239" s="327"/>
      <c r="FF239" s="327"/>
      <c r="FG239" s="327"/>
      <c r="FH239" s="327"/>
      <c r="FI239" s="327"/>
      <c r="FJ239" s="327"/>
      <c r="FK239" s="327"/>
      <c r="FL239" s="327"/>
      <c r="FM239" s="327"/>
      <c r="FN239" s="327"/>
      <c r="FO239" s="327"/>
      <c r="FP239" s="327"/>
      <c r="FQ239" s="327"/>
      <c r="FR239" s="327"/>
      <c r="FS239" s="327"/>
      <c r="FT239" s="327"/>
      <c r="FU239" s="327"/>
      <c r="FV239" s="327"/>
      <c r="FW239" s="327"/>
      <c r="FX239" s="327"/>
      <c r="FY239" s="327"/>
      <c r="FZ239" s="327"/>
      <c r="GA239" s="327"/>
      <c r="GB239" s="327"/>
      <c r="GC239" s="327"/>
      <c r="GD239" s="327"/>
      <c r="GE239" s="327"/>
      <c r="GF239" s="327"/>
      <c r="GG239" s="327"/>
      <c r="GH239" s="327"/>
      <c r="GI239" s="327"/>
      <c r="GJ239" s="327"/>
      <c r="GK239" s="327"/>
      <c r="GL239" s="327"/>
      <c r="GM239" s="327"/>
      <c r="GN239" s="327"/>
      <c r="GO239" s="327"/>
      <c r="GP239" s="327"/>
      <c r="GQ239" s="327"/>
      <c r="GR239" s="327"/>
      <c r="GS239" s="327"/>
      <c r="GT239" s="327"/>
      <c r="GU239" s="327"/>
      <c r="GV239" s="327"/>
      <c r="GW239" s="327"/>
      <c r="GX239" s="327"/>
      <c r="GY239" s="327"/>
      <c r="GZ239" s="327"/>
      <c r="HA239" s="327"/>
      <c r="HB239" s="327"/>
      <c r="HC239" s="327"/>
      <c r="HD239" s="327"/>
      <c r="HE239" s="327"/>
      <c r="HF239" s="327"/>
      <c r="HG239" s="327"/>
      <c r="HH239" s="327"/>
      <c r="HI239" s="327"/>
      <c r="HJ239" s="327"/>
      <c r="HK239" s="327"/>
      <c r="HL239" s="327"/>
      <c r="HM239" s="327"/>
      <c r="HN239" s="327"/>
      <c r="HO239" s="327"/>
      <c r="HP239" s="327"/>
      <c r="HQ239" s="327"/>
      <c r="HR239" s="327"/>
      <c r="HS239" s="327"/>
    </row>
    <row r="240" spans="1:227" ht="15" customHeight="1">
      <c r="A240" s="330">
        <v>10</v>
      </c>
      <c r="B240" s="435" t="str">
        <f>VLOOKUP(Ruimtestaat[[#This Row],[Code]],Locaties[[Code]:[Locatie]],2,FALSE)</f>
        <v xml:space="preserve">IKC De Edelsteen </v>
      </c>
      <c r="C240" s="435" t="str">
        <f>VLOOKUP(Ruimtestaat[[#This Row],[Code]],Locaties[[#All],[Code]:[Adres]],4,FALSE)</f>
        <v>Sieraadlaan 100-102</v>
      </c>
      <c r="D240" s="435" t="str">
        <f>VLOOKUP(Ruimtestaat[[#This Row],[Code]],Locaties[[#All],[Code]:[Postcode]],5,FALSE)</f>
        <v>2719 SN</v>
      </c>
      <c r="E240" s="435" t="str">
        <f>VLOOKUP(Ruimtestaat[[#This Row],[Code]],Locaties[#All],6,FALSE)</f>
        <v>Zoetermeer</v>
      </c>
      <c r="F240" s="450"/>
      <c r="G240" s="330" t="s">
        <v>1678</v>
      </c>
      <c r="H240" s="330" t="s">
        <v>1667</v>
      </c>
      <c r="I240" s="450" t="s">
        <v>1679</v>
      </c>
      <c r="J240" s="330">
        <v>16</v>
      </c>
      <c r="K240" s="450" t="str">
        <f>VLOOKUP(Ruimtestaat[[#This Row],[Ruimte code]],Ruimtegroepen[[#All],[Code]:[Ruimte omschrijving]],2,FALSE)</f>
        <v>Leslokalen</v>
      </c>
      <c r="L240" s="434" t="s">
        <v>100</v>
      </c>
      <c r="M240" s="437" t="s">
        <v>1759</v>
      </c>
      <c r="N240" s="439">
        <v>58</v>
      </c>
      <c r="O240" s="439"/>
      <c r="P240" s="439"/>
      <c r="Q240" s="439"/>
      <c r="R240" s="440" t="str">
        <f>VLOOKUP(Ruimtestaat[[#This Row],[Ruimte code]],Ruimtegroepen[],4,FALSE)</f>
        <v>Le</v>
      </c>
      <c r="S240" s="434">
        <v>40</v>
      </c>
      <c r="T240" s="434" t="s">
        <v>2</v>
      </c>
      <c r="U240" s="434">
        <f>IF(S240&gt;0,IF(RIGHT(Ruimtestaat[[#This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0" s="434">
        <f>IF(U240&gt;0,VLOOKUP($J240,Ruimtegroepen[],3,FALSE)*VLOOKUP($L240,Vloersoorten[],3,FALSE)*VLOOKUP($T240,Frequenties[],3,FALSE)*VLOOKUP($A240,Locaties[],3,FALSE),0)</f>
        <v>0</v>
      </c>
      <c r="W240" s="434">
        <f>Ruimtestaat[[#This Row],[Uitvoeringen werkdagen]]*Ruimtestaat[[#This Row],[Oppervlak (netto)]]</f>
        <v>11600</v>
      </c>
      <c r="X240" s="441">
        <f>IF(V240&gt;0,Ruimtestaat[[#This Row],[Prest. (m2 /jaar) werkdagen]]/Ruimtestaat[[#This Row],[Norm (m2/uur) werkdagen]],0)</f>
        <v>0</v>
      </c>
      <c r="Y240" s="442">
        <f>Ruimtestaat[[#This Row],[Uitvoeringen werkdagen]]*Ruimtestaat[[#This Row],[Gedeeltelijk]]</f>
        <v>0</v>
      </c>
      <c r="Z240" s="443" t="e">
        <f>IF(U240&gt;0,Ruimtestaat[[#This Row],[Prest. (m2 / jaar) werkdagen gedeeld]]/Ruimtestaat[[#This Row],[Norm (m2/uur) werkdagen]],0)</f>
        <v>#DIV/0!</v>
      </c>
      <c r="AA240" s="441" t="e">
        <f>Ruimtestaat[[#This Row],[uren / jaar werkdagen gedeeld]]*Tariefsopbouw!$E$35</f>
        <v>#DIV/0!</v>
      </c>
      <c r="AB240" s="441">
        <f>Ruimtestaat[[#This Row],[Uitvoeringen werkdagen]]*Ruimtestaat[[#This Row],[BSO]]</f>
        <v>0</v>
      </c>
      <c r="AC240" s="443" t="e">
        <f>IF(U240&gt;0,Ruimtestaat[[#This Row],[Prest. (m2 / jaar) werkdagen BSO]]/Ruimtestaat[[#This Row],[Norm (m2/uur) werkdagen]],0)</f>
        <v>#DIV/0!</v>
      </c>
      <c r="AD240" s="443" t="e">
        <f>Ruimtestaat[[#This Row],[uren / jaar werkdagen BSO]]*Tariefsopbouw!$E$35</f>
        <v>#DIV/0!</v>
      </c>
      <c r="AE240" s="444">
        <f>Ruimtestaat[[#This Row],[uren / jaar werkdagen]]*Tariefsopbouw!$E$35</f>
        <v>0</v>
      </c>
      <c r="AF240" s="434"/>
      <c r="AG240" s="434">
        <f>IF(Ruimtestaat[[#This Row],[Frequentie weekend]]&gt;0,VALUE(LEFT(AF240,1))*S240,0)</f>
        <v>0</v>
      </c>
      <c r="AH240" s="445">
        <f>IF($AG240&gt;0,VLOOKUP($J240,Ruimtegroepen[],3,FALSE)*VLOOKUP($L240,Vloersoorten[],3,FALSE)*VLOOKUP($AF240,Frequenties[],3,FALSE)*VLOOKUP(Ruimtestaat[[#This Row],[Code]],Locaties[],3,FALSE),0)</f>
        <v>0</v>
      </c>
      <c r="AI240" s="445">
        <f>Ruimtestaat[[#This Row],[Uitvoeringen weekend]]*Ruimtestaat[[#This Row],[Oppervlak (netto)]]</f>
        <v>0</v>
      </c>
      <c r="AJ240" s="445">
        <f>IF(AH240&gt;0,Ruimtestaat[[#This Row],[Prest. (m2 /jaar) weekend]]/Ruimtestaat[[#This Row],[Norm (m2/uur) weekend]],0)</f>
        <v>0</v>
      </c>
      <c r="AK240" s="444">
        <f>Ruimtestaat[[#This Row],[uren / jaar weekend]]*Tariefsopbouw!$D$40</f>
        <v>0</v>
      </c>
      <c r="AL240" s="441">
        <f>Ruimtestaat[[#This Row],[Prest. (m2 /jaar) weekend]]+Ruimtestaat[[#This Row],[Prest. (m2 /jaar) werkdagen]]</f>
        <v>11600</v>
      </c>
      <c r="AM240" s="441">
        <f>Ruimtestaat[[#This Row],[uren / jaar weekend]]+Ruimtestaat[[#This Row],[uren / jaar werkdagen]]</f>
        <v>0</v>
      </c>
      <c r="AN240" s="446">
        <f>Ruimtestaat[[#This Row],[kosten / jaar weekend]]+Ruimtestaat[[#This Row],[kosten / jaar werkdagen]]</f>
        <v>0</v>
      </c>
      <c r="AO240" s="446"/>
      <c r="AP240" s="447" t="str">
        <f>IF(Ruimtestaat[[#This Row],[Frequentie werkdagen]]="","",_xlfn.CONCAT(Ruimtestaat[[#This Row],[Ruimte code]],"-",Ruimtestaat[[#This Row],[Frequentie werkdagen]]," ",Ruimtestaat[[#This Row],[Vloer code]]))</f>
        <v>16-5w L</v>
      </c>
      <c r="AQ240" s="448" t="str">
        <f>_xlfn.IFNA(VLOOKUP($AP240,Programma!$F$3:$G$1101,2,0),"")</f>
        <v>_</v>
      </c>
      <c r="AR240" s="448" t="str">
        <f>_xlfn.IFNA(VLOOKUP($AP240,Programma!$F$3:$H$1101,3,0),"")</f>
        <v>_</v>
      </c>
      <c r="AS240" s="448" t="str">
        <f>_xlfn.IFNA(VLOOKUP($AP240,Programma!$F$3:$I$1101,4,0),"")</f>
        <v>4w</v>
      </c>
      <c r="AT240" s="448" t="str">
        <f>_xlfn.IFNA(VLOOKUP($AP240,Programma!$F$3:$J$1101,5,0),"")</f>
        <v>1w</v>
      </c>
      <c r="AU240" s="448" t="str">
        <f>_xlfn.IFNA(VLOOKUP($AP240,Programma!$F$3:$K$1101,6,0),"")</f>
        <v>_</v>
      </c>
      <c r="AV240" s="448" t="str">
        <f>_xlfn.IFNA(VLOOKUP($AP240,Programma!$F$3:$L$1101,7,0),"")</f>
        <v>_</v>
      </c>
      <c r="AW240" s="448" t="str">
        <f>_xlfn.IFNA(VLOOKUP($AP240,Programma!$F$3:$M$1101,8,0),"")</f>
        <v>_</v>
      </c>
      <c r="AX240" s="448" t="str">
        <f>_xlfn.IFNA(VLOOKUP($AP240,Programma!$F$3:$N$1101,9,0),"")</f>
        <v>_</v>
      </c>
      <c r="AY240" s="448" t="str">
        <f>_xlfn.IFNA(VLOOKUP($AP240,Programma!$F$3:$O$1101,10,0),"")</f>
        <v>5w</v>
      </c>
      <c r="AZ240" s="448" t="str">
        <f>_xlfn.IFNA(VLOOKUP($AP240,Programma!$F$3:$P$1101,11,0),"")</f>
        <v>5w</v>
      </c>
      <c r="BA240" s="448" t="str">
        <f>_xlfn.IFNA(VLOOKUP($AP240,Programma!$F$3:$Q$1101,12,0),"")</f>
        <v>1w</v>
      </c>
      <c r="BB240" s="448" t="str">
        <f>_xlfn.IFNA(VLOOKUP($AP240,Programma!$F$3:$R$1101,13,0),"")</f>
        <v>1w</v>
      </c>
      <c r="BC240" s="448" t="str">
        <f>_xlfn.IFNA(VLOOKUP($AP240,Programma!$F$3:$S$1101,14,0),"")</f>
        <v>1m</v>
      </c>
      <c r="BD240" s="448" t="str">
        <f>_xlfn.IFNA(VLOOKUP($AP240,Programma!$F$3:$T$1101,15,0),"")</f>
        <v>2j</v>
      </c>
      <c r="BE240" s="448" t="str">
        <f>_xlfn.IFNA(VLOOKUP($AP240,Programma!$F$3:$U$1101,16,0),"")</f>
        <v>1j</v>
      </c>
      <c r="BF240" s="448" t="str">
        <f>_xlfn.IFNA(VLOOKUP($AP240,Programma!$F$3:$V$1101,17,0),"")</f>
        <v>_</v>
      </c>
      <c r="BG240" s="448" t="str">
        <f>_xlfn.IFNA(VLOOKUP($AP240,Programma!$F$3:$W$1101,18,0),"")</f>
        <v>_</v>
      </c>
      <c r="BH240" s="448" t="str">
        <f>_xlfn.IFNA(VLOOKUP($AP240,Programma!$F$3:$X$1101,19,0),"")</f>
        <v>_</v>
      </c>
      <c r="BI240" s="448" t="str">
        <f>_xlfn.IFNA(VLOOKUP($AP240,Programma!$F$3:$Y$1101,20,0),"")</f>
        <v>_</v>
      </c>
      <c r="BJ240" s="449"/>
      <c r="BK240" s="447" t="str">
        <f>IF(Ruimtestaat[[#This Row],[Frequentie weekend]]="","",_xlfn.CONCAT(Ruimtestaat[[#This Row],[Ruimte code]],"-",Ruimtestaat[[#This Row],[Frequentie weekend]]," ",Ruimtestaat[[#This Row],[Vloer code]]))</f>
        <v/>
      </c>
      <c r="BL240" s="448" t="str">
        <f>_xlfn.IFNA(VLOOKUP($BK240,Programma!$F$3:$G$1101,2,0),"")</f>
        <v/>
      </c>
      <c r="BM240" s="448" t="str">
        <f>_xlfn.IFNA(VLOOKUP($BK240,Programma!$F$3:$H$1101,3,0),"")</f>
        <v/>
      </c>
      <c r="BN240" s="448" t="str">
        <f>_xlfn.IFNA(VLOOKUP($BK240,Programma!$F$3:$I$1101,4,0),"")</f>
        <v/>
      </c>
      <c r="BO240" s="448" t="str">
        <f>_xlfn.IFNA(VLOOKUP($BK240,Programma!$F$3:$J$1101,5,0),"")</f>
        <v/>
      </c>
      <c r="BP240" s="448" t="str">
        <f>_xlfn.IFNA(VLOOKUP($BK240,Programma!$F$3:$K$1101,6,0),"")</f>
        <v/>
      </c>
      <c r="BQ240" s="448" t="str">
        <f>_xlfn.IFNA(VLOOKUP($BK240,Programma!$F$3:$L$1101,7,0),"")</f>
        <v/>
      </c>
      <c r="BR240" s="448" t="str">
        <f>_xlfn.IFNA(VLOOKUP($BK240,Programma!$F$3:$M$1101,8,0),"")</f>
        <v/>
      </c>
      <c r="BS240" s="448" t="str">
        <f>_xlfn.IFNA(VLOOKUP($BK240,Programma!$F$3:$N$1101,9,0),"")</f>
        <v/>
      </c>
      <c r="BT240" s="448" t="str">
        <f>_xlfn.IFNA(VLOOKUP($BK240,Programma!$F$3:$O$1101,10,0),"")</f>
        <v/>
      </c>
      <c r="BU240" s="448" t="str">
        <f>_xlfn.IFNA(VLOOKUP($BK240,Programma!$F$3:$P$1101,11,0),"")</f>
        <v/>
      </c>
      <c r="BV240" s="448" t="str">
        <f>_xlfn.IFNA(VLOOKUP($BK240,Programma!$F$3:$Q$1101,12,0),"")</f>
        <v/>
      </c>
      <c r="BW240" s="448" t="str">
        <f>_xlfn.IFNA(VLOOKUP($BK240,Programma!$F$3:$R$1101,13,0),"")</f>
        <v/>
      </c>
      <c r="BX240" s="448" t="str">
        <f>_xlfn.IFNA(VLOOKUP($BK240,Programma!$F$3:$S$1101,14,0),"")</f>
        <v/>
      </c>
      <c r="BY240" s="448" t="str">
        <f>_xlfn.IFNA(VLOOKUP($BK240,Programma!$F$3:$T$1101,15,0),"")</f>
        <v/>
      </c>
      <c r="BZ240" s="448" t="str">
        <f>_xlfn.IFNA(VLOOKUP($BK240,Programma!$F$3:$U$1101,16,0),"")</f>
        <v/>
      </c>
      <c r="CA240" s="448" t="str">
        <f>_xlfn.IFNA(VLOOKUP($BK240,Programma!$F$3:$V$1101,17,0),"")</f>
        <v/>
      </c>
      <c r="CB240" s="448" t="str">
        <f>_xlfn.IFNA(VLOOKUP($BK240,Programma!$F$3:$W$1101,18,0),"")</f>
        <v/>
      </c>
      <c r="CC240" s="448" t="str">
        <f>_xlfn.IFNA(VLOOKUP($BK240,Programma!$F$3:$X$1101,19,0),"")</f>
        <v/>
      </c>
      <c r="CD240" s="448" t="str">
        <f>_xlfn.IFNA(VLOOKUP($BK240,Programma!$F$3:$Y$1101,20,0),"")</f>
        <v/>
      </c>
      <c r="CE240" s="327"/>
      <c r="CF240" s="327"/>
      <c r="CG240" s="327"/>
      <c r="CH240" s="327"/>
      <c r="CI240" s="327"/>
      <c r="CJ240" s="327"/>
      <c r="CK240" s="327"/>
      <c r="CL240" s="327"/>
      <c r="CM240" s="327"/>
      <c r="CN240" s="327"/>
      <c r="CO240" s="327"/>
      <c r="CP240" s="327"/>
      <c r="CQ240" s="327"/>
      <c r="CR240" s="327"/>
      <c r="CS240" s="327"/>
      <c r="CT240" s="327"/>
      <c r="CU240" s="327"/>
      <c r="CV240" s="327"/>
      <c r="CW240" s="327"/>
      <c r="CX240" s="327"/>
      <c r="CY240" s="327"/>
      <c r="CZ240" s="327"/>
      <c r="DA240" s="327"/>
      <c r="DB240" s="327"/>
      <c r="DC240" s="327"/>
      <c r="DD240" s="327"/>
      <c r="DE240" s="327"/>
      <c r="DF240" s="327"/>
      <c r="DG240" s="327"/>
      <c r="DH240" s="327"/>
      <c r="DI240" s="327"/>
      <c r="DJ240" s="327"/>
      <c r="DK240" s="327"/>
      <c r="DL240" s="327"/>
      <c r="DM240" s="327"/>
      <c r="DN240" s="327"/>
      <c r="DO240" s="327"/>
      <c r="DP240" s="327"/>
      <c r="DQ240" s="327"/>
      <c r="DR240" s="327"/>
      <c r="DS240" s="327"/>
      <c r="DT240" s="327"/>
      <c r="DU240" s="327"/>
      <c r="DV240" s="327"/>
      <c r="DW240" s="327"/>
      <c r="DX240" s="327"/>
      <c r="DY240" s="327"/>
      <c r="DZ240" s="327"/>
      <c r="EA240" s="327"/>
      <c r="EB240" s="327"/>
      <c r="EC240" s="327"/>
      <c r="ED240" s="327"/>
      <c r="EE240" s="327"/>
      <c r="EF240" s="327"/>
      <c r="EG240" s="327"/>
      <c r="EH240" s="327"/>
      <c r="EI240" s="327"/>
      <c r="EJ240" s="327"/>
      <c r="EK240" s="327"/>
      <c r="EL240" s="327"/>
      <c r="EM240" s="327"/>
      <c r="EN240" s="327"/>
      <c r="EO240" s="327"/>
      <c r="EP240" s="327"/>
      <c r="EQ240" s="327"/>
      <c r="ER240" s="327"/>
      <c r="ES240" s="327"/>
      <c r="ET240" s="327"/>
      <c r="EU240" s="327"/>
      <c r="EV240" s="327"/>
      <c r="EW240" s="327"/>
      <c r="EX240" s="327"/>
      <c r="EY240" s="327"/>
      <c r="EZ240" s="327"/>
      <c r="FA240" s="327"/>
      <c r="FB240" s="327"/>
      <c r="FC240" s="327"/>
      <c r="FD240" s="327"/>
      <c r="FE240" s="327"/>
      <c r="FF240" s="327"/>
      <c r="FG240" s="327"/>
      <c r="FH240" s="327"/>
      <c r="FI240" s="327"/>
      <c r="FJ240" s="327"/>
      <c r="FK240" s="327"/>
      <c r="FL240" s="327"/>
      <c r="FM240" s="327"/>
      <c r="FN240" s="327"/>
      <c r="FO240" s="327"/>
      <c r="FP240" s="327"/>
      <c r="FQ240" s="327"/>
      <c r="FR240" s="327"/>
      <c r="FS240" s="327"/>
      <c r="FT240" s="327"/>
      <c r="FU240" s="327"/>
      <c r="FV240" s="327"/>
      <c r="FW240" s="327"/>
      <c r="FX240" s="327"/>
      <c r="FY240" s="327"/>
      <c r="FZ240" s="327"/>
      <c r="GA240" s="327"/>
      <c r="GB240" s="327"/>
      <c r="GC240" s="327"/>
      <c r="GD240" s="327"/>
      <c r="GE240" s="327"/>
      <c r="GF240" s="327"/>
      <c r="GG240" s="327"/>
      <c r="GH240" s="327"/>
      <c r="GI240" s="327"/>
      <c r="GJ240" s="327"/>
      <c r="GK240" s="327"/>
      <c r="GL240" s="327"/>
      <c r="GM240" s="327"/>
      <c r="GN240" s="327"/>
      <c r="GO240" s="327"/>
      <c r="GP240" s="327"/>
      <c r="GQ240" s="327"/>
      <c r="GR240" s="327"/>
      <c r="GS240" s="327"/>
      <c r="GT240" s="327"/>
      <c r="GU240" s="327"/>
      <c r="GV240" s="327"/>
      <c r="GW240" s="327"/>
      <c r="GX240" s="327"/>
      <c r="GY240" s="327"/>
      <c r="GZ240" s="327"/>
      <c r="HA240" s="327"/>
      <c r="HB240" s="327"/>
      <c r="HC240" s="327"/>
      <c r="HD240" s="327"/>
      <c r="HE240" s="327"/>
      <c r="HF240" s="327"/>
      <c r="HG240" s="327"/>
      <c r="HH240" s="327"/>
      <c r="HI240" s="327"/>
      <c r="HJ240" s="327"/>
      <c r="HK240" s="327"/>
      <c r="HL240" s="327"/>
      <c r="HM240" s="327"/>
      <c r="HN240" s="327"/>
      <c r="HO240" s="327"/>
      <c r="HP240" s="327"/>
      <c r="HQ240" s="327"/>
      <c r="HR240" s="327"/>
      <c r="HS240" s="327"/>
    </row>
    <row r="241" spans="1:227" ht="15" customHeight="1">
      <c r="A241" s="330">
        <v>10</v>
      </c>
      <c r="B241" s="435" t="str">
        <f>VLOOKUP(Ruimtestaat[[#This Row],[Code]],Locaties[[Code]:[Locatie]],2,FALSE)</f>
        <v xml:space="preserve">IKC De Edelsteen </v>
      </c>
      <c r="C241" s="435" t="str">
        <f>VLOOKUP(Ruimtestaat[[#This Row],[Code]],Locaties[[#All],[Code]:[Adres]],4,FALSE)</f>
        <v>Sieraadlaan 100-102</v>
      </c>
      <c r="D241" s="435" t="str">
        <f>VLOOKUP(Ruimtestaat[[#This Row],[Code]],Locaties[[#All],[Code]:[Postcode]],5,FALSE)</f>
        <v>2719 SN</v>
      </c>
      <c r="E241" s="435" t="str">
        <f>VLOOKUP(Ruimtestaat[[#This Row],[Code]],Locaties[#All],6,FALSE)</f>
        <v>Zoetermeer</v>
      </c>
      <c r="F241" s="450"/>
      <c r="G241" s="330" t="s">
        <v>1678</v>
      </c>
      <c r="H241" s="330" t="s">
        <v>1668</v>
      </c>
      <c r="I241" s="450" t="s">
        <v>1679</v>
      </c>
      <c r="J241" s="330">
        <v>16</v>
      </c>
      <c r="K241" s="450" t="str">
        <f>VLOOKUP(Ruimtestaat[[#This Row],[Ruimte code]],Ruimtegroepen[[#All],[Code]:[Ruimte omschrijving]],2,FALSE)</f>
        <v>Leslokalen</v>
      </c>
      <c r="L241" s="434" t="s">
        <v>100</v>
      </c>
      <c r="M241" s="437" t="s">
        <v>1759</v>
      </c>
      <c r="N241" s="439">
        <v>58</v>
      </c>
      <c r="O241" s="439"/>
      <c r="P241" s="439"/>
      <c r="Q241" s="439"/>
      <c r="R241" s="440" t="str">
        <f>VLOOKUP(Ruimtestaat[[#This Row],[Ruimte code]],Ruimtegroepen[],4,FALSE)</f>
        <v>Le</v>
      </c>
      <c r="S241" s="434">
        <v>40</v>
      </c>
      <c r="T241" s="434" t="s">
        <v>2</v>
      </c>
      <c r="U241" s="434">
        <f>IF(S241&gt;0,IF(RIGHT(Ruimtestaat[[#This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1" s="434">
        <f>IF(U241&gt;0,VLOOKUP($J241,Ruimtegroepen[],3,FALSE)*VLOOKUP($L241,Vloersoorten[],3,FALSE)*VLOOKUP($T241,Frequenties[],3,FALSE)*VLOOKUP($A241,Locaties[],3,FALSE),0)</f>
        <v>0</v>
      </c>
      <c r="W241" s="434">
        <f>Ruimtestaat[[#This Row],[Uitvoeringen werkdagen]]*Ruimtestaat[[#This Row],[Oppervlak (netto)]]</f>
        <v>11600</v>
      </c>
      <c r="X241" s="441">
        <f>IF(V241&gt;0,Ruimtestaat[[#This Row],[Prest. (m2 /jaar) werkdagen]]/Ruimtestaat[[#This Row],[Norm (m2/uur) werkdagen]],0)</f>
        <v>0</v>
      </c>
      <c r="Y241" s="442">
        <f>Ruimtestaat[[#This Row],[Uitvoeringen werkdagen]]*Ruimtestaat[[#This Row],[Gedeeltelijk]]</f>
        <v>0</v>
      </c>
      <c r="Z241" s="443" t="e">
        <f>IF(U241&gt;0,Ruimtestaat[[#This Row],[Prest. (m2 / jaar) werkdagen gedeeld]]/Ruimtestaat[[#This Row],[Norm (m2/uur) werkdagen]],0)</f>
        <v>#DIV/0!</v>
      </c>
      <c r="AA241" s="441" t="e">
        <f>Ruimtestaat[[#This Row],[uren / jaar werkdagen gedeeld]]*Tariefsopbouw!$E$35</f>
        <v>#DIV/0!</v>
      </c>
      <c r="AB241" s="441">
        <f>Ruimtestaat[[#This Row],[Uitvoeringen werkdagen]]*Ruimtestaat[[#This Row],[BSO]]</f>
        <v>0</v>
      </c>
      <c r="AC241" s="443" t="e">
        <f>IF(U241&gt;0,Ruimtestaat[[#This Row],[Prest. (m2 / jaar) werkdagen BSO]]/Ruimtestaat[[#This Row],[Norm (m2/uur) werkdagen]],0)</f>
        <v>#DIV/0!</v>
      </c>
      <c r="AD241" s="443" t="e">
        <f>Ruimtestaat[[#This Row],[uren / jaar werkdagen BSO]]*Tariefsopbouw!$E$35</f>
        <v>#DIV/0!</v>
      </c>
      <c r="AE241" s="444">
        <f>Ruimtestaat[[#This Row],[uren / jaar werkdagen]]*Tariefsopbouw!$E$35</f>
        <v>0</v>
      </c>
      <c r="AF241" s="434"/>
      <c r="AG241" s="434">
        <f>IF(Ruimtestaat[[#This Row],[Frequentie weekend]]&gt;0,VALUE(LEFT(AF241,1))*S241,0)</f>
        <v>0</v>
      </c>
      <c r="AH241" s="445">
        <f>IF($AG241&gt;0,VLOOKUP($J241,Ruimtegroepen[],3,FALSE)*VLOOKUP($L241,Vloersoorten[],3,FALSE)*VLOOKUP($AF241,Frequenties[],3,FALSE)*VLOOKUP(Ruimtestaat[[#This Row],[Code]],Locaties[],3,FALSE),0)</f>
        <v>0</v>
      </c>
      <c r="AI241" s="445">
        <f>Ruimtestaat[[#This Row],[Uitvoeringen weekend]]*Ruimtestaat[[#This Row],[Oppervlak (netto)]]</f>
        <v>0</v>
      </c>
      <c r="AJ241" s="445">
        <f>IF(AH241&gt;0,Ruimtestaat[[#This Row],[Prest. (m2 /jaar) weekend]]/Ruimtestaat[[#This Row],[Norm (m2/uur) weekend]],0)</f>
        <v>0</v>
      </c>
      <c r="AK241" s="444">
        <f>Ruimtestaat[[#This Row],[uren / jaar weekend]]*Tariefsopbouw!$D$40</f>
        <v>0</v>
      </c>
      <c r="AL241" s="441">
        <f>Ruimtestaat[[#This Row],[Prest. (m2 /jaar) weekend]]+Ruimtestaat[[#This Row],[Prest. (m2 /jaar) werkdagen]]</f>
        <v>11600</v>
      </c>
      <c r="AM241" s="441">
        <f>Ruimtestaat[[#This Row],[uren / jaar weekend]]+Ruimtestaat[[#This Row],[uren / jaar werkdagen]]</f>
        <v>0</v>
      </c>
      <c r="AN241" s="446">
        <f>Ruimtestaat[[#This Row],[kosten / jaar weekend]]+Ruimtestaat[[#This Row],[kosten / jaar werkdagen]]</f>
        <v>0</v>
      </c>
      <c r="AO241" s="446"/>
      <c r="AP241" s="447" t="str">
        <f>IF(Ruimtestaat[[#This Row],[Frequentie werkdagen]]="","",_xlfn.CONCAT(Ruimtestaat[[#This Row],[Ruimte code]],"-",Ruimtestaat[[#This Row],[Frequentie werkdagen]]," ",Ruimtestaat[[#This Row],[Vloer code]]))</f>
        <v>16-5w L</v>
      </c>
      <c r="AQ241" s="448" t="str">
        <f>_xlfn.IFNA(VLOOKUP($AP241,Programma!$F$3:$G$1101,2,0),"")</f>
        <v>_</v>
      </c>
      <c r="AR241" s="448" t="str">
        <f>_xlfn.IFNA(VLOOKUP($AP241,Programma!$F$3:$H$1101,3,0),"")</f>
        <v>_</v>
      </c>
      <c r="AS241" s="448" t="str">
        <f>_xlfn.IFNA(VLOOKUP($AP241,Programma!$F$3:$I$1101,4,0),"")</f>
        <v>4w</v>
      </c>
      <c r="AT241" s="448" t="str">
        <f>_xlfn.IFNA(VLOOKUP($AP241,Programma!$F$3:$J$1101,5,0),"")</f>
        <v>1w</v>
      </c>
      <c r="AU241" s="448" t="str">
        <f>_xlfn.IFNA(VLOOKUP($AP241,Programma!$F$3:$K$1101,6,0),"")</f>
        <v>_</v>
      </c>
      <c r="AV241" s="448" t="str">
        <f>_xlfn.IFNA(VLOOKUP($AP241,Programma!$F$3:$L$1101,7,0),"")</f>
        <v>_</v>
      </c>
      <c r="AW241" s="448" t="str">
        <f>_xlfn.IFNA(VLOOKUP($AP241,Programma!$F$3:$M$1101,8,0),"")</f>
        <v>_</v>
      </c>
      <c r="AX241" s="448" t="str">
        <f>_xlfn.IFNA(VLOOKUP($AP241,Programma!$F$3:$N$1101,9,0),"")</f>
        <v>_</v>
      </c>
      <c r="AY241" s="448" t="str">
        <f>_xlfn.IFNA(VLOOKUP($AP241,Programma!$F$3:$O$1101,10,0),"")</f>
        <v>5w</v>
      </c>
      <c r="AZ241" s="448" t="str">
        <f>_xlfn.IFNA(VLOOKUP($AP241,Programma!$F$3:$P$1101,11,0),"")</f>
        <v>5w</v>
      </c>
      <c r="BA241" s="448" t="str">
        <f>_xlfn.IFNA(VLOOKUP($AP241,Programma!$F$3:$Q$1101,12,0),"")</f>
        <v>1w</v>
      </c>
      <c r="BB241" s="448" t="str">
        <f>_xlfn.IFNA(VLOOKUP($AP241,Programma!$F$3:$R$1101,13,0),"")</f>
        <v>1w</v>
      </c>
      <c r="BC241" s="448" t="str">
        <f>_xlfn.IFNA(VLOOKUP($AP241,Programma!$F$3:$S$1101,14,0),"")</f>
        <v>1m</v>
      </c>
      <c r="BD241" s="448" t="str">
        <f>_xlfn.IFNA(VLOOKUP($AP241,Programma!$F$3:$T$1101,15,0),"")</f>
        <v>2j</v>
      </c>
      <c r="BE241" s="448" t="str">
        <f>_xlfn.IFNA(VLOOKUP($AP241,Programma!$F$3:$U$1101,16,0),"")</f>
        <v>1j</v>
      </c>
      <c r="BF241" s="448" t="str">
        <f>_xlfn.IFNA(VLOOKUP($AP241,Programma!$F$3:$V$1101,17,0),"")</f>
        <v>_</v>
      </c>
      <c r="BG241" s="448" t="str">
        <f>_xlfn.IFNA(VLOOKUP($AP241,Programma!$F$3:$W$1101,18,0),"")</f>
        <v>_</v>
      </c>
      <c r="BH241" s="448" t="str">
        <f>_xlfn.IFNA(VLOOKUP($AP241,Programma!$F$3:$X$1101,19,0),"")</f>
        <v>_</v>
      </c>
      <c r="BI241" s="448" t="str">
        <f>_xlfn.IFNA(VLOOKUP($AP241,Programma!$F$3:$Y$1101,20,0),"")</f>
        <v>_</v>
      </c>
      <c r="BJ241" s="449"/>
      <c r="BK241" s="447" t="str">
        <f>IF(Ruimtestaat[[#This Row],[Frequentie weekend]]="","",_xlfn.CONCAT(Ruimtestaat[[#This Row],[Ruimte code]],"-",Ruimtestaat[[#This Row],[Frequentie weekend]]," ",Ruimtestaat[[#This Row],[Vloer code]]))</f>
        <v/>
      </c>
      <c r="BL241" s="448" t="str">
        <f>_xlfn.IFNA(VLOOKUP($BK241,Programma!$F$3:$G$1101,2,0),"")</f>
        <v/>
      </c>
      <c r="BM241" s="448" t="str">
        <f>_xlfn.IFNA(VLOOKUP($BK241,Programma!$F$3:$H$1101,3,0),"")</f>
        <v/>
      </c>
      <c r="BN241" s="448" t="str">
        <f>_xlfn.IFNA(VLOOKUP($BK241,Programma!$F$3:$I$1101,4,0),"")</f>
        <v/>
      </c>
      <c r="BO241" s="448" t="str">
        <f>_xlfn.IFNA(VLOOKUP($BK241,Programma!$F$3:$J$1101,5,0),"")</f>
        <v/>
      </c>
      <c r="BP241" s="448" t="str">
        <f>_xlfn.IFNA(VLOOKUP($BK241,Programma!$F$3:$K$1101,6,0),"")</f>
        <v/>
      </c>
      <c r="BQ241" s="448" t="str">
        <f>_xlfn.IFNA(VLOOKUP($BK241,Programma!$F$3:$L$1101,7,0),"")</f>
        <v/>
      </c>
      <c r="BR241" s="448" t="str">
        <f>_xlfn.IFNA(VLOOKUP($BK241,Programma!$F$3:$M$1101,8,0),"")</f>
        <v/>
      </c>
      <c r="BS241" s="448" t="str">
        <f>_xlfn.IFNA(VLOOKUP($BK241,Programma!$F$3:$N$1101,9,0),"")</f>
        <v/>
      </c>
      <c r="BT241" s="448" t="str">
        <f>_xlfn.IFNA(VLOOKUP($BK241,Programma!$F$3:$O$1101,10,0),"")</f>
        <v/>
      </c>
      <c r="BU241" s="448" t="str">
        <f>_xlfn.IFNA(VLOOKUP($BK241,Programma!$F$3:$P$1101,11,0),"")</f>
        <v/>
      </c>
      <c r="BV241" s="448" t="str">
        <f>_xlfn.IFNA(VLOOKUP($BK241,Programma!$F$3:$Q$1101,12,0),"")</f>
        <v/>
      </c>
      <c r="BW241" s="448" t="str">
        <f>_xlfn.IFNA(VLOOKUP($BK241,Programma!$F$3:$R$1101,13,0),"")</f>
        <v/>
      </c>
      <c r="BX241" s="448" t="str">
        <f>_xlfn.IFNA(VLOOKUP($BK241,Programma!$F$3:$S$1101,14,0),"")</f>
        <v/>
      </c>
      <c r="BY241" s="448" t="str">
        <f>_xlfn.IFNA(VLOOKUP($BK241,Programma!$F$3:$T$1101,15,0),"")</f>
        <v/>
      </c>
      <c r="BZ241" s="448" t="str">
        <f>_xlfn.IFNA(VLOOKUP($BK241,Programma!$F$3:$U$1101,16,0),"")</f>
        <v/>
      </c>
      <c r="CA241" s="448" t="str">
        <f>_xlfn.IFNA(VLOOKUP($BK241,Programma!$F$3:$V$1101,17,0),"")</f>
        <v/>
      </c>
      <c r="CB241" s="448" t="str">
        <f>_xlfn.IFNA(VLOOKUP($BK241,Programma!$F$3:$W$1101,18,0),"")</f>
        <v/>
      </c>
      <c r="CC241" s="448" t="str">
        <f>_xlfn.IFNA(VLOOKUP($BK241,Programma!$F$3:$X$1101,19,0),"")</f>
        <v/>
      </c>
      <c r="CD241" s="448" t="str">
        <f>_xlfn.IFNA(VLOOKUP($BK241,Programma!$F$3:$Y$1101,20,0),"")</f>
        <v/>
      </c>
      <c r="CE241" s="327"/>
      <c r="CF241" s="327"/>
      <c r="CG241" s="327"/>
      <c r="CH241" s="327"/>
      <c r="CI241" s="327"/>
      <c r="CJ241" s="327"/>
      <c r="CK241" s="327"/>
      <c r="CL241" s="327"/>
      <c r="CM241" s="327"/>
      <c r="CN241" s="327"/>
      <c r="CO241" s="327"/>
      <c r="CP241" s="327"/>
      <c r="CQ241" s="327"/>
      <c r="CR241" s="327"/>
      <c r="CS241" s="327"/>
      <c r="CT241" s="327"/>
      <c r="CU241" s="327"/>
      <c r="CV241" s="327"/>
      <c r="CW241" s="327"/>
      <c r="CX241" s="327"/>
      <c r="CY241" s="327"/>
      <c r="CZ241" s="327"/>
      <c r="DA241" s="327"/>
      <c r="DB241" s="327"/>
      <c r="DC241" s="327"/>
      <c r="DD241" s="327"/>
      <c r="DE241" s="327"/>
      <c r="DF241" s="327"/>
      <c r="DG241" s="327"/>
      <c r="DH241" s="327"/>
      <c r="DI241" s="327"/>
      <c r="DJ241" s="327"/>
      <c r="DK241" s="327"/>
      <c r="DL241" s="327"/>
      <c r="DM241" s="327"/>
      <c r="DN241" s="327"/>
      <c r="DO241" s="327"/>
      <c r="DP241" s="327"/>
      <c r="DQ241" s="327"/>
      <c r="DR241" s="327"/>
      <c r="DS241" s="327"/>
      <c r="DT241" s="327"/>
      <c r="DU241" s="327"/>
      <c r="DV241" s="327"/>
      <c r="DW241" s="327"/>
      <c r="DX241" s="327"/>
      <c r="DY241" s="327"/>
      <c r="DZ241" s="327"/>
      <c r="EA241" s="327"/>
      <c r="EB241" s="327"/>
      <c r="EC241" s="327"/>
      <c r="ED241" s="327"/>
      <c r="EE241" s="327"/>
      <c r="EF241" s="327"/>
      <c r="EG241" s="327"/>
      <c r="EH241" s="327"/>
      <c r="EI241" s="327"/>
      <c r="EJ241" s="327"/>
      <c r="EK241" s="327"/>
      <c r="EL241" s="327"/>
      <c r="EM241" s="327"/>
      <c r="EN241" s="327"/>
      <c r="EO241" s="327"/>
      <c r="EP241" s="327"/>
      <c r="EQ241" s="327"/>
      <c r="ER241" s="327"/>
      <c r="ES241" s="327"/>
      <c r="ET241" s="327"/>
      <c r="EU241" s="327"/>
      <c r="EV241" s="327"/>
      <c r="EW241" s="327"/>
      <c r="EX241" s="327"/>
      <c r="EY241" s="327"/>
      <c r="EZ241" s="327"/>
      <c r="FA241" s="327"/>
      <c r="FB241" s="327"/>
      <c r="FC241" s="327"/>
      <c r="FD241" s="327"/>
      <c r="FE241" s="327"/>
      <c r="FF241" s="327"/>
      <c r="FG241" s="327"/>
      <c r="FH241" s="327"/>
      <c r="FI241" s="327"/>
      <c r="FJ241" s="327"/>
      <c r="FK241" s="327"/>
      <c r="FL241" s="327"/>
      <c r="FM241" s="327"/>
      <c r="FN241" s="327"/>
      <c r="FO241" s="327"/>
      <c r="FP241" s="327"/>
      <c r="FQ241" s="327"/>
      <c r="FR241" s="327"/>
      <c r="FS241" s="327"/>
      <c r="FT241" s="327"/>
      <c r="FU241" s="327"/>
      <c r="FV241" s="327"/>
      <c r="FW241" s="327"/>
      <c r="FX241" s="327"/>
      <c r="FY241" s="327"/>
      <c r="FZ241" s="327"/>
      <c r="GA241" s="327"/>
      <c r="GB241" s="327"/>
      <c r="GC241" s="327"/>
      <c r="GD241" s="327"/>
      <c r="GE241" s="327"/>
      <c r="GF241" s="327"/>
      <c r="GG241" s="327"/>
      <c r="GH241" s="327"/>
      <c r="GI241" s="327"/>
      <c r="GJ241" s="327"/>
      <c r="GK241" s="327"/>
      <c r="GL241" s="327"/>
      <c r="GM241" s="327"/>
      <c r="GN241" s="327"/>
      <c r="GO241" s="327"/>
      <c r="GP241" s="327"/>
      <c r="GQ241" s="327"/>
      <c r="GR241" s="327"/>
      <c r="GS241" s="327"/>
      <c r="GT241" s="327"/>
      <c r="GU241" s="327"/>
      <c r="GV241" s="327"/>
      <c r="GW241" s="327"/>
      <c r="GX241" s="327"/>
      <c r="GY241" s="327"/>
      <c r="GZ241" s="327"/>
      <c r="HA241" s="327"/>
      <c r="HB241" s="327"/>
      <c r="HC241" s="327"/>
      <c r="HD241" s="327"/>
      <c r="HE241" s="327"/>
      <c r="HF241" s="327"/>
      <c r="HG241" s="327"/>
      <c r="HH241" s="327"/>
      <c r="HI241" s="327"/>
      <c r="HJ241" s="327"/>
      <c r="HK241" s="327"/>
      <c r="HL241" s="327"/>
      <c r="HM241" s="327"/>
      <c r="HN241" s="327"/>
      <c r="HO241" s="327"/>
      <c r="HP241" s="327"/>
      <c r="HQ241" s="327"/>
      <c r="HR241" s="327"/>
      <c r="HS241" s="327"/>
    </row>
    <row r="242" spans="1:227" ht="15" customHeight="1">
      <c r="A242" s="330">
        <v>10</v>
      </c>
      <c r="B242" s="435" t="str">
        <f>VLOOKUP(Ruimtestaat[[#This Row],[Code]],Locaties[[Code]:[Locatie]],2,FALSE)</f>
        <v xml:space="preserve">IKC De Edelsteen </v>
      </c>
      <c r="C242" s="435" t="str">
        <f>VLOOKUP(Ruimtestaat[[#This Row],[Code]],Locaties[[#All],[Code]:[Adres]],4,FALSE)</f>
        <v>Sieraadlaan 100-102</v>
      </c>
      <c r="D242" s="435" t="str">
        <f>VLOOKUP(Ruimtestaat[[#This Row],[Code]],Locaties[[#All],[Code]:[Postcode]],5,FALSE)</f>
        <v>2719 SN</v>
      </c>
      <c r="E242" s="435" t="str">
        <f>VLOOKUP(Ruimtestaat[[#This Row],[Code]],Locaties[#All],6,FALSE)</f>
        <v>Zoetermeer</v>
      </c>
      <c r="F242" s="450"/>
      <c r="G242" s="330" t="s">
        <v>1678</v>
      </c>
      <c r="H242" s="330" t="s">
        <v>1669</v>
      </c>
      <c r="I242" s="450" t="s">
        <v>1679</v>
      </c>
      <c r="J242" s="330">
        <v>16</v>
      </c>
      <c r="K242" s="450" t="str">
        <f>VLOOKUP(Ruimtestaat[[#This Row],[Ruimte code]],Ruimtegroepen[[#All],[Code]:[Ruimte omschrijving]],2,FALSE)</f>
        <v>Leslokalen</v>
      </c>
      <c r="L242" s="434" t="s">
        <v>102</v>
      </c>
      <c r="M242" s="437" t="s">
        <v>2104</v>
      </c>
      <c r="N242" s="439"/>
      <c r="O242" s="439"/>
      <c r="P242" s="439">
        <v>82</v>
      </c>
      <c r="Q242" s="439"/>
      <c r="R242" s="440" t="str">
        <f>VLOOKUP(Ruimtestaat[[#This Row],[Ruimte code]],Ruimtegroepen[],4,FALSE)</f>
        <v>Le</v>
      </c>
      <c r="S242" s="434">
        <v>40</v>
      </c>
      <c r="T242" s="434" t="s">
        <v>2</v>
      </c>
      <c r="U242" s="434">
        <f>IF(S242&gt;0,IF(RIGHT(Ruimtestaat[[#This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2" s="434">
        <f>IF(U242&gt;0,VLOOKUP($J242,Ruimtegroepen[],3,FALSE)*VLOOKUP($L242,Vloersoorten[],3,FALSE)*VLOOKUP($T242,Frequenties[],3,FALSE)*VLOOKUP($A242,Locaties[],3,FALSE),0)</f>
        <v>0</v>
      </c>
      <c r="W242" s="434">
        <f>Ruimtestaat[[#This Row],[Uitvoeringen werkdagen]]*Ruimtestaat[[#This Row],[Oppervlak (netto)]]</f>
        <v>0</v>
      </c>
      <c r="X242" s="441">
        <f>IF(V242&gt;0,Ruimtestaat[[#This Row],[Prest. (m2 /jaar) werkdagen]]/Ruimtestaat[[#This Row],[Norm (m2/uur) werkdagen]],0)</f>
        <v>0</v>
      </c>
      <c r="Y242" s="442">
        <f>Ruimtestaat[[#This Row],[Uitvoeringen werkdagen]]*Ruimtestaat[[#This Row],[Gedeeltelijk]]</f>
        <v>16400</v>
      </c>
      <c r="Z242" s="443" t="e">
        <f>IF(U242&gt;0,Ruimtestaat[[#This Row],[Prest. (m2 / jaar) werkdagen gedeeld]]/Ruimtestaat[[#This Row],[Norm (m2/uur) werkdagen]],0)</f>
        <v>#DIV/0!</v>
      </c>
      <c r="AA242" s="441" t="e">
        <f>Ruimtestaat[[#This Row],[uren / jaar werkdagen gedeeld]]*Tariefsopbouw!$E$35</f>
        <v>#DIV/0!</v>
      </c>
      <c r="AB242" s="441">
        <f>Ruimtestaat[[#This Row],[Uitvoeringen werkdagen]]*Ruimtestaat[[#This Row],[BSO]]</f>
        <v>0</v>
      </c>
      <c r="AC242" s="443" t="e">
        <f>IF(U242&gt;0,Ruimtestaat[[#This Row],[Prest. (m2 / jaar) werkdagen BSO]]/Ruimtestaat[[#This Row],[Norm (m2/uur) werkdagen]],0)</f>
        <v>#DIV/0!</v>
      </c>
      <c r="AD242" s="443" t="e">
        <f>Ruimtestaat[[#This Row],[uren / jaar werkdagen BSO]]*Tariefsopbouw!$E$35</f>
        <v>#DIV/0!</v>
      </c>
      <c r="AE242" s="444">
        <f>Ruimtestaat[[#This Row],[uren / jaar werkdagen]]*Tariefsopbouw!$E$35</f>
        <v>0</v>
      </c>
      <c r="AF242" s="434"/>
      <c r="AG242" s="434">
        <f>IF(Ruimtestaat[[#This Row],[Frequentie weekend]]&gt;0,VALUE(LEFT(AF242,1))*S242,0)</f>
        <v>0</v>
      </c>
      <c r="AH242" s="445">
        <f>IF($AG242&gt;0,VLOOKUP($J242,Ruimtegroepen[],3,FALSE)*VLOOKUP($L242,Vloersoorten[],3,FALSE)*VLOOKUP($AF242,Frequenties[],3,FALSE)*VLOOKUP(Ruimtestaat[[#This Row],[Code]],Locaties[],3,FALSE),0)</f>
        <v>0</v>
      </c>
      <c r="AI242" s="445">
        <f>Ruimtestaat[[#This Row],[Uitvoeringen weekend]]*Ruimtestaat[[#This Row],[Oppervlak (netto)]]</f>
        <v>0</v>
      </c>
      <c r="AJ242" s="445">
        <f>IF(AH242&gt;0,Ruimtestaat[[#This Row],[Prest. (m2 /jaar) weekend]]/Ruimtestaat[[#This Row],[Norm (m2/uur) weekend]],0)</f>
        <v>0</v>
      </c>
      <c r="AK242" s="444">
        <f>Ruimtestaat[[#This Row],[uren / jaar weekend]]*Tariefsopbouw!$D$40</f>
        <v>0</v>
      </c>
      <c r="AL242" s="441">
        <f>Ruimtestaat[[#This Row],[Prest. (m2 /jaar) weekend]]+Ruimtestaat[[#This Row],[Prest. (m2 /jaar) werkdagen]]</f>
        <v>0</v>
      </c>
      <c r="AM242" s="441">
        <f>Ruimtestaat[[#This Row],[uren / jaar weekend]]+Ruimtestaat[[#This Row],[uren / jaar werkdagen]]</f>
        <v>0</v>
      </c>
      <c r="AN242" s="446">
        <f>Ruimtestaat[[#This Row],[kosten / jaar weekend]]+Ruimtestaat[[#This Row],[kosten / jaar werkdagen]]</f>
        <v>0</v>
      </c>
      <c r="AO242" s="446"/>
      <c r="AP242" s="447" t="str">
        <f>IF(Ruimtestaat[[#This Row],[Frequentie werkdagen]]="","",_xlfn.CONCAT(Ruimtestaat[[#This Row],[Ruimte code]],"-",Ruimtestaat[[#This Row],[Frequentie werkdagen]]," ",Ruimtestaat[[#This Row],[Vloer code]]))</f>
        <v>16-5w P</v>
      </c>
      <c r="AQ242" s="448" t="str">
        <f>_xlfn.IFNA(VLOOKUP($AP242,Programma!$F$3:$G$1101,2,0),"")</f>
        <v>_</v>
      </c>
      <c r="AR242" s="448" t="str">
        <f>_xlfn.IFNA(VLOOKUP($AP242,Programma!$F$3:$H$1101,3,0),"")</f>
        <v>_</v>
      </c>
      <c r="AS242" s="448" t="str">
        <f>_xlfn.IFNA(VLOOKUP($AP242,Programma!$F$3:$I$1101,4,0),"")</f>
        <v>4w</v>
      </c>
      <c r="AT242" s="448" t="str">
        <f>_xlfn.IFNA(VLOOKUP($AP242,Programma!$F$3:$J$1101,5,0),"")</f>
        <v>1w</v>
      </c>
      <c r="AU242" s="448" t="str">
        <f>_xlfn.IFNA(VLOOKUP($AP242,Programma!$F$3:$K$1101,6,0),"")</f>
        <v>1m</v>
      </c>
      <c r="AV242" s="448" t="str">
        <f>_xlfn.IFNA(VLOOKUP($AP242,Programma!$F$3:$L$1101,7,0),"")</f>
        <v>_</v>
      </c>
      <c r="AW242" s="448" t="str">
        <f>_xlfn.IFNA(VLOOKUP($AP242,Programma!$F$3:$M$1101,8,0),"")</f>
        <v>_</v>
      </c>
      <c r="AX242" s="448" t="str">
        <f>_xlfn.IFNA(VLOOKUP($AP242,Programma!$F$3:$N$1101,9,0),"")</f>
        <v>_</v>
      </c>
      <c r="AY242" s="448" t="str">
        <f>_xlfn.IFNA(VLOOKUP($AP242,Programma!$F$3:$O$1101,10,0),"")</f>
        <v>5w</v>
      </c>
      <c r="AZ242" s="448" t="str">
        <f>_xlfn.IFNA(VLOOKUP($AP242,Programma!$F$3:$P$1101,11,0),"")</f>
        <v>5w</v>
      </c>
      <c r="BA242" s="448" t="str">
        <f>_xlfn.IFNA(VLOOKUP($AP242,Programma!$F$3:$Q$1101,12,0),"")</f>
        <v>1w</v>
      </c>
      <c r="BB242" s="448" t="str">
        <f>_xlfn.IFNA(VLOOKUP($AP242,Programma!$F$3:$R$1101,13,0),"")</f>
        <v>1w</v>
      </c>
      <c r="BC242" s="448" t="str">
        <f>_xlfn.IFNA(VLOOKUP($AP242,Programma!$F$3:$S$1101,14,0),"")</f>
        <v>1m</v>
      </c>
      <c r="BD242" s="448" t="str">
        <f>_xlfn.IFNA(VLOOKUP($AP242,Programma!$F$3:$T$1101,15,0),"")</f>
        <v>2j</v>
      </c>
      <c r="BE242" s="448" t="str">
        <f>_xlfn.IFNA(VLOOKUP($AP242,Programma!$F$3:$U$1101,16,0),"")</f>
        <v>1j</v>
      </c>
      <c r="BF242" s="448" t="str">
        <f>_xlfn.IFNA(VLOOKUP($AP242,Programma!$F$3:$V$1101,17,0),"")</f>
        <v>_</v>
      </c>
      <c r="BG242" s="448" t="str">
        <f>_xlfn.IFNA(VLOOKUP($AP242,Programma!$F$3:$W$1101,18,0),"")</f>
        <v>_</v>
      </c>
      <c r="BH242" s="448" t="str">
        <f>_xlfn.IFNA(VLOOKUP($AP242,Programma!$F$3:$X$1101,19,0),"")</f>
        <v>_</v>
      </c>
      <c r="BI242" s="448" t="str">
        <f>_xlfn.IFNA(VLOOKUP($AP242,Programma!$F$3:$Y$1101,20,0),"")</f>
        <v>_</v>
      </c>
      <c r="BJ242" s="449"/>
      <c r="BK242" s="447" t="str">
        <f>IF(Ruimtestaat[[#This Row],[Frequentie weekend]]="","",_xlfn.CONCAT(Ruimtestaat[[#This Row],[Ruimte code]],"-",Ruimtestaat[[#This Row],[Frequentie weekend]]," ",Ruimtestaat[[#This Row],[Vloer code]]))</f>
        <v/>
      </c>
      <c r="BL242" s="448" t="str">
        <f>_xlfn.IFNA(VLOOKUP($BK242,Programma!$F$3:$G$1101,2,0),"")</f>
        <v/>
      </c>
      <c r="BM242" s="448" t="str">
        <f>_xlfn.IFNA(VLOOKUP($BK242,Programma!$F$3:$H$1101,3,0),"")</f>
        <v/>
      </c>
      <c r="BN242" s="448" t="str">
        <f>_xlfn.IFNA(VLOOKUP($BK242,Programma!$F$3:$I$1101,4,0),"")</f>
        <v/>
      </c>
      <c r="BO242" s="448" t="str">
        <f>_xlfn.IFNA(VLOOKUP($BK242,Programma!$F$3:$J$1101,5,0),"")</f>
        <v/>
      </c>
      <c r="BP242" s="448" t="str">
        <f>_xlfn.IFNA(VLOOKUP($BK242,Programma!$F$3:$K$1101,6,0),"")</f>
        <v/>
      </c>
      <c r="BQ242" s="448" t="str">
        <f>_xlfn.IFNA(VLOOKUP($BK242,Programma!$F$3:$L$1101,7,0),"")</f>
        <v/>
      </c>
      <c r="BR242" s="448" t="str">
        <f>_xlfn.IFNA(VLOOKUP($BK242,Programma!$F$3:$M$1101,8,0),"")</f>
        <v/>
      </c>
      <c r="BS242" s="448" t="str">
        <f>_xlfn.IFNA(VLOOKUP($BK242,Programma!$F$3:$N$1101,9,0),"")</f>
        <v/>
      </c>
      <c r="BT242" s="448" t="str">
        <f>_xlfn.IFNA(VLOOKUP($BK242,Programma!$F$3:$O$1101,10,0),"")</f>
        <v/>
      </c>
      <c r="BU242" s="448" t="str">
        <f>_xlfn.IFNA(VLOOKUP($BK242,Programma!$F$3:$P$1101,11,0),"")</f>
        <v/>
      </c>
      <c r="BV242" s="448" t="str">
        <f>_xlfn.IFNA(VLOOKUP($BK242,Programma!$F$3:$Q$1101,12,0),"")</f>
        <v/>
      </c>
      <c r="BW242" s="448" t="str">
        <f>_xlfn.IFNA(VLOOKUP($BK242,Programma!$F$3:$R$1101,13,0),"")</f>
        <v/>
      </c>
      <c r="BX242" s="448" t="str">
        <f>_xlfn.IFNA(VLOOKUP($BK242,Programma!$F$3:$S$1101,14,0),"")</f>
        <v/>
      </c>
      <c r="BY242" s="448" t="str">
        <f>_xlfn.IFNA(VLOOKUP($BK242,Programma!$F$3:$T$1101,15,0),"")</f>
        <v/>
      </c>
      <c r="BZ242" s="448" t="str">
        <f>_xlfn.IFNA(VLOOKUP($BK242,Programma!$F$3:$U$1101,16,0),"")</f>
        <v/>
      </c>
      <c r="CA242" s="448" t="str">
        <f>_xlfn.IFNA(VLOOKUP($BK242,Programma!$F$3:$V$1101,17,0),"")</f>
        <v/>
      </c>
      <c r="CB242" s="448" t="str">
        <f>_xlfn.IFNA(VLOOKUP($BK242,Programma!$F$3:$W$1101,18,0),"")</f>
        <v/>
      </c>
      <c r="CC242" s="448" t="str">
        <f>_xlfn.IFNA(VLOOKUP($BK242,Programma!$F$3:$X$1101,19,0),"")</f>
        <v/>
      </c>
      <c r="CD242" s="448" t="str">
        <f>_xlfn.IFNA(VLOOKUP($BK242,Programma!$F$3:$Y$1101,20,0),"")</f>
        <v/>
      </c>
      <c r="CE242" s="327"/>
      <c r="CF242" s="327"/>
      <c r="CG242" s="327"/>
      <c r="CH242" s="327"/>
      <c r="CI242" s="327"/>
      <c r="CJ242" s="327"/>
      <c r="CK242" s="327"/>
      <c r="CL242" s="327"/>
      <c r="CM242" s="327"/>
      <c r="CN242" s="327"/>
      <c r="CO242" s="327"/>
      <c r="CP242" s="327"/>
      <c r="CQ242" s="327"/>
      <c r="CR242" s="327"/>
      <c r="CS242" s="327"/>
      <c r="CT242" s="327"/>
      <c r="CU242" s="327"/>
      <c r="CV242" s="327"/>
      <c r="CW242" s="327"/>
      <c r="CX242" s="327"/>
      <c r="CY242" s="327"/>
      <c r="CZ242" s="327"/>
      <c r="DA242" s="327"/>
      <c r="DB242" s="327"/>
      <c r="DC242" s="327"/>
      <c r="DD242" s="327"/>
      <c r="DE242" s="327"/>
      <c r="DF242" s="327"/>
      <c r="DG242" s="327"/>
      <c r="DH242" s="327"/>
      <c r="DI242" s="327"/>
      <c r="DJ242" s="327"/>
      <c r="DK242" s="327"/>
      <c r="DL242" s="327"/>
      <c r="DM242" s="327"/>
      <c r="DN242" s="327"/>
      <c r="DO242" s="327"/>
      <c r="DP242" s="327"/>
      <c r="DQ242" s="327"/>
      <c r="DR242" s="327"/>
      <c r="DS242" s="327"/>
      <c r="DT242" s="327"/>
      <c r="DU242" s="327"/>
      <c r="DV242" s="327"/>
      <c r="DW242" s="327"/>
      <c r="DX242" s="327"/>
      <c r="DY242" s="327"/>
      <c r="DZ242" s="327"/>
      <c r="EA242" s="327"/>
      <c r="EB242" s="327"/>
      <c r="EC242" s="327"/>
      <c r="ED242" s="327"/>
      <c r="EE242" s="327"/>
      <c r="EF242" s="327"/>
      <c r="EG242" s="327"/>
      <c r="EH242" s="327"/>
      <c r="EI242" s="327"/>
      <c r="EJ242" s="327"/>
      <c r="EK242" s="327"/>
      <c r="EL242" s="327"/>
      <c r="EM242" s="327"/>
      <c r="EN242" s="327"/>
      <c r="EO242" s="327"/>
      <c r="EP242" s="327"/>
      <c r="EQ242" s="327"/>
      <c r="ER242" s="327"/>
      <c r="ES242" s="327"/>
      <c r="ET242" s="327"/>
      <c r="EU242" s="327"/>
      <c r="EV242" s="327"/>
      <c r="EW242" s="327"/>
      <c r="EX242" s="327"/>
      <c r="EY242" s="327"/>
      <c r="EZ242" s="327"/>
      <c r="FA242" s="327"/>
      <c r="FB242" s="327"/>
      <c r="FC242" s="327"/>
      <c r="FD242" s="327"/>
      <c r="FE242" s="327"/>
      <c r="FF242" s="327"/>
      <c r="FG242" s="327"/>
      <c r="FH242" s="327"/>
      <c r="FI242" s="327"/>
      <c r="FJ242" s="327"/>
      <c r="FK242" s="327"/>
      <c r="FL242" s="327"/>
      <c r="FM242" s="327"/>
      <c r="FN242" s="327"/>
      <c r="FO242" s="327"/>
      <c r="FP242" s="327"/>
      <c r="FQ242" s="327"/>
      <c r="FR242" s="327"/>
      <c r="FS242" s="327"/>
      <c r="FT242" s="327"/>
      <c r="FU242" s="327"/>
      <c r="FV242" s="327"/>
      <c r="FW242" s="327"/>
      <c r="FX242" s="327"/>
      <c r="FY242" s="327"/>
      <c r="FZ242" s="327"/>
      <c r="GA242" s="327"/>
      <c r="GB242" s="327"/>
      <c r="GC242" s="327"/>
      <c r="GD242" s="327"/>
      <c r="GE242" s="327"/>
      <c r="GF242" s="327"/>
      <c r="GG242" s="327"/>
      <c r="GH242" s="327"/>
      <c r="GI242" s="327"/>
      <c r="GJ242" s="327"/>
      <c r="GK242" s="327"/>
      <c r="GL242" s="327"/>
      <c r="GM242" s="327"/>
      <c r="GN242" s="327"/>
      <c r="GO242" s="327"/>
      <c r="GP242" s="327"/>
      <c r="GQ242" s="327"/>
      <c r="GR242" s="327"/>
      <c r="GS242" s="327"/>
      <c r="GT242" s="327"/>
      <c r="GU242" s="327"/>
      <c r="GV242" s="327"/>
      <c r="GW242" s="327"/>
      <c r="GX242" s="327"/>
      <c r="GY242" s="327"/>
      <c r="GZ242" s="327"/>
      <c r="HA242" s="327"/>
      <c r="HB242" s="327"/>
      <c r="HC242" s="327"/>
      <c r="HD242" s="327"/>
      <c r="HE242" s="327"/>
      <c r="HF242" s="327"/>
      <c r="HG242" s="327"/>
      <c r="HH242" s="327"/>
      <c r="HI242" s="327"/>
      <c r="HJ242" s="327"/>
      <c r="HK242" s="327"/>
      <c r="HL242" s="327"/>
      <c r="HM242" s="327"/>
      <c r="HN242" s="327"/>
      <c r="HO242" s="327"/>
      <c r="HP242" s="327"/>
      <c r="HQ242" s="327"/>
      <c r="HR242" s="327"/>
      <c r="HS242" s="327"/>
    </row>
    <row r="243" spans="1:227" ht="15" customHeight="1">
      <c r="A243" s="330">
        <v>10</v>
      </c>
      <c r="B243" s="435" t="str">
        <f>VLOOKUP(Ruimtestaat[[#This Row],[Code]],Locaties[[Code]:[Locatie]],2,FALSE)</f>
        <v xml:space="preserve">IKC De Edelsteen </v>
      </c>
      <c r="C243" s="435" t="str">
        <f>VLOOKUP(Ruimtestaat[[#This Row],[Code]],Locaties[[#All],[Code]:[Adres]],4,FALSE)</f>
        <v>Sieraadlaan 100-102</v>
      </c>
      <c r="D243" s="435" t="str">
        <f>VLOOKUP(Ruimtestaat[[#This Row],[Code]],Locaties[[#All],[Code]:[Postcode]],5,FALSE)</f>
        <v>2719 SN</v>
      </c>
      <c r="E243" s="435" t="str">
        <f>VLOOKUP(Ruimtestaat[[#This Row],[Code]],Locaties[#All],6,FALSE)</f>
        <v>Zoetermeer</v>
      </c>
      <c r="F243" s="450"/>
      <c r="G243" s="330" t="s">
        <v>1678</v>
      </c>
      <c r="H243" s="330" t="s">
        <v>1670</v>
      </c>
      <c r="I243" s="450" t="s">
        <v>1679</v>
      </c>
      <c r="J243" s="330">
        <v>16</v>
      </c>
      <c r="K243" s="450" t="str">
        <f>VLOOKUP(Ruimtestaat[[#This Row],[Ruimte code]],Ruimtegroepen[[#All],[Code]:[Ruimte omschrijving]],2,FALSE)</f>
        <v>Leslokalen</v>
      </c>
      <c r="L243" s="434" t="s">
        <v>100</v>
      </c>
      <c r="M243" s="437" t="s">
        <v>1759</v>
      </c>
      <c r="N243" s="439">
        <v>58</v>
      </c>
      <c r="O243" s="439"/>
      <c r="P243" s="439"/>
      <c r="Q243" s="439"/>
      <c r="R243" s="440" t="str">
        <f>VLOOKUP(Ruimtestaat[[#This Row],[Ruimte code]],Ruimtegroepen[],4,FALSE)</f>
        <v>Le</v>
      </c>
      <c r="S243" s="434">
        <v>40</v>
      </c>
      <c r="T243" s="434" t="s">
        <v>2</v>
      </c>
      <c r="U243" s="434">
        <f>IF(S243&gt;0,IF(RIGHT(Ruimtestaat[[#This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3" s="434">
        <f>IF(U243&gt;0,VLOOKUP($J243,Ruimtegroepen[],3,FALSE)*VLOOKUP($L243,Vloersoorten[],3,FALSE)*VLOOKUP($T243,Frequenties[],3,FALSE)*VLOOKUP($A243,Locaties[],3,FALSE),0)</f>
        <v>0</v>
      </c>
      <c r="W243" s="434">
        <f>Ruimtestaat[[#This Row],[Uitvoeringen werkdagen]]*Ruimtestaat[[#This Row],[Oppervlak (netto)]]</f>
        <v>11600</v>
      </c>
      <c r="X243" s="441">
        <f>IF(V243&gt;0,Ruimtestaat[[#This Row],[Prest. (m2 /jaar) werkdagen]]/Ruimtestaat[[#This Row],[Norm (m2/uur) werkdagen]],0)</f>
        <v>0</v>
      </c>
      <c r="Y243" s="442">
        <f>Ruimtestaat[[#This Row],[Uitvoeringen werkdagen]]*Ruimtestaat[[#This Row],[Gedeeltelijk]]</f>
        <v>0</v>
      </c>
      <c r="Z243" s="443" t="e">
        <f>IF(U243&gt;0,Ruimtestaat[[#This Row],[Prest. (m2 / jaar) werkdagen gedeeld]]/Ruimtestaat[[#This Row],[Norm (m2/uur) werkdagen]],0)</f>
        <v>#DIV/0!</v>
      </c>
      <c r="AA243" s="441" t="e">
        <f>Ruimtestaat[[#This Row],[uren / jaar werkdagen gedeeld]]*Tariefsopbouw!$E$35</f>
        <v>#DIV/0!</v>
      </c>
      <c r="AB243" s="441">
        <f>Ruimtestaat[[#This Row],[Uitvoeringen werkdagen]]*Ruimtestaat[[#This Row],[BSO]]</f>
        <v>0</v>
      </c>
      <c r="AC243" s="443" t="e">
        <f>IF(U243&gt;0,Ruimtestaat[[#This Row],[Prest. (m2 / jaar) werkdagen BSO]]/Ruimtestaat[[#This Row],[Norm (m2/uur) werkdagen]],0)</f>
        <v>#DIV/0!</v>
      </c>
      <c r="AD243" s="443" t="e">
        <f>Ruimtestaat[[#This Row],[uren / jaar werkdagen BSO]]*Tariefsopbouw!$E$35</f>
        <v>#DIV/0!</v>
      </c>
      <c r="AE243" s="444">
        <f>Ruimtestaat[[#This Row],[uren / jaar werkdagen]]*Tariefsopbouw!$E$35</f>
        <v>0</v>
      </c>
      <c r="AF243" s="434"/>
      <c r="AG243" s="434">
        <f>IF(Ruimtestaat[[#This Row],[Frequentie weekend]]&gt;0,VALUE(LEFT(AF243,1))*S243,0)</f>
        <v>0</v>
      </c>
      <c r="AH243" s="445">
        <f>IF($AG243&gt;0,VLOOKUP($J243,Ruimtegroepen[],3,FALSE)*VLOOKUP($L243,Vloersoorten[],3,FALSE)*VLOOKUP($AF243,Frequenties[],3,FALSE)*VLOOKUP(Ruimtestaat[[#This Row],[Code]],Locaties[],3,FALSE),0)</f>
        <v>0</v>
      </c>
      <c r="AI243" s="445">
        <f>Ruimtestaat[[#This Row],[Uitvoeringen weekend]]*Ruimtestaat[[#This Row],[Oppervlak (netto)]]</f>
        <v>0</v>
      </c>
      <c r="AJ243" s="445">
        <f>IF(AH243&gt;0,Ruimtestaat[[#This Row],[Prest. (m2 /jaar) weekend]]/Ruimtestaat[[#This Row],[Norm (m2/uur) weekend]],0)</f>
        <v>0</v>
      </c>
      <c r="AK243" s="444">
        <f>Ruimtestaat[[#This Row],[uren / jaar weekend]]*Tariefsopbouw!$D$40</f>
        <v>0</v>
      </c>
      <c r="AL243" s="441">
        <f>Ruimtestaat[[#This Row],[Prest. (m2 /jaar) weekend]]+Ruimtestaat[[#This Row],[Prest. (m2 /jaar) werkdagen]]</f>
        <v>11600</v>
      </c>
      <c r="AM243" s="441">
        <f>Ruimtestaat[[#This Row],[uren / jaar weekend]]+Ruimtestaat[[#This Row],[uren / jaar werkdagen]]</f>
        <v>0</v>
      </c>
      <c r="AN243" s="446">
        <f>Ruimtestaat[[#This Row],[kosten / jaar weekend]]+Ruimtestaat[[#This Row],[kosten / jaar werkdagen]]</f>
        <v>0</v>
      </c>
      <c r="AO243" s="446"/>
      <c r="AP243" s="447" t="str">
        <f>IF(Ruimtestaat[[#This Row],[Frequentie werkdagen]]="","",_xlfn.CONCAT(Ruimtestaat[[#This Row],[Ruimte code]],"-",Ruimtestaat[[#This Row],[Frequentie werkdagen]]," ",Ruimtestaat[[#This Row],[Vloer code]]))</f>
        <v>16-5w L</v>
      </c>
      <c r="AQ243" s="448" t="str">
        <f>_xlfn.IFNA(VLOOKUP($AP243,Programma!$F$3:$G$1101,2,0),"")</f>
        <v>_</v>
      </c>
      <c r="AR243" s="448" t="str">
        <f>_xlfn.IFNA(VLOOKUP($AP243,Programma!$F$3:$H$1101,3,0),"")</f>
        <v>_</v>
      </c>
      <c r="AS243" s="448" t="str">
        <f>_xlfn.IFNA(VLOOKUP($AP243,Programma!$F$3:$I$1101,4,0),"")</f>
        <v>4w</v>
      </c>
      <c r="AT243" s="448" t="str">
        <f>_xlfn.IFNA(VLOOKUP($AP243,Programma!$F$3:$J$1101,5,0),"")</f>
        <v>1w</v>
      </c>
      <c r="AU243" s="448" t="str">
        <f>_xlfn.IFNA(VLOOKUP($AP243,Programma!$F$3:$K$1101,6,0),"")</f>
        <v>_</v>
      </c>
      <c r="AV243" s="448" t="str">
        <f>_xlfn.IFNA(VLOOKUP($AP243,Programma!$F$3:$L$1101,7,0),"")</f>
        <v>_</v>
      </c>
      <c r="AW243" s="448" t="str">
        <f>_xlfn.IFNA(VLOOKUP($AP243,Programma!$F$3:$M$1101,8,0),"")</f>
        <v>_</v>
      </c>
      <c r="AX243" s="448" t="str">
        <f>_xlfn.IFNA(VLOOKUP($AP243,Programma!$F$3:$N$1101,9,0),"")</f>
        <v>_</v>
      </c>
      <c r="AY243" s="448" t="str">
        <f>_xlfn.IFNA(VLOOKUP($AP243,Programma!$F$3:$O$1101,10,0),"")</f>
        <v>5w</v>
      </c>
      <c r="AZ243" s="448" t="str">
        <f>_xlfn.IFNA(VLOOKUP($AP243,Programma!$F$3:$P$1101,11,0),"")</f>
        <v>5w</v>
      </c>
      <c r="BA243" s="448" t="str">
        <f>_xlfn.IFNA(VLOOKUP($AP243,Programma!$F$3:$Q$1101,12,0),"")</f>
        <v>1w</v>
      </c>
      <c r="BB243" s="448" t="str">
        <f>_xlfn.IFNA(VLOOKUP($AP243,Programma!$F$3:$R$1101,13,0),"")</f>
        <v>1w</v>
      </c>
      <c r="BC243" s="448" t="str">
        <f>_xlfn.IFNA(VLOOKUP($AP243,Programma!$F$3:$S$1101,14,0),"")</f>
        <v>1m</v>
      </c>
      <c r="BD243" s="448" t="str">
        <f>_xlfn.IFNA(VLOOKUP($AP243,Programma!$F$3:$T$1101,15,0),"")</f>
        <v>2j</v>
      </c>
      <c r="BE243" s="448" t="str">
        <f>_xlfn.IFNA(VLOOKUP($AP243,Programma!$F$3:$U$1101,16,0),"")</f>
        <v>1j</v>
      </c>
      <c r="BF243" s="448" t="str">
        <f>_xlfn.IFNA(VLOOKUP($AP243,Programma!$F$3:$V$1101,17,0),"")</f>
        <v>_</v>
      </c>
      <c r="BG243" s="448" t="str">
        <f>_xlfn.IFNA(VLOOKUP($AP243,Programma!$F$3:$W$1101,18,0),"")</f>
        <v>_</v>
      </c>
      <c r="BH243" s="448" t="str">
        <f>_xlfn.IFNA(VLOOKUP($AP243,Programma!$F$3:$X$1101,19,0),"")</f>
        <v>_</v>
      </c>
      <c r="BI243" s="448" t="str">
        <f>_xlfn.IFNA(VLOOKUP($AP243,Programma!$F$3:$Y$1101,20,0),"")</f>
        <v>_</v>
      </c>
      <c r="BJ243" s="449"/>
      <c r="BK243" s="447" t="str">
        <f>IF(Ruimtestaat[[#This Row],[Frequentie weekend]]="","",_xlfn.CONCAT(Ruimtestaat[[#This Row],[Ruimte code]],"-",Ruimtestaat[[#This Row],[Frequentie weekend]]," ",Ruimtestaat[[#This Row],[Vloer code]]))</f>
        <v/>
      </c>
      <c r="BL243" s="448" t="str">
        <f>_xlfn.IFNA(VLOOKUP($BK243,Programma!$F$3:$G$1101,2,0),"")</f>
        <v/>
      </c>
      <c r="BM243" s="448" t="str">
        <f>_xlfn.IFNA(VLOOKUP($BK243,Programma!$F$3:$H$1101,3,0),"")</f>
        <v/>
      </c>
      <c r="BN243" s="448" t="str">
        <f>_xlfn.IFNA(VLOOKUP($BK243,Programma!$F$3:$I$1101,4,0),"")</f>
        <v/>
      </c>
      <c r="BO243" s="448" t="str">
        <f>_xlfn.IFNA(VLOOKUP($BK243,Programma!$F$3:$J$1101,5,0),"")</f>
        <v/>
      </c>
      <c r="BP243" s="448" t="str">
        <f>_xlfn.IFNA(VLOOKUP($BK243,Programma!$F$3:$K$1101,6,0),"")</f>
        <v/>
      </c>
      <c r="BQ243" s="448" t="str">
        <f>_xlfn.IFNA(VLOOKUP($BK243,Programma!$F$3:$L$1101,7,0),"")</f>
        <v/>
      </c>
      <c r="BR243" s="448" t="str">
        <f>_xlfn.IFNA(VLOOKUP($BK243,Programma!$F$3:$M$1101,8,0),"")</f>
        <v/>
      </c>
      <c r="BS243" s="448" t="str">
        <f>_xlfn.IFNA(VLOOKUP($BK243,Programma!$F$3:$N$1101,9,0),"")</f>
        <v/>
      </c>
      <c r="BT243" s="448" t="str">
        <f>_xlfn.IFNA(VLOOKUP($BK243,Programma!$F$3:$O$1101,10,0),"")</f>
        <v/>
      </c>
      <c r="BU243" s="448" t="str">
        <f>_xlfn.IFNA(VLOOKUP($BK243,Programma!$F$3:$P$1101,11,0),"")</f>
        <v/>
      </c>
      <c r="BV243" s="448" t="str">
        <f>_xlfn.IFNA(VLOOKUP($BK243,Programma!$F$3:$Q$1101,12,0),"")</f>
        <v/>
      </c>
      <c r="BW243" s="448" t="str">
        <f>_xlfn.IFNA(VLOOKUP($BK243,Programma!$F$3:$R$1101,13,0),"")</f>
        <v/>
      </c>
      <c r="BX243" s="448" t="str">
        <f>_xlfn.IFNA(VLOOKUP($BK243,Programma!$F$3:$S$1101,14,0),"")</f>
        <v/>
      </c>
      <c r="BY243" s="448" t="str">
        <f>_xlfn.IFNA(VLOOKUP($BK243,Programma!$F$3:$T$1101,15,0),"")</f>
        <v/>
      </c>
      <c r="BZ243" s="448" t="str">
        <f>_xlfn.IFNA(VLOOKUP($BK243,Programma!$F$3:$U$1101,16,0),"")</f>
        <v/>
      </c>
      <c r="CA243" s="448" t="str">
        <f>_xlfn.IFNA(VLOOKUP($BK243,Programma!$F$3:$V$1101,17,0),"")</f>
        <v/>
      </c>
      <c r="CB243" s="448" t="str">
        <f>_xlfn.IFNA(VLOOKUP($BK243,Programma!$F$3:$W$1101,18,0),"")</f>
        <v/>
      </c>
      <c r="CC243" s="448" t="str">
        <f>_xlfn.IFNA(VLOOKUP($BK243,Programma!$F$3:$X$1101,19,0),"")</f>
        <v/>
      </c>
      <c r="CD243" s="448" t="str">
        <f>_xlfn.IFNA(VLOOKUP($BK243,Programma!$F$3:$Y$1101,20,0),"")</f>
        <v/>
      </c>
      <c r="CE243" s="327"/>
      <c r="CF243" s="327"/>
      <c r="CG243" s="327"/>
      <c r="CH243" s="327"/>
      <c r="CI243" s="327"/>
      <c r="CJ243" s="327"/>
      <c r="CK243" s="327"/>
      <c r="CL243" s="327"/>
      <c r="CM243" s="327"/>
      <c r="CN243" s="327"/>
      <c r="CO243" s="327"/>
      <c r="CP243" s="327"/>
      <c r="CQ243" s="327"/>
      <c r="CR243" s="327"/>
      <c r="CS243" s="327"/>
      <c r="CT243" s="327"/>
      <c r="CU243" s="327"/>
      <c r="CV243" s="327"/>
      <c r="CW243" s="327"/>
      <c r="CX243" s="327"/>
      <c r="CY243" s="327"/>
      <c r="CZ243" s="327"/>
      <c r="DA243" s="327"/>
      <c r="DB243" s="327"/>
      <c r="DC243" s="327"/>
      <c r="DD243" s="327"/>
      <c r="DE243" s="327"/>
      <c r="DF243" s="327"/>
      <c r="DG243" s="327"/>
      <c r="DH243" s="327"/>
      <c r="DI243" s="327"/>
      <c r="DJ243" s="327"/>
      <c r="DK243" s="327"/>
      <c r="DL243" s="327"/>
      <c r="DM243" s="327"/>
      <c r="DN243" s="327"/>
      <c r="DO243" s="327"/>
      <c r="DP243" s="327"/>
      <c r="DQ243" s="327"/>
      <c r="DR243" s="327"/>
      <c r="DS243" s="327"/>
      <c r="DT243" s="327"/>
      <c r="DU243" s="327"/>
      <c r="DV243" s="327"/>
      <c r="DW243" s="327"/>
      <c r="DX243" s="327"/>
      <c r="DY243" s="327"/>
      <c r="DZ243" s="327"/>
      <c r="EA243" s="327"/>
      <c r="EB243" s="327"/>
      <c r="EC243" s="327"/>
      <c r="ED243" s="327"/>
      <c r="EE243" s="327"/>
      <c r="EF243" s="327"/>
      <c r="EG243" s="327"/>
      <c r="EH243" s="327"/>
      <c r="EI243" s="327"/>
      <c r="EJ243" s="327"/>
      <c r="EK243" s="327"/>
      <c r="EL243" s="327"/>
      <c r="EM243" s="327"/>
      <c r="EN243" s="327"/>
      <c r="EO243" s="327"/>
      <c r="EP243" s="327"/>
      <c r="EQ243" s="327"/>
      <c r="ER243" s="327"/>
      <c r="ES243" s="327"/>
      <c r="ET243" s="327"/>
      <c r="EU243" s="327"/>
      <c r="EV243" s="327"/>
      <c r="EW243" s="327"/>
      <c r="EX243" s="327"/>
      <c r="EY243" s="327"/>
      <c r="EZ243" s="327"/>
      <c r="FA243" s="327"/>
      <c r="FB243" s="327"/>
      <c r="FC243" s="327"/>
      <c r="FD243" s="327"/>
      <c r="FE243" s="327"/>
      <c r="FF243" s="327"/>
      <c r="FG243" s="327"/>
      <c r="FH243" s="327"/>
      <c r="FI243" s="327"/>
      <c r="FJ243" s="327"/>
      <c r="FK243" s="327"/>
      <c r="FL243" s="327"/>
      <c r="FM243" s="327"/>
      <c r="FN243" s="327"/>
      <c r="FO243" s="327"/>
      <c r="FP243" s="327"/>
      <c r="FQ243" s="327"/>
      <c r="FR243" s="327"/>
      <c r="FS243" s="327"/>
      <c r="FT243" s="327"/>
      <c r="FU243" s="327"/>
      <c r="FV243" s="327"/>
      <c r="FW243" s="327"/>
      <c r="FX243" s="327"/>
      <c r="FY243" s="327"/>
      <c r="FZ243" s="327"/>
      <c r="GA243" s="327"/>
      <c r="GB243" s="327"/>
      <c r="GC243" s="327"/>
      <c r="GD243" s="327"/>
      <c r="GE243" s="327"/>
      <c r="GF243" s="327"/>
      <c r="GG243" s="327"/>
      <c r="GH243" s="327"/>
      <c r="GI243" s="327"/>
      <c r="GJ243" s="327"/>
      <c r="GK243" s="327"/>
      <c r="GL243" s="327"/>
      <c r="GM243" s="327"/>
      <c r="GN243" s="327"/>
      <c r="GO243" s="327"/>
      <c r="GP243" s="327"/>
      <c r="GQ243" s="327"/>
      <c r="GR243" s="327"/>
      <c r="GS243" s="327"/>
      <c r="GT243" s="327"/>
      <c r="GU243" s="327"/>
      <c r="GV243" s="327"/>
      <c r="GW243" s="327"/>
      <c r="GX243" s="327"/>
      <c r="GY243" s="327"/>
      <c r="GZ243" s="327"/>
      <c r="HA243" s="327"/>
      <c r="HB243" s="327"/>
      <c r="HC243" s="327"/>
      <c r="HD243" s="327"/>
      <c r="HE243" s="327"/>
      <c r="HF243" s="327"/>
      <c r="HG243" s="327"/>
      <c r="HH243" s="327"/>
      <c r="HI243" s="327"/>
      <c r="HJ243" s="327"/>
      <c r="HK243" s="327"/>
      <c r="HL243" s="327"/>
      <c r="HM243" s="327"/>
      <c r="HN243" s="327"/>
      <c r="HO243" s="327"/>
      <c r="HP243" s="327"/>
      <c r="HQ243" s="327"/>
      <c r="HR243" s="327"/>
      <c r="HS243" s="327"/>
    </row>
    <row r="244" spans="1:227" ht="15" customHeight="1">
      <c r="A244" s="330">
        <v>10</v>
      </c>
      <c r="B244" s="435" t="str">
        <f>VLOOKUP(Ruimtestaat[[#This Row],[Code]],Locaties[[Code]:[Locatie]],2,FALSE)</f>
        <v xml:space="preserve">IKC De Edelsteen </v>
      </c>
      <c r="C244" s="435" t="str">
        <f>VLOOKUP(Ruimtestaat[[#This Row],[Code]],Locaties[[#All],[Code]:[Adres]],4,FALSE)</f>
        <v>Sieraadlaan 100-102</v>
      </c>
      <c r="D244" s="435" t="str">
        <f>VLOOKUP(Ruimtestaat[[#This Row],[Code]],Locaties[[#All],[Code]:[Postcode]],5,FALSE)</f>
        <v>2719 SN</v>
      </c>
      <c r="E244" s="435" t="str">
        <f>VLOOKUP(Ruimtestaat[[#This Row],[Code]],Locaties[#All],6,FALSE)</f>
        <v>Zoetermeer</v>
      </c>
      <c r="F244" s="450"/>
      <c r="G244" s="330" t="s">
        <v>1678</v>
      </c>
      <c r="H244" s="330" t="s">
        <v>1672</v>
      </c>
      <c r="I244" s="450" t="s">
        <v>1679</v>
      </c>
      <c r="J244" s="330">
        <v>16</v>
      </c>
      <c r="K244" s="450" t="str">
        <f>VLOOKUP(Ruimtestaat[[#This Row],[Ruimte code]],Ruimtegroepen[[#All],[Code]:[Ruimte omschrijving]],2,FALSE)</f>
        <v>Leslokalen</v>
      </c>
      <c r="L244" s="434" t="s">
        <v>100</v>
      </c>
      <c r="M244" s="437" t="s">
        <v>1759</v>
      </c>
      <c r="N244" s="439">
        <v>58</v>
      </c>
      <c r="O244" s="439"/>
      <c r="P244" s="439"/>
      <c r="Q244" s="439"/>
      <c r="R244" s="440" t="str">
        <f>VLOOKUP(Ruimtestaat[[#This Row],[Ruimte code]],Ruimtegroepen[],4,FALSE)</f>
        <v>Le</v>
      </c>
      <c r="S244" s="434">
        <v>40</v>
      </c>
      <c r="T244" s="434" t="s">
        <v>2</v>
      </c>
      <c r="U244" s="434">
        <f>IF(S244&gt;0,IF(RIGHT(Ruimtestaat[[#This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4" s="434">
        <f>IF(U244&gt;0,VLOOKUP($J244,Ruimtegroepen[],3,FALSE)*VLOOKUP($L244,Vloersoorten[],3,FALSE)*VLOOKUP($T244,Frequenties[],3,FALSE)*VLOOKUP($A244,Locaties[],3,FALSE),0)</f>
        <v>0</v>
      </c>
      <c r="W244" s="434">
        <f>Ruimtestaat[[#This Row],[Uitvoeringen werkdagen]]*Ruimtestaat[[#This Row],[Oppervlak (netto)]]</f>
        <v>11600</v>
      </c>
      <c r="X244" s="441">
        <f>IF(V244&gt;0,Ruimtestaat[[#This Row],[Prest. (m2 /jaar) werkdagen]]/Ruimtestaat[[#This Row],[Norm (m2/uur) werkdagen]],0)</f>
        <v>0</v>
      </c>
      <c r="Y244" s="442">
        <f>Ruimtestaat[[#This Row],[Uitvoeringen werkdagen]]*Ruimtestaat[[#This Row],[Gedeeltelijk]]</f>
        <v>0</v>
      </c>
      <c r="Z244" s="443" t="e">
        <f>IF(U244&gt;0,Ruimtestaat[[#This Row],[Prest. (m2 / jaar) werkdagen gedeeld]]/Ruimtestaat[[#This Row],[Norm (m2/uur) werkdagen]],0)</f>
        <v>#DIV/0!</v>
      </c>
      <c r="AA244" s="441" t="e">
        <f>Ruimtestaat[[#This Row],[uren / jaar werkdagen gedeeld]]*Tariefsopbouw!$E$35</f>
        <v>#DIV/0!</v>
      </c>
      <c r="AB244" s="441">
        <f>Ruimtestaat[[#This Row],[Uitvoeringen werkdagen]]*Ruimtestaat[[#This Row],[BSO]]</f>
        <v>0</v>
      </c>
      <c r="AC244" s="443" t="e">
        <f>IF(U244&gt;0,Ruimtestaat[[#This Row],[Prest. (m2 / jaar) werkdagen BSO]]/Ruimtestaat[[#This Row],[Norm (m2/uur) werkdagen]],0)</f>
        <v>#DIV/0!</v>
      </c>
      <c r="AD244" s="443" t="e">
        <f>Ruimtestaat[[#This Row],[uren / jaar werkdagen BSO]]*Tariefsopbouw!$E$35</f>
        <v>#DIV/0!</v>
      </c>
      <c r="AE244" s="444">
        <f>Ruimtestaat[[#This Row],[uren / jaar werkdagen]]*Tariefsopbouw!$E$35</f>
        <v>0</v>
      </c>
      <c r="AF244" s="434"/>
      <c r="AG244" s="434">
        <f>IF(Ruimtestaat[[#This Row],[Frequentie weekend]]&gt;0,VALUE(LEFT(AF244,1))*S244,0)</f>
        <v>0</v>
      </c>
      <c r="AH244" s="445">
        <f>IF($AG244&gt;0,VLOOKUP($J244,Ruimtegroepen[],3,FALSE)*VLOOKUP($L244,Vloersoorten[],3,FALSE)*VLOOKUP($AF244,Frequenties[],3,FALSE)*VLOOKUP(Ruimtestaat[[#This Row],[Code]],Locaties[],3,FALSE),0)</f>
        <v>0</v>
      </c>
      <c r="AI244" s="445">
        <f>Ruimtestaat[[#This Row],[Uitvoeringen weekend]]*Ruimtestaat[[#This Row],[Oppervlak (netto)]]</f>
        <v>0</v>
      </c>
      <c r="AJ244" s="445">
        <f>IF(AH244&gt;0,Ruimtestaat[[#This Row],[Prest. (m2 /jaar) weekend]]/Ruimtestaat[[#This Row],[Norm (m2/uur) weekend]],0)</f>
        <v>0</v>
      </c>
      <c r="AK244" s="444">
        <f>Ruimtestaat[[#This Row],[uren / jaar weekend]]*Tariefsopbouw!$D$40</f>
        <v>0</v>
      </c>
      <c r="AL244" s="441">
        <f>Ruimtestaat[[#This Row],[Prest. (m2 /jaar) weekend]]+Ruimtestaat[[#This Row],[Prest. (m2 /jaar) werkdagen]]</f>
        <v>11600</v>
      </c>
      <c r="AM244" s="441">
        <f>Ruimtestaat[[#This Row],[uren / jaar weekend]]+Ruimtestaat[[#This Row],[uren / jaar werkdagen]]</f>
        <v>0</v>
      </c>
      <c r="AN244" s="446">
        <f>Ruimtestaat[[#This Row],[kosten / jaar weekend]]+Ruimtestaat[[#This Row],[kosten / jaar werkdagen]]</f>
        <v>0</v>
      </c>
      <c r="AO244" s="446"/>
      <c r="AP244" s="447" t="str">
        <f>IF(Ruimtestaat[[#This Row],[Frequentie werkdagen]]="","",_xlfn.CONCAT(Ruimtestaat[[#This Row],[Ruimte code]],"-",Ruimtestaat[[#This Row],[Frequentie werkdagen]]," ",Ruimtestaat[[#This Row],[Vloer code]]))</f>
        <v>16-5w L</v>
      </c>
      <c r="AQ244" s="448" t="str">
        <f>_xlfn.IFNA(VLOOKUP($AP244,Programma!$F$3:$G$1101,2,0),"")</f>
        <v>_</v>
      </c>
      <c r="AR244" s="448" t="str">
        <f>_xlfn.IFNA(VLOOKUP($AP244,Programma!$F$3:$H$1101,3,0),"")</f>
        <v>_</v>
      </c>
      <c r="AS244" s="448" t="str">
        <f>_xlfn.IFNA(VLOOKUP($AP244,Programma!$F$3:$I$1101,4,0),"")</f>
        <v>4w</v>
      </c>
      <c r="AT244" s="448" t="str">
        <f>_xlfn.IFNA(VLOOKUP($AP244,Programma!$F$3:$J$1101,5,0),"")</f>
        <v>1w</v>
      </c>
      <c r="AU244" s="448" t="str">
        <f>_xlfn.IFNA(VLOOKUP($AP244,Programma!$F$3:$K$1101,6,0),"")</f>
        <v>_</v>
      </c>
      <c r="AV244" s="448" t="str">
        <f>_xlfn.IFNA(VLOOKUP($AP244,Programma!$F$3:$L$1101,7,0),"")</f>
        <v>_</v>
      </c>
      <c r="AW244" s="448" t="str">
        <f>_xlfn.IFNA(VLOOKUP($AP244,Programma!$F$3:$M$1101,8,0),"")</f>
        <v>_</v>
      </c>
      <c r="AX244" s="448" t="str">
        <f>_xlfn.IFNA(VLOOKUP($AP244,Programma!$F$3:$N$1101,9,0),"")</f>
        <v>_</v>
      </c>
      <c r="AY244" s="448" t="str">
        <f>_xlfn.IFNA(VLOOKUP($AP244,Programma!$F$3:$O$1101,10,0),"")</f>
        <v>5w</v>
      </c>
      <c r="AZ244" s="448" t="str">
        <f>_xlfn.IFNA(VLOOKUP($AP244,Programma!$F$3:$P$1101,11,0),"")</f>
        <v>5w</v>
      </c>
      <c r="BA244" s="448" t="str">
        <f>_xlfn.IFNA(VLOOKUP($AP244,Programma!$F$3:$Q$1101,12,0),"")</f>
        <v>1w</v>
      </c>
      <c r="BB244" s="448" t="str">
        <f>_xlfn.IFNA(VLOOKUP($AP244,Programma!$F$3:$R$1101,13,0),"")</f>
        <v>1w</v>
      </c>
      <c r="BC244" s="448" t="str">
        <f>_xlfn.IFNA(VLOOKUP($AP244,Programma!$F$3:$S$1101,14,0),"")</f>
        <v>1m</v>
      </c>
      <c r="BD244" s="448" t="str">
        <f>_xlfn.IFNA(VLOOKUP($AP244,Programma!$F$3:$T$1101,15,0),"")</f>
        <v>2j</v>
      </c>
      <c r="BE244" s="448" t="str">
        <f>_xlfn.IFNA(VLOOKUP($AP244,Programma!$F$3:$U$1101,16,0),"")</f>
        <v>1j</v>
      </c>
      <c r="BF244" s="448" t="str">
        <f>_xlfn.IFNA(VLOOKUP($AP244,Programma!$F$3:$V$1101,17,0),"")</f>
        <v>_</v>
      </c>
      <c r="BG244" s="448" t="str">
        <f>_xlfn.IFNA(VLOOKUP($AP244,Programma!$F$3:$W$1101,18,0),"")</f>
        <v>_</v>
      </c>
      <c r="BH244" s="448" t="str">
        <f>_xlfn.IFNA(VLOOKUP($AP244,Programma!$F$3:$X$1101,19,0),"")</f>
        <v>_</v>
      </c>
      <c r="BI244" s="448" t="str">
        <f>_xlfn.IFNA(VLOOKUP($AP244,Programma!$F$3:$Y$1101,20,0),"")</f>
        <v>_</v>
      </c>
      <c r="BJ244" s="449"/>
      <c r="BK244" s="447" t="str">
        <f>IF(Ruimtestaat[[#This Row],[Frequentie weekend]]="","",_xlfn.CONCAT(Ruimtestaat[[#This Row],[Ruimte code]],"-",Ruimtestaat[[#This Row],[Frequentie weekend]]," ",Ruimtestaat[[#This Row],[Vloer code]]))</f>
        <v/>
      </c>
      <c r="BL244" s="448" t="str">
        <f>_xlfn.IFNA(VLOOKUP($BK244,Programma!$F$3:$G$1101,2,0),"")</f>
        <v/>
      </c>
      <c r="BM244" s="448" t="str">
        <f>_xlfn.IFNA(VLOOKUP($BK244,Programma!$F$3:$H$1101,3,0),"")</f>
        <v/>
      </c>
      <c r="BN244" s="448" t="str">
        <f>_xlfn.IFNA(VLOOKUP($BK244,Programma!$F$3:$I$1101,4,0),"")</f>
        <v/>
      </c>
      <c r="BO244" s="448" t="str">
        <f>_xlfn.IFNA(VLOOKUP($BK244,Programma!$F$3:$J$1101,5,0),"")</f>
        <v/>
      </c>
      <c r="BP244" s="448" t="str">
        <f>_xlfn.IFNA(VLOOKUP($BK244,Programma!$F$3:$K$1101,6,0),"")</f>
        <v/>
      </c>
      <c r="BQ244" s="448" t="str">
        <f>_xlfn.IFNA(VLOOKUP($BK244,Programma!$F$3:$L$1101,7,0),"")</f>
        <v/>
      </c>
      <c r="BR244" s="448" t="str">
        <f>_xlfn.IFNA(VLOOKUP($BK244,Programma!$F$3:$M$1101,8,0),"")</f>
        <v/>
      </c>
      <c r="BS244" s="448" t="str">
        <f>_xlfn.IFNA(VLOOKUP($BK244,Programma!$F$3:$N$1101,9,0),"")</f>
        <v/>
      </c>
      <c r="BT244" s="448" t="str">
        <f>_xlfn.IFNA(VLOOKUP($BK244,Programma!$F$3:$O$1101,10,0),"")</f>
        <v/>
      </c>
      <c r="BU244" s="448" t="str">
        <f>_xlfn.IFNA(VLOOKUP($BK244,Programma!$F$3:$P$1101,11,0),"")</f>
        <v/>
      </c>
      <c r="BV244" s="448" t="str">
        <f>_xlfn.IFNA(VLOOKUP($BK244,Programma!$F$3:$Q$1101,12,0),"")</f>
        <v/>
      </c>
      <c r="BW244" s="448" t="str">
        <f>_xlfn.IFNA(VLOOKUP($BK244,Programma!$F$3:$R$1101,13,0),"")</f>
        <v/>
      </c>
      <c r="BX244" s="448" t="str">
        <f>_xlfn.IFNA(VLOOKUP($BK244,Programma!$F$3:$S$1101,14,0),"")</f>
        <v/>
      </c>
      <c r="BY244" s="448" t="str">
        <f>_xlfn.IFNA(VLOOKUP($BK244,Programma!$F$3:$T$1101,15,0),"")</f>
        <v/>
      </c>
      <c r="BZ244" s="448" t="str">
        <f>_xlfn.IFNA(VLOOKUP($BK244,Programma!$F$3:$U$1101,16,0),"")</f>
        <v/>
      </c>
      <c r="CA244" s="448" t="str">
        <f>_xlfn.IFNA(VLOOKUP($BK244,Programma!$F$3:$V$1101,17,0),"")</f>
        <v/>
      </c>
      <c r="CB244" s="448" t="str">
        <f>_xlfn.IFNA(VLOOKUP($BK244,Programma!$F$3:$W$1101,18,0),"")</f>
        <v/>
      </c>
      <c r="CC244" s="448" t="str">
        <f>_xlfn.IFNA(VLOOKUP($BK244,Programma!$F$3:$X$1101,19,0),"")</f>
        <v/>
      </c>
      <c r="CD244" s="448" t="str">
        <f>_xlfn.IFNA(VLOOKUP($BK244,Programma!$F$3:$Y$1101,20,0),"")</f>
        <v/>
      </c>
      <c r="CE244" s="327"/>
      <c r="CF244" s="327"/>
      <c r="CG244" s="327"/>
      <c r="CH244" s="327"/>
      <c r="CI244" s="327"/>
      <c r="CJ244" s="327"/>
      <c r="CK244" s="327"/>
      <c r="CL244" s="327"/>
      <c r="CM244" s="327"/>
      <c r="CN244" s="327"/>
      <c r="CO244" s="327"/>
      <c r="CP244" s="327"/>
      <c r="CQ244" s="327"/>
      <c r="CR244" s="327"/>
      <c r="CS244" s="327"/>
      <c r="CT244" s="327"/>
      <c r="CU244" s="327"/>
      <c r="CV244" s="327"/>
      <c r="CW244" s="327"/>
      <c r="CX244" s="327"/>
      <c r="CY244" s="327"/>
      <c r="CZ244" s="327"/>
      <c r="DA244" s="327"/>
      <c r="DB244" s="327"/>
      <c r="DC244" s="327"/>
      <c r="DD244" s="327"/>
      <c r="DE244" s="327"/>
      <c r="DF244" s="327"/>
      <c r="DG244" s="327"/>
      <c r="DH244" s="327"/>
      <c r="DI244" s="327"/>
      <c r="DJ244" s="327"/>
      <c r="DK244" s="327"/>
      <c r="DL244" s="327"/>
      <c r="DM244" s="327"/>
      <c r="DN244" s="327"/>
      <c r="DO244" s="327"/>
      <c r="DP244" s="327"/>
      <c r="DQ244" s="327"/>
      <c r="DR244" s="327"/>
      <c r="DS244" s="327"/>
      <c r="DT244" s="327"/>
      <c r="DU244" s="327"/>
      <c r="DV244" s="327"/>
      <c r="DW244" s="327"/>
      <c r="DX244" s="327"/>
      <c r="DY244" s="327"/>
      <c r="DZ244" s="327"/>
      <c r="EA244" s="327"/>
      <c r="EB244" s="327"/>
      <c r="EC244" s="327"/>
      <c r="ED244" s="327"/>
      <c r="EE244" s="327"/>
      <c r="EF244" s="327"/>
      <c r="EG244" s="327"/>
      <c r="EH244" s="327"/>
      <c r="EI244" s="327"/>
      <c r="EJ244" s="327"/>
      <c r="EK244" s="327"/>
      <c r="EL244" s="327"/>
      <c r="EM244" s="327"/>
      <c r="EN244" s="327"/>
      <c r="EO244" s="327"/>
      <c r="EP244" s="327"/>
      <c r="EQ244" s="327"/>
      <c r="ER244" s="327"/>
      <c r="ES244" s="327"/>
      <c r="ET244" s="327"/>
      <c r="EU244" s="327"/>
      <c r="EV244" s="327"/>
      <c r="EW244" s="327"/>
      <c r="EX244" s="327"/>
      <c r="EY244" s="327"/>
      <c r="EZ244" s="327"/>
      <c r="FA244" s="327"/>
      <c r="FB244" s="327"/>
      <c r="FC244" s="327"/>
      <c r="FD244" s="327"/>
      <c r="FE244" s="327"/>
      <c r="FF244" s="327"/>
      <c r="FG244" s="327"/>
      <c r="FH244" s="327"/>
      <c r="FI244" s="327"/>
      <c r="FJ244" s="327"/>
      <c r="FK244" s="327"/>
      <c r="FL244" s="327"/>
      <c r="FM244" s="327"/>
      <c r="FN244" s="327"/>
      <c r="FO244" s="327"/>
      <c r="FP244" s="327"/>
      <c r="FQ244" s="327"/>
      <c r="FR244" s="327"/>
      <c r="FS244" s="327"/>
      <c r="FT244" s="327"/>
      <c r="FU244" s="327"/>
      <c r="FV244" s="327"/>
      <c r="FW244" s="327"/>
      <c r="FX244" s="327"/>
      <c r="FY244" s="327"/>
      <c r="FZ244" s="327"/>
      <c r="GA244" s="327"/>
      <c r="GB244" s="327"/>
      <c r="GC244" s="327"/>
      <c r="GD244" s="327"/>
      <c r="GE244" s="327"/>
      <c r="GF244" s="327"/>
      <c r="GG244" s="327"/>
      <c r="GH244" s="327"/>
      <c r="GI244" s="327"/>
      <c r="GJ244" s="327"/>
      <c r="GK244" s="327"/>
      <c r="GL244" s="327"/>
      <c r="GM244" s="327"/>
      <c r="GN244" s="327"/>
      <c r="GO244" s="327"/>
      <c r="GP244" s="327"/>
      <c r="GQ244" s="327"/>
      <c r="GR244" s="327"/>
      <c r="GS244" s="327"/>
      <c r="GT244" s="327"/>
      <c r="GU244" s="327"/>
      <c r="GV244" s="327"/>
      <c r="GW244" s="327"/>
      <c r="GX244" s="327"/>
      <c r="GY244" s="327"/>
      <c r="GZ244" s="327"/>
      <c r="HA244" s="327"/>
      <c r="HB244" s="327"/>
      <c r="HC244" s="327"/>
      <c r="HD244" s="327"/>
      <c r="HE244" s="327"/>
      <c r="HF244" s="327"/>
      <c r="HG244" s="327"/>
      <c r="HH244" s="327"/>
      <c r="HI244" s="327"/>
      <c r="HJ244" s="327"/>
      <c r="HK244" s="327"/>
      <c r="HL244" s="327"/>
      <c r="HM244" s="327"/>
      <c r="HN244" s="327"/>
      <c r="HO244" s="327"/>
      <c r="HP244" s="327"/>
      <c r="HQ244" s="327"/>
      <c r="HR244" s="327"/>
      <c r="HS244" s="327"/>
    </row>
    <row r="245" spans="1:227" ht="15" customHeight="1">
      <c r="A245" s="330">
        <v>10</v>
      </c>
      <c r="B245" s="435" t="str">
        <f>VLOOKUP(Ruimtestaat[[#This Row],[Code]],Locaties[[Code]:[Locatie]],2,FALSE)</f>
        <v xml:space="preserve">IKC De Edelsteen </v>
      </c>
      <c r="C245" s="435" t="str">
        <f>VLOOKUP(Ruimtestaat[[#This Row],[Code]],Locaties[[#All],[Code]:[Adres]],4,FALSE)</f>
        <v>Sieraadlaan 100-102</v>
      </c>
      <c r="D245" s="435" t="str">
        <f>VLOOKUP(Ruimtestaat[[#This Row],[Code]],Locaties[[#All],[Code]:[Postcode]],5,FALSE)</f>
        <v>2719 SN</v>
      </c>
      <c r="E245" s="435" t="str">
        <f>VLOOKUP(Ruimtestaat[[#This Row],[Code]],Locaties[#All],6,FALSE)</f>
        <v>Zoetermeer</v>
      </c>
      <c r="F245" s="450"/>
      <c r="G245" s="330" t="s">
        <v>1678</v>
      </c>
      <c r="H245" s="330" t="s">
        <v>1674</v>
      </c>
      <c r="I245" s="450" t="s">
        <v>1679</v>
      </c>
      <c r="J245" s="330">
        <v>16</v>
      </c>
      <c r="K245" s="450" t="str">
        <f>VLOOKUP(Ruimtestaat[[#This Row],[Ruimte code]],Ruimtegroepen[[#All],[Code]:[Ruimte omschrijving]],2,FALSE)</f>
        <v>Leslokalen</v>
      </c>
      <c r="L245" s="434" t="s">
        <v>100</v>
      </c>
      <c r="M245" s="437" t="s">
        <v>1759</v>
      </c>
      <c r="N245" s="439">
        <v>56</v>
      </c>
      <c r="O245" s="439"/>
      <c r="P245" s="439"/>
      <c r="Q245" s="439"/>
      <c r="R245" s="440" t="str">
        <f>VLOOKUP(Ruimtestaat[[#This Row],[Ruimte code]],Ruimtegroepen[],4,FALSE)</f>
        <v>Le</v>
      </c>
      <c r="S245" s="434">
        <v>40</v>
      </c>
      <c r="T245" s="434" t="s">
        <v>2</v>
      </c>
      <c r="U245" s="434">
        <f>IF(S245&gt;0,IF(RIGHT(Ruimtestaat[[#This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5" s="434">
        <f>IF(U245&gt;0,VLOOKUP($J245,Ruimtegroepen[],3,FALSE)*VLOOKUP($L245,Vloersoorten[],3,FALSE)*VLOOKUP($T245,Frequenties[],3,FALSE)*VLOOKUP($A245,Locaties[],3,FALSE),0)</f>
        <v>0</v>
      </c>
      <c r="W245" s="434">
        <f>Ruimtestaat[[#This Row],[Uitvoeringen werkdagen]]*Ruimtestaat[[#This Row],[Oppervlak (netto)]]</f>
        <v>11200</v>
      </c>
      <c r="X245" s="441">
        <f>IF(V245&gt;0,Ruimtestaat[[#This Row],[Prest. (m2 /jaar) werkdagen]]/Ruimtestaat[[#This Row],[Norm (m2/uur) werkdagen]],0)</f>
        <v>0</v>
      </c>
      <c r="Y245" s="442">
        <f>Ruimtestaat[[#This Row],[Uitvoeringen werkdagen]]*Ruimtestaat[[#This Row],[Gedeeltelijk]]</f>
        <v>0</v>
      </c>
      <c r="Z245" s="443" t="e">
        <f>IF(U245&gt;0,Ruimtestaat[[#This Row],[Prest. (m2 / jaar) werkdagen gedeeld]]/Ruimtestaat[[#This Row],[Norm (m2/uur) werkdagen]],0)</f>
        <v>#DIV/0!</v>
      </c>
      <c r="AA245" s="441" t="e">
        <f>Ruimtestaat[[#This Row],[uren / jaar werkdagen gedeeld]]*Tariefsopbouw!$E$35</f>
        <v>#DIV/0!</v>
      </c>
      <c r="AB245" s="441">
        <f>Ruimtestaat[[#This Row],[Uitvoeringen werkdagen]]*Ruimtestaat[[#This Row],[BSO]]</f>
        <v>0</v>
      </c>
      <c r="AC245" s="443" t="e">
        <f>IF(U245&gt;0,Ruimtestaat[[#This Row],[Prest. (m2 / jaar) werkdagen BSO]]/Ruimtestaat[[#This Row],[Norm (m2/uur) werkdagen]],0)</f>
        <v>#DIV/0!</v>
      </c>
      <c r="AD245" s="443" t="e">
        <f>Ruimtestaat[[#This Row],[uren / jaar werkdagen BSO]]*Tariefsopbouw!$E$35</f>
        <v>#DIV/0!</v>
      </c>
      <c r="AE245" s="444">
        <f>Ruimtestaat[[#This Row],[uren / jaar werkdagen]]*Tariefsopbouw!$E$35</f>
        <v>0</v>
      </c>
      <c r="AF245" s="434"/>
      <c r="AG245" s="434">
        <f>IF(Ruimtestaat[[#This Row],[Frequentie weekend]]&gt;0,VALUE(LEFT(AF245,1))*S245,0)</f>
        <v>0</v>
      </c>
      <c r="AH245" s="445">
        <f>IF($AG245&gt;0,VLOOKUP($J245,Ruimtegroepen[],3,FALSE)*VLOOKUP($L245,Vloersoorten[],3,FALSE)*VLOOKUP($AF245,Frequenties[],3,FALSE)*VLOOKUP(Ruimtestaat[[#This Row],[Code]],Locaties[],3,FALSE),0)</f>
        <v>0</v>
      </c>
      <c r="AI245" s="445">
        <f>Ruimtestaat[[#This Row],[Uitvoeringen weekend]]*Ruimtestaat[[#This Row],[Oppervlak (netto)]]</f>
        <v>0</v>
      </c>
      <c r="AJ245" s="445">
        <f>IF(AH245&gt;0,Ruimtestaat[[#This Row],[Prest. (m2 /jaar) weekend]]/Ruimtestaat[[#This Row],[Norm (m2/uur) weekend]],0)</f>
        <v>0</v>
      </c>
      <c r="AK245" s="444">
        <f>Ruimtestaat[[#This Row],[uren / jaar weekend]]*Tariefsopbouw!$D$40</f>
        <v>0</v>
      </c>
      <c r="AL245" s="441">
        <f>Ruimtestaat[[#This Row],[Prest. (m2 /jaar) weekend]]+Ruimtestaat[[#This Row],[Prest. (m2 /jaar) werkdagen]]</f>
        <v>11200</v>
      </c>
      <c r="AM245" s="441">
        <f>Ruimtestaat[[#This Row],[uren / jaar weekend]]+Ruimtestaat[[#This Row],[uren / jaar werkdagen]]</f>
        <v>0</v>
      </c>
      <c r="AN245" s="446">
        <f>Ruimtestaat[[#This Row],[kosten / jaar weekend]]+Ruimtestaat[[#This Row],[kosten / jaar werkdagen]]</f>
        <v>0</v>
      </c>
      <c r="AO245" s="446"/>
      <c r="AP245" s="447" t="str">
        <f>IF(Ruimtestaat[[#This Row],[Frequentie werkdagen]]="","",_xlfn.CONCAT(Ruimtestaat[[#This Row],[Ruimte code]],"-",Ruimtestaat[[#This Row],[Frequentie werkdagen]]," ",Ruimtestaat[[#This Row],[Vloer code]]))</f>
        <v>16-5w L</v>
      </c>
      <c r="AQ245" s="448" t="str">
        <f>_xlfn.IFNA(VLOOKUP($AP245,Programma!$F$3:$G$1101,2,0),"")</f>
        <v>_</v>
      </c>
      <c r="AR245" s="448" t="str">
        <f>_xlfn.IFNA(VLOOKUP($AP245,Programma!$F$3:$H$1101,3,0),"")</f>
        <v>_</v>
      </c>
      <c r="AS245" s="448" t="str">
        <f>_xlfn.IFNA(VLOOKUP($AP245,Programma!$F$3:$I$1101,4,0),"")</f>
        <v>4w</v>
      </c>
      <c r="AT245" s="448" t="str">
        <f>_xlfn.IFNA(VLOOKUP($AP245,Programma!$F$3:$J$1101,5,0),"")</f>
        <v>1w</v>
      </c>
      <c r="AU245" s="448" t="str">
        <f>_xlfn.IFNA(VLOOKUP($AP245,Programma!$F$3:$K$1101,6,0),"")</f>
        <v>_</v>
      </c>
      <c r="AV245" s="448" t="str">
        <f>_xlfn.IFNA(VLOOKUP($AP245,Programma!$F$3:$L$1101,7,0),"")</f>
        <v>_</v>
      </c>
      <c r="AW245" s="448" t="str">
        <f>_xlfn.IFNA(VLOOKUP($AP245,Programma!$F$3:$M$1101,8,0),"")</f>
        <v>_</v>
      </c>
      <c r="AX245" s="448" t="str">
        <f>_xlfn.IFNA(VLOOKUP($AP245,Programma!$F$3:$N$1101,9,0),"")</f>
        <v>_</v>
      </c>
      <c r="AY245" s="448" t="str">
        <f>_xlfn.IFNA(VLOOKUP($AP245,Programma!$F$3:$O$1101,10,0),"")</f>
        <v>5w</v>
      </c>
      <c r="AZ245" s="448" t="str">
        <f>_xlfn.IFNA(VLOOKUP($AP245,Programma!$F$3:$P$1101,11,0),"")</f>
        <v>5w</v>
      </c>
      <c r="BA245" s="448" t="str">
        <f>_xlfn.IFNA(VLOOKUP($AP245,Programma!$F$3:$Q$1101,12,0),"")</f>
        <v>1w</v>
      </c>
      <c r="BB245" s="448" t="str">
        <f>_xlfn.IFNA(VLOOKUP($AP245,Programma!$F$3:$R$1101,13,0),"")</f>
        <v>1w</v>
      </c>
      <c r="BC245" s="448" t="str">
        <f>_xlfn.IFNA(VLOOKUP($AP245,Programma!$F$3:$S$1101,14,0),"")</f>
        <v>1m</v>
      </c>
      <c r="BD245" s="448" t="str">
        <f>_xlfn.IFNA(VLOOKUP($AP245,Programma!$F$3:$T$1101,15,0),"")</f>
        <v>2j</v>
      </c>
      <c r="BE245" s="448" t="str">
        <f>_xlfn.IFNA(VLOOKUP($AP245,Programma!$F$3:$U$1101,16,0),"")</f>
        <v>1j</v>
      </c>
      <c r="BF245" s="448" t="str">
        <f>_xlfn.IFNA(VLOOKUP($AP245,Programma!$F$3:$V$1101,17,0),"")</f>
        <v>_</v>
      </c>
      <c r="BG245" s="448" t="str">
        <f>_xlfn.IFNA(VLOOKUP($AP245,Programma!$F$3:$W$1101,18,0),"")</f>
        <v>_</v>
      </c>
      <c r="BH245" s="448" t="str">
        <f>_xlfn.IFNA(VLOOKUP($AP245,Programma!$F$3:$X$1101,19,0),"")</f>
        <v>_</v>
      </c>
      <c r="BI245" s="448" t="str">
        <f>_xlfn.IFNA(VLOOKUP($AP245,Programma!$F$3:$Y$1101,20,0),"")</f>
        <v>_</v>
      </c>
      <c r="BJ245" s="449"/>
      <c r="BK245" s="447" t="str">
        <f>IF(Ruimtestaat[[#This Row],[Frequentie weekend]]="","",_xlfn.CONCAT(Ruimtestaat[[#This Row],[Ruimte code]],"-",Ruimtestaat[[#This Row],[Frequentie weekend]]," ",Ruimtestaat[[#This Row],[Vloer code]]))</f>
        <v/>
      </c>
      <c r="BL245" s="448" t="str">
        <f>_xlfn.IFNA(VLOOKUP($BK245,Programma!$F$3:$G$1101,2,0),"")</f>
        <v/>
      </c>
      <c r="BM245" s="448" t="str">
        <f>_xlfn.IFNA(VLOOKUP($BK245,Programma!$F$3:$H$1101,3,0),"")</f>
        <v/>
      </c>
      <c r="BN245" s="448" t="str">
        <f>_xlfn.IFNA(VLOOKUP($BK245,Programma!$F$3:$I$1101,4,0),"")</f>
        <v/>
      </c>
      <c r="BO245" s="448" t="str">
        <f>_xlfn.IFNA(VLOOKUP($BK245,Programma!$F$3:$J$1101,5,0),"")</f>
        <v/>
      </c>
      <c r="BP245" s="448" t="str">
        <f>_xlfn.IFNA(VLOOKUP($BK245,Programma!$F$3:$K$1101,6,0),"")</f>
        <v/>
      </c>
      <c r="BQ245" s="448" t="str">
        <f>_xlfn.IFNA(VLOOKUP($BK245,Programma!$F$3:$L$1101,7,0),"")</f>
        <v/>
      </c>
      <c r="BR245" s="448" t="str">
        <f>_xlfn.IFNA(VLOOKUP($BK245,Programma!$F$3:$M$1101,8,0),"")</f>
        <v/>
      </c>
      <c r="BS245" s="448" t="str">
        <f>_xlfn.IFNA(VLOOKUP($BK245,Programma!$F$3:$N$1101,9,0),"")</f>
        <v/>
      </c>
      <c r="BT245" s="448" t="str">
        <f>_xlfn.IFNA(VLOOKUP($BK245,Programma!$F$3:$O$1101,10,0),"")</f>
        <v/>
      </c>
      <c r="BU245" s="448" t="str">
        <f>_xlfn.IFNA(VLOOKUP($BK245,Programma!$F$3:$P$1101,11,0),"")</f>
        <v/>
      </c>
      <c r="BV245" s="448" t="str">
        <f>_xlfn.IFNA(VLOOKUP($BK245,Programma!$F$3:$Q$1101,12,0),"")</f>
        <v/>
      </c>
      <c r="BW245" s="448" t="str">
        <f>_xlfn.IFNA(VLOOKUP($BK245,Programma!$F$3:$R$1101,13,0),"")</f>
        <v/>
      </c>
      <c r="BX245" s="448" t="str">
        <f>_xlfn.IFNA(VLOOKUP($BK245,Programma!$F$3:$S$1101,14,0),"")</f>
        <v/>
      </c>
      <c r="BY245" s="448" t="str">
        <f>_xlfn.IFNA(VLOOKUP($BK245,Programma!$F$3:$T$1101,15,0),"")</f>
        <v/>
      </c>
      <c r="BZ245" s="448" t="str">
        <f>_xlfn.IFNA(VLOOKUP($BK245,Programma!$F$3:$U$1101,16,0),"")</f>
        <v/>
      </c>
      <c r="CA245" s="448" t="str">
        <f>_xlfn.IFNA(VLOOKUP($BK245,Programma!$F$3:$V$1101,17,0),"")</f>
        <v/>
      </c>
      <c r="CB245" s="448" t="str">
        <f>_xlfn.IFNA(VLOOKUP($BK245,Programma!$F$3:$W$1101,18,0),"")</f>
        <v/>
      </c>
      <c r="CC245" s="448" t="str">
        <f>_xlfn.IFNA(VLOOKUP($BK245,Programma!$F$3:$X$1101,19,0),"")</f>
        <v/>
      </c>
      <c r="CD245" s="448" t="str">
        <f>_xlfn.IFNA(VLOOKUP($BK245,Programma!$F$3:$Y$1101,20,0),"")</f>
        <v/>
      </c>
      <c r="CE245" s="327"/>
      <c r="CF245" s="327"/>
      <c r="CG245" s="327"/>
      <c r="CH245" s="327"/>
      <c r="CI245" s="327"/>
      <c r="CJ245" s="327"/>
      <c r="CK245" s="327"/>
      <c r="CL245" s="327"/>
      <c r="CM245" s="327"/>
      <c r="CN245" s="327"/>
      <c r="CO245" s="327"/>
      <c r="CP245" s="327"/>
      <c r="CQ245" s="327"/>
      <c r="CR245" s="327"/>
      <c r="CS245" s="327"/>
      <c r="CT245" s="327"/>
      <c r="CU245" s="327"/>
      <c r="CV245" s="327"/>
      <c r="CW245" s="327"/>
      <c r="CX245" s="327"/>
      <c r="CY245" s="327"/>
      <c r="CZ245" s="327"/>
      <c r="DA245" s="327"/>
      <c r="DB245" s="327"/>
      <c r="DC245" s="327"/>
      <c r="DD245" s="327"/>
      <c r="DE245" s="327"/>
      <c r="DF245" s="327"/>
      <c r="DG245" s="327"/>
      <c r="DH245" s="327"/>
      <c r="DI245" s="327"/>
      <c r="DJ245" s="327"/>
      <c r="DK245" s="327"/>
      <c r="DL245" s="327"/>
      <c r="DM245" s="327"/>
      <c r="DN245" s="327"/>
      <c r="DO245" s="327"/>
      <c r="DP245" s="327"/>
      <c r="DQ245" s="327"/>
      <c r="DR245" s="327"/>
      <c r="DS245" s="327"/>
      <c r="DT245" s="327"/>
      <c r="DU245" s="327"/>
      <c r="DV245" s="327"/>
      <c r="DW245" s="327"/>
      <c r="DX245" s="327"/>
      <c r="DY245" s="327"/>
      <c r="DZ245" s="327"/>
      <c r="EA245" s="327"/>
      <c r="EB245" s="327"/>
      <c r="EC245" s="327"/>
      <c r="ED245" s="327"/>
      <c r="EE245" s="327"/>
      <c r="EF245" s="327"/>
      <c r="EG245" s="327"/>
      <c r="EH245" s="327"/>
      <c r="EI245" s="327"/>
      <c r="EJ245" s="327"/>
      <c r="EK245" s="327"/>
      <c r="EL245" s="327"/>
      <c r="EM245" s="327"/>
      <c r="EN245" s="327"/>
      <c r="EO245" s="327"/>
      <c r="EP245" s="327"/>
      <c r="EQ245" s="327"/>
      <c r="ER245" s="327"/>
      <c r="ES245" s="327"/>
      <c r="ET245" s="327"/>
      <c r="EU245" s="327"/>
      <c r="EV245" s="327"/>
      <c r="EW245" s="327"/>
      <c r="EX245" s="327"/>
      <c r="EY245" s="327"/>
      <c r="EZ245" s="327"/>
      <c r="FA245" s="327"/>
      <c r="FB245" s="327"/>
      <c r="FC245" s="327"/>
      <c r="FD245" s="327"/>
      <c r="FE245" s="327"/>
      <c r="FF245" s="327"/>
      <c r="FG245" s="327"/>
      <c r="FH245" s="327"/>
      <c r="FI245" s="327"/>
      <c r="FJ245" s="327"/>
      <c r="FK245" s="327"/>
      <c r="FL245" s="327"/>
      <c r="FM245" s="327"/>
      <c r="FN245" s="327"/>
      <c r="FO245" s="327"/>
      <c r="FP245" s="327"/>
      <c r="FQ245" s="327"/>
      <c r="FR245" s="327"/>
      <c r="FS245" s="327"/>
      <c r="FT245" s="327"/>
      <c r="FU245" s="327"/>
      <c r="FV245" s="327"/>
      <c r="FW245" s="327"/>
      <c r="FX245" s="327"/>
      <c r="FY245" s="327"/>
      <c r="FZ245" s="327"/>
      <c r="GA245" s="327"/>
      <c r="GB245" s="327"/>
      <c r="GC245" s="327"/>
      <c r="GD245" s="327"/>
      <c r="GE245" s="327"/>
      <c r="GF245" s="327"/>
      <c r="GG245" s="327"/>
      <c r="GH245" s="327"/>
      <c r="GI245" s="327"/>
      <c r="GJ245" s="327"/>
      <c r="GK245" s="327"/>
      <c r="GL245" s="327"/>
      <c r="GM245" s="327"/>
      <c r="GN245" s="327"/>
      <c r="GO245" s="327"/>
      <c r="GP245" s="327"/>
      <c r="GQ245" s="327"/>
      <c r="GR245" s="327"/>
      <c r="GS245" s="327"/>
      <c r="GT245" s="327"/>
      <c r="GU245" s="327"/>
      <c r="GV245" s="327"/>
      <c r="GW245" s="327"/>
      <c r="GX245" s="327"/>
      <c r="GY245" s="327"/>
      <c r="GZ245" s="327"/>
      <c r="HA245" s="327"/>
      <c r="HB245" s="327"/>
      <c r="HC245" s="327"/>
      <c r="HD245" s="327"/>
      <c r="HE245" s="327"/>
      <c r="HF245" s="327"/>
      <c r="HG245" s="327"/>
      <c r="HH245" s="327"/>
      <c r="HI245" s="327"/>
      <c r="HJ245" s="327"/>
      <c r="HK245" s="327"/>
      <c r="HL245" s="327"/>
      <c r="HM245" s="327"/>
      <c r="HN245" s="327"/>
      <c r="HO245" s="327"/>
      <c r="HP245" s="327"/>
      <c r="HQ245" s="327"/>
      <c r="HR245" s="327"/>
      <c r="HS245" s="327"/>
    </row>
    <row r="246" spans="1:227" ht="15" customHeight="1">
      <c r="A246" s="330">
        <v>10</v>
      </c>
      <c r="B246" s="435" t="str">
        <f>VLOOKUP(Ruimtestaat[[#This Row],[Code]],Locaties[[Code]:[Locatie]],2,FALSE)</f>
        <v xml:space="preserve">IKC De Edelsteen </v>
      </c>
      <c r="C246" s="435" t="str">
        <f>VLOOKUP(Ruimtestaat[[#This Row],[Code]],Locaties[[#All],[Code]:[Adres]],4,FALSE)</f>
        <v>Sieraadlaan 100-102</v>
      </c>
      <c r="D246" s="435" t="str">
        <f>VLOOKUP(Ruimtestaat[[#This Row],[Code]],Locaties[[#All],[Code]:[Postcode]],5,FALSE)</f>
        <v>2719 SN</v>
      </c>
      <c r="E246" s="435" t="str">
        <f>VLOOKUP(Ruimtestaat[[#This Row],[Code]],Locaties[#All],6,FALSE)</f>
        <v>Zoetermeer</v>
      </c>
      <c r="F246" s="450"/>
      <c r="G246" s="330" t="s">
        <v>1678</v>
      </c>
      <c r="H246" s="330" t="s">
        <v>1680</v>
      </c>
      <c r="I246" s="450" t="s">
        <v>1679</v>
      </c>
      <c r="J246" s="330">
        <v>16</v>
      </c>
      <c r="K246" s="450" t="str">
        <f>VLOOKUP(Ruimtestaat[[#This Row],[Ruimte code]],Ruimtegroepen[[#All],[Code]:[Ruimte omschrijving]],2,FALSE)</f>
        <v>Leslokalen</v>
      </c>
      <c r="L246" s="434" t="s">
        <v>100</v>
      </c>
      <c r="M246" s="437" t="s">
        <v>1759</v>
      </c>
      <c r="N246" s="439">
        <v>55</v>
      </c>
      <c r="O246" s="439"/>
      <c r="P246" s="439"/>
      <c r="Q246" s="439"/>
      <c r="R246" s="440" t="str">
        <f>VLOOKUP(Ruimtestaat[[#This Row],[Ruimte code]],Ruimtegroepen[],4,FALSE)</f>
        <v>Le</v>
      </c>
      <c r="S246" s="434">
        <v>40</v>
      </c>
      <c r="T246" s="434" t="s">
        <v>2</v>
      </c>
      <c r="U246" s="434">
        <f>IF(S246&gt;0,IF(RIGHT(Ruimtestaat[[#This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6" s="434">
        <f>IF(U246&gt;0,VLOOKUP($J246,Ruimtegroepen[],3,FALSE)*VLOOKUP($L246,Vloersoorten[],3,FALSE)*VLOOKUP($T246,Frequenties[],3,FALSE)*VLOOKUP($A246,Locaties[],3,FALSE),0)</f>
        <v>0</v>
      </c>
      <c r="W246" s="434">
        <f>Ruimtestaat[[#This Row],[Uitvoeringen werkdagen]]*Ruimtestaat[[#This Row],[Oppervlak (netto)]]</f>
        <v>11000</v>
      </c>
      <c r="X246" s="441">
        <f>IF(V246&gt;0,Ruimtestaat[[#This Row],[Prest. (m2 /jaar) werkdagen]]/Ruimtestaat[[#This Row],[Norm (m2/uur) werkdagen]],0)</f>
        <v>0</v>
      </c>
      <c r="Y246" s="442">
        <f>Ruimtestaat[[#This Row],[Uitvoeringen werkdagen]]*Ruimtestaat[[#This Row],[Gedeeltelijk]]</f>
        <v>0</v>
      </c>
      <c r="Z246" s="443" t="e">
        <f>IF(U246&gt;0,Ruimtestaat[[#This Row],[Prest. (m2 / jaar) werkdagen gedeeld]]/Ruimtestaat[[#This Row],[Norm (m2/uur) werkdagen]],0)</f>
        <v>#DIV/0!</v>
      </c>
      <c r="AA246" s="441" t="e">
        <f>Ruimtestaat[[#This Row],[uren / jaar werkdagen gedeeld]]*Tariefsopbouw!$E$35</f>
        <v>#DIV/0!</v>
      </c>
      <c r="AB246" s="441">
        <f>Ruimtestaat[[#This Row],[Uitvoeringen werkdagen]]*Ruimtestaat[[#This Row],[BSO]]</f>
        <v>0</v>
      </c>
      <c r="AC246" s="443" t="e">
        <f>IF(U246&gt;0,Ruimtestaat[[#This Row],[Prest. (m2 / jaar) werkdagen BSO]]/Ruimtestaat[[#This Row],[Norm (m2/uur) werkdagen]],0)</f>
        <v>#DIV/0!</v>
      </c>
      <c r="AD246" s="443" t="e">
        <f>Ruimtestaat[[#This Row],[uren / jaar werkdagen BSO]]*Tariefsopbouw!$E$35</f>
        <v>#DIV/0!</v>
      </c>
      <c r="AE246" s="444">
        <f>Ruimtestaat[[#This Row],[uren / jaar werkdagen]]*Tariefsopbouw!$E$35</f>
        <v>0</v>
      </c>
      <c r="AF246" s="434"/>
      <c r="AG246" s="434">
        <f>IF(Ruimtestaat[[#This Row],[Frequentie weekend]]&gt;0,VALUE(LEFT(AF246,1))*S246,0)</f>
        <v>0</v>
      </c>
      <c r="AH246" s="445">
        <f>IF($AG246&gt;0,VLOOKUP($J246,Ruimtegroepen[],3,FALSE)*VLOOKUP($L246,Vloersoorten[],3,FALSE)*VLOOKUP($AF246,Frequenties[],3,FALSE)*VLOOKUP(Ruimtestaat[[#This Row],[Code]],Locaties[],3,FALSE),0)</f>
        <v>0</v>
      </c>
      <c r="AI246" s="445">
        <f>Ruimtestaat[[#This Row],[Uitvoeringen weekend]]*Ruimtestaat[[#This Row],[Oppervlak (netto)]]</f>
        <v>0</v>
      </c>
      <c r="AJ246" s="445">
        <f>IF(AH246&gt;0,Ruimtestaat[[#This Row],[Prest. (m2 /jaar) weekend]]/Ruimtestaat[[#This Row],[Norm (m2/uur) weekend]],0)</f>
        <v>0</v>
      </c>
      <c r="AK246" s="444">
        <f>Ruimtestaat[[#This Row],[uren / jaar weekend]]*Tariefsopbouw!$D$40</f>
        <v>0</v>
      </c>
      <c r="AL246" s="441">
        <f>Ruimtestaat[[#This Row],[Prest. (m2 /jaar) weekend]]+Ruimtestaat[[#This Row],[Prest. (m2 /jaar) werkdagen]]</f>
        <v>11000</v>
      </c>
      <c r="AM246" s="441">
        <f>Ruimtestaat[[#This Row],[uren / jaar weekend]]+Ruimtestaat[[#This Row],[uren / jaar werkdagen]]</f>
        <v>0</v>
      </c>
      <c r="AN246" s="446">
        <f>Ruimtestaat[[#This Row],[kosten / jaar weekend]]+Ruimtestaat[[#This Row],[kosten / jaar werkdagen]]</f>
        <v>0</v>
      </c>
      <c r="AO246" s="446"/>
      <c r="AP246" s="447" t="str">
        <f>IF(Ruimtestaat[[#This Row],[Frequentie werkdagen]]="","",_xlfn.CONCAT(Ruimtestaat[[#This Row],[Ruimte code]],"-",Ruimtestaat[[#This Row],[Frequentie werkdagen]]," ",Ruimtestaat[[#This Row],[Vloer code]]))</f>
        <v>16-5w L</v>
      </c>
      <c r="AQ246" s="448" t="str">
        <f>_xlfn.IFNA(VLOOKUP($AP246,Programma!$F$3:$G$1101,2,0),"")</f>
        <v>_</v>
      </c>
      <c r="AR246" s="448" t="str">
        <f>_xlfn.IFNA(VLOOKUP($AP246,Programma!$F$3:$H$1101,3,0),"")</f>
        <v>_</v>
      </c>
      <c r="AS246" s="448" t="str">
        <f>_xlfn.IFNA(VLOOKUP($AP246,Programma!$F$3:$I$1101,4,0),"")</f>
        <v>4w</v>
      </c>
      <c r="AT246" s="448" t="str">
        <f>_xlfn.IFNA(VLOOKUP($AP246,Programma!$F$3:$J$1101,5,0),"")</f>
        <v>1w</v>
      </c>
      <c r="AU246" s="448" t="str">
        <f>_xlfn.IFNA(VLOOKUP($AP246,Programma!$F$3:$K$1101,6,0),"")</f>
        <v>_</v>
      </c>
      <c r="AV246" s="448" t="str">
        <f>_xlfn.IFNA(VLOOKUP($AP246,Programma!$F$3:$L$1101,7,0),"")</f>
        <v>_</v>
      </c>
      <c r="AW246" s="448" t="str">
        <f>_xlfn.IFNA(VLOOKUP($AP246,Programma!$F$3:$M$1101,8,0),"")</f>
        <v>_</v>
      </c>
      <c r="AX246" s="448" t="str">
        <f>_xlfn.IFNA(VLOOKUP($AP246,Programma!$F$3:$N$1101,9,0),"")</f>
        <v>_</v>
      </c>
      <c r="AY246" s="448" t="str">
        <f>_xlfn.IFNA(VLOOKUP($AP246,Programma!$F$3:$O$1101,10,0),"")</f>
        <v>5w</v>
      </c>
      <c r="AZ246" s="448" t="str">
        <f>_xlfn.IFNA(VLOOKUP($AP246,Programma!$F$3:$P$1101,11,0),"")</f>
        <v>5w</v>
      </c>
      <c r="BA246" s="448" t="str">
        <f>_xlfn.IFNA(VLOOKUP($AP246,Programma!$F$3:$Q$1101,12,0),"")</f>
        <v>1w</v>
      </c>
      <c r="BB246" s="448" t="str">
        <f>_xlfn.IFNA(VLOOKUP($AP246,Programma!$F$3:$R$1101,13,0),"")</f>
        <v>1w</v>
      </c>
      <c r="BC246" s="448" t="str">
        <f>_xlfn.IFNA(VLOOKUP($AP246,Programma!$F$3:$S$1101,14,0),"")</f>
        <v>1m</v>
      </c>
      <c r="BD246" s="448" t="str">
        <f>_xlfn.IFNA(VLOOKUP($AP246,Programma!$F$3:$T$1101,15,0),"")</f>
        <v>2j</v>
      </c>
      <c r="BE246" s="448" t="str">
        <f>_xlfn.IFNA(VLOOKUP($AP246,Programma!$F$3:$U$1101,16,0),"")</f>
        <v>1j</v>
      </c>
      <c r="BF246" s="448" t="str">
        <f>_xlfn.IFNA(VLOOKUP($AP246,Programma!$F$3:$V$1101,17,0),"")</f>
        <v>_</v>
      </c>
      <c r="BG246" s="448" t="str">
        <f>_xlfn.IFNA(VLOOKUP($AP246,Programma!$F$3:$W$1101,18,0),"")</f>
        <v>_</v>
      </c>
      <c r="BH246" s="448" t="str">
        <f>_xlfn.IFNA(VLOOKUP($AP246,Programma!$F$3:$X$1101,19,0),"")</f>
        <v>_</v>
      </c>
      <c r="BI246" s="448" t="str">
        <f>_xlfn.IFNA(VLOOKUP($AP246,Programma!$F$3:$Y$1101,20,0),"")</f>
        <v>_</v>
      </c>
      <c r="BJ246" s="449"/>
      <c r="BK246" s="447" t="str">
        <f>IF(Ruimtestaat[[#This Row],[Frequentie weekend]]="","",_xlfn.CONCAT(Ruimtestaat[[#This Row],[Ruimte code]],"-",Ruimtestaat[[#This Row],[Frequentie weekend]]," ",Ruimtestaat[[#This Row],[Vloer code]]))</f>
        <v/>
      </c>
      <c r="BL246" s="448" t="str">
        <f>_xlfn.IFNA(VLOOKUP($BK246,Programma!$F$3:$G$1101,2,0),"")</f>
        <v/>
      </c>
      <c r="BM246" s="448" t="str">
        <f>_xlfn.IFNA(VLOOKUP($BK246,Programma!$F$3:$H$1101,3,0),"")</f>
        <v/>
      </c>
      <c r="BN246" s="448" t="str">
        <f>_xlfn.IFNA(VLOOKUP($BK246,Programma!$F$3:$I$1101,4,0),"")</f>
        <v/>
      </c>
      <c r="BO246" s="448" t="str">
        <f>_xlfn.IFNA(VLOOKUP($BK246,Programma!$F$3:$J$1101,5,0),"")</f>
        <v/>
      </c>
      <c r="BP246" s="448" t="str">
        <f>_xlfn.IFNA(VLOOKUP($BK246,Programma!$F$3:$K$1101,6,0),"")</f>
        <v/>
      </c>
      <c r="BQ246" s="448" t="str">
        <f>_xlfn.IFNA(VLOOKUP($BK246,Programma!$F$3:$L$1101,7,0),"")</f>
        <v/>
      </c>
      <c r="BR246" s="448" t="str">
        <f>_xlfn.IFNA(VLOOKUP($BK246,Programma!$F$3:$M$1101,8,0),"")</f>
        <v/>
      </c>
      <c r="BS246" s="448" t="str">
        <f>_xlfn.IFNA(VLOOKUP($BK246,Programma!$F$3:$N$1101,9,0),"")</f>
        <v/>
      </c>
      <c r="BT246" s="448" t="str">
        <f>_xlfn.IFNA(VLOOKUP($BK246,Programma!$F$3:$O$1101,10,0),"")</f>
        <v/>
      </c>
      <c r="BU246" s="448" t="str">
        <f>_xlfn.IFNA(VLOOKUP($BK246,Programma!$F$3:$P$1101,11,0),"")</f>
        <v/>
      </c>
      <c r="BV246" s="448" t="str">
        <f>_xlfn.IFNA(VLOOKUP($BK246,Programma!$F$3:$Q$1101,12,0),"")</f>
        <v/>
      </c>
      <c r="BW246" s="448" t="str">
        <f>_xlfn.IFNA(VLOOKUP($BK246,Programma!$F$3:$R$1101,13,0),"")</f>
        <v/>
      </c>
      <c r="BX246" s="448" t="str">
        <f>_xlfn.IFNA(VLOOKUP($BK246,Programma!$F$3:$S$1101,14,0),"")</f>
        <v/>
      </c>
      <c r="BY246" s="448" t="str">
        <f>_xlfn.IFNA(VLOOKUP($BK246,Programma!$F$3:$T$1101,15,0),"")</f>
        <v/>
      </c>
      <c r="BZ246" s="448" t="str">
        <f>_xlfn.IFNA(VLOOKUP($BK246,Programma!$F$3:$U$1101,16,0),"")</f>
        <v/>
      </c>
      <c r="CA246" s="448" t="str">
        <f>_xlfn.IFNA(VLOOKUP($BK246,Programma!$F$3:$V$1101,17,0),"")</f>
        <v/>
      </c>
      <c r="CB246" s="448" t="str">
        <f>_xlfn.IFNA(VLOOKUP($BK246,Programma!$F$3:$W$1101,18,0),"")</f>
        <v/>
      </c>
      <c r="CC246" s="448" t="str">
        <f>_xlfn.IFNA(VLOOKUP($BK246,Programma!$F$3:$X$1101,19,0),"")</f>
        <v/>
      </c>
      <c r="CD246" s="448" t="str">
        <f>_xlfn.IFNA(VLOOKUP($BK246,Programma!$F$3:$Y$1101,20,0),"")</f>
        <v/>
      </c>
      <c r="CE246" s="327"/>
      <c r="CF246" s="327"/>
      <c r="CG246" s="327"/>
      <c r="CH246" s="327"/>
      <c r="CI246" s="327"/>
      <c r="CJ246" s="327"/>
      <c r="CK246" s="327"/>
      <c r="CL246" s="327"/>
      <c r="CM246" s="327"/>
      <c r="CN246" s="327"/>
      <c r="CO246" s="327"/>
      <c r="CP246" s="327"/>
      <c r="CQ246" s="327"/>
      <c r="CR246" s="327"/>
      <c r="CS246" s="327"/>
      <c r="CT246" s="327"/>
      <c r="CU246" s="327"/>
      <c r="CV246" s="327"/>
      <c r="CW246" s="327"/>
      <c r="CX246" s="327"/>
      <c r="CY246" s="327"/>
      <c r="CZ246" s="327"/>
      <c r="DA246" s="327"/>
      <c r="DB246" s="327"/>
      <c r="DC246" s="327"/>
      <c r="DD246" s="327"/>
      <c r="DE246" s="327"/>
      <c r="DF246" s="327"/>
      <c r="DG246" s="327"/>
      <c r="DH246" s="327"/>
      <c r="DI246" s="327"/>
      <c r="DJ246" s="327"/>
      <c r="DK246" s="327"/>
      <c r="DL246" s="327"/>
      <c r="DM246" s="327"/>
      <c r="DN246" s="327"/>
      <c r="DO246" s="327"/>
      <c r="DP246" s="327"/>
      <c r="DQ246" s="327"/>
      <c r="DR246" s="327"/>
      <c r="DS246" s="327"/>
      <c r="DT246" s="327"/>
      <c r="DU246" s="327"/>
      <c r="DV246" s="327"/>
      <c r="DW246" s="327"/>
      <c r="DX246" s="327"/>
      <c r="DY246" s="327"/>
      <c r="DZ246" s="327"/>
      <c r="EA246" s="327"/>
      <c r="EB246" s="327"/>
      <c r="EC246" s="327"/>
      <c r="ED246" s="327"/>
      <c r="EE246" s="327"/>
      <c r="EF246" s="327"/>
      <c r="EG246" s="327"/>
      <c r="EH246" s="327"/>
      <c r="EI246" s="327"/>
      <c r="EJ246" s="327"/>
      <c r="EK246" s="327"/>
      <c r="EL246" s="327"/>
      <c r="EM246" s="327"/>
      <c r="EN246" s="327"/>
      <c r="EO246" s="327"/>
      <c r="EP246" s="327"/>
      <c r="EQ246" s="327"/>
      <c r="ER246" s="327"/>
      <c r="ES246" s="327"/>
      <c r="ET246" s="327"/>
      <c r="EU246" s="327"/>
      <c r="EV246" s="327"/>
      <c r="EW246" s="327"/>
      <c r="EX246" s="327"/>
      <c r="EY246" s="327"/>
      <c r="EZ246" s="327"/>
      <c r="FA246" s="327"/>
      <c r="FB246" s="327"/>
      <c r="FC246" s="327"/>
      <c r="FD246" s="327"/>
      <c r="FE246" s="327"/>
      <c r="FF246" s="327"/>
      <c r="FG246" s="327"/>
      <c r="FH246" s="327"/>
      <c r="FI246" s="327"/>
      <c r="FJ246" s="327"/>
      <c r="FK246" s="327"/>
      <c r="FL246" s="327"/>
      <c r="FM246" s="327"/>
      <c r="FN246" s="327"/>
      <c r="FO246" s="327"/>
      <c r="FP246" s="327"/>
      <c r="FQ246" s="327"/>
      <c r="FR246" s="327"/>
      <c r="FS246" s="327"/>
      <c r="FT246" s="327"/>
      <c r="FU246" s="327"/>
      <c r="FV246" s="327"/>
      <c r="FW246" s="327"/>
      <c r="FX246" s="327"/>
      <c r="FY246" s="327"/>
      <c r="FZ246" s="327"/>
      <c r="GA246" s="327"/>
      <c r="GB246" s="327"/>
      <c r="GC246" s="327"/>
      <c r="GD246" s="327"/>
      <c r="GE246" s="327"/>
      <c r="GF246" s="327"/>
      <c r="GG246" s="327"/>
      <c r="GH246" s="327"/>
      <c r="GI246" s="327"/>
      <c r="GJ246" s="327"/>
      <c r="GK246" s="327"/>
      <c r="GL246" s="327"/>
      <c r="GM246" s="327"/>
      <c r="GN246" s="327"/>
      <c r="GO246" s="327"/>
      <c r="GP246" s="327"/>
      <c r="GQ246" s="327"/>
      <c r="GR246" s="327"/>
      <c r="GS246" s="327"/>
      <c r="GT246" s="327"/>
      <c r="GU246" s="327"/>
      <c r="GV246" s="327"/>
      <c r="GW246" s="327"/>
      <c r="GX246" s="327"/>
      <c r="GY246" s="327"/>
      <c r="GZ246" s="327"/>
      <c r="HA246" s="327"/>
      <c r="HB246" s="327"/>
      <c r="HC246" s="327"/>
      <c r="HD246" s="327"/>
      <c r="HE246" s="327"/>
      <c r="HF246" s="327"/>
      <c r="HG246" s="327"/>
      <c r="HH246" s="327"/>
      <c r="HI246" s="327"/>
      <c r="HJ246" s="327"/>
      <c r="HK246" s="327"/>
      <c r="HL246" s="327"/>
      <c r="HM246" s="327"/>
      <c r="HN246" s="327"/>
      <c r="HO246" s="327"/>
      <c r="HP246" s="327"/>
      <c r="HQ246" s="327"/>
      <c r="HR246" s="327"/>
      <c r="HS246" s="327"/>
    </row>
    <row r="247" spans="1:227" ht="15" customHeight="1">
      <c r="A247" s="330">
        <v>10</v>
      </c>
      <c r="B247" s="435" t="str">
        <f>VLOOKUP(Ruimtestaat[[#This Row],[Code]],Locaties[[Code]:[Locatie]],2,FALSE)</f>
        <v xml:space="preserve">IKC De Edelsteen </v>
      </c>
      <c r="C247" s="435" t="str">
        <f>VLOOKUP(Ruimtestaat[[#This Row],[Code]],Locaties[[#All],[Code]:[Adres]],4,FALSE)</f>
        <v>Sieraadlaan 100-102</v>
      </c>
      <c r="D247" s="435" t="str">
        <f>VLOOKUP(Ruimtestaat[[#This Row],[Code]],Locaties[[#All],[Code]:[Postcode]],5,FALSE)</f>
        <v>2719 SN</v>
      </c>
      <c r="E247" s="435" t="str">
        <f>VLOOKUP(Ruimtestaat[[#This Row],[Code]],Locaties[#All],6,FALSE)</f>
        <v>Zoetermeer</v>
      </c>
      <c r="F247" s="450"/>
      <c r="G247" s="330" t="s">
        <v>1678</v>
      </c>
      <c r="H247" s="330" t="s">
        <v>1681</v>
      </c>
      <c r="I247" s="450" t="s">
        <v>1770</v>
      </c>
      <c r="J247" s="330">
        <v>6</v>
      </c>
      <c r="K247" s="450" t="str">
        <f>VLOOKUP(Ruimtestaat[[#This Row],[Ruimte code]],Ruimtegroepen[[#All],[Code]:[Ruimte omschrijving]],2,FALSE)</f>
        <v>Gangen/hallen</v>
      </c>
      <c r="L247" s="434" t="s">
        <v>100</v>
      </c>
      <c r="M247" s="437" t="s">
        <v>1759</v>
      </c>
      <c r="N247" s="439">
        <v>105</v>
      </c>
      <c r="O247" s="439"/>
      <c r="P247" s="439"/>
      <c r="Q247" s="439"/>
      <c r="R247" s="440" t="str">
        <f>VLOOKUP(Ruimtestaat[[#This Row],[Ruimte code]],Ruimtegroepen[],4,FALSE)</f>
        <v>Ve</v>
      </c>
      <c r="S247" s="434">
        <v>41</v>
      </c>
      <c r="T247" s="434" t="s">
        <v>2</v>
      </c>
      <c r="U247" s="434">
        <f>IF(S247&gt;0,IF(RIGHT(Ruimtestaat[[#This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47" s="434">
        <f>IF(U247&gt;0,VLOOKUP($J247,Ruimtegroepen[],3,FALSE)*VLOOKUP($L247,Vloersoorten[],3,FALSE)*VLOOKUP($T247,Frequenties[],3,FALSE)*VLOOKUP($A247,Locaties[],3,FALSE),0)</f>
        <v>0</v>
      </c>
      <c r="W247" s="434">
        <f>Ruimtestaat[[#This Row],[Uitvoeringen werkdagen]]*Ruimtestaat[[#This Row],[Oppervlak (netto)]]</f>
        <v>21525</v>
      </c>
      <c r="X247" s="441">
        <f>IF(V247&gt;0,Ruimtestaat[[#This Row],[Prest. (m2 /jaar) werkdagen]]/Ruimtestaat[[#This Row],[Norm (m2/uur) werkdagen]],0)</f>
        <v>0</v>
      </c>
      <c r="Y247" s="442">
        <f>Ruimtestaat[[#This Row],[Uitvoeringen werkdagen]]*Ruimtestaat[[#This Row],[Gedeeltelijk]]</f>
        <v>0</v>
      </c>
      <c r="Z247" s="443" t="e">
        <f>IF(U247&gt;0,Ruimtestaat[[#This Row],[Prest. (m2 / jaar) werkdagen gedeeld]]/Ruimtestaat[[#This Row],[Norm (m2/uur) werkdagen]],0)</f>
        <v>#DIV/0!</v>
      </c>
      <c r="AA247" s="441" t="e">
        <f>Ruimtestaat[[#This Row],[uren / jaar werkdagen gedeeld]]*Tariefsopbouw!$E$35</f>
        <v>#DIV/0!</v>
      </c>
      <c r="AB247" s="441">
        <f>Ruimtestaat[[#This Row],[Uitvoeringen werkdagen]]*Ruimtestaat[[#This Row],[BSO]]</f>
        <v>0</v>
      </c>
      <c r="AC247" s="443" t="e">
        <f>IF(U247&gt;0,Ruimtestaat[[#This Row],[Prest. (m2 / jaar) werkdagen BSO]]/Ruimtestaat[[#This Row],[Norm (m2/uur) werkdagen]],0)</f>
        <v>#DIV/0!</v>
      </c>
      <c r="AD247" s="443" t="e">
        <f>Ruimtestaat[[#This Row],[uren / jaar werkdagen BSO]]*Tariefsopbouw!$E$35</f>
        <v>#DIV/0!</v>
      </c>
      <c r="AE247" s="444">
        <f>Ruimtestaat[[#This Row],[uren / jaar werkdagen]]*Tariefsopbouw!$E$35</f>
        <v>0</v>
      </c>
      <c r="AF247" s="434"/>
      <c r="AG247" s="434">
        <f>IF(Ruimtestaat[[#This Row],[Frequentie weekend]]&gt;0,VALUE(LEFT(AF247,1))*S247,0)</f>
        <v>0</v>
      </c>
      <c r="AH247" s="445">
        <f>IF($AG247&gt;0,VLOOKUP($J247,Ruimtegroepen[],3,FALSE)*VLOOKUP($L247,Vloersoorten[],3,FALSE)*VLOOKUP($AF247,Frequenties[],3,FALSE)*VLOOKUP(Ruimtestaat[[#This Row],[Code]],Locaties[],3,FALSE),0)</f>
        <v>0</v>
      </c>
      <c r="AI247" s="445">
        <f>Ruimtestaat[[#This Row],[Uitvoeringen weekend]]*Ruimtestaat[[#This Row],[Oppervlak (netto)]]</f>
        <v>0</v>
      </c>
      <c r="AJ247" s="445">
        <f>IF(AH247&gt;0,Ruimtestaat[[#This Row],[Prest. (m2 /jaar) weekend]]/Ruimtestaat[[#This Row],[Norm (m2/uur) weekend]],0)</f>
        <v>0</v>
      </c>
      <c r="AK247" s="444">
        <f>Ruimtestaat[[#This Row],[uren / jaar weekend]]*Tariefsopbouw!$D$40</f>
        <v>0</v>
      </c>
      <c r="AL247" s="441">
        <f>Ruimtestaat[[#This Row],[Prest. (m2 /jaar) weekend]]+Ruimtestaat[[#This Row],[Prest. (m2 /jaar) werkdagen]]</f>
        <v>21525</v>
      </c>
      <c r="AM247" s="441">
        <f>Ruimtestaat[[#This Row],[uren / jaar weekend]]+Ruimtestaat[[#This Row],[uren / jaar werkdagen]]</f>
        <v>0</v>
      </c>
      <c r="AN247" s="446">
        <f>Ruimtestaat[[#This Row],[kosten / jaar weekend]]+Ruimtestaat[[#This Row],[kosten / jaar werkdagen]]</f>
        <v>0</v>
      </c>
      <c r="AO247" s="446"/>
      <c r="AP247" s="447" t="str">
        <f>IF(Ruimtestaat[[#This Row],[Frequentie werkdagen]]="","",_xlfn.CONCAT(Ruimtestaat[[#This Row],[Ruimte code]],"-",Ruimtestaat[[#This Row],[Frequentie werkdagen]]," ",Ruimtestaat[[#This Row],[Vloer code]]))</f>
        <v>6-5w L</v>
      </c>
      <c r="AQ247" s="448" t="str">
        <f>_xlfn.IFNA(VLOOKUP($AP247,Programma!$F$3:$G$1101,2,0),"")</f>
        <v>_</v>
      </c>
      <c r="AR247" s="448" t="str">
        <f>_xlfn.IFNA(VLOOKUP($AP247,Programma!$F$3:$H$1101,3,0),"")</f>
        <v>_</v>
      </c>
      <c r="AS247" s="448" t="str">
        <f>_xlfn.IFNA(VLOOKUP($AP247,Programma!$F$3:$I$1101,4,0),"")</f>
        <v>_</v>
      </c>
      <c r="AT247" s="448" t="str">
        <f>_xlfn.IFNA(VLOOKUP($AP247,Programma!$F$3:$J$1101,5,0),"")</f>
        <v>5w</v>
      </c>
      <c r="AU247" s="448" t="str">
        <f>_xlfn.IFNA(VLOOKUP($AP247,Programma!$F$3:$K$1101,6,0),"")</f>
        <v>_</v>
      </c>
      <c r="AV247" s="448" t="str">
        <f>_xlfn.IFNA(VLOOKUP($AP247,Programma!$F$3:$L$1101,7,0),"")</f>
        <v>_</v>
      </c>
      <c r="AW247" s="448" t="str">
        <f>_xlfn.IFNA(VLOOKUP($AP247,Programma!$F$3:$M$1101,8,0),"")</f>
        <v>_</v>
      </c>
      <c r="AX247" s="448" t="str">
        <f>_xlfn.IFNA(VLOOKUP($AP247,Programma!$F$3:$N$1101,9,0),"")</f>
        <v>_</v>
      </c>
      <c r="AY247" s="448" t="str">
        <f>_xlfn.IFNA(VLOOKUP($AP247,Programma!$F$3:$O$1101,10,0),"")</f>
        <v>5w</v>
      </c>
      <c r="AZ247" s="448" t="str">
        <f>_xlfn.IFNA(VLOOKUP($AP247,Programma!$F$3:$P$1101,11,0),"")</f>
        <v>5w</v>
      </c>
      <c r="BA247" s="448" t="str">
        <f>_xlfn.IFNA(VLOOKUP($AP247,Programma!$F$3:$Q$1101,12,0),"")</f>
        <v>1w</v>
      </c>
      <c r="BB247" s="448" t="str">
        <f>_xlfn.IFNA(VLOOKUP($AP247,Programma!$F$3:$R$1101,13,0),"")</f>
        <v>1w</v>
      </c>
      <c r="BC247" s="448" t="str">
        <f>_xlfn.IFNA(VLOOKUP($AP247,Programma!$F$3:$S$1101,14,0),"")</f>
        <v>1m</v>
      </c>
      <c r="BD247" s="448" t="str">
        <f>_xlfn.IFNA(VLOOKUP($AP247,Programma!$F$3:$T$1101,15,0),"")</f>
        <v>2j</v>
      </c>
      <c r="BE247" s="448" t="str">
        <f>_xlfn.IFNA(VLOOKUP($AP247,Programma!$F$3:$U$1101,16,0),"")</f>
        <v>1j</v>
      </c>
      <c r="BF247" s="448" t="str">
        <f>_xlfn.IFNA(VLOOKUP($AP247,Programma!$F$3:$V$1101,17,0),"")</f>
        <v>_</v>
      </c>
      <c r="BG247" s="448" t="str">
        <f>_xlfn.IFNA(VLOOKUP($AP247,Programma!$F$3:$W$1101,18,0),"")</f>
        <v>_</v>
      </c>
      <c r="BH247" s="448" t="str">
        <f>_xlfn.IFNA(VLOOKUP($AP247,Programma!$F$3:$X$1101,19,0),"")</f>
        <v>_</v>
      </c>
      <c r="BI247" s="448" t="str">
        <f>_xlfn.IFNA(VLOOKUP($AP247,Programma!$F$3:$Y$1101,20,0),"")</f>
        <v>_</v>
      </c>
      <c r="BJ247" s="449"/>
      <c r="BK247" s="447" t="str">
        <f>IF(Ruimtestaat[[#This Row],[Frequentie weekend]]="","",_xlfn.CONCAT(Ruimtestaat[[#This Row],[Ruimte code]],"-",Ruimtestaat[[#This Row],[Frequentie weekend]]," ",Ruimtestaat[[#This Row],[Vloer code]]))</f>
        <v/>
      </c>
      <c r="BL247" s="448" t="str">
        <f>_xlfn.IFNA(VLOOKUP($BK247,Programma!$F$3:$G$1101,2,0),"")</f>
        <v/>
      </c>
      <c r="BM247" s="448" t="str">
        <f>_xlfn.IFNA(VLOOKUP($BK247,Programma!$F$3:$H$1101,3,0),"")</f>
        <v/>
      </c>
      <c r="BN247" s="448" t="str">
        <f>_xlfn.IFNA(VLOOKUP($BK247,Programma!$F$3:$I$1101,4,0),"")</f>
        <v/>
      </c>
      <c r="BO247" s="448" t="str">
        <f>_xlfn.IFNA(VLOOKUP($BK247,Programma!$F$3:$J$1101,5,0),"")</f>
        <v/>
      </c>
      <c r="BP247" s="448" t="str">
        <f>_xlfn.IFNA(VLOOKUP($BK247,Programma!$F$3:$K$1101,6,0),"")</f>
        <v/>
      </c>
      <c r="BQ247" s="448" t="str">
        <f>_xlfn.IFNA(VLOOKUP($BK247,Programma!$F$3:$L$1101,7,0),"")</f>
        <v/>
      </c>
      <c r="BR247" s="448" t="str">
        <f>_xlfn.IFNA(VLOOKUP($BK247,Programma!$F$3:$M$1101,8,0),"")</f>
        <v/>
      </c>
      <c r="BS247" s="448" t="str">
        <f>_xlfn.IFNA(VLOOKUP($BK247,Programma!$F$3:$N$1101,9,0),"")</f>
        <v/>
      </c>
      <c r="BT247" s="448" t="str">
        <f>_xlfn.IFNA(VLOOKUP($BK247,Programma!$F$3:$O$1101,10,0),"")</f>
        <v/>
      </c>
      <c r="BU247" s="448" t="str">
        <f>_xlfn.IFNA(VLOOKUP($BK247,Programma!$F$3:$P$1101,11,0),"")</f>
        <v/>
      </c>
      <c r="BV247" s="448" t="str">
        <f>_xlfn.IFNA(VLOOKUP($BK247,Programma!$F$3:$Q$1101,12,0),"")</f>
        <v/>
      </c>
      <c r="BW247" s="448" t="str">
        <f>_xlfn.IFNA(VLOOKUP($BK247,Programma!$F$3:$R$1101,13,0),"")</f>
        <v/>
      </c>
      <c r="BX247" s="448" t="str">
        <f>_xlfn.IFNA(VLOOKUP($BK247,Programma!$F$3:$S$1101,14,0),"")</f>
        <v/>
      </c>
      <c r="BY247" s="448" t="str">
        <f>_xlfn.IFNA(VLOOKUP($BK247,Programma!$F$3:$T$1101,15,0),"")</f>
        <v/>
      </c>
      <c r="BZ247" s="448" t="str">
        <f>_xlfn.IFNA(VLOOKUP($BK247,Programma!$F$3:$U$1101,16,0),"")</f>
        <v/>
      </c>
      <c r="CA247" s="448" t="str">
        <f>_xlfn.IFNA(VLOOKUP($BK247,Programma!$F$3:$V$1101,17,0),"")</f>
        <v/>
      </c>
      <c r="CB247" s="448" t="str">
        <f>_xlfn.IFNA(VLOOKUP($BK247,Programma!$F$3:$W$1101,18,0),"")</f>
        <v/>
      </c>
      <c r="CC247" s="448" t="str">
        <f>_xlfn.IFNA(VLOOKUP($BK247,Programma!$F$3:$X$1101,19,0),"")</f>
        <v/>
      </c>
      <c r="CD247" s="448" t="str">
        <f>_xlfn.IFNA(VLOOKUP($BK247,Programma!$F$3:$Y$1101,20,0),"")</f>
        <v/>
      </c>
      <c r="CE247" s="327"/>
      <c r="CF247" s="327"/>
      <c r="CG247" s="327"/>
      <c r="CH247" s="327"/>
      <c r="CI247" s="327"/>
      <c r="CJ247" s="327"/>
      <c r="CK247" s="327"/>
      <c r="CL247" s="327"/>
      <c r="CM247" s="327"/>
      <c r="CN247" s="327"/>
      <c r="CO247" s="327"/>
      <c r="CP247" s="327"/>
      <c r="CQ247" s="327"/>
      <c r="CR247" s="327"/>
      <c r="CS247" s="327"/>
      <c r="CT247" s="327"/>
      <c r="CU247" s="327"/>
      <c r="CV247" s="327"/>
      <c r="CW247" s="327"/>
      <c r="CX247" s="327"/>
      <c r="CY247" s="327"/>
      <c r="CZ247" s="327"/>
      <c r="DA247" s="327"/>
      <c r="DB247" s="327"/>
      <c r="DC247" s="327"/>
      <c r="DD247" s="327"/>
      <c r="DE247" s="327"/>
      <c r="DF247" s="327"/>
      <c r="DG247" s="327"/>
      <c r="DH247" s="327"/>
      <c r="DI247" s="327"/>
      <c r="DJ247" s="327"/>
      <c r="DK247" s="327"/>
      <c r="DL247" s="327"/>
      <c r="DM247" s="327"/>
      <c r="DN247" s="327"/>
      <c r="DO247" s="327"/>
      <c r="DP247" s="327"/>
      <c r="DQ247" s="327"/>
      <c r="DR247" s="327"/>
      <c r="DS247" s="327"/>
      <c r="DT247" s="327"/>
      <c r="DU247" s="327"/>
      <c r="DV247" s="327"/>
      <c r="DW247" s="327"/>
      <c r="DX247" s="327"/>
      <c r="DY247" s="327"/>
      <c r="DZ247" s="327"/>
      <c r="EA247" s="327"/>
      <c r="EB247" s="327"/>
      <c r="EC247" s="327"/>
      <c r="ED247" s="327"/>
      <c r="EE247" s="327"/>
      <c r="EF247" s="327"/>
      <c r="EG247" s="327"/>
      <c r="EH247" s="327"/>
      <c r="EI247" s="327"/>
      <c r="EJ247" s="327"/>
      <c r="EK247" s="327"/>
      <c r="EL247" s="327"/>
      <c r="EM247" s="327"/>
      <c r="EN247" s="327"/>
      <c r="EO247" s="327"/>
      <c r="EP247" s="327"/>
      <c r="EQ247" s="327"/>
      <c r="ER247" s="327"/>
      <c r="ES247" s="327"/>
      <c r="ET247" s="327"/>
      <c r="EU247" s="327"/>
      <c r="EV247" s="327"/>
      <c r="EW247" s="327"/>
      <c r="EX247" s="327"/>
      <c r="EY247" s="327"/>
      <c r="EZ247" s="327"/>
      <c r="FA247" s="327"/>
      <c r="FB247" s="327"/>
      <c r="FC247" s="327"/>
      <c r="FD247" s="327"/>
      <c r="FE247" s="327"/>
      <c r="FF247" s="327"/>
      <c r="FG247" s="327"/>
      <c r="FH247" s="327"/>
      <c r="FI247" s="327"/>
      <c r="FJ247" s="327"/>
      <c r="FK247" s="327"/>
      <c r="FL247" s="327"/>
      <c r="FM247" s="327"/>
      <c r="FN247" s="327"/>
      <c r="FO247" s="327"/>
      <c r="FP247" s="327"/>
      <c r="FQ247" s="327"/>
      <c r="FR247" s="327"/>
      <c r="FS247" s="327"/>
      <c r="FT247" s="327"/>
      <c r="FU247" s="327"/>
      <c r="FV247" s="327"/>
      <c r="FW247" s="327"/>
      <c r="FX247" s="327"/>
      <c r="FY247" s="327"/>
      <c r="FZ247" s="327"/>
      <c r="GA247" s="327"/>
      <c r="GB247" s="327"/>
      <c r="GC247" s="327"/>
      <c r="GD247" s="327"/>
      <c r="GE247" s="327"/>
      <c r="GF247" s="327"/>
      <c r="GG247" s="327"/>
      <c r="GH247" s="327"/>
      <c r="GI247" s="327"/>
      <c r="GJ247" s="327"/>
      <c r="GK247" s="327"/>
      <c r="GL247" s="327"/>
      <c r="GM247" s="327"/>
      <c r="GN247" s="327"/>
      <c r="GO247" s="327"/>
      <c r="GP247" s="327"/>
      <c r="GQ247" s="327"/>
      <c r="GR247" s="327"/>
      <c r="GS247" s="327"/>
      <c r="GT247" s="327"/>
      <c r="GU247" s="327"/>
      <c r="GV247" s="327"/>
      <c r="GW247" s="327"/>
      <c r="GX247" s="327"/>
      <c r="GY247" s="327"/>
      <c r="GZ247" s="327"/>
      <c r="HA247" s="327"/>
      <c r="HB247" s="327"/>
      <c r="HC247" s="327"/>
      <c r="HD247" s="327"/>
      <c r="HE247" s="327"/>
      <c r="HF247" s="327"/>
      <c r="HG247" s="327"/>
      <c r="HH247" s="327"/>
      <c r="HI247" s="327"/>
      <c r="HJ247" s="327"/>
      <c r="HK247" s="327"/>
      <c r="HL247" s="327"/>
      <c r="HM247" s="327"/>
      <c r="HN247" s="327"/>
      <c r="HO247" s="327"/>
      <c r="HP247" s="327"/>
      <c r="HQ247" s="327"/>
      <c r="HR247" s="327"/>
      <c r="HS247" s="327"/>
    </row>
    <row r="248" spans="1:227" ht="15" customHeight="1">
      <c r="A248" s="330">
        <v>10</v>
      </c>
      <c r="B248" s="435" t="str">
        <f>VLOOKUP(Ruimtestaat[[#This Row],[Code]],Locaties[[Code]:[Locatie]],2,FALSE)</f>
        <v xml:space="preserve">IKC De Edelsteen </v>
      </c>
      <c r="C248" s="435" t="str">
        <f>VLOOKUP(Ruimtestaat[[#This Row],[Code]],Locaties[[#All],[Code]:[Adres]],4,FALSE)</f>
        <v>Sieraadlaan 100-102</v>
      </c>
      <c r="D248" s="435" t="str">
        <f>VLOOKUP(Ruimtestaat[[#This Row],[Code]],Locaties[[#All],[Code]:[Postcode]],5,FALSE)</f>
        <v>2719 SN</v>
      </c>
      <c r="E248" s="435" t="str">
        <f>VLOOKUP(Ruimtestaat[[#This Row],[Code]],Locaties[#All],6,FALSE)</f>
        <v>Zoetermeer</v>
      </c>
      <c r="F248" s="450"/>
      <c r="G248" s="330" t="s">
        <v>1678</v>
      </c>
      <c r="H248" s="330" t="s">
        <v>1682</v>
      </c>
      <c r="I248" s="450" t="s">
        <v>1770</v>
      </c>
      <c r="J248" s="330">
        <v>6</v>
      </c>
      <c r="K248" s="450" t="str">
        <f>VLOOKUP(Ruimtestaat[[#This Row],[Ruimte code]],Ruimtegroepen[[#All],[Code]:[Ruimte omschrijving]],2,FALSE)</f>
        <v>Gangen/hallen</v>
      </c>
      <c r="L248" s="434" t="s">
        <v>100</v>
      </c>
      <c r="M248" s="437" t="s">
        <v>1759</v>
      </c>
      <c r="N248" s="439">
        <v>86</v>
      </c>
      <c r="O248" s="439"/>
      <c r="P248" s="439"/>
      <c r="Q248" s="439"/>
      <c r="R248" s="440" t="str">
        <f>VLOOKUP(Ruimtestaat[[#This Row],[Ruimte code]],Ruimtegroepen[],4,FALSE)</f>
        <v>Ve</v>
      </c>
      <c r="S248" s="434">
        <v>41</v>
      </c>
      <c r="T248" s="434" t="s">
        <v>2</v>
      </c>
      <c r="U248" s="434">
        <f>IF(S248&gt;0,IF(RIGHT(Ruimtestaat[[#This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48" s="434">
        <f>IF(U248&gt;0,VLOOKUP($J248,Ruimtegroepen[],3,FALSE)*VLOOKUP($L248,Vloersoorten[],3,FALSE)*VLOOKUP($T248,Frequenties[],3,FALSE)*VLOOKUP($A248,Locaties[],3,FALSE),0)</f>
        <v>0</v>
      </c>
      <c r="W248" s="434">
        <f>Ruimtestaat[[#This Row],[Uitvoeringen werkdagen]]*Ruimtestaat[[#This Row],[Oppervlak (netto)]]</f>
        <v>17630</v>
      </c>
      <c r="X248" s="441">
        <f>IF(V248&gt;0,Ruimtestaat[[#This Row],[Prest. (m2 /jaar) werkdagen]]/Ruimtestaat[[#This Row],[Norm (m2/uur) werkdagen]],0)</f>
        <v>0</v>
      </c>
      <c r="Y248" s="442">
        <f>Ruimtestaat[[#This Row],[Uitvoeringen werkdagen]]*Ruimtestaat[[#This Row],[Gedeeltelijk]]</f>
        <v>0</v>
      </c>
      <c r="Z248" s="443" t="e">
        <f>IF(U248&gt;0,Ruimtestaat[[#This Row],[Prest. (m2 / jaar) werkdagen gedeeld]]/Ruimtestaat[[#This Row],[Norm (m2/uur) werkdagen]],0)</f>
        <v>#DIV/0!</v>
      </c>
      <c r="AA248" s="441" t="e">
        <f>Ruimtestaat[[#This Row],[uren / jaar werkdagen gedeeld]]*Tariefsopbouw!$E$35</f>
        <v>#DIV/0!</v>
      </c>
      <c r="AB248" s="441">
        <f>Ruimtestaat[[#This Row],[Uitvoeringen werkdagen]]*Ruimtestaat[[#This Row],[BSO]]</f>
        <v>0</v>
      </c>
      <c r="AC248" s="443" t="e">
        <f>IF(U248&gt;0,Ruimtestaat[[#This Row],[Prest. (m2 / jaar) werkdagen BSO]]/Ruimtestaat[[#This Row],[Norm (m2/uur) werkdagen]],0)</f>
        <v>#DIV/0!</v>
      </c>
      <c r="AD248" s="443" t="e">
        <f>Ruimtestaat[[#This Row],[uren / jaar werkdagen BSO]]*Tariefsopbouw!$E$35</f>
        <v>#DIV/0!</v>
      </c>
      <c r="AE248" s="444">
        <f>Ruimtestaat[[#This Row],[uren / jaar werkdagen]]*Tariefsopbouw!$E$35</f>
        <v>0</v>
      </c>
      <c r="AF248" s="434"/>
      <c r="AG248" s="434">
        <f>IF(Ruimtestaat[[#This Row],[Frequentie weekend]]&gt;0,VALUE(LEFT(AF248,1))*S248,0)</f>
        <v>0</v>
      </c>
      <c r="AH248" s="445">
        <f>IF($AG248&gt;0,VLOOKUP($J248,Ruimtegroepen[],3,FALSE)*VLOOKUP($L248,Vloersoorten[],3,FALSE)*VLOOKUP($AF248,Frequenties[],3,FALSE)*VLOOKUP(Ruimtestaat[[#This Row],[Code]],Locaties[],3,FALSE),0)</f>
        <v>0</v>
      </c>
      <c r="AI248" s="445">
        <f>Ruimtestaat[[#This Row],[Uitvoeringen weekend]]*Ruimtestaat[[#This Row],[Oppervlak (netto)]]</f>
        <v>0</v>
      </c>
      <c r="AJ248" s="445">
        <f>IF(AH248&gt;0,Ruimtestaat[[#This Row],[Prest. (m2 /jaar) weekend]]/Ruimtestaat[[#This Row],[Norm (m2/uur) weekend]],0)</f>
        <v>0</v>
      </c>
      <c r="AK248" s="444">
        <f>Ruimtestaat[[#This Row],[uren / jaar weekend]]*Tariefsopbouw!$D$40</f>
        <v>0</v>
      </c>
      <c r="AL248" s="441">
        <f>Ruimtestaat[[#This Row],[Prest. (m2 /jaar) weekend]]+Ruimtestaat[[#This Row],[Prest. (m2 /jaar) werkdagen]]</f>
        <v>17630</v>
      </c>
      <c r="AM248" s="441">
        <f>Ruimtestaat[[#This Row],[uren / jaar weekend]]+Ruimtestaat[[#This Row],[uren / jaar werkdagen]]</f>
        <v>0</v>
      </c>
      <c r="AN248" s="446">
        <f>Ruimtestaat[[#This Row],[kosten / jaar weekend]]+Ruimtestaat[[#This Row],[kosten / jaar werkdagen]]</f>
        <v>0</v>
      </c>
      <c r="AO248" s="446"/>
      <c r="AP248" s="447" t="str">
        <f>IF(Ruimtestaat[[#This Row],[Frequentie werkdagen]]="","",_xlfn.CONCAT(Ruimtestaat[[#This Row],[Ruimte code]],"-",Ruimtestaat[[#This Row],[Frequentie werkdagen]]," ",Ruimtestaat[[#This Row],[Vloer code]]))</f>
        <v>6-5w L</v>
      </c>
      <c r="AQ248" s="448" t="str">
        <f>_xlfn.IFNA(VLOOKUP($AP248,Programma!$F$3:$G$1101,2,0),"")</f>
        <v>_</v>
      </c>
      <c r="AR248" s="448" t="str">
        <f>_xlfn.IFNA(VLOOKUP($AP248,Programma!$F$3:$H$1101,3,0),"")</f>
        <v>_</v>
      </c>
      <c r="AS248" s="448" t="str">
        <f>_xlfn.IFNA(VLOOKUP($AP248,Programma!$F$3:$I$1101,4,0),"")</f>
        <v>_</v>
      </c>
      <c r="AT248" s="448" t="str">
        <f>_xlfn.IFNA(VLOOKUP($AP248,Programma!$F$3:$J$1101,5,0),"")</f>
        <v>5w</v>
      </c>
      <c r="AU248" s="448" t="str">
        <f>_xlfn.IFNA(VLOOKUP($AP248,Programma!$F$3:$K$1101,6,0),"")</f>
        <v>_</v>
      </c>
      <c r="AV248" s="448" t="str">
        <f>_xlfn.IFNA(VLOOKUP($AP248,Programma!$F$3:$L$1101,7,0),"")</f>
        <v>_</v>
      </c>
      <c r="AW248" s="448" t="str">
        <f>_xlfn.IFNA(VLOOKUP($AP248,Programma!$F$3:$M$1101,8,0),"")</f>
        <v>_</v>
      </c>
      <c r="AX248" s="448" t="str">
        <f>_xlfn.IFNA(VLOOKUP($AP248,Programma!$F$3:$N$1101,9,0),"")</f>
        <v>_</v>
      </c>
      <c r="AY248" s="448" t="str">
        <f>_xlfn.IFNA(VLOOKUP($AP248,Programma!$F$3:$O$1101,10,0),"")</f>
        <v>5w</v>
      </c>
      <c r="AZ248" s="448" t="str">
        <f>_xlfn.IFNA(VLOOKUP($AP248,Programma!$F$3:$P$1101,11,0),"")</f>
        <v>5w</v>
      </c>
      <c r="BA248" s="448" t="str">
        <f>_xlfn.IFNA(VLOOKUP($AP248,Programma!$F$3:$Q$1101,12,0),"")</f>
        <v>1w</v>
      </c>
      <c r="BB248" s="448" t="str">
        <f>_xlfn.IFNA(VLOOKUP($AP248,Programma!$F$3:$R$1101,13,0),"")</f>
        <v>1w</v>
      </c>
      <c r="BC248" s="448" t="str">
        <f>_xlfn.IFNA(VLOOKUP($AP248,Programma!$F$3:$S$1101,14,0),"")</f>
        <v>1m</v>
      </c>
      <c r="BD248" s="448" t="str">
        <f>_xlfn.IFNA(VLOOKUP($AP248,Programma!$F$3:$T$1101,15,0),"")</f>
        <v>2j</v>
      </c>
      <c r="BE248" s="448" t="str">
        <f>_xlfn.IFNA(VLOOKUP($AP248,Programma!$F$3:$U$1101,16,0),"")</f>
        <v>1j</v>
      </c>
      <c r="BF248" s="448" t="str">
        <f>_xlfn.IFNA(VLOOKUP($AP248,Programma!$F$3:$V$1101,17,0),"")</f>
        <v>_</v>
      </c>
      <c r="BG248" s="448" t="str">
        <f>_xlfn.IFNA(VLOOKUP($AP248,Programma!$F$3:$W$1101,18,0),"")</f>
        <v>_</v>
      </c>
      <c r="BH248" s="448" t="str">
        <f>_xlfn.IFNA(VLOOKUP($AP248,Programma!$F$3:$X$1101,19,0),"")</f>
        <v>_</v>
      </c>
      <c r="BI248" s="448" t="str">
        <f>_xlfn.IFNA(VLOOKUP($AP248,Programma!$F$3:$Y$1101,20,0),"")</f>
        <v>_</v>
      </c>
      <c r="BJ248" s="449"/>
      <c r="BK248" s="447" t="str">
        <f>IF(Ruimtestaat[[#This Row],[Frequentie weekend]]="","",_xlfn.CONCAT(Ruimtestaat[[#This Row],[Ruimte code]],"-",Ruimtestaat[[#This Row],[Frequentie weekend]]," ",Ruimtestaat[[#This Row],[Vloer code]]))</f>
        <v/>
      </c>
      <c r="BL248" s="448" t="str">
        <f>_xlfn.IFNA(VLOOKUP($BK248,Programma!$F$3:$G$1101,2,0),"")</f>
        <v/>
      </c>
      <c r="BM248" s="448" t="str">
        <f>_xlfn.IFNA(VLOOKUP($BK248,Programma!$F$3:$H$1101,3,0),"")</f>
        <v/>
      </c>
      <c r="BN248" s="448" t="str">
        <f>_xlfn.IFNA(VLOOKUP($BK248,Programma!$F$3:$I$1101,4,0),"")</f>
        <v/>
      </c>
      <c r="BO248" s="448" t="str">
        <f>_xlfn.IFNA(VLOOKUP($BK248,Programma!$F$3:$J$1101,5,0),"")</f>
        <v/>
      </c>
      <c r="BP248" s="448" t="str">
        <f>_xlfn.IFNA(VLOOKUP($BK248,Programma!$F$3:$K$1101,6,0),"")</f>
        <v/>
      </c>
      <c r="BQ248" s="448" t="str">
        <f>_xlfn.IFNA(VLOOKUP($BK248,Programma!$F$3:$L$1101,7,0),"")</f>
        <v/>
      </c>
      <c r="BR248" s="448" t="str">
        <f>_xlfn.IFNA(VLOOKUP($BK248,Programma!$F$3:$M$1101,8,0),"")</f>
        <v/>
      </c>
      <c r="BS248" s="448" t="str">
        <f>_xlfn.IFNA(VLOOKUP($BK248,Programma!$F$3:$N$1101,9,0),"")</f>
        <v/>
      </c>
      <c r="BT248" s="448" t="str">
        <f>_xlfn.IFNA(VLOOKUP($BK248,Programma!$F$3:$O$1101,10,0),"")</f>
        <v/>
      </c>
      <c r="BU248" s="448" t="str">
        <f>_xlfn.IFNA(VLOOKUP($BK248,Programma!$F$3:$P$1101,11,0),"")</f>
        <v/>
      </c>
      <c r="BV248" s="448" t="str">
        <f>_xlfn.IFNA(VLOOKUP($BK248,Programma!$F$3:$Q$1101,12,0),"")</f>
        <v/>
      </c>
      <c r="BW248" s="448" t="str">
        <f>_xlfn.IFNA(VLOOKUP($BK248,Programma!$F$3:$R$1101,13,0),"")</f>
        <v/>
      </c>
      <c r="BX248" s="448" t="str">
        <f>_xlfn.IFNA(VLOOKUP($BK248,Programma!$F$3:$S$1101,14,0),"")</f>
        <v/>
      </c>
      <c r="BY248" s="448" t="str">
        <f>_xlfn.IFNA(VLOOKUP($BK248,Programma!$F$3:$T$1101,15,0),"")</f>
        <v/>
      </c>
      <c r="BZ248" s="448" t="str">
        <f>_xlfn.IFNA(VLOOKUP($BK248,Programma!$F$3:$U$1101,16,0),"")</f>
        <v/>
      </c>
      <c r="CA248" s="448" t="str">
        <f>_xlfn.IFNA(VLOOKUP($BK248,Programma!$F$3:$V$1101,17,0),"")</f>
        <v/>
      </c>
      <c r="CB248" s="448" t="str">
        <f>_xlfn.IFNA(VLOOKUP($BK248,Programma!$F$3:$W$1101,18,0),"")</f>
        <v/>
      </c>
      <c r="CC248" s="448" t="str">
        <f>_xlfn.IFNA(VLOOKUP($BK248,Programma!$F$3:$X$1101,19,0),"")</f>
        <v/>
      </c>
      <c r="CD248" s="448" t="str">
        <f>_xlfn.IFNA(VLOOKUP($BK248,Programma!$F$3:$Y$1101,20,0),"")</f>
        <v/>
      </c>
      <c r="CE248" s="327"/>
      <c r="CF248" s="327"/>
      <c r="CG248" s="327"/>
      <c r="CH248" s="327"/>
      <c r="CI248" s="327"/>
      <c r="CJ248" s="327"/>
      <c r="CK248" s="327"/>
      <c r="CL248" s="327"/>
      <c r="CM248" s="327"/>
      <c r="CN248" s="327"/>
      <c r="CO248" s="327"/>
      <c r="CP248" s="327"/>
      <c r="CQ248" s="327"/>
      <c r="CR248" s="327"/>
      <c r="CS248" s="327"/>
      <c r="CT248" s="327"/>
      <c r="CU248" s="327"/>
      <c r="CV248" s="327"/>
      <c r="CW248" s="327"/>
      <c r="CX248" s="327"/>
      <c r="CY248" s="327"/>
      <c r="CZ248" s="327"/>
      <c r="DA248" s="327"/>
      <c r="DB248" s="327"/>
      <c r="DC248" s="327"/>
      <c r="DD248" s="327"/>
      <c r="DE248" s="327"/>
      <c r="DF248" s="327"/>
      <c r="DG248" s="327"/>
      <c r="DH248" s="327"/>
      <c r="DI248" s="327"/>
      <c r="DJ248" s="327"/>
      <c r="DK248" s="327"/>
      <c r="DL248" s="327"/>
      <c r="DM248" s="327"/>
      <c r="DN248" s="327"/>
      <c r="DO248" s="327"/>
      <c r="DP248" s="327"/>
      <c r="DQ248" s="327"/>
      <c r="DR248" s="327"/>
      <c r="DS248" s="327"/>
      <c r="DT248" s="327"/>
      <c r="DU248" s="327"/>
      <c r="DV248" s="327"/>
      <c r="DW248" s="327"/>
      <c r="DX248" s="327"/>
      <c r="DY248" s="327"/>
      <c r="DZ248" s="327"/>
      <c r="EA248" s="327"/>
      <c r="EB248" s="327"/>
      <c r="EC248" s="327"/>
      <c r="ED248" s="327"/>
      <c r="EE248" s="327"/>
      <c r="EF248" s="327"/>
      <c r="EG248" s="327"/>
      <c r="EH248" s="327"/>
      <c r="EI248" s="327"/>
      <c r="EJ248" s="327"/>
      <c r="EK248" s="327"/>
      <c r="EL248" s="327"/>
      <c r="EM248" s="327"/>
      <c r="EN248" s="327"/>
      <c r="EO248" s="327"/>
      <c r="EP248" s="327"/>
      <c r="EQ248" s="327"/>
      <c r="ER248" s="327"/>
      <c r="ES248" s="327"/>
      <c r="ET248" s="327"/>
      <c r="EU248" s="327"/>
      <c r="EV248" s="327"/>
      <c r="EW248" s="327"/>
      <c r="EX248" s="327"/>
      <c r="EY248" s="327"/>
      <c r="EZ248" s="327"/>
      <c r="FA248" s="327"/>
      <c r="FB248" s="327"/>
      <c r="FC248" s="327"/>
      <c r="FD248" s="327"/>
      <c r="FE248" s="327"/>
      <c r="FF248" s="327"/>
      <c r="FG248" s="327"/>
      <c r="FH248" s="327"/>
      <c r="FI248" s="327"/>
      <c r="FJ248" s="327"/>
      <c r="FK248" s="327"/>
      <c r="FL248" s="327"/>
      <c r="FM248" s="327"/>
      <c r="FN248" s="327"/>
      <c r="FO248" s="327"/>
      <c r="FP248" s="327"/>
      <c r="FQ248" s="327"/>
      <c r="FR248" s="327"/>
      <c r="FS248" s="327"/>
      <c r="FT248" s="327"/>
      <c r="FU248" s="327"/>
      <c r="FV248" s="327"/>
      <c r="FW248" s="327"/>
      <c r="FX248" s="327"/>
      <c r="FY248" s="327"/>
      <c r="FZ248" s="327"/>
      <c r="GA248" s="327"/>
      <c r="GB248" s="327"/>
      <c r="GC248" s="327"/>
      <c r="GD248" s="327"/>
      <c r="GE248" s="327"/>
      <c r="GF248" s="327"/>
      <c r="GG248" s="327"/>
      <c r="GH248" s="327"/>
      <c r="GI248" s="327"/>
      <c r="GJ248" s="327"/>
      <c r="GK248" s="327"/>
      <c r="GL248" s="327"/>
      <c r="GM248" s="327"/>
      <c r="GN248" s="327"/>
      <c r="GO248" s="327"/>
      <c r="GP248" s="327"/>
      <c r="GQ248" s="327"/>
      <c r="GR248" s="327"/>
      <c r="GS248" s="327"/>
      <c r="GT248" s="327"/>
      <c r="GU248" s="327"/>
      <c r="GV248" s="327"/>
      <c r="GW248" s="327"/>
      <c r="GX248" s="327"/>
      <c r="GY248" s="327"/>
      <c r="GZ248" s="327"/>
      <c r="HA248" s="327"/>
      <c r="HB248" s="327"/>
      <c r="HC248" s="327"/>
      <c r="HD248" s="327"/>
      <c r="HE248" s="327"/>
      <c r="HF248" s="327"/>
      <c r="HG248" s="327"/>
      <c r="HH248" s="327"/>
      <c r="HI248" s="327"/>
      <c r="HJ248" s="327"/>
      <c r="HK248" s="327"/>
      <c r="HL248" s="327"/>
      <c r="HM248" s="327"/>
      <c r="HN248" s="327"/>
      <c r="HO248" s="327"/>
      <c r="HP248" s="327"/>
      <c r="HQ248" s="327"/>
      <c r="HR248" s="327"/>
      <c r="HS248" s="327"/>
    </row>
    <row r="249" spans="1:227" ht="15" customHeight="1">
      <c r="A249" s="330">
        <v>10</v>
      </c>
      <c r="B249" s="435" t="str">
        <f>VLOOKUP(Ruimtestaat[[#This Row],[Code]],Locaties[[Code]:[Locatie]],2,FALSE)</f>
        <v xml:space="preserve">IKC De Edelsteen </v>
      </c>
      <c r="C249" s="435" t="str">
        <f>VLOOKUP(Ruimtestaat[[#This Row],[Code]],Locaties[[#All],[Code]:[Adres]],4,FALSE)</f>
        <v>Sieraadlaan 100-102</v>
      </c>
      <c r="D249" s="435" t="str">
        <f>VLOOKUP(Ruimtestaat[[#This Row],[Code]],Locaties[[#All],[Code]:[Postcode]],5,FALSE)</f>
        <v>2719 SN</v>
      </c>
      <c r="E249" s="435" t="str">
        <f>VLOOKUP(Ruimtestaat[[#This Row],[Code]],Locaties[#All],6,FALSE)</f>
        <v>Zoetermeer</v>
      </c>
      <c r="F249" s="450"/>
      <c r="G249" s="330" t="s">
        <v>1678</v>
      </c>
      <c r="H249" s="330" t="s">
        <v>1683</v>
      </c>
      <c r="I249" s="450" t="s">
        <v>1774</v>
      </c>
      <c r="J249" s="330">
        <v>12</v>
      </c>
      <c r="K249" s="450" t="str">
        <f>VLOOKUP(Ruimtestaat[[#This Row],[Ruimte code]],Ruimtegroepen[[#All],[Code]:[Ruimte omschrijving]],2,FALSE)</f>
        <v>Kantine/Aula</v>
      </c>
      <c r="L249" s="434" t="s">
        <v>100</v>
      </c>
      <c r="M249" s="437" t="s">
        <v>1759</v>
      </c>
      <c r="N249" s="439"/>
      <c r="O249" s="439"/>
      <c r="P249" s="439">
        <v>83</v>
      </c>
      <c r="Q249" s="439"/>
      <c r="R249" s="440" t="str">
        <f>VLOOKUP(Ruimtestaat[[#This Row],[Ruimte code]],Ruimtegroepen[],4,FALSE)</f>
        <v>Ve</v>
      </c>
      <c r="S249" s="434">
        <v>41</v>
      </c>
      <c r="T249" s="434" t="s">
        <v>2</v>
      </c>
      <c r="U249" s="434">
        <f>IF(S249&gt;0,IF(RIGHT(Ruimtestaat[[#This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49" s="434">
        <f>IF(U249&gt;0,VLOOKUP($J249,Ruimtegroepen[],3,FALSE)*VLOOKUP($L249,Vloersoorten[],3,FALSE)*VLOOKUP($T249,Frequenties[],3,FALSE)*VLOOKUP($A249,Locaties[],3,FALSE),0)</f>
        <v>0</v>
      </c>
      <c r="W249" s="434">
        <f>Ruimtestaat[[#This Row],[Uitvoeringen werkdagen]]*Ruimtestaat[[#This Row],[Oppervlak (netto)]]</f>
        <v>0</v>
      </c>
      <c r="X249" s="441">
        <f>IF(V249&gt;0,Ruimtestaat[[#This Row],[Prest. (m2 /jaar) werkdagen]]/Ruimtestaat[[#This Row],[Norm (m2/uur) werkdagen]],0)</f>
        <v>0</v>
      </c>
      <c r="Y249" s="442">
        <f>Ruimtestaat[[#This Row],[Uitvoeringen werkdagen]]*Ruimtestaat[[#This Row],[Gedeeltelijk]]</f>
        <v>17015</v>
      </c>
      <c r="Z249" s="443" t="e">
        <f>IF(U249&gt;0,Ruimtestaat[[#This Row],[Prest. (m2 / jaar) werkdagen gedeeld]]/Ruimtestaat[[#This Row],[Norm (m2/uur) werkdagen]],0)</f>
        <v>#DIV/0!</v>
      </c>
      <c r="AA249" s="441" t="e">
        <f>Ruimtestaat[[#This Row],[uren / jaar werkdagen gedeeld]]*Tariefsopbouw!$E$35</f>
        <v>#DIV/0!</v>
      </c>
      <c r="AB249" s="441">
        <f>Ruimtestaat[[#This Row],[Uitvoeringen werkdagen]]*Ruimtestaat[[#This Row],[BSO]]</f>
        <v>0</v>
      </c>
      <c r="AC249" s="443" t="e">
        <f>IF(U249&gt;0,Ruimtestaat[[#This Row],[Prest. (m2 / jaar) werkdagen BSO]]/Ruimtestaat[[#This Row],[Norm (m2/uur) werkdagen]],0)</f>
        <v>#DIV/0!</v>
      </c>
      <c r="AD249" s="443" t="e">
        <f>Ruimtestaat[[#This Row],[uren / jaar werkdagen BSO]]*Tariefsopbouw!$E$35</f>
        <v>#DIV/0!</v>
      </c>
      <c r="AE249" s="444">
        <f>Ruimtestaat[[#This Row],[uren / jaar werkdagen]]*Tariefsopbouw!$E$35</f>
        <v>0</v>
      </c>
      <c r="AF249" s="434"/>
      <c r="AG249" s="434">
        <f>IF(Ruimtestaat[[#This Row],[Frequentie weekend]]&gt;0,VALUE(LEFT(AF249,1))*S249,0)</f>
        <v>0</v>
      </c>
      <c r="AH249" s="445">
        <f>IF($AG249&gt;0,VLOOKUP($J249,Ruimtegroepen[],3,FALSE)*VLOOKUP($L249,Vloersoorten[],3,FALSE)*VLOOKUP($AF249,Frequenties[],3,FALSE)*VLOOKUP(Ruimtestaat[[#This Row],[Code]],Locaties[],3,FALSE),0)</f>
        <v>0</v>
      </c>
      <c r="AI249" s="445">
        <f>Ruimtestaat[[#This Row],[Uitvoeringen weekend]]*Ruimtestaat[[#This Row],[Oppervlak (netto)]]</f>
        <v>0</v>
      </c>
      <c r="AJ249" s="445">
        <f>IF(AH249&gt;0,Ruimtestaat[[#This Row],[Prest. (m2 /jaar) weekend]]/Ruimtestaat[[#This Row],[Norm (m2/uur) weekend]],0)</f>
        <v>0</v>
      </c>
      <c r="AK249" s="444">
        <f>Ruimtestaat[[#This Row],[uren / jaar weekend]]*Tariefsopbouw!$D$40</f>
        <v>0</v>
      </c>
      <c r="AL249" s="441">
        <f>Ruimtestaat[[#This Row],[Prest. (m2 /jaar) weekend]]+Ruimtestaat[[#This Row],[Prest. (m2 /jaar) werkdagen]]</f>
        <v>0</v>
      </c>
      <c r="AM249" s="441">
        <f>Ruimtestaat[[#This Row],[uren / jaar weekend]]+Ruimtestaat[[#This Row],[uren / jaar werkdagen]]</f>
        <v>0</v>
      </c>
      <c r="AN249" s="446">
        <f>Ruimtestaat[[#This Row],[kosten / jaar weekend]]+Ruimtestaat[[#This Row],[kosten / jaar werkdagen]]</f>
        <v>0</v>
      </c>
      <c r="AO249" s="446"/>
      <c r="AP249" s="447" t="str">
        <f>IF(Ruimtestaat[[#This Row],[Frequentie werkdagen]]="","",_xlfn.CONCAT(Ruimtestaat[[#This Row],[Ruimte code]],"-",Ruimtestaat[[#This Row],[Frequentie werkdagen]]," ",Ruimtestaat[[#This Row],[Vloer code]]))</f>
        <v>12-5w L</v>
      </c>
      <c r="AQ249" s="448" t="str">
        <f>_xlfn.IFNA(VLOOKUP($AP249,Programma!$F$3:$G$1101,2,0),"")</f>
        <v>_</v>
      </c>
      <c r="AR249" s="448" t="str">
        <f>_xlfn.IFNA(VLOOKUP($AP249,Programma!$F$3:$H$1101,3,0),"")</f>
        <v>_</v>
      </c>
      <c r="AS249" s="448" t="str">
        <f>_xlfn.IFNA(VLOOKUP($AP249,Programma!$F$3:$I$1101,4,0),"")</f>
        <v>_</v>
      </c>
      <c r="AT249" s="448" t="str">
        <f>_xlfn.IFNA(VLOOKUP($AP249,Programma!$F$3:$J$1101,5,0),"")</f>
        <v>5w</v>
      </c>
      <c r="AU249" s="448" t="str">
        <f>_xlfn.IFNA(VLOOKUP($AP249,Programma!$F$3:$K$1101,6,0),"")</f>
        <v>_</v>
      </c>
      <c r="AV249" s="448" t="str">
        <f>_xlfn.IFNA(VLOOKUP($AP249,Programma!$F$3:$L$1101,7,0),"")</f>
        <v>_</v>
      </c>
      <c r="AW249" s="448" t="str">
        <f>_xlfn.IFNA(VLOOKUP($AP249,Programma!$F$3:$M$1101,8,0),"")</f>
        <v>_</v>
      </c>
      <c r="AX249" s="448" t="str">
        <f>_xlfn.IFNA(VLOOKUP($AP249,Programma!$F$3:$N$1101,9,0),"")</f>
        <v>_</v>
      </c>
      <c r="AY249" s="448" t="str">
        <f>_xlfn.IFNA(VLOOKUP($AP249,Programma!$F$3:$O$1101,10,0),"")</f>
        <v>5w</v>
      </c>
      <c r="AZ249" s="448" t="str">
        <f>_xlfn.IFNA(VLOOKUP($AP249,Programma!$F$3:$P$1101,11,0),"")</f>
        <v>5w</v>
      </c>
      <c r="BA249" s="448" t="str">
        <f>_xlfn.IFNA(VLOOKUP($AP249,Programma!$F$3:$Q$1101,12,0),"")</f>
        <v>1w</v>
      </c>
      <c r="BB249" s="448" t="str">
        <f>_xlfn.IFNA(VLOOKUP($AP249,Programma!$F$3:$R$1101,13,0),"")</f>
        <v>1w</v>
      </c>
      <c r="BC249" s="448" t="str">
        <f>_xlfn.IFNA(VLOOKUP($AP249,Programma!$F$3:$S$1101,14,0),"")</f>
        <v>1m</v>
      </c>
      <c r="BD249" s="448" t="str">
        <f>_xlfn.IFNA(VLOOKUP($AP249,Programma!$F$3:$T$1101,15,0),"")</f>
        <v>2j</v>
      </c>
      <c r="BE249" s="448" t="str">
        <f>_xlfn.IFNA(VLOOKUP($AP249,Programma!$F$3:$U$1101,16,0),"")</f>
        <v>1j</v>
      </c>
      <c r="BF249" s="448" t="str">
        <f>_xlfn.IFNA(VLOOKUP($AP249,Programma!$F$3:$V$1101,17,0),"")</f>
        <v>_</v>
      </c>
      <c r="BG249" s="448" t="str">
        <f>_xlfn.IFNA(VLOOKUP($AP249,Programma!$F$3:$W$1101,18,0),"")</f>
        <v>_</v>
      </c>
      <c r="BH249" s="448" t="str">
        <f>_xlfn.IFNA(VLOOKUP($AP249,Programma!$F$3:$X$1101,19,0),"")</f>
        <v>_</v>
      </c>
      <c r="BI249" s="448" t="str">
        <f>_xlfn.IFNA(VLOOKUP($AP249,Programma!$F$3:$Y$1101,20,0),"")</f>
        <v>_</v>
      </c>
      <c r="BJ249" s="449"/>
      <c r="BK249" s="447" t="str">
        <f>IF(Ruimtestaat[[#This Row],[Frequentie weekend]]="","",_xlfn.CONCAT(Ruimtestaat[[#This Row],[Ruimte code]],"-",Ruimtestaat[[#This Row],[Frequentie weekend]]," ",Ruimtestaat[[#This Row],[Vloer code]]))</f>
        <v/>
      </c>
      <c r="BL249" s="448" t="str">
        <f>_xlfn.IFNA(VLOOKUP($BK249,Programma!$F$3:$G$1101,2,0),"")</f>
        <v/>
      </c>
      <c r="BM249" s="448" t="str">
        <f>_xlfn.IFNA(VLOOKUP($BK249,Programma!$F$3:$H$1101,3,0),"")</f>
        <v/>
      </c>
      <c r="BN249" s="448" t="str">
        <f>_xlfn.IFNA(VLOOKUP($BK249,Programma!$F$3:$I$1101,4,0),"")</f>
        <v/>
      </c>
      <c r="BO249" s="448" t="str">
        <f>_xlfn.IFNA(VLOOKUP($BK249,Programma!$F$3:$J$1101,5,0),"")</f>
        <v/>
      </c>
      <c r="BP249" s="448" t="str">
        <f>_xlfn.IFNA(VLOOKUP($BK249,Programma!$F$3:$K$1101,6,0),"")</f>
        <v/>
      </c>
      <c r="BQ249" s="448" t="str">
        <f>_xlfn.IFNA(VLOOKUP($BK249,Programma!$F$3:$L$1101,7,0),"")</f>
        <v/>
      </c>
      <c r="BR249" s="448" t="str">
        <f>_xlfn.IFNA(VLOOKUP($BK249,Programma!$F$3:$M$1101,8,0),"")</f>
        <v/>
      </c>
      <c r="BS249" s="448" t="str">
        <f>_xlfn.IFNA(VLOOKUP($BK249,Programma!$F$3:$N$1101,9,0),"")</f>
        <v/>
      </c>
      <c r="BT249" s="448" t="str">
        <f>_xlfn.IFNA(VLOOKUP($BK249,Programma!$F$3:$O$1101,10,0),"")</f>
        <v/>
      </c>
      <c r="BU249" s="448" t="str">
        <f>_xlfn.IFNA(VLOOKUP($BK249,Programma!$F$3:$P$1101,11,0),"")</f>
        <v/>
      </c>
      <c r="BV249" s="448" t="str">
        <f>_xlfn.IFNA(VLOOKUP($BK249,Programma!$F$3:$Q$1101,12,0),"")</f>
        <v/>
      </c>
      <c r="BW249" s="448" t="str">
        <f>_xlfn.IFNA(VLOOKUP($BK249,Programma!$F$3:$R$1101,13,0),"")</f>
        <v/>
      </c>
      <c r="BX249" s="448" t="str">
        <f>_xlfn.IFNA(VLOOKUP($BK249,Programma!$F$3:$S$1101,14,0),"")</f>
        <v/>
      </c>
      <c r="BY249" s="448" t="str">
        <f>_xlfn.IFNA(VLOOKUP($BK249,Programma!$F$3:$T$1101,15,0),"")</f>
        <v/>
      </c>
      <c r="BZ249" s="448" t="str">
        <f>_xlfn.IFNA(VLOOKUP($BK249,Programma!$F$3:$U$1101,16,0),"")</f>
        <v/>
      </c>
      <c r="CA249" s="448" t="str">
        <f>_xlfn.IFNA(VLOOKUP($BK249,Programma!$F$3:$V$1101,17,0),"")</f>
        <v/>
      </c>
      <c r="CB249" s="448" t="str">
        <f>_xlfn.IFNA(VLOOKUP($BK249,Programma!$F$3:$W$1101,18,0),"")</f>
        <v/>
      </c>
      <c r="CC249" s="448" t="str">
        <f>_xlfn.IFNA(VLOOKUP($BK249,Programma!$F$3:$X$1101,19,0),"")</f>
        <v/>
      </c>
      <c r="CD249" s="448" t="str">
        <f>_xlfn.IFNA(VLOOKUP($BK249,Programma!$F$3:$Y$1101,20,0),"")</f>
        <v/>
      </c>
      <c r="CE249" s="327"/>
      <c r="CF249" s="327"/>
      <c r="CG249" s="327"/>
      <c r="CH249" s="327"/>
      <c r="CI249" s="327"/>
      <c r="CJ249" s="327"/>
      <c r="CK249" s="327"/>
      <c r="CL249" s="327"/>
      <c r="CM249" s="327"/>
      <c r="CN249" s="327"/>
      <c r="CO249" s="327"/>
      <c r="CP249" s="327"/>
      <c r="CQ249" s="327"/>
      <c r="CR249" s="327"/>
      <c r="CS249" s="327"/>
      <c r="CT249" s="327"/>
      <c r="CU249" s="327"/>
      <c r="CV249" s="327"/>
      <c r="CW249" s="327"/>
      <c r="CX249" s="327"/>
      <c r="CY249" s="327"/>
      <c r="CZ249" s="327"/>
      <c r="DA249" s="327"/>
      <c r="DB249" s="327"/>
      <c r="DC249" s="327"/>
      <c r="DD249" s="327"/>
      <c r="DE249" s="327"/>
      <c r="DF249" s="327"/>
      <c r="DG249" s="327"/>
      <c r="DH249" s="327"/>
      <c r="DI249" s="327"/>
      <c r="DJ249" s="327"/>
      <c r="DK249" s="327"/>
      <c r="DL249" s="327"/>
      <c r="DM249" s="327"/>
      <c r="DN249" s="327"/>
      <c r="DO249" s="327"/>
      <c r="DP249" s="327"/>
      <c r="DQ249" s="327"/>
      <c r="DR249" s="327"/>
      <c r="DS249" s="327"/>
      <c r="DT249" s="327"/>
      <c r="DU249" s="327"/>
      <c r="DV249" s="327"/>
      <c r="DW249" s="327"/>
      <c r="DX249" s="327"/>
      <c r="DY249" s="327"/>
      <c r="DZ249" s="327"/>
      <c r="EA249" s="327"/>
      <c r="EB249" s="327"/>
      <c r="EC249" s="327"/>
      <c r="ED249" s="327"/>
      <c r="EE249" s="327"/>
      <c r="EF249" s="327"/>
      <c r="EG249" s="327"/>
      <c r="EH249" s="327"/>
      <c r="EI249" s="327"/>
      <c r="EJ249" s="327"/>
      <c r="EK249" s="327"/>
      <c r="EL249" s="327"/>
      <c r="EM249" s="327"/>
      <c r="EN249" s="327"/>
      <c r="EO249" s="327"/>
      <c r="EP249" s="327"/>
      <c r="EQ249" s="327"/>
      <c r="ER249" s="327"/>
      <c r="ES249" s="327"/>
      <c r="ET249" s="327"/>
      <c r="EU249" s="327"/>
      <c r="EV249" s="327"/>
      <c r="EW249" s="327"/>
      <c r="EX249" s="327"/>
      <c r="EY249" s="327"/>
      <c r="EZ249" s="327"/>
      <c r="FA249" s="327"/>
      <c r="FB249" s="327"/>
      <c r="FC249" s="327"/>
      <c r="FD249" s="327"/>
      <c r="FE249" s="327"/>
      <c r="FF249" s="327"/>
      <c r="FG249" s="327"/>
      <c r="FH249" s="327"/>
      <c r="FI249" s="327"/>
      <c r="FJ249" s="327"/>
      <c r="FK249" s="327"/>
      <c r="FL249" s="327"/>
      <c r="FM249" s="327"/>
      <c r="FN249" s="327"/>
      <c r="FO249" s="327"/>
      <c r="FP249" s="327"/>
      <c r="FQ249" s="327"/>
      <c r="FR249" s="327"/>
      <c r="FS249" s="327"/>
      <c r="FT249" s="327"/>
      <c r="FU249" s="327"/>
      <c r="FV249" s="327"/>
      <c r="FW249" s="327"/>
      <c r="FX249" s="327"/>
      <c r="FY249" s="327"/>
      <c r="FZ249" s="327"/>
      <c r="GA249" s="327"/>
      <c r="GB249" s="327"/>
      <c r="GC249" s="327"/>
      <c r="GD249" s="327"/>
      <c r="GE249" s="327"/>
      <c r="GF249" s="327"/>
      <c r="GG249" s="327"/>
      <c r="GH249" s="327"/>
      <c r="GI249" s="327"/>
      <c r="GJ249" s="327"/>
      <c r="GK249" s="327"/>
      <c r="GL249" s="327"/>
      <c r="GM249" s="327"/>
      <c r="GN249" s="327"/>
      <c r="GO249" s="327"/>
      <c r="GP249" s="327"/>
      <c r="GQ249" s="327"/>
      <c r="GR249" s="327"/>
      <c r="GS249" s="327"/>
      <c r="GT249" s="327"/>
      <c r="GU249" s="327"/>
      <c r="GV249" s="327"/>
      <c r="GW249" s="327"/>
      <c r="GX249" s="327"/>
      <c r="GY249" s="327"/>
      <c r="GZ249" s="327"/>
      <c r="HA249" s="327"/>
      <c r="HB249" s="327"/>
      <c r="HC249" s="327"/>
      <c r="HD249" s="327"/>
      <c r="HE249" s="327"/>
      <c r="HF249" s="327"/>
      <c r="HG249" s="327"/>
      <c r="HH249" s="327"/>
      <c r="HI249" s="327"/>
      <c r="HJ249" s="327"/>
      <c r="HK249" s="327"/>
      <c r="HL249" s="327"/>
      <c r="HM249" s="327"/>
      <c r="HN249" s="327"/>
      <c r="HO249" s="327"/>
      <c r="HP249" s="327"/>
      <c r="HQ249" s="327"/>
      <c r="HR249" s="327"/>
      <c r="HS249" s="327"/>
    </row>
    <row r="250" spans="1:227" ht="15" customHeight="1">
      <c r="A250" s="330">
        <v>10</v>
      </c>
      <c r="B250" s="435" t="str">
        <f>VLOOKUP(Ruimtestaat[[#This Row],[Code]],Locaties[[Code]:[Locatie]],2,FALSE)</f>
        <v xml:space="preserve">IKC De Edelsteen </v>
      </c>
      <c r="C250" s="435" t="str">
        <f>VLOOKUP(Ruimtestaat[[#This Row],[Code]],Locaties[[#All],[Code]:[Adres]],4,FALSE)</f>
        <v>Sieraadlaan 100-102</v>
      </c>
      <c r="D250" s="435" t="str">
        <f>VLOOKUP(Ruimtestaat[[#This Row],[Code]],Locaties[[#All],[Code]:[Postcode]],5,FALSE)</f>
        <v>2719 SN</v>
      </c>
      <c r="E250" s="435" t="str">
        <f>VLOOKUP(Ruimtestaat[[#This Row],[Code]],Locaties[#All],6,FALSE)</f>
        <v>Zoetermeer</v>
      </c>
      <c r="F250" s="450"/>
      <c r="G250" s="330" t="s">
        <v>1678</v>
      </c>
      <c r="H250" s="330" t="s">
        <v>1761</v>
      </c>
      <c r="I250" s="450" t="s">
        <v>1818</v>
      </c>
      <c r="J250" s="330">
        <v>15</v>
      </c>
      <c r="K250" s="450" t="str">
        <f>VLOOKUP(Ruimtestaat[[#This Row],[Ruimte code]],Ruimtegroepen[[#All],[Code]:[Ruimte omschrijving]],2,FALSE)</f>
        <v>Keuken/pantry</v>
      </c>
      <c r="L250" s="434" t="s">
        <v>100</v>
      </c>
      <c r="M250" s="437" t="s">
        <v>1759</v>
      </c>
      <c r="N250" s="439">
        <v>9</v>
      </c>
      <c r="O250" s="439"/>
      <c r="P250" s="439"/>
      <c r="Q250" s="439"/>
      <c r="R250" s="440" t="str">
        <f>VLOOKUP(Ruimtestaat[[#This Row],[Ruimte code]],Ruimtegroepen[],4,FALSE)</f>
        <v>Ve</v>
      </c>
      <c r="S250" s="434">
        <v>41</v>
      </c>
      <c r="T250" s="434" t="s">
        <v>2</v>
      </c>
      <c r="U250" s="434">
        <f>IF(S250&gt;0,IF(RIGHT(Ruimtestaat[[#This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50" s="434">
        <f>IF(U250&gt;0,VLOOKUP($J250,Ruimtegroepen[],3,FALSE)*VLOOKUP($L250,Vloersoorten[],3,FALSE)*VLOOKUP($T250,Frequenties[],3,FALSE)*VLOOKUP($A250,Locaties[],3,FALSE),0)</f>
        <v>0</v>
      </c>
      <c r="W250" s="434">
        <f>Ruimtestaat[[#This Row],[Uitvoeringen werkdagen]]*Ruimtestaat[[#This Row],[Oppervlak (netto)]]</f>
        <v>1845</v>
      </c>
      <c r="X250" s="441">
        <f>IF(V250&gt;0,Ruimtestaat[[#This Row],[Prest. (m2 /jaar) werkdagen]]/Ruimtestaat[[#This Row],[Norm (m2/uur) werkdagen]],0)</f>
        <v>0</v>
      </c>
      <c r="Y250" s="442">
        <f>Ruimtestaat[[#This Row],[Uitvoeringen werkdagen]]*Ruimtestaat[[#This Row],[Gedeeltelijk]]</f>
        <v>0</v>
      </c>
      <c r="Z250" s="443" t="e">
        <f>IF(U250&gt;0,Ruimtestaat[[#This Row],[Prest. (m2 / jaar) werkdagen gedeeld]]/Ruimtestaat[[#This Row],[Norm (m2/uur) werkdagen]],0)</f>
        <v>#DIV/0!</v>
      </c>
      <c r="AA250" s="441" t="e">
        <f>Ruimtestaat[[#This Row],[uren / jaar werkdagen gedeeld]]*Tariefsopbouw!$E$35</f>
        <v>#DIV/0!</v>
      </c>
      <c r="AB250" s="441">
        <f>Ruimtestaat[[#This Row],[Uitvoeringen werkdagen]]*Ruimtestaat[[#This Row],[BSO]]</f>
        <v>0</v>
      </c>
      <c r="AC250" s="443" t="e">
        <f>IF(U250&gt;0,Ruimtestaat[[#This Row],[Prest. (m2 / jaar) werkdagen BSO]]/Ruimtestaat[[#This Row],[Norm (m2/uur) werkdagen]],0)</f>
        <v>#DIV/0!</v>
      </c>
      <c r="AD250" s="443" t="e">
        <f>Ruimtestaat[[#This Row],[uren / jaar werkdagen BSO]]*Tariefsopbouw!$E$35</f>
        <v>#DIV/0!</v>
      </c>
      <c r="AE250" s="444">
        <f>Ruimtestaat[[#This Row],[uren / jaar werkdagen]]*Tariefsopbouw!$E$35</f>
        <v>0</v>
      </c>
      <c r="AF250" s="434"/>
      <c r="AG250" s="434">
        <f>IF(Ruimtestaat[[#This Row],[Frequentie weekend]]&gt;0,VALUE(LEFT(AF250,1))*S250,0)</f>
        <v>0</v>
      </c>
      <c r="AH250" s="445">
        <f>IF($AG250&gt;0,VLOOKUP($J250,Ruimtegroepen[],3,FALSE)*VLOOKUP($L250,Vloersoorten[],3,FALSE)*VLOOKUP($AF250,Frequenties[],3,FALSE)*VLOOKUP(Ruimtestaat[[#This Row],[Code]],Locaties[],3,FALSE),0)</f>
        <v>0</v>
      </c>
      <c r="AI250" s="445">
        <f>Ruimtestaat[[#This Row],[Uitvoeringen weekend]]*Ruimtestaat[[#This Row],[Oppervlak (netto)]]</f>
        <v>0</v>
      </c>
      <c r="AJ250" s="445">
        <f>IF(AH250&gt;0,Ruimtestaat[[#This Row],[Prest. (m2 /jaar) weekend]]/Ruimtestaat[[#This Row],[Norm (m2/uur) weekend]],0)</f>
        <v>0</v>
      </c>
      <c r="AK250" s="444">
        <f>Ruimtestaat[[#This Row],[uren / jaar weekend]]*Tariefsopbouw!$D$40</f>
        <v>0</v>
      </c>
      <c r="AL250" s="441">
        <f>Ruimtestaat[[#This Row],[Prest. (m2 /jaar) weekend]]+Ruimtestaat[[#This Row],[Prest. (m2 /jaar) werkdagen]]</f>
        <v>1845</v>
      </c>
      <c r="AM250" s="441">
        <f>Ruimtestaat[[#This Row],[uren / jaar weekend]]+Ruimtestaat[[#This Row],[uren / jaar werkdagen]]</f>
        <v>0</v>
      </c>
      <c r="AN250" s="446">
        <f>Ruimtestaat[[#This Row],[kosten / jaar weekend]]+Ruimtestaat[[#This Row],[kosten / jaar werkdagen]]</f>
        <v>0</v>
      </c>
      <c r="AO250" s="446"/>
      <c r="AP250" s="447" t="str">
        <f>IF(Ruimtestaat[[#This Row],[Frequentie werkdagen]]="","",_xlfn.CONCAT(Ruimtestaat[[#This Row],[Ruimte code]],"-",Ruimtestaat[[#This Row],[Frequentie werkdagen]]," ",Ruimtestaat[[#This Row],[Vloer code]]))</f>
        <v>15-5w L</v>
      </c>
      <c r="AQ250" s="448" t="str">
        <f>_xlfn.IFNA(VLOOKUP($AP250,Programma!$F$3:$G$1101,2,0),"")</f>
        <v>_</v>
      </c>
      <c r="AR250" s="448" t="str">
        <f>_xlfn.IFNA(VLOOKUP($AP250,Programma!$F$3:$H$1101,3,0),"")</f>
        <v>_</v>
      </c>
      <c r="AS250" s="448" t="str">
        <f>_xlfn.IFNA(VLOOKUP($AP250,Programma!$F$3:$I$1101,4,0),"")</f>
        <v>_</v>
      </c>
      <c r="AT250" s="448" t="str">
        <f>_xlfn.IFNA(VLOOKUP($AP250,Programma!$F$3:$J$1101,5,0),"")</f>
        <v>5w</v>
      </c>
      <c r="AU250" s="448" t="str">
        <f>_xlfn.IFNA(VLOOKUP($AP250,Programma!$F$3:$K$1101,6,0),"")</f>
        <v>_</v>
      </c>
      <c r="AV250" s="448" t="str">
        <f>_xlfn.IFNA(VLOOKUP($AP250,Programma!$F$3:$L$1101,7,0),"")</f>
        <v>_</v>
      </c>
      <c r="AW250" s="448" t="str">
        <f>_xlfn.IFNA(VLOOKUP($AP250,Programma!$F$3:$M$1101,8,0),"")</f>
        <v>_</v>
      </c>
      <c r="AX250" s="448" t="str">
        <f>_xlfn.IFNA(VLOOKUP($AP250,Programma!$F$3:$N$1101,9,0),"")</f>
        <v>_</v>
      </c>
      <c r="AY250" s="448" t="str">
        <f>_xlfn.IFNA(VLOOKUP($AP250,Programma!$F$3:$O$1101,10,0),"")</f>
        <v>5w</v>
      </c>
      <c r="AZ250" s="448" t="str">
        <f>_xlfn.IFNA(VLOOKUP($AP250,Programma!$F$3:$P$1101,11,0),"")</f>
        <v>5w</v>
      </c>
      <c r="BA250" s="448" t="str">
        <f>_xlfn.IFNA(VLOOKUP($AP250,Programma!$F$3:$Q$1101,12,0),"")</f>
        <v>1w</v>
      </c>
      <c r="BB250" s="448" t="str">
        <f>_xlfn.IFNA(VLOOKUP($AP250,Programma!$F$3:$R$1101,13,0),"")</f>
        <v>1w</v>
      </c>
      <c r="BC250" s="448" t="str">
        <f>_xlfn.IFNA(VLOOKUP($AP250,Programma!$F$3:$S$1101,14,0),"")</f>
        <v>1m</v>
      </c>
      <c r="BD250" s="448" t="str">
        <f>_xlfn.IFNA(VLOOKUP($AP250,Programma!$F$3:$T$1101,15,0),"")</f>
        <v>2j</v>
      </c>
      <c r="BE250" s="448" t="str">
        <f>_xlfn.IFNA(VLOOKUP($AP250,Programma!$F$3:$U$1101,16,0),"")</f>
        <v>1j</v>
      </c>
      <c r="BF250" s="448" t="str">
        <f>_xlfn.IFNA(VLOOKUP($AP250,Programma!$F$3:$V$1101,17,0),"")</f>
        <v>_</v>
      </c>
      <c r="BG250" s="448" t="str">
        <f>_xlfn.IFNA(VLOOKUP($AP250,Programma!$F$3:$W$1101,18,0),"")</f>
        <v>_</v>
      </c>
      <c r="BH250" s="448" t="str">
        <f>_xlfn.IFNA(VLOOKUP($AP250,Programma!$F$3:$X$1101,19,0),"")</f>
        <v>_</v>
      </c>
      <c r="BI250" s="448" t="str">
        <f>_xlfn.IFNA(VLOOKUP($AP250,Programma!$F$3:$Y$1101,20,0),"")</f>
        <v>_</v>
      </c>
      <c r="BJ250" s="449"/>
      <c r="BK250" s="447" t="str">
        <f>IF(Ruimtestaat[[#This Row],[Frequentie weekend]]="","",_xlfn.CONCAT(Ruimtestaat[[#This Row],[Ruimte code]],"-",Ruimtestaat[[#This Row],[Frequentie weekend]]," ",Ruimtestaat[[#This Row],[Vloer code]]))</f>
        <v/>
      </c>
      <c r="BL250" s="448" t="str">
        <f>_xlfn.IFNA(VLOOKUP($BK250,Programma!$F$3:$G$1101,2,0),"")</f>
        <v/>
      </c>
      <c r="BM250" s="448" t="str">
        <f>_xlfn.IFNA(VLOOKUP($BK250,Programma!$F$3:$H$1101,3,0),"")</f>
        <v/>
      </c>
      <c r="BN250" s="448" t="str">
        <f>_xlfn.IFNA(VLOOKUP($BK250,Programma!$F$3:$I$1101,4,0),"")</f>
        <v/>
      </c>
      <c r="BO250" s="448" t="str">
        <f>_xlfn.IFNA(VLOOKUP($BK250,Programma!$F$3:$J$1101,5,0),"")</f>
        <v/>
      </c>
      <c r="BP250" s="448" t="str">
        <f>_xlfn.IFNA(VLOOKUP($BK250,Programma!$F$3:$K$1101,6,0),"")</f>
        <v/>
      </c>
      <c r="BQ250" s="448" t="str">
        <f>_xlfn.IFNA(VLOOKUP($BK250,Programma!$F$3:$L$1101,7,0),"")</f>
        <v/>
      </c>
      <c r="BR250" s="448" t="str">
        <f>_xlfn.IFNA(VLOOKUP($BK250,Programma!$F$3:$M$1101,8,0),"")</f>
        <v/>
      </c>
      <c r="BS250" s="448" t="str">
        <f>_xlfn.IFNA(VLOOKUP($BK250,Programma!$F$3:$N$1101,9,0),"")</f>
        <v/>
      </c>
      <c r="BT250" s="448" t="str">
        <f>_xlfn.IFNA(VLOOKUP($BK250,Programma!$F$3:$O$1101,10,0),"")</f>
        <v/>
      </c>
      <c r="BU250" s="448" t="str">
        <f>_xlfn.IFNA(VLOOKUP($BK250,Programma!$F$3:$P$1101,11,0),"")</f>
        <v/>
      </c>
      <c r="BV250" s="448" t="str">
        <f>_xlfn.IFNA(VLOOKUP($BK250,Programma!$F$3:$Q$1101,12,0),"")</f>
        <v/>
      </c>
      <c r="BW250" s="448" t="str">
        <f>_xlfn.IFNA(VLOOKUP($BK250,Programma!$F$3:$R$1101,13,0),"")</f>
        <v/>
      </c>
      <c r="BX250" s="448" t="str">
        <f>_xlfn.IFNA(VLOOKUP($BK250,Programma!$F$3:$S$1101,14,0),"")</f>
        <v/>
      </c>
      <c r="BY250" s="448" t="str">
        <f>_xlfn.IFNA(VLOOKUP($BK250,Programma!$F$3:$T$1101,15,0),"")</f>
        <v/>
      </c>
      <c r="BZ250" s="448" t="str">
        <f>_xlfn.IFNA(VLOOKUP($BK250,Programma!$F$3:$U$1101,16,0),"")</f>
        <v/>
      </c>
      <c r="CA250" s="448" t="str">
        <f>_xlfn.IFNA(VLOOKUP($BK250,Programma!$F$3:$V$1101,17,0),"")</f>
        <v/>
      </c>
      <c r="CB250" s="448" t="str">
        <f>_xlfn.IFNA(VLOOKUP($BK250,Programma!$F$3:$W$1101,18,0),"")</f>
        <v/>
      </c>
      <c r="CC250" s="448" t="str">
        <f>_xlfn.IFNA(VLOOKUP($BK250,Programma!$F$3:$X$1101,19,0),"")</f>
        <v/>
      </c>
      <c r="CD250" s="448" t="str">
        <f>_xlfn.IFNA(VLOOKUP($BK250,Programma!$F$3:$Y$1101,20,0),"")</f>
        <v/>
      </c>
      <c r="CE250" s="327"/>
      <c r="CF250" s="327"/>
      <c r="CG250" s="327"/>
      <c r="CH250" s="327"/>
      <c r="CI250" s="327"/>
      <c r="CJ250" s="327"/>
      <c r="CK250" s="327"/>
      <c r="CL250" s="327"/>
      <c r="CM250" s="327"/>
      <c r="CN250" s="327"/>
      <c r="CO250" s="327"/>
      <c r="CP250" s="327"/>
      <c r="CQ250" s="327"/>
      <c r="CR250" s="327"/>
      <c r="CS250" s="327"/>
      <c r="CT250" s="327"/>
      <c r="CU250" s="327"/>
      <c r="CV250" s="327"/>
      <c r="CW250" s="327"/>
      <c r="CX250" s="327"/>
      <c r="CY250" s="327"/>
      <c r="CZ250" s="327"/>
      <c r="DA250" s="327"/>
      <c r="DB250" s="327"/>
      <c r="DC250" s="327"/>
      <c r="DD250" s="327"/>
      <c r="DE250" s="327"/>
      <c r="DF250" s="327"/>
      <c r="DG250" s="327"/>
      <c r="DH250" s="327"/>
      <c r="DI250" s="327"/>
      <c r="DJ250" s="327"/>
      <c r="DK250" s="327"/>
      <c r="DL250" s="327"/>
      <c r="DM250" s="327"/>
      <c r="DN250" s="327"/>
      <c r="DO250" s="327"/>
      <c r="DP250" s="327"/>
      <c r="DQ250" s="327"/>
      <c r="DR250" s="327"/>
      <c r="DS250" s="327"/>
      <c r="DT250" s="327"/>
      <c r="DU250" s="327"/>
      <c r="DV250" s="327"/>
      <c r="DW250" s="327"/>
      <c r="DX250" s="327"/>
      <c r="DY250" s="327"/>
      <c r="DZ250" s="327"/>
      <c r="EA250" s="327"/>
      <c r="EB250" s="327"/>
      <c r="EC250" s="327"/>
      <c r="ED250" s="327"/>
      <c r="EE250" s="327"/>
      <c r="EF250" s="327"/>
      <c r="EG250" s="327"/>
      <c r="EH250" s="327"/>
      <c r="EI250" s="327"/>
      <c r="EJ250" s="327"/>
      <c r="EK250" s="327"/>
      <c r="EL250" s="327"/>
      <c r="EM250" s="327"/>
      <c r="EN250" s="327"/>
      <c r="EO250" s="327"/>
      <c r="EP250" s="327"/>
      <c r="EQ250" s="327"/>
      <c r="ER250" s="327"/>
      <c r="ES250" s="327"/>
      <c r="ET250" s="327"/>
      <c r="EU250" s="327"/>
      <c r="EV250" s="327"/>
      <c r="EW250" s="327"/>
      <c r="EX250" s="327"/>
      <c r="EY250" s="327"/>
      <c r="EZ250" s="327"/>
      <c r="FA250" s="327"/>
      <c r="FB250" s="327"/>
      <c r="FC250" s="327"/>
      <c r="FD250" s="327"/>
      <c r="FE250" s="327"/>
      <c r="FF250" s="327"/>
      <c r="FG250" s="327"/>
      <c r="FH250" s="327"/>
      <c r="FI250" s="327"/>
      <c r="FJ250" s="327"/>
      <c r="FK250" s="327"/>
      <c r="FL250" s="327"/>
      <c r="FM250" s="327"/>
      <c r="FN250" s="327"/>
      <c r="FO250" s="327"/>
      <c r="FP250" s="327"/>
      <c r="FQ250" s="327"/>
      <c r="FR250" s="327"/>
      <c r="FS250" s="327"/>
      <c r="FT250" s="327"/>
      <c r="FU250" s="327"/>
      <c r="FV250" s="327"/>
      <c r="FW250" s="327"/>
      <c r="FX250" s="327"/>
      <c r="FY250" s="327"/>
      <c r="FZ250" s="327"/>
      <c r="GA250" s="327"/>
      <c r="GB250" s="327"/>
      <c r="GC250" s="327"/>
      <c r="GD250" s="327"/>
      <c r="GE250" s="327"/>
      <c r="GF250" s="327"/>
      <c r="GG250" s="327"/>
      <c r="GH250" s="327"/>
      <c r="GI250" s="327"/>
      <c r="GJ250" s="327"/>
      <c r="GK250" s="327"/>
      <c r="GL250" s="327"/>
      <c r="GM250" s="327"/>
      <c r="GN250" s="327"/>
      <c r="GO250" s="327"/>
      <c r="GP250" s="327"/>
      <c r="GQ250" s="327"/>
      <c r="GR250" s="327"/>
      <c r="GS250" s="327"/>
      <c r="GT250" s="327"/>
      <c r="GU250" s="327"/>
      <c r="GV250" s="327"/>
      <c r="GW250" s="327"/>
      <c r="GX250" s="327"/>
      <c r="GY250" s="327"/>
      <c r="GZ250" s="327"/>
      <c r="HA250" s="327"/>
      <c r="HB250" s="327"/>
      <c r="HC250" s="327"/>
      <c r="HD250" s="327"/>
      <c r="HE250" s="327"/>
      <c r="HF250" s="327"/>
      <c r="HG250" s="327"/>
      <c r="HH250" s="327"/>
      <c r="HI250" s="327"/>
      <c r="HJ250" s="327"/>
      <c r="HK250" s="327"/>
      <c r="HL250" s="327"/>
      <c r="HM250" s="327"/>
      <c r="HN250" s="327"/>
      <c r="HO250" s="327"/>
      <c r="HP250" s="327"/>
      <c r="HQ250" s="327"/>
      <c r="HR250" s="327"/>
      <c r="HS250" s="327"/>
    </row>
    <row r="251" spans="1:227" ht="15" customHeight="1">
      <c r="A251" s="330">
        <v>10</v>
      </c>
      <c r="B251" s="435" t="str">
        <f>VLOOKUP(Ruimtestaat[[#This Row],[Code]],Locaties[[Code]:[Locatie]],2,FALSE)</f>
        <v xml:space="preserve">IKC De Edelsteen </v>
      </c>
      <c r="C251" s="435" t="str">
        <f>VLOOKUP(Ruimtestaat[[#This Row],[Code]],Locaties[[#All],[Code]:[Adres]],4,FALSE)</f>
        <v>Sieraadlaan 100-102</v>
      </c>
      <c r="D251" s="435" t="str">
        <f>VLOOKUP(Ruimtestaat[[#This Row],[Code]],Locaties[[#All],[Code]:[Postcode]],5,FALSE)</f>
        <v>2719 SN</v>
      </c>
      <c r="E251" s="435" t="str">
        <f>VLOOKUP(Ruimtestaat[[#This Row],[Code]],Locaties[#All],6,FALSE)</f>
        <v>Zoetermeer</v>
      </c>
      <c r="F251" s="450"/>
      <c r="G251" s="330" t="s">
        <v>1678</v>
      </c>
      <c r="H251" s="330" t="s">
        <v>1689</v>
      </c>
      <c r="I251" s="450" t="s">
        <v>1666</v>
      </c>
      <c r="J251" s="330">
        <v>2</v>
      </c>
      <c r="K251" s="450" t="str">
        <f>VLOOKUP(Ruimtestaat[[#This Row],[Ruimte code]],Ruimtegroepen[[#All],[Code]:[Ruimte omschrijving]],2,FALSE)</f>
        <v>Kantoren</v>
      </c>
      <c r="L251" s="434" t="s">
        <v>99</v>
      </c>
      <c r="M251" s="437" t="s">
        <v>36</v>
      </c>
      <c r="N251" s="439">
        <v>51</v>
      </c>
      <c r="O251" s="439"/>
      <c r="P251" s="439"/>
      <c r="Q251" s="439"/>
      <c r="R251" s="440" t="str">
        <f>VLOOKUP(Ruimtestaat[[#This Row],[Ruimte code]],Ruimtegroepen[],4,FALSE)</f>
        <v>Bu</v>
      </c>
      <c r="S251" s="434">
        <v>41</v>
      </c>
      <c r="T251" s="434" t="s">
        <v>17</v>
      </c>
      <c r="U251" s="434">
        <f>IF(S251&gt;0,IF(RIGHT(Ruimtestaat[[#This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251" s="434">
        <f>IF(U251&gt;0,VLOOKUP($J251,Ruimtegroepen[],3,FALSE)*VLOOKUP($L251,Vloersoorten[],3,FALSE)*VLOOKUP($T251,Frequenties[],3,FALSE)*VLOOKUP($A251,Locaties[],3,FALSE),0)</f>
        <v>0</v>
      </c>
      <c r="W251" s="434">
        <f>Ruimtestaat[[#This Row],[Uitvoeringen werkdagen]]*Ruimtestaat[[#This Row],[Oppervlak (netto)]]</f>
        <v>4182</v>
      </c>
      <c r="X251" s="441">
        <f>IF(V251&gt;0,Ruimtestaat[[#This Row],[Prest. (m2 /jaar) werkdagen]]/Ruimtestaat[[#This Row],[Norm (m2/uur) werkdagen]],0)</f>
        <v>0</v>
      </c>
      <c r="Y251" s="442">
        <f>Ruimtestaat[[#This Row],[Uitvoeringen werkdagen]]*Ruimtestaat[[#This Row],[Gedeeltelijk]]</f>
        <v>0</v>
      </c>
      <c r="Z251" s="443" t="e">
        <f>IF(U251&gt;0,Ruimtestaat[[#This Row],[Prest. (m2 / jaar) werkdagen gedeeld]]/Ruimtestaat[[#This Row],[Norm (m2/uur) werkdagen]],0)</f>
        <v>#DIV/0!</v>
      </c>
      <c r="AA251" s="441" t="e">
        <f>Ruimtestaat[[#This Row],[uren / jaar werkdagen gedeeld]]*Tariefsopbouw!$E$35</f>
        <v>#DIV/0!</v>
      </c>
      <c r="AB251" s="441">
        <f>Ruimtestaat[[#This Row],[Uitvoeringen werkdagen]]*Ruimtestaat[[#This Row],[BSO]]</f>
        <v>0</v>
      </c>
      <c r="AC251" s="443" t="e">
        <f>IF(U251&gt;0,Ruimtestaat[[#This Row],[Prest. (m2 / jaar) werkdagen BSO]]/Ruimtestaat[[#This Row],[Norm (m2/uur) werkdagen]],0)</f>
        <v>#DIV/0!</v>
      </c>
      <c r="AD251" s="443" t="e">
        <f>Ruimtestaat[[#This Row],[uren / jaar werkdagen BSO]]*Tariefsopbouw!$E$35</f>
        <v>#DIV/0!</v>
      </c>
      <c r="AE251" s="444">
        <f>Ruimtestaat[[#This Row],[uren / jaar werkdagen]]*Tariefsopbouw!$E$35</f>
        <v>0</v>
      </c>
      <c r="AF251" s="434"/>
      <c r="AG251" s="434">
        <f>IF(Ruimtestaat[[#This Row],[Frequentie weekend]]&gt;0,VALUE(LEFT(AF251,1))*S251,0)</f>
        <v>0</v>
      </c>
      <c r="AH251" s="445">
        <f>IF($AG251&gt;0,VLOOKUP($J251,Ruimtegroepen[],3,FALSE)*VLOOKUP($L251,Vloersoorten[],3,FALSE)*VLOOKUP($AF251,Frequenties[],3,FALSE)*VLOOKUP(Ruimtestaat[[#This Row],[Code]],Locaties[],3,FALSE),0)</f>
        <v>0</v>
      </c>
      <c r="AI251" s="445">
        <f>Ruimtestaat[[#This Row],[Uitvoeringen weekend]]*Ruimtestaat[[#This Row],[Oppervlak (netto)]]</f>
        <v>0</v>
      </c>
      <c r="AJ251" s="445">
        <f>IF(AH251&gt;0,Ruimtestaat[[#This Row],[Prest. (m2 /jaar) weekend]]/Ruimtestaat[[#This Row],[Norm (m2/uur) weekend]],0)</f>
        <v>0</v>
      </c>
      <c r="AK251" s="444">
        <f>Ruimtestaat[[#This Row],[uren / jaar weekend]]*Tariefsopbouw!$D$40</f>
        <v>0</v>
      </c>
      <c r="AL251" s="441">
        <f>Ruimtestaat[[#This Row],[Prest. (m2 /jaar) weekend]]+Ruimtestaat[[#This Row],[Prest. (m2 /jaar) werkdagen]]</f>
        <v>4182</v>
      </c>
      <c r="AM251" s="441">
        <f>Ruimtestaat[[#This Row],[uren / jaar weekend]]+Ruimtestaat[[#This Row],[uren / jaar werkdagen]]</f>
        <v>0</v>
      </c>
      <c r="AN251" s="446">
        <f>Ruimtestaat[[#This Row],[kosten / jaar weekend]]+Ruimtestaat[[#This Row],[kosten / jaar werkdagen]]</f>
        <v>0</v>
      </c>
      <c r="AO251" s="446"/>
      <c r="AP251" s="447" t="str">
        <f>IF(Ruimtestaat[[#This Row],[Frequentie werkdagen]]="","",_xlfn.CONCAT(Ruimtestaat[[#This Row],[Ruimte code]],"-",Ruimtestaat[[#This Row],[Frequentie werkdagen]]," ",Ruimtestaat[[#This Row],[Vloer code]]))</f>
        <v>2-2w T</v>
      </c>
      <c r="AQ251" s="448" t="str">
        <f>_xlfn.IFNA(VLOOKUP($AP251,Programma!$F$3:$G$1101,2,0),"")</f>
        <v>1w</v>
      </c>
      <c r="AR251" s="448" t="str">
        <f>_xlfn.IFNA(VLOOKUP($AP251,Programma!$F$3:$H$1101,3,0),"")</f>
        <v>1w</v>
      </c>
      <c r="AS251" s="448" t="str">
        <f>_xlfn.IFNA(VLOOKUP($AP251,Programma!$F$3:$I$1101,4,0),"")</f>
        <v>_</v>
      </c>
      <c r="AT251" s="448" t="str">
        <f>_xlfn.IFNA(VLOOKUP($AP251,Programma!$F$3:$J$1101,5,0),"")</f>
        <v>_</v>
      </c>
      <c r="AU251" s="448" t="str">
        <f>_xlfn.IFNA(VLOOKUP($AP251,Programma!$F$3:$K$1101,6,0),"")</f>
        <v>_</v>
      </c>
      <c r="AV251" s="448" t="str">
        <f>_xlfn.IFNA(VLOOKUP($AP251,Programma!$F$3:$L$1101,7,0),"")</f>
        <v>_</v>
      </c>
      <c r="AW251" s="448" t="str">
        <f>_xlfn.IFNA(VLOOKUP($AP251,Programma!$F$3:$M$1101,8,0),"")</f>
        <v>_</v>
      </c>
      <c r="AX251" s="448" t="str">
        <f>_xlfn.IFNA(VLOOKUP($AP251,Programma!$F$3:$N$1101,9,0),"")</f>
        <v>_</v>
      </c>
      <c r="AY251" s="448" t="str">
        <f>_xlfn.IFNA(VLOOKUP($AP251,Programma!$F$3:$O$1101,10,0),"")</f>
        <v>2w</v>
      </c>
      <c r="AZ251" s="448" t="str">
        <f>_xlfn.IFNA(VLOOKUP($AP251,Programma!$F$3:$P$1101,11,0),"")</f>
        <v>2w</v>
      </c>
      <c r="BA251" s="448" t="str">
        <f>_xlfn.IFNA(VLOOKUP($AP251,Programma!$F$3:$Q$1101,12,0),"")</f>
        <v>1w</v>
      </c>
      <c r="BB251" s="448" t="str">
        <f>_xlfn.IFNA(VLOOKUP($AP251,Programma!$F$3:$R$1101,13,0),"")</f>
        <v>1w</v>
      </c>
      <c r="BC251" s="448" t="str">
        <f>_xlfn.IFNA(VLOOKUP($AP251,Programma!$F$3:$S$1101,14,0),"")</f>
        <v>1m</v>
      </c>
      <c r="BD251" s="448" t="str">
        <f>_xlfn.IFNA(VLOOKUP($AP251,Programma!$F$3:$T$1101,15,0),"")</f>
        <v>2j</v>
      </c>
      <c r="BE251" s="448" t="str">
        <f>_xlfn.IFNA(VLOOKUP($AP251,Programma!$F$3:$U$1101,16,0),"")</f>
        <v>1j</v>
      </c>
      <c r="BF251" s="448" t="str">
        <f>_xlfn.IFNA(VLOOKUP($AP251,Programma!$F$3:$V$1101,17,0),"")</f>
        <v>_</v>
      </c>
      <c r="BG251" s="448" t="str">
        <f>_xlfn.IFNA(VLOOKUP($AP251,Programma!$F$3:$W$1101,18,0),"")</f>
        <v>_</v>
      </c>
      <c r="BH251" s="448" t="str">
        <f>_xlfn.IFNA(VLOOKUP($AP251,Programma!$F$3:$X$1101,19,0),"")</f>
        <v>_</v>
      </c>
      <c r="BI251" s="448" t="str">
        <f>_xlfn.IFNA(VLOOKUP($AP251,Programma!$F$3:$Y$1101,20,0),"")</f>
        <v>_</v>
      </c>
      <c r="BJ251" s="449"/>
      <c r="BK251" s="447" t="str">
        <f>IF(Ruimtestaat[[#This Row],[Frequentie weekend]]="","",_xlfn.CONCAT(Ruimtestaat[[#This Row],[Ruimte code]],"-",Ruimtestaat[[#This Row],[Frequentie weekend]]," ",Ruimtestaat[[#This Row],[Vloer code]]))</f>
        <v/>
      </c>
      <c r="BL251" s="448" t="str">
        <f>_xlfn.IFNA(VLOOKUP($BK251,Programma!$F$3:$G$1101,2,0),"")</f>
        <v/>
      </c>
      <c r="BM251" s="448" t="str">
        <f>_xlfn.IFNA(VLOOKUP($BK251,Programma!$F$3:$H$1101,3,0),"")</f>
        <v/>
      </c>
      <c r="BN251" s="448" t="str">
        <f>_xlfn.IFNA(VLOOKUP($BK251,Programma!$F$3:$I$1101,4,0),"")</f>
        <v/>
      </c>
      <c r="BO251" s="448" t="str">
        <f>_xlfn.IFNA(VLOOKUP($BK251,Programma!$F$3:$J$1101,5,0),"")</f>
        <v/>
      </c>
      <c r="BP251" s="448" t="str">
        <f>_xlfn.IFNA(VLOOKUP($BK251,Programma!$F$3:$K$1101,6,0),"")</f>
        <v/>
      </c>
      <c r="BQ251" s="448" t="str">
        <f>_xlfn.IFNA(VLOOKUP($BK251,Programma!$F$3:$L$1101,7,0),"")</f>
        <v/>
      </c>
      <c r="BR251" s="448" t="str">
        <f>_xlfn.IFNA(VLOOKUP($BK251,Programma!$F$3:$M$1101,8,0),"")</f>
        <v/>
      </c>
      <c r="BS251" s="448" t="str">
        <f>_xlfn.IFNA(VLOOKUP($BK251,Programma!$F$3:$N$1101,9,0),"")</f>
        <v/>
      </c>
      <c r="BT251" s="448" t="str">
        <f>_xlfn.IFNA(VLOOKUP($BK251,Programma!$F$3:$O$1101,10,0),"")</f>
        <v/>
      </c>
      <c r="BU251" s="448" t="str">
        <f>_xlfn.IFNA(VLOOKUP($BK251,Programma!$F$3:$P$1101,11,0),"")</f>
        <v/>
      </c>
      <c r="BV251" s="448" t="str">
        <f>_xlfn.IFNA(VLOOKUP($BK251,Programma!$F$3:$Q$1101,12,0),"")</f>
        <v/>
      </c>
      <c r="BW251" s="448" t="str">
        <f>_xlfn.IFNA(VLOOKUP($BK251,Programma!$F$3:$R$1101,13,0),"")</f>
        <v/>
      </c>
      <c r="BX251" s="448" t="str">
        <f>_xlfn.IFNA(VLOOKUP($BK251,Programma!$F$3:$S$1101,14,0),"")</f>
        <v/>
      </c>
      <c r="BY251" s="448" t="str">
        <f>_xlfn.IFNA(VLOOKUP($BK251,Programma!$F$3:$T$1101,15,0),"")</f>
        <v/>
      </c>
      <c r="BZ251" s="448" t="str">
        <f>_xlfn.IFNA(VLOOKUP($BK251,Programma!$F$3:$U$1101,16,0),"")</f>
        <v/>
      </c>
      <c r="CA251" s="448" t="str">
        <f>_xlfn.IFNA(VLOOKUP($BK251,Programma!$F$3:$V$1101,17,0),"")</f>
        <v/>
      </c>
      <c r="CB251" s="448" t="str">
        <f>_xlfn.IFNA(VLOOKUP($BK251,Programma!$F$3:$W$1101,18,0),"")</f>
        <v/>
      </c>
      <c r="CC251" s="448" t="str">
        <f>_xlfn.IFNA(VLOOKUP($BK251,Programma!$F$3:$X$1101,19,0),"")</f>
        <v/>
      </c>
      <c r="CD251" s="448" t="str">
        <f>_xlfn.IFNA(VLOOKUP($BK251,Programma!$F$3:$Y$1101,20,0),"")</f>
        <v/>
      </c>
      <c r="CE251" s="327"/>
      <c r="CF251" s="327"/>
      <c r="CG251" s="327"/>
      <c r="CH251" s="327"/>
      <c r="CI251" s="327"/>
      <c r="CJ251" s="327"/>
      <c r="CK251" s="327"/>
      <c r="CL251" s="327"/>
      <c r="CM251" s="327"/>
      <c r="CN251" s="327"/>
      <c r="CO251" s="327"/>
      <c r="CP251" s="327"/>
      <c r="CQ251" s="327"/>
      <c r="CR251" s="327"/>
      <c r="CS251" s="327"/>
      <c r="CT251" s="327"/>
      <c r="CU251" s="327"/>
      <c r="CV251" s="327"/>
      <c r="CW251" s="327"/>
      <c r="CX251" s="327"/>
      <c r="CY251" s="327"/>
      <c r="CZ251" s="327"/>
      <c r="DA251" s="327"/>
      <c r="DB251" s="327"/>
      <c r="DC251" s="327"/>
      <c r="DD251" s="327"/>
      <c r="DE251" s="327"/>
      <c r="DF251" s="327"/>
      <c r="DG251" s="327"/>
      <c r="DH251" s="327"/>
      <c r="DI251" s="327"/>
      <c r="DJ251" s="327"/>
      <c r="DK251" s="327"/>
      <c r="DL251" s="327"/>
      <c r="DM251" s="327"/>
      <c r="DN251" s="327"/>
      <c r="DO251" s="327"/>
      <c r="DP251" s="327"/>
      <c r="DQ251" s="327"/>
      <c r="DR251" s="327"/>
      <c r="DS251" s="327"/>
      <c r="DT251" s="327"/>
      <c r="DU251" s="327"/>
      <c r="DV251" s="327"/>
      <c r="DW251" s="327"/>
      <c r="DX251" s="327"/>
      <c r="DY251" s="327"/>
      <c r="DZ251" s="327"/>
      <c r="EA251" s="327"/>
      <c r="EB251" s="327"/>
      <c r="EC251" s="327"/>
      <c r="ED251" s="327"/>
      <c r="EE251" s="327"/>
      <c r="EF251" s="327"/>
      <c r="EG251" s="327"/>
      <c r="EH251" s="327"/>
      <c r="EI251" s="327"/>
      <c r="EJ251" s="327"/>
      <c r="EK251" s="327"/>
      <c r="EL251" s="327"/>
      <c r="EM251" s="327"/>
      <c r="EN251" s="327"/>
      <c r="EO251" s="327"/>
      <c r="EP251" s="327"/>
      <c r="EQ251" s="327"/>
      <c r="ER251" s="327"/>
      <c r="ES251" s="327"/>
      <c r="ET251" s="327"/>
      <c r="EU251" s="327"/>
      <c r="EV251" s="327"/>
      <c r="EW251" s="327"/>
      <c r="EX251" s="327"/>
      <c r="EY251" s="327"/>
      <c r="EZ251" s="327"/>
      <c r="FA251" s="327"/>
      <c r="FB251" s="327"/>
      <c r="FC251" s="327"/>
      <c r="FD251" s="327"/>
      <c r="FE251" s="327"/>
      <c r="FF251" s="327"/>
      <c r="FG251" s="327"/>
      <c r="FH251" s="327"/>
      <c r="FI251" s="327"/>
      <c r="FJ251" s="327"/>
      <c r="FK251" s="327"/>
      <c r="FL251" s="327"/>
      <c r="FM251" s="327"/>
      <c r="FN251" s="327"/>
      <c r="FO251" s="327"/>
      <c r="FP251" s="327"/>
      <c r="FQ251" s="327"/>
      <c r="FR251" s="327"/>
      <c r="FS251" s="327"/>
      <c r="FT251" s="327"/>
      <c r="FU251" s="327"/>
      <c r="FV251" s="327"/>
      <c r="FW251" s="327"/>
      <c r="FX251" s="327"/>
      <c r="FY251" s="327"/>
      <c r="FZ251" s="327"/>
      <c r="GA251" s="327"/>
      <c r="GB251" s="327"/>
      <c r="GC251" s="327"/>
      <c r="GD251" s="327"/>
      <c r="GE251" s="327"/>
      <c r="GF251" s="327"/>
      <c r="GG251" s="327"/>
      <c r="GH251" s="327"/>
      <c r="GI251" s="327"/>
      <c r="GJ251" s="327"/>
      <c r="GK251" s="327"/>
      <c r="GL251" s="327"/>
      <c r="GM251" s="327"/>
      <c r="GN251" s="327"/>
      <c r="GO251" s="327"/>
      <c r="GP251" s="327"/>
      <c r="GQ251" s="327"/>
      <c r="GR251" s="327"/>
      <c r="GS251" s="327"/>
      <c r="GT251" s="327"/>
      <c r="GU251" s="327"/>
      <c r="GV251" s="327"/>
      <c r="GW251" s="327"/>
      <c r="GX251" s="327"/>
      <c r="GY251" s="327"/>
      <c r="GZ251" s="327"/>
      <c r="HA251" s="327"/>
      <c r="HB251" s="327"/>
      <c r="HC251" s="327"/>
      <c r="HD251" s="327"/>
      <c r="HE251" s="327"/>
      <c r="HF251" s="327"/>
      <c r="HG251" s="327"/>
      <c r="HH251" s="327"/>
      <c r="HI251" s="327"/>
      <c r="HJ251" s="327"/>
      <c r="HK251" s="327"/>
      <c r="HL251" s="327"/>
      <c r="HM251" s="327"/>
      <c r="HN251" s="327"/>
      <c r="HO251" s="327"/>
      <c r="HP251" s="327"/>
      <c r="HQ251" s="327"/>
      <c r="HR251" s="327"/>
      <c r="HS251" s="327"/>
    </row>
    <row r="252" spans="1:227" ht="15" customHeight="1">
      <c r="A252" s="330">
        <v>10</v>
      </c>
      <c r="B252" s="435" t="str">
        <f>VLOOKUP(Ruimtestaat[[#This Row],[Code]],Locaties[[Code]:[Locatie]],2,FALSE)</f>
        <v xml:space="preserve">IKC De Edelsteen </v>
      </c>
      <c r="C252" s="435" t="str">
        <f>VLOOKUP(Ruimtestaat[[#This Row],[Code]],Locaties[[#All],[Code]:[Adres]],4,FALSE)</f>
        <v>Sieraadlaan 100-102</v>
      </c>
      <c r="D252" s="435" t="str">
        <f>VLOOKUP(Ruimtestaat[[#This Row],[Code]],Locaties[[#All],[Code]:[Postcode]],5,FALSE)</f>
        <v>2719 SN</v>
      </c>
      <c r="E252" s="435" t="str">
        <f>VLOOKUP(Ruimtestaat[[#This Row],[Code]],Locaties[#All],6,FALSE)</f>
        <v>Zoetermeer</v>
      </c>
      <c r="F252" s="450"/>
      <c r="G252" s="330" t="s">
        <v>1678</v>
      </c>
      <c r="H252" s="330" t="s">
        <v>1691</v>
      </c>
      <c r="I252" s="450" t="s">
        <v>1819</v>
      </c>
      <c r="J252" s="330">
        <v>6</v>
      </c>
      <c r="K252" s="450" t="str">
        <f>VLOOKUP(Ruimtestaat[[#This Row],[Ruimte code]],Ruimtegroepen[[#All],[Code]:[Ruimte omschrijving]],2,FALSE)</f>
        <v>Gangen/hallen</v>
      </c>
      <c r="L252" s="434" t="s">
        <v>100</v>
      </c>
      <c r="M252" s="437" t="s">
        <v>1759</v>
      </c>
      <c r="N252" s="439">
        <v>18</v>
      </c>
      <c r="O252" s="439"/>
      <c r="P252" s="439"/>
      <c r="Q252" s="439"/>
      <c r="R252" s="440" t="str">
        <f>VLOOKUP(Ruimtestaat[[#This Row],[Ruimte code]],Ruimtegroepen[],4,FALSE)</f>
        <v>Ve</v>
      </c>
      <c r="S252" s="434">
        <v>41</v>
      </c>
      <c r="T252" s="434" t="s">
        <v>2</v>
      </c>
      <c r="U252" s="434">
        <f>IF(S252&gt;0,IF(RIGHT(Ruimtestaat[[#This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52" s="434">
        <f>IF(U252&gt;0,VLOOKUP($J252,Ruimtegroepen[],3,FALSE)*VLOOKUP($L252,Vloersoorten[],3,FALSE)*VLOOKUP($T252,Frequenties[],3,FALSE)*VLOOKUP($A252,Locaties[],3,FALSE),0)</f>
        <v>0</v>
      </c>
      <c r="W252" s="434">
        <f>Ruimtestaat[[#This Row],[Uitvoeringen werkdagen]]*Ruimtestaat[[#This Row],[Oppervlak (netto)]]</f>
        <v>3690</v>
      </c>
      <c r="X252" s="441">
        <f>IF(V252&gt;0,Ruimtestaat[[#This Row],[Prest. (m2 /jaar) werkdagen]]/Ruimtestaat[[#This Row],[Norm (m2/uur) werkdagen]],0)</f>
        <v>0</v>
      </c>
      <c r="Y252" s="442">
        <f>Ruimtestaat[[#This Row],[Uitvoeringen werkdagen]]*Ruimtestaat[[#This Row],[Gedeeltelijk]]</f>
        <v>0</v>
      </c>
      <c r="Z252" s="443" t="e">
        <f>IF(U252&gt;0,Ruimtestaat[[#This Row],[Prest. (m2 / jaar) werkdagen gedeeld]]/Ruimtestaat[[#This Row],[Norm (m2/uur) werkdagen]],0)</f>
        <v>#DIV/0!</v>
      </c>
      <c r="AA252" s="441" t="e">
        <f>Ruimtestaat[[#This Row],[uren / jaar werkdagen gedeeld]]*Tariefsopbouw!$E$35</f>
        <v>#DIV/0!</v>
      </c>
      <c r="AB252" s="441">
        <f>Ruimtestaat[[#This Row],[Uitvoeringen werkdagen]]*Ruimtestaat[[#This Row],[BSO]]</f>
        <v>0</v>
      </c>
      <c r="AC252" s="443" t="e">
        <f>IF(U252&gt;0,Ruimtestaat[[#This Row],[Prest. (m2 / jaar) werkdagen BSO]]/Ruimtestaat[[#This Row],[Norm (m2/uur) werkdagen]],0)</f>
        <v>#DIV/0!</v>
      </c>
      <c r="AD252" s="443" t="e">
        <f>Ruimtestaat[[#This Row],[uren / jaar werkdagen BSO]]*Tariefsopbouw!$E$35</f>
        <v>#DIV/0!</v>
      </c>
      <c r="AE252" s="444">
        <f>Ruimtestaat[[#This Row],[uren / jaar werkdagen]]*Tariefsopbouw!$E$35</f>
        <v>0</v>
      </c>
      <c r="AF252" s="434"/>
      <c r="AG252" s="434">
        <f>IF(Ruimtestaat[[#This Row],[Frequentie weekend]]&gt;0,VALUE(LEFT(AF252,1))*S252,0)</f>
        <v>0</v>
      </c>
      <c r="AH252" s="445">
        <f>IF($AG252&gt;0,VLOOKUP($J252,Ruimtegroepen[],3,FALSE)*VLOOKUP($L252,Vloersoorten[],3,FALSE)*VLOOKUP($AF252,Frequenties[],3,FALSE)*VLOOKUP(Ruimtestaat[[#This Row],[Code]],Locaties[],3,FALSE),0)</f>
        <v>0</v>
      </c>
      <c r="AI252" s="445">
        <f>Ruimtestaat[[#This Row],[Uitvoeringen weekend]]*Ruimtestaat[[#This Row],[Oppervlak (netto)]]</f>
        <v>0</v>
      </c>
      <c r="AJ252" s="445">
        <f>IF(AH252&gt;0,Ruimtestaat[[#This Row],[Prest. (m2 /jaar) weekend]]/Ruimtestaat[[#This Row],[Norm (m2/uur) weekend]],0)</f>
        <v>0</v>
      </c>
      <c r="AK252" s="444">
        <f>Ruimtestaat[[#This Row],[uren / jaar weekend]]*Tariefsopbouw!$D$40</f>
        <v>0</v>
      </c>
      <c r="AL252" s="441">
        <f>Ruimtestaat[[#This Row],[Prest. (m2 /jaar) weekend]]+Ruimtestaat[[#This Row],[Prest. (m2 /jaar) werkdagen]]</f>
        <v>3690</v>
      </c>
      <c r="AM252" s="441">
        <f>Ruimtestaat[[#This Row],[uren / jaar weekend]]+Ruimtestaat[[#This Row],[uren / jaar werkdagen]]</f>
        <v>0</v>
      </c>
      <c r="AN252" s="446">
        <f>Ruimtestaat[[#This Row],[kosten / jaar weekend]]+Ruimtestaat[[#This Row],[kosten / jaar werkdagen]]</f>
        <v>0</v>
      </c>
      <c r="AO252" s="446"/>
      <c r="AP252" s="447" t="str">
        <f>IF(Ruimtestaat[[#This Row],[Frequentie werkdagen]]="","",_xlfn.CONCAT(Ruimtestaat[[#This Row],[Ruimte code]],"-",Ruimtestaat[[#This Row],[Frequentie werkdagen]]," ",Ruimtestaat[[#This Row],[Vloer code]]))</f>
        <v>6-5w L</v>
      </c>
      <c r="AQ252" s="448" t="str">
        <f>_xlfn.IFNA(VLOOKUP($AP252,Programma!$F$3:$G$1101,2,0),"")</f>
        <v>_</v>
      </c>
      <c r="AR252" s="448" t="str">
        <f>_xlfn.IFNA(VLOOKUP($AP252,Programma!$F$3:$H$1101,3,0),"")</f>
        <v>_</v>
      </c>
      <c r="AS252" s="448" t="str">
        <f>_xlfn.IFNA(VLOOKUP($AP252,Programma!$F$3:$I$1101,4,0),"")</f>
        <v>_</v>
      </c>
      <c r="AT252" s="448" t="str">
        <f>_xlfn.IFNA(VLOOKUP($AP252,Programma!$F$3:$J$1101,5,0),"")</f>
        <v>5w</v>
      </c>
      <c r="AU252" s="448" t="str">
        <f>_xlfn.IFNA(VLOOKUP($AP252,Programma!$F$3:$K$1101,6,0),"")</f>
        <v>_</v>
      </c>
      <c r="AV252" s="448" t="str">
        <f>_xlfn.IFNA(VLOOKUP($AP252,Programma!$F$3:$L$1101,7,0),"")</f>
        <v>_</v>
      </c>
      <c r="AW252" s="448" t="str">
        <f>_xlfn.IFNA(VLOOKUP($AP252,Programma!$F$3:$M$1101,8,0),"")</f>
        <v>_</v>
      </c>
      <c r="AX252" s="448" t="str">
        <f>_xlfn.IFNA(VLOOKUP($AP252,Programma!$F$3:$N$1101,9,0),"")</f>
        <v>_</v>
      </c>
      <c r="AY252" s="448" t="str">
        <f>_xlfn.IFNA(VLOOKUP($AP252,Programma!$F$3:$O$1101,10,0),"")</f>
        <v>5w</v>
      </c>
      <c r="AZ252" s="448" t="str">
        <f>_xlfn.IFNA(VLOOKUP($AP252,Programma!$F$3:$P$1101,11,0),"")</f>
        <v>5w</v>
      </c>
      <c r="BA252" s="448" t="str">
        <f>_xlfn.IFNA(VLOOKUP($AP252,Programma!$F$3:$Q$1101,12,0),"")</f>
        <v>1w</v>
      </c>
      <c r="BB252" s="448" t="str">
        <f>_xlfn.IFNA(VLOOKUP($AP252,Programma!$F$3:$R$1101,13,0),"")</f>
        <v>1w</v>
      </c>
      <c r="BC252" s="448" t="str">
        <f>_xlfn.IFNA(VLOOKUP($AP252,Programma!$F$3:$S$1101,14,0),"")</f>
        <v>1m</v>
      </c>
      <c r="BD252" s="448" t="str">
        <f>_xlfn.IFNA(VLOOKUP($AP252,Programma!$F$3:$T$1101,15,0),"")</f>
        <v>2j</v>
      </c>
      <c r="BE252" s="448" t="str">
        <f>_xlfn.IFNA(VLOOKUP($AP252,Programma!$F$3:$U$1101,16,0),"")</f>
        <v>1j</v>
      </c>
      <c r="BF252" s="448" t="str">
        <f>_xlfn.IFNA(VLOOKUP($AP252,Programma!$F$3:$V$1101,17,0),"")</f>
        <v>_</v>
      </c>
      <c r="BG252" s="448" t="str">
        <f>_xlfn.IFNA(VLOOKUP($AP252,Programma!$F$3:$W$1101,18,0),"")</f>
        <v>_</v>
      </c>
      <c r="BH252" s="448" t="str">
        <f>_xlfn.IFNA(VLOOKUP($AP252,Programma!$F$3:$X$1101,19,0),"")</f>
        <v>_</v>
      </c>
      <c r="BI252" s="448" t="str">
        <f>_xlfn.IFNA(VLOOKUP($AP252,Programma!$F$3:$Y$1101,20,0),"")</f>
        <v>_</v>
      </c>
      <c r="BJ252" s="449"/>
      <c r="BK252" s="447" t="str">
        <f>IF(Ruimtestaat[[#This Row],[Frequentie weekend]]="","",_xlfn.CONCAT(Ruimtestaat[[#This Row],[Ruimte code]],"-",Ruimtestaat[[#This Row],[Frequentie weekend]]," ",Ruimtestaat[[#This Row],[Vloer code]]))</f>
        <v/>
      </c>
      <c r="BL252" s="448" t="str">
        <f>_xlfn.IFNA(VLOOKUP($BK252,Programma!$F$3:$G$1101,2,0),"")</f>
        <v/>
      </c>
      <c r="BM252" s="448" t="str">
        <f>_xlfn.IFNA(VLOOKUP($BK252,Programma!$F$3:$H$1101,3,0),"")</f>
        <v/>
      </c>
      <c r="BN252" s="448" t="str">
        <f>_xlfn.IFNA(VLOOKUP($BK252,Programma!$F$3:$I$1101,4,0),"")</f>
        <v/>
      </c>
      <c r="BO252" s="448" t="str">
        <f>_xlfn.IFNA(VLOOKUP($BK252,Programma!$F$3:$J$1101,5,0),"")</f>
        <v/>
      </c>
      <c r="BP252" s="448" t="str">
        <f>_xlfn.IFNA(VLOOKUP($BK252,Programma!$F$3:$K$1101,6,0),"")</f>
        <v/>
      </c>
      <c r="BQ252" s="448" t="str">
        <f>_xlfn.IFNA(VLOOKUP($BK252,Programma!$F$3:$L$1101,7,0),"")</f>
        <v/>
      </c>
      <c r="BR252" s="448" t="str">
        <f>_xlfn.IFNA(VLOOKUP($BK252,Programma!$F$3:$M$1101,8,0),"")</f>
        <v/>
      </c>
      <c r="BS252" s="448" t="str">
        <f>_xlfn.IFNA(VLOOKUP($BK252,Programma!$F$3:$N$1101,9,0),"")</f>
        <v/>
      </c>
      <c r="BT252" s="448" t="str">
        <f>_xlfn.IFNA(VLOOKUP($BK252,Programma!$F$3:$O$1101,10,0),"")</f>
        <v/>
      </c>
      <c r="BU252" s="448" t="str">
        <f>_xlfn.IFNA(VLOOKUP($BK252,Programma!$F$3:$P$1101,11,0),"")</f>
        <v/>
      </c>
      <c r="BV252" s="448" t="str">
        <f>_xlfn.IFNA(VLOOKUP($BK252,Programma!$F$3:$Q$1101,12,0),"")</f>
        <v/>
      </c>
      <c r="BW252" s="448" t="str">
        <f>_xlfn.IFNA(VLOOKUP($BK252,Programma!$F$3:$R$1101,13,0),"")</f>
        <v/>
      </c>
      <c r="BX252" s="448" t="str">
        <f>_xlfn.IFNA(VLOOKUP($BK252,Programma!$F$3:$S$1101,14,0),"")</f>
        <v/>
      </c>
      <c r="BY252" s="448" t="str">
        <f>_xlfn.IFNA(VLOOKUP($BK252,Programma!$F$3:$T$1101,15,0),"")</f>
        <v/>
      </c>
      <c r="BZ252" s="448" t="str">
        <f>_xlfn.IFNA(VLOOKUP($BK252,Programma!$F$3:$U$1101,16,0),"")</f>
        <v/>
      </c>
      <c r="CA252" s="448" t="str">
        <f>_xlfn.IFNA(VLOOKUP($BK252,Programma!$F$3:$V$1101,17,0),"")</f>
        <v/>
      </c>
      <c r="CB252" s="448" t="str">
        <f>_xlfn.IFNA(VLOOKUP($BK252,Programma!$F$3:$W$1101,18,0),"")</f>
        <v/>
      </c>
      <c r="CC252" s="448" t="str">
        <f>_xlfn.IFNA(VLOOKUP($BK252,Programma!$F$3:$X$1101,19,0),"")</f>
        <v/>
      </c>
      <c r="CD252" s="448" t="str">
        <f>_xlfn.IFNA(VLOOKUP($BK252,Programma!$F$3:$Y$1101,20,0),"")</f>
        <v/>
      </c>
      <c r="CE252" s="327"/>
      <c r="CF252" s="327"/>
      <c r="CG252" s="327"/>
      <c r="CH252" s="327"/>
      <c r="CI252" s="327"/>
      <c r="CJ252" s="327"/>
      <c r="CK252" s="327"/>
      <c r="CL252" s="327"/>
      <c r="CM252" s="327"/>
      <c r="CN252" s="327"/>
      <c r="CO252" s="327"/>
      <c r="CP252" s="327"/>
      <c r="CQ252" s="327"/>
      <c r="CR252" s="327"/>
      <c r="CS252" s="327"/>
      <c r="CT252" s="327"/>
      <c r="CU252" s="327"/>
      <c r="CV252" s="327"/>
      <c r="CW252" s="327"/>
      <c r="CX252" s="327"/>
      <c r="CY252" s="327"/>
      <c r="CZ252" s="327"/>
      <c r="DA252" s="327"/>
      <c r="DB252" s="327"/>
      <c r="DC252" s="327"/>
      <c r="DD252" s="327"/>
      <c r="DE252" s="327"/>
      <c r="DF252" s="327"/>
      <c r="DG252" s="327"/>
      <c r="DH252" s="327"/>
      <c r="DI252" s="327"/>
      <c r="DJ252" s="327"/>
      <c r="DK252" s="327"/>
      <c r="DL252" s="327"/>
      <c r="DM252" s="327"/>
      <c r="DN252" s="327"/>
      <c r="DO252" s="327"/>
      <c r="DP252" s="327"/>
      <c r="DQ252" s="327"/>
      <c r="DR252" s="327"/>
      <c r="DS252" s="327"/>
      <c r="DT252" s="327"/>
      <c r="DU252" s="327"/>
      <c r="DV252" s="327"/>
      <c r="DW252" s="327"/>
      <c r="DX252" s="327"/>
      <c r="DY252" s="327"/>
      <c r="DZ252" s="327"/>
      <c r="EA252" s="327"/>
      <c r="EB252" s="327"/>
      <c r="EC252" s="327"/>
      <c r="ED252" s="327"/>
      <c r="EE252" s="327"/>
      <c r="EF252" s="327"/>
      <c r="EG252" s="327"/>
      <c r="EH252" s="327"/>
      <c r="EI252" s="327"/>
      <c r="EJ252" s="327"/>
      <c r="EK252" s="327"/>
      <c r="EL252" s="327"/>
      <c r="EM252" s="327"/>
      <c r="EN252" s="327"/>
      <c r="EO252" s="327"/>
      <c r="EP252" s="327"/>
      <c r="EQ252" s="327"/>
      <c r="ER252" s="327"/>
      <c r="ES252" s="327"/>
      <c r="ET252" s="327"/>
      <c r="EU252" s="327"/>
      <c r="EV252" s="327"/>
      <c r="EW252" s="327"/>
      <c r="EX252" s="327"/>
      <c r="EY252" s="327"/>
      <c r="EZ252" s="327"/>
      <c r="FA252" s="327"/>
      <c r="FB252" s="327"/>
      <c r="FC252" s="327"/>
      <c r="FD252" s="327"/>
      <c r="FE252" s="327"/>
      <c r="FF252" s="327"/>
      <c r="FG252" s="327"/>
      <c r="FH252" s="327"/>
      <c r="FI252" s="327"/>
      <c r="FJ252" s="327"/>
      <c r="FK252" s="327"/>
      <c r="FL252" s="327"/>
      <c r="FM252" s="327"/>
      <c r="FN252" s="327"/>
      <c r="FO252" s="327"/>
      <c r="FP252" s="327"/>
      <c r="FQ252" s="327"/>
      <c r="FR252" s="327"/>
      <c r="FS252" s="327"/>
      <c r="FT252" s="327"/>
      <c r="FU252" s="327"/>
      <c r="FV252" s="327"/>
      <c r="FW252" s="327"/>
      <c r="FX252" s="327"/>
      <c r="FY252" s="327"/>
      <c r="FZ252" s="327"/>
      <c r="GA252" s="327"/>
      <c r="GB252" s="327"/>
      <c r="GC252" s="327"/>
      <c r="GD252" s="327"/>
      <c r="GE252" s="327"/>
      <c r="GF252" s="327"/>
      <c r="GG252" s="327"/>
      <c r="GH252" s="327"/>
      <c r="GI252" s="327"/>
      <c r="GJ252" s="327"/>
      <c r="GK252" s="327"/>
      <c r="GL252" s="327"/>
      <c r="GM252" s="327"/>
      <c r="GN252" s="327"/>
      <c r="GO252" s="327"/>
      <c r="GP252" s="327"/>
      <c r="GQ252" s="327"/>
      <c r="GR252" s="327"/>
      <c r="GS252" s="327"/>
      <c r="GT252" s="327"/>
      <c r="GU252" s="327"/>
      <c r="GV252" s="327"/>
      <c r="GW252" s="327"/>
      <c r="GX252" s="327"/>
      <c r="GY252" s="327"/>
      <c r="GZ252" s="327"/>
      <c r="HA252" s="327"/>
      <c r="HB252" s="327"/>
      <c r="HC252" s="327"/>
      <c r="HD252" s="327"/>
      <c r="HE252" s="327"/>
      <c r="HF252" s="327"/>
      <c r="HG252" s="327"/>
      <c r="HH252" s="327"/>
      <c r="HI252" s="327"/>
      <c r="HJ252" s="327"/>
      <c r="HK252" s="327"/>
      <c r="HL252" s="327"/>
      <c r="HM252" s="327"/>
      <c r="HN252" s="327"/>
      <c r="HO252" s="327"/>
      <c r="HP252" s="327"/>
      <c r="HQ252" s="327"/>
      <c r="HR252" s="327"/>
      <c r="HS252" s="327"/>
    </row>
    <row r="253" spans="1:227" ht="15" customHeight="1">
      <c r="A253" s="330">
        <v>10</v>
      </c>
      <c r="B253" s="435" t="str">
        <f>VLOOKUP(Ruimtestaat[[#This Row],[Code]],Locaties[[Code]:[Locatie]],2,FALSE)</f>
        <v xml:space="preserve">IKC De Edelsteen </v>
      </c>
      <c r="C253" s="435" t="str">
        <f>VLOOKUP(Ruimtestaat[[#This Row],[Code]],Locaties[[#All],[Code]:[Adres]],4,FALSE)</f>
        <v>Sieraadlaan 100-102</v>
      </c>
      <c r="D253" s="435" t="str">
        <f>VLOOKUP(Ruimtestaat[[#This Row],[Code]],Locaties[[#All],[Code]:[Postcode]],5,FALSE)</f>
        <v>2719 SN</v>
      </c>
      <c r="E253" s="435" t="str">
        <f>VLOOKUP(Ruimtestaat[[#This Row],[Code]],Locaties[#All],6,FALSE)</f>
        <v>Zoetermeer</v>
      </c>
      <c r="F253" s="450"/>
      <c r="G253" s="330" t="s">
        <v>1678</v>
      </c>
      <c r="H253" s="330" t="s">
        <v>1692</v>
      </c>
      <c r="I253" s="450" t="s">
        <v>1820</v>
      </c>
      <c r="J253" s="330">
        <v>6</v>
      </c>
      <c r="K253" s="450" t="str">
        <f>VLOOKUP(Ruimtestaat[[#This Row],[Ruimte code]],Ruimtegroepen[[#All],[Code]:[Ruimte omschrijving]],2,FALSE)</f>
        <v>Gangen/hallen</v>
      </c>
      <c r="L253" s="434" t="s">
        <v>99</v>
      </c>
      <c r="M253" s="437" t="s">
        <v>1758</v>
      </c>
      <c r="N253" s="439">
        <v>6</v>
      </c>
      <c r="O253" s="439"/>
      <c r="P253" s="439"/>
      <c r="Q253" s="439"/>
      <c r="R253" s="440" t="str">
        <f>VLOOKUP(Ruimtestaat[[#This Row],[Ruimte code]],Ruimtegroepen[],4,FALSE)</f>
        <v>Ve</v>
      </c>
      <c r="S253" s="434">
        <v>41</v>
      </c>
      <c r="T253" s="434" t="s">
        <v>2</v>
      </c>
      <c r="U253" s="434">
        <f>IF(S253&gt;0,IF(RIGHT(Ruimtestaat[[#This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53" s="434">
        <f>IF(U253&gt;0,VLOOKUP($J253,Ruimtegroepen[],3,FALSE)*VLOOKUP($L253,Vloersoorten[],3,FALSE)*VLOOKUP($T253,Frequenties[],3,FALSE)*VLOOKUP($A253,Locaties[],3,FALSE),0)</f>
        <v>0</v>
      </c>
      <c r="W253" s="434">
        <f>Ruimtestaat[[#This Row],[Uitvoeringen werkdagen]]*Ruimtestaat[[#This Row],[Oppervlak (netto)]]</f>
        <v>1230</v>
      </c>
      <c r="X253" s="441">
        <f>IF(V253&gt;0,Ruimtestaat[[#This Row],[Prest. (m2 /jaar) werkdagen]]/Ruimtestaat[[#This Row],[Norm (m2/uur) werkdagen]],0)</f>
        <v>0</v>
      </c>
      <c r="Y253" s="442">
        <f>Ruimtestaat[[#This Row],[Uitvoeringen werkdagen]]*Ruimtestaat[[#This Row],[Gedeeltelijk]]</f>
        <v>0</v>
      </c>
      <c r="Z253" s="443" t="e">
        <f>IF(U253&gt;0,Ruimtestaat[[#This Row],[Prest. (m2 / jaar) werkdagen gedeeld]]/Ruimtestaat[[#This Row],[Norm (m2/uur) werkdagen]],0)</f>
        <v>#DIV/0!</v>
      </c>
      <c r="AA253" s="441" t="e">
        <f>Ruimtestaat[[#This Row],[uren / jaar werkdagen gedeeld]]*Tariefsopbouw!$E$35</f>
        <v>#DIV/0!</v>
      </c>
      <c r="AB253" s="441">
        <f>Ruimtestaat[[#This Row],[Uitvoeringen werkdagen]]*Ruimtestaat[[#This Row],[BSO]]</f>
        <v>0</v>
      </c>
      <c r="AC253" s="443" t="e">
        <f>IF(U253&gt;0,Ruimtestaat[[#This Row],[Prest. (m2 / jaar) werkdagen BSO]]/Ruimtestaat[[#This Row],[Norm (m2/uur) werkdagen]],0)</f>
        <v>#DIV/0!</v>
      </c>
      <c r="AD253" s="443" t="e">
        <f>Ruimtestaat[[#This Row],[uren / jaar werkdagen BSO]]*Tariefsopbouw!$E$35</f>
        <v>#DIV/0!</v>
      </c>
      <c r="AE253" s="444">
        <f>Ruimtestaat[[#This Row],[uren / jaar werkdagen]]*Tariefsopbouw!$E$35</f>
        <v>0</v>
      </c>
      <c r="AF253" s="434"/>
      <c r="AG253" s="434">
        <f>IF(Ruimtestaat[[#This Row],[Frequentie weekend]]&gt;0,VALUE(LEFT(AF253,1))*S253,0)</f>
        <v>0</v>
      </c>
      <c r="AH253" s="445">
        <f>IF($AG253&gt;0,VLOOKUP($J253,Ruimtegroepen[],3,FALSE)*VLOOKUP($L253,Vloersoorten[],3,FALSE)*VLOOKUP($AF253,Frequenties[],3,FALSE)*VLOOKUP(Ruimtestaat[[#This Row],[Code]],Locaties[],3,FALSE),0)</f>
        <v>0</v>
      </c>
      <c r="AI253" s="445">
        <f>Ruimtestaat[[#This Row],[Uitvoeringen weekend]]*Ruimtestaat[[#This Row],[Oppervlak (netto)]]</f>
        <v>0</v>
      </c>
      <c r="AJ253" s="445">
        <f>IF(AH253&gt;0,Ruimtestaat[[#This Row],[Prest. (m2 /jaar) weekend]]/Ruimtestaat[[#This Row],[Norm (m2/uur) weekend]],0)</f>
        <v>0</v>
      </c>
      <c r="AK253" s="444">
        <f>Ruimtestaat[[#This Row],[uren / jaar weekend]]*Tariefsopbouw!$D$40</f>
        <v>0</v>
      </c>
      <c r="AL253" s="441">
        <f>Ruimtestaat[[#This Row],[Prest. (m2 /jaar) weekend]]+Ruimtestaat[[#This Row],[Prest. (m2 /jaar) werkdagen]]</f>
        <v>1230</v>
      </c>
      <c r="AM253" s="441">
        <f>Ruimtestaat[[#This Row],[uren / jaar weekend]]+Ruimtestaat[[#This Row],[uren / jaar werkdagen]]</f>
        <v>0</v>
      </c>
      <c r="AN253" s="446">
        <f>Ruimtestaat[[#This Row],[kosten / jaar weekend]]+Ruimtestaat[[#This Row],[kosten / jaar werkdagen]]</f>
        <v>0</v>
      </c>
      <c r="AO253" s="446"/>
      <c r="AP253" s="447" t="str">
        <f>IF(Ruimtestaat[[#This Row],[Frequentie werkdagen]]="","",_xlfn.CONCAT(Ruimtestaat[[#This Row],[Ruimte code]],"-",Ruimtestaat[[#This Row],[Frequentie werkdagen]]," ",Ruimtestaat[[#This Row],[Vloer code]]))</f>
        <v>6-5w T</v>
      </c>
      <c r="AQ253" s="448" t="str">
        <f>_xlfn.IFNA(VLOOKUP($AP253,Programma!$F$3:$G$1101,2,0),"")</f>
        <v>_</v>
      </c>
      <c r="AR253" s="448" t="str">
        <f>_xlfn.IFNA(VLOOKUP($AP253,Programma!$F$3:$H$1101,3,0),"")</f>
        <v>5w</v>
      </c>
      <c r="AS253" s="448" t="str">
        <f>_xlfn.IFNA(VLOOKUP($AP253,Programma!$F$3:$I$1101,4,0),"")</f>
        <v>_</v>
      </c>
      <c r="AT253" s="448" t="str">
        <f>_xlfn.IFNA(VLOOKUP($AP253,Programma!$F$3:$J$1101,5,0),"")</f>
        <v>_</v>
      </c>
      <c r="AU253" s="448" t="str">
        <f>_xlfn.IFNA(VLOOKUP($AP253,Programma!$F$3:$K$1101,6,0),"")</f>
        <v>_</v>
      </c>
      <c r="AV253" s="448" t="str">
        <f>_xlfn.IFNA(VLOOKUP($AP253,Programma!$F$3:$L$1101,7,0),"")</f>
        <v>_</v>
      </c>
      <c r="AW253" s="448" t="str">
        <f>_xlfn.IFNA(VLOOKUP($AP253,Programma!$F$3:$M$1101,8,0),"")</f>
        <v>_</v>
      </c>
      <c r="AX253" s="448" t="str">
        <f>_xlfn.IFNA(VLOOKUP($AP253,Programma!$F$3:$N$1101,9,0),"")</f>
        <v>_</v>
      </c>
      <c r="AY253" s="448" t="str">
        <f>_xlfn.IFNA(VLOOKUP($AP253,Programma!$F$3:$O$1101,10,0),"")</f>
        <v>5w</v>
      </c>
      <c r="AZ253" s="448" t="str">
        <f>_xlfn.IFNA(VLOOKUP($AP253,Programma!$F$3:$P$1101,11,0),"")</f>
        <v>5w</v>
      </c>
      <c r="BA253" s="448" t="str">
        <f>_xlfn.IFNA(VLOOKUP($AP253,Programma!$F$3:$Q$1101,12,0),"")</f>
        <v>1w</v>
      </c>
      <c r="BB253" s="448" t="str">
        <f>_xlfn.IFNA(VLOOKUP($AP253,Programma!$F$3:$R$1101,13,0),"")</f>
        <v>1w</v>
      </c>
      <c r="BC253" s="448" t="str">
        <f>_xlfn.IFNA(VLOOKUP($AP253,Programma!$F$3:$S$1101,14,0),"")</f>
        <v>1m</v>
      </c>
      <c r="BD253" s="448" t="str">
        <f>_xlfn.IFNA(VLOOKUP($AP253,Programma!$F$3:$T$1101,15,0),"")</f>
        <v>2j</v>
      </c>
      <c r="BE253" s="448" t="str">
        <f>_xlfn.IFNA(VLOOKUP($AP253,Programma!$F$3:$U$1101,16,0),"")</f>
        <v>1j</v>
      </c>
      <c r="BF253" s="448" t="str">
        <f>_xlfn.IFNA(VLOOKUP($AP253,Programma!$F$3:$V$1101,17,0),"")</f>
        <v>_</v>
      </c>
      <c r="BG253" s="448" t="str">
        <f>_xlfn.IFNA(VLOOKUP($AP253,Programma!$F$3:$W$1101,18,0),"")</f>
        <v>_</v>
      </c>
      <c r="BH253" s="448" t="str">
        <f>_xlfn.IFNA(VLOOKUP($AP253,Programma!$F$3:$X$1101,19,0),"")</f>
        <v>_</v>
      </c>
      <c r="BI253" s="448" t="str">
        <f>_xlfn.IFNA(VLOOKUP($AP253,Programma!$F$3:$Y$1101,20,0),"")</f>
        <v>_</v>
      </c>
      <c r="BJ253" s="449"/>
      <c r="BK253" s="447" t="str">
        <f>IF(Ruimtestaat[[#This Row],[Frequentie weekend]]="","",_xlfn.CONCAT(Ruimtestaat[[#This Row],[Ruimte code]],"-",Ruimtestaat[[#This Row],[Frequentie weekend]]," ",Ruimtestaat[[#This Row],[Vloer code]]))</f>
        <v/>
      </c>
      <c r="BL253" s="448" t="str">
        <f>_xlfn.IFNA(VLOOKUP($BK253,Programma!$F$3:$G$1101,2,0),"")</f>
        <v/>
      </c>
      <c r="BM253" s="448" t="str">
        <f>_xlfn.IFNA(VLOOKUP($BK253,Programma!$F$3:$H$1101,3,0),"")</f>
        <v/>
      </c>
      <c r="BN253" s="448" t="str">
        <f>_xlfn.IFNA(VLOOKUP($BK253,Programma!$F$3:$I$1101,4,0),"")</f>
        <v/>
      </c>
      <c r="BO253" s="448" t="str">
        <f>_xlfn.IFNA(VLOOKUP($BK253,Programma!$F$3:$J$1101,5,0),"")</f>
        <v/>
      </c>
      <c r="BP253" s="448" t="str">
        <f>_xlfn.IFNA(VLOOKUP($BK253,Programma!$F$3:$K$1101,6,0),"")</f>
        <v/>
      </c>
      <c r="BQ253" s="448" t="str">
        <f>_xlfn.IFNA(VLOOKUP($BK253,Programma!$F$3:$L$1101,7,0),"")</f>
        <v/>
      </c>
      <c r="BR253" s="448" t="str">
        <f>_xlfn.IFNA(VLOOKUP($BK253,Programma!$F$3:$M$1101,8,0),"")</f>
        <v/>
      </c>
      <c r="BS253" s="448" t="str">
        <f>_xlfn.IFNA(VLOOKUP($BK253,Programma!$F$3:$N$1101,9,0),"")</f>
        <v/>
      </c>
      <c r="BT253" s="448" t="str">
        <f>_xlfn.IFNA(VLOOKUP($BK253,Programma!$F$3:$O$1101,10,0),"")</f>
        <v/>
      </c>
      <c r="BU253" s="448" t="str">
        <f>_xlfn.IFNA(VLOOKUP($BK253,Programma!$F$3:$P$1101,11,0),"")</f>
        <v/>
      </c>
      <c r="BV253" s="448" t="str">
        <f>_xlfn.IFNA(VLOOKUP($BK253,Programma!$F$3:$Q$1101,12,0),"")</f>
        <v/>
      </c>
      <c r="BW253" s="448" t="str">
        <f>_xlfn.IFNA(VLOOKUP($BK253,Programma!$F$3:$R$1101,13,0),"")</f>
        <v/>
      </c>
      <c r="BX253" s="448" t="str">
        <f>_xlfn.IFNA(VLOOKUP($BK253,Programma!$F$3:$S$1101,14,0),"")</f>
        <v/>
      </c>
      <c r="BY253" s="448" t="str">
        <f>_xlfn.IFNA(VLOOKUP($BK253,Programma!$F$3:$T$1101,15,0),"")</f>
        <v/>
      </c>
      <c r="BZ253" s="448" t="str">
        <f>_xlfn.IFNA(VLOOKUP($BK253,Programma!$F$3:$U$1101,16,0),"")</f>
        <v/>
      </c>
      <c r="CA253" s="448" t="str">
        <f>_xlfn.IFNA(VLOOKUP($BK253,Programma!$F$3:$V$1101,17,0),"")</f>
        <v/>
      </c>
      <c r="CB253" s="448" t="str">
        <f>_xlfn.IFNA(VLOOKUP($BK253,Programma!$F$3:$W$1101,18,0),"")</f>
        <v/>
      </c>
      <c r="CC253" s="448" t="str">
        <f>_xlfn.IFNA(VLOOKUP($BK253,Programma!$F$3:$X$1101,19,0),"")</f>
        <v/>
      </c>
      <c r="CD253" s="448" t="str">
        <f>_xlfn.IFNA(VLOOKUP($BK253,Programma!$F$3:$Y$1101,20,0),"")</f>
        <v/>
      </c>
      <c r="CE253" s="327"/>
      <c r="CF253" s="327"/>
      <c r="CG253" s="327"/>
      <c r="CH253" s="327"/>
      <c r="CI253" s="327"/>
      <c r="CJ253" s="327"/>
      <c r="CK253" s="327"/>
      <c r="CL253" s="327"/>
      <c r="CM253" s="327"/>
      <c r="CN253" s="327"/>
      <c r="CO253" s="327"/>
      <c r="CP253" s="327"/>
      <c r="CQ253" s="327"/>
      <c r="CR253" s="327"/>
      <c r="CS253" s="327"/>
      <c r="CT253" s="327"/>
      <c r="CU253" s="327"/>
      <c r="CV253" s="327"/>
      <c r="CW253" s="327"/>
      <c r="CX253" s="327"/>
      <c r="CY253" s="327"/>
      <c r="CZ253" s="327"/>
      <c r="DA253" s="327"/>
      <c r="DB253" s="327"/>
      <c r="DC253" s="327"/>
      <c r="DD253" s="327"/>
      <c r="DE253" s="327"/>
      <c r="DF253" s="327"/>
      <c r="DG253" s="327"/>
      <c r="DH253" s="327"/>
      <c r="DI253" s="327"/>
      <c r="DJ253" s="327"/>
      <c r="DK253" s="327"/>
      <c r="DL253" s="327"/>
      <c r="DM253" s="327"/>
      <c r="DN253" s="327"/>
      <c r="DO253" s="327"/>
      <c r="DP253" s="327"/>
      <c r="DQ253" s="327"/>
      <c r="DR253" s="327"/>
      <c r="DS253" s="327"/>
      <c r="DT253" s="327"/>
      <c r="DU253" s="327"/>
      <c r="DV253" s="327"/>
      <c r="DW253" s="327"/>
      <c r="DX253" s="327"/>
      <c r="DY253" s="327"/>
      <c r="DZ253" s="327"/>
      <c r="EA253" s="327"/>
      <c r="EB253" s="327"/>
      <c r="EC253" s="327"/>
      <c r="ED253" s="327"/>
      <c r="EE253" s="327"/>
      <c r="EF253" s="327"/>
      <c r="EG253" s="327"/>
      <c r="EH253" s="327"/>
      <c r="EI253" s="327"/>
      <c r="EJ253" s="327"/>
      <c r="EK253" s="327"/>
      <c r="EL253" s="327"/>
      <c r="EM253" s="327"/>
      <c r="EN253" s="327"/>
      <c r="EO253" s="327"/>
      <c r="EP253" s="327"/>
      <c r="EQ253" s="327"/>
      <c r="ER253" s="327"/>
      <c r="ES253" s="327"/>
      <c r="ET253" s="327"/>
      <c r="EU253" s="327"/>
      <c r="EV253" s="327"/>
      <c r="EW253" s="327"/>
      <c r="EX253" s="327"/>
      <c r="EY253" s="327"/>
      <c r="EZ253" s="327"/>
      <c r="FA253" s="327"/>
      <c r="FB253" s="327"/>
      <c r="FC253" s="327"/>
      <c r="FD253" s="327"/>
      <c r="FE253" s="327"/>
      <c r="FF253" s="327"/>
      <c r="FG253" s="327"/>
      <c r="FH253" s="327"/>
      <c r="FI253" s="327"/>
      <c r="FJ253" s="327"/>
      <c r="FK253" s="327"/>
      <c r="FL253" s="327"/>
      <c r="FM253" s="327"/>
      <c r="FN253" s="327"/>
      <c r="FO253" s="327"/>
      <c r="FP253" s="327"/>
      <c r="FQ253" s="327"/>
      <c r="FR253" s="327"/>
      <c r="FS253" s="327"/>
      <c r="FT253" s="327"/>
      <c r="FU253" s="327"/>
      <c r="FV253" s="327"/>
      <c r="FW253" s="327"/>
      <c r="FX253" s="327"/>
      <c r="FY253" s="327"/>
      <c r="FZ253" s="327"/>
      <c r="GA253" s="327"/>
      <c r="GB253" s="327"/>
      <c r="GC253" s="327"/>
      <c r="GD253" s="327"/>
      <c r="GE253" s="327"/>
      <c r="GF253" s="327"/>
      <c r="GG253" s="327"/>
      <c r="GH253" s="327"/>
      <c r="GI253" s="327"/>
      <c r="GJ253" s="327"/>
      <c r="GK253" s="327"/>
      <c r="GL253" s="327"/>
      <c r="GM253" s="327"/>
      <c r="GN253" s="327"/>
      <c r="GO253" s="327"/>
      <c r="GP253" s="327"/>
      <c r="GQ253" s="327"/>
      <c r="GR253" s="327"/>
      <c r="GS253" s="327"/>
      <c r="GT253" s="327"/>
      <c r="GU253" s="327"/>
      <c r="GV253" s="327"/>
      <c r="GW253" s="327"/>
      <c r="GX253" s="327"/>
      <c r="GY253" s="327"/>
      <c r="GZ253" s="327"/>
      <c r="HA253" s="327"/>
      <c r="HB253" s="327"/>
      <c r="HC253" s="327"/>
      <c r="HD253" s="327"/>
      <c r="HE253" s="327"/>
      <c r="HF253" s="327"/>
      <c r="HG253" s="327"/>
      <c r="HH253" s="327"/>
      <c r="HI253" s="327"/>
      <c r="HJ253" s="327"/>
      <c r="HK253" s="327"/>
      <c r="HL253" s="327"/>
      <c r="HM253" s="327"/>
      <c r="HN253" s="327"/>
      <c r="HO253" s="327"/>
      <c r="HP253" s="327"/>
      <c r="HQ253" s="327"/>
      <c r="HR253" s="327"/>
      <c r="HS253" s="327"/>
    </row>
    <row r="254" spans="1:227" ht="15" customHeight="1">
      <c r="A254" s="330">
        <v>10</v>
      </c>
      <c r="B254" s="435" t="str">
        <f>VLOOKUP(Ruimtestaat[[#This Row],[Code]],Locaties[[Code]:[Locatie]],2,FALSE)</f>
        <v xml:space="preserve">IKC De Edelsteen </v>
      </c>
      <c r="C254" s="435" t="str">
        <f>VLOOKUP(Ruimtestaat[[#This Row],[Code]],Locaties[[#All],[Code]:[Adres]],4,FALSE)</f>
        <v>Sieraadlaan 100-102</v>
      </c>
      <c r="D254" s="435" t="str">
        <f>VLOOKUP(Ruimtestaat[[#This Row],[Code]],Locaties[[#All],[Code]:[Postcode]],5,FALSE)</f>
        <v>2719 SN</v>
      </c>
      <c r="E254" s="435" t="str">
        <f>VLOOKUP(Ruimtestaat[[#This Row],[Code]],Locaties[#All],6,FALSE)</f>
        <v>Zoetermeer</v>
      </c>
      <c r="F254" s="450"/>
      <c r="G254" s="330" t="s">
        <v>1678</v>
      </c>
      <c r="H254" s="330" t="s">
        <v>1693</v>
      </c>
      <c r="I254" s="450" t="s">
        <v>1821</v>
      </c>
      <c r="J254" s="330">
        <v>6</v>
      </c>
      <c r="K254" s="450" t="str">
        <f>VLOOKUP(Ruimtestaat[[#This Row],[Ruimte code]],Ruimtegroepen[[#All],[Code]:[Ruimte omschrijving]],2,FALSE)</f>
        <v>Gangen/hallen</v>
      </c>
      <c r="L254" s="434" t="s">
        <v>99</v>
      </c>
      <c r="M254" s="437" t="s">
        <v>1758</v>
      </c>
      <c r="N254" s="439">
        <v>6</v>
      </c>
      <c r="O254" s="439"/>
      <c r="P254" s="439"/>
      <c r="Q254" s="439"/>
      <c r="R254" s="440" t="str">
        <f>VLOOKUP(Ruimtestaat[[#This Row],[Ruimte code]],Ruimtegroepen[],4,FALSE)</f>
        <v>Ve</v>
      </c>
      <c r="S254" s="434">
        <v>41</v>
      </c>
      <c r="T254" s="434" t="s">
        <v>2</v>
      </c>
      <c r="U254" s="434">
        <f>IF(S254&gt;0,IF(RIGHT(Ruimtestaat[[#This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54" s="434">
        <f>IF(U254&gt;0,VLOOKUP($J254,Ruimtegroepen[],3,FALSE)*VLOOKUP($L254,Vloersoorten[],3,FALSE)*VLOOKUP($T254,Frequenties[],3,FALSE)*VLOOKUP($A254,Locaties[],3,FALSE),0)</f>
        <v>0</v>
      </c>
      <c r="W254" s="434">
        <f>Ruimtestaat[[#This Row],[Uitvoeringen werkdagen]]*Ruimtestaat[[#This Row],[Oppervlak (netto)]]</f>
        <v>1230</v>
      </c>
      <c r="X254" s="441">
        <f>IF(V254&gt;0,Ruimtestaat[[#This Row],[Prest. (m2 /jaar) werkdagen]]/Ruimtestaat[[#This Row],[Norm (m2/uur) werkdagen]],0)</f>
        <v>0</v>
      </c>
      <c r="Y254" s="442">
        <f>Ruimtestaat[[#This Row],[Uitvoeringen werkdagen]]*Ruimtestaat[[#This Row],[Gedeeltelijk]]</f>
        <v>0</v>
      </c>
      <c r="Z254" s="443" t="e">
        <f>IF(U254&gt;0,Ruimtestaat[[#This Row],[Prest. (m2 / jaar) werkdagen gedeeld]]/Ruimtestaat[[#This Row],[Norm (m2/uur) werkdagen]],0)</f>
        <v>#DIV/0!</v>
      </c>
      <c r="AA254" s="441" t="e">
        <f>Ruimtestaat[[#This Row],[uren / jaar werkdagen gedeeld]]*Tariefsopbouw!$E$35</f>
        <v>#DIV/0!</v>
      </c>
      <c r="AB254" s="441">
        <f>Ruimtestaat[[#This Row],[Uitvoeringen werkdagen]]*Ruimtestaat[[#This Row],[BSO]]</f>
        <v>0</v>
      </c>
      <c r="AC254" s="443" t="e">
        <f>IF(U254&gt;0,Ruimtestaat[[#This Row],[Prest. (m2 / jaar) werkdagen BSO]]/Ruimtestaat[[#This Row],[Norm (m2/uur) werkdagen]],0)</f>
        <v>#DIV/0!</v>
      </c>
      <c r="AD254" s="443" t="e">
        <f>Ruimtestaat[[#This Row],[uren / jaar werkdagen BSO]]*Tariefsopbouw!$E$35</f>
        <v>#DIV/0!</v>
      </c>
      <c r="AE254" s="444">
        <f>Ruimtestaat[[#This Row],[uren / jaar werkdagen]]*Tariefsopbouw!$E$35</f>
        <v>0</v>
      </c>
      <c r="AF254" s="434"/>
      <c r="AG254" s="434">
        <f>IF(Ruimtestaat[[#This Row],[Frequentie weekend]]&gt;0,VALUE(LEFT(AF254,1))*S254,0)</f>
        <v>0</v>
      </c>
      <c r="AH254" s="445">
        <f>IF($AG254&gt;0,VLOOKUP($J254,Ruimtegroepen[],3,FALSE)*VLOOKUP($L254,Vloersoorten[],3,FALSE)*VLOOKUP($AF254,Frequenties[],3,FALSE)*VLOOKUP(Ruimtestaat[[#This Row],[Code]],Locaties[],3,FALSE),0)</f>
        <v>0</v>
      </c>
      <c r="AI254" s="445">
        <f>Ruimtestaat[[#This Row],[Uitvoeringen weekend]]*Ruimtestaat[[#This Row],[Oppervlak (netto)]]</f>
        <v>0</v>
      </c>
      <c r="AJ254" s="445">
        <f>IF(AH254&gt;0,Ruimtestaat[[#This Row],[Prest. (m2 /jaar) weekend]]/Ruimtestaat[[#This Row],[Norm (m2/uur) weekend]],0)</f>
        <v>0</v>
      </c>
      <c r="AK254" s="444">
        <f>Ruimtestaat[[#This Row],[uren / jaar weekend]]*Tariefsopbouw!$D$40</f>
        <v>0</v>
      </c>
      <c r="AL254" s="441">
        <f>Ruimtestaat[[#This Row],[Prest. (m2 /jaar) weekend]]+Ruimtestaat[[#This Row],[Prest. (m2 /jaar) werkdagen]]</f>
        <v>1230</v>
      </c>
      <c r="AM254" s="441">
        <f>Ruimtestaat[[#This Row],[uren / jaar weekend]]+Ruimtestaat[[#This Row],[uren / jaar werkdagen]]</f>
        <v>0</v>
      </c>
      <c r="AN254" s="446">
        <f>Ruimtestaat[[#This Row],[kosten / jaar weekend]]+Ruimtestaat[[#This Row],[kosten / jaar werkdagen]]</f>
        <v>0</v>
      </c>
      <c r="AO254" s="446"/>
      <c r="AP254" s="447" t="str">
        <f>IF(Ruimtestaat[[#This Row],[Frequentie werkdagen]]="","",_xlfn.CONCAT(Ruimtestaat[[#This Row],[Ruimte code]],"-",Ruimtestaat[[#This Row],[Frequentie werkdagen]]," ",Ruimtestaat[[#This Row],[Vloer code]]))</f>
        <v>6-5w T</v>
      </c>
      <c r="AQ254" s="448" t="str">
        <f>_xlfn.IFNA(VLOOKUP($AP254,Programma!$F$3:$G$1101,2,0),"")</f>
        <v>_</v>
      </c>
      <c r="AR254" s="448" t="str">
        <f>_xlfn.IFNA(VLOOKUP($AP254,Programma!$F$3:$H$1101,3,0),"")</f>
        <v>5w</v>
      </c>
      <c r="AS254" s="448" t="str">
        <f>_xlfn.IFNA(VLOOKUP($AP254,Programma!$F$3:$I$1101,4,0),"")</f>
        <v>_</v>
      </c>
      <c r="AT254" s="448" t="str">
        <f>_xlfn.IFNA(VLOOKUP($AP254,Programma!$F$3:$J$1101,5,0),"")</f>
        <v>_</v>
      </c>
      <c r="AU254" s="448" t="str">
        <f>_xlfn.IFNA(VLOOKUP($AP254,Programma!$F$3:$K$1101,6,0),"")</f>
        <v>_</v>
      </c>
      <c r="AV254" s="448" t="str">
        <f>_xlfn.IFNA(VLOOKUP($AP254,Programma!$F$3:$L$1101,7,0),"")</f>
        <v>_</v>
      </c>
      <c r="AW254" s="448" t="str">
        <f>_xlfn.IFNA(VLOOKUP($AP254,Programma!$F$3:$M$1101,8,0),"")</f>
        <v>_</v>
      </c>
      <c r="AX254" s="448" t="str">
        <f>_xlfn.IFNA(VLOOKUP($AP254,Programma!$F$3:$N$1101,9,0),"")</f>
        <v>_</v>
      </c>
      <c r="AY254" s="448" t="str">
        <f>_xlfn.IFNA(VLOOKUP($AP254,Programma!$F$3:$O$1101,10,0),"")</f>
        <v>5w</v>
      </c>
      <c r="AZ254" s="448" t="str">
        <f>_xlfn.IFNA(VLOOKUP($AP254,Programma!$F$3:$P$1101,11,0),"")</f>
        <v>5w</v>
      </c>
      <c r="BA254" s="448" t="str">
        <f>_xlfn.IFNA(VLOOKUP($AP254,Programma!$F$3:$Q$1101,12,0),"")</f>
        <v>1w</v>
      </c>
      <c r="BB254" s="448" t="str">
        <f>_xlfn.IFNA(VLOOKUP($AP254,Programma!$F$3:$R$1101,13,0),"")</f>
        <v>1w</v>
      </c>
      <c r="BC254" s="448" t="str">
        <f>_xlfn.IFNA(VLOOKUP($AP254,Programma!$F$3:$S$1101,14,0),"")</f>
        <v>1m</v>
      </c>
      <c r="BD254" s="448" t="str">
        <f>_xlfn.IFNA(VLOOKUP($AP254,Programma!$F$3:$T$1101,15,0),"")</f>
        <v>2j</v>
      </c>
      <c r="BE254" s="448" t="str">
        <f>_xlfn.IFNA(VLOOKUP($AP254,Programma!$F$3:$U$1101,16,0),"")</f>
        <v>1j</v>
      </c>
      <c r="BF254" s="448" t="str">
        <f>_xlfn.IFNA(VLOOKUP($AP254,Programma!$F$3:$V$1101,17,0),"")</f>
        <v>_</v>
      </c>
      <c r="BG254" s="448" t="str">
        <f>_xlfn.IFNA(VLOOKUP($AP254,Programma!$F$3:$W$1101,18,0),"")</f>
        <v>_</v>
      </c>
      <c r="BH254" s="448" t="str">
        <f>_xlfn.IFNA(VLOOKUP($AP254,Programma!$F$3:$X$1101,19,0),"")</f>
        <v>_</v>
      </c>
      <c r="BI254" s="448" t="str">
        <f>_xlfn.IFNA(VLOOKUP($AP254,Programma!$F$3:$Y$1101,20,0),"")</f>
        <v>_</v>
      </c>
      <c r="BJ254" s="449"/>
      <c r="BK254" s="447" t="str">
        <f>IF(Ruimtestaat[[#This Row],[Frequentie weekend]]="","",_xlfn.CONCAT(Ruimtestaat[[#This Row],[Ruimte code]],"-",Ruimtestaat[[#This Row],[Frequentie weekend]]," ",Ruimtestaat[[#This Row],[Vloer code]]))</f>
        <v/>
      </c>
      <c r="BL254" s="448" t="str">
        <f>_xlfn.IFNA(VLOOKUP($BK254,Programma!$F$3:$G$1101,2,0),"")</f>
        <v/>
      </c>
      <c r="BM254" s="448" t="str">
        <f>_xlfn.IFNA(VLOOKUP($BK254,Programma!$F$3:$H$1101,3,0),"")</f>
        <v/>
      </c>
      <c r="BN254" s="448" t="str">
        <f>_xlfn.IFNA(VLOOKUP($BK254,Programma!$F$3:$I$1101,4,0),"")</f>
        <v/>
      </c>
      <c r="BO254" s="448" t="str">
        <f>_xlfn.IFNA(VLOOKUP($BK254,Programma!$F$3:$J$1101,5,0),"")</f>
        <v/>
      </c>
      <c r="BP254" s="448" t="str">
        <f>_xlfn.IFNA(VLOOKUP($BK254,Programma!$F$3:$K$1101,6,0),"")</f>
        <v/>
      </c>
      <c r="BQ254" s="448" t="str">
        <f>_xlfn.IFNA(VLOOKUP($BK254,Programma!$F$3:$L$1101,7,0),"")</f>
        <v/>
      </c>
      <c r="BR254" s="448" t="str">
        <f>_xlfn.IFNA(VLOOKUP($BK254,Programma!$F$3:$M$1101,8,0),"")</f>
        <v/>
      </c>
      <c r="BS254" s="448" t="str">
        <f>_xlfn.IFNA(VLOOKUP($BK254,Programma!$F$3:$N$1101,9,0),"")</f>
        <v/>
      </c>
      <c r="BT254" s="448" t="str">
        <f>_xlfn.IFNA(VLOOKUP($BK254,Programma!$F$3:$O$1101,10,0),"")</f>
        <v/>
      </c>
      <c r="BU254" s="448" t="str">
        <f>_xlfn.IFNA(VLOOKUP($BK254,Programma!$F$3:$P$1101,11,0),"")</f>
        <v/>
      </c>
      <c r="BV254" s="448" t="str">
        <f>_xlfn.IFNA(VLOOKUP($BK254,Programma!$F$3:$Q$1101,12,0),"")</f>
        <v/>
      </c>
      <c r="BW254" s="448" t="str">
        <f>_xlfn.IFNA(VLOOKUP($BK254,Programma!$F$3:$R$1101,13,0),"")</f>
        <v/>
      </c>
      <c r="BX254" s="448" t="str">
        <f>_xlfn.IFNA(VLOOKUP($BK254,Programma!$F$3:$S$1101,14,0),"")</f>
        <v/>
      </c>
      <c r="BY254" s="448" t="str">
        <f>_xlfn.IFNA(VLOOKUP($BK254,Programma!$F$3:$T$1101,15,0),"")</f>
        <v/>
      </c>
      <c r="BZ254" s="448" t="str">
        <f>_xlfn.IFNA(VLOOKUP($BK254,Programma!$F$3:$U$1101,16,0),"")</f>
        <v/>
      </c>
      <c r="CA254" s="448" t="str">
        <f>_xlfn.IFNA(VLOOKUP($BK254,Programma!$F$3:$V$1101,17,0),"")</f>
        <v/>
      </c>
      <c r="CB254" s="448" t="str">
        <f>_xlfn.IFNA(VLOOKUP($BK254,Programma!$F$3:$W$1101,18,0),"")</f>
        <v/>
      </c>
      <c r="CC254" s="448" t="str">
        <f>_xlfn.IFNA(VLOOKUP($BK254,Programma!$F$3:$X$1101,19,0),"")</f>
        <v/>
      </c>
      <c r="CD254" s="448" t="str">
        <f>_xlfn.IFNA(VLOOKUP($BK254,Programma!$F$3:$Y$1101,20,0),"")</f>
        <v/>
      </c>
      <c r="CE254" s="327"/>
      <c r="CF254" s="327"/>
      <c r="CG254" s="327"/>
      <c r="CH254" s="327"/>
      <c r="CI254" s="327"/>
      <c r="CJ254" s="327"/>
      <c r="CK254" s="327"/>
      <c r="CL254" s="327"/>
      <c r="CM254" s="327"/>
      <c r="CN254" s="327"/>
      <c r="CO254" s="327"/>
      <c r="CP254" s="327"/>
      <c r="CQ254" s="327"/>
      <c r="CR254" s="327"/>
      <c r="CS254" s="327"/>
      <c r="CT254" s="327"/>
      <c r="CU254" s="327"/>
      <c r="CV254" s="327"/>
      <c r="CW254" s="327"/>
      <c r="CX254" s="327"/>
      <c r="CY254" s="327"/>
      <c r="CZ254" s="327"/>
      <c r="DA254" s="327"/>
      <c r="DB254" s="327"/>
      <c r="DC254" s="327"/>
      <c r="DD254" s="327"/>
      <c r="DE254" s="327"/>
      <c r="DF254" s="327"/>
      <c r="DG254" s="327"/>
      <c r="DH254" s="327"/>
      <c r="DI254" s="327"/>
      <c r="DJ254" s="327"/>
      <c r="DK254" s="327"/>
      <c r="DL254" s="327"/>
      <c r="DM254" s="327"/>
      <c r="DN254" s="327"/>
      <c r="DO254" s="327"/>
      <c r="DP254" s="327"/>
      <c r="DQ254" s="327"/>
      <c r="DR254" s="327"/>
      <c r="DS254" s="327"/>
      <c r="DT254" s="327"/>
      <c r="DU254" s="327"/>
      <c r="DV254" s="327"/>
      <c r="DW254" s="327"/>
      <c r="DX254" s="327"/>
      <c r="DY254" s="327"/>
      <c r="DZ254" s="327"/>
      <c r="EA254" s="327"/>
      <c r="EB254" s="327"/>
      <c r="EC254" s="327"/>
      <c r="ED254" s="327"/>
      <c r="EE254" s="327"/>
      <c r="EF254" s="327"/>
      <c r="EG254" s="327"/>
      <c r="EH254" s="327"/>
      <c r="EI254" s="327"/>
      <c r="EJ254" s="327"/>
      <c r="EK254" s="327"/>
      <c r="EL254" s="327"/>
      <c r="EM254" s="327"/>
      <c r="EN254" s="327"/>
      <c r="EO254" s="327"/>
      <c r="EP254" s="327"/>
      <c r="EQ254" s="327"/>
      <c r="ER254" s="327"/>
      <c r="ES254" s="327"/>
      <c r="ET254" s="327"/>
      <c r="EU254" s="327"/>
      <c r="EV254" s="327"/>
      <c r="EW254" s="327"/>
      <c r="EX254" s="327"/>
      <c r="EY254" s="327"/>
      <c r="EZ254" s="327"/>
      <c r="FA254" s="327"/>
      <c r="FB254" s="327"/>
      <c r="FC254" s="327"/>
      <c r="FD254" s="327"/>
      <c r="FE254" s="327"/>
      <c r="FF254" s="327"/>
      <c r="FG254" s="327"/>
      <c r="FH254" s="327"/>
      <c r="FI254" s="327"/>
      <c r="FJ254" s="327"/>
      <c r="FK254" s="327"/>
      <c r="FL254" s="327"/>
      <c r="FM254" s="327"/>
      <c r="FN254" s="327"/>
      <c r="FO254" s="327"/>
      <c r="FP254" s="327"/>
      <c r="FQ254" s="327"/>
      <c r="FR254" s="327"/>
      <c r="FS254" s="327"/>
      <c r="FT254" s="327"/>
      <c r="FU254" s="327"/>
      <c r="FV254" s="327"/>
      <c r="FW254" s="327"/>
      <c r="FX254" s="327"/>
      <c r="FY254" s="327"/>
      <c r="FZ254" s="327"/>
      <c r="GA254" s="327"/>
      <c r="GB254" s="327"/>
      <c r="GC254" s="327"/>
      <c r="GD254" s="327"/>
      <c r="GE254" s="327"/>
      <c r="GF254" s="327"/>
      <c r="GG254" s="327"/>
      <c r="GH254" s="327"/>
      <c r="GI254" s="327"/>
      <c r="GJ254" s="327"/>
      <c r="GK254" s="327"/>
      <c r="GL254" s="327"/>
      <c r="GM254" s="327"/>
      <c r="GN254" s="327"/>
      <c r="GO254" s="327"/>
      <c r="GP254" s="327"/>
      <c r="GQ254" s="327"/>
      <c r="GR254" s="327"/>
      <c r="GS254" s="327"/>
      <c r="GT254" s="327"/>
      <c r="GU254" s="327"/>
      <c r="GV254" s="327"/>
      <c r="GW254" s="327"/>
      <c r="GX254" s="327"/>
      <c r="GY254" s="327"/>
      <c r="GZ254" s="327"/>
      <c r="HA254" s="327"/>
      <c r="HB254" s="327"/>
      <c r="HC254" s="327"/>
      <c r="HD254" s="327"/>
      <c r="HE254" s="327"/>
      <c r="HF254" s="327"/>
      <c r="HG254" s="327"/>
      <c r="HH254" s="327"/>
      <c r="HI254" s="327"/>
      <c r="HJ254" s="327"/>
      <c r="HK254" s="327"/>
      <c r="HL254" s="327"/>
      <c r="HM254" s="327"/>
      <c r="HN254" s="327"/>
      <c r="HO254" s="327"/>
      <c r="HP254" s="327"/>
      <c r="HQ254" s="327"/>
      <c r="HR254" s="327"/>
      <c r="HS254" s="327"/>
    </row>
    <row r="255" spans="1:227" ht="15" customHeight="1">
      <c r="A255" s="330">
        <v>10</v>
      </c>
      <c r="B255" s="435" t="str">
        <f>VLOOKUP(Ruimtestaat[[#This Row],[Code]],Locaties[[Code]:[Locatie]],2,FALSE)</f>
        <v xml:space="preserve">IKC De Edelsteen </v>
      </c>
      <c r="C255" s="435" t="str">
        <f>VLOOKUP(Ruimtestaat[[#This Row],[Code]],Locaties[[#All],[Code]:[Adres]],4,FALSE)</f>
        <v>Sieraadlaan 100-102</v>
      </c>
      <c r="D255" s="435" t="str">
        <f>VLOOKUP(Ruimtestaat[[#This Row],[Code]],Locaties[[#All],[Code]:[Postcode]],5,FALSE)</f>
        <v>2719 SN</v>
      </c>
      <c r="E255" s="435" t="str">
        <f>VLOOKUP(Ruimtestaat[[#This Row],[Code]],Locaties[#All],6,FALSE)</f>
        <v>Zoetermeer</v>
      </c>
      <c r="F255" s="450"/>
      <c r="G255" s="330" t="s">
        <v>1678</v>
      </c>
      <c r="H255" s="330" t="s">
        <v>1699</v>
      </c>
      <c r="I255" s="450" t="s">
        <v>1673</v>
      </c>
      <c r="J255" s="330">
        <v>5</v>
      </c>
      <c r="K255" s="450" t="str">
        <f>VLOOKUP(Ruimtestaat[[#This Row],[Ruimte code]],Ruimtegroepen[[#All],[Code]:[Ruimte omschrijving]],2,FALSE)</f>
        <v>Sanitair</v>
      </c>
      <c r="L255" s="434" t="s">
        <v>102</v>
      </c>
      <c r="M255" s="437" t="s">
        <v>2105</v>
      </c>
      <c r="N255" s="439">
        <v>35</v>
      </c>
      <c r="O255" s="439"/>
      <c r="P255" s="439"/>
      <c r="Q255" s="439"/>
      <c r="R255" s="440" t="str">
        <f>VLOOKUP(Ruimtestaat[[#This Row],[Ruimte code]],Ruimtegroepen[],4,FALSE)</f>
        <v>Sa</v>
      </c>
      <c r="S255" s="434">
        <v>41</v>
      </c>
      <c r="T255" s="434" t="s">
        <v>2</v>
      </c>
      <c r="U255" s="434">
        <f>IF(S255&gt;0,IF(RIGHT(Ruimtestaat[[#This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55" s="434">
        <f>IF(U255&gt;0,VLOOKUP($J255,Ruimtegroepen[],3,FALSE)*VLOOKUP($L255,Vloersoorten[],3,FALSE)*VLOOKUP($T255,Frequenties[],3,FALSE)*VLOOKUP($A255,Locaties[],3,FALSE),0)</f>
        <v>0</v>
      </c>
      <c r="W255" s="434">
        <f>Ruimtestaat[[#This Row],[Uitvoeringen werkdagen]]*Ruimtestaat[[#This Row],[Oppervlak (netto)]]</f>
        <v>7175</v>
      </c>
      <c r="X255" s="441">
        <f>IF(V255&gt;0,Ruimtestaat[[#This Row],[Prest. (m2 /jaar) werkdagen]]/Ruimtestaat[[#This Row],[Norm (m2/uur) werkdagen]],0)</f>
        <v>0</v>
      </c>
      <c r="Y255" s="442">
        <f>Ruimtestaat[[#This Row],[Uitvoeringen werkdagen]]*Ruimtestaat[[#This Row],[Gedeeltelijk]]</f>
        <v>0</v>
      </c>
      <c r="Z255" s="443" t="e">
        <f>IF(U255&gt;0,Ruimtestaat[[#This Row],[Prest. (m2 / jaar) werkdagen gedeeld]]/Ruimtestaat[[#This Row],[Norm (m2/uur) werkdagen]],0)</f>
        <v>#DIV/0!</v>
      </c>
      <c r="AA255" s="441" t="e">
        <f>Ruimtestaat[[#This Row],[uren / jaar werkdagen gedeeld]]*Tariefsopbouw!$E$35</f>
        <v>#DIV/0!</v>
      </c>
      <c r="AB255" s="441">
        <f>Ruimtestaat[[#This Row],[Uitvoeringen werkdagen]]*Ruimtestaat[[#This Row],[BSO]]</f>
        <v>0</v>
      </c>
      <c r="AC255" s="443" t="e">
        <f>IF(U255&gt;0,Ruimtestaat[[#This Row],[Prest. (m2 / jaar) werkdagen BSO]]/Ruimtestaat[[#This Row],[Norm (m2/uur) werkdagen]],0)</f>
        <v>#DIV/0!</v>
      </c>
      <c r="AD255" s="443" t="e">
        <f>Ruimtestaat[[#This Row],[uren / jaar werkdagen BSO]]*Tariefsopbouw!$E$35</f>
        <v>#DIV/0!</v>
      </c>
      <c r="AE255" s="444">
        <f>Ruimtestaat[[#This Row],[uren / jaar werkdagen]]*Tariefsopbouw!$E$35</f>
        <v>0</v>
      </c>
      <c r="AF255" s="434"/>
      <c r="AG255" s="434">
        <f>IF(Ruimtestaat[[#This Row],[Frequentie weekend]]&gt;0,VALUE(LEFT(AF255,1))*S255,0)</f>
        <v>0</v>
      </c>
      <c r="AH255" s="445">
        <f>IF($AG255&gt;0,VLOOKUP($J255,Ruimtegroepen[],3,FALSE)*VLOOKUP($L255,Vloersoorten[],3,FALSE)*VLOOKUP($AF255,Frequenties[],3,FALSE)*VLOOKUP(Ruimtestaat[[#This Row],[Code]],Locaties[],3,FALSE),0)</f>
        <v>0</v>
      </c>
      <c r="AI255" s="445">
        <f>Ruimtestaat[[#This Row],[Uitvoeringen weekend]]*Ruimtestaat[[#This Row],[Oppervlak (netto)]]</f>
        <v>0</v>
      </c>
      <c r="AJ255" s="445">
        <f>IF(AH255&gt;0,Ruimtestaat[[#This Row],[Prest. (m2 /jaar) weekend]]/Ruimtestaat[[#This Row],[Norm (m2/uur) weekend]],0)</f>
        <v>0</v>
      </c>
      <c r="AK255" s="444">
        <f>Ruimtestaat[[#This Row],[uren / jaar weekend]]*Tariefsopbouw!$D$40</f>
        <v>0</v>
      </c>
      <c r="AL255" s="441">
        <f>Ruimtestaat[[#This Row],[Prest. (m2 /jaar) weekend]]+Ruimtestaat[[#This Row],[Prest. (m2 /jaar) werkdagen]]</f>
        <v>7175</v>
      </c>
      <c r="AM255" s="441">
        <f>Ruimtestaat[[#This Row],[uren / jaar weekend]]+Ruimtestaat[[#This Row],[uren / jaar werkdagen]]</f>
        <v>0</v>
      </c>
      <c r="AN255" s="446">
        <f>Ruimtestaat[[#This Row],[kosten / jaar weekend]]+Ruimtestaat[[#This Row],[kosten / jaar werkdagen]]</f>
        <v>0</v>
      </c>
      <c r="AO255" s="446"/>
      <c r="AP255" s="447" t="str">
        <f>IF(Ruimtestaat[[#This Row],[Frequentie werkdagen]]="","",_xlfn.CONCAT(Ruimtestaat[[#This Row],[Ruimte code]],"-",Ruimtestaat[[#This Row],[Frequentie werkdagen]]," ",Ruimtestaat[[#This Row],[Vloer code]]))</f>
        <v>5-5w P</v>
      </c>
      <c r="AQ255" s="448" t="str">
        <f>_xlfn.IFNA(VLOOKUP($AP255,Programma!$F$3:$G$1101,2,0),"")</f>
        <v>_</v>
      </c>
      <c r="AR255" s="448" t="str">
        <f>_xlfn.IFNA(VLOOKUP($AP255,Programma!$F$3:$H$1101,3,0),"")</f>
        <v>_</v>
      </c>
      <c r="AS255" s="448" t="str">
        <f>_xlfn.IFNA(VLOOKUP($AP255,Programma!$F$3:$I$1101,4,0),"")</f>
        <v>_</v>
      </c>
      <c r="AT255" s="448" t="str">
        <f>_xlfn.IFNA(VLOOKUP($AP255,Programma!$F$3:$J$1101,5,0),"")</f>
        <v>4w</v>
      </c>
      <c r="AU255" s="448" t="str">
        <f>_xlfn.IFNA(VLOOKUP($AP255,Programma!$F$3:$K$1101,6,0),"")</f>
        <v>1w</v>
      </c>
      <c r="AV255" s="448" t="str">
        <f>_xlfn.IFNA(VLOOKUP($AP255,Programma!$F$3:$L$1101,7,0),"")</f>
        <v>_</v>
      </c>
      <c r="AW255" s="448" t="str">
        <f>_xlfn.IFNA(VLOOKUP($AP255,Programma!$F$3:$M$1101,8,0),"")</f>
        <v>_</v>
      </c>
      <c r="AX255" s="448" t="str">
        <f>_xlfn.IFNA(VLOOKUP($AP255,Programma!$F$3:$N$1101,9,0),"")</f>
        <v>_</v>
      </c>
      <c r="AY255" s="448" t="str">
        <f>_xlfn.IFNA(VLOOKUP($AP255,Programma!$F$3:$O$1101,10,0),"")</f>
        <v>_</v>
      </c>
      <c r="AZ255" s="448" t="str">
        <f>_xlfn.IFNA(VLOOKUP($AP255,Programma!$F$3:$P$1101,11,0),"")</f>
        <v>_</v>
      </c>
      <c r="BA255" s="448" t="str">
        <f>_xlfn.IFNA(VLOOKUP($AP255,Programma!$F$3:$Q$1101,12,0),"")</f>
        <v>_</v>
      </c>
      <c r="BB255" s="448" t="str">
        <f>_xlfn.IFNA(VLOOKUP($AP255,Programma!$F$3:$R$1101,13,0),"")</f>
        <v>_</v>
      </c>
      <c r="BC255" s="448" t="str">
        <f>_xlfn.IFNA(VLOOKUP($AP255,Programma!$F$3:$S$1101,14,0),"")</f>
        <v>_</v>
      </c>
      <c r="BD255" s="448" t="str">
        <f>_xlfn.IFNA(VLOOKUP($AP255,Programma!$F$3:$T$1101,15,0),"")</f>
        <v>_</v>
      </c>
      <c r="BE255" s="448" t="str">
        <f>_xlfn.IFNA(VLOOKUP($AP255,Programma!$F$3:$U$1101,16,0),"")</f>
        <v>_</v>
      </c>
      <c r="BF255" s="448" t="str">
        <f>_xlfn.IFNA(VLOOKUP($AP255,Programma!$F$3:$V$1101,17,0),"")</f>
        <v>_</v>
      </c>
      <c r="BG255" s="448" t="str">
        <f>_xlfn.IFNA(VLOOKUP($AP255,Programma!$F$3:$W$1101,18,0),"")</f>
        <v>4w</v>
      </c>
      <c r="BH255" s="448" t="str">
        <f>_xlfn.IFNA(VLOOKUP($AP255,Programma!$F$3:$X$1101,19,0),"")</f>
        <v>1w</v>
      </c>
      <c r="BI255" s="448" t="str">
        <f>_xlfn.IFNA(VLOOKUP($AP255,Programma!$F$3:$Y$1101,20,0),"")</f>
        <v>_</v>
      </c>
      <c r="BJ255" s="449"/>
      <c r="BK255" s="447" t="str">
        <f>IF(Ruimtestaat[[#This Row],[Frequentie weekend]]="","",_xlfn.CONCAT(Ruimtestaat[[#This Row],[Ruimte code]],"-",Ruimtestaat[[#This Row],[Frequentie weekend]]," ",Ruimtestaat[[#This Row],[Vloer code]]))</f>
        <v/>
      </c>
      <c r="BL255" s="448" t="str">
        <f>_xlfn.IFNA(VLOOKUP($BK255,Programma!$F$3:$G$1101,2,0),"")</f>
        <v/>
      </c>
      <c r="BM255" s="448" t="str">
        <f>_xlfn.IFNA(VLOOKUP($BK255,Programma!$F$3:$H$1101,3,0),"")</f>
        <v/>
      </c>
      <c r="BN255" s="448" t="str">
        <f>_xlfn.IFNA(VLOOKUP($BK255,Programma!$F$3:$I$1101,4,0),"")</f>
        <v/>
      </c>
      <c r="BO255" s="448" t="str">
        <f>_xlfn.IFNA(VLOOKUP($BK255,Programma!$F$3:$J$1101,5,0),"")</f>
        <v/>
      </c>
      <c r="BP255" s="448" t="str">
        <f>_xlfn.IFNA(VLOOKUP($BK255,Programma!$F$3:$K$1101,6,0),"")</f>
        <v/>
      </c>
      <c r="BQ255" s="448" t="str">
        <f>_xlfn.IFNA(VLOOKUP($BK255,Programma!$F$3:$L$1101,7,0),"")</f>
        <v/>
      </c>
      <c r="BR255" s="448" t="str">
        <f>_xlfn.IFNA(VLOOKUP($BK255,Programma!$F$3:$M$1101,8,0),"")</f>
        <v/>
      </c>
      <c r="BS255" s="448" t="str">
        <f>_xlfn.IFNA(VLOOKUP($BK255,Programma!$F$3:$N$1101,9,0),"")</f>
        <v/>
      </c>
      <c r="BT255" s="448" t="str">
        <f>_xlfn.IFNA(VLOOKUP($BK255,Programma!$F$3:$O$1101,10,0),"")</f>
        <v/>
      </c>
      <c r="BU255" s="448" t="str">
        <f>_xlfn.IFNA(VLOOKUP($BK255,Programma!$F$3:$P$1101,11,0),"")</f>
        <v/>
      </c>
      <c r="BV255" s="448" t="str">
        <f>_xlfn.IFNA(VLOOKUP($BK255,Programma!$F$3:$Q$1101,12,0),"")</f>
        <v/>
      </c>
      <c r="BW255" s="448" t="str">
        <f>_xlfn.IFNA(VLOOKUP($BK255,Programma!$F$3:$R$1101,13,0),"")</f>
        <v/>
      </c>
      <c r="BX255" s="448" t="str">
        <f>_xlfn.IFNA(VLOOKUP($BK255,Programma!$F$3:$S$1101,14,0),"")</f>
        <v/>
      </c>
      <c r="BY255" s="448" t="str">
        <f>_xlfn.IFNA(VLOOKUP($BK255,Programma!$F$3:$T$1101,15,0),"")</f>
        <v/>
      </c>
      <c r="BZ255" s="448" t="str">
        <f>_xlfn.IFNA(VLOOKUP($BK255,Programma!$F$3:$U$1101,16,0),"")</f>
        <v/>
      </c>
      <c r="CA255" s="448" t="str">
        <f>_xlfn.IFNA(VLOOKUP($BK255,Programma!$F$3:$V$1101,17,0),"")</f>
        <v/>
      </c>
      <c r="CB255" s="448" t="str">
        <f>_xlfn.IFNA(VLOOKUP($BK255,Programma!$F$3:$W$1101,18,0),"")</f>
        <v/>
      </c>
      <c r="CC255" s="448" t="str">
        <f>_xlfn.IFNA(VLOOKUP($BK255,Programma!$F$3:$X$1101,19,0),"")</f>
        <v/>
      </c>
      <c r="CD255" s="448" t="str">
        <f>_xlfn.IFNA(VLOOKUP($BK255,Programma!$F$3:$Y$1101,20,0),"")</f>
        <v/>
      </c>
      <c r="CE255" s="327"/>
      <c r="CF255" s="327"/>
      <c r="CG255" s="327"/>
      <c r="CH255" s="327"/>
      <c r="CI255" s="327"/>
      <c r="CJ255" s="327"/>
      <c r="CK255" s="327"/>
      <c r="CL255" s="327"/>
      <c r="CM255" s="327"/>
      <c r="CN255" s="327"/>
      <c r="CO255" s="327"/>
      <c r="CP255" s="327"/>
      <c r="CQ255" s="327"/>
      <c r="CR255" s="327"/>
      <c r="CS255" s="327"/>
      <c r="CT255" s="327"/>
      <c r="CU255" s="327"/>
      <c r="CV255" s="327"/>
      <c r="CW255" s="327"/>
      <c r="CX255" s="327"/>
      <c r="CY255" s="327"/>
      <c r="CZ255" s="327"/>
      <c r="DA255" s="327"/>
      <c r="DB255" s="327"/>
      <c r="DC255" s="327"/>
      <c r="DD255" s="327"/>
      <c r="DE255" s="327"/>
      <c r="DF255" s="327"/>
      <c r="DG255" s="327"/>
      <c r="DH255" s="327"/>
      <c r="DI255" s="327"/>
      <c r="DJ255" s="327"/>
      <c r="DK255" s="327"/>
      <c r="DL255" s="327"/>
      <c r="DM255" s="327"/>
      <c r="DN255" s="327"/>
      <c r="DO255" s="327"/>
      <c r="DP255" s="327"/>
      <c r="DQ255" s="327"/>
      <c r="DR255" s="327"/>
      <c r="DS255" s="327"/>
      <c r="DT255" s="327"/>
      <c r="DU255" s="327"/>
      <c r="DV255" s="327"/>
      <c r="DW255" s="327"/>
      <c r="DX255" s="327"/>
      <c r="DY255" s="327"/>
      <c r="DZ255" s="327"/>
      <c r="EA255" s="327"/>
      <c r="EB255" s="327"/>
      <c r="EC255" s="327"/>
      <c r="ED255" s="327"/>
      <c r="EE255" s="327"/>
      <c r="EF255" s="327"/>
      <c r="EG255" s="327"/>
      <c r="EH255" s="327"/>
      <c r="EI255" s="327"/>
      <c r="EJ255" s="327"/>
      <c r="EK255" s="327"/>
      <c r="EL255" s="327"/>
      <c r="EM255" s="327"/>
      <c r="EN255" s="327"/>
      <c r="EO255" s="327"/>
      <c r="EP255" s="327"/>
      <c r="EQ255" s="327"/>
      <c r="ER255" s="327"/>
      <c r="ES255" s="327"/>
      <c r="ET255" s="327"/>
      <c r="EU255" s="327"/>
      <c r="EV255" s="327"/>
      <c r="EW255" s="327"/>
      <c r="EX255" s="327"/>
      <c r="EY255" s="327"/>
      <c r="EZ255" s="327"/>
      <c r="FA255" s="327"/>
      <c r="FB255" s="327"/>
      <c r="FC255" s="327"/>
      <c r="FD255" s="327"/>
      <c r="FE255" s="327"/>
      <c r="FF255" s="327"/>
      <c r="FG255" s="327"/>
      <c r="FH255" s="327"/>
      <c r="FI255" s="327"/>
      <c r="FJ255" s="327"/>
      <c r="FK255" s="327"/>
      <c r="FL255" s="327"/>
      <c r="FM255" s="327"/>
      <c r="FN255" s="327"/>
      <c r="FO255" s="327"/>
      <c r="FP255" s="327"/>
      <c r="FQ255" s="327"/>
      <c r="FR255" s="327"/>
      <c r="FS255" s="327"/>
      <c r="FT255" s="327"/>
      <c r="FU255" s="327"/>
      <c r="FV255" s="327"/>
      <c r="FW255" s="327"/>
      <c r="FX255" s="327"/>
      <c r="FY255" s="327"/>
      <c r="FZ255" s="327"/>
      <c r="GA255" s="327"/>
      <c r="GB255" s="327"/>
      <c r="GC255" s="327"/>
      <c r="GD255" s="327"/>
      <c r="GE255" s="327"/>
      <c r="GF255" s="327"/>
      <c r="GG255" s="327"/>
      <c r="GH255" s="327"/>
      <c r="GI255" s="327"/>
      <c r="GJ255" s="327"/>
      <c r="GK255" s="327"/>
      <c r="GL255" s="327"/>
      <c r="GM255" s="327"/>
      <c r="GN255" s="327"/>
      <c r="GO255" s="327"/>
      <c r="GP255" s="327"/>
      <c r="GQ255" s="327"/>
      <c r="GR255" s="327"/>
      <c r="GS255" s="327"/>
      <c r="GT255" s="327"/>
      <c r="GU255" s="327"/>
      <c r="GV255" s="327"/>
      <c r="GW255" s="327"/>
      <c r="GX255" s="327"/>
      <c r="GY255" s="327"/>
      <c r="GZ255" s="327"/>
      <c r="HA255" s="327"/>
      <c r="HB255" s="327"/>
      <c r="HC255" s="327"/>
      <c r="HD255" s="327"/>
      <c r="HE255" s="327"/>
      <c r="HF255" s="327"/>
      <c r="HG255" s="327"/>
      <c r="HH255" s="327"/>
      <c r="HI255" s="327"/>
      <c r="HJ255" s="327"/>
      <c r="HK255" s="327"/>
      <c r="HL255" s="327"/>
      <c r="HM255" s="327"/>
      <c r="HN255" s="327"/>
      <c r="HO255" s="327"/>
      <c r="HP255" s="327"/>
      <c r="HQ255" s="327"/>
      <c r="HR255" s="327"/>
      <c r="HS255" s="327"/>
    </row>
    <row r="256" spans="1:227" ht="15" customHeight="1">
      <c r="A256" s="330">
        <v>11</v>
      </c>
      <c r="B256" s="435" t="str">
        <f>VLOOKUP(Ruimtestaat[[#This Row],[Code]],Locaties[[Code]:[Locatie]],2,FALSE)</f>
        <v>IKC De Edelsteen (bijgebouw)</v>
      </c>
      <c r="C256" s="435" t="str">
        <f>VLOOKUP(Ruimtestaat[[#This Row],[Code]],Locaties[[#All],[Code]:[Adres]],4,FALSE)</f>
        <v>Sieraadlaan 100A</v>
      </c>
      <c r="D256" s="435" t="str">
        <f>VLOOKUP(Ruimtestaat[[#This Row],[Code]],Locaties[[#All],[Code]:[Postcode]],5,FALSE)</f>
        <v>2719 SN</v>
      </c>
      <c r="E256" s="435" t="str">
        <f>VLOOKUP(Ruimtestaat[[#This Row],[Code]],Locaties[#All],6,FALSE)</f>
        <v>Zoetermeer</v>
      </c>
      <c r="F256" s="450"/>
      <c r="G256" s="330" t="s">
        <v>1678</v>
      </c>
      <c r="H256" s="330" t="s">
        <v>1662</v>
      </c>
      <c r="I256" s="450" t="s">
        <v>1770</v>
      </c>
      <c r="J256" s="330">
        <v>6</v>
      </c>
      <c r="K256" s="450" t="str">
        <f>VLOOKUP(Ruimtestaat[[#This Row],[Ruimte code]],Ruimtegroepen[[#All],[Code]:[Ruimte omschrijving]],2,FALSE)</f>
        <v>Gangen/hallen</v>
      </c>
      <c r="L256" s="434" t="s">
        <v>102</v>
      </c>
      <c r="M256" s="437" t="s">
        <v>2105</v>
      </c>
      <c r="N256" s="439">
        <v>42.6</v>
      </c>
      <c r="O256" s="439"/>
      <c r="P256" s="439"/>
      <c r="Q256" s="439"/>
      <c r="R256" s="440" t="str">
        <f>VLOOKUP(Ruimtestaat[[#This Row],[Ruimte code]],Ruimtegroepen[],4,FALSE)</f>
        <v>Ve</v>
      </c>
      <c r="S256" s="434">
        <v>41</v>
      </c>
      <c r="T256" s="434" t="s">
        <v>2</v>
      </c>
      <c r="U256" s="434">
        <f>IF(S256&gt;0,IF(RIGHT(Ruimtestaat[[#This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56" s="434">
        <f>IF(U256&gt;0,VLOOKUP($J256,Ruimtegroepen[],3,FALSE)*VLOOKUP($L256,Vloersoorten[],3,FALSE)*VLOOKUP($T256,Frequenties[],3,FALSE)*VLOOKUP($A256,Locaties[],3,FALSE),0)</f>
        <v>0</v>
      </c>
      <c r="W256" s="434">
        <f>Ruimtestaat[[#This Row],[Uitvoeringen werkdagen]]*Ruimtestaat[[#This Row],[Oppervlak (netto)]]</f>
        <v>8733</v>
      </c>
      <c r="X256" s="441">
        <f>IF(V256&gt;0,Ruimtestaat[[#This Row],[Prest. (m2 /jaar) werkdagen]]/Ruimtestaat[[#This Row],[Norm (m2/uur) werkdagen]],0)</f>
        <v>0</v>
      </c>
      <c r="Y256" s="442">
        <f>Ruimtestaat[[#This Row],[Uitvoeringen werkdagen]]*Ruimtestaat[[#This Row],[Gedeeltelijk]]</f>
        <v>0</v>
      </c>
      <c r="Z256" s="443" t="e">
        <f>IF(U256&gt;0,Ruimtestaat[[#This Row],[Prest. (m2 / jaar) werkdagen gedeeld]]/Ruimtestaat[[#This Row],[Norm (m2/uur) werkdagen]],0)</f>
        <v>#DIV/0!</v>
      </c>
      <c r="AA256" s="441" t="e">
        <f>Ruimtestaat[[#This Row],[uren / jaar werkdagen gedeeld]]*Tariefsopbouw!$E$35</f>
        <v>#DIV/0!</v>
      </c>
      <c r="AB256" s="441">
        <f>Ruimtestaat[[#This Row],[Uitvoeringen werkdagen]]*Ruimtestaat[[#This Row],[BSO]]</f>
        <v>0</v>
      </c>
      <c r="AC256" s="443" t="e">
        <f>IF(U256&gt;0,Ruimtestaat[[#This Row],[Prest. (m2 / jaar) werkdagen BSO]]/Ruimtestaat[[#This Row],[Norm (m2/uur) werkdagen]],0)</f>
        <v>#DIV/0!</v>
      </c>
      <c r="AD256" s="443" t="e">
        <f>Ruimtestaat[[#This Row],[uren / jaar werkdagen BSO]]*Tariefsopbouw!$E$35</f>
        <v>#DIV/0!</v>
      </c>
      <c r="AE256" s="444">
        <f>Ruimtestaat[[#This Row],[uren / jaar werkdagen]]*Tariefsopbouw!$E$35</f>
        <v>0</v>
      </c>
      <c r="AF256" s="434"/>
      <c r="AG256" s="434">
        <f>IF(Ruimtestaat[[#This Row],[Frequentie weekend]]&gt;0,VALUE(LEFT(AF256,1))*S256,0)</f>
        <v>0</v>
      </c>
      <c r="AH256" s="445">
        <f>IF($AG256&gt;0,VLOOKUP($J256,Ruimtegroepen[],3,FALSE)*VLOOKUP($L256,Vloersoorten[],3,FALSE)*VLOOKUP($AF256,Frequenties[],3,FALSE)*VLOOKUP(Ruimtestaat[[#This Row],[Code]],Locaties[],3,FALSE),0)</f>
        <v>0</v>
      </c>
      <c r="AI256" s="445">
        <f>Ruimtestaat[[#This Row],[Uitvoeringen weekend]]*Ruimtestaat[[#This Row],[Oppervlak (netto)]]</f>
        <v>0</v>
      </c>
      <c r="AJ256" s="445">
        <f>IF(AH256&gt;0,Ruimtestaat[[#This Row],[Prest. (m2 /jaar) weekend]]/Ruimtestaat[[#This Row],[Norm (m2/uur) weekend]],0)</f>
        <v>0</v>
      </c>
      <c r="AK256" s="444">
        <f>Ruimtestaat[[#This Row],[uren / jaar weekend]]*Tariefsopbouw!$D$40</f>
        <v>0</v>
      </c>
      <c r="AL256" s="441">
        <f>Ruimtestaat[[#This Row],[Prest. (m2 /jaar) weekend]]+Ruimtestaat[[#This Row],[Prest. (m2 /jaar) werkdagen]]</f>
        <v>8733</v>
      </c>
      <c r="AM256" s="441">
        <f>Ruimtestaat[[#This Row],[uren / jaar weekend]]+Ruimtestaat[[#This Row],[uren / jaar werkdagen]]</f>
        <v>0</v>
      </c>
      <c r="AN256" s="446">
        <f>Ruimtestaat[[#This Row],[kosten / jaar weekend]]+Ruimtestaat[[#This Row],[kosten / jaar werkdagen]]</f>
        <v>0</v>
      </c>
      <c r="AO256" s="446"/>
      <c r="AP256" s="447" t="str">
        <f>IF(Ruimtestaat[[#This Row],[Frequentie werkdagen]]="","",_xlfn.CONCAT(Ruimtestaat[[#This Row],[Ruimte code]],"-",Ruimtestaat[[#This Row],[Frequentie werkdagen]]," ",Ruimtestaat[[#This Row],[Vloer code]]))</f>
        <v>6-5w P</v>
      </c>
      <c r="AQ256" s="448" t="str">
        <f>_xlfn.IFNA(VLOOKUP($AP256,Programma!$F$3:$G$1101,2,0),"")</f>
        <v>_</v>
      </c>
      <c r="AR256" s="448" t="str">
        <f>_xlfn.IFNA(VLOOKUP($AP256,Programma!$F$3:$H$1101,3,0),"")</f>
        <v>_</v>
      </c>
      <c r="AS256" s="448" t="str">
        <f>_xlfn.IFNA(VLOOKUP($AP256,Programma!$F$3:$I$1101,4,0),"")</f>
        <v>5w</v>
      </c>
      <c r="AT256" s="448" t="str">
        <f>_xlfn.IFNA(VLOOKUP($AP256,Programma!$F$3:$J$1101,5,0),"")</f>
        <v>_</v>
      </c>
      <c r="AU256" s="448" t="str">
        <f>_xlfn.IFNA(VLOOKUP($AP256,Programma!$F$3:$K$1101,6,0),"")</f>
        <v>5w</v>
      </c>
      <c r="AV256" s="448" t="str">
        <f>_xlfn.IFNA(VLOOKUP($AP256,Programma!$F$3:$L$1101,7,0),"")</f>
        <v>_</v>
      </c>
      <c r="AW256" s="448" t="str">
        <f>_xlfn.IFNA(VLOOKUP($AP256,Programma!$F$3:$M$1101,8,0),"")</f>
        <v>_</v>
      </c>
      <c r="AX256" s="448" t="str">
        <f>_xlfn.IFNA(VLOOKUP($AP256,Programma!$F$3:$N$1101,9,0),"")</f>
        <v>_</v>
      </c>
      <c r="AY256" s="448" t="str">
        <f>_xlfn.IFNA(VLOOKUP($AP256,Programma!$F$3:$O$1101,10,0),"")</f>
        <v>5w</v>
      </c>
      <c r="AZ256" s="448" t="str">
        <f>_xlfn.IFNA(VLOOKUP($AP256,Programma!$F$3:$P$1101,11,0),"")</f>
        <v>5w</v>
      </c>
      <c r="BA256" s="448" t="str">
        <f>_xlfn.IFNA(VLOOKUP($AP256,Programma!$F$3:$Q$1101,12,0),"")</f>
        <v>1w</v>
      </c>
      <c r="BB256" s="448" t="str">
        <f>_xlfn.IFNA(VLOOKUP($AP256,Programma!$F$3:$R$1101,13,0),"")</f>
        <v>1w</v>
      </c>
      <c r="BC256" s="448" t="str">
        <f>_xlfn.IFNA(VLOOKUP($AP256,Programma!$F$3:$S$1101,14,0),"")</f>
        <v>1m</v>
      </c>
      <c r="BD256" s="448" t="str">
        <f>_xlfn.IFNA(VLOOKUP($AP256,Programma!$F$3:$T$1101,15,0),"")</f>
        <v>2j</v>
      </c>
      <c r="BE256" s="448" t="str">
        <f>_xlfn.IFNA(VLOOKUP($AP256,Programma!$F$3:$U$1101,16,0),"")</f>
        <v>1j</v>
      </c>
      <c r="BF256" s="448" t="str">
        <f>_xlfn.IFNA(VLOOKUP($AP256,Programma!$F$3:$V$1101,17,0),"")</f>
        <v>_</v>
      </c>
      <c r="BG256" s="448" t="str">
        <f>_xlfn.IFNA(VLOOKUP($AP256,Programma!$F$3:$W$1101,18,0),"")</f>
        <v>_</v>
      </c>
      <c r="BH256" s="448" t="str">
        <f>_xlfn.IFNA(VLOOKUP($AP256,Programma!$F$3:$X$1101,19,0),"")</f>
        <v>_</v>
      </c>
      <c r="BI256" s="448" t="str">
        <f>_xlfn.IFNA(VLOOKUP($AP256,Programma!$F$3:$Y$1101,20,0),"")</f>
        <v>_</v>
      </c>
      <c r="BJ256" s="449"/>
      <c r="BK256" s="447" t="str">
        <f>IF(Ruimtestaat[[#This Row],[Frequentie weekend]]="","",_xlfn.CONCAT(Ruimtestaat[[#This Row],[Ruimte code]],"-",Ruimtestaat[[#This Row],[Frequentie weekend]]," ",Ruimtestaat[[#This Row],[Vloer code]]))</f>
        <v/>
      </c>
      <c r="BL256" s="448" t="str">
        <f>_xlfn.IFNA(VLOOKUP($BK256,Programma!$F$3:$G$1101,2,0),"")</f>
        <v/>
      </c>
      <c r="BM256" s="448" t="str">
        <f>_xlfn.IFNA(VLOOKUP($BK256,Programma!$F$3:$H$1101,3,0),"")</f>
        <v/>
      </c>
      <c r="BN256" s="448" t="str">
        <f>_xlfn.IFNA(VLOOKUP($BK256,Programma!$F$3:$I$1101,4,0),"")</f>
        <v/>
      </c>
      <c r="BO256" s="448" t="str">
        <f>_xlfn.IFNA(VLOOKUP($BK256,Programma!$F$3:$J$1101,5,0),"")</f>
        <v/>
      </c>
      <c r="BP256" s="448" t="str">
        <f>_xlfn.IFNA(VLOOKUP($BK256,Programma!$F$3:$K$1101,6,0),"")</f>
        <v/>
      </c>
      <c r="BQ256" s="448" t="str">
        <f>_xlfn.IFNA(VLOOKUP($BK256,Programma!$F$3:$L$1101,7,0),"")</f>
        <v/>
      </c>
      <c r="BR256" s="448" t="str">
        <f>_xlfn.IFNA(VLOOKUP($BK256,Programma!$F$3:$M$1101,8,0),"")</f>
        <v/>
      </c>
      <c r="BS256" s="448" t="str">
        <f>_xlfn.IFNA(VLOOKUP($BK256,Programma!$F$3:$N$1101,9,0),"")</f>
        <v/>
      </c>
      <c r="BT256" s="448" t="str">
        <f>_xlfn.IFNA(VLOOKUP($BK256,Programma!$F$3:$O$1101,10,0),"")</f>
        <v/>
      </c>
      <c r="BU256" s="448" t="str">
        <f>_xlfn.IFNA(VLOOKUP($BK256,Programma!$F$3:$P$1101,11,0),"")</f>
        <v/>
      </c>
      <c r="BV256" s="448" t="str">
        <f>_xlfn.IFNA(VLOOKUP($BK256,Programma!$F$3:$Q$1101,12,0),"")</f>
        <v/>
      </c>
      <c r="BW256" s="448" t="str">
        <f>_xlfn.IFNA(VLOOKUP($BK256,Programma!$F$3:$R$1101,13,0),"")</f>
        <v/>
      </c>
      <c r="BX256" s="448" t="str">
        <f>_xlfn.IFNA(VLOOKUP($BK256,Programma!$F$3:$S$1101,14,0),"")</f>
        <v/>
      </c>
      <c r="BY256" s="448" t="str">
        <f>_xlfn.IFNA(VLOOKUP($BK256,Programma!$F$3:$T$1101,15,0),"")</f>
        <v/>
      </c>
      <c r="BZ256" s="448" t="str">
        <f>_xlfn.IFNA(VLOOKUP($BK256,Programma!$F$3:$U$1101,16,0),"")</f>
        <v/>
      </c>
      <c r="CA256" s="448" t="str">
        <f>_xlfn.IFNA(VLOOKUP($BK256,Programma!$F$3:$V$1101,17,0),"")</f>
        <v/>
      </c>
      <c r="CB256" s="448" t="str">
        <f>_xlfn.IFNA(VLOOKUP($BK256,Programma!$F$3:$W$1101,18,0),"")</f>
        <v/>
      </c>
      <c r="CC256" s="448" t="str">
        <f>_xlfn.IFNA(VLOOKUP($BK256,Programma!$F$3:$X$1101,19,0),"")</f>
        <v/>
      </c>
      <c r="CD256" s="448" t="str">
        <f>_xlfn.IFNA(VLOOKUP($BK256,Programma!$F$3:$Y$1101,20,0),"")</f>
        <v/>
      </c>
      <c r="CE256" s="327"/>
      <c r="CF256" s="327"/>
      <c r="CG256" s="327"/>
      <c r="CH256" s="327"/>
      <c r="CI256" s="327"/>
      <c r="CJ256" s="327"/>
      <c r="CK256" s="327"/>
      <c r="CL256" s="327"/>
      <c r="CM256" s="327"/>
      <c r="CN256" s="327"/>
      <c r="CO256" s="327"/>
      <c r="CP256" s="327"/>
      <c r="CQ256" s="327"/>
      <c r="CR256" s="327"/>
      <c r="CS256" s="327"/>
      <c r="CT256" s="327"/>
      <c r="CU256" s="327"/>
      <c r="CV256" s="327"/>
      <c r="CW256" s="327"/>
      <c r="CX256" s="327"/>
      <c r="CY256" s="327"/>
      <c r="CZ256" s="327"/>
      <c r="DA256" s="327"/>
      <c r="DB256" s="327"/>
      <c r="DC256" s="327"/>
      <c r="DD256" s="327"/>
      <c r="DE256" s="327"/>
      <c r="DF256" s="327"/>
      <c r="DG256" s="327"/>
      <c r="DH256" s="327"/>
      <c r="DI256" s="327"/>
      <c r="DJ256" s="327"/>
      <c r="DK256" s="327"/>
      <c r="DL256" s="327"/>
      <c r="DM256" s="327"/>
      <c r="DN256" s="327"/>
      <c r="DO256" s="327"/>
      <c r="DP256" s="327"/>
      <c r="DQ256" s="327"/>
      <c r="DR256" s="327"/>
      <c r="DS256" s="327"/>
      <c r="DT256" s="327"/>
      <c r="DU256" s="327"/>
      <c r="DV256" s="327"/>
      <c r="DW256" s="327"/>
      <c r="DX256" s="327"/>
      <c r="DY256" s="327"/>
      <c r="DZ256" s="327"/>
      <c r="EA256" s="327"/>
      <c r="EB256" s="327"/>
      <c r="EC256" s="327"/>
      <c r="ED256" s="327"/>
      <c r="EE256" s="327"/>
      <c r="EF256" s="327"/>
      <c r="EG256" s="327"/>
      <c r="EH256" s="327"/>
      <c r="EI256" s="327"/>
      <c r="EJ256" s="327"/>
      <c r="EK256" s="327"/>
      <c r="EL256" s="327"/>
      <c r="EM256" s="327"/>
      <c r="EN256" s="327"/>
      <c r="EO256" s="327"/>
      <c r="EP256" s="327"/>
      <c r="EQ256" s="327"/>
      <c r="ER256" s="327"/>
      <c r="ES256" s="327"/>
      <c r="ET256" s="327"/>
      <c r="EU256" s="327"/>
      <c r="EV256" s="327"/>
      <c r="EW256" s="327"/>
      <c r="EX256" s="327"/>
      <c r="EY256" s="327"/>
      <c r="EZ256" s="327"/>
      <c r="FA256" s="327"/>
      <c r="FB256" s="327"/>
      <c r="FC256" s="327"/>
      <c r="FD256" s="327"/>
      <c r="FE256" s="327"/>
      <c r="FF256" s="327"/>
      <c r="FG256" s="327"/>
      <c r="FH256" s="327"/>
      <c r="FI256" s="327"/>
      <c r="FJ256" s="327"/>
      <c r="FK256" s="327"/>
      <c r="FL256" s="327"/>
      <c r="FM256" s="327"/>
      <c r="FN256" s="327"/>
      <c r="FO256" s="327"/>
      <c r="FP256" s="327"/>
      <c r="FQ256" s="327"/>
      <c r="FR256" s="327"/>
      <c r="FS256" s="327"/>
      <c r="FT256" s="327"/>
      <c r="FU256" s="327"/>
      <c r="FV256" s="327"/>
      <c r="FW256" s="327"/>
      <c r="FX256" s="327"/>
      <c r="FY256" s="327"/>
      <c r="FZ256" s="327"/>
      <c r="GA256" s="327"/>
      <c r="GB256" s="327"/>
      <c r="GC256" s="327"/>
      <c r="GD256" s="327"/>
      <c r="GE256" s="327"/>
      <c r="GF256" s="327"/>
      <c r="GG256" s="327"/>
      <c r="GH256" s="327"/>
      <c r="GI256" s="327"/>
      <c r="GJ256" s="327"/>
      <c r="GK256" s="327"/>
      <c r="GL256" s="327"/>
      <c r="GM256" s="327"/>
      <c r="GN256" s="327"/>
      <c r="GO256" s="327"/>
      <c r="GP256" s="327"/>
      <c r="GQ256" s="327"/>
      <c r="GR256" s="327"/>
      <c r="GS256" s="327"/>
      <c r="GT256" s="327"/>
      <c r="GU256" s="327"/>
      <c r="GV256" s="327"/>
      <c r="GW256" s="327"/>
      <c r="GX256" s="327"/>
      <c r="GY256" s="327"/>
      <c r="GZ256" s="327"/>
      <c r="HA256" s="327"/>
      <c r="HB256" s="327"/>
      <c r="HC256" s="327"/>
      <c r="HD256" s="327"/>
      <c r="HE256" s="327"/>
      <c r="HF256" s="327"/>
      <c r="HG256" s="327"/>
      <c r="HH256" s="327"/>
      <c r="HI256" s="327"/>
      <c r="HJ256" s="327"/>
      <c r="HK256" s="327"/>
      <c r="HL256" s="327"/>
      <c r="HM256" s="327"/>
      <c r="HN256" s="327"/>
      <c r="HO256" s="327"/>
      <c r="HP256" s="327"/>
      <c r="HQ256" s="327"/>
      <c r="HR256" s="327"/>
      <c r="HS256" s="327"/>
    </row>
    <row r="257" spans="1:227" ht="15" customHeight="1">
      <c r="A257" s="330">
        <v>11</v>
      </c>
      <c r="B257" s="435" t="str">
        <f>VLOOKUP(Ruimtestaat[[#This Row],[Code]],Locaties[[Code]:[Locatie]],2,FALSE)</f>
        <v>IKC De Edelsteen (bijgebouw)</v>
      </c>
      <c r="C257" s="435" t="str">
        <f>VLOOKUP(Ruimtestaat[[#This Row],[Code]],Locaties[[#All],[Code]:[Adres]],4,FALSE)</f>
        <v>Sieraadlaan 100A</v>
      </c>
      <c r="D257" s="435" t="str">
        <f>VLOOKUP(Ruimtestaat[[#This Row],[Code]],Locaties[[#All],[Code]:[Postcode]],5,FALSE)</f>
        <v>2719 SN</v>
      </c>
      <c r="E257" s="435" t="str">
        <f>VLOOKUP(Ruimtestaat[[#This Row],[Code]],Locaties[#All],6,FALSE)</f>
        <v>Zoetermeer</v>
      </c>
      <c r="F257" s="450"/>
      <c r="G257" s="330" t="s">
        <v>1678</v>
      </c>
      <c r="H257" s="330" t="s">
        <v>1665</v>
      </c>
      <c r="I257" s="450" t="s">
        <v>1822</v>
      </c>
      <c r="J257" s="330">
        <v>16</v>
      </c>
      <c r="K257" s="450" t="str">
        <f>VLOOKUP(Ruimtestaat[[#This Row],[Ruimte code]],Ruimtegroepen[[#All],[Code]:[Ruimte omschrijving]],2,FALSE)</f>
        <v>Leslokalen</v>
      </c>
      <c r="L257" s="434" t="s">
        <v>102</v>
      </c>
      <c r="M257" s="437" t="s">
        <v>2105</v>
      </c>
      <c r="N257" s="439">
        <v>54.42</v>
      </c>
      <c r="O257" s="439"/>
      <c r="P257" s="439"/>
      <c r="Q257" s="439"/>
      <c r="R257" s="440" t="str">
        <f>VLOOKUP(Ruimtestaat[[#This Row],[Ruimte code]],Ruimtegroepen[],4,FALSE)</f>
        <v>Le</v>
      </c>
      <c r="S257" s="434">
        <v>40</v>
      </c>
      <c r="T257" s="434" t="s">
        <v>2</v>
      </c>
      <c r="U257" s="434">
        <f>IF(S257&gt;0,IF(RIGHT(Ruimtestaat[[#This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7" s="434">
        <f>IF(U257&gt;0,VLOOKUP($J257,Ruimtegroepen[],3,FALSE)*VLOOKUP($L257,Vloersoorten[],3,FALSE)*VLOOKUP($T257,Frequenties[],3,FALSE)*VLOOKUP($A257,Locaties[],3,FALSE),0)</f>
        <v>0</v>
      </c>
      <c r="W257" s="434">
        <f>Ruimtestaat[[#This Row],[Uitvoeringen werkdagen]]*Ruimtestaat[[#This Row],[Oppervlak (netto)]]</f>
        <v>10884</v>
      </c>
      <c r="X257" s="441">
        <f>IF(V257&gt;0,Ruimtestaat[[#This Row],[Prest. (m2 /jaar) werkdagen]]/Ruimtestaat[[#This Row],[Norm (m2/uur) werkdagen]],0)</f>
        <v>0</v>
      </c>
      <c r="Y257" s="442">
        <f>Ruimtestaat[[#This Row],[Uitvoeringen werkdagen]]*Ruimtestaat[[#This Row],[Gedeeltelijk]]</f>
        <v>0</v>
      </c>
      <c r="Z257" s="443" t="e">
        <f>IF(U257&gt;0,Ruimtestaat[[#This Row],[Prest. (m2 / jaar) werkdagen gedeeld]]/Ruimtestaat[[#This Row],[Norm (m2/uur) werkdagen]],0)</f>
        <v>#DIV/0!</v>
      </c>
      <c r="AA257" s="441" t="e">
        <f>Ruimtestaat[[#This Row],[uren / jaar werkdagen gedeeld]]*Tariefsopbouw!$E$35</f>
        <v>#DIV/0!</v>
      </c>
      <c r="AB257" s="441">
        <f>Ruimtestaat[[#This Row],[Uitvoeringen werkdagen]]*Ruimtestaat[[#This Row],[BSO]]</f>
        <v>0</v>
      </c>
      <c r="AC257" s="443" t="e">
        <f>IF(U257&gt;0,Ruimtestaat[[#This Row],[Prest. (m2 / jaar) werkdagen BSO]]/Ruimtestaat[[#This Row],[Norm (m2/uur) werkdagen]],0)</f>
        <v>#DIV/0!</v>
      </c>
      <c r="AD257" s="443" t="e">
        <f>Ruimtestaat[[#This Row],[uren / jaar werkdagen BSO]]*Tariefsopbouw!$E$35</f>
        <v>#DIV/0!</v>
      </c>
      <c r="AE257" s="444">
        <f>Ruimtestaat[[#This Row],[uren / jaar werkdagen]]*Tariefsopbouw!$E$35</f>
        <v>0</v>
      </c>
      <c r="AF257" s="434"/>
      <c r="AG257" s="434">
        <f>IF(Ruimtestaat[[#This Row],[Frequentie weekend]]&gt;0,VALUE(LEFT(AF257,1))*S257,0)</f>
        <v>0</v>
      </c>
      <c r="AH257" s="445">
        <f>IF($AG257&gt;0,VLOOKUP($J257,Ruimtegroepen[],3,FALSE)*VLOOKUP($L257,Vloersoorten[],3,FALSE)*VLOOKUP($AF257,Frequenties[],3,FALSE)*VLOOKUP(Ruimtestaat[[#This Row],[Code]],Locaties[],3,FALSE),0)</f>
        <v>0</v>
      </c>
      <c r="AI257" s="445">
        <f>Ruimtestaat[[#This Row],[Uitvoeringen weekend]]*Ruimtestaat[[#This Row],[Oppervlak (netto)]]</f>
        <v>0</v>
      </c>
      <c r="AJ257" s="445">
        <f>IF(AH257&gt;0,Ruimtestaat[[#This Row],[Prest. (m2 /jaar) weekend]]/Ruimtestaat[[#This Row],[Norm (m2/uur) weekend]],0)</f>
        <v>0</v>
      </c>
      <c r="AK257" s="444">
        <f>Ruimtestaat[[#This Row],[uren / jaar weekend]]*Tariefsopbouw!$D$40</f>
        <v>0</v>
      </c>
      <c r="AL257" s="441">
        <f>Ruimtestaat[[#This Row],[Prest. (m2 /jaar) weekend]]+Ruimtestaat[[#This Row],[Prest. (m2 /jaar) werkdagen]]</f>
        <v>10884</v>
      </c>
      <c r="AM257" s="441">
        <f>Ruimtestaat[[#This Row],[uren / jaar weekend]]+Ruimtestaat[[#This Row],[uren / jaar werkdagen]]</f>
        <v>0</v>
      </c>
      <c r="AN257" s="446">
        <f>Ruimtestaat[[#This Row],[kosten / jaar weekend]]+Ruimtestaat[[#This Row],[kosten / jaar werkdagen]]</f>
        <v>0</v>
      </c>
      <c r="AO257" s="446"/>
      <c r="AP257" s="447" t="str">
        <f>IF(Ruimtestaat[[#This Row],[Frequentie werkdagen]]="","",_xlfn.CONCAT(Ruimtestaat[[#This Row],[Ruimte code]],"-",Ruimtestaat[[#This Row],[Frequentie werkdagen]]," ",Ruimtestaat[[#This Row],[Vloer code]]))</f>
        <v>16-5w P</v>
      </c>
      <c r="AQ257" s="448" t="str">
        <f>_xlfn.IFNA(VLOOKUP($AP257,Programma!$F$3:$G$1101,2,0),"")</f>
        <v>_</v>
      </c>
      <c r="AR257" s="448" t="str">
        <f>_xlfn.IFNA(VLOOKUP($AP257,Programma!$F$3:$H$1101,3,0),"")</f>
        <v>_</v>
      </c>
      <c r="AS257" s="448" t="str">
        <f>_xlfn.IFNA(VLOOKUP($AP257,Programma!$F$3:$I$1101,4,0),"")</f>
        <v>4w</v>
      </c>
      <c r="AT257" s="448" t="str">
        <f>_xlfn.IFNA(VLOOKUP($AP257,Programma!$F$3:$J$1101,5,0),"")</f>
        <v>1w</v>
      </c>
      <c r="AU257" s="448" t="str">
        <f>_xlfn.IFNA(VLOOKUP($AP257,Programma!$F$3:$K$1101,6,0),"")</f>
        <v>1m</v>
      </c>
      <c r="AV257" s="448" t="str">
        <f>_xlfn.IFNA(VLOOKUP($AP257,Programma!$F$3:$L$1101,7,0),"")</f>
        <v>_</v>
      </c>
      <c r="AW257" s="448" t="str">
        <f>_xlfn.IFNA(VLOOKUP($AP257,Programma!$F$3:$M$1101,8,0),"")</f>
        <v>_</v>
      </c>
      <c r="AX257" s="448" t="str">
        <f>_xlfn.IFNA(VLOOKUP($AP257,Programma!$F$3:$N$1101,9,0),"")</f>
        <v>_</v>
      </c>
      <c r="AY257" s="448" t="str">
        <f>_xlfn.IFNA(VLOOKUP($AP257,Programma!$F$3:$O$1101,10,0),"")</f>
        <v>5w</v>
      </c>
      <c r="AZ257" s="448" t="str">
        <f>_xlfn.IFNA(VLOOKUP($AP257,Programma!$F$3:$P$1101,11,0),"")</f>
        <v>5w</v>
      </c>
      <c r="BA257" s="448" t="str">
        <f>_xlfn.IFNA(VLOOKUP($AP257,Programma!$F$3:$Q$1101,12,0),"")</f>
        <v>1w</v>
      </c>
      <c r="BB257" s="448" t="str">
        <f>_xlfn.IFNA(VLOOKUP($AP257,Programma!$F$3:$R$1101,13,0),"")</f>
        <v>1w</v>
      </c>
      <c r="BC257" s="448" t="str">
        <f>_xlfn.IFNA(VLOOKUP($AP257,Programma!$F$3:$S$1101,14,0),"")</f>
        <v>1m</v>
      </c>
      <c r="BD257" s="448" t="str">
        <f>_xlfn.IFNA(VLOOKUP($AP257,Programma!$F$3:$T$1101,15,0),"")</f>
        <v>2j</v>
      </c>
      <c r="BE257" s="448" t="str">
        <f>_xlfn.IFNA(VLOOKUP($AP257,Programma!$F$3:$U$1101,16,0),"")</f>
        <v>1j</v>
      </c>
      <c r="BF257" s="448" t="str">
        <f>_xlfn.IFNA(VLOOKUP($AP257,Programma!$F$3:$V$1101,17,0),"")</f>
        <v>_</v>
      </c>
      <c r="BG257" s="448" t="str">
        <f>_xlfn.IFNA(VLOOKUP($AP257,Programma!$F$3:$W$1101,18,0),"")</f>
        <v>_</v>
      </c>
      <c r="BH257" s="448" t="str">
        <f>_xlfn.IFNA(VLOOKUP($AP257,Programma!$F$3:$X$1101,19,0),"")</f>
        <v>_</v>
      </c>
      <c r="BI257" s="448" t="str">
        <f>_xlfn.IFNA(VLOOKUP($AP257,Programma!$F$3:$Y$1101,20,0),"")</f>
        <v>_</v>
      </c>
      <c r="BJ257" s="449"/>
      <c r="BK257" s="447" t="str">
        <f>IF(Ruimtestaat[[#This Row],[Frequentie weekend]]="","",_xlfn.CONCAT(Ruimtestaat[[#This Row],[Ruimte code]],"-",Ruimtestaat[[#This Row],[Frequentie weekend]]," ",Ruimtestaat[[#This Row],[Vloer code]]))</f>
        <v/>
      </c>
      <c r="BL257" s="448" t="str">
        <f>_xlfn.IFNA(VLOOKUP($BK257,Programma!$F$3:$G$1101,2,0),"")</f>
        <v/>
      </c>
      <c r="BM257" s="448" t="str">
        <f>_xlfn.IFNA(VLOOKUP($BK257,Programma!$F$3:$H$1101,3,0),"")</f>
        <v/>
      </c>
      <c r="BN257" s="448" t="str">
        <f>_xlfn.IFNA(VLOOKUP($BK257,Programma!$F$3:$I$1101,4,0),"")</f>
        <v/>
      </c>
      <c r="BO257" s="448" t="str">
        <f>_xlfn.IFNA(VLOOKUP($BK257,Programma!$F$3:$J$1101,5,0),"")</f>
        <v/>
      </c>
      <c r="BP257" s="448" t="str">
        <f>_xlfn.IFNA(VLOOKUP($BK257,Programma!$F$3:$K$1101,6,0),"")</f>
        <v/>
      </c>
      <c r="BQ257" s="448" t="str">
        <f>_xlfn.IFNA(VLOOKUP($BK257,Programma!$F$3:$L$1101,7,0),"")</f>
        <v/>
      </c>
      <c r="BR257" s="448" t="str">
        <f>_xlfn.IFNA(VLOOKUP($BK257,Programma!$F$3:$M$1101,8,0),"")</f>
        <v/>
      </c>
      <c r="BS257" s="448" t="str">
        <f>_xlfn.IFNA(VLOOKUP($BK257,Programma!$F$3:$N$1101,9,0),"")</f>
        <v/>
      </c>
      <c r="BT257" s="448" t="str">
        <f>_xlfn.IFNA(VLOOKUP($BK257,Programma!$F$3:$O$1101,10,0),"")</f>
        <v/>
      </c>
      <c r="BU257" s="448" t="str">
        <f>_xlfn.IFNA(VLOOKUP($BK257,Programma!$F$3:$P$1101,11,0),"")</f>
        <v/>
      </c>
      <c r="BV257" s="448" t="str">
        <f>_xlfn.IFNA(VLOOKUP($BK257,Programma!$F$3:$Q$1101,12,0),"")</f>
        <v/>
      </c>
      <c r="BW257" s="448" t="str">
        <f>_xlfn.IFNA(VLOOKUP($BK257,Programma!$F$3:$R$1101,13,0),"")</f>
        <v/>
      </c>
      <c r="BX257" s="448" t="str">
        <f>_xlfn.IFNA(VLOOKUP($BK257,Programma!$F$3:$S$1101,14,0),"")</f>
        <v/>
      </c>
      <c r="BY257" s="448" t="str">
        <f>_xlfn.IFNA(VLOOKUP($BK257,Programma!$F$3:$T$1101,15,0),"")</f>
        <v/>
      </c>
      <c r="BZ257" s="448" t="str">
        <f>_xlfn.IFNA(VLOOKUP($BK257,Programma!$F$3:$U$1101,16,0),"")</f>
        <v/>
      </c>
      <c r="CA257" s="448" t="str">
        <f>_xlfn.IFNA(VLOOKUP($BK257,Programma!$F$3:$V$1101,17,0),"")</f>
        <v/>
      </c>
      <c r="CB257" s="448" t="str">
        <f>_xlfn.IFNA(VLOOKUP($BK257,Programma!$F$3:$W$1101,18,0),"")</f>
        <v/>
      </c>
      <c r="CC257" s="448" t="str">
        <f>_xlfn.IFNA(VLOOKUP($BK257,Programma!$F$3:$X$1101,19,0),"")</f>
        <v/>
      </c>
      <c r="CD257" s="448" t="str">
        <f>_xlfn.IFNA(VLOOKUP($BK257,Programma!$F$3:$Y$1101,20,0),"")</f>
        <v/>
      </c>
      <c r="CE257" s="327"/>
      <c r="CF257" s="327"/>
      <c r="CG257" s="327"/>
      <c r="CH257" s="327"/>
      <c r="CI257" s="327"/>
      <c r="CJ257" s="327"/>
      <c r="CK257" s="327"/>
      <c r="CL257" s="327"/>
      <c r="CM257" s="327"/>
      <c r="CN257" s="327"/>
      <c r="CO257" s="327"/>
      <c r="CP257" s="327"/>
      <c r="CQ257" s="327"/>
      <c r="CR257" s="327"/>
      <c r="CS257" s="327"/>
      <c r="CT257" s="327"/>
      <c r="CU257" s="327"/>
      <c r="CV257" s="327"/>
      <c r="CW257" s="327"/>
      <c r="CX257" s="327"/>
      <c r="CY257" s="327"/>
      <c r="CZ257" s="327"/>
      <c r="DA257" s="327"/>
      <c r="DB257" s="327"/>
      <c r="DC257" s="327"/>
      <c r="DD257" s="327"/>
      <c r="DE257" s="327"/>
      <c r="DF257" s="327"/>
      <c r="DG257" s="327"/>
      <c r="DH257" s="327"/>
      <c r="DI257" s="327"/>
      <c r="DJ257" s="327"/>
      <c r="DK257" s="327"/>
      <c r="DL257" s="327"/>
      <c r="DM257" s="327"/>
      <c r="DN257" s="327"/>
      <c r="DO257" s="327"/>
      <c r="DP257" s="327"/>
      <c r="DQ257" s="327"/>
      <c r="DR257" s="327"/>
      <c r="DS257" s="327"/>
      <c r="DT257" s="327"/>
      <c r="DU257" s="327"/>
      <c r="DV257" s="327"/>
      <c r="DW257" s="327"/>
      <c r="DX257" s="327"/>
      <c r="DY257" s="327"/>
      <c r="DZ257" s="327"/>
      <c r="EA257" s="327"/>
      <c r="EB257" s="327"/>
      <c r="EC257" s="327"/>
      <c r="ED257" s="327"/>
      <c r="EE257" s="327"/>
      <c r="EF257" s="327"/>
      <c r="EG257" s="327"/>
      <c r="EH257" s="327"/>
      <c r="EI257" s="327"/>
      <c r="EJ257" s="327"/>
      <c r="EK257" s="327"/>
      <c r="EL257" s="327"/>
      <c r="EM257" s="327"/>
      <c r="EN257" s="327"/>
      <c r="EO257" s="327"/>
      <c r="EP257" s="327"/>
      <c r="EQ257" s="327"/>
      <c r="ER257" s="327"/>
      <c r="ES257" s="327"/>
      <c r="ET257" s="327"/>
      <c r="EU257" s="327"/>
      <c r="EV257" s="327"/>
      <c r="EW257" s="327"/>
      <c r="EX257" s="327"/>
      <c r="EY257" s="327"/>
      <c r="EZ257" s="327"/>
      <c r="FA257" s="327"/>
      <c r="FB257" s="327"/>
      <c r="FC257" s="327"/>
      <c r="FD257" s="327"/>
      <c r="FE257" s="327"/>
      <c r="FF257" s="327"/>
      <c r="FG257" s="327"/>
      <c r="FH257" s="327"/>
      <c r="FI257" s="327"/>
      <c r="FJ257" s="327"/>
      <c r="FK257" s="327"/>
      <c r="FL257" s="327"/>
      <c r="FM257" s="327"/>
      <c r="FN257" s="327"/>
      <c r="FO257" s="327"/>
      <c r="FP257" s="327"/>
      <c r="FQ257" s="327"/>
      <c r="FR257" s="327"/>
      <c r="FS257" s="327"/>
      <c r="FT257" s="327"/>
      <c r="FU257" s="327"/>
      <c r="FV257" s="327"/>
      <c r="FW257" s="327"/>
      <c r="FX257" s="327"/>
      <c r="FY257" s="327"/>
      <c r="FZ257" s="327"/>
      <c r="GA257" s="327"/>
      <c r="GB257" s="327"/>
      <c r="GC257" s="327"/>
      <c r="GD257" s="327"/>
      <c r="GE257" s="327"/>
      <c r="GF257" s="327"/>
      <c r="GG257" s="327"/>
      <c r="GH257" s="327"/>
      <c r="GI257" s="327"/>
      <c r="GJ257" s="327"/>
      <c r="GK257" s="327"/>
      <c r="GL257" s="327"/>
      <c r="GM257" s="327"/>
      <c r="GN257" s="327"/>
      <c r="GO257" s="327"/>
      <c r="GP257" s="327"/>
      <c r="GQ257" s="327"/>
      <c r="GR257" s="327"/>
      <c r="GS257" s="327"/>
      <c r="GT257" s="327"/>
      <c r="GU257" s="327"/>
      <c r="GV257" s="327"/>
      <c r="GW257" s="327"/>
      <c r="GX257" s="327"/>
      <c r="GY257" s="327"/>
      <c r="GZ257" s="327"/>
      <c r="HA257" s="327"/>
      <c r="HB257" s="327"/>
      <c r="HC257" s="327"/>
      <c r="HD257" s="327"/>
      <c r="HE257" s="327"/>
      <c r="HF257" s="327"/>
      <c r="HG257" s="327"/>
      <c r="HH257" s="327"/>
      <c r="HI257" s="327"/>
      <c r="HJ257" s="327"/>
      <c r="HK257" s="327"/>
      <c r="HL257" s="327"/>
      <c r="HM257" s="327"/>
      <c r="HN257" s="327"/>
      <c r="HO257" s="327"/>
      <c r="HP257" s="327"/>
      <c r="HQ257" s="327"/>
      <c r="HR257" s="327"/>
      <c r="HS257" s="327"/>
    </row>
    <row r="258" spans="1:227" ht="15" customHeight="1">
      <c r="A258" s="330">
        <v>11</v>
      </c>
      <c r="B258" s="435" t="str">
        <f>VLOOKUP(Ruimtestaat[[#This Row],[Code]],Locaties[[Code]:[Locatie]],2,FALSE)</f>
        <v>IKC De Edelsteen (bijgebouw)</v>
      </c>
      <c r="C258" s="435" t="str">
        <f>VLOOKUP(Ruimtestaat[[#This Row],[Code]],Locaties[[#All],[Code]:[Adres]],4,FALSE)</f>
        <v>Sieraadlaan 100A</v>
      </c>
      <c r="D258" s="435" t="str">
        <f>VLOOKUP(Ruimtestaat[[#This Row],[Code]],Locaties[[#All],[Code]:[Postcode]],5,FALSE)</f>
        <v>2719 SN</v>
      </c>
      <c r="E258" s="435" t="str">
        <f>VLOOKUP(Ruimtestaat[[#This Row],[Code]],Locaties[#All],6,FALSE)</f>
        <v>Zoetermeer</v>
      </c>
      <c r="F258" s="450"/>
      <c r="G258" s="330" t="s">
        <v>1678</v>
      </c>
      <c r="H258" s="330" t="s">
        <v>1667</v>
      </c>
      <c r="I258" s="450" t="s">
        <v>1823</v>
      </c>
      <c r="J258" s="330">
        <v>16</v>
      </c>
      <c r="K258" s="450" t="str">
        <f>VLOOKUP(Ruimtestaat[[#This Row],[Ruimte code]],Ruimtegroepen[[#All],[Code]:[Ruimte omschrijving]],2,FALSE)</f>
        <v>Leslokalen</v>
      </c>
      <c r="L258" s="434" t="s">
        <v>102</v>
      </c>
      <c r="M258" s="437" t="s">
        <v>2105</v>
      </c>
      <c r="N258" s="439">
        <v>54.42</v>
      </c>
      <c r="O258" s="439"/>
      <c r="P258" s="439"/>
      <c r="Q258" s="439"/>
      <c r="R258" s="440" t="str">
        <f>VLOOKUP(Ruimtestaat[[#This Row],[Ruimte code]],Ruimtegroepen[],4,FALSE)</f>
        <v>Le</v>
      </c>
      <c r="S258" s="434">
        <v>40</v>
      </c>
      <c r="T258" s="434" t="s">
        <v>2</v>
      </c>
      <c r="U258" s="434">
        <f>IF(S258&gt;0,IF(RIGHT(Ruimtestaat[[#This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8" s="434">
        <f>IF(U258&gt;0,VLOOKUP($J258,Ruimtegroepen[],3,FALSE)*VLOOKUP($L258,Vloersoorten[],3,FALSE)*VLOOKUP($T258,Frequenties[],3,FALSE)*VLOOKUP($A258,Locaties[],3,FALSE),0)</f>
        <v>0</v>
      </c>
      <c r="W258" s="434">
        <f>Ruimtestaat[[#This Row],[Uitvoeringen werkdagen]]*Ruimtestaat[[#This Row],[Oppervlak (netto)]]</f>
        <v>10884</v>
      </c>
      <c r="X258" s="441">
        <f>IF(V258&gt;0,Ruimtestaat[[#This Row],[Prest. (m2 /jaar) werkdagen]]/Ruimtestaat[[#This Row],[Norm (m2/uur) werkdagen]],0)</f>
        <v>0</v>
      </c>
      <c r="Y258" s="442">
        <f>Ruimtestaat[[#This Row],[Uitvoeringen werkdagen]]*Ruimtestaat[[#This Row],[Gedeeltelijk]]</f>
        <v>0</v>
      </c>
      <c r="Z258" s="443" t="e">
        <f>IF(U258&gt;0,Ruimtestaat[[#This Row],[Prest. (m2 / jaar) werkdagen gedeeld]]/Ruimtestaat[[#This Row],[Norm (m2/uur) werkdagen]],0)</f>
        <v>#DIV/0!</v>
      </c>
      <c r="AA258" s="441" t="e">
        <f>Ruimtestaat[[#This Row],[uren / jaar werkdagen gedeeld]]*Tariefsopbouw!$E$35</f>
        <v>#DIV/0!</v>
      </c>
      <c r="AB258" s="441">
        <f>Ruimtestaat[[#This Row],[Uitvoeringen werkdagen]]*Ruimtestaat[[#This Row],[BSO]]</f>
        <v>0</v>
      </c>
      <c r="AC258" s="443" t="e">
        <f>IF(U258&gt;0,Ruimtestaat[[#This Row],[Prest. (m2 / jaar) werkdagen BSO]]/Ruimtestaat[[#This Row],[Norm (m2/uur) werkdagen]],0)</f>
        <v>#DIV/0!</v>
      </c>
      <c r="AD258" s="443" t="e">
        <f>Ruimtestaat[[#This Row],[uren / jaar werkdagen BSO]]*Tariefsopbouw!$E$35</f>
        <v>#DIV/0!</v>
      </c>
      <c r="AE258" s="444">
        <f>Ruimtestaat[[#This Row],[uren / jaar werkdagen]]*Tariefsopbouw!$E$35</f>
        <v>0</v>
      </c>
      <c r="AF258" s="434"/>
      <c r="AG258" s="434">
        <f>IF(Ruimtestaat[[#This Row],[Frequentie weekend]]&gt;0,VALUE(LEFT(AF258,1))*S258,0)</f>
        <v>0</v>
      </c>
      <c r="AH258" s="445">
        <f>IF($AG258&gt;0,VLOOKUP($J258,Ruimtegroepen[],3,FALSE)*VLOOKUP($L258,Vloersoorten[],3,FALSE)*VLOOKUP($AF258,Frequenties[],3,FALSE)*VLOOKUP(Ruimtestaat[[#This Row],[Code]],Locaties[],3,FALSE),0)</f>
        <v>0</v>
      </c>
      <c r="AI258" s="445">
        <f>Ruimtestaat[[#This Row],[Uitvoeringen weekend]]*Ruimtestaat[[#This Row],[Oppervlak (netto)]]</f>
        <v>0</v>
      </c>
      <c r="AJ258" s="445">
        <f>IF(AH258&gt;0,Ruimtestaat[[#This Row],[Prest. (m2 /jaar) weekend]]/Ruimtestaat[[#This Row],[Norm (m2/uur) weekend]],0)</f>
        <v>0</v>
      </c>
      <c r="AK258" s="444">
        <f>Ruimtestaat[[#This Row],[uren / jaar weekend]]*Tariefsopbouw!$D$40</f>
        <v>0</v>
      </c>
      <c r="AL258" s="441">
        <f>Ruimtestaat[[#This Row],[Prest. (m2 /jaar) weekend]]+Ruimtestaat[[#This Row],[Prest. (m2 /jaar) werkdagen]]</f>
        <v>10884</v>
      </c>
      <c r="AM258" s="441">
        <f>Ruimtestaat[[#This Row],[uren / jaar weekend]]+Ruimtestaat[[#This Row],[uren / jaar werkdagen]]</f>
        <v>0</v>
      </c>
      <c r="AN258" s="446">
        <f>Ruimtestaat[[#This Row],[kosten / jaar weekend]]+Ruimtestaat[[#This Row],[kosten / jaar werkdagen]]</f>
        <v>0</v>
      </c>
      <c r="AO258" s="446"/>
      <c r="AP258" s="447" t="str">
        <f>IF(Ruimtestaat[[#This Row],[Frequentie werkdagen]]="","",_xlfn.CONCAT(Ruimtestaat[[#This Row],[Ruimte code]],"-",Ruimtestaat[[#This Row],[Frequentie werkdagen]]," ",Ruimtestaat[[#This Row],[Vloer code]]))</f>
        <v>16-5w P</v>
      </c>
      <c r="AQ258" s="448" t="str">
        <f>_xlfn.IFNA(VLOOKUP($AP258,Programma!$F$3:$G$1101,2,0),"")</f>
        <v>_</v>
      </c>
      <c r="AR258" s="448" t="str">
        <f>_xlfn.IFNA(VLOOKUP($AP258,Programma!$F$3:$H$1101,3,0),"")</f>
        <v>_</v>
      </c>
      <c r="AS258" s="448" t="str">
        <f>_xlfn.IFNA(VLOOKUP($AP258,Programma!$F$3:$I$1101,4,0),"")</f>
        <v>4w</v>
      </c>
      <c r="AT258" s="448" t="str">
        <f>_xlfn.IFNA(VLOOKUP($AP258,Programma!$F$3:$J$1101,5,0),"")</f>
        <v>1w</v>
      </c>
      <c r="AU258" s="448" t="str">
        <f>_xlfn.IFNA(VLOOKUP($AP258,Programma!$F$3:$K$1101,6,0),"")</f>
        <v>1m</v>
      </c>
      <c r="AV258" s="448" t="str">
        <f>_xlfn.IFNA(VLOOKUP($AP258,Programma!$F$3:$L$1101,7,0),"")</f>
        <v>_</v>
      </c>
      <c r="AW258" s="448" t="str">
        <f>_xlfn.IFNA(VLOOKUP($AP258,Programma!$F$3:$M$1101,8,0),"")</f>
        <v>_</v>
      </c>
      <c r="AX258" s="448" t="str">
        <f>_xlfn.IFNA(VLOOKUP($AP258,Programma!$F$3:$N$1101,9,0),"")</f>
        <v>_</v>
      </c>
      <c r="AY258" s="448" t="str">
        <f>_xlfn.IFNA(VLOOKUP($AP258,Programma!$F$3:$O$1101,10,0),"")</f>
        <v>5w</v>
      </c>
      <c r="AZ258" s="448" t="str">
        <f>_xlfn.IFNA(VLOOKUP($AP258,Programma!$F$3:$P$1101,11,0),"")</f>
        <v>5w</v>
      </c>
      <c r="BA258" s="448" t="str">
        <f>_xlfn.IFNA(VLOOKUP($AP258,Programma!$F$3:$Q$1101,12,0),"")</f>
        <v>1w</v>
      </c>
      <c r="BB258" s="448" t="str">
        <f>_xlfn.IFNA(VLOOKUP($AP258,Programma!$F$3:$R$1101,13,0),"")</f>
        <v>1w</v>
      </c>
      <c r="BC258" s="448" t="str">
        <f>_xlfn.IFNA(VLOOKUP($AP258,Programma!$F$3:$S$1101,14,0),"")</f>
        <v>1m</v>
      </c>
      <c r="BD258" s="448" t="str">
        <f>_xlfn.IFNA(VLOOKUP($AP258,Programma!$F$3:$T$1101,15,0),"")</f>
        <v>2j</v>
      </c>
      <c r="BE258" s="448" t="str">
        <f>_xlfn.IFNA(VLOOKUP($AP258,Programma!$F$3:$U$1101,16,0),"")</f>
        <v>1j</v>
      </c>
      <c r="BF258" s="448" t="str">
        <f>_xlfn.IFNA(VLOOKUP($AP258,Programma!$F$3:$V$1101,17,0),"")</f>
        <v>_</v>
      </c>
      <c r="BG258" s="448" t="str">
        <f>_xlfn.IFNA(VLOOKUP($AP258,Programma!$F$3:$W$1101,18,0),"")</f>
        <v>_</v>
      </c>
      <c r="BH258" s="448" t="str">
        <f>_xlfn.IFNA(VLOOKUP($AP258,Programma!$F$3:$X$1101,19,0),"")</f>
        <v>_</v>
      </c>
      <c r="BI258" s="448" t="str">
        <f>_xlfn.IFNA(VLOOKUP($AP258,Programma!$F$3:$Y$1101,20,0),"")</f>
        <v>_</v>
      </c>
      <c r="BJ258" s="449"/>
      <c r="BK258" s="447" t="str">
        <f>IF(Ruimtestaat[[#This Row],[Frequentie weekend]]="","",_xlfn.CONCAT(Ruimtestaat[[#This Row],[Ruimte code]],"-",Ruimtestaat[[#This Row],[Frequentie weekend]]," ",Ruimtestaat[[#This Row],[Vloer code]]))</f>
        <v/>
      </c>
      <c r="BL258" s="448" t="str">
        <f>_xlfn.IFNA(VLOOKUP($BK258,Programma!$F$3:$G$1101,2,0),"")</f>
        <v/>
      </c>
      <c r="BM258" s="448" t="str">
        <f>_xlfn.IFNA(VLOOKUP($BK258,Programma!$F$3:$H$1101,3,0),"")</f>
        <v/>
      </c>
      <c r="BN258" s="448" t="str">
        <f>_xlfn.IFNA(VLOOKUP($BK258,Programma!$F$3:$I$1101,4,0),"")</f>
        <v/>
      </c>
      <c r="BO258" s="448" t="str">
        <f>_xlfn.IFNA(VLOOKUP($BK258,Programma!$F$3:$J$1101,5,0),"")</f>
        <v/>
      </c>
      <c r="BP258" s="448" t="str">
        <f>_xlfn.IFNA(VLOOKUP($BK258,Programma!$F$3:$K$1101,6,0),"")</f>
        <v/>
      </c>
      <c r="BQ258" s="448" t="str">
        <f>_xlfn.IFNA(VLOOKUP($BK258,Programma!$F$3:$L$1101,7,0),"")</f>
        <v/>
      </c>
      <c r="BR258" s="448" t="str">
        <f>_xlfn.IFNA(VLOOKUP($BK258,Programma!$F$3:$M$1101,8,0),"")</f>
        <v/>
      </c>
      <c r="BS258" s="448" t="str">
        <f>_xlfn.IFNA(VLOOKUP($BK258,Programma!$F$3:$N$1101,9,0),"")</f>
        <v/>
      </c>
      <c r="BT258" s="448" t="str">
        <f>_xlfn.IFNA(VLOOKUP($BK258,Programma!$F$3:$O$1101,10,0),"")</f>
        <v/>
      </c>
      <c r="BU258" s="448" t="str">
        <f>_xlfn.IFNA(VLOOKUP($BK258,Programma!$F$3:$P$1101,11,0),"")</f>
        <v/>
      </c>
      <c r="BV258" s="448" t="str">
        <f>_xlfn.IFNA(VLOOKUP($BK258,Programma!$F$3:$Q$1101,12,0),"")</f>
        <v/>
      </c>
      <c r="BW258" s="448" t="str">
        <f>_xlfn.IFNA(VLOOKUP($BK258,Programma!$F$3:$R$1101,13,0),"")</f>
        <v/>
      </c>
      <c r="BX258" s="448" t="str">
        <f>_xlfn.IFNA(VLOOKUP($BK258,Programma!$F$3:$S$1101,14,0),"")</f>
        <v/>
      </c>
      <c r="BY258" s="448" t="str">
        <f>_xlfn.IFNA(VLOOKUP($BK258,Programma!$F$3:$T$1101,15,0),"")</f>
        <v/>
      </c>
      <c r="BZ258" s="448" t="str">
        <f>_xlfn.IFNA(VLOOKUP($BK258,Programma!$F$3:$U$1101,16,0),"")</f>
        <v/>
      </c>
      <c r="CA258" s="448" t="str">
        <f>_xlfn.IFNA(VLOOKUP($BK258,Programma!$F$3:$V$1101,17,0),"")</f>
        <v/>
      </c>
      <c r="CB258" s="448" t="str">
        <f>_xlfn.IFNA(VLOOKUP($BK258,Programma!$F$3:$W$1101,18,0),"")</f>
        <v/>
      </c>
      <c r="CC258" s="448" t="str">
        <f>_xlfn.IFNA(VLOOKUP($BK258,Programma!$F$3:$X$1101,19,0),"")</f>
        <v/>
      </c>
      <c r="CD258" s="448" t="str">
        <f>_xlfn.IFNA(VLOOKUP($BK258,Programma!$F$3:$Y$1101,20,0),"")</f>
        <v/>
      </c>
      <c r="CE258" s="327"/>
      <c r="CF258" s="327"/>
      <c r="CG258" s="327"/>
      <c r="CH258" s="327"/>
      <c r="CI258" s="327"/>
      <c r="CJ258" s="327"/>
      <c r="CK258" s="327"/>
      <c r="CL258" s="327"/>
      <c r="CM258" s="327"/>
      <c r="CN258" s="327"/>
      <c r="CO258" s="327"/>
      <c r="CP258" s="327"/>
      <c r="CQ258" s="327"/>
      <c r="CR258" s="327"/>
      <c r="CS258" s="327"/>
      <c r="CT258" s="327"/>
      <c r="CU258" s="327"/>
      <c r="CV258" s="327"/>
      <c r="CW258" s="327"/>
      <c r="CX258" s="327"/>
      <c r="CY258" s="327"/>
      <c r="CZ258" s="327"/>
      <c r="DA258" s="327"/>
      <c r="DB258" s="327"/>
      <c r="DC258" s="327"/>
      <c r="DD258" s="327"/>
      <c r="DE258" s="327"/>
      <c r="DF258" s="327"/>
      <c r="DG258" s="327"/>
      <c r="DH258" s="327"/>
      <c r="DI258" s="327"/>
      <c r="DJ258" s="327"/>
      <c r="DK258" s="327"/>
      <c r="DL258" s="327"/>
      <c r="DM258" s="327"/>
      <c r="DN258" s="327"/>
      <c r="DO258" s="327"/>
      <c r="DP258" s="327"/>
      <c r="DQ258" s="327"/>
      <c r="DR258" s="327"/>
      <c r="DS258" s="327"/>
      <c r="DT258" s="327"/>
      <c r="DU258" s="327"/>
      <c r="DV258" s="327"/>
      <c r="DW258" s="327"/>
      <c r="DX258" s="327"/>
      <c r="DY258" s="327"/>
      <c r="DZ258" s="327"/>
      <c r="EA258" s="327"/>
      <c r="EB258" s="327"/>
      <c r="EC258" s="327"/>
      <c r="ED258" s="327"/>
      <c r="EE258" s="327"/>
      <c r="EF258" s="327"/>
      <c r="EG258" s="327"/>
      <c r="EH258" s="327"/>
      <c r="EI258" s="327"/>
      <c r="EJ258" s="327"/>
      <c r="EK258" s="327"/>
      <c r="EL258" s="327"/>
      <c r="EM258" s="327"/>
      <c r="EN258" s="327"/>
      <c r="EO258" s="327"/>
      <c r="EP258" s="327"/>
      <c r="EQ258" s="327"/>
      <c r="ER258" s="327"/>
      <c r="ES258" s="327"/>
      <c r="ET258" s="327"/>
      <c r="EU258" s="327"/>
      <c r="EV258" s="327"/>
      <c r="EW258" s="327"/>
      <c r="EX258" s="327"/>
      <c r="EY258" s="327"/>
      <c r="EZ258" s="327"/>
      <c r="FA258" s="327"/>
      <c r="FB258" s="327"/>
      <c r="FC258" s="327"/>
      <c r="FD258" s="327"/>
      <c r="FE258" s="327"/>
      <c r="FF258" s="327"/>
      <c r="FG258" s="327"/>
      <c r="FH258" s="327"/>
      <c r="FI258" s="327"/>
      <c r="FJ258" s="327"/>
      <c r="FK258" s="327"/>
      <c r="FL258" s="327"/>
      <c r="FM258" s="327"/>
      <c r="FN258" s="327"/>
      <c r="FO258" s="327"/>
      <c r="FP258" s="327"/>
      <c r="FQ258" s="327"/>
      <c r="FR258" s="327"/>
      <c r="FS258" s="327"/>
      <c r="FT258" s="327"/>
      <c r="FU258" s="327"/>
      <c r="FV258" s="327"/>
      <c r="FW258" s="327"/>
      <c r="FX258" s="327"/>
      <c r="FY258" s="327"/>
      <c r="FZ258" s="327"/>
      <c r="GA258" s="327"/>
      <c r="GB258" s="327"/>
      <c r="GC258" s="327"/>
      <c r="GD258" s="327"/>
      <c r="GE258" s="327"/>
      <c r="GF258" s="327"/>
      <c r="GG258" s="327"/>
      <c r="GH258" s="327"/>
      <c r="GI258" s="327"/>
      <c r="GJ258" s="327"/>
      <c r="GK258" s="327"/>
      <c r="GL258" s="327"/>
      <c r="GM258" s="327"/>
      <c r="GN258" s="327"/>
      <c r="GO258" s="327"/>
      <c r="GP258" s="327"/>
      <c r="GQ258" s="327"/>
      <c r="GR258" s="327"/>
      <c r="GS258" s="327"/>
      <c r="GT258" s="327"/>
      <c r="GU258" s="327"/>
      <c r="GV258" s="327"/>
      <c r="GW258" s="327"/>
      <c r="GX258" s="327"/>
      <c r="GY258" s="327"/>
      <c r="GZ258" s="327"/>
      <c r="HA258" s="327"/>
      <c r="HB258" s="327"/>
      <c r="HC258" s="327"/>
      <c r="HD258" s="327"/>
      <c r="HE258" s="327"/>
      <c r="HF258" s="327"/>
      <c r="HG258" s="327"/>
      <c r="HH258" s="327"/>
      <c r="HI258" s="327"/>
      <c r="HJ258" s="327"/>
      <c r="HK258" s="327"/>
      <c r="HL258" s="327"/>
      <c r="HM258" s="327"/>
      <c r="HN258" s="327"/>
      <c r="HO258" s="327"/>
      <c r="HP258" s="327"/>
      <c r="HQ258" s="327"/>
      <c r="HR258" s="327"/>
      <c r="HS258" s="327"/>
    </row>
    <row r="259" spans="1:227" ht="15" customHeight="1">
      <c r="A259" s="330">
        <v>11</v>
      </c>
      <c r="B259" s="435" t="str">
        <f>VLOOKUP(Ruimtestaat[[#This Row],[Code]],Locaties[[Code]:[Locatie]],2,FALSE)</f>
        <v>IKC De Edelsteen (bijgebouw)</v>
      </c>
      <c r="C259" s="435" t="str">
        <f>VLOOKUP(Ruimtestaat[[#This Row],[Code]],Locaties[[#All],[Code]:[Adres]],4,FALSE)</f>
        <v>Sieraadlaan 100A</v>
      </c>
      <c r="D259" s="435" t="str">
        <f>VLOOKUP(Ruimtestaat[[#This Row],[Code]],Locaties[[#All],[Code]:[Postcode]],5,FALSE)</f>
        <v>2719 SN</v>
      </c>
      <c r="E259" s="435" t="str">
        <f>VLOOKUP(Ruimtestaat[[#This Row],[Code]],Locaties[#All],6,FALSE)</f>
        <v>Zoetermeer</v>
      </c>
      <c r="F259" s="450"/>
      <c r="G259" s="330" t="s">
        <v>1678</v>
      </c>
      <c r="H259" s="330" t="s">
        <v>1668</v>
      </c>
      <c r="I259" s="450" t="s">
        <v>1673</v>
      </c>
      <c r="J259" s="330">
        <v>5</v>
      </c>
      <c r="K259" s="450" t="str">
        <f>VLOOKUP(Ruimtestaat[[#This Row],[Ruimte code]],Ruimtegroepen[[#All],[Code]:[Ruimte omschrijving]],2,FALSE)</f>
        <v>Sanitair</v>
      </c>
      <c r="L259" s="434" t="s">
        <v>102</v>
      </c>
      <c r="M259" s="437" t="s">
        <v>2105</v>
      </c>
      <c r="N259" s="439">
        <v>20</v>
      </c>
      <c r="O259" s="439"/>
      <c r="P259" s="439"/>
      <c r="Q259" s="439"/>
      <c r="R259" s="440" t="str">
        <f>VLOOKUP(Ruimtestaat[[#This Row],[Ruimte code]],Ruimtegroepen[],4,FALSE)</f>
        <v>Sa</v>
      </c>
      <c r="S259" s="434">
        <v>41</v>
      </c>
      <c r="T259" s="434" t="s">
        <v>2</v>
      </c>
      <c r="U259" s="434">
        <f>IF(S259&gt;0,IF(RIGHT(Ruimtestaat[[#This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59" s="434">
        <f>IF(U259&gt;0,VLOOKUP($J259,Ruimtegroepen[],3,FALSE)*VLOOKUP($L259,Vloersoorten[],3,FALSE)*VLOOKUP($T259,Frequenties[],3,FALSE)*VLOOKUP($A259,Locaties[],3,FALSE),0)</f>
        <v>0</v>
      </c>
      <c r="W259" s="434">
        <f>Ruimtestaat[[#This Row],[Uitvoeringen werkdagen]]*Ruimtestaat[[#This Row],[Oppervlak (netto)]]</f>
        <v>4100</v>
      </c>
      <c r="X259" s="441">
        <f>IF(V259&gt;0,Ruimtestaat[[#This Row],[Prest. (m2 /jaar) werkdagen]]/Ruimtestaat[[#This Row],[Norm (m2/uur) werkdagen]],0)</f>
        <v>0</v>
      </c>
      <c r="Y259" s="442">
        <f>Ruimtestaat[[#This Row],[Uitvoeringen werkdagen]]*Ruimtestaat[[#This Row],[Gedeeltelijk]]</f>
        <v>0</v>
      </c>
      <c r="Z259" s="443" t="e">
        <f>IF(U259&gt;0,Ruimtestaat[[#This Row],[Prest. (m2 / jaar) werkdagen gedeeld]]/Ruimtestaat[[#This Row],[Norm (m2/uur) werkdagen]],0)</f>
        <v>#DIV/0!</v>
      </c>
      <c r="AA259" s="441" t="e">
        <f>Ruimtestaat[[#This Row],[uren / jaar werkdagen gedeeld]]*Tariefsopbouw!$E$35</f>
        <v>#DIV/0!</v>
      </c>
      <c r="AB259" s="441">
        <f>Ruimtestaat[[#This Row],[Uitvoeringen werkdagen]]*Ruimtestaat[[#This Row],[BSO]]</f>
        <v>0</v>
      </c>
      <c r="AC259" s="443" t="e">
        <f>IF(U259&gt;0,Ruimtestaat[[#This Row],[Prest. (m2 / jaar) werkdagen BSO]]/Ruimtestaat[[#This Row],[Norm (m2/uur) werkdagen]],0)</f>
        <v>#DIV/0!</v>
      </c>
      <c r="AD259" s="443" t="e">
        <f>Ruimtestaat[[#This Row],[uren / jaar werkdagen BSO]]*Tariefsopbouw!$E$35</f>
        <v>#DIV/0!</v>
      </c>
      <c r="AE259" s="444">
        <f>Ruimtestaat[[#This Row],[uren / jaar werkdagen]]*Tariefsopbouw!$E$35</f>
        <v>0</v>
      </c>
      <c r="AF259" s="434"/>
      <c r="AG259" s="434">
        <f>IF(Ruimtestaat[[#This Row],[Frequentie weekend]]&gt;0,VALUE(LEFT(AF259,1))*S259,0)</f>
        <v>0</v>
      </c>
      <c r="AH259" s="445">
        <f>IF($AG259&gt;0,VLOOKUP($J259,Ruimtegroepen[],3,FALSE)*VLOOKUP($L259,Vloersoorten[],3,FALSE)*VLOOKUP($AF259,Frequenties[],3,FALSE)*VLOOKUP(Ruimtestaat[[#This Row],[Code]],Locaties[],3,FALSE),0)</f>
        <v>0</v>
      </c>
      <c r="AI259" s="445">
        <f>Ruimtestaat[[#This Row],[Uitvoeringen weekend]]*Ruimtestaat[[#This Row],[Oppervlak (netto)]]</f>
        <v>0</v>
      </c>
      <c r="AJ259" s="445">
        <f>IF(AH259&gt;0,Ruimtestaat[[#This Row],[Prest. (m2 /jaar) weekend]]/Ruimtestaat[[#This Row],[Norm (m2/uur) weekend]],0)</f>
        <v>0</v>
      </c>
      <c r="AK259" s="444">
        <f>Ruimtestaat[[#This Row],[uren / jaar weekend]]*Tariefsopbouw!$D$40</f>
        <v>0</v>
      </c>
      <c r="AL259" s="441">
        <f>Ruimtestaat[[#This Row],[Prest. (m2 /jaar) weekend]]+Ruimtestaat[[#This Row],[Prest. (m2 /jaar) werkdagen]]</f>
        <v>4100</v>
      </c>
      <c r="AM259" s="441">
        <f>Ruimtestaat[[#This Row],[uren / jaar weekend]]+Ruimtestaat[[#This Row],[uren / jaar werkdagen]]</f>
        <v>0</v>
      </c>
      <c r="AN259" s="446">
        <f>Ruimtestaat[[#This Row],[kosten / jaar weekend]]+Ruimtestaat[[#This Row],[kosten / jaar werkdagen]]</f>
        <v>0</v>
      </c>
      <c r="AO259" s="446"/>
      <c r="AP259" s="447" t="str">
        <f>IF(Ruimtestaat[[#This Row],[Frequentie werkdagen]]="","",_xlfn.CONCAT(Ruimtestaat[[#This Row],[Ruimte code]],"-",Ruimtestaat[[#This Row],[Frequentie werkdagen]]," ",Ruimtestaat[[#This Row],[Vloer code]]))</f>
        <v>5-5w P</v>
      </c>
      <c r="AQ259" s="448" t="str">
        <f>_xlfn.IFNA(VLOOKUP($AP259,Programma!$F$3:$G$1101,2,0),"")</f>
        <v>_</v>
      </c>
      <c r="AR259" s="448" t="str">
        <f>_xlfn.IFNA(VLOOKUP($AP259,Programma!$F$3:$H$1101,3,0),"")</f>
        <v>_</v>
      </c>
      <c r="AS259" s="448" t="str">
        <f>_xlfn.IFNA(VLOOKUP($AP259,Programma!$F$3:$I$1101,4,0),"")</f>
        <v>_</v>
      </c>
      <c r="AT259" s="448" t="str">
        <f>_xlfn.IFNA(VLOOKUP($AP259,Programma!$F$3:$J$1101,5,0),"")</f>
        <v>4w</v>
      </c>
      <c r="AU259" s="448" t="str">
        <f>_xlfn.IFNA(VLOOKUP($AP259,Programma!$F$3:$K$1101,6,0),"")</f>
        <v>1w</v>
      </c>
      <c r="AV259" s="448" t="str">
        <f>_xlfn.IFNA(VLOOKUP($AP259,Programma!$F$3:$L$1101,7,0),"")</f>
        <v>_</v>
      </c>
      <c r="AW259" s="448" t="str">
        <f>_xlfn.IFNA(VLOOKUP($AP259,Programma!$F$3:$M$1101,8,0),"")</f>
        <v>_</v>
      </c>
      <c r="AX259" s="448" t="str">
        <f>_xlfn.IFNA(VLOOKUP($AP259,Programma!$F$3:$N$1101,9,0),"")</f>
        <v>_</v>
      </c>
      <c r="AY259" s="448" t="str">
        <f>_xlfn.IFNA(VLOOKUP($AP259,Programma!$F$3:$O$1101,10,0),"")</f>
        <v>_</v>
      </c>
      <c r="AZ259" s="448" t="str">
        <f>_xlfn.IFNA(VLOOKUP($AP259,Programma!$F$3:$P$1101,11,0),"")</f>
        <v>_</v>
      </c>
      <c r="BA259" s="448" t="str">
        <f>_xlfn.IFNA(VLOOKUP($AP259,Programma!$F$3:$Q$1101,12,0),"")</f>
        <v>_</v>
      </c>
      <c r="BB259" s="448" t="str">
        <f>_xlfn.IFNA(VLOOKUP($AP259,Programma!$F$3:$R$1101,13,0),"")</f>
        <v>_</v>
      </c>
      <c r="BC259" s="448" t="str">
        <f>_xlfn.IFNA(VLOOKUP($AP259,Programma!$F$3:$S$1101,14,0),"")</f>
        <v>_</v>
      </c>
      <c r="BD259" s="448" t="str">
        <f>_xlfn.IFNA(VLOOKUP($AP259,Programma!$F$3:$T$1101,15,0),"")</f>
        <v>_</v>
      </c>
      <c r="BE259" s="448" t="str">
        <f>_xlfn.IFNA(VLOOKUP($AP259,Programma!$F$3:$U$1101,16,0),"")</f>
        <v>_</v>
      </c>
      <c r="BF259" s="448" t="str">
        <f>_xlfn.IFNA(VLOOKUP($AP259,Programma!$F$3:$V$1101,17,0),"")</f>
        <v>_</v>
      </c>
      <c r="BG259" s="448" t="str">
        <f>_xlfn.IFNA(VLOOKUP($AP259,Programma!$F$3:$W$1101,18,0),"")</f>
        <v>4w</v>
      </c>
      <c r="BH259" s="448" t="str">
        <f>_xlfn.IFNA(VLOOKUP($AP259,Programma!$F$3:$X$1101,19,0),"")</f>
        <v>1w</v>
      </c>
      <c r="BI259" s="448" t="str">
        <f>_xlfn.IFNA(VLOOKUP($AP259,Programma!$F$3:$Y$1101,20,0),"")</f>
        <v>_</v>
      </c>
      <c r="BJ259" s="449"/>
      <c r="BK259" s="447" t="str">
        <f>IF(Ruimtestaat[[#This Row],[Frequentie weekend]]="","",_xlfn.CONCAT(Ruimtestaat[[#This Row],[Ruimte code]],"-",Ruimtestaat[[#This Row],[Frequentie weekend]]," ",Ruimtestaat[[#This Row],[Vloer code]]))</f>
        <v/>
      </c>
      <c r="BL259" s="448" t="str">
        <f>_xlfn.IFNA(VLOOKUP($BK259,Programma!$F$3:$G$1101,2,0),"")</f>
        <v/>
      </c>
      <c r="BM259" s="448" t="str">
        <f>_xlfn.IFNA(VLOOKUP($BK259,Programma!$F$3:$H$1101,3,0),"")</f>
        <v/>
      </c>
      <c r="BN259" s="448" t="str">
        <f>_xlfn.IFNA(VLOOKUP($BK259,Programma!$F$3:$I$1101,4,0),"")</f>
        <v/>
      </c>
      <c r="BO259" s="448" t="str">
        <f>_xlfn.IFNA(VLOOKUP($BK259,Programma!$F$3:$J$1101,5,0),"")</f>
        <v/>
      </c>
      <c r="BP259" s="448" t="str">
        <f>_xlfn.IFNA(VLOOKUP($BK259,Programma!$F$3:$K$1101,6,0),"")</f>
        <v/>
      </c>
      <c r="BQ259" s="448" t="str">
        <f>_xlfn.IFNA(VLOOKUP($BK259,Programma!$F$3:$L$1101,7,0),"")</f>
        <v/>
      </c>
      <c r="BR259" s="448" t="str">
        <f>_xlfn.IFNA(VLOOKUP($BK259,Programma!$F$3:$M$1101,8,0),"")</f>
        <v/>
      </c>
      <c r="BS259" s="448" t="str">
        <f>_xlfn.IFNA(VLOOKUP($BK259,Programma!$F$3:$N$1101,9,0),"")</f>
        <v/>
      </c>
      <c r="BT259" s="448" t="str">
        <f>_xlfn.IFNA(VLOOKUP($BK259,Programma!$F$3:$O$1101,10,0),"")</f>
        <v/>
      </c>
      <c r="BU259" s="448" t="str">
        <f>_xlfn.IFNA(VLOOKUP($BK259,Programma!$F$3:$P$1101,11,0),"")</f>
        <v/>
      </c>
      <c r="BV259" s="448" t="str">
        <f>_xlfn.IFNA(VLOOKUP($BK259,Programma!$F$3:$Q$1101,12,0),"")</f>
        <v/>
      </c>
      <c r="BW259" s="448" t="str">
        <f>_xlfn.IFNA(VLOOKUP($BK259,Programma!$F$3:$R$1101,13,0),"")</f>
        <v/>
      </c>
      <c r="BX259" s="448" t="str">
        <f>_xlfn.IFNA(VLOOKUP($BK259,Programma!$F$3:$S$1101,14,0),"")</f>
        <v/>
      </c>
      <c r="BY259" s="448" t="str">
        <f>_xlfn.IFNA(VLOOKUP($BK259,Programma!$F$3:$T$1101,15,0),"")</f>
        <v/>
      </c>
      <c r="BZ259" s="448" t="str">
        <f>_xlfn.IFNA(VLOOKUP($BK259,Programma!$F$3:$U$1101,16,0),"")</f>
        <v/>
      </c>
      <c r="CA259" s="448" t="str">
        <f>_xlfn.IFNA(VLOOKUP($BK259,Programma!$F$3:$V$1101,17,0),"")</f>
        <v/>
      </c>
      <c r="CB259" s="448" t="str">
        <f>_xlfn.IFNA(VLOOKUP($BK259,Programma!$F$3:$W$1101,18,0),"")</f>
        <v/>
      </c>
      <c r="CC259" s="448" t="str">
        <f>_xlfn.IFNA(VLOOKUP($BK259,Programma!$F$3:$X$1101,19,0),"")</f>
        <v/>
      </c>
      <c r="CD259" s="448" t="str">
        <f>_xlfn.IFNA(VLOOKUP($BK259,Programma!$F$3:$Y$1101,20,0),"")</f>
        <v/>
      </c>
      <c r="CE259" s="327"/>
      <c r="CF259" s="327"/>
      <c r="CG259" s="327"/>
      <c r="CH259" s="327"/>
      <c r="CI259" s="327"/>
      <c r="CJ259" s="327"/>
      <c r="CK259" s="327"/>
      <c r="CL259" s="327"/>
      <c r="CM259" s="327"/>
      <c r="CN259" s="327"/>
      <c r="CO259" s="327"/>
      <c r="CP259" s="327"/>
      <c r="CQ259" s="327"/>
      <c r="CR259" s="327"/>
      <c r="CS259" s="327"/>
      <c r="CT259" s="327"/>
      <c r="CU259" s="327"/>
      <c r="CV259" s="327"/>
      <c r="CW259" s="327"/>
      <c r="CX259" s="327"/>
      <c r="CY259" s="327"/>
      <c r="CZ259" s="327"/>
      <c r="DA259" s="327"/>
      <c r="DB259" s="327"/>
      <c r="DC259" s="327"/>
      <c r="DD259" s="327"/>
      <c r="DE259" s="327"/>
      <c r="DF259" s="327"/>
      <c r="DG259" s="327"/>
      <c r="DH259" s="327"/>
      <c r="DI259" s="327"/>
      <c r="DJ259" s="327"/>
      <c r="DK259" s="327"/>
      <c r="DL259" s="327"/>
      <c r="DM259" s="327"/>
      <c r="DN259" s="327"/>
      <c r="DO259" s="327"/>
      <c r="DP259" s="327"/>
      <c r="DQ259" s="327"/>
      <c r="DR259" s="327"/>
      <c r="DS259" s="327"/>
      <c r="DT259" s="327"/>
      <c r="DU259" s="327"/>
      <c r="DV259" s="327"/>
      <c r="DW259" s="327"/>
      <c r="DX259" s="327"/>
      <c r="DY259" s="327"/>
      <c r="DZ259" s="327"/>
      <c r="EA259" s="327"/>
      <c r="EB259" s="327"/>
      <c r="EC259" s="327"/>
      <c r="ED259" s="327"/>
      <c r="EE259" s="327"/>
      <c r="EF259" s="327"/>
      <c r="EG259" s="327"/>
      <c r="EH259" s="327"/>
      <c r="EI259" s="327"/>
      <c r="EJ259" s="327"/>
      <c r="EK259" s="327"/>
      <c r="EL259" s="327"/>
      <c r="EM259" s="327"/>
      <c r="EN259" s="327"/>
      <c r="EO259" s="327"/>
      <c r="EP259" s="327"/>
      <c r="EQ259" s="327"/>
      <c r="ER259" s="327"/>
      <c r="ES259" s="327"/>
      <c r="ET259" s="327"/>
      <c r="EU259" s="327"/>
      <c r="EV259" s="327"/>
      <c r="EW259" s="327"/>
      <c r="EX259" s="327"/>
      <c r="EY259" s="327"/>
      <c r="EZ259" s="327"/>
      <c r="FA259" s="327"/>
      <c r="FB259" s="327"/>
      <c r="FC259" s="327"/>
      <c r="FD259" s="327"/>
      <c r="FE259" s="327"/>
      <c r="FF259" s="327"/>
      <c r="FG259" s="327"/>
      <c r="FH259" s="327"/>
      <c r="FI259" s="327"/>
      <c r="FJ259" s="327"/>
      <c r="FK259" s="327"/>
      <c r="FL259" s="327"/>
      <c r="FM259" s="327"/>
      <c r="FN259" s="327"/>
      <c r="FO259" s="327"/>
      <c r="FP259" s="327"/>
      <c r="FQ259" s="327"/>
      <c r="FR259" s="327"/>
      <c r="FS259" s="327"/>
      <c r="FT259" s="327"/>
      <c r="FU259" s="327"/>
      <c r="FV259" s="327"/>
      <c r="FW259" s="327"/>
      <c r="FX259" s="327"/>
      <c r="FY259" s="327"/>
      <c r="FZ259" s="327"/>
      <c r="GA259" s="327"/>
      <c r="GB259" s="327"/>
      <c r="GC259" s="327"/>
      <c r="GD259" s="327"/>
      <c r="GE259" s="327"/>
      <c r="GF259" s="327"/>
      <c r="GG259" s="327"/>
      <c r="GH259" s="327"/>
      <c r="GI259" s="327"/>
      <c r="GJ259" s="327"/>
      <c r="GK259" s="327"/>
      <c r="GL259" s="327"/>
      <c r="GM259" s="327"/>
      <c r="GN259" s="327"/>
      <c r="GO259" s="327"/>
      <c r="GP259" s="327"/>
      <c r="GQ259" s="327"/>
      <c r="GR259" s="327"/>
      <c r="GS259" s="327"/>
      <c r="GT259" s="327"/>
      <c r="GU259" s="327"/>
      <c r="GV259" s="327"/>
      <c r="GW259" s="327"/>
      <c r="GX259" s="327"/>
      <c r="GY259" s="327"/>
      <c r="GZ259" s="327"/>
      <c r="HA259" s="327"/>
      <c r="HB259" s="327"/>
      <c r="HC259" s="327"/>
      <c r="HD259" s="327"/>
      <c r="HE259" s="327"/>
      <c r="HF259" s="327"/>
      <c r="HG259" s="327"/>
      <c r="HH259" s="327"/>
      <c r="HI259" s="327"/>
      <c r="HJ259" s="327"/>
      <c r="HK259" s="327"/>
      <c r="HL259" s="327"/>
      <c r="HM259" s="327"/>
      <c r="HN259" s="327"/>
      <c r="HO259" s="327"/>
      <c r="HP259" s="327"/>
      <c r="HQ259" s="327"/>
      <c r="HR259" s="327"/>
      <c r="HS259" s="327"/>
    </row>
    <row r="260" spans="1:227" ht="15" customHeight="1">
      <c r="A260" s="330">
        <v>12</v>
      </c>
      <c r="B260" s="435" t="str">
        <f>VLOOKUP(Ruimtestaat[[#This Row],[Code]],Locaties[[Code]:[Locatie]],2,FALSE)</f>
        <v>IKC De Leerplaneet Loc. 2 (vh 't Plankier)</v>
      </c>
      <c r="C260" s="435" t="str">
        <f>VLOOKUP(Ruimtestaat[[#This Row],[Code]],Locaties[[#All],[Code]:[Adres]],4,FALSE)</f>
        <v>Wedekindzijde 1-3</v>
      </c>
      <c r="D260" s="435" t="str">
        <f>VLOOKUP(Ruimtestaat[[#This Row],[Code]],Locaties[[#All],[Code]:[Postcode]],5,FALSE)</f>
        <v>2725 PG</v>
      </c>
      <c r="E260" s="435" t="str">
        <f>VLOOKUP(Ruimtestaat[[#This Row],[Code]],Locaties[#All],6,FALSE)</f>
        <v>Zoetermeer</v>
      </c>
      <c r="F260" s="450"/>
      <c r="G260" s="330" t="s">
        <v>1678</v>
      </c>
      <c r="H260" s="330" t="s">
        <v>1662</v>
      </c>
      <c r="I260" s="450" t="s">
        <v>1760</v>
      </c>
      <c r="J260" s="330">
        <v>18</v>
      </c>
      <c r="K260" s="450" t="str">
        <f>VLOOKUP(Ruimtestaat[[#This Row],[Ruimte code]],Ruimtegroepen[[#All],[Code]:[Ruimte omschrijving]],2,FALSE)</f>
        <v>Gymzaal</v>
      </c>
      <c r="L260" s="434" t="s">
        <v>102</v>
      </c>
      <c r="M260" s="437" t="s">
        <v>2104</v>
      </c>
      <c r="N260" s="439">
        <v>83</v>
      </c>
      <c r="O260" s="439"/>
      <c r="P260" s="439"/>
      <c r="Q260" s="439"/>
      <c r="R260" s="440" t="str">
        <f>VLOOKUP(Ruimtestaat[[#This Row],[Ruimte code]],Ruimtegroepen[],4,FALSE)</f>
        <v>Sp</v>
      </c>
      <c r="S260" s="434">
        <v>40</v>
      </c>
      <c r="T260" s="434" t="s">
        <v>2</v>
      </c>
      <c r="U260" s="434">
        <f>IF(S260&gt;0,IF(RIGHT(Ruimtestaat[[#This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0" s="434">
        <f>IF(U260&gt;0,VLOOKUP($J260,Ruimtegroepen[],3,FALSE)*VLOOKUP($L260,Vloersoorten[],3,FALSE)*VLOOKUP($T260,Frequenties[],3,FALSE)*VLOOKUP($A260,Locaties[],3,FALSE),0)</f>
        <v>0</v>
      </c>
      <c r="W260" s="434">
        <f>Ruimtestaat[[#This Row],[Uitvoeringen werkdagen]]*Ruimtestaat[[#This Row],[Oppervlak (netto)]]</f>
        <v>16600</v>
      </c>
      <c r="X260" s="441">
        <f>IF(V260&gt;0,Ruimtestaat[[#This Row],[Prest. (m2 /jaar) werkdagen]]/Ruimtestaat[[#This Row],[Norm (m2/uur) werkdagen]],0)</f>
        <v>0</v>
      </c>
      <c r="Y260" s="442">
        <f>Ruimtestaat[[#This Row],[Uitvoeringen werkdagen]]*Ruimtestaat[[#This Row],[Gedeeltelijk]]</f>
        <v>0</v>
      </c>
      <c r="Z260" s="443" t="e">
        <f>IF(U260&gt;0,Ruimtestaat[[#This Row],[Prest. (m2 / jaar) werkdagen gedeeld]]/Ruimtestaat[[#This Row],[Norm (m2/uur) werkdagen]],0)</f>
        <v>#DIV/0!</v>
      </c>
      <c r="AA260" s="441" t="e">
        <f>Ruimtestaat[[#This Row],[uren / jaar werkdagen gedeeld]]*Tariefsopbouw!$E$35</f>
        <v>#DIV/0!</v>
      </c>
      <c r="AB260" s="441">
        <f>Ruimtestaat[[#This Row],[Uitvoeringen werkdagen]]*Ruimtestaat[[#This Row],[BSO]]</f>
        <v>0</v>
      </c>
      <c r="AC260" s="443" t="e">
        <f>IF(U260&gt;0,Ruimtestaat[[#This Row],[Prest. (m2 / jaar) werkdagen BSO]]/Ruimtestaat[[#This Row],[Norm (m2/uur) werkdagen]],0)</f>
        <v>#DIV/0!</v>
      </c>
      <c r="AD260" s="443" t="e">
        <f>Ruimtestaat[[#This Row],[uren / jaar werkdagen BSO]]*Tariefsopbouw!$E$35</f>
        <v>#DIV/0!</v>
      </c>
      <c r="AE260" s="444">
        <f>Ruimtestaat[[#This Row],[uren / jaar werkdagen]]*Tariefsopbouw!$E$35</f>
        <v>0</v>
      </c>
      <c r="AF260" s="434"/>
      <c r="AG260" s="434">
        <f>IF(Ruimtestaat[[#This Row],[Frequentie weekend]]&gt;0,VALUE(LEFT(AF260,1))*S260,0)</f>
        <v>0</v>
      </c>
      <c r="AH260" s="445">
        <f>IF($AG260&gt;0,VLOOKUP($J260,Ruimtegroepen[],3,FALSE)*VLOOKUP($L260,Vloersoorten[],3,FALSE)*VLOOKUP($AF260,Frequenties[],3,FALSE)*VLOOKUP(Ruimtestaat[[#This Row],[Code]],Locaties[],3,FALSE),0)</f>
        <v>0</v>
      </c>
      <c r="AI260" s="445">
        <f>Ruimtestaat[[#This Row],[Uitvoeringen weekend]]*Ruimtestaat[[#This Row],[Oppervlak (netto)]]</f>
        <v>0</v>
      </c>
      <c r="AJ260" s="445">
        <f>IF(AH260&gt;0,Ruimtestaat[[#This Row],[Prest. (m2 /jaar) weekend]]/Ruimtestaat[[#This Row],[Norm (m2/uur) weekend]],0)</f>
        <v>0</v>
      </c>
      <c r="AK260" s="444">
        <f>Ruimtestaat[[#This Row],[uren / jaar weekend]]*Tariefsopbouw!$D$40</f>
        <v>0</v>
      </c>
      <c r="AL260" s="441">
        <f>Ruimtestaat[[#This Row],[Prest. (m2 /jaar) weekend]]+Ruimtestaat[[#This Row],[Prest. (m2 /jaar) werkdagen]]</f>
        <v>16600</v>
      </c>
      <c r="AM260" s="441">
        <f>Ruimtestaat[[#This Row],[uren / jaar weekend]]+Ruimtestaat[[#This Row],[uren / jaar werkdagen]]</f>
        <v>0</v>
      </c>
      <c r="AN260" s="446">
        <f>Ruimtestaat[[#This Row],[kosten / jaar weekend]]+Ruimtestaat[[#This Row],[kosten / jaar werkdagen]]</f>
        <v>0</v>
      </c>
      <c r="AO260" s="446"/>
      <c r="AP260" s="447" t="str">
        <f>IF(Ruimtestaat[[#This Row],[Frequentie werkdagen]]="","",_xlfn.CONCAT(Ruimtestaat[[#This Row],[Ruimte code]],"-",Ruimtestaat[[#This Row],[Frequentie werkdagen]]," ",Ruimtestaat[[#This Row],[Vloer code]]))</f>
        <v>18-5w P</v>
      </c>
      <c r="AQ260" s="448" t="str">
        <f>_xlfn.IFNA(VLOOKUP($AP260,Programma!$F$3:$G$1101,2,0),"")</f>
        <v>_</v>
      </c>
      <c r="AR260" s="448" t="str">
        <f>_xlfn.IFNA(VLOOKUP($AP260,Programma!$F$3:$H$1101,3,0),"")</f>
        <v>_</v>
      </c>
      <c r="AS260" s="448" t="str">
        <f>_xlfn.IFNA(VLOOKUP($AP260,Programma!$F$3:$I$1101,4,0),"")</f>
        <v>4w</v>
      </c>
      <c r="AT260" s="448" t="str">
        <f>_xlfn.IFNA(VLOOKUP($AP260,Programma!$F$3:$J$1101,5,0),"")</f>
        <v>1w</v>
      </c>
      <c r="AU260" s="448" t="str">
        <f>_xlfn.IFNA(VLOOKUP($AP260,Programma!$F$3:$K$1101,6,0),"")</f>
        <v>4j</v>
      </c>
      <c r="AV260" s="448" t="str">
        <f>_xlfn.IFNA(VLOOKUP($AP260,Programma!$F$3:$L$1101,7,0),"")</f>
        <v>_</v>
      </c>
      <c r="AW260" s="448" t="str">
        <f>_xlfn.IFNA(VLOOKUP($AP260,Programma!$F$3:$M$1101,8,0),"")</f>
        <v>_</v>
      </c>
      <c r="AX260" s="448" t="str">
        <f>_xlfn.IFNA(VLOOKUP($AP260,Programma!$F$3:$N$1101,9,0),"")</f>
        <v>_</v>
      </c>
      <c r="AY260" s="448" t="str">
        <f>_xlfn.IFNA(VLOOKUP($AP260,Programma!$F$3:$O$1101,10,0),"")</f>
        <v>5w</v>
      </c>
      <c r="AZ260" s="448" t="str">
        <f>_xlfn.IFNA(VLOOKUP($AP260,Programma!$F$3:$P$1101,11,0),"")</f>
        <v>5w</v>
      </c>
      <c r="BA260" s="448" t="str">
        <f>_xlfn.IFNA(VLOOKUP($AP260,Programma!$F$3:$Q$1101,12,0),"")</f>
        <v>5w</v>
      </c>
      <c r="BB260" s="448" t="str">
        <f>_xlfn.IFNA(VLOOKUP($AP260,Programma!$F$3:$R$1101,13,0),"")</f>
        <v>5w</v>
      </c>
      <c r="BC260" s="448" t="str">
        <f>_xlfn.IFNA(VLOOKUP($AP260,Programma!$F$3:$S$1101,14,0),"")</f>
        <v>1m</v>
      </c>
      <c r="BD260" s="448" t="str">
        <f>_xlfn.IFNA(VLOOKUP($AP260,Programma!$F$3:$T$1101,15,0),"")</f>
        <v>2j</v>
      </c>
      <c r="BE260" s="448" t="str">
        <f>_xlfn.IFNA(VLOOKUP($AP260,Programma!$F$3:$U$1101,16,0),"")</f>
        <v>1j</v>
      </c>
      <c r="BF260" s="448" t="str">
        <f>_xlfn.IFNA(VLOOKUP($AP260,Programma!$F$3:$V$1101,17,0),"")</f>
        <v>_</v>
      </c>
      <c r="BG260" s="448" t="str">
        <f>_xlfn.IFNA(VLOOKUP($AP260,Programma!$F$3:$W$1101,18,0),"")</f>
        <v>_</v>
      </c>
      <c r="BH260" s="448" t="str">
        <f>_xlfn.IFNA(VLOOKUP($AP260,Programma!$F$3:$X$1101,19,0),"")</f>
        <v>_</v>
      </c>
      <c r="BI260" s="448" t="str">
        <f>_xlfn.IFNA(VLOOKUP($AP260,Programma!$F$3:$Y$1101,20,0),"")</f>
        <v>_</v>
      </c>
      <c r="BJ260" s="449"/>
      <c r="BK260" s="447" t="str">
        <f>IF(Ruimtestaat[[#This Row],[Frequentie weekend]]="","",_xlfn.CONCAT(Ruimtestaat[[#This Row],[Ruimte code]],"-",Ruimtestaat[[#This Row],[Frequentie weekend]]," ",Ruimtestaat[[#This Row],[Vloer code]]))</f>
        <v/>
      </c>
      <c r="BL260" s="448" t="str">
        <f>_xlfn.IFNA(VLOOKUP($BK260,Programma!$F$3:$G$1101,2,0),"")</f>
        <v/>
      </c>
      <c r="BM260" s="448" t="str">
        <f>_xlfn.IFNA(VLOOKUP($BK260,Programma!$F$3:$H$1101,3,0),"")</f>
        <v/>
      </c>
      <c r="BN260" s="448" t="str">
        <f>_xlfn.IFNA(VLOOKUP($BK260,Programma!$F$3:$I$1101,4,0),"")</f>
        <v/>
      </c>
      <c r="BO260" s="448" t="str">
        <f>_xlfn.IFNA(VLOOKUP($BK260,Programma!$F$3:$J$1101,5,0),"")</f>
        <v/>
      </c>
      <c r="BP260" s="448" t="str">
        <f>_xlfn.IFNA(VLOOKUP($BK260,Programma!$F$3:$K$1101,6,0),"")</f>
        <v/>
      </c>
      <c r="BQ260" s="448" t="str">
        <f>_xlfn.IFNA(VLOOKUP($BK260,Programma!$F$3:$L$1101,7,0),"")</f>
        <v/>
      </c>
      <c r="BR260" s="448" t="str">
        <f>_xlfn.IFNA(VLOOKUP($BK260,Programma!$F$3:$M$1101,8,0),"")</f>
        <v/>
      </c>
      <c r="BS260" s="448" t="str">
        <f>_xlfn.IFNA(VLOOKUP($BK260,Programma!$F$3:$N$1101,9,0),"")</f>
        <v/>
      </c>
      <c r="BT260" s="448" t="str">
        <f>_xlfn.IFNA(VLOOKUP($BK260,Programma!$F$3:$O$1101,10,0),"")</f>
        <v/>
      </c>
      <c r="BU260" s="448" t="str">
        <f>_xlfn.IFNA(VLOOKUP($BK260,Programma!$F$3:$P$1101,11,0),"")</f>
        <v/>
      </c>
      <c r="BV260" s="448" t="str">
        <f>_xlfn.IFNA(VLOOKUP($BK260,Programma!$F$3:$Q$1101,12,0),"")</f>
        <v/>
      </c>
      <c r="BW260" s="448" t="str">
        <f>_xlfn.IFNA(VLOOKUP($BK260,Programma!$F$3:$R$1101,13,0),"")</f>
        <v/>
      </c>
      <c r="BX260" s="448" t="str">
        <f>_xlfn.IFNA(VLOOKUP($BK260,Programma!$F$3:$S$1101,14,0),"")</f>
        <v/>
      </c>
      <c r="BY260" s="448" t="str">
        <f>_xlfn.IFNA(VLOOKUP($BK260,Programma!$F$3:$T$1101,15,0),"")</f>
        <v/>
      </c>
      <c r="BZ260" s="448" t="str">
        <f>_xlfn.IFNA(VLOOKUP($BK260,Programma!$F$3:$U$1101,16,0),"")</f>
        <v/>
      </c>
      <c r="CA260" s="448" t="str">
        <f>_xlfn.IFNA(VLOOKUP($BK260,Programma!$F$3:$V$1101,17,0),"")</f>
        <v/>
      </c>
      <c r="CB260" s="448" t="str">
        <f>_xlfn.IFNA(VLOOKUP($BK260,Programma!$F$3:$W$1101,18,0),"")</f>
        <v/>
      </c>
      <c r="CC260" s="448" t="str">
        <f>_xlfn.IFNA(VLOOKUP($BK260,Programma!$F$3:$X$1101,19,0),"")</f>
        <v/>
      </c>
      <c r="CD260" s="448" t="str">
        <f>_xlfn.IFNA(VLOOKUP($BK260,Programma!$F$3:$Y$1101,20,0),"")</f>
        <v/>
      </c>
      <c r="CE260" s="327"/>
      <c r="CF260" s="327"/>
      <c r="CG260" s="327"/>
      <c r="CH260" s="327"/>
      <c r="CI260" s="327"/>
      <c r="CJ260" s="327"/>
      <c r="CK260" s="327"/>
      <c r="CL260" s="327"/>
      <c r="CM260" s="327"/>
      <c r="CN260" s="327"/>
      <c r="CO260" s="327"/>
      <c r="CP260" s="327"/>
      <c r="CQ260" s="327"/>
      <c r="CR260" s="327"/>
      <c r="CS260" s="327"/>
      <c r="CT260" s="327"/>
      <c r="CU260" s="327"/>
      <c r="CV260" s="327"/>
      <c r="CW260" s="327"/>
      <c r="CX260" s="327"/>
      <c r="CY260" s="327"/>
      <c r="CZ260" s="327"/>
      <c r="DA260" s="327"/>
      <c r="DB260" s="327"/>
      <c r="DC260" s="327"/>
      <c r="DD260" s="327"/>
      <c r="DE260" s="327"/>
      <c r="DF260" s="327"/>
      <c r="DG260" s="327"/>
      <c r="DH260" s="327"/>
      <c r="DI260" s="327"/>
      <c r="DJ260" s="327"/>
      <c r="DK260" s="327"/>
      <c r="DL260" s="327"/>
      <c r="DM260" s="327"/>
      <c r="DN260" s="327"/>
      <c r="DO260" s="327"/>
      <c r="DP260" s="327"/>
      <c r="DQ260" s="327"/>
      <c r="DR260" s="327"/>
      <c r="DS260" s="327"/>
      <c r="DT260" s="327"/>
      <c r="DU260" s="327"/>
      <c r="DV260" s="327"/>
      <c r="DW260" s="327"/>
      <c r="DX260" s="327"/>
      <c r="DY260" s="327"/>
      <c r="DZ260" s="327"/>
      <c r="EA260" s="327"/>
      <c r="EB260" s="327"/>
      <c r="EC260" s="327"/>
      <c r="ED260" s="327"/>
      <c r="EE260" s="327"/>
      <c r="EF260" s="327"/>
      <c r="EG260" s="327"/>
      <c r="EH260" s="327"/>
      <c r="EI260" s="327"/>
      <c r="EJ260" s="327"/>
      <c r="EK260" s="327"/>
      <c r="EL260" s="327"/>
      <c r="EM260" s="327"/>
      <c r="EN260" s="327"/>
      <c r="EO260" s="327"/>
      <c r="EP260" s="327"/>
      <c r="EQ260" s="327"/>
      <c r="ER260" s="327"/>
      <c r="ES260" s="327"/>
      <c r="ET260" s="327"/>
      <c r="EU260" s="327"/>
      <c r="EV260" s="327"/>
      <c r="EW260" s="327"/>
      <c r="EX260" s="327"/>
      <c r="EY260" s="327"/>
      <c r="EZ260" s="327"/>
      <c r="FA260" s="327"/>
      <c r="FB260" s="327"/>
      <c r="FC260" s="327"/>
      <c r="FD260" s="327"/>
      <c r="FE260" s="327"/>
      <c r="FF260" s="327"/>
      <c r="FG260" s="327"/>
      <c r="FH260" s="327"/>
      <c r="FI260" s="327"/>
      <c r="FJ260" s="327"/>
      <c r="FK260" s="327"/>
      <c r="FL260" s="327"/>
      <c r="FM260" s="327"/>
      <c r="FN260" s="327"/>
      <c r="FO260" s="327"/>
      <c r="FP260" s="327"/>
      <c r="FQ260" s="327"/>
      <c r="FR260" s="327"/>
      <c r="FS260" s="327"/>
      <c r="FT260" s="327"/>
      <c r="FU260" s="327"/>
      <c r="FV260" s="327"/>
      <c r="FW260" s="327"/>
      <c r="FX260" s="327"/>
      <c r="FY260" s="327"/>
      <c r="FZ260" s="327"/>
      <c r="GA260" s="327"/>
      <c r="GB260" s="327"/>
      <c r="GC260" s="327"/>
      <c r="GD260" s="327"/>
      <c r="GE260" s="327"/>
      <c r="GF260" s="327"/>
      <c r="GG260" s="327"/>
      <c r="GH260" s="327"/>
      <c r="GI260" s="327"/>
      <c r="GJ260" s="327"/>
      <c r="GK260" s="327"/>
      <c r="GL260" s="327"/>
      <c r="GM260" s="327"/>
      <c r="GN260" s="327"/>
      <c r="GO260" s="327"/>
      <c r="GP260" s="327"/>
      <c r="GQ260" s="327"/>
      <c r="GR260" s="327"/>
      <c r="GS260" s="327"/>
      <c r="GT260" s="327"/>
      <c r="GU260" s="327"/>
      <c r="GV260" s="327"/>
      <c r="GW260" s="327"/>
      <c r="GX260" s="327"/>
      <c r="GY260" s="327"/>
      <c r="GZ260" s="327"/>
      <c r="HA260" s="327"/>
      <c r="HB260" s="327"/>
      <c r="HC260" s="327"/>
      <c r="HD260" s="327"/>
      <c r="HE260" s="327"/>
      <c r="HF260" s="327"/>
      <c r="HG260" s="327"/>
      <c r="HH260" s="327"/>
      <c r="HI260" s="327"/>
      <c r="HJ260" s="327"/>
      <c r="HK260" s="327"/>
      <c r="HL260" s="327"/>
      <c r="HM260" s="327"/>
      <c r="HN260" s="327"/>
      <c r="HO260" s="327"/>
      <c r="HP260" s="327"/>
      <c r="HQ260" s="327"/>
      <c r="HR260" s="327"/>
      <c r="HS260" s="327"/>
    </row>
    <row r="261" spans="1:227" ht="15" customHeight="1">
      <c r="A261" s="330">
        <v>12</v>
      </c>
      <c r="B261" s="435" t="str">
        <f>VLOOKUP(Ruimtestaat[[#This Row],[Code]],Locaties[[Code]:[Locatie]],2,FALSE)</f>
        <v>IKC De Leerplaneet Loc. 2 (vh 't Plankier)</v>
      </c>
      <c r="C261" s="435" t="str">
        <f>VLOOKUP(Ruimtestaat[[#This Row],[Code]],Locaties[[#All],[Code]:[Adres]],4,FALSE)</f>
        <v>Wedekindzijde 1-3</v>
      </c>
      <c r="D261" s="435" t="str">
        <f>VLOOKUP(Ruimtestaat[[#This Row],[Code]],Locaties[[#All],[Code]:[Postcode]],5,FALSE)</f>
        <v>2725 PG</v>
      </c>
      <c r="E261" s="435" t="str">
        <f>VLOOKUP(Ruimtestaat[[#This Row],[Code]],Locaties[#All],6,FALSE)</f>
        <v>Zoetermeer</v>
      </c>
      <c r="F261" s="450"/>
      <c r="G261" s="330" t="s">
        <v>1678</v>
      </c>
      <c r="H261" s="330" t="s">
        <v>1665</v>
      </c>
      <c r="I261" s="450" t="s">
        <v>1679</v>
      </c>
      <c r="J261" s="330">
        <v>16</v>
      </c>
      <c r="K261" s="450" t="str">
        <f>VLOOKUP(Ruimtestaat[[#This Row],[Ruimte code]],Ruimtegroepen[[#All],[Code]:[Ruimte omschrijving]],2,FALSE)</f>
        <v>Leslokalen</v>
      </c>
      <c r="L261" s="434" t="s">
        <v>99</v>
      </c>
      <c r="M261" s="437" t="s">
        <v>36</v>
      </c>
      <c r="N261" s="439">
        <v>47</v>
      </c>
      <c r="O261" s="439"/>
      <c r="P261" s="439"/>
      <c r="Q261" s="439"/>
      <c r="R261" s="440" t="str">
        <f>VLOOKUP(Ruimtestaat[[#This Row],[Ruimte code]],Ruimtegroepen[],4,FALSE)</f>
        <v>Le</v>
      </c>
      <c r="S261" s="434">
        <v>40</v>
      </c>
      <c r="T261" s="434" t="s">
        <v>2</v>
      </c>
      <c r="U261" s="434">
        <f>IF(S261&gt;0,IF(RIGHT(Ruimtestaat[[#This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1" s="434">
        <f>IF(U261&gt;0,VLOOKUP($J261,Ruimtegroepen[],3,FALSE)*VLOOKUP($L261,Vloersoorten[],3,FALSE)*VLOOKUP($T261,Frequenties[],3,FALSE)*VLOOKUP($A261,Locaties[],3,FALSE),0)</f>
        <v>0</v>
      </c>
      <c r="W261" s="434">
        <f>Ruimtestaat[[#This Row],[Uitvoeringen werkdagen]]*Ruimtestaat[[#This Row],[Oppervlak (netto)]]</f>
        <v>9400</v>
      </c>
      <c r="X261" s="441">
        <f>IF(V261&gt;0,Ruimtestaat[[#This Row],[Prest. (m2 /jaar) werkdagen]]/Ruimtestaat[[#This Row],[Norm (m2/uur) werkdagen]],0)</f>
        <v>0</v>
      </c>
      <c r="Y261" s="442">
        <f>Ruimtestaat[[#This Row],[Uitvoeringen werkdagen]]*Ruimtestaat[[#This Row],[Gedeeltelijk]]</f>
        <v>0</v>
      </c>
      <c r="Z261" s="443" t="e">
        <f>IF(U261&gt;0,Ruimtestaat[[#This Row],[Prest. (m2 / jaar) werkdagen gedeeld]]/Ruimtestaat[[#This Row],[Norm (m2/uur) werkdagen]],0)</f>
        <v>#DIV/0!</v>
      </c>
      <c r="AA261" s="441" t="e">
        <f>Ruimtestaat[[#This Row],[uren / jaar werkdagen gedeeld]]*Tariefsopbouw!$E$35</f>
        <v>#DIV/0!</v>
      </c>
      <c r="AB261" s="441">
        <f>Ruimtestaat[[#This Row],[Uitvoeringen werkdagen]]*Ruimtestaat[[#This Row],[BSO]]</f>
        <v>0</v>
      </c>
      <c r="AC261" s="443" t="e">
        <f>IF(U261&gt;0,Ruimtestaat[[#This Row],[Prest. (m2 / jaar) werkdagen BSO]]/Ruimtestaat[[#This Row],[Norm (m2/uur) werkdagen]],0)</f>
        <v>#DIV/0!</v>
      </c>
      <c r="AD261" s="443" t="e">
        <f>Ruimtestaat[[#This Row],[uren / jaar werkdagen BSO]]*Tariefsopbouw!$E$35</f>
        <v>#DIV/0!</v>
      </c>
      <c r="AE261" s="444">
        <f>Ruimtestaat[[#This Row],[uren / jaar werkdagen]]*Tariefsopbouw!$E$35</f>
        <v>0</v>
      </c>
      <c r="AF261" s="434"/>
      <c r="AG261" s="434">
        <f>IF(Ruimtestaat[[#This Row],[Frequentie weekend]]&gt;0,VALUE(LEFT(AF261,1))*S261,0)</f>
        <v>0</v>
      </c>
      <c r="AH261" s="445">
        <f>IF($AG261&gt;0,VLOOKUP($J261,Ruimtegroepen[],3,FALSE)*VLOOKUP($L261,Vloersoorten[],3,FALSE)*VLOOKUP($AF261,Frequenties[],3,FALSE)*VLOOKUP(Ruimtestaat[[#This Row],[Code]],Locaties[],3,FALSE),0)</f>
        <v>0</v>
      </c>
      <c r="AI261" s="445">
        <f>Ruimtestaat[[#This Row],[Uitvoeringen weekend]]*Ruimtestaat[[#This Row],[Oppervlak (netto)]]</f>
        <v>0</v>
      </c>
      <c r="AJ261" s="445">
        <f>IF(AH261&gt;0,Ruimtestaat[[#This Row],[Prest. (m2 /jaar) weekend]]/Ruimtestaat[[#This Row],[Norm (m2/uur) weekend]],0)</f>
        <v>0</v>
      </c>
      <c r="AK261" s="444">
        <f>Ruimtestaat[[#This Row],[uren / jaar weekend]]*Tariefsopbouw!$D$40</f>
        <v>0</v>
      </c>
      <c r="AL261" s="441">
        <f>Ruimtestaat[[#This Row],[Prest. (m2 /jaar) weekend]]+Ruimtestaat[[#This Row],[Prest. (m2 /jaar) werkdagen]]</f>
        <v>9400</v>
      </c>
      <c r="AM261" s="441">
        <f>Ruimtestaat[[#This Row],[uren / jaar weekend]]+Ruimtestaat[[#This Row],[uren / jaar werkdagen]]</f>
        <v>0</v>
      </c>
      <c r="AN261" s="446">
        <f>Ruimtestaat[[#This Row],[kosten / jaar weekend]]+Ruimtestaat[[#This Row],[kosten / jaar werkdagen]]</f>
        <v>0</v>
      </c>
      <c r="AO261" s="446"/>
      <c r="AP261" s="447" t="str">
        <f>IF(Ruimtestaat[[#This Row],[Frequentie werkdagen]]="","",_xlfn.CONCAT(Ruimtestaat[[#This Row],[Ruimte code]],"-",Ruimtestaat[[#This Row],[Frequentie werkdagen]]," ",Ruimtestaat[[#This Row],[Vloer code]]))</f>
        <v>16-5w T</v>
      </c>
      <c r="AQ261" s="448" t="str">
        <f>_xlfn.IFNA(VLOOKUP($AP261,Programma!$F$3:$G$1101,2,0),"")</f>
        <v>3w</v>
      </c>
      <c r="AR261" s="448" t="str">
        <f>_xlfn.IFNA(VLOOKUP($AP261,Programma!$F$3:$H$1101,3,0),"")</f>
        <v>2w</v>
      </c>
      <c r="AS261" s="448" t="str">
        <f>_xlfn.IFNA(VLOOKUP($AP261,Programma!$F$3:$I$1101,4,0),"")</f>
        <v>_</v>
      </c>
      <c r="AT261" s="448" t="str">
        <f>_xlfn.IFNA(VLOOKUP($AP261,Programma!$F$3:$J$1101,5,0),"")</f>
        <v>_</v>
      </c>
      <c r="AU261" s="448" t="str">
        <f>_xlfn.IFNA(VLOOKUP($AP261,Programma!$F$3:$K$1101,6,0),"")</f>
        <v>_</v>
      </c>
      <c r="AV261" s="448" t="str">
        <f>_xlfn.IFNA(VLOOKUP($AP261,Programma!$F$3:$L$1101,7,0),"")</f>
        <v>_</v>
      </c>
      <c r="AW261" s="448" t="str">
        <f>_xlfn.IFNA(VLOOKUP($AP261,Programma!$F$3:$M$1101,8,0),"")</f>
        <v>_</v>
      </c>
      <c r="AX261" s="448" t="str">
        <f>_xlfn.IFNA(VLOOKUP($AP261,Programma!$F$3:$N$1101,9,0),"")</f>
        <v>_</v>
      </c>
      <c r="AY261" s="448" t="str">
        <f>_xlfn.IFNA(VLOOKUP($AP261,Programma!$F$3:$O$1101,10,0),"")</f>
        <v>5w</v>
      </c>
      <c r="AZ261" s="448" t="str">
        <f>_xlfn.IFNA(VLOOKUP($AP261,Programma!$F$3:$P$1101,11,0),"")</f>
        <v>5w</v>
      </c>
      <c r="BA261" s="448" t="str">
        <f>_xlfn.IFNA(VLOOKUP($AP261,Programma!$F$3:$Q$1101,12,0),"")</f>
        <v>1w</v>
      </c>
      <c r="BB261" s="448" t="str">
        <f>_xlfn.IFNA(VLOOKUP($AP261,Programma!$F$3:$R$1101,13,0),"")</f>
        <v>1w</v>
      </c>
      <c r="BC261" s="448" t="str">
        <f>_xlfn.IFNA(VLOOKUP($AP261,Programma!$F$3:$S$1101,14,0),"")</f>
        <v>1m</v>
      </c>
      <c r="BD261" s="448" t="str">
        <f>_xlfn.IFNA(VLOOKUP($AP261,Programma!$F$3:$T$1101,15,0),"")</f>
        <v>2j</v>
      </c>
      <c r="BE261" s="448" t="str">
        <f>_xlfn.IFNA(VLOOKUP($AP261,Programma!$F$3:$U$1101,16,0),"")</f>
        <v>1j</v>
      </c>
      <c r="BF261" s="448" t="str">
        <f>_xlfn.IFNA(VLOOKUP($AP261,Programma!$F$3:$V$1101,17,0),"")</f>
        <v>_</v>
      </c>
      <c r="BG261" s="448" t="str">
        <f>_xlfn.IFNA(VLOOKUP($AP261,Programma!$F$3:$W$1101,18,0),"")</f>
        <v>_</v>
      </c>
      <c r="BH261" s="448" t="str">
        <f>_xlfn.IFNA(VLOOKUP($AP261,Programma!$F$3:$X$1101,19,0),"")</f>
        <v>_</v>
      </c>
      <c r="BI261" s="448" t="str">
        <f>_xlfn.IFNA(VLOOKUP($AP261,Programma!$F$3:$Y$1101,20,0),"")</f>
        <v>_</v>
      </c>
      <c r="BJ261" s="449"/>
      <c r="BK261" s="447" t="str">
        <f>IF(Ruimtestaat[[#This Row],[Frequentie weekend]]="","",_xlfn.CONCAT(Ruimtestaat[[#This Row],[Ruimte code]],"-",Ruimtestaat[[#This Row],[Frequentie weekend]]," ",Ruimtestaat[[#This Row],[Vloer code]]))</f>
        <v/>
      </c>
      <c r="BL261" s="448" t="str">
        <f>_xlfn.IFNA(VLOOKUP($BK261,Programma!$F$3:$G$1101,2,0),"")</f>
        <v/>
      </c>
      <c r="BM261" s="448" t="str">
        <f>_xlfn.IFNA(VLOOKUP($BK261,Programma!$F$3:$H$1101,3,0),"")</f>
        <v/>
      </c>
      <c r="BN261" s="448" t="str">
        <f>_xlfn.IFNA(VLOOKUP($BK261,Programma!$F$3:$I$1101,4,0),"")</f>
        <v/>
      </c>
      <c r="BO261" s="448" t="str">
        <f>_xlfn.IFNA(VLOOKUP($BK261,Programma!$F$3:$J$1101,5,0),"")</f>
        <v/>
      </c>
      <c r="BP261" s="448" t="str">
        <f>_xlfn.IFNA(VLOOKUP($BK261,Programma!$F$3:$K$1101,6,0),"")</f>
        <v/>
      </c>
      <c r="BQ261" s="448" t="str">
        <f>_xlfn.IFNA(VLOOKUP($BK261,Programma!$F$3:$L$1101,7,0),"")</f>
        <v/>
      </c>
      <c r="BR261" s="448" t="str">
        <f>_xlfn.IFNA(VLOOKUP($BK261,Programma!$F$3:$M$1101,8,0),"")</f>
        <v/>
      </c>
      <c r="BS261" s="448" t="str">
        <f>_xlfn.IFNA(VLOOKUP($BK261,Programma!$F$3:$N$1101,9,0),"")</f>
        <v/>
      </c>
      <c r="BT261" s="448" t="str">
        <f>_xlfn.IFNA(VLOOKUP($BK261,Programma!$F$3:$O$1101,10,0),"")</f>
        <v/>
      </c>
      <c r="BU261" s="448" t="str">
        <f>_xlfn.IFNA(VLOOKUP($BK261,Programma!$F$3:$P$1101,11,0),"")</f>
        <v/>
      </c>
      <c r="BV261" s="448" t="str">
        <f>_xlfn.IFNA(VLOOKUP($BK261,Programma!$F$3:$Q$1101,12,0),"")</f>
        <v/>
      </c>
      <c r="BW261" s="448" t="str">
        <f>_xlfn.IFNA(VLOOKUP($BK261,Programma!$F$3:$R$1101,13,0),"")</f>
        <v/>
      </c>
      <c r="BX261" s="448" t="str">
        <f>_xlfn.IFNA(VLOOKUP($BK261,Programma!$F$3:$S$1101,14,0),"")</f>
        <v/>
      </c>
      <c r="BY261" s="448" t="str">
        <f>_xlfn.IFNA(VLOOKUP($BK261,Programma!$F$3:$T$1101,15,0),"")</f>
        <v/>
      </c>
      <c r="BZ261" s="448" t="str">
        <f>_xlfn.IFNA(VLOOKUP($BK261,Programma!$F$3:$U$1101,16,0),"")</f>
        <v/>
      </c>
      <c r="CA261" s="448" t="str">
        <f>_xlfn.IFNA(VLOOKUP($BK261,Programma!$F$3:$V$1101,17,0),"")</f>
        <v/>
      </c>
      <c r="CB261" s="448" t="str">
        <f>_xlfn.IFNA(VLOOKUP($BK261,Programma!$F$3:$W$1101,18,0),"")</f>
        <v/>
      </c>
      <c r="CC261" s="448" t="str">
        <f>_xlfn.IFNA(VLOOKUP($BK261,Programma!$F$3:$X$1101,19,0),"")</f>
        <v/>
      </c>
      <c r="CD261" s="448" t="str">
        <f>_xlfn.IFNA(VLOOKUP($BK261,Programma!$F$3:$Y$1101,20,0),"")</f>
        <v/>
      </c>
      <c r="CE261" s="327"/>
      <c r="CF261" s="327"/>
      <c r="CG261" s="327"/>
      <c r="CH261" s="327"/>
      <c r="CI261" s="327"/>
      <c r="CJ261" s="327"/>
      <c r="CK261" s="327"/>
      <c r="CL261" s="327"/>
      <c r="CM261" s="327"/>
      <c r="CN261" s="327"/>
      <c r="CO261" s="327"/>
      <c r="CP261" s="327"/>
      <c r="CQ261" s="327"/>
      <c r="CR261" s="327"/>
      <c r="CS261" s="327"/>
      <c r="CT261" s="327"/>
      <c r="CU261" s="327"/>
      <c r="CV261" s="327"/>
      <c r="CW261" s="327"/>
      <c r="CX261" s="327"/>
      <c r="CY261" s="327"/>
      <c r="CZ261" s="327"/>
      <c r="DA261" s="327"/>
      <c r="DB261" s="327"/>
      <c r="DC261" s="327"/>
      <c r="DD261" s="327"/>
      <c r="DE261" s="327"/>
      <c r="DF261" s="327"/>
      <c r="DG261" s="327"/>
      <c r="DH261" s="327"/>
      <c r="DI261" s="327"/>
      <c r="DJ261" s="327"/>
      <c r="DK261" s="327"/>
      <c r="DL261" s="327"/>
      <c r="DM261" s="327"/>
      <c r="DN261" s="327"/>
      <c r="DO261" s="327"/>
      <c r="DP261" s="327"/>
      <c r="DQ261" s="327"/>
      <c r="DR261" s="327"/>
      <c r="DS261" s="327"/>
      <c r="DT261" s="327"/>
      <c r="DU261" s="327"/>
      <c r="DV261" s="327"/>
      <c r="DW261" s="327"/>
      <c r="DX261" s="327"/>
      <c r="DY261" s="327"/>
      <c r="DZ261" s="327"/>
      <c r="EA261" s="327"/>
      <c r="EB261" s="327"/>
      <c r="EC261" s="327"/>
      <c r="ED261" s="327"/>
      <c r="EE261" s="327"/>
      <c r="EF261" s="327"/>
      <c r="EG261" s="327"/>
      <c r="EH261" s="327"/>
      <c r="EI261" s="327"/>
      <c r="EJ261" s="327"/>
      <c r="EK261" s="327"/>
      <c r="EL261" s="327"/>
      <c r="EM261" s="327"/>
      <c r="EN261" s="327"/>
      <c r="EO261" s="327"/>
      <c r="EP261" s="327"/>
      <c r="EQ261" s="327"/>
      <c r="ER261" s="327"/>
      <c r="ES261" s="327"/>
      <c r="ET261" s="327"/>
      <c r="EU261" s="327"/>
      <c r="EV261" s="327"/>
      <c r="EW261" s="327"/>
      <c r="EX261" s="327"/>
      <c r="EY261" s="327"/>
      <c r="EZ261" s="327"/>
      <c r="FA261" s="327"/>
      <c r="FB261" s="327"/>
      <c r="FC261" s="327"/>
      <c r="FD261" s="327"/>
      <c r="FE261" s="327"/>
      <c r="FF261" s="327"/>
      <c r="FG261" s="327"/>
      <c r="FH261" s="327"/>
      <c r="FI261" s="327"/>
      <c r="FJ261" s="327"/>
      <c r="FK261" s="327"/>
      <c r="FL261" s="327"/>
      <c r="FM261" s="327"/>
      <c r="FN261" s="327"/>
      <c r="FO261" s="327"/>
      <c r="FP261" s="327"/>
      <c r="FQ261" s="327"/>
      <c r="FR261" s="327"/>
      <c r="FS261" s="327"/>
      <c r="FT261" s="327"/>
      <c r="FU261" s="327"/>
      <c r="FV261" s="327"/>
      <c r="FW261" s="327"/>
      <c r="FX261" s="327"/>
      <c r="FY261" s="327"/>
      <c r="FZ261" s="327"/>
      <c r="GA261" s="327"/>
      <c r="GB261" s="327"/>
      <c r="GC261" s="327"/>
      <c r="GD261" s="327"/>
      <c r="GE261" s="327"/>
      <c r="GF261" s="327"/>
      <c r="GG261" s="327"/>
      <c r="GH261" s="327"/>
      <c r="GI261" s="327"/>
      <c r="GJ261" s="327"/>
      <c r="GK261" s="327"/>
      <c r="GL261" s="327"/>
      <c r="GM261" s="327"/>
      <c r="GN261" s="327"/>
      <c r="GO261" s="327"/>
      <c r="GP261" s="327"/>
      <c r="GQ261" s="327"/>
      <c r="GR261" s="327"/>
      <c r="GS261" s="327"/>
      <c r="GT261" s="327"/>
      <c r="GU261" s="327"/>
      <c r="GV261" s="327"/>
      <c r="GW261" s="327"/>
      <c r="GX261" s="327"/>
      <c r="GY261" s="327"/>
      <c r="GZ261" s="327"/>
      <c r="HA261" s="327"/>
      <c r="HB261" s="327"/>
      <c r="HC261" s="327"/>
      <c r="HD261" s="327"/>
      <c r="HE261" s="327"/>
      <c r="HF261" s="327"/>
      <c r="HG261" s="327"/>
      <c r="HH261" s="327"/>
      <c r="HI261" s="327"/>
      <c r="HJ261" s="327"/>
      <c r="HK261" s="327"/>
      <c r="HL261" s="327"/>
      <c r="HM261" s="327"/>
      <c r="HN261" s="327"/>
      <c r="HO261" s="327"/>
      <c r="HP261" s="327"/>
      <c r="HQ261" s="327"/>
      <c r="HR261" s="327"/>
      <c r="HS261" s="327"/>
    </row>
    <row r="262" spans="1:227" ht="15" customHeight="1">
      <c r="A262" s="330">
        <v>12</v>
      </c>
      <c r="B262" s="435" t="str">
        <f>VLOOKUP(Ruimtestaat[[#This Row],[Code]],Locaties[[Code]:[Locatie]],2,FALSE)</f>
        <v>IKC De Leerplaneet Loc. 2 (vh 't Plankier)</v>
      </c>
      <c r="C262" s="435" t="str">
        <f>VLOOKUP(Ruimtestaat[[#This Row],[Code]],Locaties[[#All],[Code]:[Adres]],4,FALSE)</f>
        <v>Wedekindzijde 1-3</v>
      </c>
      <c r="D262" s="435" t="str">
        <f>VLOOKUP(Ruimtestaat[[#This Row],[Code]],Locaties[[#All],[Code]:[Postcode]],5,FALSE)</f>
        <v>2725 PG</v>
      </c>
      <c r="E262" s="435" t="str">
        <f>VLOOKUP(Ruimtestaat[[#This Row],[Code]],Locaties[#All],6,FALSE)</f>
        <v>Zoetermeer</v>
      </c>
      <c r="F262" s="450"/>
      <c r="G262" s="330" t="s">
        <v>1678</v>
      </c>
      <c r="H262" s="330" t="s">
        <v>1667</v>
      </c>
      <c r="I262" s="450" t="s">
        <v>1679</v>
      </c>
      <c r="J262" s="330">
        <v>16</v>
      </c>
      <c r="K262" s="450" t="str">
        <f>VLOOKUP(Ruimtestaat[[#This Row],[Ruimte code]],Ruimtegroepen[[#All],[Code]:[Ruimte omschrijving]],2,FALSE)</f>
        <v>Leslokalen</v>
      </c>
      <c r="L262" s="434" t="s">
        <v>100</v>
      </c>
      <c r="M262" s="437" t="s">
        <v>1759</v>
      </c>
      <c r="N262" s="439">
        <v>24</v>
      </c>
      <c r="O262" s="439"/>
      <c r="P262" s="439"/>
      <c r="Q262" s="439"/>
      <c r="R262" s="440" t="str">
        <f>VLOOKUP(Ruimtestaat[[#This Row],[Ruimte code]],Ruimtegroepen[],4,FALSE)</f>
        <v>Le</v>
      </c>
      <c r="S262" s="434">
        <v>40</v>
      </c>
      <c r="T262" s="434" t="s">
        <v>2</v>
      </c>
      <c r="U262" s="434">
        <f>IF(S262&gt;0,IF(RIGHT(Ruimtestaat[[#This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2" s="434">
        <f>IF(U262&gt;0,VLOOKUP($J262,Ruimtegroepen[],3,FALSE)*VLOOKUP($L262,Vloersoorten[],3,FALSE)*VLOOKUP($T262,Frequenties[],3,FALSE)*VLOOKUP($A262,Locaties[],3,FALSE),0)</f>
        <v>0</v>
      </c>
      <c r="W262" s="434">
        <f>Ruimtestaat[[#This Row],[Uitvoeringen werkdagen]]*Ruimtestaat[[#This Row],[Oppervlak (netto)]]</f>
        <v>4800</v>
      </c>
      <c r="X262" s="441">
        <f>IF(V262&gt;0,Ruimtestaat[[#This Row],[Prest. (m2 /jaar) werkdagen]]/Ruimtestaat[[#This Row],[Norm (m2/uur) werkdagen]],0)</f>
        <v>0</v>
      </c>
      <c r="Y262" s="442">
        <f>Ruimtestaat[[#This Row],[Uitvoeringen werkdagen]]*Ruimtestaat[[#This Row],[Gedeeltelijk]]</f>
        <v>0</v>
      </c>
      <c r="Z262" s="443" t="e">
        <f>IF(U262&gt;0,Ruimtestaat[[#This Row],[Prest. (m2 / jaar) werkdagen gedeeld]]/Ruimtestaat[[#This Row],[Norm (m2/uur) werkdagen]],0)</f>
        <v>#DIV/0!</v>
      </c>
      <c r="AA262" s="441" t="e">
        <f>Ruimtestaat[[#This Row],[uren / jaar werkdagen gedeeld]]*Tariefsopbouw!$E$35</f>
        <v>#DIV/0!</v>
      </c>
      <c r="AB262" s="441">
        <f>Ruimtestaat[[#This Row],[Uitvoeringen werkdagen]]*Ruimtestaat[[#This Row],[BSO]]</f>
        <v>0</v>
      </c>
      <c r="AC262" s="443" t="e">
        <f>IF(U262&gt;0,Ruimtestaat[[#This Row],[Prest. (m2 / jaar) werkdagen BSO]]/Ruimtestaat[[#This Row],[Norm (m2/uur) werkdagen]],0)</f>
        <v>#DIV/0!</v>
      </c>
      <c r="AD262" s="443" t="e">
        <f>Ruimtestaat[[#This Row],[uren / jaar werkdagen BSO]]*Tariefsopbouw!$E$35</f>
        <v>#DIV/0!</v>
      </c>
      <c r="AE262" s="444">
        <f>Ruimtestaat[[#This Row],[uren / jaar werkdagen]]*Tariefsopbouw!$E$35</f>
        <v>0</v>
      </c>
      <c r="AF262" s="434"/>
      <c r="AG262" s="434">
        <f>IF(Ruimtestaat[[#This Row],[Frequentie weekend]]&gt;0,VALUE(LEFT(AF262,1))*S262,0)</f>
        <v>0</v>
      </c>
      <c r="AH262" s="445">
        <f>IF($AG262&gt;0,VLOOKUP($J262,Ruimtegroepen[],3,FALSE)*VLOOKUP($L262,Vloersoorten[],3,FALSE)*VLOOKUP($AF262,Frequenties[],3,FALSE)*VLOOKUP(Ruimtestaat[[#This Row],[Code]],Locaties[],3,FALSE),0)</f>
        <v>0</v>
      </c>
      <c r="AI262" s="445">
        <f>Ruimtestaat[[#This Row],[Uitvoeringen weekend]]*Ruimtestaat[[#This Row],[Oppervlak (netto)]]</f>
        <v>0</v>
      </c>
      <c r="AJ262" s="445">
        <f>IF(AH262&gt;0,Ruimtestaat[[#This Row],[Prest. (m2 /jaar) weekend]]/Ruimtestaat[[#This Row],[Norm (m2/uur) weekend]],0)</f>
        <v>0</v>
      </c>
      <c r="AK262" s="444">
        <f>Ruimtestaat[[#This Row],[uren / jaar weekend]]*Tariefsopbouw!$D$40</f>
        <v>0</v>
      </c>
      <c r="AL262" s="441">
        <f>Ruimtestaat[[#This Row],[Prest. (m2 /jaar) weekend]]+Ruimtestaat[[#This Row],[Prest. (m2 /jaar) werkdagen]]</f>
        <v>4800</v>
      </c>
      <c r="AM262" s="441">
        <f>Ruimtestaat[[#This Row],[uren / jaar weekend]]+Ruimtestaat[[#This Row],[uren / jaar werkdagen]]</f>
        <v>0</v>
      </c>
      <c r="AN262" s="446">
        <f>Ruimtestaat[[#This Row],[kosten / jaar weekend]]+Ruimtestaat[[#This Row],[kosten / jaar werkdagen]]</f>
        <v>0</v>
      </c>
      <c r="AO262" s="446"/>
      <c r="AP262" s="447" t="str">
        <f>IF(Ruimtestaat[[#This Row],[Frequentie werkdagen]]="","",_xlfn.CONCAT(Ruimtestaat[[#This Row],[Ruimte code]],"-",Ruimtestaat[[#This Row],[Frequentie werkdagen]]," ",Ruimtestaat[[#This Row],[Vloer code]]))</f>
        <v>16-5w L</v>
      </c>
      <c r="AQ262" s="448" t="str">
        <f>_xlfn.IFNA(VLOOKUP($AP262,Programma!$F$3:$G$1101,2,0),"")</f>
        <v>_</v>
      </c>
      <c r="AR262" s="448" t="str">
        <f>_xlfn.IFNA(VLOOKUP($AP262,Programma!$F$3:$H$1101,3,0),"")</f>
        <v>_</v>
      </c>
      <c r="AS262" s="448" t="str">
        <f>_xlfn.IFNA(VLOOKUP($AP262,Programma!$F$3:$I$1101,4,0),"")</f>
        <v>4w</v>
      </c>
      <c r="AT262" s="448" t="str">
        <f>_xlfn.IFNA(VLOOKUP($AP262,Programma!$F$3:$J$1101,5,0),"")</f>
        <v>1w</v>
      </c>
      <c r="AU262" s="448" t="str">
        <f>_xlfn.IFNA(VLOOKUP($AP262,Programma!$F$3:$K$1101,6,0),"")</f>
        <v>_</v>
      </c>
      <c r="AV262" s="448" t="str">
        <f>_xlfn.IFNA(VLOOKUP($AP262,Programma!$F$3:$L$1101,7,0),"")</f>
        <v>_</v>
      </c>
      <c r="AW262" s="448" t="str">
        <f>_xlfn.IFNA(VLOOKUP($AP262,Programma!$F$3:$M$1101,8,0),"")</f>
        <v>_</v>
      </c>
      <c r="AX262" s="448" t="str">
        <f>_xlfn.IFNA(VLOOKUP($AP262,Programma!$F$3:$N$1101,9,0),"")</f>
        <v>_</v>
      </c>
      <c r="AY262" s="448" t="str">
        <f>_xlfn.IFNA(VLOOKUP($AP262,Programma!$F$3:$O$1101,10,0),"")</f>
        <v>5w</v>
      </c>
      <c r="AZ262" s="448" t="str">
        <f>_xlfn.IFNA(VLOOKUP($AP262,Programma!$F$3:$P$1101,11,0),"")</f>
        <v>5w</v>
      </c>
      <c r="BA262" s="448" t="str">
        <f>_xlfn.IFNA(VLOOKUP($AP262,Programma!$F$3:$Q$1101,12,0),"")</f>
        <v>1w</v>
      </c>
      <c r="BB262" s="448" t="str">
        <f>_xlfn.IFNA(VLOOKUP($AP262,Programma!$F$3:$R$1101,13,0),"")</f>
        <v>1w</v>
      </c>
      <c r="BC262" s="448" t="str">
        <f>_xlfn.IFNA(VLOOKUP($AP262,Programma!$F$3:$S$1101,14,0),"")</f>
        <v>1m</v>
      </c>
      <c r="BD262" s="448" t="str">
        <f>_xlfn.IFNA(VLOOKUP($AP262,Programma!$F$3:$T$1101,15,0),"")</f>
        <v>2j</v>
      </c>
      <c r="BE262" s="448" t="str">
        <f>_xlfn.IFNA(VLOOKUP($AP262,Programma!$F$3:$U$1101,16,0),"")</f>
        <v>1j</v>
      </c>
      <c r="BF262" s="448" t="str">
        <f>_xlfn.IFNA(VLOOKUP($AP262,Programma!$F$3:$V$1101,17,0),"")</f>
        <v>_</v>
      </c>
      <c r="BG262" s="448" t="str">
        <f>_xlfn.IFNA(VLOOKUP($AP262,Programma!$F$3:$W$1101,18,0),"")</f>
        <v>_</v>
      </c>
      <c r="BH262" s="448" t="str">
        <f>_xlfn.IFNA(VLOOKUP($AP262,Programma!$F$3:$X$1101,19,0),"")</f>
        <v>_</v>
      </c>
      <c r="BI262" s="448" t="str">
        <f>_xlfn.IFNA(VLOOKUP($AP262,Programma!$F$3:$Y$1101,20,0),"")</f>
        <v>_</v>
      </c>
      <c r="BJ262" s="449"/>
      <c r="BK262" s="447" t="str">
        <f>IF(Ruimtestaat[[#This Row],[Frequentie weekend]]="","",_xlfn.CONCAT(Ruimtestaat[[#This Row],[Ruimte code]],"-",Ruimtestaat[[#This Row],[Frequentie weekend]]," ",Ruimtestaat[[#This Row],[Vloer code]]))</f>
        <v/>
      </c>
      <c r="BL262" s="448" t="str">
        <f>_xlfn.IFNA(VLOOKUP($BK262,Programma!$F$3:$G$1101,2,0),"")</f>
        <v/>
      </c>
      <c r="BM262" s="448" t="str">
        <f>_xlfn.IFNA(VLOOKUP($BK262,Programma!$F$3:$H$1101,3,0),"")</f>
        <v/>
      </c>
      <c r="BN262" s="448" t="str">
        <f>_xlfn.IFNA(VLOOKUP($BK262,Programma!$F$3:$I$1101,4,0),"")</f>
        <v/>
      </c>
      <c r="BO262" s="448" t="str">
        <f>_xlfn.IFNA(VLOOKUP($BK262,Programma!$F$3:$J$1101,5,0),"")</f>
        <v/>
      </c>
      <c r="BP262" s="448" t="str">
        <f>_xlfn.IFNA(VLOOKUP($BK262,Programma!$F$3:$K$1101,6,0),"")</f>
        <v/>
      </c>
      <c r="BQ262" s="448" t="str">
        <f>_xlfn.IFNA(VLOOKUP($BK262,Programma!$F$3:$L$1101,7,0),"")</f>
        <v/>
      </c>
      <c r="BR262" s="448" t="str">
        <f>_xlfn.IFNA(VLOOKUP($BK262,Programma!$F$3:$M$1101,8,0),"")</f>
        <v/>
      </c>
      <c r="BS262" s="448" t="str">
        <f>_xlfn.IFNA(VLOOKUP($BK262,Programma!$F$3:$N$1101,9,0),"")</f>
        <v/>
      </c>
      <c r="BT262" s="448" t="str">
        <f>_xlfn.IFNA(VLOOKUP($BK262,Programma!$F$3:$O$1101,10,0),"")</f>
        <v/>
      </c>
      <c r="BU262" s="448" t="str">
        <f>_xlfn.IFNA(VLOOKUP($BK262,Programma!$F$3:$P$1101,11,0),"")</f>
        <v/>
      </c>
      <c r="BV262" s="448" t="str">
        <f>_xlfn.IFNA(VLOOKUP($BK262,Programma!$F$3:$Q$1101,12,0),"")</f>
        <v/>
      </c>
      <c r="BW262" s="448" t="str">
        <f>_xlfn.IFNA(VLOOKUP($BK262,Programma!$F$3:$R$1101,13,0),"")</f>
        <v/>
      </c>
      <c r="BX262" s="448" t="str">
        <f>_xlfn.IFNA(VLOOKUP($BK262,Programma!$F$3:$S$1101,14,0),"")</f>
        <v/>
      </c>
      <c r="BY262" s="448" t="str">
        <f>_xlfn.IFNA(VLOOKUP($BK262,Programma!$F$3:$T$1101,15,0),"")</f>
        <v/>
      </c>
      <c r="BZ262" s="448" t="str">
        <f>_xlfn.IFNA(VLOOKUP($BK262,Programma!$F$3:$U$1101,16,0),"")</f>
        <v/>
      </c>
      <c r="CA262" s="448" t="str">
        <f>_xlfn.IFNA(VLOOKUP($BK262,Programma!$F$3:$V$1101,17,0),"")</f>
        <v/>
      </c>
      <c r="CB262" s="448" t="str">
        <f>_xlfn.IFNA(VLOOKUP($BK262,Programma!$F$3:$W$1101,18,0),"")</f>
        <v/>
      </c>
      <c r="CC262" s="448" t="str">
        <f>_xlfn.IFNA(VLOOKUP($BK262,Programma!$F$3:$X$1101,19,0),"")</f>
        <v/>
      </c>
      <c r="CD262" s="448" t="str">
        <f>_xlfn.IFNA(VLOOKUP($BK262,Programma!$F$3:$Y$1101,20,0),"")</f>
        <v/>
      </c>
      <c r="CE262" s="327"/>
      <c r="CF262" s="327"/>
      <c r="CG262" s="327"/>
      <c r="CH262" s="327"/>
      <c r="CI262" s="327"/>
      <c r="CJ262" s="327"/>
      <c r="CK262" s="327"/>
      <c r="CL262" s="327"/>
      <c r="CM262" s="327"/>
      <c r="CN262" s="327"/>
      <c r="CO262" s="327"/>
      <c r="CP262" s="327"/>
      <c r="CQ262" s="327"/>
      <c r="CR262" s="327"/>
      <c r="CS262" s="327"/>
      <c r="CT262" s="327"/>
      <c r="CU262" s="327"/>
      <c r="CV262" s="327"/>
      <c r="CW262" s="327"/>
      <c r="CX262" s="327"/>
      <c r="CY262" s="327"/>
      <c r="CZ262" s="327"/>
      <c r="DA262" s="327"/>
      <c r="DB262" s="327"/>
      <c r="DC262" s="327"/>
      <c r="DD262" s="327"/>
      <c r="DE262" s="327"/>
      <c r="DF262" s="327"/>
      <c r="DG262" s="327"/>
      <c r="DH262" s="327"/>
      <c r="DI262" s="327"/>
      <c r="DJ262" s="327"/>
      <c r="DK262" s="327"/>
      <c r="DL262" s="327"/>
      <c r="DM262" s="327"/>
      <c r="DN262" s="327"/>
      <c r="DO262" s="327"/>
      <c r="DP262" s="327"/>
      <c r="DQ262" s="327"/>
      <c r="DR262" s="327"/>
      <c r="DS262" s="327"/>
      <c r="DT262" s="327"/>
      <c r="DU262" s="327"/>
      <c r="DV262" s="327"/>
      <c r="DW262" s="327"/>
      <c r="DX262" s="327"/>
      <c r="DY262" s="327"/>
      <c r="DZ262" s="327"/>
      <c r="EA262" s="327"/>
      <c r="EB262" s="327"/>
      <c r="EC262" s="327"/>
      <c r="ED262" s="327"/>
      <c r="EE262" s="327"/>
      <c r="EF262" s="327"/>
      <c r="EG262" s="327"/>
      <c r="EH262" s="327"/>
      <c r="EI262" s="327"/>
      <c r="EJ262" s="327"/>
      <c r="EK262" s="327"/>
      <c r="EL262" s="327"/>
      <c r="EM262" s="327"/>
      <c r="EN262" s="327"/>
      <c r="EO262" s="327"/>
      <c r="EP262" s="327"/>
      <c r="EQ262" s="327"/>
      <c r="ER262" s="327"/>
      <c r="ES262" s="327"/>
      <c r="ET262" s="327"/>
      <c r="EU262" s="327"/>
      <c r="EV262" s="327"/>
      <c r="EW262" s="327"/>
      <c r="EX262" s="327"/>
      <c r="EY262" s="327"/>
      <c r="EZ262" s="327"/>
      <c r="FA262" s="327"/>
      <c r="FB262" s="327"/>
      <c r="FC262" s="327"/>
      <c r="FD262" s="327"/>
      <c r="FE262" s="327"/>
      <c r="FF262" s="327"/>
      <c r="FG262" s="327"/>
      <c r="FH262" s="327"/>
      <c r="FI262" s="327"/>
      <c r="FJ262" s="327"/>
      <c r="FK262" s="327"/>
      <c r="FL262" s="327"/>
      <c r="FM262" s="327"/>
      <c r="FN262" s="327"/>
      <c r="FO262" s="327"/>
      <c r="FP262" s="327"/>
      <c r="FQ262" s="327"/>
      <c r="FR262" s="327"/>
      <c r="FS262" s="327"/>
      <c r="FT262" s="327"/>
      <c r="FU262" s="327"/>
      <c r="FV262" s="327"/>
      <c r="FW262" s="327"/>
      <c r="FX262" s="327"/>
      <c r="FY262" s="327"/>
      <c r="FZ262" s="327"/>
      <c r="GA262" s="327"/>
      <c r="GB262" s="327"/>
      <c r="GC262" s="327"/>
      <c r="GD262" s="327"/>
      <c r="GE262" s="327"/>
      <c r="GF262" s="327"/>
      <c r="GG262" s="327"/>
      <c r="GH262" s="327"/>
      <c r="GI262" s="327"/>
      <c r="GJ262" s="327"/>
      <c r="GK262" s="327"/>
      <c r="GL262" s="327"/>
      <c r="GM262" s="327"/>
      <c r="GN262" s="327"/>
      <c r="GO262" s="327"/>
      <c r="GP262" s="327"/>
      <c r="GQ262" s="327"/>
      <c r="GR262" s="327"/>
      <c r="GS262" s="327"/>
      <c r="GT262" s="327"/>
      <c r="GU262" s="327"/>
      <c r="GV262" s="327"/>
      <c r="GW262" s="327"/>
      <c r="GX262" s="327"/>
      <c r="GY262" s="327"/>
      <c r="GZ262" s="327"/>
      <c r="HA262" s="327"/>
      <c r="HB262" s="327"/>
      <c r="HC262" s="327"/>
      <c r="HD262" s="327"/>
      <c r="HE262" s="327"/>
      <c r="HF262" s="327"/>
      <c r="HG262" s="327"/>
      <c r="HH262" s="327"/>
      <c r="HI262" s="327"/>
      <c r="HJ262" s="327"/>
      <c r="HK262" s="327"/>
      <c r="HL262" s="327"/>
      <c r="HM262" s="327"/>
      <c r="HN262" s="327"/>
      <c r="HO262" s="327"/>
      <c r="HP262" s="327"/>
      <c r="HQ262" s="327"/>
      <c r="HR262" s="327"/>
      <c r="HS262" s="327"/>
    </row>
    <row r="263" spans="1:227" ht="15" customHeight="1">
      <c r="A263" s="330">
        <v>12</v>
      </c>
      <c r="B263" s="435" t="str">
        <f>VLOOKUP(Ruimtestaat[[#This Row],[Code]],Locaties[[Code]:[Locatie]],2,FALSE)</f>
        <v>IKC De Leerplaneet Loc. 2 (vh 't Plankier)</v>
      </c>
      <c r="C263" s="435" t="str">
        <f>VLOOKUP(Ruimtestaat[[#This Row],[Code]],Locaties[[#All],[Code]:[Adres]],4,FALSE)</f>
        <v>Wedekindzijde 1-3</v>
      </c>
      <c r="D263" s="435" t="str">
        <f>VLOOKUP(Ruimtestaat[[#This Row],[Code]],Locaties[[#All],[Code]:[Postcode]],5,FALSE)</f>
        <v>2725 PG</v>
      </c>
      <c r="E263" s="435" t="str">
        <f>VLOOKUP(Ruimtestaat[[#This Row],[Code]],Locaties[#All],6,FALSE)</f>
        <v>Zoetermeer</v>
      </c>
      <c r="F263" s="450"/>
      <c r="G263" s="330" t="s">
        <v>1678</v>
      </c>
      <c r="H263" s="330" t="s">
        <v>1668</v>
      </c>
      <c r="I263" s="450" t="s">
        <v>1679</v>
      </c>
      <c r="J263" s="330">
        <v>16</v>
      </c>
      <c r="K263" s="450" t="str">
        <f>VLOOKUP(Ruimtestaat[[#This Row],[Ruimte code]],Ruimtegroepen[[#All],[Code]:[Ruimte omschrijving]],2,FALSE)</f>
        <v>Leslokalen</v>
      </c>
      <c r="L263" s="434" t="s">
        <v>100</v>
      </c>
      <c r="M263" s="437" t="s">
        <v>1759</v>
      </c>
      <c r="N263" s="439">
        <v>47</v>
      </c>
      <c r="O263" s="439"/>
      <c r="P263" s="439"/>
      <c r="Q263" s="439"/>
      <c r="R263" s="440" t="str">
        <f>VLOOKUP(Ruimtestaat[[#This Row],[Ruimte code]],Ruimtegroepen[],4,FALSE)</f>
        <v>Le</v>
      </c>
      <c r="S263" s="434">
        <v>40</v>
      </c>
      <c r="T263" s="434" t="s">
        <v>2</v>
      </c>
      <c r="U263" s="434">
        <f>IF(S263&gt;0,IF(RIGHT(Ruimtestaat[[#This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3" s="434">
        <f>IF(U263&gt;0,VLOOKUP($J263,Ruimtegroepen[],3,FALSE)*VLOOKUP($L263,Vloersoorten[],3,FALSE)*VLOOKUP($T263,Frequenties[],3,FALSE)*VLOOKUP($A263,Locaties[],3,FALSE),0)</f>
        <v>0</v>
      </c>
      <c r="W263" s="434">
        <f>Ruimtestaat[[#This Row],[Uitvoeringen werkdagen]]*Ruimtestaat[[#This Row],[Oppervlak (netto)]]</f>
        <v>9400</v>
      </c>
      <c r="X263" s="441">
        <f>IF(V263&gt;0,Ruimtestaat[[#This Row],[Prest. (m2 /jaar) werkdagen]]/Ruimtestaat[[#This Row],[Norm (m2/uur) werkdagen]],0)</f>
        <v>0</v>
      </c>
      <c r="Y263" s="442">
        <f>Ruimtestaat[[#This Row],[Uitvoeringen werkdagen]]*Ruimtestaat[[#This Row],[Gedeeltelijk]]</f>
        <v>0</v>
      </c>
      <c r="Z263" s="443" t="e">
        <f>IF(U263&gt;0,Ruimtestaat[[#This Row],[Prest. (m2 / jaar) werkdagen gedeeld]]/Ruimtestaat[[#This Row],[Norm (m2/uur) werkdagen]],0)</f>
        <v>#DIV/0!</v>
      </c>
      <c r="AA263" s="441" t="e">
        <f>Ruimtestaat[[#This Row],[uren / jaar werkdagen gedeeld]]*Tariefsopbouw!$E$35</f>
        <v>#DIV/0!</v>
      </c>
      <c r="AB263" s="441">
        <f>Ruimtestaat[[#This Row],[Uitvoeringen werkdagen]]*Ruimtestaat[[#This Row],[BSO]]</f>
        <v>0</v>
      </c>
      <c r="AC263" s="443" t="e">
        <f>IF(U263&gt;0,Ruimtestaat[[#This Row],[Prest. (m2 / jaar) werkdagen BSO]]/Ruimtestaat[[#This Row],[Norm (m2/uur) werkdagen]],0)</f>
        <v>#DIV/0!</v>
      </c>
      <c r="AD263" s="443" t="e">
        <f>Ruimtestaat[[#This Row],[uren / jaar werkdagen BSO]]*Tariefsopbouw!$E$35</f>
        <v>#DIV/0!</v>
      </c>
      <c r="AE263" s="444">
        <f>Ruimtestaat[[#This Row],[uren / jaar werkdagen]]*Tariefsopbouw!$E$35</f>
        <v>0</v>
      </c>
      <c r="AF263" s="434"/>
      <c r="AG263" s="434">
        <f>IF(Ruimtestaat[[#This Row],[Frequentie weekend]]&gt;0,VALUE(LEFT(AF263,1))*S263,0)</f>
        <v>0</v>
      </c>
      <c r="AH263" s="445">
        <f>IF($AG263&gt;0,VLOOKUP($J263,Ruimtegroepen[],3,FALSE)*VLOOKUP($L263,Vloersoorten[],3,FALSE)*VLOOKUP($AF263,Frequenties[],3,FALSE)*VLOOKUP(Ruimtestaat[[#This Row],[Code]],Locaties[],3,FALSE),0)</f>
        <v>0</v>
      </c>
      <c r="AI263" s="445">
        <f>Ruimtestaat[[#This Row],[Uitvoeringen weekend]]*Ruimtestaat[[#This Row],[Oppervlak (netto)]]</f>
        <v>0</v>
      </c>
      <c r="AJ263" s="445">
        <f>IF(AH263&gt;0,Ruimtestaat[[#This Row],[Prest. (m2 /jaar) weekend]]/Ruimtestaat[[#This Row],[Norm (m2/uur) weekend]],0)</f>
        <v>0</v>
      </c>
      <c r="AK263" s="444">
        <f>Ruimtestaat[[#This Row],[uren / jaar weekend]]*Tariefsopbouw!$D$40</f>
        <v>0</v>
      </c>
      <c r="AL263" s="441">
        <f>Ruimtestaat[[#This Row],[Prest. (m2 /jaar) weekend]]+Ruimtestaat[[#This Row],[Prest. (m2 /jaar) werkdagen]]</f>
        <v>9400</v>
      </c>
      <c r="AM263" s="441">
        <f>Ruimtestaat[[#This Row],[uren / jaar weekend]]+Ruimtestaat[[#This Row],[uren / jaar werkdagen]]</f>
        <v>0</v>
      </c>
      <c r="AN263" s="446">
        <f>Ruimtestaat[[#This Row],[kosten / jaar weekend]]+Ruimtestaat[[#This Row],[kosten / jaar werkdagen]]</f>
        <v>0</v>
      </c>
      <c r="AO263" s="446"/>
      <c r="AP263" s="447" t="str">
        <f>IF(Ruimtestaat[[#This Row],[Frequentie werkdagen]]="","",_xlfn.CONCAT(Ruimtestaat[[#This Row],[Ruimte code]],"-",Ruimtestaat[[#This Row],[Frequentie werkdagen]]," ",Ruimtestaat[[#This Row],[Vloer code]]))</f>
        <v>16-5w L</v>
      </c>
      <c r="AQ263" s="448" t="str">
        <f>_xlfn.IFNA(VLOOKUP($AP263,Programma!$F$3:$G$1101,2,0),"")</f>
        <v>_</v>
      </c>
      <c r="AR263" s="448" t="str">
        <f>_xlfn.IFNA(VLOOKUP($AP263,Programma!$F$3:$H$1101,3,0),"")</f>
        <v>_</v>
      </c>
      <c r="AS263" s="448" t="str">
        <f>_xlfn.IFNA(VLOOKUP($AP263,Programma!$F$3:$I$1101,4,0),"")</f>
        <v>4w</v>
      </c>
      <c r="AT263" s="448" t="str">
        <f>_xlfn.IFNA(VLOOKUP($AP263,Programma!$F$3:$J$1101,5,0),"")</f>
        <v>1w</v>
      </c>
      <c r="AU263" s="448" t="str">
        <f>_xlfn.IFNA(VLOOKUP($AP263,Programma!$F$3:$K$1101,6,0),"")</f>
        <v>_</v>
      </c>
      <c r="AV263" s="448" t="str">
        <f>_xlfn.IFNA(VLOOKUP($AP263,Programma!$F$3:$L$1101,7,0),"")</f>
        <v>_</v>
      </c>
      <c r="AW263" s="448" t="str">
        <f>_xlfn.IFNA(VLOOKUP($AP263,Programma!$F$3:$M$1101,8,0),"")</f>
        <v>_</v>
      </c>
      <c r="AX263" s="448" t="str">
        <f>_xlfn.IFNA(VLOOKUP($AP263,Programma!$F$3:$N$1101,9,0),"")</f>
        <v>_</v>
      </c>
      <c r="AY263" s="448" t="str">
        <f>_xlfn.IFNA(VLOOKUP($AP263,Programma!$F$3:$O$1101,10,0),"")</f>
        <v>5w</v>
      </c>
      <c r="AZ263" s="448" t="str">
        <f>_xlfn.IFNA(VLOOKUP($AP263,Programma!$F$3:$P$1101,11,0),"")</f>
        <v>5w</v>
      </c>
      <c r="BA263" s="448" t="str">
        <f>_xlfn.IFNA(VLOOKUP($AP263,Programma!$F$3:$Q$1101,12,0),"")</f>
        <v>1w</v>
      </c>
      <c r="BB263" s="448" t="str">
        <f>_xlfn.IFNA(VLOOKUP($AP263,Programma!$F$3:$R$1101,13,0),"")</f>
        <v>1w</v>
      </c>
      <c r="BC263" s="448" t="str">
        <f>_xlfn.IFNA(VLOOKUP($AP263,Programma!$F$3:$S$1101,14,0),"")</f>
        <v>1m</v>
      </c>
      <c r="BD263" s="448" t="str">
        <f>_xlfn.IFNA(VLOOKUP($AP263,Programma!$F$3:$T$1101,15,0),"")</f>
        <v>2j</v>
      </c>
      <c r="BE263" s="448" t="str">
        <f>_xlfn.IFNA(VLOOKUP($AP263,Programma!$F$3:$U$1101,16,0),"")</f>
        <v>1j</v>
      </c>
      <c r="BF263" s="448" t="str">
        <f>_xlfn.IFNA(VLOOKUP($AP263,Programma!$F$3:$V$1101,17,0),"")</f>
        <v>_</v>
      </c>
      <c r="BG263" s="448" t="str">
        <f>_xlfn.IFNA(VLOOKUP($AP263,Programma!$F$3:$W$1101,18,0),"")</f>
        <v>_</v>
      </c>
      <c r="BH263" s="448" t="str">
        <f>_xlfn.IFNA(VLOOKUP($AP263,Programma!$F$3:$X$1101,19,0),"")</f>
        <v>_</v>
      </c>
      <c r="BI263" s="448" t="str">
        <f>_xlfn.IFNA(VLOOKUP($AP263,Programma!$F$3:$Y$1101,20,0),"")</f>
        <v>_</v>
      </c>
      <c r="BJ263" s="449"/>
      <c r="BK263" s="447" t="str">
        <f>IF(Ruimtestaat[[#This Row],[Frequentie weekend]]="","",_xlfn.CONCAT(Ruimtestaat[[#This Row],[Ruimte code]],"-",Ruimtestaat[[#This Row],[Frequentie weekend]]," ",Ruimtestaat[[#This Row],[Vloer code]]))</f>
        <v/>
      </c>
      <c r="BL263" s="448" t="str">
        <f>_xlfn.IFNA(VLOOKUP($BK263,Programma!$F$3:$G$1101,2,0),"")</f>
        <v/>
      </c>
      <c r="BM263" s="448" t="str">
        <f>_xlfn.IFNA(VLOOKUP($BK263,Programma!$F$3:$H$1101,3,0),"")</f>
        <v/>
      </c>
      <c r="BN263" s="448" t="str">
        <f>_xlfn.IFNA(VLOOKUP($BK263,Programma!$F$3:$I$1101,4,0),"")</f>
        <v/>
      </c>
      <c r="BO263" s="448" t="str">
        <f>_xlfn.IFNA(VLOOKUP($BK263,Programma!$F$3:$J$1101,5,0),"")</f>
        <v/>
      </c>
      <c r="BP263" s="448" t="str">
        <f>_xlfn.IFNA(VLOOKUP($BK263,Programma!$F$3:$K$1101,6,0),"")</f>
        <v/>
      </c>
      <c r="BQ263" s="448" t="str">
        <f>_xlfn.IFNA(VLOOKUP($BK263,Programma!$F$3:$L$1101,7,0),"")</f>
        <v/>
      </c>
      <c r="BR263" s="448" t="str">
        <f>_xlfn.IFNA(VLOOKUP($BK263,Programma!$F$3:$M$1101,8,0),"")</f>
        <v/>
      </c>
      <c r="BS263" s="448" t="str">
        <f>_xlfn.IFNA(VLOOKUP($BK263,Programma!$F$3:$N$1101,9,0),"")</f>
        <v/>
      </c>
      <c r="BT263" s="448" t="str">
        <f>_xlfn.IFNA(VLOOKUP($BK263,Programma!$F$3:$O$1101,10,0),"")</f>
        <v/>
      </c>
      <c r="BU263" s="448" t="str">
        <f>_xlfn.IFNA(VLOOKUP($BK263,Programma!$F$3:$P$1101,11,0),"")</f>
        <v/>
      </c>
      <c r="BV263" s="448" t="str">
        <f>_xlfn.IFNA(VLOOKUP($BK263,Programma!$F$3:$Q$1101,12,0),"")</f>
        <v/>
      </c>
      <c r="BW263" s="448" t="str">
        <f>_xlfn.IFNA(VLOOKUP($BK263,Programma!$F$3:$R$1101,13,0),"")</f>
        <v/>
      </c>
      <c r="BX263" s="448" t="str">
        <f>_xlfn.IFNA(VLOOKUP($BK263,Programma!$F$3:$S$1101,14,0),"")</f>
        <v/>
      </c>
      <c r="BY263" s="448" t="str">
        <f>_xlfn.IFNA(VLOOKUP($BK263,Programma!$F$3:$T$1101,15,0),"")</f>
        <v/>
      </c>
      <c r="BZ263" s="448" t="str">
        <f>_xlfn.IFNA(VLOOKUP($BK263,Programma!$F$3:$U$1101,16,0),"")</f>
        <v/>
      </c>
      <c r="CA263" s="448" t="str">
        <f>_xlfn.IFNA(VLOOKUP($BK263,Programma!$F$3:$V$1101,17,0),"")</f>
        <v/>
      </c>
      <c r="CB263" s="448" t="str">
        <f>_xlfn.IFNA(VLOOKUP($BK263,Programma!$F$3:$W$1101,18,0),"")</f>
        <v/>
      </c>
      <c r="CC263" s="448" t="str">
        <f>_xlfn.IFNA(VLOOKUP($BK263,Programma!$F$3:$X$1101,19,0),"")</f>
        <v/>
      </c>
      <c r="CD263" s="448" t="str">
        <f>_xlfn.IFNA(VLOOKUP($BK263,Programma!$F$3:$Y$1101,20,0),"")</f>
        <v/>
      </c>
      <c r="CE263" s="327"/>
      <c r="CF263" s="327"/>
      <c r="CG263" s="327"/>
      <c r="CH263" s="327"/>
      <c r="CI263" s="327"/>
      <c r="CJ263" s="327"/>
      <c r="CK263" s="327"/>
      <c r="CL263" s="327"/>
      <c r="CM263" s="327"/>
      <c r="CN263" s="327"/>
      <c r="CO263" s="327"/>
      <c r="CP263" s="327"/>
      <c r="CQ263" s="327"/>
      <c r="CR263" s="327"/>
      <c r="CS263" s="327"/>
      <c r="CT263" s="327"/>
      <c r="CU263" s="327"/>
      <c r="CV263" s="327"/>
      <c r="CW263" s="327"/>
      <c r="CX263" s="327"/>
      <c r="CY263" s="327"/>
      <c r="CZ263" s="327"/>
      <c r="DA263" s="327"/>
      <c r="DB263" s="327"/>
      <c r="DC263" s="327"/>
      <c r="DD263" s="327"/>
      <c r="DE263" s="327"/>
      <c r="DF263" s="327"/>
      <c r="DG263" s="327"/>
      <c r="DH263" s="327"/>
      <c r="DI263" s="327"/>
      <c r="DJ263" s="327"/>
      <c r="DK263" s="327"/>
      <c r="DL263" s="327"/>
      <c r="DM263" s="327"/>
      <c r="DN263" s="327"/>
      <c r="DO263" s="327"/>
      <c r="DP263" s="327"/>
      <c r="DQ263" s="327"/>
      <c r="DR263" s="327"/>
      <c r="DS263" s="327"/>
      <c r="DT263" s="327"/>
      <c r="DU263" s="327"/>
      <c r="DV263" s="327"/>
      <c r="DW263" s="327"/>
      <c r="DX263" s="327"/>
      <c r="DY263" s="327"/>
      <c r="DZ263" s="327"/>
      <c r="EA263" s="327"/>
      <c r="EB263" s="327"/>
      <c r="EC263" s="327"/>
      <c r="ED263" s="327"/>
      <c r="EE263" s="327"/>
      <c r="EF263" s="327"/>
      <c r="EG263" s="327"/>
      <c r="EH263" s="327"/>
      <c r="EI263" s="327"/>
      <c r="EJ263" s="327"/>
      <c r="EK263" s="327"/>
      <c r="EL263" s="327"/>
      <c r="EM263" s="327"/>
      <c r="EN263" s="327"/>
      <c r="EO263" s="327"/>
      <c r="EP263" s="327"/>
      <c r="EQ263" s="327"/>
      <c r="ER263" s="327"/>
      <c r="ES263" s="327"/>
      <c r="ET263" s="327"/>
      <c r="EU263" s="327"/>
      <c r="EV263" s="327"/>
      <c r="EW263" s="327"/>
      <c r="EX263" s="327"/>
      <c r="EY263" s="327"/>
      <c r="EZ263" s="327"/>
      <c r="FA263" s="327"/>
      <c r="FB263" s="327"/>
      <c r="FC263" s="327"/>
      <c r="FD263" s="327"/>
      <c r="FE263" s="327"/>
      <c r="FF263" s="327"/>
      <c r="FG263" s="327"/>
      <c r="FH263" s="327"/>
      <c r="FI263" s="327"/>
      <c r="FJ263" s="327"/>
      <c r="FK263" s="327"/>
      <c r="FL263" s="327"/>
      <c r="FM263" s="327"/>
      <c r="FN263" s="327"/>
      <c r="FO263" s="327"/>
      <c r="FP263" s="327"/>
      <c r="FQ263" s="327"/>
      <c r="FR263" s="327"/>
      <c r="FS263" s="327"/>
      <c r="FT263" s="327"/>
      <c r="FU263" s="327"/>
      <c r="FV263" s="327"/>
      <c r="FW263" s="327"/>
      <c r="FX263" s="327"/>
      <c r="FY263" s="327"/>
      <c r="FZ263" s="327"/>
      <c r="GA263" s="327"/>
      <c r="GB263" s="327"/>
      <c r="GC263" s="327"/>
      <c r="GD263" s="327"/>
      <c r="GE263" s="327"/>
      <c r="GF263" s="327"/>
      <c r="GG263" s="327"/>
      <c r="GH263" s="327"/>
      <c r="GI263" s="327"/>
      <c r="GJ263" s="327"/>
      <c r="GK263" s="327"/>
      <c r="GL263" s="327"/>
      <c r="GM263" s="327"/>
      <c r="GN263" s="327"/>
      <c r="GO263" s="327"/>
      <c r="GP263" s="327"/>
      <c r="GQ263" s="327"/>
      <c r="GR263" s="327"/>
      <c r="GS263" s="327"/>
      <c r="GT263" s="327"/>
      <c r="GU263" s="327"/>
      <c r="GV263" s="327"/>
      <c r="GW263" s="327"/>
      <c r="GX263" s="327"/>
      <c r="GY263" s="327"/>
      <c r="GZ263" s="327"/>
      <c r="HA263" s="327"/>
      <c r="HB263" s="327"/>
      <c r="HC263" s="327"/>
      <c r="HD263" s="327"/>
      <c r="HE263" s="327"/>
      <c r="HF263" s="327"/>
      <c r="HG263" s="327"/>
      <c r="HH263" s="327"/>
      <c r="HI263" s="327"/>
      <c r="HJ263" s="327"/>
      <c r="HK263" s="327"/>
      <c r="HL263" s="327"/>
      <c r="HM263" s="327"/>
      <c r="HN263" s="327"/>
      <c r="HO263" s="327"/>
      <c r="HP263" s="327"/>
      <c r="HQ263" s="327"/>
      <c r="HR263" s="327"/>
      <c r="HS263" s="327"/>
    </row>
    <row r="264" spans="1:227" ht="15" customHeight="1">
      <c r="A264" s="330">
        <v>12</v>
      </c>
      <c r="B264" s="435" t="str">
        <f>VLOOKUP(Ruimtestaat[[#This Row],[Code]],Locaties[[Code]:[Locatie]],2,FALSE)</f>
        <v>IKC De Leerplaneet Loc. 2 (vh 't Plankier)</v>
      </c>
      <c r="C264" s="435" t="str">
        <f>VLOOKUP(Ruimtestaat[[#This Row],[Code]],Locaties[[#All],[Code]:[Adres]],4,FALSE)</f>
        <v>Wedekindzijde 1-3</v>
      </c>
      <c r="D264" s="435" t="str">
        <f>VLOOKUP(Ruimtestaat[[#This Row],[Code]],Locaties[[#All],[Code]:[Postcode]],5,FALSE)</f>
        <v>2725 PG</v>
      </c>
      <c r="E264" s="435" t="str">
        <f>VLOOKUP(Ruimtestaat[[#This Row],[Code]],Locaties[#All],6,FALSE)</f>
        <v>Zoetermeer</v>
      </c>
      <c r="F264" s="450" t="s">
        <v>1705</v>
      </c>
      <c r="G264" s="330" t="s">
        <v>1678</v>
      </c>
      <c r="H264" s="330" t="s">
        <v>1669</v>
      </c>
      <c r="I264" s="450" t="s">
        <v>1679</v>
      </c>
      <c r="J264" s="330">
        <v>8</v>
      </c>
      <c r="K264" s="450" t="str">
        <f>VLOOKUP(Ruimtestaat[[#This Row],[Ruimte code]],Ruimtegroepen[[#All],[Code]:[Ruimte omschrijving]],2,FALSE)</f>
        <v>Kinderopvang</v>
      </c>
      <c r="L264" s="434" t="s">
        <v>100</v>
      </c>
      <c r="M264" s="437" t="s">
        <v>1759</v>
      </c>
      <c r="N264" s="439"/>
      <c r="O264" s="439"/>
      <c r="P264" s="439"/>
      <c r="Q264" s="439">
        <v>24</v>
      </c>
      <c r="R264" s="440" t="str">
        <f>VLOOKUP(Ruimtestaat[[#This Row],[Ruimte code]],Ruimtegroepen[],4,FALSE)</f>
        <v>Le</v>
      </c>
      <c r="S264" s="434">
        <v>51</v>
      </c>
      <c r="T264" s="434" t="s">
        <v>20</v>
      </c>
      <c r="U264" s="434">
        <f>IF(S264&gt;0,IF(RIGHT(Ruimtestaat[[#This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V264" s="434">
        <f>IF(U264&gt;0,VLOOKUP($J264,Ruimtegroepen[],3,FALSE)*VLOOKUP($L264,Vloersoorten[],3,FALSE)*VLOOKUP($T264,Frequenties[],3,FALSE)*VLOOKUP($A264,Locaties[],3,FALSE),0)</f>
        <v>0</v>
      </c>
      <c r="W264" s="434">
        <f>Ruimtestaat[[#This Row],[Uitvoeringen werkdagen]]*Ruimtestaat[[#This Row],[Oppervlak (netto)]]</f>
        <v>0</v>
      </c>
      <c r="X264" s="441">
        <f>IF(V264&gt;0,Ruimtestaat[[#This Row],[Prest. (m2 /jaar) werkdagen]]/Ruimtestaat[[#This Row],[Norm (m2/uur) werkdagen]],0)</f>
        <v>0</v>
      </c>
      <c r="Y264" s="442">
        <f>Ruimtestaat[[#This Row],[Uitvoeringen werkdagen]]*Ruimtestaat[[#This Row],[Gedeeltelijk]]</f>
        <v>0</v>
      </c>
      <c r="Z264" s="443" t="e">
        <f>IF(U264&gt;0,Ruimtestaat[[#This Row],[Prest. (m2 / jaar) werkdagen gedeeld]]/Ruimtestaat[[#This Row],[Norm (m2/uur) werkdagen]],0)</f>
        <v>#DIV/0!</v>
      </c>
      <c r="AA264" s="441" t="e">
        <f>Ruimtestaat[[#This Row],[uren / jaar werkdagen gedeeld]]*Tariefsopbouw!$E$35</f>
        <v>#DIV/0!</v>
      </c>
      <c r="AB264" s="441">
        <f>Ruimtestaat[[#This Row],[Uitvoeringen werkdagen]]*Ruimtestaat[[#This Row],[BSO]]</f>
        <v>4896</v>
      </c>
      <c r="AC264" s="443" t="e">
        <f>IF(U264&gt;0,Ruimtestaat[[#This Row],[Prest. (m2 / jaar) werkdagen BSO]]/Ruimtestaat[[#This Row],[Norm (m2/uur) werkdagen]],0)</f>
        <v>#DIV/0!</v>
      </c>
      <c r="AD264" s="443" t="e">
        <f>Ruimtestaat[[#This Row],[uren / jaar werkdagen BSO]]*Tariefsopbouw!$E$35</f>
        <v>#DIV/0!</v>
      </c>
      <c r="AE264" s="444">
        <f>Ruimtestaat[[#This Row],[uren / jaar werkdagen]]*Tariefsopbouw!$E$35</f>
        <v>0</v>
      </c>
      <c r="AF264" s="434"/>
      <c r="AG264" s="434">
        <f>IF(Ruimtestaat[[#This Row],[Frequentie weekend]]&gt;0,VALUE(LEFT(AF264,1))*S264,0)</f>
        <v>0</v>
      </c>
      <c r="AH264" s="445">
        <f>IF($AG264&gt;0,VLOOKUP($J264,Ruimtegroepen[],3,FALSE)*VLOOKUP($L264,Vloersoorten[],3,FALSE)*VLOOKUP($AF264,Frequenties[],3,FALSE)*VLOOKUP(Ruimtestaat[[#This Row],[Code]],Locaties[],3,FALSE),0)</f>
        <v>0</v>
      </c>
      <c r="AI264" s="445">
        <f>Ruimtestaat[[#This Row],[Uitvoeringen weekend]]*Ruimtestaat[[#This Row],[Oppervlak (netto)]]</f>
        <v>0</v>
      </c>
      <c r="AJ264" s="445">
        <f>IF(AH264&gt;0,Ruimtestaat[[#This Row],[Prest. (m2 /jaar) weekend]]/Ruimtestaat[[#This Row],[Norm (m2/uur) weekend]],0)</f>
        <v>0</v>
      </c>
      <c r="AK264" s="444">
        <f>Ruimtestaat[[#This Row],[uren / jaar weekend]]*Tariefsopbouw!$D$40</f>
        <v>0</v>
      </c>
      <c r="AL264" s="441">
        <f>Ruimtestaat[[#This Row],[Prest. (m2 /jaar) weekend]]+Ruimtestaat[[#This Row],[Prest. (m2 /jaar) werkdagen]]</f>
        <v>0</v>
      </c>
      <c r="AM264" s="441">
        <f>Ruimtestaat[[#This Row],[uren / jaar weekend]]+Ruimtestaat[[#This Row],[uren / jaar werkdagen]]</f>
        <v>0</v>
      </c>
      <c r="AN264" s="446">
        <f>Ruimtestaat[[#This Row],[kosten / jaar weekend]]+Ruimtestaat[[#This Row],[kosten / jaar werkdagen]]</f>
        <v>0</v>
      </c>
      <c r="AO264" s="446"/>
      <c r="AP264" s="447" t="str">
        <f>IF(Ruimtestaat[[#This Row],[Frequentie werkdagen]]="","",_xlfn.CONCAT(Ruimtestaat[[#This Row],[Ruimte code]],"-",Ruimtestaat[[#This Row],[Frequentie werkdagen]]," ",Ruimtestaat[[#This Row],[Vloer code]]))</f>
        <v>8-4w L</v>
      </c>
      <c r="AQ264" s="448" t="str">
        <f>_xlfn.IFNA(VLOOKUP($AP264,Programma!$F$3:$G$1101,2,0),"")</f>
        <v>_</v>
      </c>
      <c r="AR264" s="448" t="str">
        <f>_xlfn.IFNA(VLOOKUP($AP264,Programma!$F$3:$H$1101,3,0),"")</f>
        <v>_</v>
      </c>
      <c r="AS264" s="448" t="str">
        <f>_xlfn.IFNA(VLOOKUP($AP264,Programma!$F$3:$I$1101,4,0),"")</f>
        <v>3w</v>
      </c>
      <c r="AT264" s="448" t="str">
        <f>_xlfn.IFNA(VLOOKUP($AP264,Programma!$F$3:$J$1101,5,0),"")</f>
        <v>1w</v>
      </c>
      <c r="AU264" s="448" t="str">
        <f>_xlfn.IFNA(VLOOKUP($AP264,Programma!$F$3:$K$1101,6,0),"")</f>
        <v>_</v>
      </c>
      <c r="AV264" s="448" t="str">
        <f>_xlfn.IFNA(VLOOKUP($AP264,Programma!$F$3:$L$1101,7,0),"")</f>
        <v>_</v>
      </c>
      <c r="AW264" s="448" t="str">
        <f>_xlfn.IFNA(VLOOKUP($AP264,Programma!$F$3:$M$1101,8,0),"")</f>
        <v>_</v>
      </c>
      <c r="AX264" s="448" t="str">
        <f>_xlfn.IFNA(VLOOKUP($AP264,Programma!$F$3:$N$1101,9,0),"")</f>
        <v>_</v>
      </c>
      <c r="AY264" s="448" t="str">
        <f>_xlfn.IFNA(VLOOKUP($AP264,Programma!$F$3:$O$1101,10,0),"")</f>
        <v>4w</v>
      </c>
      <c r="AZ264" s="448" t="str">
        <f>_xlfn.IFNA(VLOOKUP($AP264,Programma!$F$3:$P$1101,11,0),"")</f>
        <v>4w</v>
      </c>
      <c r="BA264" s="448" t="str">
        <f>_xlfn.IFNA(VLOOKUP($AP264,Programma!$F$3:$Q$1101,12,0),"")</f>
        <v>1w</v>
      </c>
      <c r="BB264" s="448" t="str">
        <f>_xlfn.IFNA(VLOOKUP($AP264,Programma!$F$3:$R$1101,13,0),"")</f>
        <v>1w</v>
      </c>
      <c r="BC264" s="448" t="str">
        <f>_xlfn.IFNA(VLOOKUP($AP264,Programma!$F$3:$S$1101,14,0),"")</f>
        <v>1m</v>
      </c>
      <c r="BD264" s="448" t="str">
        <f>_xlfn.IFNA(VLOOKUP($AP264,Programma!$F$3:$T$1101,15,0),"")</f>
        <v>2j</v>
      </c>
      <c r="BE264" s="448" t="str">
        <f>_xlfn.IFNA(VLOOKUP($AP264,Programma!$F$3:$U$1101,16,0),"")</f>
        <v>1j</v>
      </c>
      <c r="BF264" s="448" t="str">
        <f>_xlfn.IFNA(VLOOKUP($AP264,Programma!$F$3:$V$1101,17,0),"")</f>
        <v>_</v>
      </c>
      <c r="BG264" s="448" t="str">
        <f>_xlfn.IFNA(VLOOKUP($AP264,Programma!$F$3:$W$1101,18,0),"")</f>
        <v>_</v>
      </c>
      <c r="BH264" s="448" t="str">
        <f>_xlfn.IFNA(VLOOKUP($AP264,Programma!$F$3:$X$1101,19,0),"")</f>
        <v>_</v>
      </c>
      <c r="BI264" s="448" t="str">
        <f>_xlfn.IFNA(VLOOKUP($AP264,Programma!$F$3:$Y$1101,20,0),"")</f>
        <v>_</v>
      </c>
      <c r="BJ264" s="449"/>
      <c r="BK264" s="447" t="str">
        <f>IF(Ruimtestaat[[#This Row],[Frequentie weekend]]="","",_xlfn.CONCAT(Ruimtestaat[[#This Row],[Ruimte code]],"-",Ruimtestaat[[#This Row],[Frequentie weekend]]," ",Ruimtestaat[[#This Row],[Vloer code]]))</f>
        <v/>
      </c>
      <c r="BL264" s="448" t="str">
        <f>_xlfn.IFNA(VLOOKUP($BK264,Programma!$F$3:$G$1101,2,0),"")</f>
        <v/>
      </c>
      <c r="BM264" s="448" t="str">
        <f>_xlfn.IFNA(VLOOKUP($BK264,Programma!$F$3:$H$1101,3,0),"")</f>
        <v/>
      </c>
      <c r="BN264" s="448" t="str">
        <f>_xlfn.IFNA(VLOOKUP($BK264,Programma!$F$3:$I$1101,4,0),"")</f>
        <v/>
      </c>
      <c r="BO264" s="448" t="str">
        <f>_xlfn.IFNA(VLOOKUP($BK264,Programma!$F$3:$J$1101,5,0),"")</f>
        <v/>
      </c>
      <c r="BP264" s="448" t="str">
        <f>_xlfn.IFNA(VLOOKUP($BK264,Programma!$F$3:$K$1101,6,0),"")</f>
        <v/>
      </c>
      <c r="BQ264" s="448" t="str">
        <f>_xlfn.IFNA(VLOOKUP($BK264,Programma!$F$3:$L$1101,7,0),"")</f>
        <v/>
      </c>
      <c r="BR264" s="448" t="str">
        <f>_xlfn.IFNA(VLOOKUP($BK264,Programma!$F$3:$M$1101,8,0),"")</f>
        <v/>
      </c>
      <c r="BS264" s="448" t="str">
        <f>_xlfn.IFNA(VLOOKUP($BK264,Programma!$F$3:$N$1101,9,0),"")</f>
        <v/>
      </c>
      <c r="BT264" s="448" t="str">
        <f>_xlfn.IFNA(VLOOKUP($BK264,Programma!$F$3:$O$1101,10,0),"")</f>
        <v/>
      </c>
      <c r="BU264" s="448" t="str">
        <f>_xlfn.IFNA(VLOOKUP($BK264,Programma!$F$3:$P$1101,11,0),"")</f>
        <v/>
      </c>
      <c r="BV264" s="448" t="str">
        <f>_xlfn.IFNA(VLOOKUP($BK264,Programma!$F$3:$Q$1101,12,0),"")</f>
        <v/>
      </c>
      <c r="BW264" s="448" t="str">
        <f>_xlfn.IFNA(VLOOKUP($BK264,Programma!$F$3:$R$1101,13,0),"")</f>
        <v/>
      </c>
      <c r="BX264" s="448" t="str">
        <f>_xlfn.IFNA(VLOOKUP($BK264,Programma!$F$3:$S$1101,14,0),"")</f>
        <v/>
      </c>
      <c r="BY264" s="448" t="str">
        <f>_xlfn.IFNA(VLOOKUP($BK264,Programma!$F$3:$T$1101,15,0),"")</f>
        <v/>
      </c>
      <c r="BZ264" s="448" t="str">
        <f>_xlfn.IFNA(VLOOKUP($BK264,Programma!$F$3:$U$1101,16,0),"")</f>
        <v/>
      </c>
      <c r="CA264" s="448" t="str">
        <f>_xlfn.IFNA(VLOOKUP($BK264,Programma!$F$3:$V$1101,17,0),"")</f>
        <v/>
      </c>
      <c r="CB264" s="448" t="str">
        <f>_xlfn.IFNA(VLOOKUP($BK264,Programma!$F$3:$W$1101,18,0),"")</f>
        <v/>
      </c>
      <c r="CC264" s="448" t="str">
        <f>_xlfn.IFNA(VLOOKUP($BK264,Programma!$F$3:$X$1101,19,0),"")</f>
        <v/>
      </c>
      <c r="CD264" s="448" t="str">
        <f>_xlfn.IFNA(VLOOKUP($BK264,Programma!$F$3:$Y$1101,20,0),"")</f>
        <v/>
      </c>
      <c r="CE264" s="327"/>
      <c r="CF264" s="327"/>
      <c r="CG264" s="327"/>
      <c r="CH264" s="327"/>
      <c r="CI264" s="327"/>
      <c r="CJ264" s="327"/>
      <c r="CK264" s="327"/>
      <c r="CL264" s="327"/>
      <c r="CM264" s="327"/>
      <c r="CN264" s="327"/>
      <c r="CO264" s="327"/>
      <c r="CP264" s="327"/>
      <c r="CQ264" s="327"/>
      <c r="CR264" s="327"/>
      <c r="CS264" s="327"/>
      <c r="CT264" s="327"/>
      <c r="CU264" s="327"/>
      <c r="CV264" s="327"/>
      <c r="CW264" s="327"/>
      <c r="CX264" s="327"/>
      <c r="CY264" s="327"/>
      <c r="CZ264" s="327"/>
      <c r="DA264" s="327"/>
      <c r="DB264" s="327"/>
      <c r="DC264" s="327"/>
      <c r="DD264" s="327"/>
      <c r="DE264" s="327"/>
      <c r="DF264" s="327"/>
      <c r="DG264" s="327"/>
      <c r="DH264" s="327"/>
      <c r="DI264" s="327"/>
      <c r="DJ264" s="327"/>
      <c r="DK264" s="327"/>
      <c r="DL264" s="327"/>
      <c r="DM264" s="327"/>
      <c r="DN264" s="327"/>
      <c r="DO264" s="327"/>
      <c r="DP264" s="327"/>
      <c r="DQ264" s="327"/>
      <c r="DR264" s="327"/>
      <c r="DS264" s="327"/>
      <c r="DT264" s="327"/>
      <c r="DU264" s="327"/>
      <c r="DV264" s="327"/>
      <c r="DW264" s="327"/>
      <c r="DX264" s="327"/>
      <c r="DY264" s="327"/>
      <c r="DZ264" s="327"/>
      <c r="EA264" s="327"/>
      <c r="EB264" s="327"/>
      <c r="EC264" s="327"/>
      <c r="ED264" s="327"/>
      <c r="EE264" s="327"/>
      <c r="EF264" s="327"/>
      <c r="EG264" s="327"/>
      <c r="EH264" s="327"/>
      <c r="EI264" s="327"/>
      <c r="EJ264" s="327"/>
      <c r="EK264" s="327"/>
      <c r="EL264" s="327"/>
      <c r="EM264" s="327"/>
      <c r="EN264" s="327"/>
      <c r="EO264" s="327"/>
      <c r="EP264" s="327"/>
      <c r="EQ264" s="327"/>
      <c r="ER264" s="327"/>
      <c r="ES264" s="327"/>
      <c r="ET264" s="327"/>
      <c r="EU264" s="327"/>
      <c r="EV264" s="327"/>
      <c r="EW264" s="327"/>
      <c r="EX264" s="327"/>
      <c r="EY264" s="327"/>
      <c r="EZ264" s="327"/>
      <c r="FA264" s="327"/>
      <c r="FB264" s="327"/>
      <c r="FC264" s="327"/>
      <c r="FD264" s="327"/>
      <c r="FE264" s="327"/>
      <c r="FF264" s="327"/>
      <c r="FG264" s="327"/>
      <c r="FH264" s="327"/>
      <c r="FI264" s="327"/>
      <c r="FJ264" s="327"/>
      <c r="FK264" s="327"/>
      <c r="FL264" s="327"/>
      <c r="FM264" s="327"/>
      <c r="FN264" s="327"/>
      <c r="FO264" s="327"/>
      <c r="FP264" s="327"/>
      <c r="FQ264" s="327"/>
      <c r="FR264" s="327"/>
      <c r="FS264" s="327"/>
      <c r="FT264" s="327"/>
      <c r="FU264" s="327"/>
      <c r="FV264" s="327"/>
      <c r="FW264" s="327"/>
      <c r="FX264" s="327"/>
      <c r="FY264" s="327"/>
      <c r="FZ264" s="327"/>
      <c r="GA264" s="327"/>
      <c r="GB264" s="327"/>
      <c r="GC264" s="327"/>
      <c r="GD264" s="327"/>
      <c r="GE264" s="327"/>
      <c r="GF264" s="327"/>
      <c r="GG264" s="327"/>
      <c r="GH264" s="327"/>
      <c r="GI264" s="327"/>
      <c r="GJ264" s="327"/>
      <c r="GK264" s="327"/>
      <c r="GL264" s="327"/>
      <c r="GM264" s="327"/>
      <c r="GN264" s="327"/>
      <c r="GO264" s="327"/>
      <c r="GP264" s="327"/>
      <c r="GQ264" s="327"/>
      <c r="GR264" s="327"/>
      <c r="GS264" s="327"/>
      <c r="GT264" s="327"/>
      <c r="GU264" s="327"/>
      <c r="GV264" s="327"/>
      <c r="GW264" s="327"/>
      <c r="GX264" s="327"/>
      <c r="GY264" s="327"/>
      <c r="GZ264" s="327"/>
      <c r="HA264" s="327"/>
      <c r="HB264" s="327"/>
      <c r="HC264" s="327"/>
      <c r="HD264" s="327"/>
      <c r="HE264" s="327"/>
      <c r="HF264" s="327"/>
      <c r="HG264" s="327"/>
      <c r="HH264" s="327"/>
      <c r="HI264" s="327"/>
      <c r="HJ264" s="327"/>
      <c r="HK264" s="327"/>
      <c r="HL264" s="327"/>
      <c r="HM264" s="327"/>
      <c r="HN264" s="327"/>
      <c r="HO264" s="327"/>
      <c r="HP264" s="327"/>
      <c r="HQ264" s="327"/>
      <c r="HR264" s="327"/>
      <c r="HS264" s="327"/>
    </row>
    <row r="265" spans="1:227" ht="15" customHeight="1">
      <c r="A265" s="330">
        <v>12</v>
      </c>
      <c r="B265" s="435" t="str">
        <f>VLOOKUP(Ruimtestaat[[#This Row],[Code]],Locaties[[Code]:[Locatie]],2,FALSE)</f>
        <v>IKC De Leerplaneet Loc. 2 (vh 't Plankier)</v>
      </c>
      <c r="C265" s="435" t="str">
        <f>VLOOKUP(Ruimtestaat[[#This Row],[Code]],Locaties[[#All],[Code]:[Adres]],4,FALSE)</f>
        <v>Wedekindzijde 1-3</v>
      </c>
      <c r="D265" s="435" t="str">
        <f>VLOOKUP(Ruimtestaat[[#This Row],[Code]],Locaties[[#All],[Code]:[Postcode]],5,FALSE)</f>
        <v>2725 PG</v>
      </c>
      <c r="E265" s="435" t="str">
        <f>VLOOKUP(Ruimtestaat[[#This Row],[Code]],Locaties[#All],6,FALSE)</f>
        <v>Zoetermeer</v>
      </c>
      <c r="F265" s="450"/>
      <c r="G265" s="330" t="s">
        <v>1678</v>
      </c>
      <c r="H265" s="330" t="s">
        <v>1670</v>
      </c>
      <c r="I265" s="450" t="s">
        <v>1679</v>
      </c>
      <c r="J265" s="330">
        <v>16</v>
      </c>
      <c r="K265" s="450" t="str">
        <f>VLOOKUP(Ruimtestaat[[#This Row],[Ruimte code]],Ruimtegroepen[[#All],[Code]:[Ruimte omschrijving]],2,FALSE)</f>
        <v>Leslokalen</v>
      </c>
      <c r="L265" s="434" t="s">
        <v>99</v>
      </c>
      <c r="M265" s="437" t="s">
        <v>36</v>
      </c>
      <c r="N265" s="439">
        <v>51</v>
      </c>
      <c r="O265" s="439"/>
      <c r="P265" s="439"/>
      <c r="Q265" s="439"/>
      <c r="R265" s="440" t="str">
        <f>VLOOKUP(Ruimtestaat[[#This Row],[Ruimte code]],Ruimtegroepen[],4,FALSE)</f>
        <v>Le</v>
      </c>
      <c r="S265" s="434">
        <v>40</v>
      </c>
      <c r="T265" s="434" t="s">
        <v>2</v>
      </c>
      <c r="U265" s="434">
        <f>IF(S265&gt;0,IF(RIGHT(Ruimtestaat[[#This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5" s="434">
        <f>IF(U265&gt;0,VLOOKUP($J265,Ruimtegroepen[],3,FALSE)*VLOOKUP($L265,Vloersoorten[],3,FALSE)*VLOOKUP($T265,Frequenties[],3,FALSE)*VLOOKUP($A265,Locaties[],3,FALSE),0)</f>
        <v>0</v>
      </c>
      <c r="W265" s="434">
        <f>Ruimtestaat[[#This Row],[Uitvoeringen werkdagen]]*Ruimtestaat[[#This Row],[Oppervlak (netto)]]</f>
        <v>10200</v>
      </c>
      <c r="X265" s="441">
        <f>IF(V265&gt;0,Ruimtestaat[[#This Row],[Prest. (m2 /jaar) werkdagen]]/Ruimtestaat[[#This Row],[Norm (m2/uur) werkdagen]],0)</f>
        <v>0</v>
      </c>
      <c r="Y265" s="442">
        <f>Ruimtestaat[[#This Row],[Uitvoeringen werkdagen]]*Ruimtestaat[[#This Row],[Gedeeltelijk]]</f>
        <v>0</v>
      </c>
      <c r="Z265" s="443" t="e">
        <f>IF(U265&gt;0,Ruimtestaat[[#This Row],[Prest. (m2 / jaar) werkdagen gedeeld]]/Ruimtestaat[[#This Row],[Norm (m2/uur) werkdagen]],0)</f>
        <v>#DIV/0!</v>
      </c>
      <c r="AA265" s="441" t="e">
        <f>Ruimtestaat[[#This Row],[uren / jaar werkdagen gedeeld]]*Tariefsopbouw!$E$35</f>
        <v>#DIV/0!</v>
      </c>
      <c r="AB265" s="441">
        <f>Ruimtestaat[[#This Row],[Uitvoeringen werkdagen]]*Ruimtestaat[[#This Row],[BSO]]</f>
        <v>0</v>
      </c>
      <c r="AC265" s="443" t="e">
        <f>IF(U265&gt;0,Ruimtestaat[[#This Row],[Prest. (m2 / jaar) werkdagen BSO]]/Ruimtestaat[[#This Row],[Norm (m2/uur) werkdagen]],0)</f>
        <v>#DIV/0!</v>
      </c>
      <c r="AD265" s="443" t="e">
        <f>Ruimtestaat[[#This Row],[uren / jaar werkdagen BSO]]*Tariefsopbouw!$E$35</f>
        <v>#DIV/0!</v>
      </c>
      <c r="AE265" s="444">
        <f>Ruimtestaat[[#This Row],[uren / jaar werkdagen]]*Tariefsopbouw!$E$35</f>
        <v>0</v>
      </c>
      <c r="AF265" s="434"/>
      <c r="AG265" s="434">
        <f>IF(Ruimtestaat[[#This Row],[Frequentie weekend]]&gt;0,VALUE(LEFT(AF265,1))*S265,0)</f>
        <v>0</v>
      </c>
      <c r="AH265" s="445">
        <f>IF($AG265&gt;0,VLOOKUP($J265,Ruimtegroepen[],3,FALSE)*VLOOKUP($L265,Vloersoorten[],3,FALSE)*VLOOKUP($AF265,Frequenties[],3,FALSE)*VLOOKUP(Ruimtestaat[[#This Row],[Code]],Locaties[],3,FALSE),0)</f>
        <v>0</v>
      </c>
      <c r="AI265" s="445">
        <f>Ruimtestaat[[#This Row],[Uitvoeringen weekend]]*Ruimtestaat[[#This Row],[Oppervlak (netto)]]</f>
        <v>0</v>
      </c>
      <c r="AJ265" s="445">
        <f>IF(AH265&gt;0,Ruimtestaat[[#This Row],[Prest. (m2 /jaar) weekend]]/Ruimtestaat[[#This Row],[Norm (m2/uur) weekend]],0)</f>
        <v>0</v>
      </c>
      <c r="AK265" s="444">
        <f>Ruimtestaat[[#This Row],[uren / jaar weekend]]*Tariefsopbouw!$D$40</f>
        <v>0</v>
      </c>
      <c r="AL265" s="441">
        <f>Ruimtestaat[[#This Row],[Prest. (m2 /jaar) weekend]]+Ruimtestaat[[#This Row],[Prest. (m2 /jaar) werkdagen]]</f>
        <v>10200</v>
      </c>
      <c r="AM265" s="441">
        <f>Ruimtestaat[[#This Row],[uren / jaar weekend]]+Ruimtestaat[[#This Row],[uren / jaar werkdagen]]</f>
        <v>0</v>
      </c>
      <c r="AN265" s="446">
        <f>Ruimtestaat[[#This Row],[kosten / jaar weekend]]+Ruimtestaat[[#This Row],[kosten / jaar werkdagen]]</f>
        <v>0</v>
      </c>
      <c r="AO265" s="446"/>
      <c r="AP265" s="447" t="str">
        <f>IF(Ruimtestaat[[#This Row],[Frequentie werkdagen]]="","",_xlfn.CONCAT(Ruimtestaat[[#This Row],[Ruimte code]],"-",Ruimtestaat[[#This Row],[Frequentie werkdagen]]," ",Ruimtestaat[[#This Row],[Vloer code]]))</f>
        <v>16-5w T</v>
      </c>
      <c r="AQ265" s="448" t="str">
        <f>_xlfn.IFNA(VLOOKUP($AP265,Programma!$F$3:$G$1101,2,0),"")</f>
        <v>3w</v>
      </c>
      <c r="AR265" s="448" t="str">
        <f>_xlfn.IFNA(VLOOKUP($AP265,Programma!$F$3:$H$1101,3,0),"")</f>
        <v>2w</v>
      </c>
      <c r="AS265" s="448" t="str">
        <f>_xlfn.IFNA(VLOOKUP($AP265,Programma!$F$3:$I$1101,4,0),"")</f>
        <v>_</v>
      </c>
      <c r="AT265" s="448" t="str">
        <f>_xlfn.IFNA(VLOOKUP($AP265,Programma!$F$3:$J$1101,5,0),"")</f>
        <v>_</v>
      </c>
      <c r="AU265" s="448" t="str">
        <f>_xlfn.IFNA(VLOOKUP($AP265,Programma!$F$3:$K$1101,6,0),"")</f>
        <v>_</v>
      </c>
      <c r="AV265" s="448" t="str">
        <f>_xlfn.IFNA(VLOOKUP($AP265,Programma!$F$3:$L$1101,7,0),"")</f>
        <v>_</v>
      </c>
      <c r="AW265" s="448" t="str">
        <f>_xlfn.IFNA(VLOOKUP($AP265,Programma!$F$3:$M$1101,8,0),"")</f>
        <v>_</v>
      </c>
      <c r="AX265" s="448" t="str">
        <f>_xlfn.IFNA(VLOOKUP($AP265,Programma!$F$3:$N$1101,9,0),"")</f>
        <v>_</v>
      </c>
      <c r="AY265" s="448" t="str">
        <f>_xlfn.IFNA(VLOOKUP($AP265,Programma!$F$3:$O$1101,10,0),"")</f>
        <v>5w</v>
      </c>
      <c r="AZ265" s="448" t="str">
        <f>_xlfn.IFNA(VLOOKUP($AP265,Programma!$F$3:$P$1101,11,0),"")</f>
        <v>5w</v>
      </c>
      <c r="BA265" s="448" t="str">
        <f>_xlfn.IFNA(VLOOKUP($AP265,Programma!$F$3:$Q$1101,12,0),"")</f>
        <v>1w</v>
      </c>
      <c r="BB265" s="448" t="str">
        <f>_xlfn.IFNA(VLOOKUP($AP265,Programma!$F$3:$R$1101,13,0),"")</f>
        <v>1w</v>
      </c>
      <c r="BC265" s="448" t="str">
        <f>_xlfn.IFNA(VLOOKUP($AP265,Programma!$F$3:$S$1101,14,0),"")</f>
        <v>1m</v>
      </c>
      <c r="BD265" s="448" t="str">
        <f>_xlfn.IFNA(VLOOKUP($AP265,Programma!$F$3:$T$1101,15,0),"")</f>
        <v>2j</v>
      </c>
      <c r="BE265" s="448" t="str">
        <f>_xlfn.IFNA(VLOOKUP($AP265,Programma!$F$3:$U$1101,16,0),"")</f>
        <v>1j</v>
      </c>
      <c r="BF265" s="448" t="str">
        <f>_xlfn.IFNA(VLOOKUP($AP265,Programma!$F$3:$V$1101,17,0),"")</f>
        <v>_</v>
      </c>
      <c r="BG265" s="448" t="str">
        <f>_xlfn.IFNA(VLOOKUP($AP265,Programma!$F$3:$W$1101,18,0),"")</f>
        <v>_</v>
      </c>
      <c r="BH265" s="448" t="str">
        <f>_xlfn.IFNA(VLOOKUP($AP265,Programma!$F$3:$X$1101,19,0),"")</f>
        <v>_</v>
      </c>
      <c r="BI265" s="448" t="str">
        <f>_xlfn.IFNA(VLOOKUP($AP265,Programma!$F$3:$Y$1101,20,0),"")</f>
        <v>_</v>
      </c>
      <c r="BJ265" s="449"/>
      <c r="BK265" s="447" t="str">
        <f>IF(Ruimtestaat[[#This Row],[Frequentie weekend]]="","",_xlfn.CONCAT(Ruimtestaat[[#This Row],[Ruimte code]],"-",Ruimtestaat[[#This Row],[Frequentie weekend]]," ",Ruimtestaat[[#This Row],[Vloer code]]))</f>
        <v/>
      </c>
      <c r="BL265" s="448" t="str">
        <f>_xlfn.IFNA(VLOOKUP($BK265,Programma!$F$3:$G$1101,2,0),"")</f>
        <v/>
      </c>
      <c r="BM265" s="448" t="str">
        <f>_xlfn.IFNA(VLOOKUP($BK265,Programma!$F$3:$H$1101,3,0),"")</f>
        <v/>
      </c>
      <c r="BN265" s="448" t="str">
        <f>_xlfn.IFNA(VLOOKUP($BK265,Programma!$F$3:$I$1101,4,0),"")</f>
        <v/>
      </c>
      <c r="BO265" s="448" t="str">
        <f>_xlfn.IFNA(VLOOKUP($BK265,Programma!$F$3:$J$1101,5,0),"")</f>
        <v/>
      </c>
      <c r="BP265" s="448" t="str">
        <f>_xlfn.IFNA(VLOOKUP($BK265,Programma!$F$3:$K$1101,6,0),"")</f>
        <v/>
      </c>
      <c r="BQ265" s="448" t="str">
        <f>_xlfn.IFNA(VLOOKUP($BK265,Programma!$F$3:$L$1101,7,0),"")</f>
        <v/>
      </c>
      <c r="BR265" s="448" t="str">
        <f>_xlfn.IFNA(VLOOKUP($BK265,Programma!$F$3:$M$1101,8,0),"")</f>
        <v/>
      </c>
      <c r="BS265" s="448" t="str">
        <f>_xlfn.IFNA(VLOOKUP($BK265,Programma!$F$3:$N$1101,9,0),"")</f>
        <v/>
      </c>
      <c r="BT265" s="448" t="str">
        <f>_xlfn.IFNA(VLOOKUP($BK265,Programma!$F$3:$O$1101,10,0),"")</f>
        <v/>
      </c>
      <c r="BU265" s="448" t="str">
        <f>_xlfn.IFNA(VLOOKUP($BK265,Programma!$F$3:$P$1101,11,0),"")</f>
        <v/>
      </c>
      <c r="BV265" s="448" t="str">
        <f>_xlfn.IFNA(VLOOKUP($BK265,Programma!$F$3:$Q$1101,12,0),"")</f>
        <v/>
      </c>
      <c r="BW265" s="448" t="str">
        <f>_xlfn.IFNA(VLOOKUP($BK265,Programma!$F$3:$R$1101,13,0),"")</f>
        <v/>
      </c>
      <c r="BX265" s="448" t="str">
        <f>_xlfn.IFNA(VLOOKUP($BK265,Programma!$F$3:$S$1101,14,0),"")</f>
        <v/>
      </c>
      <c r="BY265" s="448" t="str">
        <f>_xlfn.IFNA(VLOOKUP($BK265,Programma!$F$3:$T$1101,15,0),"")</f>
        <v/>
      </c>
      <c r="BZ265" s="448" t="str">
        <f>_xlfn.IFNA(VLOOKUP($BK265,Programma!$F$3:$U$1101,16,0),"")</f>
        <v/>
      </c>
      <c r="CA265" s="448" t="str">
        <f>_xlfn.IFNA(VLOOKUP($BK265,Programma!$F$3:$V$1101,17,0),"")</f>
        <v/>
      </c>
      <c r="CB265" s="448" t="str">
        <f>_xlfn.IFNA(VLOOKUP($BK265,Programma!$F$3:$W$1101,18,0),"")</f>
        <v/>
      </c>
      <c r="CC265" s="448" t="str">
        <f>_xlfn.IFNA(VLOOKUP($BK265,Programma!$F$3:$X$1101,19,0),"")</f>
        <v/>
      </c>
      <c r="CD265" s="448" t="str">
        <f>_xlfn.IFNA(VLOOKUP($BK265,Programma!$F$3:$Y$1101,20,0),"")</f>
        <v/>
      </c>
      <c r="CE265" s="327"/>
      <c r="CF265" s="327"/>
      <c r="CG265" s="327"/>
      <c r="CH265" s="327"/>
      <c r="CI265" s="327"/>
      <c r="CJ265" s="327"/>
      <c r="CK265" s="327"/>
      <c r="CL265" s="327"/>
      <c r="CM265" s="327"/>
      <c r="CN265" s="327"/>
      <c r="CO265" s="327"/>
      <c r="CP265" s="327"/>
      <c r="CQ265" s="327"/>
      <c r="CR265" s="327"/>
      <c r="CS265" s="327"/>
      <c r="CT265" s="327"/>
      <c r="CU265" s="327"/>
      <c r="CV265" s="327"/>
      <c r="CW265" s="327"/>
      <c r="CX265" s="327"/>
      <c r="CY265" s="327"/>
      <c r="CZ265" s="327"/>
      <c r="DA265" s="327"/>
      <c r="DB265" s="327"/>
      <c r="DC265" s="327"/>
      <c r="DD265" s="327"/>
      <c r="DE265" s="327"/>
      <c r="DF265" s="327"/>
      <c r="DG265" s="327"/>
      <c r="DH265" s="327"/>
      <c r="DI265" s="327"/>
      <c r="DJ265" s="327"/>
      <c r="DK265" s="327"/>
      <c r="DL265" s="327"/>
      <c r="DM265" s="327"/>
      <c r="DN265" s="327"/>
      <c r="DO265" s="327"/>
      <c r="DP265" s="327"/>
      <c r="DQ265" s="327"/>
      <c r="DR265" s="327"/>
      <c r="DS265" s="327"/>
      <c r="DT265" s="327"/>
      <c r="DU265" s="327"/>
      <c r="DV265" s="327"/>
      <c r="DW265" s="327"/>
      <c r="DX265" s="327"/>
      <c r="DY265" s="327"/>
      <c r="DZ265" s="327"/>
      <c r="EA265" s="327"/>
      <c r="EB265" s="327"/>
      <c r="EC265" s="327"/>
      <c r="ED265" s="327"/>
      <c r="EE265" s="327"/>
      <c r="EF265" s="327"/>
      <c r="EG265" s="327"/>
      <c r="EH265" s="327"/>
      <c r="EI265" s="327"/>
      <c r="EJ265" s="327"/>
      <c r="EK265" s="327"/>
      <c r="EL265" s="327"/>
      <c r="EM265" s="327"/>
      <c r="EN265" s="327"/>
      <c r="EO265" s="327"/>
      <c r="EP265" s="327"/>
      <c r="EQ265" s="327"/>
      <c r="ER265" s="327"/>
      <c r="ES265" s="327"/>
      <c r="ET265" s="327"/>
      <c r="EU265" s="327"/>
      <c r="EV265" s="327"/>
      <c r="EW265" s="327"/>
      <c r="EX265" s="327"/>
      <c r="EY265" s="327"/>
      <c r="EZ265" s="327"/>
      <c r="FA265" s="327"/>
      <c r="FB265" s="327"/>
      <c r="FC265" s="327"/>
      <c r="FD265" s="327"/>
      <c r="FE265" s="327"/>
      <c r="FF265" s="327"/>
      <c r="FG265" s="327"/>
      <c r="FH265" s="327"/>
      <c r="FI265" s="327"/>
      <c r="FJ265" s="327"/>
      <c r="FK265" s="327"/>
      <c r="FL265" s="327"/>
      <c r="FM265" s="327"/>
      <c r="FN265" s="327"/>
      <c r="FO265" s="327"/>
      <c r="FP265" s="327"/>
      <c r="FQ265" s="327"/>
      <c r="FR265" s="327"/>
      <c r="FS265" s="327"/>
      <c r="FT265" s="327"/>
      <c r="FU265" s="327"/>
      <c r="FV265" s="327"/>
      <c r="FW265" s="327"/>
      <c r="FX265" s="327"/>
      <c r="FY265" s="327"/>
      <c r="FZ265" s="327"/>
      <c r="GA265" s="327"/>
      <c r="GB265" s="327"/>
      <c r="GC265" s="327"/>
      <c r="GD265" s="327"/>
      <c r="GE265" s="327"/>
      <c r="GF265" s="327"/>
      <c r="GG265" s="327"/>
      <c r="GH265" s="327"/>
      <c r="GI265" s="327"/>
      <c r="GJ265" s="327"/>
      <c r="GK265" s="327"/>
      <c r="GL265" s="327"/>
      <c r="GM265" s="327"/>
      <c r="GN265" s="327"/>
      <c r="GO265" s="327"/>
      <c r="GP265" s="327"/>
      <c r="GQ265" s="327"/>
      <c r="GR265" s="327"/>
      <c r="GS265" s="327"/>
      <c r="GT265" s="327"/>
      <c r="GU265" s="327"/>
      <c r="GV265" s="327"/>
      <c r="GW265" s="327"/>
      <c r="GX265" s="327"/>
      <c r="GY265" s="327"/>
      <c r="GZ265" s="327"/>
      <c r="HA265" s="327"/>
      <c r="HB265" s="327"/>
      <c r="HC265" s="327"/>
      <c r="HD265" s="327"/>
      <c r="HE265" s="327"/>
      <c r="HF265" s="327"/>
      <c r="HG265" s="327"/>
      <c r="HH265" s="327"/>
      <c r="HI265" s="327"/>
      <c r="HJ265" s="327"/>
      <c r="HK265" s="327"/>
      <c r="HL265" s="327"/>
      <c r="HM265" s="327"/>
      <c r="HN265" s="327"/>
      <c r="HO265" s="327"/>
      <c r="HP265" s="327"/>
      <c r="HQ265" s="327"/>
      <c r="HR265" s="327"/>
      <c r="HS265" s="327"/>
    </row>
    <row r="266" spans="1:227" ht="15" customHeight="1">
      <c r="A266" s="330">
        <v>12</v>
      </c>
      <c r="B266" s="435" t="str">
        <f>VLOOKUP(Ruimtestaat[[#This Row],[Code]],Locaties[[Code]:[Locatie]],2,FALSE)</f>
        <v>IKC De Leerplaneet Loc. 2 (vh 't Plankier)</v>
      </c>
      <c r="C266" s="435" t="str">
        <f>VLOOKUP(Ruimtestaat[[#This Row],[Code]],Locaties[[#All],[Code]:[Adres]],4,FALSE)</f>
        <v>Wedekindzijde 1-3</v>
      </c>
      <c r="D266" s="435" t="str">
        <f>VLOOKUP(Ruimtestaat[[#This Row],[Code]],Locaties[[#All],[Code]:[Postcode]],5,FALSE)</f>
        <v>2725 PG</v>
      </c>
      <c r="E266" s="435" t="str">
        <f>VLOOKUP(Ruimtestaat[[#This Row],[Code]],Locaties[#All],6,FALSE)</f>
        <v>Zoetermeer</v>
      </c>
      <c r="F266" s="450"/>
      <c r="G266" s="330" t="s">
        <v>1678</v>
      </c>
      <c r="H266" s="330" t="s">
        <v>1672</v>
      </c>
      <c r="I266" s="450" t="s">
        <v>1679</v>
      </c>
      <c r="J266" s="330">
        <v>16</v>
      </c>
      <c r="K266" s="450" t="str">
        <f>VLOOKUP(Ruimtestaat[[#This Row],[Ruimte code]],Ruimtegroepen[[#All],[Code]:[Ruimte omschrijving]],2,FALSE)</f>
        <v>Leslokalen</v>
      </c>
      <c r="L266" s="434" t="s">
        <v>100</v>
      </c>
      <c r="M266" s="437" t="s">
        <v>1759</v>
      </c>
      <c r="N266" s="439">
        <v>8</v>
      </c>
      <c r="O266" s="439"/>
      <c r="P266" s="439"/>
      <c r="Q266" s="439"/>
      <c r="R266" s="440" t="str">
        <f>VLOOKUP(Ruimtestaat[[#This Row],[Ruimte code]],Ruimtegroepen[],4,FALSE)</f>
        <v>Le</v>
      </c>
      <c r="S266" s="434">
        <v>40</v>
      </c>
      <c r="T266" s="434" t="s">
        <v>2</v>
      </c>
      <c r="U266" s="434">
        <f>IF(S266&gt;0,IF(RIGHT(Ruimtestaat[[#This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6" s="434">
        <f>IF(U266&gt;0,VLOOKUP($J266,Ruimtegroepen[],3,FALSE)*VLOOKUP($L266,Vloersoorten[],3,FALSE)*VLOOKUP($T266,Frequenties[],3,FALSE)*VLOOKUP($A266,Locaties[],3,FALSE),0)</f>
        <v>0</v>
      </c>
      <c r="W266" s="434">
        <f>Ruimtestaat[[#This Row],[Uitvoeringen werkdagen]]*Ruimtestaat[[#This Row],[Oppervlak (netto)]]</f>
        <v>1600</v>
      </c>
      <c r="X266" s="441">
        <f>IF(V266&gt;0,Ruimtestaat[[#This Row],[Prest. (m2 /jaar) werkdagen]]/Ruimtestaat[[#This Row],[Norm (m2/uur) werkdagen]],0)</f>
        <v>0</v>
      </c>
      <c r="Y266" s="442">
        <f>Ruimtestaat[[#This Row],[Uitvoeringen werkdagen]]*Ruimtestaat[[#This Row],[Gedeeltelijk]]</f>
        <v>0</v>
      </c>
      <c r="Z266" s="443" t="e">
        <f>IF(U266&gt;0,Ruimtestaat[[#This Row],[Prest. (m2 / jaar) werkdagen gedeeld]]/Ruimtestaat[[#This Row],[Norm (m2/uur) werkdagen]],0)</f>
        <v>#DIV/0!</v>
      </c>
      <c r="AA266" s="441" t="e">
        <f>Ruimtestaat[[#This Row],[uren / jaar werkdagen gedeeld]]*Tariefsopbouw!$E$35</f>
        <v>#DIV/0!</v>
      </c>
      <c r="AB266" s="441">
        <f>Ruimtestaat[[#This Row],[Uitvoeringen werkdagen]]*Ruimtestaat[[#This Row],[BSO]]</f>
        <v>0</v>
      </c>
      <c r="AC266" s="443" t="e">
        <f>IF(U266&gt;0,Ruimtestaat[[#This Row],[Prest. (m2 / jaar) werkdagen BSO]]/Ruimtestaat[[#This Row],[Norm (m2/uur) werkdagen]],0)</f>
        <v>#DIV/0!</v>
      </c>
      <c r="AD266" s="443" t="e">
        <f>Ruimtestaat[[#This Row],[uren / jaar werkdagen BSO]]*Tariefsopbouw!$E$35</f>
        <v>#DIV/0!</v>
      </c>
      <c r="AE266" s="444">
        <f>Ruimtestaat[[#This Row],[uren / jaar werkdagen]]*Tariefsopbouw!$E$35</f>
        <v>0</v>
      </c>
      <c r="AF266" s="434"/>
      <c r="AG266" s="434">
        <f>IF(Ruimtestaat[[#This Row],[Frequentie weekend]]&gt;0,VALUE(LEFT(AF266,1))*S266,0)</f>
        <v>0</v>
      </c>
      <c r="AH266" s="445">
        <f>IF($AG266&gt;0,VLOOKUP($J266,Ruimtegroepen[],3,FALSE)*VLOOKUP($L266,Vloersoorten[],3,FALSE)*VLOOKUP($AF266,Frequenties[],3,FALSE)*VLOOKUP(Ruimtestaat[[#This Row],[Code]],Locaties[],3,FALSE),0)</f>
        <v>0</v>
      </c>
      <c r="AI266" s="445">
        <f>Ruimtestaat[[#This Row],[Uitvoeringen weekend]]*Ruimtestaat[[#This Row],[Oppervlak (netto)]]</f>
        <v>0</v>
      </c>
      <c r="AJ266" s="445">
        <f>IF(AH266&gt;0,Ruimtestaat[[#This Row],[Prest. (m2 /jaar) weekend]]/Ruimtestaat[[#This Row],[Norm (m2/uur) weekend]],0)</f>
        <v>0</v>
      </c>
      <c r="AK266" s="444">
        <f>Ruimtestaat[[#This Row],[uren / jaar weekend]]*Tariefsopbouw!$D$40</f>
        <v>0</v>
      </c>
      <c r="AL266" s="441">
        <f>Ruimtestaat[[#This Row],[Prest. (m2 /jaar) weekend]]+Ruimtestaat[[#This Row],[Prest. (m2 /jaar) werkdagen]]</f>
        <v>1600</v>
      </c>
      <c r="AM266" s="441">
        <f>Ruimtestaat[[#This Row],[uren / jaar weekend]]+Ruimtestaat[[#This Row],[uren / jaar werkdagen]]</f>
        <v>0</v>
      </c>
      <c r="AN266" s="446">
        <f>Ruimtestaat[[#This Row],[kosten / jaar weekend]]+Ruimtestaat[[#This Row],[kosten / jaar werkdagen]]</f>
        <v>0</v>
      </c>
      <c r="AO266" s="446"/>
      <c r="AP266" s="447" t="str">
        <f>IF(Ruimtestaat[[#This Row],[Frequentie werkdagen]]="","",_xlfn.CONCAT(Ruimtestaat[[#This Row],[Ruimte code]],"-",Ruimtestaat[[#This Row],[Frequentie werkdagen]]," ",Ruimtestaat[[#This Row],[Vloer code]]))</f>
        <v>16-5w L</v>
      </c>
      <c r="AQ266" s="448" t="str">
        <f>_xlfn.IFNA(VLOOKUP($AP266,Programma!$F$3:$G$1101,2,0),"")</f>
        <v>_</v>
      </c>
      <c r="AR266" s="448" t="str">
        <f>_xlfn.IFNA(VLOOKUP($AP266,Programma!$F$3:$H$1101,3,0),"")</f>
        <v>_</v>
      </c>
      <c r="AS266" s="448" t="str">
        <f>_xlfn.IFNA(VLOOKUP($AP266,Programma!$F$3:$I$1101,4,0),"")</f>
        <v>4w</v>
      </c>
      <c r="AT266" s="448" t="str">
        <f>_xlfn.IFNA(VLOOKUP($AP266,Programma!$F$3:$J$1101,5,0),"")</f>
        <v>1w</v>
      </c>
      <c r="AU266" s="448" t="str">
        <f>_xlfn.IFNA(VLOOKUP($AP266,Programma!$F$3:$K$1101,6,0),"")</f>
        <v>_</v>
      </c>
      <c r="AV266" s="448" t="str">
        <f>_xlfn.IFNA(VLOOKUP($AP266,Programma!$F$3:$L$1101,7,0),"")</f>
        <v>_</v>
      </c>
      <c r="AW266" s="448" t="str">
        <f>_xlfn.IFNA(VLOOKUP($AP266,Programma!$F$3:$M$1101,8,0),"")</f>
        <v>_</v>
      </c>
      <c r="AX266" s="448" t="str">
        <f>_xlfn.IFNA(VLOOKUP($AP266,Programma!$F$3:$N$1101,9,0),"")</f>
        <v>_</v>
      </c>
      <c r="AY266" s="448" t="str">
        <f>_xlfn.IFNA(VLOOKUP($AP266,Programma!$F$3:$O$1101,10,0),"")</f>
        <v>5w</v>
      </c>
      <c r="AZ266" s="448" t="str">
        <f>_xlfn.IFNA(VLOOKUP($AP266,Programma!$F$3:$P$1101,11,0),"")</f>
        <v>5w</v>
      </c>
      <c r="BA266" s="448" t="str">
        <f>_xlfn.IFNA(VLOOKUP($AP266,Programma!$F$3:$Q$1101,12,0),"")</f>
        <v>1w</v>
      </c>
      <c r="BB266" s="448" t="str">
        <f>_xlfn.IFNA(VLOOKUP($AP266,Programma!$F$3:$R$1101,13,0),"")</f>
        <v>1w</v>
      </c>
      <c r="BC266" s="448" t="str">
        <f>_xlfn.IFNA(VLOOKUP($AP266,Programma!$F$3:$S$1101,14,0),"")</f>
        <v>1m</v>
      </c>
      <c r="BD266" s="448" t="str">
        <f>_xlfn.IFNA(VLOOKUP($AP266,Programma!$F$3:$T$1101,15,0),"")</f>
        <v>2j</v>
      </c>
      <c r="BE266" s="448" t="str">
        <f>_xlfn.IFNA(VLOOKUP($AP266,Programma!$F$3:$U$1101,16,0),"")</f>
        <v>1j</v>
      </c>
      <c r="BF266" s="448" t="str">
        <f>_xlfn.IFNA(VLOOKUP($AP266,Programma!$F$3:$V$1101,17,0),"")</f>
        <v>_</v>
      </c>
      <c r="BG266" s="448" t="str">
        <f>_xlfn.IFNA(VLOOKUP($AP266,Programma!$F$3:$W$1101,18,0),"")</f>
        <v>_</v>
      </c>
      <c r="BH266" s="448" t="str">
        <f>_xlfn.IFNA(VLOOKUP($AP266,Programma!$F$3:$X$1101,19,0),"")</f>
        <v>_</v>
      </c>
      <c r="BI266" s="448" t="str">
        <f>_xlfn.IFNA(VLOOKUP($AP266,Programma!$F$3:$Y$1101,20,0),"")</f>
        <v>_</v>
      </c>
      <c r="BJ266" s="449"/>
      <c r="BK266" s="447" t="str">
        <f>IF(Ruimtestaat[[#This Row],[Frequentie weekend]]="","",_xlfn.CONCAT(Ruimtestaat[[#This Row],[Ruimte code]],"-",Ruimtestaat[[#This Row],[Frequentie weekend]]," ",Ruimtestaat[[#This Row],[Vloer code]]))</f>
        <v/>
      </c>
      <c r="BL266" s="448" t="str">
        <f>_xlfn.IFNA(VLOOKUP($BK266,Programma!$F$3:$G$1101,2,0),"")</f>
        <v/>
      </c>
      <c r="BM266" s="448" t="str">
        <f>_xlfn.IFNA(VLOOKUP($BK266,Programma!$F$3:$H$1101,3,0),"")</f>
        <v/>
      </c>
      <c r="BN266" s="448" t="str">
        <f>_xlfn.IFNA(VLOOKUP($BK266,Programma!$F$3:$I$1101,4,0),"")</f>
        <v/>
      </c>
      <c r="BO266" s="448" t="str">
        <f>_xlfn.IFNA(VLOOKUP($BK266,Programma!$F$3:$J$1101,5,0),"")</f>
        <v/>
      </c>
      <c r="BP266" s="448" t="str">
        <f>_xlfn.IFNA(VLOOKUP($BK266,Programma!$F$3:$K$1101,6,0),"")</f>
        <v/>
      </c>
      <c r="BQ266" s="448" t="str">
        <f>_xlfn.IFNA(VLOOKUP($BK266,Programma!$F$3:$L$1101,7,0),"")</f>
        <v/>
      </c>
      <c r="BR266" s="448" t="str">
        <f>_xlfn.IFNA(VLOOKUP($BK266,Programma!$F$3:$M$1101,8,0),"")</f>
        <v/>
      </c>
      <c r="BS266" s="448" t="str">
        <f>_xlfn.IFNA(VLOOKUP($BK266,Programma!$F$3:$N$1101,9,0),"")</f>
        <v/>
      </c>
      <c r="BT266" s="448" t="str">
        <f>_xlfn.IFNA(VLOOKUP($BK266,Programma!$F$3:$O$1101,10,0),"")</f>
        <v/>
      </c>
      <c r="BU266" s="448" t="str">
        <f>_xlfn.IFNA(VLOOKUP($BK266,Programma!$F$3:$P$1101,11,0),"")</f>
        <v/>
      </c>
      <c r="BV266" s="448" t="str">
        <f>_xlfn.IFNA(VLOOKUP($BK266,Programma!$F$3:$Q$1101,12,0),"")</f>
        <v/>
      </c>
      <c r="BW266" s="448" t="str">
        <f>_xlfn.IFNA(VLOOKUP($BK266,Programma!$F$3:$R$1101,13,0),"")</f>
        <v/>
      </c>
      <c r="BX266" s="448" t="str">
        <f>_xlfn.IFNA(VLOOKUP($BK266,Programma!$F$3:$S$1101,14,0),"")</f>
        <v/>
      </c>
      <c r="BY266" s="448" t="str">
        <f>_xlfn.IFNA(VLOOKUP($BK266,Programma!$F$3:$T$1101,15,0),"")</f>
        <v/>
      </c>
      <c r="BZ266" s="448" t="str">
        <f>_xlfn.IFNA(VLOOKUP($BK266,Programma!$F$3:$U$1101,16,0),"")</f>
        <v/>
      </c>
      <c r="CA266" s="448" t="str">
        <f>_xlfn.IFNA(VLOOKUP($BK266,Programma!$F$3:$V$1101,17,0),"")</f>
        <v/>
      </c>
      <c r="CB266" s="448" t="str">
        <f>_xlfn.IFNA(VLOOKUP($BK266,Programma!$F$3:$W$1101,18,0),"")</f>
        <v/>
      </c>
      <c r="CC266" s="448" t="str">
        <f>_xlfn.IFNA(VLOOKUP($BK266,Programma!$F$3:$X$1101,19,0),"")</f>
        <v/>
      </c>
      <c r="CD266" s="448" t="str">
        <f>_xlfn.IFNA(VLOOKUP($BK266,Programma!$F$3:$Y$1101,20,0),"")</f>
        <v/>
      </c>
      <c r="CE266" s="327"/>
      <c r="CF266" s="327"/>
      <c r="CG266" s="327"/>
      <c r="CH266" s="327"/>
      <c r="CI266" s="327"/>
      <c r="CJ266" s="327"/>
      <c r="CK266" s="327"/>
      <c r="CL266" s="327"/>
      <c r="CM266" s="327"/>
      <c r="CN266" s="327"/>
      <c r="CO266" s="327"/>
      <c r="CP266" s="327"/>
      <c r="CQ266" s="327"/>
      <c r="CR266" s="327"/>
      <c r="CS266" s="327"/>
      <c r="CT266" s="327"/>
      <c r="CU266" s="327"/>
      <c r="CV266" s="327"/>
      <c r="CW266" s="327"/>
      <c r="CX266" s="327"/>
      <c r="CY266" s="327"/>
      <c r="CZ266" s="327"/>
      <c r="DA266" s="327"/>
      <c r="DB266" s="327"/>
      <c r="DC266" s="327"/>
      <c r="DD266" s="327"/>
      <c r="DE266" s="327"/>
      <c r="DF266" s="327"/>
      <c r="DG266" s="327"/>
      <c r="DH266" s="327"/>
      <c r="DI266" s="327"/>
      <c r="DJ266" s="327"/>
      <c r="DK266" s="327"/>
      <c r="DL266" s="327"/>
      <c r="DM266" s="327"/>
      <c r="DN266" s="327"/>
      <c r="DO266" s="327"/>
      <c r="DP266" s="327"/>
      <c r="DQ266" s="327"/>
      <c r="DR266" s="327"/>
      <c r="DS266" s="327"/>
      <c r="DT266" s="327"/>
      <c r="DU266" s="327"/>
      <c r="DV266" s="327"/>
      <c r="DW266" s="327"/>
      <c r="DX266" s="327"/>
      <c r="DY266" s="327"/>
      <c r="DZ266" s="327"/>
      <c r="EA266" s="327"/>
      <c r="EB266" s="327"/>
      <c r="EC266" s="327"/>
      <c r="ED266" s="327"/>
      <c r="EE266" s="327"/>
      <c r="EF266" s="327"/>
      <c r="EG266" s="327"/>
      <c r="EH266" s="327"/>
      <c r="EI266" s="327"/>
      <c r="EJ266" s="327"/>
      <c r="EK266" s="327"/>
      <c r="EL266" s="327"/>
      <c r="EM266" s="327"/>
      <c r="EN266" s="327"/>
      <c r="EO266" s="327"/>
      <c r="EP266" s="327"/>
      <c r="EQ266" s="327"/>
      <c r="ER266" s="327"/>
      <c r="ES266" s="327"/>
      <c r="ET266" s="327"/>
      <c r="EU266" s="327"/>
      <c r="EV266" s="327"/>
      <c r="EW266" s="327"/>
      <c r="EX266" s="327"/>
      <c r="EY266" s="327"/>
      <c r="EZ266" s="327"/>
      <c r="FA266" s="327"/>
      <c r="FB266" s="327"/>
      <c r="FC266" s="327"/>
      <c r="FD266" s="327"/>
      <c r="FE266" s="327"/>
      <c r="FF266" s="327"/>
      <c r="FG266" s="327"/>
      <c r="FH266" s="327"/>
      <c r="FI266" s="327"/>
      <c r="FJ266" s="327"/>
      <c r="FK266" s="327"/>
      <c r="FL266" s="327"/>
      <c r="FM266" s="327"/>
      <c r="FN266" s="327"/>
      <c r="FO266" s="327"/>
      <c r="FP266" s="327"/>
      <c r="FQ266" s="327"/>
      <c r="FR266" s="327"/>
      <c r="FS266" s="327"/>
      <c r="FT266" s="327"/>
      <c r="FU266" s="327"/>
      <c r="FV266" s="327"/>
      <c r="FW266" s="327"/>
      <c r="FX266" s="327"/>
      <c r="FY266" s="327"/>
      <c r="FZ266" s="327"/>
      <c r="GA266" s="327"/>
      <c r="GB266" s="327"/>
      <c r="GC266" s="327"/>
      <c r="GD266" s="327"/>
      <c r="GE266" s="327"/>
      <c r="GF266" s="327"/>
      <c r="GG266" s="327"/>
      <c r="GH266" s="327"/>
      <c r="GI266" s="327"/>
      <c r="GJ266" s="327"/>
      <c r="GK266" s="327"/>
      <c r="GL266" s="327"/>
      <c r="GM266" s="327"/>
      <c r="GN266" s="327"/>
      <c r="GO266" s="327"/>
      <c r="GP266" s="327"/>
      <c r="GQ266" s="327"/>
      <c r="GR266" s="327"/>
      <c r="GS266" s="327"/>
      <c r="GT266" s="327"/>
      <c r="GU266" s="327"/>
      <c r="GV266" s="327"/>
      <c r="GW266" s="327"/>
      <c r="GX266" s="327"/>
      <c r="GY266" s="327"/>
      <c r="GZ266" s="327"/>
      <c r="HA266" s="327"/>
      <c r="HB266" s="327"/>
      <c r="HC266" s="327"/>
      <c r="HD266" s="327"/>
      <c r="HE266" s="327"/>
      <c r="HF266" s="327"/>
      <c r="HG266" s="327"/>
      <c r="HH266" s="327"/>
      <c r="HI266" s="327"/>
      <c r="HJ266" s="327"/>
      <c r="HK266" s="327"/>
      <c r="HL266" s="327"/>
      <c r="HM266" s="327"/>
      <c r="HN266" s="327"/>
      <c r="HO266" s="327"/>
      <c r="HP266" s="327"/>
      <c r="HQ266" s="327"/>
      <c r="HR266" s="327"/>
      <c r="HS266" s="327"/>
    </row>
    <row r="267" spans="1:227" ht="15" customHeight="1">
      <c r="A267" s="330">
        <v>12</v>
      </c>
      <c r="B267" s="435" t="str">
        <f>VLOOKUP(Ruimtestaat[[#This Row],[Code]],Locaties[[Code]:[Locatie]],2,FALSE)</f>
        <v>IKC De Leerplaneet Loc. 2 (vh 't Plankier)</v>
      </c>
      <c r="C267" s="435" t="str">
        <f>VLOOKUP(Ruimtestaat[[#This Row],[Code]],Locaties[[#All],[Code]:[Adres]],4,FALSE)</f>
        <v>Wedekindzijde 1-3</v>
      </c>
      <c r="D267" s="435" t="str">
        <f>VLOOKUP(Ruimtestaat[[#This Row],[Code]],Locaties[[#All],[Code]:[Postcode]],5,FALSE)</f>
        <v>2725 PG</v>
      </c>
      <c r="E267" s="435" t="str">
        <f>VLOOKUP(Ruimtestaat[[#This Row],[Code]],Locaties[#All],6,FALSE)</f>
        <v>Zoetermeer</v>
      </c>
      <c r="F267" s="450"/>
      <c r="G267" s="330" t="s">
        <v>1678</v>
      </c>
      <c r="H267" s="330" t="s">
        <v>1674</v>
      </c>
      <c r="I267" s="450" t="s">
        <v>1679</v>
      </c>
      <c r="J267" s="330">
        <v>16</v>
      </c>
      <c r="K267" s="450" t="str">
        <f>VLOOKUP(Ruimtestaat[[#This Row],[Ruimte code]],Ruimtegroepen[[#All],[Code]:[Ruimte omschrijving]],2,FALSE)</f>
        <v>Leslokalen</v>
      </c>
      <c r="L267" s="434" t="s">
        <v>99</v>
      </c>
      <c r="M267" s="437" t="s">
        <v>36</v>
      </c>
      <c r="N267" s="439">
        <v>50</v>
      </c>
      <c r="O267" s="439"/>
      <c r="P267" s="439"/>
      <c r="Q267" s="439"/>
      <c r="R267" s="440" t="str">
        <f>VLOOKUP(Ruimtestaat[[#This Row],[Ruimte code]],Ruimtegroepen[],4,FALSE)</f>
        <v>Le</v>
      </c>
      <c r="S267" s="434">
        <v>40</v>
      </c>
      <c r="T267" s="434" t="s">
        <v>2</v>
      </c>
      <c r="U267" s="434">
        <f>IF(S267&gt;0,IF(RIGHT(Ruimtestaat[[#This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7" s="434">
        <f>IF(U267&gt;0,VLOOKUP($J267,Ruimtegroepen[],3,FALSE)*VLOOKUP($L267,Vloersoorten[],3,FALSE)*VLOOKUP($T267,Frequenties[],3,FALSE)*VLOOKUP($A267,Locaties[],3,FALSE),0)</f>
        <v>0</v>
      </c>
      <c r="W267" s="434">
        <f>Ruimtestaat[[#This Row],[Uitvoeringen werkdagen]]*Ruimtestaat[[#This Row],[Oppervlak (netto)]]</f>
        <v>10000</v>
      </c>
      <c r="X267" s="441">
        <f>IF(V267&gt;0,Ruimtestaat[[#This Row],[Prest. (m2 /jaar) werkdagen]]/Ruimtestaat[[#This Row],[Norm (m2/uur) werkdagen]],0)</f>
        <v>0</v>
      </c>
      <c r="Y267" s="442">
        <f>Ruimtestaat[[#This Row],[Uitvoeringen werkdagen]]*Ruimtestaat[[#This Row],[Gedeeltelijk]]</f>
        <v>0</v>
      </c>
      <c r="Z267" s="443" t="e">
        <f>IF(U267&gt;0,Ruimtestaat[[#This Row],[Prest. (m2 / jaar) werkdagen gedeeld]]/Ruimtestaat[[#This Row],[Norm (m2/uur) werkdagen]],0)</f>
        <v>#DIV/0!</v>
      </c>
      <c r="AA267" s="441" t="e">
        <f>Ruimtestaat[[#This Row],[uren / jaar werkdagen gedeeld]]*Tariefsopbouw!$E$35</f>
        <v>#DIV/0!</v>
      </c>
      <c r="AB267" s="441">
        <f>Ruimtestaat[[#This Row],[Uitvoeringen werkdagen]]*Ruimtestaat[[#This Row],[BSO]]</f>
        <v>0</v>
      </c>
      <c r="AC267" s="443" t="e">
        <f>IF(U267&gt;0,Ruimtestaat[[#This Row],[Prest. (m2 / jaar) werkdagen BSO]]/Ruimtestaat[[#This Row],[Norm (m2/uur) werkdagen]],0)</f>
        <v>#DIV/0!</v>
      </c>
      <c r="AD267" s="443" t="e">
        <f>Ruimtestaat[[#This Row],[uren / jaar werkdagen BSO]]*Tariefsopbouw!$E$35</f>
        <v>#DIV/0!</v>
      </c>
      <c r="AE267" s="444">
        <f>Ruimtestaat[[#This Row],[uren / jaar werkdagen]]*Tariefsopbouw!$E$35</f>
        <v>0</v>
      </c>
      <c r="AF267" s="434"/>
      <c r="AG267" s="434">
        <f>IF(Ruimtestaat[[#This Row],[Frequentie weekend]]&gt;0,VALUE(LEFT(AF267,1))*S267,0)</f>
        <v>0</v>
      </c>
      <c r="AH267" s="445">
        <f>IF($AG267&gt;0,VLOOKUP($J267,Ruimtegroepen[],3,FALSE)*VLOOKUP($L267,Vloersoorten[],3,FALSE)*VLOOKUP($AF267,Frequenties[],3,FALSE)*VLOOKUP(Ruimtestaat[[#This Row],[Code]],Locaties[],3,FALSE),0)</f>
        <v>0</v>
      </c>
      <c r="AI267" s="445">
        <f>Ruimtestaat[[#This Row],[Uitvoeringen weekend]]*Ruimtestaat[[#This Row],[Oppervlak (netto)]]</f>
        <v>0</v>
      </c>
      <c r="AJ267" s="445">
        <f>IF(AH267&gt;0,Ruimtestaat[[#This Row],[Prest. (m2 /jaar) weekend]]/Ruimtestaat[[#This Row],[Norm (m2/uur) weekend]],0)</f>
        <v>0</v>
      </c>
      <c r="AK267" s="444">
        <f>Ruimtestaat[[#This Row],[uren / jaar weekend]]*Tariefsopbouw!$D$40</f>
        <v>0</v>
      </c>
      <c r="AL267" s="441">
        <f>Ruimtestaat[[#This Row],[Prest. (m2 /jaar) weekend]]+Ruimtestaat[[#This Row],[Prest. (m2 /jaar) werkdagen]]</f>
        <v>10000</v>
      </c>
      <c r="AM267" s="441">
        <f>Ruimtestaat[[#This Row],[uren / jaar weekend]]+Ruimtestaat[[#This Row],[uren / jaar werkdagen]]</f>
        <v>0</v>
      </c>
      <c r="AN267" s="446">
        <f>Ruimtestaat[[#This Row],[kosten / jaar weekend]]+Ruimtestaat[[#This Row],[kosten / jaar werkdagen]]</f>
        <v>0</v>
      </c>
      <c r="AO267" s="446"/>
      <c r="AP267" s="447" t="str">
        <f>IF(Ruimtestaat[[#This Row],[Frequentie werkdagen]]="","",_xlfn.CONCAT(Ruimtestaat[[#This Row],[Ruimte code]],"-",Ruimtestaat[[#This Row],[Frequentie werkdagen]]," ",Ruimtestaat[[#This Row],[Vloer code]]))</f>
        <v>16-5w T</v>
      </c>
      <c r="AQ267" s="448" t="str">
        <f>_xlfn.IFNA(VLOOKUP($AP267,Programma!$F$3:$G$1101,2,0),"")</f>
        <v>3w</v>
      </c>
      <c r="AR267" s="448" t="str">
        <f>_xlfn.IFNA(VLOOKUP($AP267,Programma!$F$3:$H$1101,3,0),"")</f>
        <v>2w</v>
      </c>
      <c r="AS267" s="448" t="str">
        <f>_xlfn.IFNA(VLOOKUP($AP267,Programma!$F$3:$I$1101,4,0),"")</f>
        <v>_</v>
      </c>
      <c r="AT267" s="448" t="str">
        <f>_xlfn.IFNA(VLOOKUP($AP267,Programma!$F$3:$J$1101,5,0),"")</f>
        <v>_</v>
      </c>
      <c r="AU267" s="448" t="str">
        <f>_xlfn.IFNA(VLOOKUP($AP267,Programma!$F$3:$K$1101,6,0),"")</f>
        <v>_</v>
      </c>
      <c r="AV267" s="448" t="str">
        <f>_xlfn.IFNA(VLOOKUP($AP267,Programma!$F$3:$L$1101,7,0),"")</f>
        <v>_</v>
      </c>
      <c r="AW267" s="448" t="str">
        <f>_xlfn.IFNA(VLOOKUP($AP267,Programma!$F$3:$M$1101,8,0),"")</f>
        <v>_</v>
      </c>
      <c r="AX267" s="448" t="str">
        <f>_xlfn.IFNA(VLOOKUP($AP267,Programma!$F$3:$N$1101,9,0),"")</f>
        <v>_</v>
      </c>
      <c r="AY267" s="448" t="str">
        <f>_xlfn.IFNA(VLOOKUP($AP267,Programma!$F$3:$O$1101,10,0),"")</f>
        <v>5w</v>
      </c>
      <c r="AZ267" s="448" t="str">
        <f>_xlfn.IFNA(VLOOKUP($AP267,Programma!$F$3:$P$1101,11,0),"")</f>
        <v>5w</v>
      </c>
      <c r="BA267" s="448" t="str">
        <f>_xlfn.IFNA(VLOOKUP($AP267,Programma!$F$3:$Q$1101,12,0),"")</f>
        <v>1w</v>
      </c>
      <c r="BB267" s="448" t="str">
        <f>_xlfn.IFNA(VLOOKUP($AP267,Programma!$F$3:$R$1101,13,0),"")</f>
        <v>1w</v>
      </c>
      <c r="BC267" s="448" t="str">
        <f>_xlfn.IFNA(VLOOKUP($AP267,Programma!$F$3:$S$1101,14,0),"")</f>
        <v>1m</v>
      </c>
      <c r="BD267" s="448" t="str">
        <f>_xlfn.IFNA(VLOOKUP($AP267,Programma!$F$3:$T$1101,15,0),"")</f>
        <v>2j</v>
      </c>
      <c r="BE267" s="448" t="str">
        <f>_xlfn.IFNA(VLOOKUP($AP267,Programma!$F$3:$U$1101,16,0),"")</f>
        <v>1j</v>
      </c>
      <c r="BF267" s="448" t="str">
        <f>_xlfn.IFNA(VLOOKUP($AP267,Programma!$F$3:$V$1101,17,0),"")</f>
        <v>_</v>
      </c>
      <c r="BG267" s="448" t="str">
        <f>_xlfn.IFNA(VLOOKUP($AP267,Programma!$F$3:$W$1101,18,0),"")</f>
        <v>_</v>
      </c>
      <c r="BH267" s="448" t="str">
        <f>_xlfn.IFNA(VLOOKUP($AP267,Programma!$F$3:$X$1101,19,0),"")</f>
        <v>_</v>
      </c>
      <c r="BI267" s="448" t="str">
        <f>_xlfn.IFNA(VLOOKUP($AP267,Programma!$F$3:$Y$1101,20,0),"")</f>
        <v>_</v>
      </c>
      <c r="BJ267" s="449"/>
      <c r="BK267" s="447" t="str">
        <f>IF(Ruimtestaat[[#This Row],[Frequentie weekend]]="","",_xlfn.CONCAT(Ruimtestaat[[#This Row],[Ruimte code]],"-",Ruimtestaat[[#This Row],[Frequentie weekend]]," ",Ruimtestaat[[#This Row],[Vloer code]]))</f>
        <v/>
      </c>
      <c r="BL267" s="448" t="str">
        <f>_xlfn.IFNA(VLOOKUP($BK267,Programma!$F$3:$G$1101,2,0),"")</f>
        <v/>
      </c>
      <c r="BM267" s="448" t="str">
        <f>_xlfn.IFNA(VLOOKUP($BK267,Programma!$F$3:$H$1101,3,0),"")</f>
        <v/>
      </c>
      <c r="BN267" s="448" t="str">
        <f>_xlfn.IFNA(VLOOKUP($BK267,Programma!$F$3:$I$1101,4,0),"")</f>
        <v/>
      </c>
      <c r="BO267" s="448" t="str">
        <f>_xlfn.IFNA(VLOOKUP($BK267,Programma!$F$3:$J$1101,5,0),"")</f>
        <v/>
      </c>
      <c r="BP267" s="448" t="str">
        <f>_xlfn.IFNA(VLOOKUP($BK267,Programma!$F$3:$K$1101,6,0),"")</f>
        <v/>
      </c>
      <c r="BQ267" s="448" t="str">
        <f>_xlfn.IFNA(VLOOKUP($BK267,Programma!$F$3:$L$1101,7,0),"")</f>
        <v/>
      </c>
      <c r="BR267" s="448" t="str">
        <f>_xlfn.IFNA(VLOOKUP($BK267,Programma!$F$3:$M$1101,8,0),"")</f>
        <v/>
      </c>
      <c r="BS267" s="448" t="str">
        <f>_xlfn.IFNA(VLOOKUP($BK267,Programma!$F$3:$N$1101,9,0),"")</f>
        <v/>
      </c>
      <c r="BT267" s="448" t="str">
        <f>_xlfn.IFNA(VLOOKUP($BK267,Programma!$F$3:$O$1101,10,0),"")</f>
        <v/>
      </c>
      <c r="BU267" s="448" t="str">
        <f>_xlfn.IFNA(VLOOKUP($BK267,Programma!$F$3:$P$1101,11,0),"")</f>
        <v/>
      </c>
      <c r="BV267" s="448" t="str">
        <f>_xlfn.IFNA(VLOOKUP($BK267,Programma!$F$3:$Q$1101,12,0),"")</f>
        <v/>
      </c>
      <c r="BW267" s="448" t="str">
        <f>_xlfn.IFNA(VLOOKUP($BK267,Programma!$F$3:$R$1101,13,0),"")</f>
        <v/>
      </c>
      <c r="BX267" s="448" t="str">
        <f>_xlfn.IFNA(VLOOKUP($BK267,Programma!$F$3:$S$1101,14,0),"")</f>
        <v/>
      </c>
      <c r="BY267" s="448" t="str">
        <f>_xlfn.IFNA(VLOOKUP($BK267,Programma!$F$3:$T$1101,15,0),"")</f>
        <v/>
      </c>
      <c r="BZ267" s="448" t="str">
        <f>_xlfn.IFNA(VLOOKUP($BK267,Programma!$F$3:$U$1101,16,0),"")</f>
        <v/>
      </c>
      <c r="CA267" s="448" t="str">
        <f>_xlfn.IFNA(VLOOKUP($BK267,Programma!$F$3:$V$1101,17,0),"")</f>
        <v/>
      </c>
      <c r="CB267" s="448" t="str">
        <f>_xlfn.IFNA(VLOOKUP($BK267,Programma!$F$3:$W$1101,18,0),"")</f>
        <v/>
      </c>
      <c r="CC267" s="448" t="str">
        <f>_xlfn.IFNA(VLOOKUP($BK267,Programma!$F$3:$X$1101,19,0),"")</f>
        <v/>
      </c>
      <c r="CD267" s="448" t="str">
        <f>_xlfn.IFNA(VLOOKUP($BK267,Programma!$F$3:$Y$1101,20,0),"")</f>
        <v/>
      </c>
      <c r="CE267" s="327"/>
      <c r="CF267" s="327"/>
      <c r="CG267" s="327"/>
      <c r="CH267" s="327"/>
      <c r="CI267" s="327"/>
      <c r="CJ267" s="327"/>
      <c r="CK267" s="327"/>
      <c r="CL267" s="327"/>
      <c r="CM267" s="327"/>
      <c r="CN267" s="327"/>
      <c r="CO267" s="327"/>
      <c r="CP267" s="327"/>
      <c r="CQ267" s="327"/>
      <c r="CR267" s="327"/>
      <c r="CS267" s="327"/>
      <c r="CT267" s="327"/>
      <c r="CU267" s="327"/>
      <c r="CV267" s="327"/>
      <c r="CW267" s="327"/>
      <c r="CX267" s="327"/>
      <c r="CY267" s="327"/>
      <c r="CZ267" s="327"/>
      <c r="DA267" s="327"/>
      <c r="DB267" s="327"/>
      <c r="DC267" s="327"/>
      <c r="DD267" s="327"/>
      <c r="DE267" s="327"/>
      <c r="DF267" s="327"/>
      <c r="DG267" s="327"/>
      <c r="DH267" s="327"/>
      <c r="DI267" s="327"/>
      <c r="DJ267" s="327"/>
      <c r="DK267" s="327"/>
      <c r="DL267" s="327"/>
      <c r="DM267" s="327"/>
      <c r="DN267" s="327"/>
      <c r="DO267" s="327"/>
      <c r="DP267" s="327"/>
      <c r="DQ267" s="327"/>
      <c r="DR267" s="327"/>
      <c r="DS267" s="327"/>
      <c r="DT267" s="327"/>
      <c r="DU267" s="327"/>
      <c r="DV267" s="327"/>
      <c r="DW267" s="327"/>
      <c r="DX267" s="327"/>
      <c r="DY267" s="327"/>
      <c r="DZ267" s="327"/>
      <c r="EA267" s="327"/>
      <c r="EB267" s="327"/>
      <c r="EC267" s="327"/>
      <c r="ED267" s="327"/>
      <c r="EE267" s="327"/>
      <c r="EF267" s="327"/>
      <c r="EG267" s="327"/>
      <c r="EH267" s="327"/>
      <c r="EI267" s="327"/>
      <c r="EJ267" s="327"/>
      <c r="EK267" s="327"/>
      <c r="EL267" s="327"/>
      <c r="EM267" s="327"/>
      <c r="EN267" s="327"/>
      <c r="EO267" s="327"/>
      <c r="EP267" s="327"/>
      <c r="EQ267" s="327"/>
      <c r="ER267" s="327"/>
      <c r="ES267" s="327"/>
      <c r="ET267" s="327"/>
      <c r="EU267" s="327"/>
      <c r="EV267" s="327"/>
      <c r="EW267" s="327"/>
      <c r="EX267" s="327"/>
      <c r="EY267" s="327"/>
      <c r="EZ267" s="327"/>
      <c r="FA267" s="327"/>
      <c r="FB267" s="327"/>
      <c r="FC267" s="327"/>
      <c r="FD267" s="327"/>
      <c r="FE267" s="327"/>
      <c r="FF267" s="327"/>
      <c r="FG267" s="327"/>
      <c r="FH267" s="327"/>
      <c r="FI267" s="327"/>
      <c r="FJ267" s="327"/>
      <c r="FK267" s="327"/>
      <c r="FL267" s="327"/>
      <c r="FM267" s="327"/>
      <c r="FN267" s="327"/>
      <c r="FO267" s="327"/>
      <c r="FP267" s="327"/>
      <c r="FQ267" s="327"/>
      <c r="FR267" s="327"/>
      <c r="FS267" s="327"/>
      <c r="FT267" s="327"/>
      <c r="FU267" s="327"/>
      <c r="FV267" s="327"/>
      <c r="FW267" s="327"/>
      <c r="FX267" s="327"/>
      <c r="FY267" s="327"/>
      <c r="FZ267" s="327"/>
      <c r="GA267" s="327"/>
      <c r="GB267" s="327"/>
      <c r="GC267" s="327"/>
      <c r="GD267" s="327"/>
      <c r="GE267" s="327"/>
      <c r="GF267" s="327"/>
      <c r="GG267" s="327"/>
      <c r="GH267" s="327"/>
      <c r="GI267" s="327"/>
      <c r="GJ267" s="327"/>
      <c r="GK267" s="327"/>
      <c r="GL267" s="327"/>
      <c r="GM267" s="327"/>
      <c r="GN267" s="327"/>
      <c r="GO267" s="327"/>
      <c r="GP267" s="327"/>
      <c r="GQ267" s="327"/>
      <c r="GR267" s="327"/>
      <c r="GS267" s="327"/>
      <c r="GT267" s="327"/>
      <c r="GU267" s="327"/>
      <c r="GV267" s="327"/>
      <c r="GW267" s="327"/>
      <c r="GX267" s="327"/>
      <c r="GY267" s="327"/>
      <c r="GZ267" s="327"/>
      <c r="HA267" s="327"/>
      <c r="HB267" s="327"/>
      <c r="HC267" s="327"/>
      <c r="HD267" s="327"/>
      <c r="HE267" s="327"/>
      <c r="HF267" s="327"/>
      <c r="HG267" s="327"/>
      <c r="HH267" s="327"/>
      <c r="HI267" s="327"/>
      <c r="HJ267" s="327"/>
      <c r="HK267" s="327"/>
      <c r="HL267" s="327"/>
      <c r="HM267" s="327"/>
      <c r="HN267" s="327"/>
      <c r="HO267" s="327"/>
      <c r="HP267" s="327"/>
      <c r="HQ267" s="327"/>
      <c r="HR267" s="327"/>
      <c r="HS267" s="327"/>
    </row>
    <row r="268" spans="1:227" ht="15" customHeight="1">
      <c r="A268" s="330">
        <v>12</v>
      </c>
      <c r="B268" s="435" t="str">
        <f>VLOOKUP(Ruimtestaat[[#This Row],[Code]],Locaties[[Code]:[Locatie]],2,FALSE)</f>
        <v>IKC De Leerplaneet Loc. 2 (vh 't Plankier)</v>
      </c>
      <c r="C268" s="435" t="str">
        <f>VLOOKUP(Ruimtestaat[[#This Row],[Code]],Locaties[[#All],[Code]:[Adres]],4,FALSE)</f>
        <v>Wedekindzijde 1-3</v>
      </c>
      <c r="D268" s="435" t="str">
        <f>VLOOKUP(Ruimtestaat[[#This Row],[Code]],Locaties[[#All],[Code]:[Postcode]],5,FALSE)</f>
        <v>2725 PG</v>
      </c>
      <c r="E268" s="435" t="str">
        <f>VLOOKUP(Ruimtestaat[[#This Row],[Code]],Locaties[#All],6,FALSE)</f>
        <v>Zoetermeer</v>
      </c>
      <c r="F268" s="450"/>
      <c r="G268" s="330" t="s">
        <v>1678</v>
      </c>
      <c r="H268" s="330" t="s">
        <v>1680</v>
      </c>
      <c r="I268" s="450" t="s">
        <v>1679</v>
      </c>
      <c r="J268" s="330">
        <v>16</v>
      </c>
      <c r="K268" s="450" t="str">
        <f>VLOOKUP(Ruimtestaat[[#This Row],[Ruimte code]],Ruimtegroepen[[#All],[Code]:[Ruimte omschrijving]],2,FALSE)</f>
        <v>Leslokalen</v>
      </c>
      <c r="L268" s="434" t="s">
        <v>100</v>
      </c>
      <c r="M268" s="437" t="s">
        <v>1759</v>
      </c>
      <c r="N268" s="439">
        <v>9</v>
      </c>
      <c r="O268" s="439"/>
      <c r="P268" s="439"/>
      <c r="Q268" s="439"/>
      <c r="R268" s="440" t="str">
        <f>VLOOKUP(Ruimtestaat[[#This Row],[Ruimte code]],Ruimtegroepen[],4,FALSE)</f>
        <v>Le</v>
      </c>
      <c r="S268" s="434">
        <v>40</v>
      </c>
      <c r="T268" s="434" t="s">
        <v>2</v>
      </c>
      <c r="U268" s="434">
        <f>IF(S268&gt;0,IF(RIGHT(Ruimtestaat[[#This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8" s="434">
        <f>IF(U268&gt;0,VLOOKUP($J268,Ruimtegroepen[],3,FALSE)*VLOOKUP($L268,Vloersoorten[],3,FALSE)*VLOOKUP($T268,Frequenties[],3,FALSE)*VLOOKUP($A268,Locaties[],3,FALSE),0)</f>
        <v>0</v>
      </c>
      <c r="W268" s="434">
        <f>Ruimtestaat[[#This Row],[Uitvoeringen werkdagen]]*Ruimtestaat[[#This Row],[Oppervlak (netto)]]</f>
        <v>1800</v>
      </c>
      <c r="X268" s="441">
        <f>IF(V268&gt;0,Ruimtestaat[[#This Row],[Prest. (m2 /jaar) werkdagen]]/Ruimtestaat[[#This Row],[Norm (m2/uur) werkdagen]],0)</f>
        <v>0</v>
      </c>
      <c r="Y268" s="442">
        <f>Ruimtestaat[[#This Row],[Uitvoeringen werkdagen]]*Ruimtestaat[[#This Row],[Gedeeltelijk]]</f>
        <v>0</v>
      </c>
      <c r="Z268" s="443" t="e">
        <f>IF(U268&gt;0,Ruimtestaat[[#This Row],[Prest. (m2 / jaar) werkdagen gedeeld]]/Ruimtestaat[[#This Row],[Norm (m2/uur) werkdagen]],0)</f>
        <v>#DIV/0!</v>
      </c>
      <c r="AA268" s="441" t="e">
        <f>Ruimtestaat[[#This Row],[uren / jaar werkdagen gedeeld]]*Tariefsopbouw!$E$35</f>
        <v>#DIV/0!</v>
      </c>
      <c r="AB268" s="441">
        <f>Ruimtestaat[[#This Row],[Uitvoeringen werkdagen]]*Ruimtestaat[[#This Row],[BSO]]</f>
        <v>0</v>
      </c>
      <c r="AC268" s="443" t="e">
        <f>IF(U268&gt;0,Ruimtestaat[[#This Row],[Prest. (m2 / jaar) werkdagen BSO]]/Ruimtestaat[[#This Row],[Norm (m2/uur) werkdagen]],0)</f>
        <v>#DIV/0!</v>
      </c>
      <c r="AD268" s="443" t="e">
        <f>Ruimtestaat[[#This Row],[uren / jaar werkdagen BSO]]*Tariefsopbouw!$E$35</f>
        <v>#DIV/0!</v>
      </c>
      <c r="AE268" s="444">
        <f>Ruimtestaat[[#This Row],[uren / jaar werkdagen]]*Tariefsopbouw!$E$35</f>
        <v>0</v>
      </c>
      <c r="AF268" s="434"/>
      <c r="AG268" s="434">
        <f>IF(Ruimtestaat[[#This Row],[Frequentie weekend]]&gt;0,VALUE(LEFT(AF268,1))*S268,0)</f>
        <v>0</v>
      </c>
      <c r="AH268" s="445">
        <f>IF($AG268&gt;0,VLOOKUP($J268,Ruimtegroepen[],3,FALSE)*VLOOKUP($L268,Vloersoorten[],3,FALSE)*VLOOKUP($AF268,Frequenties[],3,FALSE)*VLOOKUP(Ruimtestaat[[#This Row],[Code]],Locaties[],3,FALSE),0)</f>
        <v>0</v>
      </c>
      <c r="AI268" s="445">
        <f>Ruimtestaat[[#This Row],[Uitvoeringen weekend]]*Ruimtestaat[[#This Row],[Oppervlak (netto)]]</f>
        <v>0</v>
      </c>
      <c r="AJ268" s="445">
        <f>IF(AH268&gt;0,Ruimtestaat[[#This Row],[Prest. (m2 /jaar) weekend]]/Ruimtestaat[[#This Row],[Norm (m2/uur) weekend]],0)</f>
        <v>0</v>
      </c>
      <c r="AK268" s="444">
        <f>Ruimtestaat[[#This Row],[uren / jaar weekend]]*Tariefsopbouw!$D$40</f>
        <v>0</v>
      </c>
      <c r="AL268" s="441">
        <f>Ruimtestaat[[#This Row],[Prest. (m2 /jaar) weekend]]+Ruimtestaat[[#This Row],[Prest. (m2 /jaar) werkdagen]]</f>
        <v>1800</v>
      </c>
      <c r="AM268" s="441">
        <f>Ruimtestaat[[#This Row],[uren / jaar weekend]]+Ruimtestaat[[#This Row],[uren / jaar werkdagen]]</f>
        <v>0</v>
      </c>
      <c r="AN268" s="446">
        <f>Ruimtestaat[[#This Row],[kosten / jaar weekend]]+Ruimtestaat[[#This Row],[kosten / jaar werkdagen]]</f>
        <v>0</v>
      </c>
      <c r="AO268" s="446"/>
      <c r="AP268" s="447" t="str">
        <f>IF(Ruimtestaat[[#This Row],[Frequentie werkdagen]]="","",_xlfn.CONCAT(Ruimtestaat[[#This Row],[Ruimte code]],"-",Ruimtestaat[[#This Row],[Frequentie werkdagen]]," ",Ruimtestaat[[#This Row],[Vloer code]]))</f>
        <v>16-5w L</v>
      </c>
      <c r="AQ268" s="448" t="str">
        <f>_xlfn.IFNA(VLOOKUP($AP268,Programma!$F$3:$G$1101,2,0),"")</f>
        <v>_</v>
      </c>
      <c r="AR268" s="448" t="str">
        <f>_xlfn.IFNA(VLOOKUP($AP268,Programma!$F$3:$H$1101,3,0),"")</f>
        <v>_</v>
      </c>
      <c r="AS268" s="448" t="str">
        <f>_xlfn.IFNA(VLOOKUP($AP268,Programma!$F$3:$I$1101,4,0),"")</f>
        <v>4w</v>
      </c>
      <c r="AT268" s="448" t="str">
        <f>_xlfn.IFNA(VLOOKUP($AP268,Programma!$F$3:$J$1101,5,0),"")</f>
        <v>1w</v>
      </c>
      <c r="AU268" s="448" t="str">
        <f>_xlfn.IFNA(VLOOKUP($AP268,Programma!$F$3:$K$1101,6,0),"")</f>
        <v>_</v>
      </c>
      <c r="AV268" s="448" t="str">
        <f>_xlfn.IFNA(VLOOKUP($AP268,Programma!$F$3:$L$1101,7,0),"")</f>
        <v>_</v>
      </c>
      <c r="AW268" s="448" t="str">
        <f>_xlfn.IFNA(VLOOKUP($AP268,Programma!$F$3:$M$1101,8,0),"")</f>
        <v>_</v>
      </c>
      <c r="AX268" s="448" t="str">
        <f>_xlfn.IFNA(VLOOKUP($AP268,Programma!$F$3:$N$1101,9,0),"")</f>
        <v>_</v>
      </c>
      <c r="AY268" s="448" t="str">
        <f>_xlfn.IFNA(VLOOKUP($AP268,Programma!$F$3:$O$1101,10,0),"")</f>
        <v>5w</v>
      </c>
      <c r="AZ268" s="448" t="str">
        <f>_xlfn.IFNA(VLOOKUP($AP268,Programma!$F$3:$P$1101,11,0),"")</f>
        <v>5w</v>
      </c>
      <c r="BA268" s="448" t="str">
        <f>_xlfn.IFNA(VLOOKUP($AP268,Programma!$F$3:$Q$1101,12,0),"")</f>
        <v>1w</v>
      </c>
      <c r="BB268" s="448" t="str">
        <f>_xlfn.IFNA(VLOOKUP($AP268,Programma!$F$3:$R$1101,13,0),"")</f>
        <v>1w</v>
      </c>
      <c r="BC268" s="448" t="str">
        <f>_xlfn.IFNA(VLOOKUP($AP268,Programma!$F$3:$S$1101,14,0),"")</f>
        <v>1m</v>
      </c>
      <c r="BD268" s="448" t="str">
        <f>_xlfn.IFNA(VLOOKUP($AP268,Programma!$F$3:$T$1101,15,0),"")</f>
        <v>2j</v>
      </c>
      <c r="BE268" s="448" t="str">
        <f>_xlfn.IFNA(VLOOKUP($AP268,Programma!$F$3:$U$1101,16,0),"")</f>
        <v>1j</v>
      </c>
      <c r="BF268" s="448" t="str">
        <f>_xlfn.IFNA(VLOOKUP($AP268,Programma!$F$3:$V$1101,17,0),"")</f>
        <v>_</v>
      </c>
      <c r="BG268" s="448" t="str">
        <f>_xlfn.IFNA(VLOOKUP($AP268,Programma!$F$3:$W$1101,18,0),"")</f>
        <v>_</v>
      </c>
      <c r="BH268" s="448" t="str">
        <f>_xlfn.IFNA(VLOOKUP($AP268,Programma!$F$3:$X$1101,19,0),"")</f>
        <v>_</v>
      </c>
      <c r="BI268" s="448" t="str">
        <f>_xlfn.IFNA(VLOOKUP($AP268,Programma!$F$3:$Y$1101,20,0),"")</f>
        <v>_</v>
      </c>
      <c r="BJ268" s="449"/>
      <c r="BK268" s="447" t="str">
        <f>IF(Ruimtestaat[[#This Row],[Frequentie weekend]]="","",_xlfn.CONCAT(Ruimtestaat[[#This Row],[Ruimte code]],"-",Ruimtestaat[[#This Row],[Frequentie weekend]]," ",Ruimtestaat[[#This Row],[Vloer code]]))</f>
        <v/>
      </c>
      <c r="BL268" s="448" t="str">
        <f>_xlfn.IFNA(VLOOKUP($BK268,Programma!$F$3:$G$1101,2,0),"")</f>
        <v/>
      </c>
      <c r="BM268" s="448" t="str">
        <f>_xlfn.IFNA(VLOOKUP($BK268,Programma!$F$3:$H$1101,3,0),"")</f>
        <v/>
      </c>
      <c r="BN268" s="448" t="str">
        <f>_xlfn.IFNA(VLOOKUP($BK268,Programma!$F$3:$I$1101,4,0),"")</f>
        <v/>
      </c>
      <c r="BO268" s="448" t="str">
        <f>_xlfn.IFNA(VLOOKUP($BK268,Programma!$F$3:$J$1101,5,0),"")</f>
        <v/>
      </c>
      <c r="BP268" s="448" t="str">
        <f>_xlfn.IFNA(VLOOKUP($BK268,Programma!$F$3:$K$1101,6,0),"")</f>
        <v/>
      </c>
      <c r="BQ268" s="448" t="str">
        <f>_xlfn.IFNA(VLOOKUP($BK268,Programma!$F$3:$L$1101,7,0),"")</f>
        <v/>
      </c>
      <c r="BR268" s="448" t="str">
        <f>_xlfn.IFNA(VLOOKUP($BK268,Programma!$F$3:$M$1101,8,0),"")</f>
        <v/>
      </c>
      <c r="BS268" s="448" t="str">
        <f>_xlfn.IFNA(VLOOKUP($BK268,Programma!$F$3:$N$1101,9,0),"")</f>
        <v/>
      </c>
      <c r="BT268" s="448" t="str">
        <f>_xlfn.IFNA(VLOOKUP($BK268,Programma!$F$3:$O$1101,10,0),"")</f>
        <v/>
      </c>
      <c r="BU268" s="448" t="str">
        <f>_xlfn.IFNA(VLOOKUP($BK268,Programma!$F$3:$P$1101,11,0),"")</f>
        <v/>
      </c>
      <c r="BV268" s="448" t="str">
        <f>_xlfn.IFNA(VLOOKUP($BK268,Programma!$F$3:$Q$1101,12,0),"")</f>
        <v/>
      </c>
      <c r="BW268" s="448" t="str">
        <f>_xlfn.IFNA(VLOOKUP($BK268,Programma!$F$3:$R$1101,13,0),"")</f>
        <v/>
      </c>
      <c r="BX268" s="448" t="str">
        <f>_xlfn.IFNA(VLOOKUP($BK268,Programma!$F$3:$S$1101,14,0),"")</f>
        <v/>
      </c>
      <c r="BY268" s="448" t="str">
        <f>_xlfn.IFNA(VLOOKUP($BK268,Programma!$F$3:$T$1101,15,0),"")</f>
        <v/>
      </c>
      <c r="BZ268" s="448" t="str">
        <f>_xlfn.IFNA(VLOOKUP($BK268,Programma!$F$3:$U$1101,16,0),"")</f>
        <v/>
      </c>
      <c r="CA268" s="448" t="str">
        <f>_xlfn.IFNA(VLOOKUP($BK268,Programma!$F$3:$V$1101,17,0),"")</f>
        <v/>
      </c>
      <c r="CB268" s="448" t="str">
        <f>_xlfn.IFNA(VLOOKUP($BK268,Programma!$F$3:$W$1101,18,0),"")</f>
        <v/>
      </c>
      <c r="CC268" s="448" t="str">
        <f>_xlfn.IFNA(VLOOKUP($BK268,Programma!$F$3:$X$1101,19,0),"")</f>
        <v/>
      </c>
      <c r="CD268" s="448" t="str">
        <f>_xlfn.IFNA(VLOOKUP($BK268,Programma!$F$3:$Y$1101,20,0),"")</f>
        <v/>
      </c>
      <c r="CE268" s="327"/>
      <c r="CF268" s="327"/>
      <c r="CG268" s="327"/>
      <c r="CH268" s="327"/>
      <c r="CI268" s="327"/>
      <c r="CJ268" s="327"/>
      <c r="CK268" s="327"/>
      <c r="CL268" s="327"/>
      <c r="CM268" s="327"/>
      <c r="CN268" s="327"/>
      <c r="CO268" s="327"/>
      <c r="CP268" s="327"/>
      <c r="CQ268" s="327"/>
      <c r="CR268" s="327"/>
      <c r="CS268" s="327"/>
      <c r="CT268" s="327"/>
      <c r="CU268" s="327"/>
      <c r="CV268" s="327"/>
      <c r="CW268" s="327"/>
      <c r="CX268" s="327"/>
      <c r="CY268" s="327"/>
      <c r="CZ268" s="327"/>
      <c r="DA268" s="327"/>
      <c r="DB268" s="327"/>
      <c r="DC268" s="327"/>
      <c r="DD268" s="327"/>
      <c r="DE268" s="327"/>
      <c r="DF268" s="327"/>
      <c r="DG268" s="327"/>
      <c r="DH268" s="327"/>
      <c r="DI268" s="327"/>
      <c r="DJ268" s="327"/>
      <c r="DK268" s="327"/>
      <c r="DL268" s="327"/>
      <c r="DM268" s="327"/>
      <c r="DN268" s="327"/>
      <c r="DO268" s="327"/>
      <c r="DP268" s="327"/>
      <c r="DQ268" s="327"/>
      <c r="DR268" s="327"/>
      <c r="DS268" s="327"/>
      <c r="DT268" s="327"/>
      <c r="DU268" s="327"/>
      <c r="DV268" s="327"/>
      <c r="DW268" s="327"/>
      <c r="DX268" s="327"/>
      <c r="DY268" s="327"/>
      <c r="DZ268" s="327"/>
      <c r="EA268" s="327"/>
      <c r="EB268" s="327"/>
      <c r="EC268" s="327"/>
      <c r="ED268" s="327"/>
      <c r="EE268" s="327"/>
      <c r="EF268" s="327"/>
      <c r="EG268" s="327"/>
      <c r="EH268" s="327"/>
      <c r="EI268" s="327"/>
      <c r="EJ268" s="327"/>
      <c r="EK268" s="327"/>
      <c r="EL268" s="327"/>
      <c r="EM268" s="327"/>
      <c r="EN268" s="327"/>
      <c r="EO268" s="327"/>
      <c r="EP268" s="327"/>
      <c r="EQ268" s="327"/>
      <c r="ER268" s="327"/>
      <c r="ES268" s="327"/>
      <c r="ET268" s="327"/>
      <c r="EU268" s="327"/>
      <c r="EV268" s="327"/>
      <c r="EW268" s="327"/>
      <c r="EX268" s="327"/>
      <c r="EY268" s="327"/>
      <c r="EZ268" s="327"/>
      <c r="FA268" s="327"/>
      <c r="FB268" s="327"/>
      <c r="FC268" s="327"/>
      <c r="FD268" s="327"/>
      <c r="FE268" s="327"/>
      <c r="FF268" s="327"/>
      <c r="FG268" s="327"/>
      <c r="FH268" s="327"/>
      <c r="FI268" s="327"/>
      <c r="FJ268" s="327"/>
      <c r="FK268" s="327"/>
      <c r="FL268" s="327"/>
      <c r="FM268" s="327"/>
      <c r="FN268" s="327"/>
      <c r="FO268" s="327"/>
      <c r="FP268" s="327"/>
      <c r="FQ268" s="327"/>
      <c r="FR268" s="327"/>
      <c r="FS268" s="327"/>
      <c r="FT268" s="327"/>
      <c r="FU268" s="327"/>
      <c r="FV268" s="327"/>
      <c r="FW268" s="327"/>
      <c r="FX268" s="327"/>
      <c r="FY268" s="327"/>
      <c r="FZ268" s="327"/>
      <c r="GA268" s="327"/>
      <c r="GB268" s="327"/>
      <c r="GC268" s="327"/>
      <c r="GD268" s="327"/>
      <c r="GE268" s="327"/>
      <c r="GF268" s="327"/>
      <c r="GG268" s="327"/>
      <c r="GH268" s="327"/>
      <c r="GI268" s="327"/>
      <c r="GJ268" s="327"/>
      <c r="GK268" s="327"/>
      <c r="GL268" s="327"/>
      <c r="GM268" s="327"/>
      <c r="GN268" s="327"/>
      <c r="GO268" s="327"/>
      <c r="GP268" s="327"/>
      <c r="GQ268" s="327"/>
      <c r="GR268" s="327"/>
      <c r="GS268" s="327"/>
      <c r="GT268" s="327"/>
      <c r="GU268" s="327"/>
      <c r="GV268" s="327"/>
      <c r="GW268" s="327"/>
      <c r="GX268" s="327"/>
      <c r="GY268" s="327"/>
      <c r="GZ268" s="327"/>
      <c r="HA268" s="327"/>
      <c r="HB268" s="327"/>
      <c r="HC268" s="327"/>
      <c r="HD268" s="327"/>
      <c r="HE268" s="327"/>
      <c r="HF268" s="327"/>
      <c r="HG268" s="327"/>
      <c r="HH268" s="327"/>
      <c r="HI268" s="327"/>
      <c r="HJ268" s="327"/>
      <c r="HK268" s="327"/>
      <c r="HL268" s="327"/>
      <c r="HM268" s="327"/>
      <c r="HN268" s="327"/>
      <c r="HO268" s="327"/>
      <c r="HP268" s="327"/>
      <c r="HQ268" s="327"/>
      <c r="HR268" s="327"/>
      <c r="HS268" s="327"/>
    </row>
    <row r="269" spans="1:227" ht="15" customHeight="1">
      <c r="A269" s="330">
        <v>12</v>
      </c>
      <c r="B269" s="435" t="str">
        <f>VLOOKUP(Ruimtestaat[[#This Row],[Code]],Locaties[[Code]:[Locatie]],2,FALSE)</f>
        <v>IKC De Leerplaneet Loc. 2 (vh 't Plankier)</v>
      </c>
      <c r="C269" s="435" t="str">
        <f>VLOOKUP(Ruimtestaat[[#This Row],[Code]],Locaties[[#All],[Code]:[Adres]],4,FALSE)</f>
        <v>Wedekindzijde 1-3</v>
      </c>
      <c r="D269" s="435" t="str">
        <f>VLOOKUP(Ruimtestaat[[#This Row],[Code]],Locaties[[#All],[Code]:[Postcode]],5,FALSE)</f>
        <v>2725 PG</v>
      </c>
      <c r="E269" s="435" t="str">
        <f>VLOOKUP(Ruimtestaat[[#This Row],[Code]],Locaties[#All],6,FALSE)</f>
        <v>Zoetermeer</v>
      </c>
      <c r="F269" s="450"/>
      <c r="G269" s="330" t="s">
        <v>1678</v>
      </c>
      <c r="H269" s="330" t="s">
        <v>1681</v>
      </c>
      <c r="I269" s="450" t="s">
        <v>1679</v>
      </c>
      <c r="J269" s="330">
        <v>16</v>
      </c>
      <c r="K269" s="450" t="str">
        <f>VLOOKUP(Ruimtestaat[[#This Row],[Ruimte code]],Ruimtegroepen[[#All],[Code]:[Ruimte omschrijving]],2,FALSE)</f>
        <v>Leslokalen</v>
      </c>
      <c r="L269" s="434" t="s">
        <v>99</v>
      </c>
      <c r="M269" s="437" t="s">
        <v>36</v>
      </c>
      <c r="N269" s="439">
        <v>50</v>
      </c>
      <c r="O269" s="439"/>
      <c r="P269" s="439"/>
      <c r="Q269" s="439"/>
      <c r="R269" s="440" t="str">
        <f>VLOOKUP(Ruimtestaat[[#This Row],[Ruimte code]],Ruimtegroepen[],4,FALSE)</f>
        <v>Le</v>
      </c>
      <c r="S269" s="434">
        <v>40</v>
      </c>
      <c r="T269" s="434" t="s">
        <v>2</v>
      </c>
      <c r="U269" s="434">
        <f>IF(S269&gt;0,IF(RIGHT(Ruimtestaat[[#This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9" s="434">
        <f>IF(U269&gt;0,VLOOKUP($J269,Ruimtegroepen[],3,FALSE)*VLOOKUP($L269,Vloersoorten[],3,FALSE)*VLOOKUP($T269,Frequenties[],3,FALSE)*VLOOKUP($A269,Locaties[],3,FALSE),0)</f>
        <v>0</v>
      </c>
      <c r="W269" s="434">
        <f>Ruimtestaat[[#This Row],[Uitvoeringen werkdagen]]*Ruimtestaat[[#This Row],[Oppervlak (netto)]]</f>
        <v>10000</v>
      </c>
      <c r="X269" s="441">
        <f>IF(V269&gt;0,Ruimtestaat[[#This Row],[Prest. (m2 /jaar) werkdagen]]/Ruimtestaat[[#This Row],[Norm (m2/uur) werkdagen]],0)</f>
        <v>0</v>
      </c>
      <c r="Y269" s="442">
        <f>Ruimtestaat[[#This Row],[Uitvoeringen werkdagen]]*Ruimtestaat[[#This Row],[Gedeeltelijk]]</f>
        <v>0</v>
      </c>
      <c r="Z269" s="443" t="e">
        <f>IF(U269&gt;0,Ruimtestaat[[#This Row],[Prest. (m2 / jaar) werkdagen gedeeld]]/Ruimtestaat[[#This Row],[Norm (m2/uur) werkdagen]],0)</f>
        <v>#DIV/0!</v>
      </c>
      <c r="AA269" s="441" t="e">
        <f>Ruimtestaat[[#This Row],[uren / jaar werkdagen gedeeld]]*Tariefsopbouw!$E$35</f>
        <v>#DIV/0!</v>
      </c>
      <c r="AB269" s="441">
        <f>Ruimtestaat[[#This Row],[Uitvoeringen werkdagen]]*Ruimtestaat[[#This Row],[BSO]]</f>
        <v>0</v>
      </c>
      <c r="AC269" s="443" t="e">
        <f>IF(U269&gt;0,Ruimtestaat[[#This Row],[Prest. (m2 / jaar) werkdagen BSO]]/Ruimtestaat[[#This Row],[Norm (m2/uur) werkdagen]],0)</f>
        <v>#DIV/0!</v>
      </c>
      <c r="AD269" s="443" t="e">
        <f>Ruimtestaat[[#This Row],[uren / jaar werkdagen BSO]]*Tariefsopbouw!$E$35</f>
        <v>#DIV/0!</v>
      </c>
      <c r="AE269" s="444">
        <f>Ruimtestaat[[#This Row],[uren / jaar werkdagen]]*Tariefsopbouw!$E$35</f>
        <v>0</v>
      </c>
      <c r="AF269" s="434"/>
      <c r="AG269" s="434">
        <f>IF(Ruimtestaat[[#This Row],[Frequentie weekend]]&gt;0,VALUE(LEFT(AF269,1))*S269,0)</f>
        <v>0</v>
      </c>
      <c r="AH269" s="445">
        <f>IF($AG269&gt;0,VLOOKUP($J269,Ruimtegroepen[],3,FALSE)*VLOOKUP($L269,Vloersoorten[],3,FALSE)*VLOOKUP($AF269,Frequenties[],3,FALSE)*VLOOKUP(Ruimtestaat[[#This Row],[Code]],Locaties[],3,FALSE),0)</f>
        <v>0</v>
      </c>
      <c r="AI269" s="445">
        <f>Ruimtestaat[[#This Row],[Uitvoeringen weekend]]*Ruimtestaat[[#This Row],[Oppervlak (netto)]]</f>
        <v>0</v>
      </c>
      <c r="AJ269" s="445">
        <f>IF(AH269&gt;0,Ruimtestaat[[#This Row],[Prest. (m2 /jaar) weekend]]/Ruimtestaat[[#This Row],[Norm (m2/uur) weekend]],0)</f>
        <v>0</v>
      </c>
      <c r="AK269" s="444">
        <f>Ruimtestaat[[#This Row],[uren / jaar weekend]]*Tariefsopbouw!$D$40</f>
        <v>0</v>
      </c>
      <c r="AL269" s="441">
        <f>Ruimtestaat[[#This Row],[Prest. (m2 /jaar) weekend]]+Ruimtestaat[[#This Row],[Prest. (m2 /jaar) werkdagen]]</f>
        <v>10000</v>
      </c>
      <c r="AM269" s="441">
        <f>Ruimtestaat[[#This Row],[uren / jaar weekend]]+Ruimtestaat[[#This Row],[uren / jaar werkdagen]]</f>
        <v>0</v>
      </c>
      <c r="AN269" s="446">
        <f>Ruimtestaat[[#This Row],[kosten / jaar weekend]]+Ruimtestaat[[#This Row],[kosten / jaar werkdagen]]</f>
        <v>0</v>
      </c>
      <c r="AO269" s="446"/>
      <c r="AP269" s="447" t="str">
        <f>IF(Ruimtestaat[[#This Row],[Frequentie werkdagen]]="","",_xlfn.CONCAT(Ruimtestaat[[#This Row],[Ruimte code]],"-",Ruimtestaat[[#This Row],[Frequentie werkdagen]]," ",Ruimtestaat[[#This Row],[Vloer code]]))</f>
        <v>16-5w T</v>
      </c>
      <c r="AQ269" s="448" t="str">
        <f>_xlfn.IFNA(VLOOKUP($AP269,Programma!$F$3:$G$1101,2,0),"")</f>
        <v>3w</v>
      </c>
      <c r="AR269" s="448" t="str">
        <f>_xlfn.IFNA(VLOOKUP($AP269,Programma!$F$3:$H$1101,3,0),"")</f>
        <v>2w</v>
      </c>
      <c r="AS269" s="448" t="str">
        <f>_xlfn.IFNA(VLOOKUP($AP269,Programma!$F$3:$I$1101,4,0),"")</f>
        <v>_</v>
      </c>
      <c r="AT269" s="448" t="str">
        <f>_xlfn.IFNA(VLOOKUP($AP269,Programma!$F$3:$J$1101,5,0),"")</f>
        <v>_</v>
      </c>
      <c r="AU269" s="448" t="str">
        <f>_xlfn.IFNA(VLOOKUP($AP269,Programma!$F$3:$K$1101,6,0),"")</f>
        <v>_</v>
      </c>
      <c r="AV269" s="448" t="str">
        <f>_xlfn.IFNA(VLOOKUP($AP269,Programma!$F$3:$L$1101,7,0),"")</f>
        <v>_</v>
      </c>
      <c r="AW269" s="448" t="str">
        <f>_xlfn.IFNA(VLOOKUP($AP269,Programma!$F$3:$M$1101,8,0),"")</f>
        <v>_</v>
      </c>
      <c r="AX269" s="448" t="str">
        <f>_xlfn.IFNA(VLOOKUP($AP269,Programma!$F$3:$N$1101,9,0),"")</f>
        <v>_</v>
      </c>
      <c r="AY269" s="448" t="str">
        <f>_xlfn.IFNA(VLOOKUP($AP269,Programma!$F$3:$O$1101,10,0),"")</f>
        <v>5w</v>
      </c>
      <c r="AZ269" s="448" t="str">
        <f>_xlfn.IFNA(VLOOKUP($AP269,Programma!$F$3:$P$1101,11,0),"")</f>
        <v>5w</v>
      </c>
      <c r="BA269" s="448" t="str">
        <f>_xlfn.IFNA(VLOOKUP($AP269,Programma!$F$3:$Q$1101,12,0),"")</f>
        <v>1w</v>
      </c>
      <c r="BB269" s="448" t="str">
        <f>_xlfn.IFNA(VLOOKUP($AP269,Programma!$F$3:$R$1101,13,0),"")</f>
        <v>1w</v>
      </c>
      <c r="BC269" s="448" t="str">
        <f>_xlfn.IFNA(VLOOKUP($AP269,Programma!$F$3:$S$1101,14,0),"")</f>
        <v>1m</v>
      </c>
      <c r="BD269" s="448" t="str">
        <f>_xlfn.IFNA(VLOOKUP($AP269,Programma!$F$3:$T$1101,15,0),"")</f>
        <v>2j</v>
      </c>
      <c r="BE269" s="448" t="str">
        <f>_xlfn.IFNA(VLOOKUP($AP269,Programma!$F$3:$U$1101,16,0),"")</f>
        <v>1j</v>
      </c>
      <c r="BF269" s="448" t="str">
        <f>_xlfn.IFNA(VLOOKUP($AP269,Programma!$F$3:$V$1101,17,0),"")</f>
        <v>_</v>
      </c>
      <c r="BG269" s="448" t="str">
        <f>_xlfn.IFNA(VLOOKUP($AP269,Programma!$F$3:$W$1101,18,0),"")</f>
        <v>_</v>
      </c>
      <c r="BH269" s="448" t="str">
        <f>_xlfn.IFNA(VLOOKUP($AP269,Programma!$F$3:$X$1101,19,0),"")</f>
        <v>_</v>
      </c>
      <c r="BI269" s="448" t="str">
        <f>_xlfn.IFNA(VLOOKUP($AP269,Programma!$F$3:$Y$1101,20,0),"")</f>
        <v>_</v>
      </c>
      <c r="BJ269" s="449"/>
      <c r="BK269" s="447" t="str">
        <f>IF(Ruimtestaat[[#This Row],[Frequentie weekend]]="","",_xlfn.CONCAT(Ruimtestaat[[#This Row],[Ruimte code]],"-",Ruimtestaat[[#This Row],[Frequentie weekend]]," ",Ruimtestaat[[#This Row],[Vloer code]]))</f>
        <v/>
      </c>
      <c r="BL269" s="448" t="str">
        <f>_xlfn.IFNA(VLOOKUP($BK269,Programma!$F$3:$G$1101,2,0),"")</f>
        <v/>
      </c>
      <c r="BM269" s="448" t="str">
        <f>_xlfn.IFNA(VLOOKUP($BK269,Programma!$F$3:$H$1101,3,0),"")</f>
        <v/>
      </c>
      <c r="BN269" s="448" t="str">
        <f>_xlfn.IFNA(VLOOKUP($BK269,Programma!$F$3:$I$1101,4,0),"")</f>
        <v/>
      </c>
      <c r="BO269" s="448" t="str">
        <f>_xlfn.IFNA(VLOOKUP($BK269,Programma!$F$3:$J$1101,5,0),"")</f>
        <v/>
      </c>
      <c r="BP269" s="448" t="str">
        <f>_xlfn.IFNA(VLOOKUP($BK269,Programma!$F$3:$K$1101,6,0),"")</f>
        <v/>
      </c>
      <c r="BQ269" s="448" t="str">
        <f>_xlfn.IFNA(VLOOKUP($BK269,Programma!$F$3:$L$1101,7,0),"")</f>
        <v/>
      </c>
      <c r="BR269" s="448" t="str">
        <f>_xlfn.IFNA(VLOOKUP($BK269,Programma!$F$3:$M$1101,8,0),"")</f>
        <v/>
      </c>
      <c r="BS269" s="448" t="str">
        <f>_xlfn.IFNA(VLOOKUP($BK269,Programma!$F$3:$N$1101,9,0),"")</f>
        <v/>
      </c>
      <c r="BT269" s="448" t="str">
        <f>_xlfn.IFNA(VLOOKUP($BK269,Programma!$F$3:$O$1101,10,0),"")</f>
        <v/>
      </c>
      <c r="BU269" s="448" t="str">
        <f>_xlfn.IFNA(VLOOKUP($BK269,Programma!$F$3:$P$1101,11,0),"")</f>
        <v/>
      </c>
      <c r="BV269" s="448" t="str">
        <f>_xlfn.IFNA(VLOOKUP($BK269,Programma!$F$3:$Q$1101,12,0),"")</f>
        <v/>
      </c>
      <c r="BW269" s="448" t="str">
        <f>_xlfn.IFNA(VLOOKUP($BK269,Programma!$F$3:$R$1101,13,0),"")</f>
        <v/>
      </c>
      <c r="BX269" s="448" t="str">
        <f>_xlfn.IFNA(VLOOKUP($BK269,Programma!$F$3:$S$1101,14,0),"")</f>
        <v/>
      </c>
      <c r="BY269" s="448" t="str">
        <f>_xlfn.IFNA(VLOOKUP($BK269,Programma!$F$3:$T$1101,15,0),"")</f>
        <v/>
      </c>
      <c r="BZ269" s="448" t="str">
        <f>_xlfn.IFNA(VLOOKUP($BK269,Programma!$F$3:$U$1101,16,0),"")</f>
        <v/>
      </c>
      <c r="CA269" s="448" t="str">
        <f>_xlfn.IFNA(VLOOKUP($BK269,Programma!$F$3:$V$1101,17,0),"")</f>
        <v/>
      </c>
      <c r="CB269" s="448" t="str">
        <f>_xlfn.IFNA(VLOOKUP($BK269,Programma!$F$3:$W$1101,18,0),"")</f>
        <v/>
      </c>
      <c r="CC269" s="448" t="str">
        <f>_xlfn.IFNA(VLOOKUP($BK269,Programma!$F$3:$X$1101,19,0),"")</f>
        <v/>
      </c>
      <c r="CD269" s="448" t="str">
        <f>_xlfn.IFNA(VLOOKUP($BK269,Programma!$F$3:$Y$1101,20,0),"")</f>
        <v/>
      </c>
      <c r="CE269" s="327"/>
      <c r="CF269" s="327"/>
      <c r="CG269" s="327"/>
      <c r="CH269" s="327"/>
      <c r="CI269" s="327"/>
      <c r="CJ269" s="327"/>
      <c r="CK269" s="327"/>
      <c r="CL269" s="327"/>
      <c r="CM269" s="327"/>
      <c r="CN269" s="327"/>
      <c r="CO269" s="327"/>
      <c r="CP269" s="327"/>
      <c r="CQ269" s="327"/>
      <c r="CR269" s="327"/>
      <c r="CS269" s="327"/>
      <c r="CT269" s="327"/>
      <c r="CU269" s="327"/>
      <c r="CV269" s="327"/>
      <c r="CW269" s="327"/>
      <c r="CX269" s="327"/>
      <c r="CY269" s="327"/>
      <c r="CZ269" s="327"/>
      <c r="DA269" s="327"/>
      <c r="DB269" s="327"/>
      <c r="DC269" s="327"/>
      <c r="DD269" s="327"/>
      <c r="DE269" s="327"/>
      <c r="DF269" s="327"/>
      <c r="DG269" s="327"/>
      <c r="DH269" s="327"/>
      <c r="DI269" s="327"/>
      <c r="DJ269" s="327"/>
      <c r="DK269" s="327"/>
      <c r="DL269" s="327"/>
      <c r="DM269" s="327"/>
      <c r="DN269" s="327"/>
      <c r="DO269" s="327"/>
      <c r="DP269" s="327"/>
      <c r="DQ269" s="327"/>
      <c r="DR269" s="327"/>
      <c r="DS269" s="327"/>
      <c r="DT269" s="327"/>
      <c r="DU269" s="327"/>
      <c r="DV269" s="327"/>
      <c r="DW269" s="327"/>
      <c r="DX269" s="327"/>
      <c r="DY269" s="327"/>
      <c r="DZ269" s="327"/>
      <c r="EA269" s="327"/>
      <c r="EB269" s="327"/>
      <c r="EC269" s="327"/>
      <c r="ED269" s="327"/>
      <c r="EE269" s="327"/>
      <c r="EF269" s="327"/>
      <c r="EG269" s="327"/>
      <c r="EH269" s="327"/>
      <c r="EI269" s="327"/>
      <c r="EJ269" s="327"/>
      <c r="EK269" s="327"/>
      <c r="EL269" s="327"/>
      <c r="EM269" s="327"/>
      <c r="EN269" s="327"/>
      <c r="EO269" s="327"/>
      <c r="EP269" s="327"/>
      <c r="EQ269" s="327"/>
      <c r="ER269" s="327"/>
      <c r="ES269" s="327"/>
      <c r="ET269" s="327"/>
      <c r="EU269" s="327"/>
      <c r="EV269" s="327"/>
      <c r="EW269" s="327"/>
      <c r="EX269" s="327"/>
      <c r="EY269" s="327"/>
      <c r="EZ269" s="327"/>
      <c r="FA269" s="327"/>
      <c r="FB269" s="327"/>
      <c r="FC269" s="327"/>
      <c r="FD269" s="327"/>
      <c r="FE269" s="327"/>
      <c r="FF269" s="327"/>
      <c r="FG269" s="327"/>
      <c r="FH269" s="327"/>
      <c r="FI269" s="327"/>
      <c r="FJ269" s="327"/>
      <c r="FK269" s="327"/>
      <c r="FL269" s="327"/>
      <c r="FM269" s="327"/>
      <c r="FN269" s="327"/>
      <c r="FO269" s="327"/>
      <c r="FP269" s="327"/>
      <c r="FQ269" s="327"/>
      <c r="FR269" s="327"/>
      <c r="FS269" s="327"/>
      <c r="FT269" s="327"/>
      <c r="FU269" s="327"/>
      <c r="FV269" s="327"/>
      <c r="FW269" s="327"/>
      <c r="FX269" s="327"/>
      <c r="FY269" s="327"/>
      <c r="FZ269" s="327"/>
      <c r="GA269" s="327"/>
      <c r="GB269" s="327"/>
      <c r="GC269" s="327"/>
      <c r="GD269" s="327"/>
      <c r="GE269" s="327"/>
      <c r="GF269" s="327"/>
      <c r="GG269" s="327"/>
      <c r="GH269" s="327"/>
      <c r="GI269" s="327"/>
      <c r="GJ269" s="327"/>
      <c r="GK269" s="327"/>
      <c r="GL269" s="327"/>
      <c r="GM269" s="327"/>
      <c r="GN269" s="327"/>
      <c r="GO269" s="327"/>
      <c r="GP269" s="327"/>
      <c r="GQ269" s="327"/>
      <c r="GR269" s="327"/>
      <c r="GS269" s="327"/>
      <c r="GT269" s="327"/>
      <c r="GU269" s="327"/>
      <c r="GV269" s="327"/>
      <c r="GW269" s="327"/>
      <c r="GX269" s="327"/>
      <c r="GY269" s="327"/>
      <c r="GZ269" s="327"/>
      <c r="HA269" s="327"/>
      <c r="HB269" s="327"/>
      <c r="HC269" s="327"/>
      <c r="HD269" s="327"/>
      <c r="HE269" s="327"/>
      <c r="HF269" s="327"/>
      <c r="HG269" s="327"/>
      <c r="HH269" s="327"/>
      <c r="HI269" s="327"/>
      <c r="HJ269" s="327"/>
      <c r="HK269" s="327"/>
      <c r="HL269" s="327"/>
      <c r="HM269" s="327"/>
      <c r="HN269" s="327"/>
      <c r="HO269" s="327"/>
      <c r="HP269" s="327"/>
      <c r="HQ269" s="327"/>
      <c r="HR269" s="327"/>
      <c r="HS269" s="327"/>
    </row>
    <row r="270" spans="1:227" ht="15" customHeight="1">
      <c r="A270" s="330">
        <v>12</v>
      </c>
      <c r="B270" s="435" t="str">
        <f>VLOOKUP(Ruimtestaat[[#This Row],[Code]],Locaties[[Code]:[Locatie]],2,FALSE)</f>
        <v>IKC De Leerplaneet Loc. 2 (vh 't Plankier)</v>
      </c>
      <c r="C270" s="435" t="str">
        <f>VLOOKUP(Ruimtestaat[[#This Row],[Code]],Locaties[[#All],[Code]:[Adres]],4,FALSE)</f>
        <v>Wedekindzijde 1-3</v>
      </c>
      <c r="D270" s="435" t="str">
        <f>VLOOKUP(Ruimtestaat[[#This Row],[Code]],Locaties[[#All],[Code]:[Postcode]],5,FALSE)</f>
        <v>2725 PG</v>
      </c>
      <c r="E270" s="435" t="str">
        <f>VLOOKUP(Ruimtestaat[[#This Row],[Code]],Locaties[#All],6,FALSE)</f>
        <v>Zoetermeer</v>
      </c>
      <c r="F270" s="450"/>
      <c r="G270" s="330" t="s">
        <v>1678</v>
      </c>
      <c r="H270" s="330" t="s">
        <v>1682</v>
      </c>
      <c r="I270" s="450" t="s">
        <v>1679</v>
      </c>
      <c r="J270" s="330">
        <v>16</v>
      </c>
      <c r="K270" s="450" t="str">
        <f>VLOOKUP(Ruimtestaat[[#This Row],[Ruimte code]],Ruimtegroepen[[#All],[Code]:[Ruimte omschrijving]],2,FALSE)</f>
        <v>Leslokalen</v>
      </c>
      <c r="L270" s="434" t="s">
        <v>100</v>
      </c>
      <c r="M270" s="437" t="s">
        <v>1759</v>
      </c>
      <c r="N270" s="439">
        <v>9</v>
      </c>
      <c r="O270" s="439"/>
      <c r="P270" s="439"/>
      <c r="Q270" s="439"/>
      <c r="R270" s="440" t="str">
        <f>VLOOKUP(Ruimtestaat[[#This Row],[Ruimte code]],Ruimtegroepen[],4,FALSE)</f>
        <v>Le</v>
      </c>
      <c r="S270" s="434">
        <v>40</v>
      </c>
      <c r="T270" s="434" t="s">
        <v>2</v>
      </c>
      <c r="U270" s="434">
        <f>IF(S270&gt;0,IF(RIGHT(Ruimtestaat[[#This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0" s="434">
        <f>IF(U270&gt;0,VLOOKUP($J270,Ruimtegroepen[],3,FALSE)*VLOOKUP($L270,Vloersoorten[],3,FALSE)*VLOOKUP($T270,Frequenties[],3,FALSE)*VLOOKUP($A270,Locaties[],3,FALSE),0)</f>
        <v>0</v>
      </c>
      <c r="W270" s="434">
        <f>Ruimtestaat[[#This Row],[Uitvoeringen werkdagen]]*Ruimtestaat[[#This Row],[Oppervlak (netto)]]</f>
        <v>1800</v>
      </c>
      <c r="X270" s="441">
        <f>IF(V270&gt;0,Ruimtestaat[[#This Row],[Prest. (m2 /jaar) werkdagen]]/Ruimtestaat[[#This Row],[Norm (m2/uur) werkdagen]],0)</f>
        <v>0</v>
      </c>
      <c r="Y270" s="442">
        <f>Ruimtestaat[[#This Row],[Uitvoeringen werkdagen]]*Ruimtestaat[[#This Row],[Gedeeltelijk]]</f>
        <v>0</v>
      </c>
      <c r="Z270" s="443" t="e">
        <f>IF(U270&gt;0,Ruimtestaat[[#This Row],[Prest. (m2 / jaar) werkdagen gedeeld]]/Ruimtestaat[[#This Row],[Norm (m2/uur) werkdagen]],0)</f>
        <v>#DIV/0!</v>
      </c>
      <c r="AA270" s="441" t="e">
        <f>Ruimtestaat[[#This Row],[uren / jaar werkdagen gedeeld]]*Tariefsopbouw!$E$35</f>
        <v>#DIV/0!</v>
      </c>
      <c r="AB270" s="441">
        <f>Ruimtestaat[[#This Row],[Uitvoeringen werkdagen]]*Ruimtestaat[[#This Row],[BSO]]</f>
        <v>0</v>
      </c>
      <c r="AC270" s="443" t="e">
        <f>IF(U270&gt;0,Ruimtestaat[[#This Row],[Prest. (m2 / jaar) werkdagen BSO]]/Ruimtestaat[[#This Row],[Norm (m2/uur) werkdagen]],0)</f>
        <v>#DIV/0!</v>
      </c>
      <c r="AD270" s="443" t="e">
        <f>Ruimtestaat[[#This Row],[uren / jaar werkdagen BSO]]*Tariefsopbouw!$E$35</f>
        <v>#DIV/0!</v>
      </c>
      <c r="AE270" s="444">
        <f>Ruimtestaat[[#This Row],[uren / jaar werkdagen]]*Tariefsopbouw!$E$35</f>
        <v>0</v>
      </c>
      <c r="AF270" s="434"/>
      <c r="AG270" s="434">
        <f>IF(Ruimtestaat[[#This Row],[Frequentie weekend]]&gt;0,VALUE(LEFT(AF270,1))*S270,0)</f>
        <v>0</v>
      </c>
      <c r="AH270" s="445">
        <f>IF($AG270&gt;0,VLOOKUP($J270,Ruimtegroepen[],3,FALSE)*VLOOKUP($L270,Vloersoorten[],3,FALSE)*VLOOKUP($AF270,Frequenties[],3,FALSE)*VLOOKUP(Ruimtestaat[[#This Row],[Code]],Locaties[],3,FALSE),0)</f>
        <v>0</v>
      </c>
      <c r="AI270" s="445">
        <f>Ruimtestaat[[#This Row],[Uitvoeringen weekend]]*Ruimtestaat[[#This Row],[Oppervlak (netto)]]</f>
        <v>0</v>
      </c>
      <c r="AJ270" s="445">
        <f>IF(AH270&gt;0,Ruimtestaat[[#This Row],[Prest. (m2 /jaar) weekend]]/Ruimtestaat[[#This Row],[Norm (m2/uur) weekend]],0)</f>
        <v>0</v>
      </c>
      <c r="AK270" s="444">
        <f>Ruimtestaat[[#This Row],[uren / jaar weekend]]*Tariefsopbouw!$D$40</f>
        <v>0</v>
      </c>
      <c r="AL270" s="441">
        <f>Ruimtestaat[[#This Row],[Prest. (m2 /jaar) weekend]]+Ruimtestaat[[#This Row],[Prest. (m2 /jaar) werkdagen]]</f>
        <v>1800</v>
      </c>
      <c r="AM270" s="441">
        <f>Ruimtestaat[[#This Row],[uren / jaar weekend]]+Ruimtestaat[[#This Row],[uren / jaar werkdagen]]</f>
        <v>0</v>
      </c>
      <c r="AN270" s="446">
        <f>Ruimtestaat[[#This Row],[kosten / jaar weekend]]+Ruimtestaat[[#This Row],[kosten / jaar werkdagen]]</f>
        <v>0</v>
      </c>
      <c r="AO270" s="446"/>
      <c r="AP270" s="447" t="str">
        <f>IF(Ruimtestaat[[#This Row],[Frequentie werkdagen]]="","",_xlfn.CONCAT(Ruimtestaat[[#This Row],[Ruimte code]],"-",Ruimtestaat[[#This Row],[Frequentie werkdagen]]," ",Ruimtestaat[[#This Row],[Vloer code]]))</f>
        <v>16-5w L</v>
      </c>
      <c r="AQ270" s="448" t="str">
        <f>_xlfn.IFNA(VLOOKUP($AP270,Programma!$F$3:$G$1101,2,0),"")</f>
        <v>_</v>
      </c>
      <c r="AR270" s="448" t="str">
        <f>_xlfn.IFNA(VLOOKUP($AP270,Programma!$F$3:$H$1101,3,0),"")</f>
        <v>_</v>
      </c>
      <c r="AS270" s="448" t="str">
        <f>_xlfn.IFNA(VLOOKUP($AP270,Programma!$F$3:$I$1101,4,0),"")</f>
        <v>4w</v>
      </c>
      <c r="AT270" s="448" t="str">
        <f>_xlfn.IFNA(VLOOKUP($AP270,Programma!$F$3:$J$1101,5,0),"")</f>
        <v>1w</v>
      </c>
      <c r="AU270" s="448" t="str">
        <f>_xlfn.IFNA(VLOOKUP($AP270,Programma!$F$3:$K$1101,6,0),"")</f>
        <v>_</v>
      </c>
      <c r="AV270" s="448" t="str">
        <f>_xlfn.IFNA(VLOOKUP($AP270,Programma!$F$3:$L$1101,7,0),"")</f>
        <v>_</v>
      </c>
      <c r="AW270" s="448" t="str">
        <f>_xlfn.IFNA(VLOOKUP($AP270,Programma!$F$3:$M$1101,8,0),"")</f>
        <v>_</v>
      </c>
      <c r="AX270" s="448" t="str">
        <f>_xlfn.IFNA(VLOOKUP($AP270,Programma!$F$3:$N$1101,9,0),"")</f>
        <v>_</v>
      </c>
      <c r="AY270" s="448" t="str">
        <f>_xlfn.IFNA(VLOOKUP($AP270,Programma!$F$3:$O$1101,10,0),"")</f>
        <v>5w</v>
      </c>
      <c r="AZ270" s="448" t="str">
        <f>_xlfn.IFNA(VLOOKUP($AP270,Programma!$F$3:$P$1101,11,0),"")</f>
        <v>5w</v>
      </c>
      <c r="BA270" s="448" t="str">
        <f>_xlfn.IFNA(VLOOKUP($AP270,Programma!$F$3:$Q$1101,12,0),"")</f>
        <v>1w</v>
      </c>
      <c r="BB270" s="448" t="str">
        <f>_xlfn.IFNA(VLOOKUP($AP270,Programma!$F$3:$R$1101,13,0),"")</f>
        <v>1w</v>
      </c>
      <c r="BC270" s="448" t="str">
        <f>_xlfn.IFNA(VLOOKUP($AP270,Programma!$F$3:$S$1101,14,0),"")</f>
        <v>1m</v>
      </c>
      <c r="BD270" s="448" t="str">
        <f>_xlfn.IFNA(VLOOKUP($AP270,Programma!$F$3:$T$1101,15,0),"")</f>
        <v>2j</v>
      </c>
      <c r="BE270" s="448" t="str">
        <f>_xlfn.IFNA(VLOOKUP($AP270,Programma!$F$3:$U$1101,16,0),"")</f>
        <v>1j</v>
      </c>
      <c r="BF270" s="448" t="str">
        <f>_xlfn.IFNA(VLOOKUP($AP270,Programma!$F$3:$V$1101,17,0),"")</f>
        <v>_</v>
      </c>
      <c r="BG270" s="448" t="str">
        <f>_xlfn.IFNA(VLOOKUP($AP270,Programma!$F$3:$W$1101,18,0),"")</f>
        <v>_</v>
      </c>
      <c r="BH270" s="448" t="str">
        <f>_xlfn.IFNA(VLOOKUP($AP270,Programma!$F$3:$X$1101,19,0),"")</f>
        <v>_</v>
      </c>
      <c r="BI270" s="448" t="str">
        <f>_xlfn.IFNA(VLOOKUP($AP270,Programma!$F$3:$Y$1101,20,0),"")</f>
        <v>_</v>
      </c>
      <c r="BJ270" s="449"/>
      <c r="BK270" s="447" t="str">
        <f>IF(Ruimtestaat[[#This Row],[Frequentie weekend]]="","",_xlfn.CONCAT(Ruimtestaat[[#This Row],[Ruimte code]],"-",Ruimtestaat[[#This Row],[Frequentie weekend]]," ",Ruimtestaat[[#This Row],[Vloer code]]))</f>
        <v/>
      </c>
      <c r="BL270" s="448" t="str">
        <f>_xlfn.IFNA(VLOOKUP($BK270,Programma!$F$3:$G$1101,2,0),"")</f>
        <v/>
      </c>
      <c r="BM270" s="448" t="str">
        <f>_xlfn.IFNA(VLOOKUP($BK270,Programma!$F$3:$H$1101,3,0),"")</f>
        <v/>
      </c>
      <c r="BN270" s="448" t="str">
        <f>_xlfn.IFNA(VLOOKUP($BK270,Programma!$F$3:$I$1101,4,0),"")</f>
        <v/>
      </c>
      <c r="BO270" s="448" t="str">
        <f>_xlfn.IFNA(VLOOKUP($BK270,Programma!$F$3:$J$1101,5,0),"")</f>
        <v/>
      </c>
      <c r="BP270" s="448" t="str">
        <f>_xlfn.IFNA(VLOOKUP($BK270,Programma!$F$3:$K$1101,6,0),"")</f>
        <v/>
      </c>
      <c r="BQ270" s="448" t="str">
        <f>_xlfn.IFNA(VLOOKUP($BK270,Programma!$F$3:$L$1101,7,0),"")</f>
        <v/>
      </c>
      <c r="BR270" s="448" t="str">
        <f>_xlfn.IFNA(VLOOKUP($BK270,Programma!$F$3:$M$1101,8,0),"")</f>
        <v/>
      </c>
      <c r="BS270" s="448" t="str">
        <f>_xlfn.IFNA(VLOOKUP($BK270,Programma!$F$3:$N$1101,9,0),"")</f>
        <v/>
      </c>
      <c r="BT270" s="448" t="str">
        <f>_xlfn.IFNA(VLOOKUP($BK270,Programma!$F$3:$O$1101,10,0),"")</f>
        <v/>
      </c>
      <c r="BU270" s="448" t="str">
        <f>_xlfn.IFNA(VLOOKUP($BK270,Programma!$F$3:$P$1101,11,0),"")</f>
        <v/>
      </c>
      <c r="BV270" s="448" t="str">
        <f>_xlfn.IFNA(VLOOKUP($BK270,Programma!$F$3:$Q$1101,12,0),"")</f>
        <v/>
      </c>
      <c r="BW270" s="448" t="str">
        <f>_xlfn.IFNA(VLOOKUP($BK270,Programma!$F$3:$R$1101,13,0),"")</f>
        <v/>
      </c>
      <c r="BX270" s="448" t="str">
        <f>_xlfn.IFNA(VLOOKUP($BK270,Programma!$F$3:$S$1101,14,0),"")</f>
        <v/>
      </c>
      <c r="BY270" s="448" t="str">
        <f>_xlfn.IFNA(VLOOKUP($BK270,Programma!$F$3:$T$1101,15,0),"")</f>
        <v/>
      </c>
      <c r="BZ270" s="448" t="str">
        <f>_xlfn.IFNA(VLOOKUP($BK270,Programma!$F$3:$U$1101,16,0),"")</f>
        <v/>
      </c>
      <c r="CA270" s="448" t="str">
        <f>_xlfn.IFNA(VLOOKUP($BK270,Programma!$F$3:$V$1101,17,0),"")</f>
        <v/>
      </c>
      <c r="CB270" s="448" t="str">
        <f>_xlfn.IFNA(VLOOKUP($BK270,Programma!$F$3:$W$1101,18,0),"")</f>
        <v/>
      </c>
      <c r="CC270" s="448" t="str">
        <f>_xlfn.IFNA(VLOOKUP($BK270,Programma!$F$3:$X$1101,19,0),"")</f>
        <v/>
      </c>
      <c r="CD270" s="448" t="str">
        <f>_xlfn.IFNA(VLOOKUP($BK270,Programma!$F$3:$Y$1101,20,0),"")</f>
        <v/>
      </c>
      <c r="CE270" s="327"/>
      <c r="CF270" s="327"/>
      <c r="CG270" s="327"/>
      <c r="CH270" s="327"/>
      <c r="CI270" s="327"/>
      <c r="CJ270" s="327"/>
      <c r="CK270" s="327"/>
      <c r="CL270" s="327"/>
      <c r="CM270" s="327"/>
      <c r="CN270" s="327"/>
      <c r="CO270" s="327"/>
      <c r="CP270" s="327"/>
      <c r="CQ270" s="327"/>
      <c r="CR270" s="327"/>
      <c r="CS270" s="327"/>
      <c r="CT270" s="327"/>
      <c r="CU270" s="327"/>
      <c r="CV270" s="327"/>
      <c r="CW270" s="327"/>
      <c r="CX270" s="327"/>
      <c r="CY270" s="327"/>
      <c r="CZ270" s="327"/>
      <c r="DA270" s="327"/>
      <c r="DB270" s="327"/>
      <c r="DC270" s="327"/>
      <c r="DD270" s="327"/>
      <c r="DE270" s="327"/>
      <c r="DF270" s="327"/>
      <c r="DG270" s="327"/>
      <c r="DH270" s="327"/>
      <c r="DI270" s="327"/>
      <c r="DJ270" s="327"/>
      <c r="DK270" s="327"/>
      <c r="DL270" s="327"/>
      <c r="DM270" s="327"/>
      <c r="DN270" s="327"/>
      <c r="DO270" s="327"/>
      <c r="DP270" s="327"/>
      <c r="DQ270" s="327"/>
      <c r="DR270" s="327"/>
      <c r="DS270" s="327"/>
      <c r="DT270" s="327"/>
      <c r="DU270" s="327"/>
      <c r="DV270" s="327"/>
      <c r="DW270" s="327"/>
      <c r="DX270" s="327"/>
      <c r="DY270" s="327"/>
      <c r="DZ270" s="327"/>
      <c r="EA270" s="327"/>
      <c r="EB270" s="327"/>
      <c r="EC270" s="327"/>
      <c r="ED270" s="327"/>
      <c r="EE270" s="327"/>
      <c r="EF270" s="327"/>
      <c r="EG270" s="327"/>
      <c r="EH270" s="327"/>
      <c r="EI270" s="327"/>
      <c r="EJ270" s="327"/>
      <c r="EK270" s="327"/>
      <c r="EL270" s="327"/>
      <c r="EM270" s="327"/>
      <c r="EN270" s="327"/>
      <c r="EO270" s="327"/>
      <c r="EP270" s="327"/>
      <c r="EQ270" s="327"/>
      <c r="ER270" s="327"/>
      <c r="ES270" s="327"/>
      <c r="ET270" s="327"/>
      <c r="EU270" s="327"/>
      <c r="EV270" s="327"/>
      <c r="EW270" s="327"/>
      <c r="EX270" s="327"/>
      <c r="EY270" s="327"/>
      <c r="EZ270" s="327"/>
      <c r="FA270" s="327"/>
      <c r="FB270" s="327"/>
      <c r="FC270" s="327"/>
      <c r="FD270" s="327"/>
      <c r="FE270" s="327"/>
      <c r="FF270" s="327"/>
      <c r="FG270" s="327"/>
      <c r="FH270" s="327"/>
      <c r="FI270" s="327"/>
      <c r="FJ270" s="327"/>
      <c r="FK270" s="327"/>
      <c r="FL270" s="327"/>
      <c r="FM270" s="327"/>
      <c r="FN270" s="327"/>
      <c r="FO270" s="327"/>
      <c r="FP270" s="327"/>
      <c r="FQ270" s="327"/>
      <c r="FR270" s="327"/>
      <c r="FS270" s="327"/>
      <c r="FT270" s="327"/>
      <c r="FU270" s="327"/>
      <c r="FV270" s="327"/>
      <c r="FW270" s="327"/>
      <c r="FX270" s="327"/>
      <c r="FY270" s="327"/>
      <c r="FZ270" s="327"/>
      <c r="GA270" s="327"/>
      <c r="GB270" s="327"/>
      <c r="GC270" s="327"/>
      <c r="GD270" s="327"/>
      <c r="GE270" s="327"/>
      <c r="GF270" s="327"/>
      <c r="GG270" s="327"/>
      <c r="GH270" s="327"/>
      <c r="GI270" s="327"/>
      <c r="GJ270" s="327"/>
      <c r="GK270" s="327"/>
      <c r="GL270" s="327"/>
      <c r="GM270" s="327"/>
      <c r="GN270" s="327"/>
      <c r="GO270" s="327"/>
      <c r="GP270" s="327"/>
      <c r="GQ270" s="327"/>
      <c r="GR270" s="327"/>
      <c r="GS270" s="327"/>
      <c r="GT270" s="327"/>
      <c r="GU270" s="327"/>
      <c r="GV270" s="327"/>
      <c r="GW270" s="327"/>
      <c r="GX270" s="327"/>
      <c r="GY270" s="327"/>
      <c r="GZ270" s="327"/>
      <c r="HA270" s="327"/>
      <c r="HB270" s="327"/>
      <c r="HC270" s="327"/>
      <c r="HD270" s="327"/>
      <c r="HE270" s="327"/>
      <c r="HF270" s="327"/>
      <c r="HG270" s="327"/>
      <c r="HH270" s="327"/>
      <c r="HI270" s="327"/>
      <c r="HJ270" s="327"/>
      <c r="HK270" s="327"/>
      <c r="HL270" s="327"/>
      <c r="HM270" s="327"/>
      <c r="HN270" s="327"/>
      <c r="HO270" s="327"/>
      <c r="HP270" s="327"/>
      <c r="HQ270" s="327"/>
      <c r="HR270" s="327"/>
      <c r="HS270" s="327"/>
    </row>
    <row r="271" spans="1:227" ht="15" customHeight="1">
      <c r="A271" s="330">
        <v>12</v>
      </c>
      <c r="B271" s="435" t="str">
        <f>VLOOKUP(Ruimtestaat[[#This Row],[Code]],Locaties[[Code]:[Locatie]],2,FALSE)</f>
        <v>IKC De Leerplaneet Loc. 2 (vh 't Plankier)</v>
      </c>
      <c r="C271" s="435" t="str">
        <f>VLOOKUP(Ruimtestaat[[#This Row],[Code]],Locaties[[#All],[Code]:[Adres]],4,FALSE)</f>
        <v>Wedekindzijde 1-3</v>
      </c>
      <c r="D271" s="435" t="str">
        <f>VLOOKUP(Ruimtestaat[[#This Row],[Code]],Locaties[[#All],[Code]:[Postcode]],5,FALSE)</f>
        <v>2725 PG</v>
      </c>
      <c r="E271" s="435" t="str">
        <f>VLOOKUP(Ruimtestaat[[#This Row],[Code]],Locaties[#All],6,FALSE)</f>
        <v>Zoetermeer</v>
      </c>
      <c r="F271" s="450"/>
      <c r="G271" s="330" t="s">
        <v>1678</v>
      </c>
      <c r="H271" s="330" t="s">
        <v>1683</v>
      </c>
      <c r="I271" s="450" t="s">
        <v>1679</v>
      </c>
      <c r="J271" s="330">
        <v>16</v>
      </c>
      <c r="K271" s="450" t="str">
        <f>VLOOKUP(Ruimtestaat[[#This Row],[Ruimte code]],Ruimtegroepen[[#All],[Code]:[Ruimte omschrijving]],2,FALSE)</f>
        <v>Leslokalen</v>
      </c>
      <c r="L271" s="434" t="s">
        <v>99</v>
      </c>
      <c r="M271" s="437" t="s">
        <v>36</v>
      </c>
      <c r="N271" s="439">
        <v>51</v>
      </c>
      <c r="O271" s="439"/>
      <c r="P271" s="439"/>
      <c r="Q271" s="439"/>
      <c r="R271" s="440" t="str">
        <f>VLOOKUP(Ruimtestaat[[#This Row],[Ruimte code]],Ruimtegroepen[],4,FALSE)</f>
        <v>Le</v>
      </c>
      <c r="S271" s="434">
        <v>40</v>
      </c>
      <c r="T271" s="434" t="s">
        <v>2</v>
      </c>
      <c r="U271" s="434">
        <f>IF(S271&gt;0,IF(RIGHT(Ruimtestaat[[#This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1" s="434">
        <f>IF(U271&gt;0,VLOOKUP($J271,Ruimtegroepen[],3,FALSE)*VLOOKUP($L271,Vloersoorten[],3,FALSE)*VLOOKUP($T271,Frequenties[],3,FALSE)*VLOOKUP($A271,Locaties[],3,FALSE),0)</f>
        <v>0</v>
      </c>
      <c r="W271" s="434">
        <f>Ruimtestaat[[#This Row],[Uitvoeringen werkdagen]]*Ruimtestaat[[#This Row],[Oppervlak (netto)]]</f>
        <v>10200</v>
      </c>
      <c r="X271" s="441">
        <f>IF(V271&gt;0,Ruimtestaat[[#This Row],[Prest. (m2 /jaar) werkdagen]]/Ruimtestaat[[#This Row],[Norm (m2/uur) werkdagen]],0)</f>
        <v>0</v>
      </c>
      <c r="Y271" s="442">
        <f>Ruimtestaat[[#This Row],[Uitvoeringen werkdagen]]*Ruimtestaat[[#This Row],[Gedeeltelijk]]</f>
        <v>0</v>
      </c>
      <c r="Z271" s="443" t="e">
        <f>IF(U271&gt;0,Ruimtestaat[[#This Row],[Prest. (m2 / jaar) werkdagen gedeeld]]/Ruimtestaat[[#This Row],[Norm (m2/uur) werkdagen]],0)</f>
        <v>#DIV/0!</v>
      </c>
      <c r="AA271" s="441" t="e">
        <f>Ruimtestaat[[#This Row],[uren / jaar werkdagen gedeeld]]*Tariefsopbouw!$E$35</f>
        <v>#DIV/0!</v>
      </c>
      <c r="AB271" s="441">
        <f>Ruimtestaat[[#This Row],[Uitvoeringen werkdagen]]*Ruimtestaat[[#This Row],[BSO]]</f>
        <v>0</v>
      </c>
      <c r="AC271" s="443" t="e">
        <f>IF(U271&gt;0,Ruimtestaat[[#This Row],[Prest. (m2 / jaar) werkdagen BSO]]/Ruimtestaat[[#This Row],[Norm (m2/uur) werkdagen]],0)</f>
        <v>#DIV/0!</v>
      </c>
      <c r="AD271" s="443" t="e">
        <f>Ruimtestaat[[#This Row],[uren / jaar werkdagen BSO]]*Tariefsopbouw!$E$35</f>
        <v>#DIV/0!</v>
      </c>
      <c r="AE271" s="444">
        <f>Ruimtestaat[[#This Row],[uren / jaar werkdagen]]*Tariefsopbouw!$E$35</f>
        <v>0</v>
      </c>
      <c r="AF271" s="434"/>
      <c r="AG271" s="434">
        <f>IF(Ruimtestaat[[#This Row],[Frequentie weekend]]&gt;0,VALUE(LEFT(AF271,1))*S271,0)</f>
        <v>0</v>
      </c>
      <c r="AH271" s="445">
        <f>IF($AG271&gt;0,VLOOKUP($J271,Ruimtegroepen[],3,FALSE)*VLOOKUP($L271,Vloersoorten[],3,FALSE)*VLOOKUP($AF271,Frequenties[],3,FALSE)*VLOOKUP(Ruimtestaat[[#This Row],[Code]],Locaties[],3,FALSE),0)</f>
        <v>0</v>
      </c>
      <c r="AI271" s="445">
        <f>Ruimtestaat[[#This Row],[Uitvoeringen weekend]]*Ruimtestaat[[#This Row],[Oppervlak (netto)]]</f>
        <v>0</v>
      </c>
      <c r="AJ271" s="445">
        <f>IF(AH271&gt;0,Ruimtestaat[[#This Row],[Prest. (m2 /jaar) weekend]]/Ruimtestaat[[#This Row],[Norm (m2/uur) weekend]],0)</f>
        <v>0</v>
      </c>
      <c r="AK271" s="444">
        <f>Ruimtestaat[[#This Row],[uren / jaar weekend]]*Tariefsopbouw!$D$40</f>
        <v>0</v>
      </c>
      <c r="AL271" s="441">
        <f>Ruimtestaat[[#This Row],[Prest. (m2 /jaar) weekend]]+Ruimtestaat[[#This Row],[Prest. (m2 /jaar) werkdagen]]</f>
        <v>10200</v>
      </c>
      <c r="AM271" s="441">
        <f>Ruimtestaat[[#This Row],[uren / jaar weekend]]+Ruimtestaat[[#This Row],[uren / jaar werkdagen]]</f>
        <v>0</v>
      </c>
      <c r="AN271" s="446">
        <f>Ruimtestaat[[#This Row],[kosten / jaar weekend]]+Ruimtestaat[[#This Row],[kosten / jaar werkdagen]]</f>
        <v>0</v>
      </c>
      <c r="AO271" s="446"/>
      <c r="AP271" s="447" t="str">
        <f>IF(Ruimtestaat[[#This Row],[Frequentie werkdagen]]="","",_xlfn.CONCAT(Ruimtestaat[[#This Row],[Ruimte code]],"-",Ruimtestaat[[#This Row],[Frequentie werkdagen]]," ",Ruimtestaat[[#This Row],[Vloer code]]))</f>
        <v>16-5w T</v>
      </c>
      <c r="AQ271" s="448" t="str">
        <f>_xlfn.IFNA(VLOOKUP($AP271,Programma!$F$3:$G$1101,2,0),"")</f>
        <v>3w</v>
      </c>
      <c r="AR271" s="448" t="str">
        <f>_xlfn.IFNA(VLOOKUP($AP271,Programma!$F$3:$H$1101,3,0),"")</f>
        <v>2w</v>
      </c>
      <c r="AS271" s="448" t="str">
        <f>_xlfn.IFNA(VLOOKUP($AP271,Programma!$F$3:$I$1101,4,0),"")</f>
        <v>_</v>
      </c>
      <c r="AT271" s="448" t="str">
        <f>_xlfn.IFNA(VLOOKUP($AP271,Programma!$F$3:$J$1101,5,0),"")</f>
        <v>_</v>
      </c>
      <c r="AU271" s="448" t="str">
        <f>_xlfn.IFNA(VLOOKUP($AP271,Programma!$F$3:$K$1101,6,0),"")</f>
        <v>_</v>
      </c>
      <c r="AV271" s="448" t="str">
        <f>_xlfn.IFNA(VLOOKUP($AP271,Programma!$F$3:$L$1101,7,0),"")</f>
        <v>_</v>
      </c>
      <c r="AW271" s="448" t="str">
        <f>_xlfn.IFNA(VLOOKUP($AP271,Programma!$F$3:$M$1101,8,0),"")</f>
        <v>_</v>
      </c>
      <c r="AX271" s="448" t="str">
        <f>_xlfn.IFNA(VLOOKUP($AP271,Programma!$F$3:$N$1101,9,0),"")</f>
        <v>_</v>
      </c>
      <c r="AY271" s="448" t="str">
        <f>_xlfn.IFNA(VLOOKUP($AP271,Programma!$F$3:$O$1101,10,0),"")</f>
        <v>5w</v>
      </c>
      <c r="AZ271" s="448" t="str">
        <f>_xlfn.IFNA(VLOOKUP($AP271,Programma!$F$3:$P$1101,11,0),"")</f>
        <v>5w</v>
      </c>
      <c r="BA271" s="448" t="str">
        <f>_xlfn.IFNA(VLOOKUP($AP271,Programma!$F$3:$Q$1101,12,0),"")</f>
        <v>1w</v>
      </c>
      <c r="BB271" s="448" t="str">
        <f>_xlfn.IFNA(VLOOKUP($AP271,Programma!$F$3:$R$1101,13,0),"")</f>
        <v>1w</v>
      </c>
      <c r="BC271" s="448" t="str">
        <f>_xlfn.IFNA(VLOOKUP($AP271,Programma!$F$3:$S$1101,14,0),"")</f>
        <v>1m</v>
      </c>
      <c r="BD271" s="448" t="str">
        <f>_xlfn.IFNA(VLOOKUP($AP271,Programma!$F$3:$T$1101,15,0),"")</f>
        <v>2j</v>
      </c>
      <c r="BE271" s="448" t="str">
        <f>_xlfn.IFNA(VLOOKUP($AP271,Programma!$F$3:$U$1101,16,0),"")</f>
        <v>1j</v>
      </c>
      <c r="BF271" s="448" t="str">
        <f>_xlfn.IFNA(VLOOKUP($AP271,Programma!$F$3:$V$1101,17,0),"")</f>
        <v>_</v>
      </c>
      <c r="BG271" s="448" t="str">
        <f>_xlfn.IFNA(VLOOKUP($AP271,Programma!$F$3:$W$1101,18,0),"")</f>
        <v>_</v>
      </c>
      <c r="BH271" s="448" t="str">
        <f>_xlfn.IFNA(VLOOKUP($AP271,Programma!$F$3:$X$1101,19,0),"")</f>
        <v>_</v>
      </c>
      <c r="BI271" s="448" t="str">
        <f>_xlfn.IFNA(VLOOKUP($AP271,Programma!$F$3:$Y$1101,20,0),"")</f>
        <v>_</v>
      </c>
      <c r="BJ271" s="449"/>
      <c r="BK271" s="447" t="str">
        <f>IF(Ruimtestaat[[#This Row],[Frequentie weekend]]="","",_xlfn.CONCAT(Ruimtestaat[[#This Row],[Ruimte code]],"-",Ruimtestaat[[#This Row],[Frequentie weekend]]," ",Ruimtestaat[[#This Row],[Vloer code]]))</f>
        <v/>
      </c>
      <c r="BL271" s="448" t="str">
        <f>_xlfn.IFNA(VLOOKUP($BK271,Programma!$F$3:$G$1101,2,0),"")</f>
        <v/>
      </c>
      <c r="BM271" s="448" t="str">
        <f>_xlfn.IFNA(VLOOKUP($BK271,Programma!$F$3:$H$1101,3,0),"")</f>
        <v/>
      </c>
      <c r="BN271" s="448" t="str">
        <f>_xlfn.IFNA(VLOOKUP($BK271,Programma!$F$3:$I$1101,4,0),"")</f>
        <v/>
      </c>
      <c r="BO271" s="448" t="str">
        <f>_xlfn.IFNA(VLOOKUP($BK271,Programma!$F$3:$J$1101,5,0),"")</f>
        <v/>
      </c>
      <c r="BP271" s="448" t="str">
        <f>_xlfn.IFNA(VLOOKUP($BK271,Programma!$F$3:$K$1101,6,0),"")</f>
        <v/>
      </c>
      <c r="BQ271" s="448" t="str">
        <f>_xlfn.IFNA(VLOOKUP($BK271,Programma!$F$3:$L$1101,7,0),"")</f>
        <v/>
      </c>
      <c r="BR271" s="448" t="str">
        <f>_xlfn.IFNA(VLOOKUP($BK271,Programma!$F$3:$M$1101,8,0),"")</f>
        <v/>
      </c>
      <c r="BS271" s="448" t="str">
        <f>_xlfn.IFNA(VLOOKUP($BK271,Programma!$F$3:$N$1101,9,0),"")</f>
        <v/>
      </c>
      <c r="BT271" s="448" t="str">
        <f>_xlfn.IFNA(VLOOKUP($BK271,Programma!$F$3:$O$1101,10,0),"")</f>
        <v/>
      </c>
      <c r="BU271" s="448" t="str">
        <f>_xlfn.IFNA(VLOOKUP($BK271,Programma!$F$3:$P$1101,11,0),"")</f>
        <v/>
      </c>
      <c r="BV271" s="448" t="str">
        <f>_xlfn.IFNA(VLOOKUP($BK271,Programma!$F$3:$Q$1101,12,0),"")</f>
        <v/>
      </c>
      <c r="BW271" s="448" t="str">
        <f>_xlfn.IFNA(VLOOKUP($BK271,Programma!$F$3:$R$1101,13,0),"")</f>
        <v/>
      </c>
      <c r="BX271" s="448" t="str">
        <f>_xlfn.IFNA(VLOOKUP($BK271,Programma!$F$3:$S$1101,14,0),"")</f>
        <v/>
      </c>
      <c r="BY271" s="448" t="str">
        <f>_xlfn.IFNA(VLOOKUP($BK271,Programma!$F$3:$T$1101,15,0),"")</f>
        <v/>
      </c>
      <c r="BZ271" s="448" t="str">
        <f>_xlfn.IFNA(VLOOKUP($BK271,Programma!$F$3:$U$1101,16,0),"")</f>
        <v/>
      </c>
      <c r="CA271" s="448" t="str">
        <f>_xlfn.IFNA(VLOOKUP($BK271,Programma!$F$3:$V$1101,17,0),"")</f>
        <v/>
      </c>
      <c r="CB271" s="448" t="str">
        <f>_xlfn.IFNA(VLOOKUP($BK271,Programma!$F$3:$W$1101,18,0),"")</f>
        <v/>
      </c>
      <c r="CC271" s="448" t="str">
        <f>_xlfn.IFNA(VLOOKUP($BK271,Programma!$F$3:$X$1101,19,0),"")</f>
        <v/>
      </c>
      <c r="CD271" s="448" t="str">
        <f>_xlfn.IFNA(VLOOKUP($BK271,Programma!$F$3:$Y$1101,20,0),"")</f>
        <v/>
      </c>
      <c r="CE271" s="327"/>
      <c r="CF271" s="327"/>
      <c r="CG271" s="327"/>
      <c r="CH271" s="327"/>
      <c r="CI271" s="327"/>
      <c r="CJ271" s="327"/>
      <c r="CK271" s="327"/>
      <c r="CL271" s="327"/>
      <c r="CM271" s="327"/>
      <c r="CN271" s="327"/>
      <c r="CO271" s="327"/>
      <c r="CP271" s="327"/>
      <c r="CQ271" s="327"/>
      <c r="CR271" s="327"/>
      <c r="CS271" s="327"/>
      <c r="CT271" s="327"/>
      <c r="CU271" s="327"/>
      <c r="CV271" s="327"/>
      <c r="CW271" s="327"/>
      <c r="CX271" s="327"/>
      <c r="CY271" s="327"/>
      <c r="CZ271" s="327"/>
      <c r="DA271" s="327"/>
      <c r="DB271" s="327"/>
      <c r="DC271" s="327"/>
      <c r="DD271" s="327"/>
      <c r="DE271" s="327"/>
      <c r="DF271" s="327"/>
      <c r="DG271" s="327"/>
      <c r="DH271" s="327"/>
      <c r="DI271" s="327"/>
      <c r="DJ271" s="327"/>
      <c r="DK271" s="327"/>
      <c r="DL271" s="327"/>
      <c r="DM271" s="327"/>
      <c r="DN271" s="327"/>
      <c r="DO271" s="327"/>
      <c r="DP271" s="327"/>
      <c r="DQ271" s="327"/>
      <c r="DR271" s="327"/>
      <c r="DS271" s="327"/>
      <c r="DT271" s="327"/>
      <c r="DU271" s="327"/>
      <c r="DV271" s="327"/>
      <c r="DW271" s="327"/>
      <c r="DX271" s="327"/>
      <c r="DY271" s="327"/>
      <c r="DZ271" s="327"/>
      <c r="EA271" s="327"/>
      <c r="EB271" s="327"/>
      <c r="EC271" s="327"/>
      <c r="ED271" s="327"/>
      <c r="EE271" s="327"/>
      <c r="EF271" s="327"/>
      <c r="EG271" s="327"/>
      <c r="EH271" s="327"/>
      <c r="EI271" s="327"/>
      <c r="EJ271" s="327"/>
      <c r="EK271" s="327"/>
      <c r="EL271" s="327"/>
      <c r="EM271" s="327"/>
      <c r="EN271" s="327"/>
      <c r="EO271" s="327"/>
      <c r="EP271" s="327"/>
      <c r="EQ271" s="327"/>
      <c r="ER271" s="327"/>
      <c r="ES271" s="327"/>
      <c r="ET271" s="327"/>
      <c r="EU271" s="327"/>
      <c r="EV271" s="327"/>
      <c r="EW271" s="327"/>
      <c r="EX271" s="327"/>
      <c r="EY271" s="327"/>
      <c r="EZ271" s="327"/>
      <c r="FA271" s="327"/>
      <c r="FB271" s="327"/>
      <c r="FC271" s="327"/>
      <c r="FD271" s="327"/>
      <c r="FE271" s="327"/>
      <c r="FF271" s="327"/>
      <c r="FG271" s="327"/>
      <c r="FH271" s="327"/>
      <c r="FI271" s="327"/>
      <c r="FJ271" s="327"/>
      <c r="FK271" s="327"/>
      <c r="FL271" s="327"/>
      <c r="FM271" s="327"/>
      <c r="FN271" s="327"/>
      <c r="FO271" s="327"/>
      <c r="FP271" s="327"/>
      <c r="FQ271" s="327"/>
      <c r="FR271" s="327"/>
      <c r="FS271" s="327"/>
      <c r="FT271" s="327"/>
      <c r="FU271" s="327"/>
      <c r="FV271" s="327"/>
      <c r="FW271" s="327"/>
      <c r="FX271" s="327"/>
      <c r="FY271" s="327"/>
      <c r="FZ271" s="327"/>
      <c r="GA271" s="327"/>
      <c r="GB271" s="327"/>
      <c r="GC271" s="327"/>
      <c r="GD271" s="327"/>
      <c r="GE271" s="327"/>
      <c r="GF271" s="327"/>
      <c r="GG271" s="327"/>
      <c r="GH271" s="327"/>
      <c r="GI271" s="327"/>
      <c r="GJ271" s="327"/>
      <c r="GK271" s="327"/>
      <c r="GL271" s="327"/>
      <c r="GM271" s="327"/>
      <c r="GN271" s="327"/>
      <c r="GO271" s="327"/>
      <c r="GP271" s="327"/>
      <c r="GQ271" s="327"/>
      <c r="GR271" s="327"/>
      <c r="GS271" s="327"/>
      <c r="GT271" s="327"/>
      <c r="GU271" s="327"/>
      <c r="GV271" s="327"/>
      <c r="GW271" s="327"/>
      <c r="GX271" s="327"/>
      <c r="GY271" s="327"/>
      <c r="GZ271" s="327"/>
      <c r="HA271" s="327"/>
      <c r="HB271" s="327"/>
      <c r="HC271" s="327"/>
      <c r="HD271" s="327"/>
      <c r="HE271" s="327"/>
      <c r="HF271" s="327"/>
      <c r="HG271" s="327"/>
      <c r="HH271" s="327"/>
      <c r="HI271" s="327"/>
      <c r="HJ271" s="327"/>
      <c r="HK271" s="327"/>
      <c r="HL271" s="327"/>
      <c r="HM271" s="327"/>
      <c r="HN271" s="327"/>
      <c r="HO271" s="327"/>
      <c r="HP271" s="327"/>
      <c r="HQ271" s="327"/>
      <c r="HR271" s="327"/>
      <c r="HS271" s="327"/>
    </row>
    <row r="272" spans="1:227" ht="15" customHeight="1">
      <c r="A272" s="330">
        <v>12</v>
      </c>
      <c r="B272" s="435" t="str">
        <f>VLOOKUP(Ruimtestaat[[#This Row],[Code]],Locaties[[Code]:[Locatie]],2,FALSE)</f>
        <v>IKC De Leerplaneet Loc. 2 (vh 't Plankier)</v>
      </c>
      <c r="C272" s="435" t="str">
        <f>VLOOKUP(Ruimtestaat[[#This Row],[Code]],Locaties[[#All],[Code]:[Adres]],4,FALSE)</f>
        <v>Wedekindzijde 1-3</v>
      </c>
      <c r="D272" s="435" t="str">
        <f>VLOOKUP(Ruimtestaat[[#This Row],[Code]],Locaties[[#All],[Code]:[Postcode]],5,FALSE)</f>
        <v>2725 PG</v>
      </c>
      <c r="E272" s="435" t="str">
        <f>VLOOKUP(Ruimtestaat[[#This Row],[Code]],Locaties[#All],6,FALSE)</f>
        <v>Zoetermeer</v>
      </c>
      <c r="F272" s="450"/>
      <c r="G272" s="330" t="s">
        <v>1678</v>
      </c>
      <c r="H272" s="330" t="s">
        <v>1761</v>
      </c>
      <c r="I272" s="450" t="s">
        <v>1679</v>
      </c>
      <c r="J272" s="330">
        <v>16</v>
      </c>
      <c r="K272" s="450" t="str">
        <f>VLOOKUP(Ruimtestaat[[#This Row],[Ruimte code]],Ruimtegroepen[[#All],[Code]:[Ruimte omschrijving]],2,FALSE)</f>
        <v>Leslokalen</v>
      </c>
      <c r="L272" s="434" t="s">
        <v>100</v>
      </c>
      <c r="M272" s="437" t="s">
        <v>1759</v>
      </c>
      <c r="N272" s="439">
        <v>8</v>
      </c>
      <c r="O272" s="439"/>
      <c r="P272" s="439"/>
      <c r="Q272" s="439"/>
      <c r="R272" s="440" t="str">
        <f>VLOOKUP(Ruimtestaat[[#This Row],[Ruimte code]],Ruimtegroepen[],4,FALSE)</f>
        <v>Le</v>
      </c>
      <c r="S272" s="434">
        <v>40</v>
      </c>
      <c r="T272" s="434" t="s">
        <v>2</v>
      </c>
      <c r="U272" s="434">
        <f>IF(S272&gt;0,IF(RIGHT(Ruimtestaat[[#This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2" s="434">
        <f>IF(U272&gt;0,VLOOKUP($J272,Ruimtegroepen[],3,FALSE)*VLOOKUP($L272,Vloersoorten[],3,FALSE)*VLOOKUP($T272,Frequenties[],3,FALSE)*VLOOKUP($A272,Locaties[],3,FALSE),0)</f>
        <v>0</v>
      </c>
      <c r="W272" s="434">
        <f>Ruimtestaat[[#This Row],[Uitvoeringen werkdagen]]*Ruimtestaat[[#This Row],[Oppervlak (netto)]]</f>
        <v>1600</v>
      </c>
      <c r="X272" s="441">
        <f>IF(V272&gt;0,Ruimtestaat[[#This Row],[Prest. (m2 /jaar) werkdagen]]/Ruimtestaat[[#This Row],[Norm (m2/uur) werkdagen]],0)</f>
        <v>0</v>
      </c>
      <c r="Y272" s="442">
        <f>Ruimtestaat[[#This Row],[Uitvoeringen werkdagen]]*Ruimtestaat[[#This Row],[Gedeeltelijk]]</f>
        <v>0</v>
      </c>
      <c r="Z272" s="443" t="e">
        <f>IF(U272&gt;0,Ruimtestaat[[#This Row],[Prest. (m2 / jaar) werkdagen gedeeld]]/Ruimtestaat[[#This Row],[Norm (m2/uur) werkdagen]],0)</f>
        <v>#DIV/0!</v>
      </c>
      <c r="AA272" s="441" t="e">
        <f>Ruimtestaat[[#This Row],[uren / jaar werkdagen gedeeld]]*Tariefsopbouw!$E$35</f>
        <v>#DIV/0!</v>
      </c>
      <c r="AB272" s="441">
        <f>Ruimtestaat[[#This Row],[Uitvoeringen werkdagen]]*Ruimtestaat[[#This Row],[BSO]]</f>
        <v>0</v>
      </c>
      <c r="AC272" s="443" t="e">
        <f>IF(U272&gt;0,Ruimtestaat[[#This Row],[Prest. (m2 / jaar) werkdagen BSO]]/Ruimtestaat[[#This Row],[Norm (m2/uur) werkdagen]],0)</f>
        <v>#DIV/0!</v>
      </c>
      <c r="AD272" s="443" t="e">
        <f>Ruimtestaat[[#This Row],[uren / jaar werkdagen BSO]]*Tariefsopbouw!$E$35</f>
        <v>#DIV/0!</v>
      </c>
      <c r="AE272" s="444">
        <f>Ruimtestaat[[#This Row],[uren / jaar werkdagen]]*Tariefsopbouw!$E$35</f>
        <v>0</v>
      </c>
      <c r="AF272" s="434"/>
      <c r="AG272" s="434">
        <f>IF(Ruimtestaat[[#This Row],[Frequentie weekend]]&gt;0,VALUE(LEFT(AF272,1))*S272,0)</f>
        <v>0</v>
      </c>
      <c r="AH272" s="445">
        <f>IF($AG272&gt;0,VLOOKUP($J272,Ruimtegroepen[],3,FALSE)*VLOOKUP($L272,Vloersoorten[],3,FALSE)*VLOOKUP($AF272,Frequenties[],3,FALSE)*VLOOKUP(Ruimtestaat[[#This Row],[Code]],Locaties[],3,FALSE),0)</f>
        <v>0</v>
      </c>
      <c r="AI272" s="445">
        <f>Ruimtestaat[[#This Row],[Uitvoeringen weekend]]*Ruimtestaat[[#This Row],[Oppervlak (netto)]]</f>
        <v>0</v>
      </c>
      <c r="AJ272" s="445">
        <f>IF(AH272&gt;0,Ruimtestaat[[#This Row],[Prest. (m2 /jaar) weekend]]/Ruimtestaat[[#This Row],[Norm (m2/uur) weekend]],0)</f>
        <v>0</v>
      </c>
      <c r="AK272" s="444">
        <f>Ruimtestaat[[#This Row],[uren / jaar weekend]]*Tariefsopbouw!$D$40</f>
        <v>0</v>
      </c>
      <c r="AL272" s="441">
        <f>Ruimtestaat[[#This Row],[Prest. (m2 /jaar) weekend]]+Ruimtestaat[[#This Row],[Prest. (m2 /jaar) werkdagen]]</f>
        <v>1600</v>
      </c>
      <c r="AM272" s="441">
        <f>Ruimtestaat[[#This Row],[uren / jaar weekend]]+Ruimtestaat[[#This Row],[uren / jaar werkdagen]]</f>
        <v>0</v>
      </c>
      <c r="AN272" s="446">
        <f>Ruimtestaat[[#This Row],[kosten / jaar weekend]]+Ruimtestaat[[#This Row],[kosten / jaar werkdagen]]</f>
        <v>0</v>
      </c>
      <c r="AO272" s="446"/>
      <c r="AP272" s="447" t="str">
        <f>IF(Ruimtestaat[[#This Row],[Frequentie werkdagen]]="","",_xlfn.CONCAT(Ruimtestaat[[#This Row],[Ruimte code]],"-",Ruimtestaat[[#This Row],[Frequentie werkdagen]]," ",Ruimtestaat[[#This Row],[Vloer code]]))</f>
        <v>16-5w L</v>
      </c>
      <c r="AQ272" s="448" t="str">
        <f>_xlfn.IFNA(VLOOKUP($AP272,Programma!$F$3:$G$1101,2,0),"")</f>
        <v>_</v>
      </c>
      <c r="AR272" s="448" t="str">
        <f>_xlfn.IFNA(VLOOKUP($AP272,Programma!$F$3:$H$1101,3,0),"")</f>
        <v>_</v>
      </c>
      <c r="AS272" s="448" t="str">
        <f>_xlfn.IFNA(VLOOKUP($AP272,Programma!$F$3:$I$1101,4,0),"")</f>
        <v>4w</v>
      </c>
      <c r="AT272" s="448" t="str">
        <f>_xlfn.IFNA(VLOOKUP($AP272,Programma!$F$3:$J$1101,5,0),"")</f>
        <v>1w</v>
      </c>
      <c r="AU272" s="448" t="str">
        <f>_xlfn.IFNA(VLOOKUP($AP272,Programma!$F$3:$K$1101,6,0),"")</f>
        <v>_</v>
      </c>
      <c r="AV272" s="448" t="str">
        <f>_xlfn.IFNA(VLOOKUP($AP272,Programma!$F$3:$L$1101,7,0),"")</f>
        <v>_</v>
      </c>
      <c r="AW272" s="448" t="str">
        <f>_xlfn.IFNA(VLOOKUP($AP272,Programma!$F$3:$M$1101,8,0),"")</f>
        <v>_</v>
      </c>
      <c r="AX272" s="448" t="str">
        <f>_xlfn.IFNA(VLOOKUP($AP272,Programma!$F$3:$N$1101,9,0),"")</f>
        <v>_</v>
      </c>
      <c r="AY272" s="448" t="str">
        <f>_xlfn.IFNA(VLOOKUP($AP272,Programma!$F$3:$O$1101,10,0),"")</f>
        <v>5w</v>
      </c>
      <c r="AZ272" s="448" t="str">
        <f>_xlfn.IFNA(VLOOKUP($AP272,Programma!$F$3:$P$1101,11,0),"")</f>
        <v>5w</v>
      </c>
      <c r="BA272" s="448" t="str">
        <f>_xlfn.IFNA(VLOOKUP($AP272,Programma!$F$3:$Q$1101,12,0),"")</f>
        <v>1w</v>
      </c>
      <c r="BB272" s="448" t="str">
        <f>_xlfn.IFNA(VLOOKUP($AP272,Programma!$F$3:$R$1101,13,0),"")</f>
        <v>1w</v>
      </c>
      <c r="BC272" s="448" t="str">
        <f>_xlfn.IFNA(VLOOKUP($AP272,Programma!$F$3:$S$1101,14,0),"")</f>
        <v>1m</v>
      </c>
      <c r="BD272" s="448" t="str">
        <f>_xlfn.IFNA(VLOOKUP($AP272,Programma!$F$3:$T$1101,15,0),"")</f>
        <v>2j</v>
      </c>
      <c r="BE272" s="448" t="str">
        <f>_xlfn.IFNA(VLOOKUP($AP272,Programma!$F$3:$U$1101,16,0),"")</f>
        <v>1j</v>
      </c>
      <c r="BF272" s="448" t="str">
        <f>_xlfn.IFNA(VLOOKUP($AP272,Programma!$F$3:$V$1101,17,0),"")</f>
        <v>_</v>
      </c>
      <c r="BG272" s="448" t="str">
        <f>_xlfn.IFNA(VLOOKUP($AP272,Programma!$F$3:$W$1101,18,0),"")</f>
        <v>_</v>
      </c>
      <c r="BH272" s="448" t="str">
        <f>_xlfn.IFNA(VLOOKUP($AP272,Programma!$F$3:$X$1101,19,0),"")</f>
        <v>_</v>
      </c>
      <c r="BI272" s="448" t="str">
        <f>_xlfn.IFNA(VLOOKUP($AP272,Programma!$F$3:$Y$1101,20,0),"")</f>
        <v>_</v>
      </c>
      <c r="BJ272" s="449"/>
      <c r="BK272" s="447" t="str">
        <f>IF(Ruimtestaat[[#This Row],[Frequentie weekend]]="","",_xlfn.CONCAT(Ruimtestaat[[#This Row],[Ruimte code]],"-",Ruimtestaat[[#This Row],[Frequentie weekend]]," ",Ruimtestaat[[#This Row],[Vloer code]]))</f>
        <v/>
      </c>
      <c r="BL272" s="448" t="str">
        <f>_xlfn.IFNA(VLOOKUP($BK272,Programma!$F$3:$G$1101,2,0),"")</f>
        <v/>
      </c>
      <c r="BM272" s="448" t="str">
        <f>_xlfn.IFNA(VLOOKUP($BK272,Programma!$F$3:$H$1101,3,0),"")</f>
        <v/>
      </c>
      <c r="BN272" s="448" t="str">
        <f>_xlfn.IFNA(VLOOKUP($BK272,Programma!$F$3:$I$1101,4,0),"")</f>
        <v/>
      </c>
      <c r="BO272" s="448" t="str">
        <f>_xlfn.IFNA(VLOOKUP($BK272,Programma!$F$3:$J$1101,5,0),"")</f>
        <v/>
      </c>
      <c r="BP272" s="448" t="str">
        <f>_xlfn.IFNA(VLOOKUP($BK272,Programma!$F$3:$K$1101,6,0),"")</f>
        <v/>
      </c>
      <c r="BQ272" s="448" t="str">
        <f>_xlfn.IFNA(VLOOKUP($BK272,Programma!$F$3:$L$1101,7,0),"")</f>
        <v/>
      </c>
      <c r="BR272" s="448" t="str">
        <f>_xlfn.IFNA(VLOOKUP($BK272,Programma!$F$3:$M$1101,8,0),"")</f>
        <v/>
      </c>
      <c r="BS272" s="448" t="str">
        <f>_xlfn.IFNA(VLOOKUP($BK272,Programma!$F$3:$N$1101,9,0),"")</f>
        <v/>
      </c>
      <c r="BT272" s="448" t="str">
        <f>_xlfn.IFNA(VLOOKUP($BK272,Programma!$F$3:$O$1101,10,0),"")</f>
        <v/>
      </c>
      <c r="BU272" s="448" t="str">
        <f>_xlfn.IFNA(VLOOKUP($BK272,Programma!$F$3:$P$1101,11,0),"")</f>
        <v/>
      </c>
      <c r="BV272" s="448" t="str">
        <f>_xlfn.IFNA(VLOOKUP($BK272,Programma!$F$3:$Q$1101,12,0),"")</f>
        <v/>
      </c>
      <c r="BW272" s="448" t="str">
        <f>_xlfn.IFNA(VLOOKUP($BK272,Programma!$F$3:$R$1101,13,0),"")</f>
        <v/>
      </c>
      <c r="BX272" s="448" t="str">
        <f>_xlfn.IFNA(VLOOKUP($BK272,Programma!$F$3:$S$1101,14,0),"")</f>
        <v/>
      </c>
      <c r="BY272" s="448" t="str">
        <f>_xlfn.IFNA(VLOOKUP($BK272,Programma!$F$3:$T$1101,15,0),"")</f>
        <v/>
      </c>
      <c r="BZ272" s="448" t="str">
        <f>_xlfn.IFNA(VLOOKUP($BK272,Programma!$F$3:$U$1101,16,0),"")</f>
        <v/>
      </c>
      <c r="CA272" s="448" t="str">
        <f>_xlfn.IFNA(VLOOKUP($BK272,Programma!$F$3:$V$1101,17,0),"")</f>
        <v/>
      </c>
      <c r="CB272" s="448" t="str">
        <f>_xlfn.IFNA(VLOOKUP($BK272,Programma!$F$3:$W$1101,18,0),"")</f>
        <v/>
      </c>
      <c r="CC272" s="448" t="str">
        <f>_xlfn.IFNA(VLOOKUP($BK272,Programma!$F$3:$X$1101,19,0),"")</f>
        <v/>
      </c>
      <c r="CD272" s="448" t="str">
        <f>_xlfn.IFNA(VLOOKUP($BK272,Programma!$F$3:$Y$1101,20,0),"")</f>
        <v/>
      </c>
      <c r="CE272" s="327"/>
      <c r="CF272" s="327"/>
      <c r="CG272" s="327"/>
      <c r="CH272" s="327"/>
      <c r="CI272" s="327"/>
      <c r="CJ272" s="327"/>
      <c r="CK272" s="327"/>
      <c r="CL272" s="327"/>
      <c r="CM272" s="327"/>
      <c r="CN272" s="327"/>
      <c r="CO272" s="327"/>
      <c r="CP272" s="327"/>
      <c r="CQ272" s="327"/>
      <c r="CR272" s="327"/>
      <c r="CS272" s="327"/>
      <c r="CT272" s="327"/>
      <c r="CU272" s="327"/>
      <c r="CV272" s="327"/>
      <c r="CW272" s="327"/>
      <c r="CX272" s="327"/>
      <c r="CY272" s="327"/>
      <c r="CZ272" s="327"/>
      <c r="DA272" s="327"/>
      <c r="DB272" s="327"/>
      <c r="DC272" s="327"/>
      <c r="DD272" s="327"/>
      <c r="DE272" s="327"/>
      <c r="DF272" s="327"/>
      <c r="DG272" s="327"/>
      <c r="DH272" s="327"/>
      <c r="DI272" s="327"/>
      <c r="DJ272" s="327"/>
      <c r="DK272" s="327"/>
      <c r="DL272" s="327"/>
      <c r="DM272" s="327"/>
      <c r="DN272" s="327"/>
      <c r="DO272" s="327"/>
      <c r="DP272" s="327"/>
      <c r="DQ272" s="327"/>
      <c r="DR272" s="327"/>
      <c r="DS272" s="327"/>
      <c r="DT272" s="327"/>
      <c r="DU272" s="327"/>
      <c r="DV272" s="327"/>
      <c r="DW272" s="327"/>
      <c r="DX272" s="327"/>
      <c r="DY272" s="327"/>
      <c r="DZ272" s="327"/>
      <c r="EA272" s="327"/>
      <c r="EB272" s="327"/>
      <c r="EC272" s="327"/>
      <c r="ED272" s="327"/>
      <c r="EE272" s="327"/>
      <c r="EF272" s="327"/>
      <c r="EG272" s="327"/>
      <c r="EH272" s="327"/>
      <c r="EI272" s="327"/>
      <c r="EJ272" s="327"/>
      <c r="EK272" s="327"/>
      <c r="EL272" s="327"/>
      <c r="EM272" s="327"/>
      <c r="EN272" s="327"/>
      <c r="EO272" s="327"/>
      <c r="EP272" s="327"/>
      <c r="EQ272" s="327"/>
      <c r="ER272" s="327"/>
      <c r="ES272" s="327"/>
      <c r="ET272" s="327"/>
      <c r="EU272" s="327"/>
      <c r="EV272" s="327"/>
      <c r="EW272" s="327"/>
      <c r="EX272" s="327"/>
      <c r="EY272" s="327"/>
      <c r="EZ272" s="327"/>
      <c r="FA272" s="327"/>
      <c r="FB272" s="327"/>
      <c r="FC272" s="327"/>
      <c r="FD272" s="327"/>
      <c r="FE272" s="327"/>
      <c r="FF272" s="327"/>
      <c r="FG272" s="327"/>
      <c r="FH272" s="327"/>
      <c r="FI272" s="327"/>
      <c r="FJ272" s="327"/>
      <c r="FK272" s="327"/>
      <c r="FL272" s="327"/>
      <c r="FM272" s="327"/>
      <c r="FN272" s="327"/>
      <c r="FO272" s="327"/>
      <c r="FP272" s="327"/>
      <c r="FQ272" s="327"/>
      <c r="FR272" s="327"/>
      <c r="FS272" s="327"/>
      <c r="FT272" s="327"/>
      <c r="FU272" s="327"/>
      <c r="FV272" s="327"/>
      <c r="FW272" s="327"/>
      <c r="FX272" s="327"/>
      <c r="FY272" s="327"/>
      <c r="FZ272" s="327"/>
      <c r="GA272" s="327"/>
      <c r="GB272" s="327"/>
      <c r="GC272" s="327"/>
      <c r="GD272" s="327"/>
      <c r="GE272" s="327"/>
      <c r="GF272" s="327"/>
      <c r="GG272" s="327"/>
      <c r="GH272" s="327"/>
      <c r="GI272" s="327"/>
      <c r="GJ272" s="327"/>
      <c r="GK272" s="327"/>
      <c r="GL272" s="327"/>
      <c r="GM272" s="327"/>
      <c r="GN272" s="327"/>
      <c r="GO272" s="327"/>
      <c r="GP272" s="327"/>
      <c r="GQ272" s="327"/>
      <c r="GR272" s="327"/>
      <c r="GS272" s="327"/>
      <c r="GT272" s="327"/>
      <c r="GU272" s="327"/>
      <c r="GV272" s="327"/>
      <c r="GW272" s="327"/>
      <c r="GX272" s="327"/>
      <c r="GY272" s="327"/>
      <c r="GZ272" s="327"/>
      <c r="HA272" s="327"/>
      <c r="HB272" s="327"/>
      <c r="HC272" s="327"/>
      <c r="HD272" s="327"/>
      <c r="HE272" s="327"/>
      <c r="HF272" s="327"/>
      <c r="HG272" s="327"/>
      <c r="HH272" s="327"/>
      <c r="HI272" s="327"/>
      <c r="HJ272" s="327"/>
      <c r="HK272" s="327"/>
      <c r="HL272" s="327"/>
      <c r="HM272" s="327"/>
      <c r="HN272" s="327"/>
      <c r="HO272" s="327"/>
      <c r="HP272" s="327"/>
      <c r="HQ272" s="327"/>
      <c r="HR272" s="327"/>
      <c r="HS272" s="327"/>
    </row>
    <row r="273" spans="1:227" ht="15" customHeight="1">
      <c r="A273" s="330">
        <v>12</v>
      </c>
      <c r="B273" s="435" t="str">
        <f>VLOOKUP(Ruimtestaat[[#This Row],[Code]],Locaties[[Code]:[Locatie]],2,FALSE)</f>
        <v>IKC De Leerplaneet Loc. 2 (vh 't Plankier)</v>
      </c>
      <c r="C273" s="435" t="str">
        <f>VLOOKUP(Ruimtestaat[[#This Row],[Code]],Locaties[[#All],[Code]:[Adres]],4,FALSE)</f>
        <v>Wedekindzijde 1-3</v>
      </c>
      <c r="D273" s="435" t="str">
        <f>VLOOKUP(Ruimtestaat[[#This Row],[Code]],Locaties[[#All],[Code]:[Postcode]],5,FALSE)</f>
        <v>2725 PG</v>
      </c>
      <c r="E273" s="435" t="str">
        <f>VLOOKUP(Ruimtestaat[[#This Row],[Code]],Locaties[#All],6,FALSE)</f>
        <v>Zoetermeer</v>
      </c>
      <c r="F273" s="450"/>
      <c r="G273" s="330" t="s">
        <v>1678</v>
      </c>
      <c r="H273" s="330" t="s">
        <v>1689</v>
      </c>
      <c r="I273" s="450" t="s">
        <v>1679</v>
      </c>
      <c r="J273" s="330">
        <v>16</v>
      </c>
      <c r="K273" s="450" t="str">
        <f>VLOOKUP(Ruimtestaat[[#This Row],[Ruimte code]],Ruimtegroepen[[#All],[Code]:[Ruimte omschrijving]],2,FALSE)</f>
        <v>Leslokalen</v>
      </c>
      <c r="L273" s="434" t="s">
        <v>99</v>
      </c>
      <c r="M273" s="437" t="s">
        <v>36</v>
      </c>
      <c r="N273" s="439">
        <v>50</v>
      </c>
      <c r="O273" s="439"/>
      <c r="P273" s="439"/>
      <c r="Q273" s="439"/>
      <c r="R273" s="440" t="str">
        <f>VLOOKUP(Ruimtestaat[[#This Row],[Ruimte code]],Ruimtegroepen[],4,FALSE)</f>
        <v>Le</v>
      </c>
      <c r="S273" s="434">
        <v>40</v>
      </c>
      <c r="T273" s="434" t="s">
        <v>2</v>
      </c>
      <c r="U273" s="434">
        <f>IF(S273&gt;0,IF(RIGHT(Ruimtestaat[[#This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3" s="434">
        <f>IF(U273&gt;0,VLOOKUP($J273,Ruimtegroepen[],3,FALSE)*VLOOKUP($L273,Vloersoorten[],3,FALSE)*VLOOKUP($T273,Frequenties[],3,FALSE)*VLOOKUP($A273,Locaties[],3,FALSE),0)</f>
        <v>0</v>
      </c>
      <c r="W273" s="434">
        <f>Ruimtestaat[[#This Row],[Uitvoeringen werkdagen]]*Ruimtestaat[[#This Row],[Oppervlak (netto)]]</f>
        <v>10000</v>
      </c>
      <c r="X273" s="441">
        <f>IF(V273&gt;0,Ruimtestaat[[#This Row],[Prest. (m2 /jaar) werkdagen]]/Ruimtestaat[[#This Row],[Norm (m2/uur) werkdagen]],0)</f>
        <v>0</v>
      </c>
      <c r="Y273" s="442">
        <f>Ruimtestaat[[#This Row],[Uitvoeringen werkdagen]]*Ruimtestaat[[#This Row],[Gedeeltelijk]]</f>
        <v>0</v>
      </c>
      <c r="Z273" s="443" t="e">
        <f>IF(U273&gt;0,Ruimtestaat[[#This Row],[Prest. (m2 / jaar) werkdagen gedeeld]]/Ruimtestaat[[#This Row],[Norm (m2/uur) werkdagen]],0)</f>
        <v>#DIV/0!</v>
      </c>
      <c r="AA273" s="441" t="e">
        <f>Ruimtestaat[[#This Row],[uren / jaar werkdagen gedeeld]]*Tariefsopbouw!$E$35</f>
        <v>#DIV/0!</v>
      </c>
      <c r="AB273" s="441">
        <f>Ruimtestaat[[#This Row],[Uitvoeringen werkdagen]]*Ruimtestaat[[#This Row],[BSO]]</f>
        <v>0</v>
      </c>
      <c r="AC273" s="443" t="e">
        <f>IF(U273&gt;0,Ruimtestaat[[#This Row],[Prest. (m2 / jaar) werkdagen BSO]]/Ruimtestaat[[#This Row],[Norm (m2/uur) werkdagen]],0)</f>
        <v>#DIV/0!</v>
      </c>
      <c r="AD273" s="443" t="e">
        <f>Ruimtestaat[[#This Row],[uren / jaar werkdagen BSO]]*Tariefsopbouw!$E$35</f>
        <v>#DIV/0!</v>
      </c>
      <c r="AE273" s="444">
        <f>Ruimtestaat[[#This Row],[uren / jaar werkdagen]]*Tariefsopbouw!$E$35</f>
        <v>0</v>
      </c>
      <c r="AF273" s="434"/>
      <c r="AG273" s="434">
        <f>IF(Ruimtestaat[[#This Row],[Frequentie weekend]]&gt;0,VALUE(LEFT(AF273,1))*S273,0)</f>
        <v>0</v>
      </c>
      <c r="AH273" s="445">
        <f>IF($AG273&gt;0,VLOOKUP($J273,Ruimtegroepen[],3,FALSE)*VLOOKUP($L273,Vloersoorten[],3,FALSE)*VLOOKUP($AF273,Frequenties[],3,FALSE)*VLOOKUP(Ruimtestaat[[#This Row],[Code]],Locaties[],3,FALSE),0)</f>
        <v>0</v>
      </c>
      <c r="AI273" s="445">
        <f>Ruimtestaat[[#This Row],[Uitvoeringen weekend]]*Ruimtestaat[[#This Row],[Oppervlak (netto)]]</f>
        <v>0</v>
      </c>
      <c r="AJ273" s="445">
        <f>IF(AH273&gt;0,Ruimtestaat[[#This Row],[Prest. (m2 /jaar) weekend]]/Ruimtestaat[[#This Row],[Norm (m2/uur) weekend]],0)</f>
        <v>0</v>
      </c>
      <c r="AK273" s="444">
        <f>Ruimtestaat[[#This Row],[uren / jaar weekend]]*Tariefsopbouw!$D$40</f>
        <v>0</v>
      </c>
      <c r="AL273" s="441">
        <f>Ruimtestaat[[#This Row],[Prest. (m2 /jaar) weekend]]+Ruimtestaat[[#This Row],[Prest. (m2 /jaar) werkdagen]]</f>
        <v>10000</v>
      </c>
      <c r="AM273" s="441">
        <f>Ruimtestaat[[#This Row],[uren / jaar weekend]]+Ruimtestaat[[#This Row],[uren / jaar werkdagen]]</f>
        <v>0</v>
      </c>
      <c r="AN273" s="446">
        <f>Ruimtestaat[[#This Row],[kosten / jaar weekend]]+Ruimtestaat[[#This Row],[kosten / jaar werkdagen]]</f>
        <v>0</v>
      </c>
      <c r="AO273" s="446"/>
      <c r="AP273" s="447" t="str">
        <f>IF(Ruimtestaat[[#This Row],[Frequentie werkdagen]]="","",_xlfn.CONCAT(Ruimtestaat[[#This Row],[Ruimte code]],"-",Ruimtestaat[[#This Row],[Frequentie werkdagen]]," ",Ruimtestaat[[#This Row],[Vloer code]]))</f>
        <v>16-5w T</v>
      </c>
      <c r="AQ273" s="448" t="str">
        <f>_xlfn.IFNA(VLOOKUP($AP273,Programma!$F$3:$G$1101,2,0),"")</f>
        <v>3w</v>
      </c>
      <c r="AR273" s="448" t="str">
        <f>_xlfn.IFNA(VLOOKUP($AP273,Programma!$F$3:$H$1101,3,0),"")</f>
        <v>2w</v>
      </c>
      <c r="AS273" s="448" t="str">
        <f>_xlfn.IFNA(VLOOKUP($AP273,Programma!$F$3:$I$1101,4,0),"")</f>
        <v>_</v>
      </c>
      <c r="AT273" s="448" t="str">
        <f>_xlfn.IFNA(VLOOKUP($AP273,Programma!$F$3:$J$1101,5,0),"")</f>
        <v>_</v>
      </c>
      <c r="AU273" s="448" t="str">
        <f>_xlfn.IFNA(VLOOKUP($AP273,Programma!$F$3:$K$1101,6,0),"")</f>
        <v>_</v>
      </c>
      <c r="AV273" s="448" t="str">
        <f>_xlfn.IFNA(VLOOKUP($AP273,Programma!$F$3:$L$1101,7,0),"")</f>
        <v>_</v>
      </c>
      <c r="AW273" s="448" t="str">
        <f>_xlfn.IFNA(VLOOKUP($AP273,Programma!$F$3:$M$1101,8,0),"")</f>
        <v>_</v>
      </c>
      <c r="AX273" s="448" t="str">
        <f>_xlfn.IFNA(VLOOKUP($AP273,Programma!$F$3:$N$1101,9,0),"")</f>
        <v>_</v>
      </c>
      <c r="AY273" s="448" t="str">
        <f>_xlfn.IFNA(VLOOKUP($AP273,Programma!$F$3:$O$1101,10,0),"")</f>
        <v>5w</v>
      </c>
      <c r="AZ273" s="448" t="str">
        <f>_xlfn.IFNA(VLOOKUP($AP273,Programma!$F$3:$P$1101,11,0),"")</f>
        <v>5w</v>
      </c>
      <c r="BA273" s="448" t="str">
        <f>_xlfn.IFNA(VLOOKUP($AP273,Programma!$F$3:$Q$1101,12,0),"")</f>
        <v>1w</v>
      </c>
      <c r="BB273" s="448" t="str">
        <f>_xlfn.IFNA(VLOOKUP($AP273,Programma!$F$3:$R$1101,13,0),"")</f>
        <v>1w</v>
      </c>
      <c r="BC273" s="448" t="str">
        <f>_xlfn.IFNA(VLOOKUP($AP273,Programma!$F$3:$S$1101,14,0),"")</f>
        <v>1m</v>
      </c>
      <c r="BD273" s="448" t="str">
        <f>_xlfn.IFNA(VLOOKUP($AP273,Programma!$F$3:$T$1101,15,0),"")</f>
        <v>2j</v>
      </c>
      <c r="BE273" s="448" t="str">
        <f>_xlfn.IFNA(VLOOKUP($AP273,Programma!$F$3:$U$1101,16,0),"")</f>
        <v>1j</v>
      </c>
      <c r="BF273" s="448" t="str">
        <f>_xlfn.IFNA(VLOOKUP($AP273,Programma!$F$3:$V$1101,17,0),"")</f>
        <v>_</v>
      </c>
      <c r="BG273" s="448" t="str">
        <f>_xlfn.IFNA(VLOOKUP($AP273,Programma!$F$3:$W$1101,18,0),"")</f>
        <v>_</v>
      </c>
      <c r="BH273" s="448" t="str">
        <f>_xlfn.IFNA(VLOOKUP($AP273,Programma!$F$3:$X$1101,19,0),"")</f>
        <v>_</v>
      </c>
      <c r="BI273" s="448" t="str">
        <f>_xlfn.IFNA(VLOOKUP($AP273,Programma!$F$3:$Y$1101,20,0),"")</f>
        <v>_</v>
      </c>
      <c r="BJ273" s="449"/>
      <c r="BK273" s="447" t="str">
        <f>IF(Ruimtestaat[[#This Row],[Frequentie weekend]]="","",_xlfn.CONCAT(Ruimtestaat[[#This Row],[Ruimte code]],"-",Ruimtestaat[[#This Row],[Frequentie weekend]]," ",Ruimtestaat[[#This Row],[Vloer code]]))</f>
        <v/>
      </c>
      <c r="BL273" s="448" t="str">
        <f>_xlfn.IFNA(VLOOKUP($BK273,Programma!$F$3:$G$1101,2,0),"")</f>
        <v/>
      </c>
      <c r="BM273" s="448" t="str">
        <f>_xlfn.IFNA(VLOOKUP($BK273,Programma!$F$3:$H$1101,3,0),"")</f>
        <v/>
      </c>
      <c r="BN273" s="448" t="str">
        <f>_xlfn.IFNA(VLOOKUP($BK273,Programma!$F$3:$I$1101,4,0),"")</f>
        <v/>
      </c>
      <c r="BO273" s="448" t="str">
        <f>_xlfn.IFNA(VLOOKUP($BK273,Programma!$F$3:$J$1101,5,0),"")</f>
        <v/>
      </c>
      <c r="BP273" s="448" t="str">
        <f>_xlfn.IFNA(VLOOKUP($BK273,Programma!$F$3:$K$1101,6,0),"")</f>
        <v/>
      </c>
      <c r="BQ273" s="448" t="str">
        <f>_xlfn.IFNA(VLOOKUP($BK273,Programma!$F$3:$L$1101,7,0),"")</f>
        <v/>
      </c>
      <c r="BR273" s="448" t="str">
        <f>_xlfn.IFNA(VLOOKUP($BK273,Programma!$F$3:$M$1101,8,0),"")</f>
        <v/>
      </c>
      <c r="BS273" s="448" t="str">
        <f>_xlfn.IFNA(VLOOKUP($BK273,Programma!$F$3:$N$1101,9,0),"")</f>
        <v/>
      </c>
      <c r="BT273" s="448" t="str">
        <f>_xlfn.IFNA(VLOOKUP($BK273,Programma!$F$3:$O$1101,10,0),"")</f>
        <v/>
      </c>
      <c r="BU273" s="448" t="str">
        <f>_xlfn.IFNA(VLOOKUP($BK273,Programma!$F$3:$P$1101,11,0),"")</f>
        <v/>
      </c>
      <c r="BV273" s="448" t="str">
        <f>_xlfn.IFNA(VLOOKUP($BK273,Programma!$F$3:$Q$1101,12,0),"")</f>
        <v/>
      </c>
      <c r="BW273" s="448" t="str">
        <f>_xlfn.IFNA(VLOOKUP($BK273,Programma!$F$3:$R$1101,13,0),"")</f>
        <v/>
      </c>
      <c r="BX273" s="448" t="str">
        <f>_xlfn.IFNA(VLOOKUP($BK273,Programma!$F$3:$S$1101,14,0),"")</f>
        <v/>
      </c>
      <c r="BY273" s="448" t="str">
        <f>_xlfn.IFNA(VLOOKUP($BK273,Programma!$F$3:$T$1101,15,0),"")</f>
        <v/>
      </c>
      <c r="BZ273" s="448" t="str">
        <f>_xlfn.IFNA(VLOOKUP($BK273,Programma!$F$3:$U$1101,16,0),"")</f>
        <v/>
      </c>
      <c r="CA273" s="448" t="str">
        <f>_xlfn.IFNA(VLOOKUP($BK273,Programma!$F$3:$V$1101,17,0),"")</f>
        <v/>
      </c>
      <c r="CB273" s="448" t="str">
        <f>_xlfn.IFNA(VLOOKUP($BK273,Programma!$F$3:$W$1101,18,0),"")</f>
        <v/>
      </c>
      <c r="CC273" s="448" t="str">
        <f>_xlfn.IFNA(VLOOKUP($BK273,Programma!$F$3:$X$1101,19,0),"")</f>
        <v/>
      </c>
      <c r="CD273" s="448" t="str">
        <f>_xlfn.IFNA(VLOOKUP($BK273,Programma!$F$3:$Y$1101,20,0),"")</f>
        <v/>
      </c>
      <c r="CE273" s="327"/>
      <c r="CF273" s="327"/>
      <c r="CG273" s="327"/>
      <c r="CH273" s="327"/>
      <c r="CI273" s="327"/>
      <c r="CJ273" s="327"/>
      <c r="CK273" s="327"/>
      <c r="CL273" s="327"/>
      <c r="CM273" s="327"/>
      <c r="CN273" s="327"/>
      <c r="CO273" s="327"/>
      <c r="CP273" s="327"/>
      <c r="CQ273" s="327"/>
      <c r="CR273" s="327"/>
      <c r="CS273" s="327"/>
      <c r="CT273" s="327"/>
      <c r="CU273" s="327"/>
      <c r="CV273" s="327"/>
      <c r="CW273" s="327"/>
      <c r="CX273" s="327"/>
      <c r="CY273" s="327"/>
      <c r="CZ273" s="327"/>
      <c r="DA273" s="327"/>
      <c r="DB273" s="327"/>
      <c r="DC273" s="327"/>
      <c r="DD273" s="327"/>
      <c r="DE273" s="327"/>
      <c r="DF273" s="327"/>
      <c r="DG273" s="327"/>
      <c r="DH273" s="327"/>
      <c r="DI273" s="327"/>
      <c r="DJ273" s="327"/>
      <c r="DK273" s="327"/>
      <c r="DL273" s="327"/>
      <c r="DM273" s="327"/>
      <c r="DN273" s="327"/>
      <c r="DO273" s="327"/>
      <c r="DP273" s="327"/>
      <c r="DQ273" s="327"/>
      <c r="DR273" s="327"/>
      <c r="DS273" s="327"/>
      <c r="DT273" s="327"/>
      <c r="DU273" s="327"/>
      <c r="DV273" s="327"/>
      <c r="DW273" s="327"/>
      <c r="DX273" s="327"/>
      <c r="DY273" s="327"/>
      <c r="DZ273" s="327"/>
      <c r="EA273" s="327"/>
      <c r="EB273" s="327"/>
      <c r="EC273" s="327"/>
      <c r="ED273" s="327"/>
      <c r="EE273" s="327"/>
      <c r="EF273" s="327"/>
      <c r="EG273" s="327"/>
      <c r="EH273" s="327"/>
      <c r="EI273" s="327"/>
      <c r="EJ273" s="327"/>
      <c r="EK273" s="327"/>
      <c r="EL273" s="327"/>
      <c r="EM273" s="327"/>
      <c r="EN273" s="327"/>
      <c r="EO273" s="327"/>
      <c r="EP273" s="327"/>
      <c r="EQ273" s="327"/>
      <c r="ER273" s="327"/>
      <c r="ES273" s="327"/>
      <c r="ET273" s="327"/>
      <c r="EU273" s="327"/>
      <c r="EV273" s="327"/>
      <c r="EW273" s="327"/>
      <c r="EX273" s="327"/>
      <c r="EY273" s="327"/>
      <c r="EZ273" s="327"/>
      <c r="FA273" s="327"/>
      <c r="FB273" s="327"/>
      <c r="FC273" s="327"/>
      <c r="FD273" s="327"/>
      <c r="FE273" s="327"/>
      <c r="FF273" s="327"/>
      <c r="FG273" s="327"/>
      <c r="FH273" s="327"/>
      <c r="FI273" s="327"/>
      <c r="FJ273" s="327"/>
      <c r="FK273" s="327"/>
      <c r="FL273" s="327"/>
      <c r="FM273" s="327"/>
      <c r="FN273" s="327"/>
      <c r="FO273" s="327"/>
      <c r="FP273" s="327"/>
      <c r="FQ273" s="327"/>
      <c r="FR273" s="327"/>
      <c r="FS273" s="327"/>
      <c r="FT273" s="327"/>
      <c r="FU273" s="327"/>
      <c r="FV273" s="327"/>
      <c r="FW273" s="327"/>
      <c r="FX273" s="327"/>
      <c r="FY273" s="327"/>
      <c r="FZ273" s="327"/>
      <c r="GA273" s="327"/>
      <c r="GB273" s="327"/>
      <c r="GC273" s="327"/>
      <c r="GD273" s="327"/>
      <c r="GE273" s="327"/>
      <c r="GF273" s="327"/>
      <c r="GG273" s="327"/>
      <c r="GH273" s="327"/>
      <c r="GI273" s="327"/>
      <c r="GJ273" s="327"/>
      <c r="GK273" s="327"/>
      <c r="GL273" s="327"/>
      <c r="GM273" s="327"/>
      <c r="GN273" s="327"/>
      <c r="GO273" s="327"/>
      <c r="GP273" s="327"/>
      <c r="GQ273" s="327"/>
      <c r="GR273" s="327"/>
      <c r="GS273" s="327"/>
      <c r="GT273" s="327"/>
      <c r="GU273" s="327"/>
      <c r="GV273" s="327"/>
      <c r="GW273" s="327"/>
      <c r="GX273" s="327"/>
      <c r="GY273" s="327"/>
      <c r="GZ273" s="327"/>
      <c r="HA273" s="327"/>
      <c r="HB273" s="327"/>
      <c r="HC273" s="327"/>
      <c r="HD273" s="327"/>
      <c r="HE273" s="327"/>
      <c r="HF273" s="327"/>
      <c r="HG273" s="327"/>
      <c r="HH273" s="327"/>
      <c r="HI273" s="327"/>
      <c r="HJ273" s="327"/>
      <c r="HK273" s="327"/>
      <c r="HL273" s="327"/>
      <c r="HM273" s="327"/>
      <c r="HN273" s="327"/>
      <c r="HO273" s="327"/>
      <c r="HP273" s="327"/>
      <c r="HQ273" s="327"/>
      <c r="HR273" s="327"/>
      <c r="HS273" s="327"/>
    </row>
    <row r="274" spans="1:227" ht="15" customHeight="1">
      <c r="A274" s="330">
        <v>12</v>
      </c>
      <c r="B274" s="435" t="str">
        <f>VLOOKUP(Ruimtestaat[[#This Row],[Code]],Locaties[[Code]:[Locatie]],2,FALSE)</f>
        <v>IKC De Leerplaneet Loc. 2 (vh 't Plankier)</v>
      </c>
      <c r="C274" s="435" t="str">
        <f>VLOOKUP(Ruimtestaat[[#This Row],[Code]],Locaties[[#All],[Code]:[Adres]],4,FALSE)</f>
        <v>Wedekindzijde 1-3</v>
      </c>
      <c r="D274" s="435" t="str">
        <f>VLOOKUP(Ruimtestaat[[#This Row],[Code]],Locaties[[#All],[Code]:[Postcode]],5,FALSE)</f>
        <v>2725 PG</v>
      </c>
      <c r="E274" s="435" t="str">
        <f>VLOOKUP(Ruimtestaat[[#This Row],[Code]],Locaties[#All],6,FALSE)</f>
        <v>Zoetermeer</v>
      </c>
      <c r="F274" s="450"/>
      <c r="G274" s="330" t="s">
        <v>1678</v>
      </c>
      <c r="H274" s="330" t="s">
        <v>1691</v>
      </c>
      <c r="I274" s="450" t="s">
        <v>1679</v>
      </c>
      <c r="J274" s="330">
        <v>16</v>
      </c>
      <c r="K274" s="450" t="str">
        <f>VLOOKUP(Ruimtestaat[[#This Row],[Ruimte code]],Ruimtegroepen[[#All],[Code]:[Ruimte omschrijving]],2,FALSE)</f>
        <v>Leslokalen</v>
      </c>
      <c r="L274" s="434" t="s">
        <v>100</v>
      </c>
      <c r="M274" s="437" t="s">
        <v>1759</v>
      </c>
      <c r="N274" s="439">
        <v>9</v>
      </c>
      <c r="O274" s="439"/>
      <c r="P274" s="439"/>
      <c r="Q274" s="439"/>
      <c r="R274" s="440" t="str">
        <f>VLOOKUP(Ruimtestaat[[#This Row],[Ruimte code]],Ruimtegroepen[],4,FALSE)</f>
        <v>Le</v>
      </c>
      <c r="S274" s="434">
        <v>40</v>
      </c>
      <c r="T274" s="434" t="s">
        <v>2</v>
      </c>
      <c r="U274" s="434">
        <f>IF(S274&gt;0,IF(RIGHT(Ruimtestaat[[#This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4" s="434">
        <f>IF(U274&gt;0,VLOOKUP($J274,Ruimtegroepen[],3,FALSE)*VLOOKUP($L274,Vloersoorten[],3,FALSE)*VLOOKUP($T274,Frequenties[],3,FALSE)*VLOOKUP($A274,Locaties[],3,FALSE),0)</f>
        <v>0</v>
      </c>
      <c r="W274" s="434">
        <f>Ruimtestaat[[#This Row],[Uitvoeringen werkdagen]]*Ruimtestaat[[#This Row],[Oppervlak (netto)]]</f>
        <v>1800</v>
      </c>
      <c r="X274" s="441">
        <f>IF(V274&gt;0,Ruimtestaat[[#This Row],[Prest. (m2 /jaar) werkdagen]]/Ruimtestaat[[#This Row],[Norm (m2/uur) werkdagen]],0)</f>
        <v>0</v>
      </c>
      <c r="Y274" s="442">
        <f>Ruimtestaat[[#This Row],[Uitvoeringen werkdagen]]*Ruimtestaat[[#This Row],[Gedeeltelijk]]</f>
        <v>0</v>
      </c>
      <c r="Z274" s="443" t="e">
        <f>IF(U274&gt;0,Ruimtestaat[[#This Row],[Prest. (m2 / jaar) werkdagen gedeeld]]/Ruimtestaat[[#This Row],[Norm (m2/uur) werkdagen]],0)</f>
        <v>#DIV/0!</v>
      </c>
      <c r="AA274" s="441" t="e">
        <f>Ruimtestaat[[#This Row],[uren / jaar werkdagen gedeeld]]*Tariefsopbouw!$E$35</f>
        <v>#DIV/0!</v>
      </c>
      <c r="AB274" s="441">
        <f>Ruimtestaat[[#This Row],[Uitvoeringen werkdagen]]*Ruimtestaat[[#This Row],[BSO]]</f>
        <v>0</v>
      </c>
      <c r="AC274" s="443" t="e">
        <f>IF(U274&gt;0,Ruimtestaat[[#This Row],[Prest. (m2 / jaar) werkdagen BSO]]/Ruimtestaat[[#This Row],[Norm (m2/uur) werkdagen]],0)</f>
        <v>#DIV/0!</v>
      </c>
      <c r="AD274" s="443" t="e">
        <f>Ruimtestaat[[#This Row],[uren / jaar werkdagen BSO]]*Tariefsopbouw!$E$35</f>
        <v>#DIV/0!</v>
      </c>
      <c r="AE274" s="444">
        <f>Ruimtestaat[[#This Row],[uren / jaar werkdagen]]*Tariefsopbouw!$E$35</f>
        <v>0</v>
      </c>
      <c r="AF274" s="434"/>
      <c r="AG274" s="434">
        <f>IF(Ruimtestaat[[#This Row],[Frequentie weekend]]&gt;0,VALUE(LEFT(AF274,1))*S274,0)</f>
        <v>0</v>
      </c>
      <c r="AH274" s="445">
        <f>IF($AG274&gt;0,VLOOKUP($J274,Ruimtegroepen[],3,FALSE)*VLOOKUP($L274,Vloersoorten[],3,FALSE)*VLOOKUP($AF274,Frequenties[],3,FALSE)*VLOOKUP(Ruimtestaat[[#This Row],[Code]],Locaties[],3,FALSE),0)</f>
        <v>0</v>
      </c>
      <c r="AI274" s="445">
        <f>Ruimtestaat[[#This Row],[Uitvoeringen weekend]]*Ruimtestaat[[#This Row],[Oppervlak (netto)]]</f>
        <v>0</v>
      </c>
      <c r="AJ274" s="445">
        <f>IF(AH274&gt;0,Ruimtestaat[[#This Row],[Prest. (m2 /jaar) weekend]]/Ruimtestaat[[#This Row],[Norm (m2/uur) weekend]],0)</f>
        <v>0</v>
      </c>
      <c r="AK274" s="444">
        <f>Ruimtestaat[[#This Row],[uren / jaar weekend]]*Tariefsopbouw!$D$40</f>
        <v>0</v>
      </c>
      <c r="AL274" s="441">
        <f>Ruimtestaat[[#This Row],[Prest. (m2 /jaar) weekend]]+Ruimtestaat[[#This Row],[Prest. (m2 /jaar) werkdagen]]</f>
        <v>1800</v>
      </c>
      <c r="AM274" s="441">
        <f>Ruimtestaat[[#This Row],[uren / jaar weekend]]+Ruimtestaat[[#This Row],[uren / jaar werkdagen]]</f>
        <v>0</v>
      </c>
      <c r="AN274" s="446">
        <f>Ruimtestaat[[#This Row],[kosten / jaar weekend]]+Ruimtestaat[[#This Row],[kosten / jaar werkdagen]]</f>
        <v>0</v>
      </c>
      <c r="AO274" s="446"/>
      <c r="AP274" s="447" t="str">
        <f>IF(Ruimtestaat[[#This Row],[Frequentie werkdagen]]="","",_xlfn.CONCAT(Ruimtestaat[[#This Row],[Ruimte code]],"-",Ruimtestaat[[#This Row],[Frequentie werkdagen]]," ",Ruimtestaat[[#This Row],[Vloer code]]))</f>
        <v>16-5w L</v>
      </c>
      <c r="AQ274" s="448" t="str">
        <f>_xlfn.IFNA(VLOOKUP($AP274,Programma!$F$3:$G$1101,2,0),"")</f>
        <v>_</v>
      </c>
      <c r="AR274" s="448" t="str">
        <f>_xlfn.IFNA(VLOOKUP($AP274,Programma!$F$3:$H$1101,3,0),"")</f>
        <v>_</v>
      </c>
      <c r="AS274" s="448" t="str">
        <f>_xlfn.IFNA(VLOOKUP($AP274,Programma!$F$3:$I$1101,4,0),"")</f>
        <v>4w</v>
      </c>
      <c r="AT274" s="448" t="str">
        <f>_xlfn.IFNA(VLOOKUP($AP274,Programma!$F$3:$J$1101,5,0),"")</f>
        <v>1w</v>
      </c>
      <c r="AU274" s="448" t="str">
        <f>_xlfn.IFNA(VLOOKUP($AP274,Programma!$F$3:$K$1101,6,0),"")</f>
        <v>_</v>
      </c>
      <c r="AV274" s="448" t="str">
        <f>_xlfn.IFNA(VLOOKUP($AP274,Programma!$F$3:$L$1101,7,0),"")</f>
        <v>_</v>
      </c>
      <c r="AW274" s="448" t="str">
        <f>_xlfn.IFNA(VLOOKUP($AP274,Programma!$F$3:$M$1101,8,0),"")</f>
        <v>_</v>
      </c>
      <c r="AX274" s="448" t="str">
        <f>_xlfn.IFNA(VLOOKUP($AP274,Programma!$F$3:$N$1101,9,0),"")</f>
        <v>_</v>
      </c>
      <c r="AY274" s="448" t="str">
        <f>_xlfn.IFNA(VLOOKUP($AP274,Programma!$F$3:$O$1101,10,0),"")</f>
        <v>5w</v>
      </c>
      <c r="AZ274" s="448" t="str">
        <f>_xlfn.IFNA(VLOOKUP($AP274,Programma!$F$3:$P$1101,11,0),"")</f>
        <v>5w</v>
      </c>
      <c r="BA274" s="448" t="str">
        <f>_xlfn.IFNA(VLOOKUP($AP274,Programma!$F$3:$Q$1101,12,0),"")</f>
        <v>1w</v>
      </c>
      <c r="BB274" s="448" t="str">
        <f>_xlfn.IFNA(VLOOKUP($AP274,Programma!$F$3:$R$1101,13,0),"")</f>
        <v>1w</v>
      </c>
      <c r="BC274" s="448" t="str">
        <f>_xlfn.IFNA(VLOOKUP($AP274,Programma!$F$3:$S$1101,14,0),"")</f>
        <v>1m</v>
      </c>
      <c r="BD274" s="448" t="str">
        <f>_xlfn.IFNA(VLOOKUP($AP274,Programma!$F$3:$T$1101,15,0),"")</f>
        <v>2j</v>
      </c>
      <c r="BE274" s="448" t="str">
        <f>_xlfn.IFNA(VLOOKUP($AP274,Programma!$F$3:$U$1101,16,0),"")</f>
        <v>1j</v>
      </c>
      <c r="BF274" s="448" t="str">
        <f>_xlfn.IFNA(VLOOKUP($AP274,Programma!$F$3:$V$1101,17,0),"")</f>
        <v>_</v>
      </c>
      <c r="BG274" s="448" t="str">
        <f>_xlfn.IFNA(VLOOKUP($AP274,Programma!$F$3:$W$1101,18,0),"")</f>
        <v>_</v>
      </c>
      <c r="BH274" s="448" t="str">
        <f>_xlfn.IFNA(VLOOKUP($AP274,Programma!$F$3:$X$1101,19,0),"")</f>
        <v>_</v>
      </c>
      <c r="BI274" s="448" t="str">
        <f>_xlfn.IFNA(VLOOKUP($AP274,Programma!$F$3:$Y$1101,20,0),"")</f>
        <v>_</v>
      </c>
      <c r="BJ274" s="449"/>
      <c r="BK274" s="447" t="str">
        <f>IF(Ruimtestaat[[#This Row],[Frequentie weekend]]="","",_xlfn.CONCAT(Ruimtestaat[[#This Row],[Ruimte code]],"-",Ruimtestaat[[#This Row],[Frequentie weekend]]," ",Ruimtestaat[[#This Row],[Vloer code]]))</f>
        <v/>
      </c>
      <c r="BL274" s="448" t="str">
        <f>_xlfn.IFNA(VLOOKUP($BK274,Programma!$F$3:$G$1101,2,0),"")</f>
        <v/>
      </c>
      <c r="BM274" s="448" t="str">
        <f>_xlfn.IFNA(VLOOKUP($BK274,Programma!$F$3:$H$1101,3,0),"")</f>
        <v/>
      </c>
      <c r="BN274" s="448" t="str">
        <f>_xlfn.IFNA(VLOOKUP($BK274,Programma!$F$3:$I$1101,4,0),"")</f>
        <v/>
      </c>
      <c r="BO274" s="448" t="str">
        <f>_xlfn.IFNA(VLOOKUP($BK274,Programma!$F$3:$J$1101,5,0),"")</f>
        <v/>
      </c>
      <c r="BP274" s="448" t="str">
        <f>_xlfn.IFNA(VLOOKUP($BK274,Programma!$F$3:$K$1101,6,0),"")</f>
        <v/>
      </c>
      <c r="BQ274" s="448" t="str">
        <f>_xlfn.IFNA(VLOOKUP($BK274,Programma!$F$3:$L$1101,7,0),"")</f>
        <v/>
      </c>
      <c r="BR274" s="448" t="str">
        <f>_xlfn.IFNA(VLOOKUP($BK274,Programma!$F$3:$M$1101,8,0),"")</f>
        <v/>
      </c>
      <c r="BS274" s="448" t="str">
        <f>_xlfn.IFNA(VLOOKUP($BK274,Programma!$F$3:$N$1101,9,0),"")</f>
        <v/>
      </c>
      <c r="BT274" s="448" t="str">
        <f>_xlfn.IFNA(VLOOKUP($BK274,Programma!$F$3:$O$1101,10,0),"")</f>
        <v/>
      </c>
      <c r="BU274" s="448" t="str">
        <f>_xlfn.IFNA(VLOOKUP($BK274,Programma!$F$3:$P$1101,11,0),"")</f>
        <v/>
      </c>
      <c r="BV274" s="448" t="str">
        <f>_xlfn.IFNA(VLOOKUP($BK274,Programma!$F$3:$Q$1101,12,0),"")</f>
        <v/>
      </c>
      <c r="BW274" s="448" t="str">
        <f>_xlfn.IFNA(VLOOKUP($BK274,Programma!$F$3:$R$1101,13,0),"")</f>
        <v/>
      </c>
      <c r="BX274" s="448" t="str">
        <f>_xlfn.IFNA(VLOOKUP($BK274,Programma!$F$3:$S$1101,14,0),"")</f>
        <v/>
      </c>
      <c r="BY274" s="448" t="str">
        <f>_xlfn.IFNA(VLOOKUP($BK274,Programma!$F$3:$T$1101,15,0),"")</f>
        <v/>
      </c>
      <c r="BZ274" s="448" t="str">
        <f>_xlfn.IFNA(VLOOKUP($BK274,Programma!$F$3:$U$1101,16,0),"")</f>
        <v/>
      </c>
      <c r="CA274" s="448" t="str">
        <f>_xlfn.IFNA(VLOOKUP($BK274,Programma!$F$3:$V$1101,17,0),"")</f>
        <v/>
      </c>
      <c r="CB274" s="448" t="str">
        <f>_xlfn.IFNA(VLOOKUP($BK274,Programma!$F$3:$W$1101,18,0),"")</f>
        <v/>
      </c>
      <c r="CC274" s="448" t="str">
        <f>_xlfn.IFNA(VLOOKUP($BK274,Programma!$F$3:$X$1101,19,0),"")</f>
        <v/>
      </c>
      <c r="CD274" s="448" t="str">
        <f>_xlfn.IFNA(VLOOKUP($BK274,Programma!$F$3:$Y$1101,20,0),"")</f>
        <v/>
      </c>
      <c r="CE274" s="327"/>
      <c r="CF274" s="327"/>
      <c r="CG274" s="327"/>
      <c r="CH274" s="327"/>
      <c r="CI274" s="327"/>
      <c r="CJ274" s="327"/>
      <c r="CK274" s="327"/>
      <c r="CL274" s="327"/>
      <c r="CM274" s="327"/>
      <c r="CN274" s="327"/>
      <c r="CO274" s="327"/>
      <c r="CP274" s="327"/>
      <c r="CQ274" s="327"/>
      <c r="CR274" s="327"/>
      <c r="CS274" s="327"/>
      <c r="CT274" s="327"/>
      <c r="CU274" s="327"/>
      <c r="CV274" s="327"/>
      <c r="CW274" s="327"/>
      <c r="CX274" s="327"/>
      <c r="CY274" s="327"/>
      <c r="CZ274" s="327"/>
      <c r="DA274" s="327"/>
      <c r="DB274" s="327"/>
      <c r="DC274" s="327"/>
      <c r="DD274" s="327"/>
      <c r="DE274" s="327"/>
      <c r="DF274" s="327"/>
      <c r="DG274" s="327"/>
      <c r="DH274" s="327"/>
      <c r="DI274" s="327"/>
      <c r="DJ274" s="327"/>
      <c r="DK274" s="327"/>
      <c r="DL274" s="327"/>
      <c r="DM274" s="327"/>
      <c r="DN274" s="327"/>
      <c r="DO274" s="327"/>
      <c r="DP274" s="327"/>
      <c r="DQ274" s="327"/>
      <c r="DR274" s="327"/>
      <c r="DS274" s="327"/>
      <c r="DT274" s="327"/>
      <c r="DU274" s="327"/>
      <c r="DV274" s="327"/>
      <c r="DW274" s="327"/>
      <c r="DX274" s="327"/>
      <c r="DY274" s="327"/>
      <c r="DZ274" s="327"/>
      <c r="EA274" s="327"/>
      <c r="EB274" s="327"/>
      <c r="EC274" s="327"/>
      <c r="ED274" s="327"/>
      <c r="EE274" s="327"/>
      <c r="EF274" s="327"/>
      <c r="EG274" s="327"/>
      <c r="EH274" s="327"/>
      <c r="EI274" s="327"/>
      <c r="EJ274" s="327"/>
      <c r="EK274" s="327"/>
      <c r="EL274" s="327"/>
      <c r="EM274" s="327"/>
      <c r="EN274" s="327"/>
      <c r="EO274" s="327"/>
      <c r="EP274" s="327"/>
      <c r="EQ274" s="327"/>
      <c r="ER274" s="327"/>
      <c r="ES274" s="327"/>
      <c r="ET274" s="327"/>
      <c r="EU274" s="327"/>
      <c r="EV274" s="327"/>
      <c r="EW274" s="327"/>
      <c r="EX274" s="327"/>
      <c r="EY274" s="327"/>
      <c r="EZ274" s="327"/>
      <c r="FA274" s="327"/>
      <c r="FB274" s="327"/>
      <c r="FC274" s="327"/>
      <c r="FD274" s="327"/>
      <c r="FE274" s="327"/>
      <c r="FF274" s="327"/>
      <c r="FG274" s="327"/>
      <c r="FH274" s="327"/>
      <c r="FI274" s="327"/>
      <c r="FJ274" s="327"/>
      <c r="FK274" s="327"/>
      <c r="FL274" s="327"/>
      <c r="FM274" s="327"/>
      <c r="FN274" s="327"/>
      <c r="FO274" s="327"/>
      <c r="FP274" s="327"/>
      <c r="FQ274" s="327"/>
      <c r="FR274" s="327"/>
      <c r="FS274" s="327"/>
      <c r="FT274" s="327"/>
      <c r="FU274" s="327"/>
      <c r="FV274" s="327"/>
      <c r="FW274" s="327"/>
      <c r="FX274" s="327"/>
      <c r="FY274" s="327"/>
      <c r="FZ274" s="327"/>
      <c r="GA274" s="327"/>
      <c r="GB274" s="327"/>
      <c r="GC274" s="327"/>
      <c r="GD274" s="327"/>
      <c r="GE274" s="327"/>
      <c r="GF274" s="327"/>
      <c r="GG274" s="327"/>
      <c r="GH274" s="327"/>
      <c r="GI274" s="327"/>
      <c r="GJ274" s="327"/>
      <c r="GK274" s="327"/>
      <c r="GL274" s="327"/>
      <c r="GM274" s="327"/>
      <c r="GN274" s="327"/>
      <c r="GO274" s="327"/>
      <c r="GP274" s="327"/>
      <c r="GQ274" s="327"/>
      <c r="GR274" s="327"/>
      <c r="GS274" s="327"/>
      <c r="GT274" s="327"/>
      <c r="GU274" s="327"/>
      <c r="GV274" s="327"/>
      <c r="GW274" s="327"/>
      <c r="GX274" s="327"/>
      <c r="GY274" s="327"/>
      <c r="GZ274" s="327"/>
      <c r="HA274" s="327"/>
      <c r="HB274" s="327"/>
      <c r="HC274" s="327"/>
      <c r="HD274" s="327"/>
      <c r="HE274" s="327"/>
      <c r="HF274" s="327"/>
      <c r="HG274" s="327"/>
      <c r="HH274" s="327"/>
      <c r="HI274" s="327"/>
      <c r="HJ274" s="327"/>
      <c r="HK274" s="327"/>
      <c r="HL274" s="327"/>
      <c r="HM274" s="327"/>
      <c r="HN274" s="327"/>
      <c r="HO274" s="327"/>
      <c r="HP274" s="327"/>
      <c r="HQ274" s="327"/>
      <c r="HR274" s="327"/>
      <c r="HS274" s="327"/>
    </row>
    <row r="275" spans="1:227" ht="15" customHeight="1">
      <c r="A275" s="330">
        <v>12</v>
      </c>
      <c r="B275" s="435" t="str">
        <f>VLOOKUP(Ruimtestaat[[#This Row],[Code]],Locaties[[Code]:[Locatie]],2,FALSE)</f>
        <v>IKC De Leerplaneet Loc. 2 (vh 't Plankier)</v>
      </c>
      <c r="C275" s="435" t="str">
        <f>VLOOKUP(Ruimtestaat[[#This Row],[Code]],Locaties[[#All],[Code]:[Adres]],4,FALSE)</f>
        <v>Wedekindzijde 1-3</v>
      </c>
      <c r="D275" s="435" t="str">
        <f>VLOOKUP(Ruimtestaat[[#This Row],[Code]],Locaties[[#All],[Code]:[Postcode]],5,FALSE)</f>
        <v>2725 PG</v>
      </c>
      <c r="E275" s="435" t="str">
        <f>VLOOKUP(Ruimtestaat[[#This Row],[Code]],Locaties[#All],6,FALSE)</f>
        <v>Zoetermeer</v>
      </c>
      <c r="F275" s="450"/>
      <c r="G275" s="330" t="s">
        <v>1678</v>
      </c>
      <c r="H275" s="330" t="s">
        <v>1692</v>
      </c>
      <c r="I275" s="450" t="s">
        <v>1679</v>
      </c>
      <c r="J275" s="330">
        <v>16</v>
      </c>
      <c r="K275" s="450" t="str">
        <f>VLOOKUP(Ruimtestaat[[#This Row],[Ruimte code]],Ruimtegroepen[[#All],[Code]:[Ruimte omschrijving]],2,FALSE)</f>
        <v>Leslokalen</v>
      </c>
      <c r="L275" s="434" t="s">
        <v>99</v>
      </c>
      <c r="M275" s="437" t="s">
        <v>36</v>
      </c>
      <c r="N275" s="439">
        <v>50</v>
      </c>
      <c r="O275" s="439"/>
      <c r="P275" s="439"/>
      <c r="Q275" s="439"/>
      <c r="R275" s="440" t="str">
        <f>VLOOKUP(Ruimtestaat[[#This Row],[Ruimte code]],Ruimtegroepen[],4,FALSE)</f>
        <v>Le</v>
      </c>
      <c r="S275" s="434">
        <v>40</v>
      </c>
      <c r="T275" s="434" t="s">
        <v>2</v>
      </c>
      <c r="U275" s="434">
        <f>IF(S275&gt;0,IF(RIGHT(Ruimtestaat[[#This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5" s="434">
        <f>IF(U275&gt;0,VLOOKUP($J275,Ruimtegroepen[],3,FALSE)*VLOOKUP($L275,Vloersoorten[],3,FALSE)*VLOOKUP($T275,Frequenties[],3,FALSE)*VLOOKUP($A275,Locaties[],3,FALSE),0)</f>
        <v>0</v>
      </c>
      <c r="W275" s="434">
        <f>Ruimtestaat[[#This Row],[Uitvoeringen werkdagen]]*Ruimtestaat[[#This Row],[Oppervlak (netto)]]</f>
        <v>10000</v>
      </c>
      <c r="X275" s="441">
        <f>IF(V275&gt;0,Ruimtestaat[[#This Row],[Prest. (m2 /jaar) werkdagen]]/Ruimtestaat[[#This Row],[Norm (m2/uur) werkdagen]],0)</f>
        <v>0</v>
      </c>
      <c r="Y275" s="442">
        <f>Ruimtestaat[[#This Row],[Uitvoeringen werkdagen]]*Ruimtestaat[[#This Row],[Gedeeltelijk]]</f>
        <v>0</v>
      </c>
      <c r="Z275" s="443" t="e">
        <f>IF(U275&gt;0,Ruimtestaat[[#This Row],[Prest. (m2 / jaar) werkdagen gedeeld]]/Ruimtestaat[[#This Row],[Norm (m2/uur) werkdagen]],0)</f>
        <v>#DIV/0!</v>
      </c>
      <c r="AA275" s="441" t="e">
        <f>Ruimtestaat[[#This Row],[uren / jaar werkdagen gedeeld]]*Tariefsopbouw!$E$35</f>
        <v>#DIV/0!</v>
      </c>
      <c r="AB275" s="441">
        <f>Ruimtestaat[[#This Row],[Uitvoeringen werkdagen]]*Ruimtestaat[[#This Row],[BSO]]</f>
        <v>0</v>
      </c>
      <c r="AC275" s="443" t="e">
        <f>IF(U275&gt;0,Ruimtestaat[[#This Row],[Prest. (m2 / jaar) werkdagen BSO]]/Ruimtestaat[[#This Row],[Norm (m2/uur) werkdagen]],0)</f>
        <v>#DIV/0!</v>
      </c>
      <c r="AD275" s="443" t="e">
        <f>Ruimtestaat[[#This Row],[uren / jaar werkdagen BSO]]*Tariefsopbouw!$E$35</f>
        <v>#DIV/0!</v>
      </c>
      <c r="AE275" s="444">
        <f>Ruimtestaat[[#This Row],[uren / jaar werkdagen]]*Tariefsopbouw!$E$35</f>
        <v>0</v>
      </c>
      <c r="AF275" s="434"/>
      <c r="AG275" s="434">
        <f>IF(Ruimtestaat[[#This Row],[Frequentie weekend]]&gt;0,VALUE(LEFT(AF275,1))*S275,0)</f>
        <v>0</v>
      </c>
      <c r="AH275" s="445">
        <f>IF($AG275&gt;0,VLOOKUP($J275,Ruimtegroepen[],3,FALSE)*VLOOKUP($L275,Vloersoorten[],3,FALSE)*VLOOKUP($AF275,Frequenties[],3,FALSE)*VLOOKUP(Ruimtestaat[[#This Row],[Code]],Locaties[],3,FALSE),0)</f>
        <v>0</v>
      </c>
      <c r="AI275" s="445">
        <f>Ruimtestaat[[#This Row],[Uitvoeringen weekend]]*Ruimtestaat[[#This Row],[Oppervlak (netto)]]</f>
        <v>0</v>
      </c>
      <c r="AJ275" s="445">
        <f>IF(AH275&gt;0,Ruimtestaat[[#This Row],[Prest. (m2 /jaar) weekend]]/Ruimtestaat[[#This Row],[Norm (m2/uur) weekend]],0)</f>
        <v>0</v>
      </c>
      <c r="AK275" s="444">
        <f>Ruimtestaat[[#This Row],[uren / jaar weekend]]*Tariefsopbouw!$D$40</f>
        <v>0</v>
      </c>
      <c r="AL275" s="441">
        <f>Ruimtestaat[[#This Row],[Prest. (m2 /jaar) weekend]]+Ruimtestaat[[#This Row],[Prest. (m2 /jaar) werkdagen]]</f>
        <v>10000</v>
      </c>
      <c r="AM275" s="441">
        <f>Ruimtestaat[[#This Row],[uren / jaar weekend]]+Ruimtestaat[[#This Row],[uren / jaar werkdagen]]</f>
        <v>0</v>
      </c>
      <c r="AN275" s="446">
        <f>Ruimtestaat[[#This Row],[kosten / jaar weekend]]+Ruimtestaat[[#This Row],[kosten / jaar werkdagen]]</f>
        <v>0</v>
      </c>
      <c r="AO275" s="446"/>
      <c r="AP275" s="447" t="str">
        <f>IF(Ruimtestaat[[#This Row],[Frequentie werkdagen]]="","",_xlfn.CONCAT(Ruimtestaat[[#This Row],[Ruimte code]],"-",Ruimtestaat[[#This Row],[Frequentie werkdagen]]," ",Ruimtestaat[[#This Row],[Vloer code]]))</f>
        <v>16-5w T</v>
      </c>
      <c r="AQ275" s="448" t="str">
        <f>_xlfn.IFNA(VLOOKUP($AP275,Programma!$F$3:$G$1101,2,0),"")</f>
        <v>3w</v>
      </c>
      <c r="AR275" s="448" t="str">
        <f>_xlfn.IFNA(VLOOKUP($AP275,Programma!$F$3:$H$1101,3,0),"")</f>
        <v>2w</v>
      </c>
      <c r="AS275" s="448" t="str">
        <f>_xlfn.IFNA(VLOOKUP($AP275,Programma!$F$3:$I$1101,4,0),"")</f>
        <v>_</v>
      </c>
      <c r="AT275" s="448" t="str">
        <f>_xlfn.IFNA(VLOOKUP($AP275,Programma!$F$3:$J$1101,5,0),"")</f>
        <v>_</v>
      </c>
      <c r="AU275" s="448" t="str">
        <f>_xlfn.IFNA(VLOOKUP($AP275,Programma!$F$3:$K$1101,6,0),"")</f>
        <v>_</v>
      </c>
      <c r="AV275" s="448" t="str">
        <f>_xlfn.IFNA(VLOOKUP($AP275,Programma!$F$3:$L$1101,7,0),"")</f>
        <v>_</v>
      </c>
      <c r="AW275" s="448" t="str">
        <f>_xlfn.IFNA(VLOOKUP($AP275,Programma!$F$3:$M$1101,8,0),"")</f>
        <v>_</v>
      </c>
      <c r="AX275" s="448" t="str">
        <f>_xlfn.IFNA(VLOOKUP($AP275,Programma!$F$3:$N$1101,9,0),"")</f>
        <v>_</v>
      </c>
      <c r="AY275" s="448" t="str">
        <f>_xlfn.IFNA(VLOOKUP($AP275,Programma!$F$3:$O$1101,10,0),"")</f>
        <v>5w</v>
      </c>
      <c r="AZ275" s="448" t="str">
        <f>_xlfn.IFNA(VLOOKUP($AP275,Programma!$F$3:$P$1101,11,0),"")</f>
        <v>5w</v>
      </c>
      <c r="BA275" s="448" t="str">
        <f>_xlfn.IFNA(VLOOKUP($AP275,Programma!$F$3:$Q$1101,12,0),"")</f>
        <v>1w</v>
      </c>
      <c r="BB275" s="448" t="str">
        <f>_xlfn.IFNA(VLOOKUP($AP275,Programma!$F$3:$R$1101,13,0),"")</f>
        <v>1w</v>
      </c>
      <c r="BC275" s="448" t="str">
        <f>_xlfn.IFNA(VLOOKUP($AP275,Programma!$F$3:$S$1101,14,0),"")</f>
        <v>1m</v>
      </c>
      <c r="BD275" s="448" t="str">
        <f>_xlfn.IFNA(VLOOKUP($AP275,Programma!$F$3:$T$1101,15,0),"")</f>
        <v>2j</v>
      </c>
      <c r="BE275" s="448" t="str">
        <f>_xlfn.IFNA(VLOOKUP($AP275,Programma!$F$3:$U$1101,16,0),"")</f>
        <v>1j</v>
      </c>
      <c r="BF275" s="448" t="str">
        <f>_xlfn.IFNA(VLOOKUP($AP275,Programma!$F$3:$V$1101,17,0),"")</f>
        <v>_</v>
      </c>
      <c r="BG275" s="448" t="str">
        <f>_xlfn.IFNA(VLOOKUP($AP275,Programma!$F$3:$W$1101,18,0),"")</f>
        <v>_</v>
      </c>
      <c r="BH275" s="448" t="str">
        <f>_xlfn.IFNA(VLOOKUP($AP275,Programma!$F$3:$X$1101,19,0),"")</f>
        <v>_</v>
      </c>
      <c r="BI275" s="448" t="str">
        <f>_xlfn.IFNA(VLOOKUP($AP275,Programma!$F$3:$Y$1101,20,0),"")</f>
        <v>_</v>
      </c>
      <c r="BJ275" s="449"/>
      <c r="BK275" s="447" t="str">
        <f>IF(Ruimtestaat[[#This Row],[Frequentie weekend]]="","",_xlfn.CONCAT(Ruimtestaat[[#This Row],[Ruimte code]],"-",Ruimtestaat[[#This Row],[Frequentie weekend]]," ",Ruimtestaat[[#This Row],[Vloer code]]))</f>
        <v/>
      </c>
      <c r="BL275" s="448" t="str">
        <f>_xlfn.IFNA(VLOOKUP($BK275,Programma!$F$3:$G$1101,2,0),"")</f>
        <v/>
      </c>
      <c r="BM275" s="448" t="str">
        <f>_xlfn.IFNA(VLOOKUP($BK275,Programma!$F$3:$H$1101,3,0),"")</f>
        <v/>
      </c>
      <c r="BN275" s="448" t="str">
        <f>_xlfn.IFNA(VLOOKUP($BK275,Programma!$F$3:$I$1101,4,0),"")</f>
        <v/>
      </c>
      <c r="BO275" s="448" t="str">
        <f>_xlfn.IFNA(VLOOKUP($BK275,Programma!$F$3:$J$1101,5,0),"")</f>
        <v/>
      </c>
      <c r="BP275" s="448" t="str">
        <f>_xlfn.IFNA(VLOOKUP($BK275,Programma!$F$3:$K$1101,6,0),"")</f>
        <v/>
      </c>
      <c r="BQ275" s="448" t="str">
        <f>_xlfn.IFNA(VLOOKUP($BK275,Programma!$F$3:$L$1101,7,0),"")</f>
        <v/>
      </c>
      <c r="BR275" s="448" t="str">
        <f>_xlfn.IFNA(VLOOKUP($BK275,Programma!$F$3:$M$1101,8,0),"")</f>
        <v/>
      </c>
      <c r="BS275" s="448" t="str">
        <f>_xlfn.IFNA(VLOOKUP($BK275,Programma!$F$3:$N$1101,9,0),"")</f>
        <v/>
      </c>
      <c r="BT275" s="448" t="str">
        <f>_xlfn.IFNA(VLOOKUP($BK275,Programma!$F$3:$O$1101,10,0),"")</f>
        <v/>
      </c>
      <c r="BU275" s="448" t="str">
        <f>_xlfn.IFNA(VLOOKUP($BK275,Programma!$F$3:$P$1101,11,0),"")</f>
        <v/>
      </c>
      <c r="BV275" s="448" t="str">
        <f>_xlfn.IFNA(VLOOKUP($BK275,Programma!$F$3:$Q$1101,12,0),"")</f>
        <v/>
      </c>
      <c r="BW275" s="448" t="str">
        <f>_xlfn.IFNA(VLOOKUP($BK275,Programma!$F$3:$R$1101,13,0),"")</f>
        <v/>
      </c>
      <c r="BX275" s="448" t="str">
        <f>_xlfn.IFNA(VLOOKUP($BK275,Programma!$F$3:$S$1101,14,0),"")</f>
        <v/>
      </c>
      <c r="BY275" s="448" t="str">
        <f>_xlfn.IFNA(VLOOKUP($BK275,Programma!$F$3:$T$1101,15,0),"")</f>
        <v/>
      </c>
      <c r="BZ275" s="448" t="str">
        <f>_xlfn.IFNA(VLOOKUP($BK275,Programma!$F$3:$U$1101,16,0),"")</f>
        <v/>
      </c>
      <c r="CA275" s="448" t="str">
        <f>_xlfn.IFNA(VLOOKUP($BK275,Programma!$F$3:$V$1101,17,0),"")</f>
        <v/>
      </c>
      <c r="CB275" s="448" t="str">
        <f>_xlfn.IFNA(VLOOKUP($BK275,Programma!$F$3:$W$1101,18,0),"")</f>
        <v/>
      </c>
      <c r="CC275" s="448" t="str">
        <f>_xlfn.IFNA(VLOOKUP($BK275,Programma!$F$3:$X$1101,19,0),"")</f>
        <v/>
      </c>
      <c r="CD275" s="448" t="str">
        <f>_xlfn.IFNA(VLOOKUP($BK275,Programma!$F$3:$Y$1101,20,0),"")</f>
        <v/>
      </c>
      <c r="CE275" s="327"/>
      <c r="CF275" s="327"/>
      <c r="CG275" s="327"/>
      <c r="CH275" s="327"/>
      <c r="CI275" s="327"/>
      <c r="CJ275" s="327"/>
      <c r="CK275" s="327"/>
      <c r="CL275" s="327"/>
      <c r="CM275" s="327"/>
      <c r="CN275" s="327"/>
      <c r="CO275" s="327"/>
      <c r="CP275" s="327"/>
      <c r="CQ275" s="327"/>
      <c r="CR275" s="327"/>
      <c r="CS275" s="327"/>
      <c r="CT275" s="327"/>
      <c r="CU275" s="327"/>
      <c r="CV275" s="327"/>
      <c r="CW275" s="327"/>
      <c r="CX275" s="327"/>
      <c r="CY275" s="327"/>
      <c r="CZ275" s="327"/>
      <c r="DA275" s="327"/>
      <c r="DB275" s="327"/>
      <c r="DC275" s="327"/>
      <c r="DD275" s="327"/>
      <c r="DE275" s="327"/>
      <c r="DF275" s="327"/>
      <c r="DG275" s="327"/>
      <c r="DH275" s="327"/>
      <c r="DI275" s="327"/>
      <c r="DJ275" s="327"/>
      <c r="DK275" s="327"/>
      <c r="DL275" s="327"/>
      <c r="DM275" s="327"/>
      <c r="DN275" s="327"/>
      <c r="DO275" s="327"/>
      <c r="DP275" s="327"/>
      <c r="DQ275" s="327"/>
      <c r="DR275" s="327"/>
      <c r="DS275" s="327"/>
      <c r="DT275" s="327"/>
      <c r="DU275" s="327"/>
      <c r="DV275" s="327"/>
      <c r="DW275" s="327"/>
      <c r="DX275" s="327"/>
      <c r="DY275" s="327"/>
      <c r="DZ275" s="327"/>
      <c r="EA275" s="327"/>
      <c r="EB275" s="327"/>
      <c r="EC275" s="327"/>
      <c r="ED275" s="327"/>
      <c r="EE275" s="327"/>
      <c r="EF275" s="327"/>
      <c r="EG275" s="327"/>
      <c r="EH275" s="327"/>
      <c r="EI275" s="327"/>
      <c r="EJ275" s="327"/>
      <c r="EK275" s="327"/>
      <c r="EL275" s="327"/>
      <c r="EM275" s="327"/>
      <c r="EN275" s="327"/>
      <c r="EO275" s="327"/>
      <c r="EP275" s="327"/>
      <c r="EQ275" s="327"/>
      <c r="ER275" s="327"/>
      <c r="ES275" s="327"/>
      <c r="ET275" s="327"/>
      <c r="EU275" s="327"/>
      <c r="EV275" s="327"/>
      <c r="EW275" s="327"/>
      <c r="EX275" s="327"/>
      <c r="EY275" s="327"/>
      <c r="EZ275" s="327"/>
      <c r="FA275" s="327"/>
      <c r="FB275" s="327"/>
      <c r="FC275" s="327"/>
      <c r="FD275" s="327"/>
      <c r="FE275" s="327"/>
      <c r="FF275" s="327"/>
      <c r="FG275" s="327"/>
      <c r="FH275" s="327"/>
      <c r="FI275" s="327"/>
      <c r="FJ275" s="327"/>
      <c r="FK275" s="327"/>
      <c r="FL275" s="327"/>
      <c r="FM275" s="327"/>
      <c r="FN275" s="327"/>
      <c r="FO275" s="327"/>
      <c r="FP275" s="327"/>
      <c r="FQ275" s="327"/>
      <c r="FR275" s="327"/>
      <c r="FS275" s="327"/>
      <c r="FT275" s="327"/>
      <c r="FU275" s="327"/>
      <c r="FV275" s="327"/>
      <c r="FW275" s="327"/>
      <c r="FX275" s="327"/>
      <c r="FY275" s="327"/>
      <c r="FZ275" s="327"/>
      <c r="GA275" s="327"/>
      <c r="GB275" s="327"/>
      <c r="GC275" s="327"/>
      <c r="GD275" s="327"/>
      <c r="GE275" s="327"/>
      <c r="GF275" s="327"/>
      <c r="GG275" s="327"/>
      <c r="GH275" s="327"/>
      <c r="GI275" s="327"/>
      <c r="GJ275" s="327"/>
      <c r="GK275" s="327"/>
      <c r="GL275" s="327"/>
      <c r="GM275" s="327"/>
      <c r="GN275" s="327"/>
      <c r="GO275" s="327"/>
      <c r="GP275" s="327"/>
      <c r="GQ275" s="327"/>
      <c r="GR275" s="327"/>
      <c r="GS275" s="327"/>
      <c r="GT275" s="327"/>
      <c r="GU275" s="327"/>
      <c r="GV275" s="327"/>
      <c r="GW275" s="327"/>
      <c r="GX275" s="327"/>
      <c r="GY275" s="327"/>
      <c r="GZ275" s="327"/>
      <c r="HA275" s="327"/>
      <c r="HB275" s="327"/>
      <c r="HC275" s="327"/>
      <c r="HD275" s="327"/>
      <c r="HE275" s="327"/>
      <c r="HF275" s="327"/>
      <c r="HG275" s="327"/>
      <c r="HH275" s="327"/>
      <c r="HI275" s="327"/>
      <c r="HJ275" s="327"/>
      <c r="HK275" s="327"/>
      <c r="HL275" s="327"/>
      <c r="HM275" s="327"/>
      <c r="HN275" s="327"/>
      <c r="HO275" s="327"/>
      <c r="HP275" s="327"/>
      <c r="HQ275" s="327"/>
      <c r="HR275" s="327"/>
      <c r="HS275" s="327"/>
    </row>
    <row r="276" spans="1:227" ht="15" customHeight="1">
      <c r="A276" s="330">
        <v>12</v>
      </c>
      <c r="B276" s="435" t="str">
        <f>VLOOKUP(Ruimtestaat[[#This Row],[Code]],Locaties[[Code]:[Locatie]],2,FALSE)</f>
        <v>IKC De Leerplaneet Loc. 2 (vh 't Plankier)</v>
      </c>
      <c r="C276" s="435" t="str">
        <f>VLOOKUP(Ruimtestaat[[#This Row],[Code]],Locaties[[#All],[Code]:[Adres]],4,FALSE)</f>
        <v>Wedekindzijde 1-3</v>
      </c>
      <c r="D276" s="435" t="str">
        <f>VLOOKUP(Ruimtestaat[[#This Row],[Code]],Locaties[[#All],[Code]:[Postcode]],5,FALSE)</f>
        <v>2725 PG</v>
      </c>
      <c r="E276" s="435" t="str">
        <f>VLOOKUP(Ruimtestaat[[#This Row],[Code]],Locaties[#All],6,FALSE)</f>
        <v>Zoetermeer</v>
      </c>
      <c r="F276" s="450"/>
      <c r="G276" s="330" t="s">
        <v>1678</v>
      </c>
      <c r="H276" s="330" t="s">
        <v>1693</v>
      </c>
      <c r="I276" s="450" t="s">
        <v>1679</v>
      </c>
      <c r="J276" s="330">
        <v>16</v>
      </c>
      <c r="K276" s="450" t="str">
        <f>VLOOKUP(Ruimtestaat[[#This Row],[Ruimte code]],Ruimtegroepen[[#All],[Code]:[Ruimte omschrijving]],2,FALSE)</f>
        <v>Leslokalen</v>
      </c>
      <c r="L276" s="434" t="s">
        <v>100</v>
      </c>
      <c r="M276" s="437" t="s">
        <v>1759</v>
      </c>
      <c r="N276" s="439">
        <v>8</v>
      </c>
      <c r="O276" s="439"/>
      <c r="P276" s="439"/>
      <c r="Q276" s="439"/>
      <c r="R276" s="440" t="str">
        <f>VLOOKUP(Ruimtestaat[[#This Row],[Ruimte code]],Ruimtegroepen[],4,FALSE)</f>
        <v>Le</v>
      </c>
      <c r="S276" s="434">
        <v>40</v>
      </c>
      <c r="T276" s="434" t="s">
        <v>2</v>
      </c>
      <c r="U276" s="434">
        <f>IF(S276&gt;0,IF(RIGHT(Ruimtestaat[[#This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6" s="434">
        <f>IF(U276&gt;0,VLOOKUP($J276,Ruimtegroepen[],3,FALSE)*VLOOKUP($L276,Vloersoorten[],3,FALSE)*VLOOKUP($T276,Frequenties[],3,FALSE)*VLOOKUP($A276,Locaties[],3,FALSE),0)</f>
        <v>0</v>
      </c>
      <c r="W276" s="434">
        <f>Ruimtestaat[[#This Row],[Uitvoeringen werkdagen]]*Ruimtestaat[[#This Row],[Oppervlak (netto)]]</f>
        <v>1600</v>
      </c>
      <c r="X276" s="441">
        <f>IF(V276&gt;0,Ruimtestaat[[#This Row],[Prest. (m2 /jaar) werkdagen]]/Ruimtestaat[[#This Row],[Norm (m2/uur) werkdagen]],0)</f>
        <v>0</v>
      </c>
      <c r="Y276" s="442">
        <f>Ruimtestaat[[#This Row],[Uitvoeringen werkdagen]]*Ruimtestaat[[#This Row],[Gedeeltelijk]]</f>
        <v>0</v>
      </c>
      <c r="Z276" s="443" t="e">
        <f>IF(U276&gt;0,Ruimtestaat[[#This Row],[Prest. (m2 / jaar) werkdagen gedeeld]]/Ruimtestaat[[#This Row],[Norm (m2/uur) werkdagen]],0)</f>
        <v>#DIV/0!</v>
      </c>
      <c r="AA276" s="441" t="e">
        <f>Ruimtestaat[[#This Row],[uren / jaar werkdagen gedeeld]]*Tariefsopbouw!$E$35</f>
        <v>#DIV/0!</v>
      </c>
      <c r="AB276" s="441">
        <f>Ruimtestaat[[#This Row],[Uitvoeringen werkdagen]]*Ruimtestaat[[#This Row],[BSO]]</f>
        <v>0</v>
      </c>
      <c r="AC276" s="443" t="e">
        <f>IF(U276&gt;0,Ruimtestaat[[#This Row],[Prest. (m2 / jaar) werkdagen BSO]]/Ruimtestaat[[#This Row],[Norm (m2/uur) werkdagen]],0)</f>
        <v>#DIV/0!</v>
      </c>
      <c r="AD276" s="443" t="e">
        <f>Ruimtestaat[[#This Row],[uren / jaar werkdagen BSO]]*Tariefsopbouw!$E$35</f>
        <v>#DIV/0!</v>
      </c>
      <c r="AE276" s="444">
        <f>Ruimtestaat[[#This Row],[uren / jaar werkdagen]]*Tariefsopbouw!$E$35</f>
        <v>0</v>
      </c>
      <c r="AF276" s="434"/>
      <c r="AG276" s="434">
        <f>IF(Ruimtestaat[[#This Row],[Frequentie weekend]]&gt;0,VALUE(LEFT(AF276,1))*S276,0)</f>
        <v>0</v>
      </c>
      <c r="AH276" s="445">
        <f>IF($AG276&gt;0,VLOOKUP($J276,Ruimtegroepen[],3,FALSE)*VLOOKUP($L276,Vloersoorten[],3,FALSE)*VLOOKUP($AF276,Frequenties[],3,FALSE)*VLOOKUP(Ruimtestaat[[#This Row],[Code]],Locaties[],3,FALSE),0)</f>
        <v>0</v>
      </c>
      <c r="AI276" s="445">
        <f>Ruimtestaat[[#This Row],[Uitvoeringen weekend]]*Ruimtestaat[[#This Row],[Oppervlak (netto)]]</f>
        <v>0</v>
      </c>
      <c r="AJ276" s="445">
        <f>IF(AH276&gt;0,Ruimtestaat[[#This Row],[Prest. (m2 /jaar) weekend]]/Ruimtestaat[[#This Row],[Norm (m2/uur) weekend]],0)</f>
        <v>0</v>
      </c>
      <c r="AK276" s="444">
        <f>Ruimtestaat[[#This Row],[uren / jaar weekend]]*Tariefsopbouw!$D$40</f>
        <v>0</v>
      </c>
      <c r="AL276" s="441">
        <f>Ruimtestaat[[#This Row],[Prest. (m2 /jaar) weekend]]+Ruimtestaat[[#This Row],[Prest. (m2 /jaar) werkdagen]]</f>
        <v>1600</v>
      </c>
      <c r="AM276" s="441">
        <f>Ruimtestaat[[#This Row],[uren / jaar weekend]]+Ruimtestaat[[#This Row],[uren / jaar werkdagen]]</f>
        <v>0</v>
      </c>
      <c r="AN276" s="446">
        <f>Ruimtestaat[[#This Row],[kosten / jaar weekend]]+Ruimtestaat[[#This Row],[kosten / jaar werkdagen]]</f>
        <v>0</v>
      </c>
      <c r="AO276" s="446"/>
      <c r="AP276" s="447" t="str">
        <f>IF(Ruimtestaat[[#This Row],[Frequentie werkdagen]]="","",_xlfn.CONCAT(Ruimtestaat[[#This Row],[Ruimte code]],"-",Ruimtestaat[[#This Row],[Frequentie werkdagen]]," ",Ruimtestaat[[#This Row],[Vloer code]]))</f>
        <v>16-5w L</v>
      </c>
      <c r="AQ276" s="448" t="str">
        <f>_xlfn.IFNA(VLOOKUP($AP276,Programma!$F$3:$G$1101,2,0),"")</f>
        <v>_</v>
      </c>
      <c r="AR276" s="448" t="str">
        <f>_xlfn.IFNA(VLOOKUP($AP276,Programma!$F$3:$H$1101,3,0),"")</f>
        <v>_</v>
      </c>
      <c r="AS276" s="448" t="str">
        <f>_xlfn.IFNA(VLOOKUP($AP276,Programma!$F$3:$I$1101,4,0),"")</f>
        <v>4w</v>
      </c>
      <c r="AT276" s="448" t="str">
        <f>_xlfn.IFNA(VLOOKUP($AP276,Programma!$F$3:$J$1101,5,0),"")</f>
        <v>1w</v>
      </c>
      <c r="AU276" s="448" t="str">
        <f>_xlfn.IFNA(VLOOKUP($AP276,Programma!$F$3:$K$1101,6,0),"")</f>
        <v>_</v>
      </c>
      <c r="AV276" s="448" t="str">
        <f>_xlfn.IFNA(VLOOKUP($AP276,Programma!$F$3:$L$1101,7,0),"")</f>
        <v>_</v>
      </c>
      <c r="AW276" s="448" t="str">
        <f>_xlfn.IFNA(VLOOKUP($AP276,Programma!$F$3:$M$1101,8,0),"")</f>
        <v>_</v>
      </c>
      <c r="AX276" s="448" t="str">
        <f>_xlfn.IFNA(VLOOKUP($AP276,Programma!$F$3:$N$1101,9,0),"")</f>
        <v>_</v>
      </c>
      <c r="AY276" s="448" t="str">
        <f>_xlfn.IFNA(VLOOKUP($AP276,Programma!$F$3:$O$1101,10,0),"")</f>
        <v>5w</v>
      </c>
      <c r="AZ276" s="448" t="str">
        <f>_xlfn.IFNA(VLOOKUP($AP276,Programma!$F$3:$P$1101,11,0),"")</f>
        <v>5w</v>
      </c>
      <c r="BA276" s="448" t="str">
        <f>_xlfn.IFNA(VLOOKUP($AP276,Programma!$F$3:$Q$1101,12,0),"")</f>
        <v>1w</v>
      </c>
      <c r="BB276" s="448" t="str">
        <f>_xlfn.IFNA(VLOOKUP($AP276,Programma!$F$3:$R$1101,13,0),"")</f>
        <v>1w</v>
      </c>
      <c r="BC276" s="448" t="str">
        <f>_xlfn.IFNA(VLOOKUP($AP276,Programma!$F$3:$S$1101,14,0),"")</f>
        <v>1m</v>
      </c>
      <c r="BD276" s="448" t="str">
        <f>_xlfn.IFNA(VLOOKUP($AP276,Programma!$F$3:$T$1101,15,0),"")</f>
        <v>2j</v>
      </c>
      <c r="BE276" s="448" t="str">
        <f>_xlfn.IFNA(VLOOKUP($AP276,Programma!$F$3:$U$1101,16,0),"")</f>
        <v>1j</v>
      </c>
      <c r="BF276" s="448" t="str">
        <f>_xlfn.IFNA(VLOOKUP($AP276,Programma!$F$3:$V$1101,17,0),"")</f>
        <v>_</v>
      </c>
      <c r="BG276" s="448" t="str">
        <f>_xlfn.IFNA(VLOOKUP($AP276,Programma!$F$3:$W$1101,18,0),"")</f>
        <v>_</v>
      </c>
      <c r="BH276" s="448" t="str">
        <f>_xlfn.IFNA(VLOOKUP($AP276,Programma!$F$3:$X$1101,19,0),"")</f>
        <v>_</v>
      </c>
      <c r="BI276" s="448" t="str">
        <f>_xlfn.IFNA(VLOOKUP($AP276,Programma!$F$3:$Y$1101,20,0),"")</f>
        <v>_</v>
      </c>
      <c r="BJ276" s="449"/>
      <c r="BK276" s="447" t="str">
        <f>IF(Ruimtestaat[[#This Row],[Frequentie weekend]]="","",_xlfn.CONCAT(Ruimtestaat[[#This Row],[Ruimte code]],"-",Ruimtestaat[[#This Row],[Frequentie weekend]]," ",Ruimtestaat[[#This Row],[Vloer code]]))</f>
        <v/>
      </c>
      <c r="BL276" s="448" t="str">
        <f>_xlfn.IFNA(VLOOKUP($BK276,Programma!$F$3:$G$1101,2,0),"")</f>
        <v/>
      </c>
      <c r="BM276" s="448" t="str">
        <f>_xlfn.IFNA(VLOOKUP($BK276,Programma!$F$3:$H$1101,3,0),"")</f>
        <v/>
      </c>
      <c r="BN276" s="448" t="str">
        <f>_xlfn.IFNA(VLOOKUP($BK276,Programma!$F$3:$I$1101,4,0),"")</f>
        <v/>
      </c>
      <c r="BO276" s="448" t="str">
        <f>_xlfn.IFNA(VLOOKUP($BK276,Programma!$F$3:$J$1101,5,0),"")</f>
        <v/>
      </c>
      <c r="BP276" s="448" t="str">
        <f>_xlfn.IFNA(VLOOKUP($BK276,Programma!$F$3:$K$1101,6,0),"")</f>
        <v/>
      </c>
      <c r="BQ276" s="448" t="str">
        <f>_xlfn.IFNA(VLOOKUP($BK276,Programma!$F$3:$L$1101,7,0),"")</f>
        <v/>
      </c>
      <c r="BR276" s="448" t="str">
        <f>_xlfn.IFNA(VLOOKUP($BK276,Programma!$F$3:$M$1101,8,0),"")</f>
        <v/>
      </c>
      <c r="BS276" s="448" t="str">
        <f>_xlfn.IFNA(VLOOKUP($BK276,Programma!$F$3:$N$1101,9,0),"")</f>
        <v/>
      </c>
      <c r="BT276" s="448" t="str">
        <f>_xlfn.IFNA(VLOOKUP($BK276,Programma!$F$3:$O$1101,10,0),"")</f>
        <v/>
      </c>
      <c r="BU276" s="448" t="str">
        <f>_xlfn.IFNA(VLOOKUP($BK276,Programma!$F$3:$P$1101,11,0),"")</f>
        <v/>
      </c>
      <c r="BV276" s="448" t="str">
        <f>_xlfn.IFNA(VLOOKUP($BK276,Programma!$F$3:$Q$1101,12,0),"")</f>
        <v/>
      </c>
      <c r="BW276" s="448" t="str">
        <f>_xlfn.IFNA(VLOOKUP($BK276,Programma!$F$3:$R$1101,13,0),"")</f>
        <v/>
      </c>
      <c r="BX276" s="448" t="str">
        <f>_xlfn.IFNA(VLOOKUP($BK276,Programma!$F$3:$S$1101,14,0),"")</f>
        <v/>
      </c>
      <c r="BY276" s="448" t="str">
        <f>_xlfn.IFNA(VLOOKUP($BK276,Programma!$F$3:$T$1101,15,0),"")</f>
        <v/>
      </c>
      <c r="BZ276" s="448" t="str">
        <f>_xlfn.IFNA(VLOOKUP($BK276,Programma!$F$3:$U$1101,16,0),"")</f>
        <v/>
      </c>
      <c r="CA276" s="448" t="str">
        <f>_xlfn.IFNA(VLOOKUP($BK276,Programma!$F$3:$V$1101,17,0),"")</f>
        <v/>
      </c>
      <c r="CB276" s="448" t="str">
        <f>_xlfn.IFNA(VLOOKUP($BK276,Programma!$F$3:$W$1101,18,0),"")</f>
        <v/>
      </c>
      <c r="CC276" s="448" t="str">
        <f>_xlfn.IFNA(VLOOKUP($BK276,Programma!$F$3:$X$1101,19,0),"")</f>
        <v/>
      </c>
      <c r="CD276" s="448" t="str">
        <f>_xlfn.IFNA(VLOOKUP($BK276,Programma!$F$3:$Y$1101,20,0),"")</f>
        <v/>
      </c>
      <c r="CE276" s="327"/>
      <c r="CF276" s="327"/>
      <c r="CG276" s="327"/>
      <c r="CH276" s="327"/>
      <c r="CI276" s="327"/>
      <c r="CJ276" s="327"/>
      <c r="CK276" s="327"/>
      <c r="CL276" s="327"/>
      <c r="CM276" s="327"/>
      <c r="CN276" s="327"/>
      <c r="CO276" s="327"/>
      <c r="CP276" s="327"/>
      <c r="CQ276" s="327"/>
      <c r="CR276" s="327"/>
      <c r="CS276" s="327"/>
      <c r="CT276" s="327"/>
      <c r="CU276" s="327"/>
      <c r="CV276" s="327"/>
      <c r="CW276" s="327"/>
      <c r="CX276" s="327"/>
      <c r="CY276" s="327"/>
      <c r="CZ276" s="327"/>
      <c r="DA276" s="327"/>
      <c r="DB276" s="327"/>
      <c r="DC276" s="327"/>
      <c r="DD276" s="327"/>
      <c r="DE276" s="327"/>
      <c r="DF276" s="327"/>
      <c r="DG276" s="327"/>
      <c r="DH276" s="327"/>
      <c r="DI276" s="327"/>
      <c r="DJ276" s="327"/>
      <c r="DK276" s="327"/>
      <c r="DL276" s="327"/>
      <c r="DM276" s="327"/>
      <c r="DN276" s="327"/>
      <c r="DO276" s="327"/>
      <c r="DP276" s="327"/>
      <c r="DQ276" s="327"/>
      <c r="DR276" s="327"/>
      <c r="DS276" s="327"/>
      <c r="DT276" s="327"/>
      <c r="DU276" s="327"/>
      <c r="DV276" s="327"/>
      <c r="DW276" s="327"/>
      <c r="DX276" s="327"/>
      <c r="DY276" s="327"/>
      <c r="DZ276" s="327"/>
      <c r="EA276" s="327"/>
      <c r="EB276" s="327"/>
      <c r="EC276" s="327"/>
      <c r="ED276" s="327"/>
      <c r="EE276" s="327"/>
      <c r="EF276" s="327"/>
      <c r="EG276" s="327"/>
      <c r="EH276" s="327"/>
      <c r="EI276" s="327"/>
      <c r="EJ276" s="327"/>
      <c r="EK276" s="327"/>
      <c r="EL276" s="327"/>
      <c r="EM276" s="327"/>
      <c r="EN276" s="327"/>
      <c r="EO276" s="327"/>
      <c r="EP276" s="327"/>
      <c r="EQ276" s="327"/>
      <c r="ER276" s="327"/>
      <c r="ES276" s="327"/>
      <c r="ET276" s="327"/>
      <c r="EU276" s="327"/>
      <c r="EV276" s="327"/>
      <c r="EW276" s="327"/>
      <c r="EX276" s="327"/>
      <c r="EY276" s="327"/>
      <c r="EZ276" s="327"/>
      <c r="FA276" s="327"/>
      <c r="FB276" s="327"/>
      <c r="FC276" s="327"/>
      <c r="FD276" s="327"/>
      <c r="FE276" s="327"/>
      <c r="FF276" s="327"/>
      <c r="FG276" s="327"/>
      <c r="FH276" s="327"/>
      <c r="FI276" s="327"/>
      <c r="FJ276" s="327"/>
      <c r="FK276" s="327"/>
      <c r="FL276" s="327"/>
      <c r="FM276" s="327"/>
      <c r="FN276" s="327"/>
      <c r="FO276" s="327"/>
      <c r="FP276" s="327"/>
      <c r="FQ276" s="327"/>
      <c r="FR276" s="327"/>
      <c r="FS276" s="327"/>
      <c r="FT276" s="327"/>
      <c r="FU276" s="327"/>
      <c r="FV276" s="327"/>
      <c r="FW276" s="327"/>
      <c r="FX276" s="327"/>
      <c r="FY276" s="327"/>
      <c r="FZ276" s="327"/>
      <c r="GA276" s="327"/>
      <c r="GB276" s="327"/>
      <c r="GC276" s="327"/>
      <c r="GD276" s="327"/>
      <c r="GE276" s="327"/>
      <c r="GF276" s="327"/>
      <c r="GG276" s="327"/>
      <c r="GH276" s="327"/>
      <c r="GI276" s="327"/>
      <c r="GJ276" s="327"/>
      <c r="GK276" s="327"/>
      <c r="GL276" s="327"/>
      <c r="GM276" s="327"/>
      <c r="GN276" s="327"/>
      <c r="GO276" s="327"/>
      <c r="GP276" s="327"/>
      <c r="GQ276" s="327"/>
      <c r="GR276" s="327"/>
      <c r="GS276" s="327"/>
      <c r="GT276" s="327"/>
      <c r="GU276" s="327"/>
      <c r="GV276" s="327"/>
      <c r="GW276" s="327"/>
      <c r="GX276" s="327"/>
      <c r="GY276" s="327"/>
      <c r="GZ276" s="327"/>
      <c r="HA276" s="327"/>
      <c r="HB276" s="327"/>
      <c r="HC276" s="327"/>
      <c r="HD276" s="327"/>
      <c r="HE276" s="327"/>
      <c r="HF276" s="327"/>
      <c r="HG276" s="327"/>
      <c r="HH276" s="327"/>
      <c r="HI276" s="327"/>
      <c r="HJ276" s="327"/>
      <c r="HK276" s="327"/>
      <c r="HL276" s="327"/>
      <c r="HM276" s="327"/>
      <c r="HN276" s="327"/>
      <c r="HO276" s="327"/>
      <c r="HP276" s="327"/>
      <c r="HQ276" s="327"/>
      <c r="HR276" s="327"/>
      <c r="HS276" s="327"/>
    </row>
    <row r="277" spans="1:227" ht="15" customHeight="1">
      <c r="A277" s="330">
        <v>12</v>
      </c>
      <c r="B277" s="435" t="str">
        <f>VLOOKUP(Ruimtestaat[[#This Row],[Code]],Locaties[[Code]:[Locatie]],2,FALSE)</f>
        <v>IKC De Leerplaneet Loc. 2 (vh 't Plankier)</v>
      </c>
      <c r="C277" s="435" t="str">
        <f>VLOOKUP(Ruimtestaat[[#This Row],[Code]],Locaties[[#All],[Code]:[Adres]],4,FALSE)</f>
        <v>Wedekindzijde 1-3</v>
      </c>
      <c r="D277" s="435" t="str">
        <f>VLOOKUP(Ruimtestaat[[#This Row],[Code]],Locaties[[#All],[Code]:[Postcode]],5,FALSE)</f>
        <v>2725 PG</v>
      </c>
      <c r="E277" s="435" t="str">
        <f>VLOOKUP(Ruimtestaat[[#This Row],[Code]],Locaties[#All],6,FALSE)</f>
        <v>Zoetermeer</v>
      </c>
      <c r="F277" s="450"/>
      <c r="G277" s="330" t="s">
        <v>1678</v>
      </c>
      <c r="H277" s="330" t="s">
        <v>1699</v>
      </c>
      <c r="I277" s="450" t="s">
        <v>1679</v>
      </c>
      <c r="J277" s="330">
        <v>16</v>
      </c>
      <c r="K277" s="450" t="str">
        <f>VLOOKUP(Ruimtestaat[[#This Row],[Ruimte code]],Ruimtegroepen[[#All],[Code]:[Ruimte omschrijving]],2,FALSE)</f>
        <v>Leslokalen</v>
      </c>
      <c r="L277" s="434" t="s">
        <v>99</v>
      </c>
      <c r="M277" s="437" t="s">
        <v>36</v>
      </c>
      <c r="N277" s="439">
        <v>50</v>
      </c>
      <c r="O277" s="439"/>
      <c r="P277" s="439"/>
      <c r="Q277" s="439"/>
      <c r="R277" s="440" t="str">
        <f>VLOOKUP(Ruimtestaat[[#This Row],[Ruimte code]],Ruimtegroepen[],4,FALSE)</f>
        <v>Le</v>
      </c>
      <c r="S277" s="434">
        <v>40</v>
      </c>
      <c r="T277" s="434" t="s">
        <v>2</v>
      </c>
      <c r="U277" s="434">
        <f>IF(S277&gt;0,IF(RIGHT(Ruimtestaat[[#This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7" s="434">
        <f>IF(U277&gt;0,VLOOKUP($J277,Ruimtegroepen[],3,FALSE)*VLOOKUP($L277,Vloersoorten[],3,FALSE)*VLOOKUP($T277,Frequenties[],3,FALSE)*VLOOKUP($A277,Locaties[],3,FALSE),0)</f>
        <v>0</v>
      </c>
      <c r="W277" s="434">
        <f>Ruimtestaat[[#This Row],[Uitvoeringen werkdagen]]*Ruimtestaat[[#This Row],[Oppervlak (netto)]]</f>
        <v>10000</v>
      </c>
      <c r="X277" s="441">
        <f>IF(V277&gt;0,Ruimtestaat[[#This Row],[Prest. (m2 /jaar) werkdagen]]/Ruimtestaat[[#This Row],[Norm (m2/uur) werkdagen]],0)</f>
        <v>0</v>
      </c>
      <c r="Y277" s="442">
        <f>Ruimtestaat[[#This Row],[Uitvoeringen werkdagen]]*Ruimtestaat[[#This Row],[Gedeeltelijk]]</f>
        <v>0</v>
      </c>
      <c r="Z277" s="443" t="e">
        <f>IF(U277&gt;0,Ruimtestaat[[#This Row],[Prest. (m2 / jaar) werkdagen gedeeld]]/Ruimtestaat[[#This Row],[Norm (m2/uur) werkdagen]],0)</f>
        <v>#DIV/0!</v>
      </c>
      <c r="AA277" s="441" t="e">
        <f>Ruimtestaat[[#This Row],[uren / jaar werkdagen gedeeld]]*Tariefsopbouw!$E$35</f>
        <v>#DIV/0!</v>
      </c>
      <c r="AB277" s="441">
        <f>Ruimtestaat[[#This Row],[Uitvoeringen werkdagen]]*Ruimtestaat[[#This Row],[BSO]]</f>
        <v>0</v>
      </c>
      <c r="AC277" s="443" t="e">
        <f>IF(U277&gt;0,Ruimtestaat[[#This Row],[Prest. (m2 / jaar) werkdagen BSO]]/Ruimtestaat[[#This Row],[Norm (m2/uur) werkdagen]],0)</f>
        <v>#DIV/0!</v>
      </c>
      <c r="AD277" s="443" t="e">
        <f>Ruimtestaat[[#This Row],[uren / jaar werkdagen BSO]]*Tariefsopbouw!$E$35</f>
        <v>#DIV/0!</v>
      </c>
      <c r="AE277" s="444">
        <f>Ruimtestaat[[#This Row],[uren / jaar werkdagen]]*Tariefsopbouw!$E$35</f>
        <v>0</v>
      </c>
      <c r="AF277" s="434"/>
      <c r="AG277" s="434">
        <f>IF(Ruimtestaat[[#This Row],[Frequentie weekend]]&gt;0,VALUE(LEFT(AF277,1))*S277,0)</f>
        <v>0</v>
      </c>
      <c r="AH277" s="445">
        <f>IF($AG277&gt;0,VLOOKUP($J277,Ruimtegroepen[],3,FALSE)*VLOOKUP($L277,Vloersoorten[],3,FALSE)*VLOOKUP($AF277,Frequenties[],3,FALSE)*VLOOKUP(Ruimtestaat[[#This Row],[Code]],Locaties[],3,FALSE),0)</f>
        <v>0</v>
      </c>
      <c r="AI277" s="445">
        <f>Ruimtestaat[[#This Row],[Uitvoeringen weekend]]*Ruimtestaat[[#This Row],[Oppervlak (netto)]]</f>
        <v>0</v>
      </c>
      <c r="AJ277" s="445">
        <f>IF(AH277&gt;0,Ruimtestaat[[#This Row],[Prest. (m2 /jaar) weekend]]/Ruimtestaat[[#This Row],[Norm (m2/uur) weekend]],0)</f>
        <v>0</v>
      </c>
      <c r="AK277" s="444">
        <f>Ruimtestaat[[#This Row],[uren / jaar weekend]]*Tariefsopbouw!$D$40</f>
        <v>0</v>
      </c>
      <c r="AL277" s="441">
        <f>Ruimtestaat[[#This Row],[Prest. (m2 /jaar) weekend]]+Ruimtestaat[[#This Row],[Prest. (m2 /jaar) werkdagen]]</f>
        <v>10000</v>
      </c>
      <c r="AM277" s="441">
        <f>Ruimtestaat[[#This Row],[uren / jaar weekend]]+Ruimtestaat[[#This Row],[uren / jaar werkdagen]]</f>
        <v>0</v>
      </c>
      <c r="AN277" s="446">
        <f>Ruimtestaat[[#This Row],[kosten / jaar weekend]]+Ruimtestaat[[#This Row],[kosten / jaar werkdagen]]</f>
        <v>0</v>
      </c>
      <c r="AO277" s="446"/>
      <c r="AP277" s="447" t="str">
        <f>IF(Ruimtestaat[[#This Row],[Frequentie werkdagen]]="","",_xlfn.CONCAT(Ruimtestaat[[#This Row],[Ruimte code]],"-",Ruimtestaat[[#This Row],[Frequentie werkdagen]]," ",Ruimtestaat[[#This Row],[Vloer code]]))</f>
        <v>16-5w T</v>
      </c>
      <c r="AQ277" s="448" t="str">
        <f>_xlfn.IFNA(VLOOKUP($AP277,Programma!$F$3:$G$1101,2,0),"")</f>
        <v>3w</v>
      </c>
      <c r="AR277" s="448" t="str">
        <f>_xlfn.IFNA(VLOOKUP($AP277,Programma!$F$3:$H$1101,3,0),"")</f>
        <v>2w</v>
      </c>
      <c r="AS277" s="448" t="str">
        <f>_xlfn.IFNA(VLOOKUP($AP277,Programma!$F$3:$I$1101,4,0),"")</f>
        <v>_</v>
      </c>
      <c r="AT277" s="448" t="str">
        <f>_xlfn.IFNA(VLOOKUP($AP277,Programma!$F$3:$J$1101,5,0),"")</f>
        <v>_</v>
      </c>
      <c r="AU277" s="448" t="str">
        <f>_xlfn.IFNA(VLOOKUP($AP277,Programma!$F$3:$K$1101,6,0),"")</f>
        <v>_</v>
      </c>
      <c r="AV277" s="448" t="str">
        <f>_xlfn.IFNA(VLOOKUP($AP277,Programma!$F$3:$L$1101,7,0),"")</f>
        <v>_</v>
      </c>
      <c r="AW277" s="448" t="str">
        <f>_xlfn.IFNA(VLOOKUP($AP277,Programma!$F$3:$M$1101,8,0),"")</f>
        <v>_</v>
      </c>
      <c r="AX277" s="448" t="str">
        <f>_xlfn.IFNA(VLOOKUP($AP277,Programma!$F$3:$N$1101,9,0),"")</f>
        <v>_</v>
      </c>
      <c r="AY277" s="448" t="str">
        <f>_xlfn.IFNA(VLOOKUP($AP277,Programma!$F$3:$O$1101,10,0),"")</f>
        <v>5w</v>
      </c>
      <c r="AZ277" s="448" t="str">
        <f>_xlfn.IFNA(VLOOKUP($AP277,Programma!$F$3:$P$1101,11,0),"")</f>
        <v>5w</v>
      </c>
      <c r="BA277" s="448" t="str">
        <f>_xlfn.IFNA(VLOOKUP($AP277,Programma!$F$3:$Q$1101,12,0),"")</f>
        <v>1w</v>
      </c>
      <c r="BB277" s="448" t="str">
        <f>_xlfn.IFNA(VLOOKUP($AP277,Programma!$F$3:$R$1101,13,0),"")</f>
        <v>1w</v>
      </c>
      <c r="BC277" s="448" t="str">
        <f>_xlfn.IFNA(VLOOKUP($AP277,Programma!$F$3:$S$1101,14,0),"")</f>
        <v>1m</v>
      </c>
      <c r="BD277" s="448" t="str">
        <f>_xlfn.IFNA(VLOOKUP($AP277,Programma!$F$3:$T$1101,15,0),"")</f>
        <v>2j</v>
      </c>
      <c r="BE277" s="448" t="str">
        <f>_xlfn.IFNA(VLOOKUP($AP277,Programma!$F$3:$U$1101,16,0),"")</f>
        <v>1j</v>
      </c>
      <c r="BF277" s="448" t="str">
        <f>_xlfn.IFNA(VLOOKUP($AP277,Programma!$F$3:$V$1101,17,0),"")</f>
        <v>_</v>
      </c>
      <c r="BG277" s="448" t="str">
        <f>_xlfn.IFNA(VLOOKUP($AP277,Programma!$F$3:$W$1101,18,0),"")</f>
        <v>_</v>
      </c>
      <c r="BH277" s="448" t="str">
        <f>_xlfn.IFNA(VLOOKUP($AP277,Programma!$F$3:$X$1101,19,0),"")</f>
        <v>_</v>
      </c>
      <c r="BI277" s="448" t="str">
        <f>_xlfn.IFNA(VLOOKUP($AP277,Programma!$F$3:$Y$1101,20,0),"")</f>
        <v>_</v>
      </c>
      <c r="BJ277" s="449"/>
      <c r="BK277" s="447" t="str">
        <f>IF(Ruimtestaat[[#This Row],[Frequentie weekend]]="","",_xlfn.CONCAT(Ruimtestaat[[#This Row],[Ruimte code]],"-",Ruimtestaat[[#This Row],[Frequentie weekend]]," ",Ruimtestaat[[#This Row],[Vloer code]]))</f>
        <v/>
      </c>
      <c r="BL277" s="448" t="str">
        <f>_xlfn.IFNA(VLOOKUP($BK277,Programma!$F$3:$G$1101,2,0),"")</f>
        <v/>
      </c>
      <c r="BM277" s="448" t="str">
        <f>_xlfn.IFNA(VLOOKUP($BK277,Programma!$F$3:$H$1101,3,0),"")</f>
        <v/>
      </c>
      <c r="BN277" s="448" t="str">
        <f>_xlfn.IFNA(VLOOKUP($BK277,Programma!$F$3:$I$1101,4,0),"")</f>
        <v/>
      </c>
      <c r="BO277" s="448" t="str">
        <f>_xlfn.IFNA(VLOOKUP($BK277,Programma!$F$3:$J$1101,5,0),"")</f>
        <v/>
      </c>
      <c r="BP277" s="448" t="str">
        <f>_xlfn.IFNA(VLOOKUP($BK277,Programma!$F$3:$K$1101,6,0),"")</f>
        <v/>
      </c>
      <c r="BQ277" s="448" t="str">
        <f>_xlfn.IFNA(VLOOKUP($BK277,Programma!$F$3:$L$1101,7,0),"")</f>
        <v/>
      </c>
      <c r="BR277" s="448" t="str">
        <f>_xlfn.IFNA(VLOOKUP($BK277,Programma!$F$3:$M$1101,8,0),"")</f>
        <v/>
      </c>
      <c r="BS277" s="448" t="str">
        <f>_xlfn.IFNA(VLOOKUP($BK277,Programma!$F$3:$N$1101,9,0),"")</f>
        <v/>
      </c>
      <c r="BT277" s="448" t="str">
        <f>_xlfn.IFNA(VLOOKUP($BK277,Programma!$F$3:$O$1101,10,0),"")</f>
        <v/>
      </c>
      <c r="BU277" s="448" t="str">
        <f>_xlfn.IFNA(VLOOKUP($BK277,Programma!$F$3:$P$1101,11,0),"")</f>
        <v/>
      </c>
      <c r="BV277" s="448" t="str">
        <f>_xlfn.IFNA(VLOOKUP($BK277,Programma!$F$3:$Q$1101,12,0),"")</f>
        <v/>
      </c>
      <c r="BW277" s="448" t="str">
        <f>_xlfn.IFNA(VLOOKUP($BK277,Programma!$F$3:$R$1101,13,0),"")</f>
        <v/>
      </c>
      <c r="BX277" s="448" t="str">
        <f>_xlfn.IFNA(VLOOKUP($BK277,Programma!$F$3:$S$1101,14,0),"")</f>
        <v/>
      </c>
      <c r="BY277" s="448" t="str">
        <f>_xlfn.IFNA(VLOOKUP($BK277,Programma!$F$3:$T$1101,15,0),"")</f>
        <v/>
      </c>
      <c r="BZ277" s="448" t="str">
        <f>_xlfn.IFNA(VLOOKUP($BK277,Programma!$F$3:$U$1101,16,0),"")</f>
        <v/>
      </c>
      <c r="CA277" s="448" t="str">
        <f>_xlfn.IFNA(VLOOKUP($BK277,Programma!$F$3:$V$1101,17,0),"")</f>
        <v/>
      </c>
      <c r="CB277" s="448" t="str">
        <f>_xlfn.IFNA(VLOOKUP($BK277,Programma!$F$3:$W$1101,18,0),"")</f>
        <v/>
      </c>
      <c r="CC277" s="448" t="str">
        <f>_xlfn.IFNA(VLOOKUP($BK277,Programma!$F$3:$X$1101,19,0),"")</f>
        <v/>
      </c>
      <c r="CD277" s="448" t="str">
        <f>_xlfn.IFNA(VLOOKUP($BK277,Programma!$F$3:$Y$1101,20,0),"")</f>
        <v/>
      </c>
      <c r="CE277" s="327"/>
      <c r="CF277" s="327"/>
      <c r="CG277" s="327"/>
      <c r="CH277" s="327"/>
      <c r="CI277" s="327"/>
      <c r="CJ277" s="327"/>
      <c r="CK277" s="327"/>
      <c r="CL277" s="327"/>
      <c r="CM277" s="327"/>
      <c r="CN277" s="327"/>
      <c r="CO277" s="327"/>
      <c r="CP277" s="327"/>
      <c r="CQ277" s="327"/>
      <c r="CR277" s="327"/>
      <c r="CS277" s="327"/>
      <c r="CT277" s="327"/>
      <c r="CU277" s="327"/>
      <c r="CV277" s="327"/>
      <c r="CW277" s="327"/>
      <c r="CX277" s="327"/>
      <c r="CY277" s="327"/>
      <c r="CZ277" s="327"/>
      <c r="DA277" s="327"/>
      <c r="DB277" s="327"/>
      <c r="DC277" s="327"/>
      <c r="DD277" s="327"/>
      <c r="DE277" s="327"/>
      <c r="DF277" s="327"/>
      <c r="DG277" s="327"/>
      <c r="DH277" s="327"/>
      <c r="DI277" s="327"/>
      <c r="DJ277" s="327"/>
      <c r="DK277" s="327"/>
      <c r="DL277" s="327"/>
      <c r="DM277" s="327"/>
      <c r="DN277" s="327"/>
      <c r="DO277" s="327"/>
      <c r="DP277" s="327"/>
      <c r="DQ277" s="327"/>
      <c r="DR277" s="327"/>
      <c r="DS277" s="327"/>
      <c r="DT277" s="327"/>
      <c r="DU277" s="327"/>
      <c r="DV277" s="327"/>
      <c r="DW277" s="327"/>
      <c r="DX277" s="327"/>
      <c r="DY277" s="327"/>
      <c r="DZ277" s="327"/>
      <c r="EA277" s="327"/>
      <c r="EB277" s="327"/>
      <c r="EC277" s="327"/>
      <c r="ED277" s="327"/>
      <c r="EE277" s="327"/>
      <c r="EF277" s="327"/>
      <c r="EG277" s="327"/>
      <c r="EH277" s="327"/>
      <c r="EI277" s="327"/>
      <c r="EJ277" s="327"/>
      <c r="EK277" s="327"/>
      <c r="EL277" s="327"/>
      <c r="EM277" s="327"/>
      <c r="EN277" s="327"/>
      <c r="EO277" s="327"/>
      <c r="EP277" s="327"/>
      <c r="EQ277" s="327"/>
      <c r="ER277" s="327"/>
      <c r="ES277" s="327"/>
      <c r="ET277" s="327"/>
      <c r="EU277" s="327"/>
      <c r="EV277" s="327"/>
      <c r="EW277" s="327"/>
      <c r="EX277" s="327"/>
      <c r="EY277" s="327"/>
      <c r="EZ277" s="327"/>
      <c r="FA277" s="327"/>
      <c r="FB277" s="327"/>
      <c r="FC277" s="327"/>
      <c r="FD277" s="327"/>
      <c r="FE277" s="327"/>
      <c r="FF277" s="327"/>
      <c r="FG277" s="327"/>
      <c r="FH277" s="327"/>
      <c r="FI277" s="327"/>
      <c r="FJ277" s="327"/>
      <c r="FK277" s="327"/>
      <c r="FL277" s="327"/>
      <c r="FM277" s="327"/>
      <c r="FN277" s="327"/>
      <c r="FO277" s="327"/>
      <c r="FP277" s="327"/>
      <c r="FQ277" s="327"/>
      <c r="FR277" s="327"/>
      <c r="FS277" s="327"/>
      <c r="FT277" s="327"/>
      <c r="FU277" s="327"/>
      <c r="FV277" s="327"/>
      <c r="FW277" s="327"/>
      <c r="FX277" s="327"/>
      <c r="FY277" s="327"/>
      <c r="FZ277" s="327"/>
      <c r="GA277" s="327"/>
      <c r="GB277" s="327"/>
      <c r="GC277" s="327"/>
      <c r="GD277" s="327"/>
      <c r="GE277" s="327"/>
      <c r="GF277" s="327"/>
      <c r="GG277" s="327"/>
      <c r="GH277" s="327"/>
      <c r="GI277" s="327"/>
      <c r="GJ277" s="327"/>
      <c r="GK277" s="327"/>
      <c r="GL277" s="327"/>
      <c r="GM277" s="327"/>
      <c r="GN277" s="327"/>
      <c r="GO277" s="327"/>
      <c r="GP277" s="327"/>
      <c r="GQ277" s="327"/>
      <c r="GR277" s="327"/>
      <c r="GS277" s="327"/>
      <c r="GT277" s="327"/>
      <c r="GU277" s="327"/>
      <c r="GV277" s="327"/>
      <c r="GW277" s="327"/>
      <c r="GX277" s="327"/>
      <c r="GY277" s="327"/>
      <c r="GZ277" s="327"/>
      <c r="HA277" s="327"/>
      <c r="HB277" s="327"/>
      <c r="HC277" s="327"/>
      <c r="HD277" s="327"/>
      <c r="HE277" s="327"/>
      <c r="HF277" s="327"/>
      <c r="HG277" s="327"/>
      <c r="HH277" s="327"/>
      <c r="HI277" s="327"/>
      <c r="HJ277" s="327"/>
      <c r="HK277" s="327"/>
      <c r="HL277" s="327"/>
      <c r="HM277" s="327"/>
      <c r="HN277" s="327"/>
      <c r="HO277" s="327"/>
      <c r="HP277" s="327"/>
      <c r="HQ277" s="327"/>
      <c r="HR277" s="327"/>
      <c r="HS277" s="327"/>
    </row>
    <row r="278" spans="1:227" ht="15" customHeight="1">
      <c r="A278" s="330">
        <v>12</v>
      </c>
      <c r="B278" s="435" t="str">
        <f>VLOOKUP(Ruimtestaat[[#This Row],[Code]],Locaties[[Code]:[Locatie]],2,FALSE)</f>
        <v>IKC De Leerplaneet Loc. 2 (vh 't Plankier)</v>
      </c>
      <c r="C278" s="435" t="str">
        <f>VLOOKUP(Ruimtestaat[[#This Row],[Code]],Locaties[[#All],[Code]:[Adres]],4,FALSE)</f>
        <v>Wedekindzijde 1-3</v>
      </c>
      <c r="D278" s="435" t="str">
        <f>VLOOKUP(Ruimtestaat[[#This Row],[Code]],Locaties[[#All],[Code]:[Postcode]],5,FALSE)</f>
        <v>2725 PG</v>
      </c>
      <c r="E278" s="435" t="str">
        <f>VLOOKUP(Ruimtestaat[[#This Row],[Code]],Locaties[#All],6,FALSE)</f>
        <v>Zoetermeer</v>
      </c>
      <c r="F278" s="450"/>
      <c r="G278" s="330" t="s">
        <v>1678</v>
      </c>
      <c r="H278" s="330" t="s">
        <v>1762</v>
      </c>
      <c r="I278" s="450" t="s">
        <v>1679</v>
      </c>
      <c r="J278" s="330">
        <v>16</v>
      </c>
      <c r="K278" s="450" t="str">
        <f>VLOOKUP(Ruimtestaat[[#This Row],[Ruimte code]],Ruimtegroepen[[#All],[Code]:[Ruimte omschrijving]],2,FALSE)</f>
        <v>Leslokalen</v>
      </c>
      <c r="L278" s="434" t="s">
        <v>100</v>
      </c>
      <c r="M278" s="437" t="s">
        <v>1759</v>
      </c>
      <c r="N278" s="439">
        <v>8</v>
      </c>
      <c r="O278" s="439"/>
      <c r="P278" s="439"/>
      <c r="Q278" s="439"/>
      <c r="R278" s="440" t="str">
        <f>VLOOKUP(Ruimtestaat[[#This Row],[Ruimte code]],Ruimtegroepen[],4,FALSE)</f>
        <v>Le</v>
      </c>
      <c r="S278" s="434">
        <v>40</v>
      </c>
      <c r="T278" s="434" t="s">
        <v>2</v>
      </c>
      <c r="U278" s="434">
        <f>IF(S278&gt;0,IF(RIGHT(Ruimtestaat[[#This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8" s="434">
        <f>IF(U278&gt;0,VLOOKUP($J278,Ruimtegroepen[],3,FALSE)*VLOOKUP($L278,Vloersoorten[],3,FALSE)*VLOOKUP($T278,Frequenties[],3,FALSE)*VLOOKUP($A278,Locaties[],3,FALSE),0)</f>
        <v>0</v>
      </c>
      <c r="W278" s="434">
        <f>Ruimtestaat[[#This Row],[Uitvoeringen werkdagen]]*Ruimtestaat[[#This Row],[Oppervlak (netto)]]</f>
        <v>1600</v>
      </c>
      <c r="X278" s="441">
        <f>IF(V278&gt;0,Ruimtestaat[[#This Row],[Prest. (m2 /jaar) werkdagen]]/Ruimtestaat[[#This Row],[Norm (m2/uur) werkdagen]],0)</f>
        <v>0</v>
      </c>
      <c r="Y278" s="442">
        <f>Ruimtestaat[[#This Row],[Uitvoeringen werkdagen]]*Ruimtestaat[[#This Row],[Gedeeltelijk]]</f>
        <v>0</v>
      </c>
      <c r="Z278" s="443" t="e">
        <f>IF(U278&gt;0,Ruimtestaat[[#This Row],[Prest. (m2 / jaar) werkdagen gedeeld]]/Ruimtestaat[[#This Row],[Norm (m2/uur) werkdagen]],0)</f>
        <v>#DIV/0!</v>
      </c>
      <c r="AA278" s="441" t="e">
        <f>Ruimtestaat[[#This Row],[uren / jaar werkdagen gedeeld]]*Tariefsopbouw!$E$35</f>
        <v>#DIV/0!</v>
      </c>
      <c r="AB278" s="441">
        <f>Ruimtestaat[[#This Row],[Uitvoeringen werkdagen]]*Ruimtestaat[[#This Row],[BSO]]</f>
        <v>0</v>
      </c>
      <c r="AC278" s="443" t="e">
        <f>IF(U278&gt;0,Ruimtestaat[[#This Row],[Prest. (m2 / jaar) werkdagen BSO]]/Ruimtestaat[[#This Row],[Norm (m2/uur) werkdagen]],0)</f>
        <v>#DIV/0!</v>
      </c>
      <c r="AD278" s="443" t="e">
        <f>Ruimtestaat[[#This Row],[uren / jaar werkdagen BSO]]*Tariefsopbouw!$E$35</f>
        <v>#DIV/0!</v>
      </c>
      <c r="AE278" s="444">
        <f>Ruimtestaat[[#This Row],[uren / jaar werkdagen]]*Tariefsopbouw!$E$35</f>
        <v>0</v>
      </c>
      <c r="AF278" s="434"/>
      <c r="AG278" s="434">
        <f>IF(Ruimtestaat[[#This Row],[Frequentie weekend]]&gt;0,VALUE(LEFT(AF278,1))*S278,0)</f>
        <v>0</v>
      </c>
      <c r="AH278" s="445">
        <f>IF($AG278&gt;0,VLOOKUP($J278,Ruimtegroepen[],3,FALSE)*VLOOKUP($L278,Vloersoorten[],3,FALSE)*VLOOKUP($AF278,Frequenties[],3,FALSE)*VLOOKUP(Ruimtestaat[[#This Row],[Code]],Locaties[],3,FALSE),0)</f>
        <v>0</v>
      </c>
      <c r="AI278" s="445">
        <f>Ruimtestaat[[#This Row],[Uitvoeringen weekend]]*Ruimtestaat[[#This Row],[Oppervlak (netto)]]</f>
        <v>0</v>
      </c>
      <c r="AJ278" s="445">
        <f>IF(AH278&gt;0,Ruimtestaat[[#This Row],[Prest. (m2 /jaar) weekend]]/Ruimtestaat[[#This Row],[Norm (m2/uur) weekend]],0)</f>
        <v>0</v>
      </c>
      <c r="AK278" s="444">
        <f>Ruimtestaat[[#This Row],[uren / jaar weekend]]*Tariefsopbouw!$D$40</f>
        <v>0</v>
      </c>
      <c r="AL278" s="441">
        <f>Ruimtestaat[[#This Row],[Prest. (m2 /jaar) weekend]]+Ruimtestaat[[#This Row],[Prest. (m2 /jaar) werkdagen]]</f>
        <v>1600</v>
      </c>
      <c r="AM278" s="441">
        <f>Ruimtestaat[[#This Row],[uren / jaar weekend]]+Ruimtestaat[[#This Row],[uren / jaar werkdagen]]</f>
        <v>0</v>
      </c>
      <c r="AN278" s="446">
        <f>Ruimtestaat[[#This Row],[kosten / jaar weekend]]+Ruimtestaat[[#This Row],[kosten / jaar werkdagen]]</f>
        <v>0</v>
      </c>
      <c r="AO278" s="446"/>
      <c r="AP278" s="447" t="str">
        <f>IF(Ruimtestaat[[#This Row],[Frequentie werkdagen]]="","",_xlfn.CONCAT(Ruimtestaat[[#This Row],[Ruimte code]],"-",Ruimtestaat[[#This Row],[Frequentie werkdagen]]," ",Ruimtestaat[[#This Row],[Vloer code]]))</f>
        <v>16-5w L</v>
      </c>
      <c r="AQ278" s="448" t="str">
        <f>_xlfn.IFNA(VLOOKUP($AP278,Programma!$F$3:$G$1101,2,0),"")</f>
        <v>_</v>
      </c>
      <c r="AR278" s="448" t="str">
        <f>_xlfn.IFNA(VLOOKUP($AP278,Programma!$F$3:$H$1101,3,0),"")</f>
        <v>_</v>
      </c>
      <c r="AS278" s="448" t="str">
        <f>_xlfn.IFNA(VLOOKUP($AP278,Programma!$F$3:$I$1101,4,0),"")</f>
        <v>4w</v>
      </c>
      <c r="AT278" s="448" t="str">
        <f>_xlfn.IFNA(VLOOKUP($AP278,Programma!$F$3:$J$1101,5,0),"")</f>
        <v>1w</v>
      </c>
      <c r="AU278" s="448" t="str">
        <f>_xlfn.IFNA(VLOOKUP($AP278,Programma!$F$3:$K$1101,6,0),"")</f>
        <v>_</v>
      </c>
      <c r="AV278" s="448" t="str">
        <f>_xlfn.IFNA(VLOOKUP($AP278,Programma!$F$3:$L$1101,7,0),"")</f>
        <v>_</v>
      </c>
      <c r="AW278" s="448" t="str">
        <f>_xlfn.IFNA(VLOOKUP($AP278,Programma!$F$3:$M$1101,8,0),"")</f>
        <v>_</v>
      </c>
      <c r="AX278" s="448" t="str">
        <f>_xlfn.IFNA(VLOOKUP($AP278,Programma!$F$3:$N$1101,9,0),"")</f>
        <v>_</v>
      </c>
      <c r="AY278" s="448" t="str">
        <f>_xlfn.IFNA(VLOOKUP($AP278,Programma!$F$3:$O$1101,10,0),"")</f>
        <v>5w</v>
      </c>
      <c r="AZ278" s="448" t="str">
        <f>_xlfn.IFNA(VLOOKUP($AP278,Programma!$F$3:$P$1101,11,0),"")</f>
        <v>5w</v>
      </c>
      <c r="BA278" s="448" t="str">
        <f>_xlfn.IFNA(VLOOKUP($AP278,Programma!$F$3:$Q$1101,12,0),"")</f>
        <v>1w</v>
      </c>
      <c r="BB278" s="448" t="str">
        <f>_xlfn.IFNA(VLOOKUP($AP278,Programma!$F$3:$R$1101,13,0),"")</f>
        <v>1w</v>
      </c>
      <c r="BC278" s="448" t="str">
        <f>_xlfn.IFNA(VLOOKUP($AP278,Programma!$F$3:$S$1101,14,0),"")</f>
        <v>1m</v>
      </c>
      <c r="BD278" s="448" t="str">
        <f>_xlfn.IFNA(VLOOKUP($AP278,Programma!$F$3:$T$1101,15,0),"")</f>
        <v>2j</v>
      </c>
      <c r="BE278" s="448" t="str">
        <f>_xlfn.IFNA(VLOOKUP($AP278,Programma!$F$3:$U$1101,16,0),"")</f>
        <v>1j</v>
      </c>
      <c r="BF278" s="448" t="str">
        <f>_xlfn.IFNA(VLOOKUP($AP278,Programma!$F$3:$V$1101,17,0),"")</f>
        <v>_</v>
      </c>
      <c r="BG278" s="448" t="str">
        <f>_xlfn.IFNA(VLOOKUP($AP278,Programma!$F$3:$W$1101,18,0),"")</f>
        <v>_</v>
      </c>
      <c r="BH278" s="448" t="str">
        <f>_xlfn.IFNA(VLOOKUP($AP278,Programma!$F$3:$X$1101,19,0),"")</f>
        <v>_</v>
      </c>
      <c r="BI278" s="448" t="str">
        <f>_xlfn.IFNA(VLOOKUP($AP278,Programma!$F$3:$Y$1101,20,0),"")</f>
        <v>_</v>
      </c>
      <c r="BJ278" s="449"/>
      <c r="BK278" s="447" t="str">
        <f>IF(Ruimtestaat[[#This Row],[Frequentie weekend]]="","",_xlfn.CONCAT(Ruimtestaat[[#This Row],[Ruimte code]],"-",Ruimtestaat[[#This Row],[Frequentie weekend]]," ",Ruimtestaat[[#This Row],[Vloer code]]))</f>
        <v/>
      </c>
      <c r="BL278" s="448" t="str">
        <f>_xlfn.IFNA(VLOOKUP($BK278,Programma!$F$3:$G$1101,2,0),"")</f>
        <v/>
      </c>
      <c r="BM278" s="448" t="str">
        <f>_xlfn.IFNA(VLOOKUP($BK278,Programma!$F$3:$H$1101,3,0),"")</f>
        <v/>
      </c>
      <c r="BN278" s="448" t="str">
        <f>_xlfn.IFNA(VLOOKUP($BK278,Programma!$F$3:$I$1101,4,0),"")</f>
        <v/>
      </c>
      <c r="BO278" s="448" t="str">
        <f>_xlfn.IFNA(VLOOKUP($BK278,Programma!$F$3:$J$1101,5,0),"")</f>
        <v/>
      </c>
      <c r="BP278" s="448" t="str">
        <f>_xlfn.IFNA(VLOOKUP($BK278,Programma!$F$3:$K$1101,6,0),"")</f>
        <v/>
      </c>
      <c r="BQ278" s="448" t="str">
        <f>_xlfn.IFNA(VLOOKUP($BK278,Programma!$F$3:$L$1101,7,0),"")</f>
        <v/>
      </c>
      <c r="BR278" s="448" t="str">
        <f>_xlfn.IFNA(VLOOKUP($BK278,Programma!$F$3:$M$1101,8,0),"")</f>
        <v/>
      </c>
      <c r="BS278" s="448" t="str">
        <f>_xlfn.IFNA(VLOOKUP($BK278,Programma!$F$3:$N$1101,9,0),"")</f>
        <v/>
      </c>
      <c r="BT278" s="448" t="str">
        <f>_xlfn.IFNA(VLOOKUP($BK278,Programma!$F$3:$O$1101,10,0),"")</f>
        <v/>
      </c>
      <c r="BU278" s="448" t="str">
        <f>_xlfn.IFNA(VLOOKUP($BK278,Programma!$F$3:$P$1101,11,0),"")</f>
        <v/>
      </c>
      <c r="BV278" s="448" t="str">
        <f>_xlfn.IFNA(VLOOKUP($BK278,Programma!$F$3:$Q$1101,12,0),"")</f>
        <v/>
      </c>
      <c r="BW278" s="448" t="str">
        <f>_xlfn.IFNA(VLOOKUP($BK278,Programma!$F$3:$R$1101,13,0),"")</f>
        <v/>
      </c>
      <c r="BX278" s="448" t="str">
        <f>_xlfn.IFNA(VLOOKUP($BK278,Programma!$F$3:$S$1101,14,0),"")</f>
        <v/>
      </c>
      <c r="BY278" s="448" t="str">
        <f>_xlfn.IFNA(VLOOKUP($BK278,Programma!$F$3:$T$1101,15,0),"")</f>
        <v/>
      </c>
      <c r="BZ278" s="448" t="str">
        <f>_xlfn.IFNA(VLOOKUP($BK278,Programma!$F$3:$U$1101,16,0),"")</f>
        <v/>
      </c>
      <c r="CA278" s="448" t="str">
        <f>_xlfn.IFNA(VLOOKUP($BK278,Programma!$F$3:$V$1101,17,0),"")</f>
        <v/>
      </c>
      <c r="CB278" s="448" t="str">
        <f>_xlfn.IFNA(VLOOKUP($BK278,Programma!$F$3:$W$1101,18,0),"")</f>
        <v/>
      </c>
      <c r="CC278" s="448" t="str">
        <f>_xlfn.IFNA(VLOOKUP($BK278,Programma!$F$3:$X$1101,19,0),"")</f>
        <v/>
      </c>
      <c r="CD278" s="448" t="str">
        <f>_xlfn.IFNA(VLOOKUP($BK278,Programma!$F$3:$Y$1101,20,0),"")</f>
        <v/>
      </c>
      <c r="CE278" s="327"/>
      <c r="CF278" s="327"/>
      <c r="CG278" s="327"/>
      <c r="CH278" s="327"/>
      <c r="CI278" s="327"/>
      <c r="CJ278" s="327"/>
      <c r="CK278" s="327"/>
      <c r="CL278" s="327"/>
      <c r="CM278" s="327"/>
      <c r="CN278" s="327"/>
      <c r="CO278" s="327"/>
      <c r="CP278" s="327"/>
      <c r="CQ278" s="327"/>
      <c r="CR278" s="327"/>
      <c r="CS278" s="327"/>
      <c r="CT278" s="327"/>
      <c r="CU278" s="327"/>
      <c r="CV278" s="327"/>
      <c r="CW278" s="327"/>
      <c r="CX278" s="327"/>
      <c r="CY278" s="327"/>
      <c r="CZ278" s="327"/>
      <c r="DA278" s="327"/>
      <c r="DB278" s="327"/>
      <c r="DC278" s="327"/>
      <c r="DD278" s="327"/>
      <c r="DE278" s="327"/>
      <c r="DF278" s="327"/>
      <c r="DG278" s="327"/>
      <c r="DH278" s="327"/>
      <c r="DI278" s="327"/>
      <c r="DJ278" s="327"/>
      <c r="DK278" s="327"/>
      <c r="DL278" s="327"/>
      <c r="DM278" s="327"/>
      <c r="DN278" s="327"/>
      <c r="DO278" s="327"/>
      <c r="DP278" s="327"/>
      <c r="DQ278" s="327"/>
      <c r="DR278" s="327"/>
      <c r="DS278" s="327"/>
      <c r="DT278" s="327"/>
      <c r="DU278" s="327"/>
      <c r="DV278" s="327"/>
      <c r="DW278" s="327"/>
      <c r="DX278" s="327"/>
      <c r="DY278" s="327"/>
      <c r="DZ278" s="327"/>
      <c r="EA278" s="327"/>
      <c r="EB278" s="327"/>
      <c r="EC278" s="327"/>
      <c r="ED278" s="327"/>
      <c r="EE278" s="327"/>
      <c r="EF278" s="327"/>
      <c r="EG278" s="327"/>
      <c r="EH278" s="327"/>
      <c r="EI278" s="327"/>
      <c r="EJ278" s="327"/>
      <c r="EK278" s="327"/>
      <c r="EL278" s="327"/>
      <c r="EM278" s="327"/>
      <c r="EN278" s="327"/>
      <c r="EO278" s="327"/>
      <c r="EP278" s="327"/>
      <c r="EQ278" s="327"/>
      <c r="ER278" s="327"/>
      <c r="ES278" s="327"/>
      <c r="ET278" s="327"/>
      <c r="EU278" s="327"/>
      <c r="EV278" s="327"/>
      <c r="EW278" s="327"/>
      <c r="EX278" s="327"/>
      <c r="EY278" s="327"/>
      <c r="EZ278" s="327"/>
      <c r="FA278" s="327"/>
      <c r="FB278" s="327"/>
      <c r="FC278" s="327"/>
      <c r="FD278" s="327"/>
      <c r="FE278" s="327"/>
      <c r="FF278" s="327"/>
      <c r="FG278" s="327"/>
      <c r="FH278" s="327"/>
      <c r="FI278" s="327"/>
      <c r="FJ278" s="327"/>
      <c r="FK278" s="327"/>
      <c r="FL278" s="327"/>
      <c r="FM278" s="327"/>
      <c r="FN278" s="327"/>
      <c r="FO278" s="327"/>
      <c r="FP278" s="327"/>
      <c r="FQ278" s="327"/>
      <c r="FR278" s="327"/>
      <c r="FS278" s="327"/>
      <c r="FT278" s="327"/>
      <c r="FU278" s="327"/>
      <c r="FV278" s="327"/>
      <c r="FW278" s="327"/>
      <c r="FX278" s="327"/>
      <c r="FY278" s="327"/>
      <c r="FZ278" s="327"/>
      <c r="GA278" s="327"/>
      <c r="GB278" s="327"/>
      <c r="GC278" s="327"/>
      <c r="GD278" s="327"/>
      <c r="GE278" s="327"/>
      <c r="GF278" s="327"/>
      <c r="GG278" s="327"/>
      <c r="GH278" s="327"/>
      <c r="GI278" s="327"/>
      <c r="GJ278" s="327"/>
      <c r="GK278" s="327"/>
      <c r="GL278" s="327"/>
      <c r="GM278" s="327"/>
      <c r="GN278" s="327"/>
      <c r="GO278" s="327"/>
      <c r="GP278" s="327"/>
      <c r="GQ278" s="327"/>
      <c r="GR278" s="327"/>
      <c r="GS278" s="327"/>
      <c r="GT278" s="327"/>
      <c r="GU278" s="327"/>
      <c r="GV278" s="327"/>
      <c r="GW278" s="327"/>
      <c r="GX278" s="327"/>
      <c r="GY278" s="327"/>
      <c r="GZ278" s="327"/>
      <c r="HA278" s="327"/>
      <c r="HB278" s="327"/>
      <c r="HC278" s="327"/>
      <c r="HD278" s="327"/>
      <c r="HE278" s="327"/>
      <c r="HF278" s="327"/>
      <c r="HG278" s="327"/>
      <c r="HH278" s="327"/>
      <c r="HI278" s="327"/>
      <c r="HJ278" s="327"/>
      <c r="HK278" s="327"/>
      <c r="HL278" s="327"/>
      <c r="HM278" s="327"/>
      <c r="HN278" s="327"/>
      <c r="HO278" s="327"/>
      <c r="HP278" s="327"/>
      <c r="HQ278" s="327"/>
      <c r="HR278" s="327"/>
      <c r="HS278" s="327"/>
    </row>
    <row r="279" spans="1:227" ht="15" customHeight="1">
      <c r="A279" s="330">
        <v>12</v>
      </c>
      <c r="B279" s="435" t="str">
        <f>VLOOKUP(Ruimtestaat[[#This Row],[Code]],Locaties[[Code]:[Locatie]],2,FALSE)</f>
        <v>IKC De Leerplaneet Loc. 2 (vh 't Plankier)</v>
      </c>
      <c r="C279" s="435" t="str">
        <f>VLOOKUP(Ruimtestaat[[#This Row],[Code]],Locaties[[#All],[Code]:[Adres]],4,FALSE)</f>
        <v>Wedekindzijde 1-3</v>
      </c>
      <c r="D279" s="435" t="str">
        <f>VLOOKUP(Ruimtestaat[[#This Row],[Code]],Locaties[[#All],[Code]:[Postcode]],5,FALSE)</f>
        <v>2725 PG</v>
      </c>
      <c r="E279" s="435" t="str">
        <f>VLOOKUP(Ruimtestaat[[#This Row],[Code]],Locaties[#All],6,FALSE)</f>
        <v>Zoetermeer</v>
      </c>
      <c r="F279" s="450"/>
      <c r="G279" s="330" t="s">
        <v>1678</v>
      </c>
      <c r="H279" s="330" t="s">
        <v>1763</v>
      </c>
      <c r="I279" s="450" t="s">
        <v>1825</v>
      </c>
      <c r="J279" s="330">
        <v>6</v>
      </c>
      <c r="K279" s="450" t="str">
        <f>VLOOKUP(Ruimtestaat[[#This Row],[Ruimte code]],Ruimtegroepen[[#All],[Code]:[Ruimte omschrijving]],2,FALSE)</f>
        <v>Gangen/hallen</v>
      </c>
      <c r="L279" s="434" t="s">
        <v>100</v>
      </c>
      <c r="M279" s="437" t="s">
        <v>1759</v>
      </c>
      <c r="N279" s="439">
        <v>87</v>
      </c>
      <c r="O279" s="439"/>
      <c r="P279" s="439"/>
      <c r="Q279" s="439"/>
      <c r="R279" s="440" t="str">
        <f>VLOOKUP(Ruimtestaat[[#This Row],[Ruimte code]],Ruimtegroepen[],4,FALSE)</f>
        <v>Ve</v>
      </c>
      <c r="S279" s="434">
        <v>41</v>
      </c>
      <c r="T279" s="434" t="s">
        <v>2</v>
      </c>
      <c r="U279" s="434">
        <f>IF(S279&gt;0,IF(RIGHT(Ruimtestaat[[#This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79" s="434">
        <f>IF(U279&gt;0,VLOOKUP($J279,Ruimtegroepen[],3,FALSE)*VLOOKUP($L279,Vloersoorten[],3,FALSE)*VLOOKUP($T279,Frequenties[],3,FALSE)*VLOOKUP($A279,Locaties[],3,FALSE),0)</f>
        <v>0</v>
      </c>
      <c r="W279" s="434">
        <f>Ruimtestaat[[#This Row],[Uitvoeringen werkdagen]]*Ruimtestaat[[#This Row],[Oppervlak (netto)]]</f>
        <v>17835</v>
      </c>
      <c r="X279" s="441">
        <f>IF(V279&gt;0,Ruimtestaat[[#This Row],[Prest. (m2 /jaar) werkdagen]]/Ruimtestaat[[#This Row],[Norm (m2/uur) werkdagen]],0)</f>
        <v>0</v>
      </c>
      <c r="Y279" s="442">
        <f>Ruimtestaat[[#This Row],[Uitvoeringen werkdagen]]*Ruimtestaat[[#This Row],[Gedeeltelijk]]</f>
        <v>0</v>
      </c>
      <c r="Z279" s="443" t="e">
        <f>IF(U279&gt;0,Ruimtestaat[[#This Row],[Prest. (m2 / jaar) werkdagen gedeeld]]/Ruimtestaat[[#This Row],[Norm (m2/uur) werkdagen]],0)</f>
        <v>#DIV/0!</v>
      </c>
      <c r="AA279" s="441" t="e">
        <f>Ruimtestaat[[#This Row],[uren / jaar werkdagen gedeeld]]*Tariefsopbouw!$E$35</f>
        <v>#DIV/0!</v>
      </c>
      <c r="AB279" s="441">
        <f>Ruimtestaat[[#This Row],[Uitvoeringen werkdagen]]*Ruimtestaat[[#This Row],[BSO]]</f>
        <v>0</v>
      </c>
      <c r="AC279" s="443" t="e">
        <f>IF(U279&gt;0,Ruimtestaat[[#This Row],[Prest. (m2 / jaar) werkdagen BSO]]/Ruimtestaat[[#This Row],[Norm (m2/uur) werkdagen]],0)</f>
        <v>#DIV/0!</v>
      </c>
      <c r="AD279" s="443" t="e">
        <f>Ruimtestaat[[#This Row],[uren / jaar werkdagen BSO]]*Tariefsopbouw!$E$35</f>
        <v>#DIV/0!</v>
      </c>
      <c r="AE279" s="444">
        <f>Ruimtestaat[[#This Row],[uren / jaar werkdagen]]*Tariefsopbouw!$E$35</f>
        <v>0</v>
      </c>
      <c r="AF279" s="434"/>
      <c r="AG279" s="434">
        <f>IF(Ruimtestaat[[#This Row],[Frequentie weekend]]&gt;0,VALUE(LEFT(AF279,1))*S279,0)</f>
        <v>0</v>
      </c>
      <c r="AH279" s="445">
        <f>IF($AG279&gt;0,VLOOKUP($J279,Ruimtegroepen[],3,FALSE)*VLOOKUP($L279,Vloersoorten[],3,FALSE)*VLOOKUP($AF279,Frequenties[],3,FALSE)*VLOOKUP(Ruimtestaat[[#This Row],[Code]],Locaties[],3,FALSE),0)</f>
        <v>0</v>
      </c>
      <c r="AI279" s="445">
        <f>Ruimtestaat[[#This Row],[Uitvoeringen weekend]]*Ruimtestaat[[#This Row],[Oppervlak (netto)]]</f>
        <v>0</v>
      </c>
      <c r="AJ279" s="445">
        <f>IF(AH279&gt;0,Ruimtestaat[[#This Row],[Prest. (m2 /jaar) weekend]]/Ruimtestaat[[#This Row],[Norm (m2/uur) weekend]],0)</f>
        <v>0</v>
      </c>
      <c r="AK279" s="444">
        <f>Ruimtestaat[[#This Row],[uren / jaar weekend]]*Tariefsopbouw!$D$40</f>
        <v>0</v>
      </c>
      <c r="AL279" s="441">
        <f>Ruimtestaat[[#This Row],[Prest. (m2 /jaar) weekend]]+Ruimtestaat[[#This Row],[Prest. (m2 /jaar) werkdagen]]</f>
        <v>17835</v>
      </c>
      <c r="AM279" s="441">
        <f>Ruimtestaat[[#This Row],[uren / jaar weekend]]+Ruimtestaat[[#This Row],[uren / jaar werkdagen]]</f>
        <v>0</v>
      </c>
      <c r="AN279" s="446">
        <f>Ruimtestaat[[#This Row],[kosten / jaar weekend]]+Ruimtestaat[[#This Row],[kosten / jaar werkdagen]]</f>
        <v>0</v>
      </c>
      <c r="AO279" s="446"/>
      <c r="AP279" s="447" t="str">
        <f>IF(Ruimtestaat[[#This Row],[Frequentie werkdagen]]="","",_xlfn.CONCAT(Ruimtestaat[[#This Row],[Ruimte code]],"-",Ruimtestaat[[#This Row],[Frequentie werkdagen]]," ",Ruimtestaat[[#This Row],[Vloer code]]))</f>
        <v>6-5w L</v>
      </c>
      <c r="AQ279" s="448" t="str">
        <f>_xlfn.IFNA(VLOOKUP($AP279,Programma!$F$3:$G$1101,2,0),"")</f>
        <v>_</v>
      </c>
      <c r="AR279" s="448" t="str">
        <f>_xlfn.IFNA(VLOOKUP($AP279,Programma!$F$3:$H$1101,3,0),"")</f>
        <v>_</v>
      </c>
      <c r="AS279" s="448" t="str">
        <f>_xlfn.IFNA(VLOOKUP($AP279,Programma!$F$3:$I$1101,4,0),"")</f>
        <v>_</v>
      </c>
      <c r="AT279" s="448" t="str">
        <f>_xlfn.IFNA(VLOOKUP($AP279,Programma!$F$3:$J$1101,5,0),"")</f>
        <v>5w</v>
      </c>
      <c r="AU279" s="448" t="str">
        <f>_xlfn.IFNA(VLOOKUP($AP279,Programma!$F$3:$K$1101,6,0),"")</f>
        <v>_</v>
      </c>
      <c r="AV279" s="448" t="str">
        <f>_xlfn.IFNA(VLOOKUP($AP279,Programma!$F$3:$L$1101,7,0),"")</f>
        <v>_</v>
      </c>
      <c r="AW279" s="448" t="str">
        <f>_xlfn.IFNA(VLOOKUP($AP279,Programma!$F$3:$M$1101,8,0),"")</f>
        <v>_</v>
      </c>
      <c r="AX279" s="448" t="str">
        <f>_xlfn.IFNA(VLOOKUP($AP279,Programma!$F$3:$N$1101,9,0),"")</f>
        <v>_</v>
      </c>
      <c r="AY279" s="448" t="str">
        <f>_xlfn.IFNA(VLOOKUP($AP279,Programma!$F$3:$O$1101,10,0),"")</f>
        <v>5w</v>
      </c>
      <c r="AZ279" s="448" t="str">
        <f>_xlfn.IFNA(VLOOKUP($AP279,Programma!$F$3:$P$1101,11,0),"")</f>
        <v>5w</v>
      </c>
      <c r="BA279" s="448" t="str">
        <f>_xlfn.IFNA(VLOOKUP($AP279,Programma!$F$3:$Q$1101,12,0),"")</f>
        <v>1w</v>
      </c>
      <c r="BB279" s="448" t="str">
        <f>_xlfn.IFNA(VLOOKUP($AP279,Programma!$F$3:$R$1101,13,0),"")</f>
        <v>1w</v>
      </c>
      <c r="BC279" s="448" t="str">
        <f>_xlfn.IFNA(VLOOKUP($AP279,Programma!$F$3:$S$1101,14,0),"")</f>
        <v>1m</v>
      </c>
      <c r="BD279" s="448" t="str">
        <f>_xlfn.IFNA(VLOOKUP($AP279,Programma!$F$3:$T$1101,15,0),"")</f>
        <v>2j</v>
      </c>
      <c r="BE279" s="448" t="str">
        <f>_xlfn.IFNA(VLOOKUP($AP279,Programma!$F$3:$U$1101,16,0),"")</f>
        <v>1j</v>
      </c>
      <c r="BF279" s="448" t="str">
        <f>_xlfn.IFNA(VLOOKUP($AP279,Programma!$F$3:$V$1101,17,0),"")</f>
        <v>_</v>
      </c>
      <c r="BG279" s="448" t="str">
        <f>_xlfn.IFNA(VLOOKUP($AP279,Programma!$F$3:$W$1101,18,0),"")</f>
        <v>_</v>
      </c>
      <c r="BH279" s="448" t="str">
        <f>_xlfn.IFNA(VLOOKUP($AP279,Programma!$F$3:$X$1101,19,0),"")</f>
        <v>_</v>
      </c>
      <c r="BI279" s="448" t="str">
        <f>_xlfn.IFNA(VLOOKUP($AP279,Programma!$F$3:$Y$1101,20,0),"")</f>
        <v>_</v>
      </c>
      <c r="BJ279" s="449"/>
      <c r="BK279" s="447" t="str">
        <f>IF(Ruimtestaat[[#This Row],[Frequentie weekend]]="","",_xlfn.CONCAT(Ruimtestaat[[#This Row],[Ruimte code]],"-",Ruimtestaat[[#This Row],[Frequentie weekend]]," ",Ruimtestaat[[#This Row],[Vloer code]]))</f>
        <v/>
      </c>
      <c r="BL279" s="448" t="str">
        <f>_xlfn.IFNA(VLOOKUP($BK279,Programma!$F$3:$G$1101,2,0),"")</f>
        <v/>
      </c>
      <c r="BM279" s="448" t="str">
        <f>_xlfn.IFNA(VLOOKUP($BK279,Programma!$F$3:$H$1101,3,0),"")</f>
        <v/>
      </c>
      <c r="BN279" s="448" t="str">
        <f>_xlfn.IFNA(VLOOKUP($BK279,Programma!$F$3:$I$1101,4,0),"")</f>
        <v/>
      </c>
      <c r="BO279" s="448" t="str">
        <f>_xlfn.IFNA(VLOOKUP($BK279,Programma!$F$3:$J$1101,5,0),"")</f>
        <v/>
      </c>
      <c r="BP279" s="448" t="str">
        <f>_xlfn.IFNA(VLOOKUP($BK279,Programma!$F$3:$K$1101,6,0),"")</f>
        <v/>
      </c>
      <c r="BQ279" s="448" t="str">
        <f>_xlfn.IFNA(VLOOKUP($BK279,Programma!$F$3:$L$1101,7,0),"")</f>
        <v/>
      </c>
      <c r="BR279" s="448" t="str">
        <f>_xlfn.IFNA(VLOOKUP($BK279,Programma!$F$3:$M$1101,8,0),"")</f>
        <v/>
      </c>
      <c r="BS279" s="448" t="str">
        <f>_xlfn.IFNA(VLOOKUP($BK279,Programma!$F$3:$N$1101,9,0),"")</f>
        <v/>
      </c>
      <c r="BT279" s="448" t="str">
        <f>_xlfn.IFNA(VLOOKUP($BK279,Programma!$F$3:$O$1101,10,0),"")</f>
        <v/>
      </c>
      <c r="BU279" s="448" t="str">
        <f>_xlfn.IFNA(VLOOKUP($BK279,Programma!$F$3:$P$1101,11,0),"")</f>
        <v/>
      </c>
      <c r="BV279" s="448" t="str">
        <f>_xlfn.IFNA(VLOOKUP($BK279,Programma!$F$3:$Q$1101,12,0),"")</f>
        <v/>
      </c>
      <c r="BW279" s="448" t="str">
        <f>_xlfn.IFNA(VLOOKUP($BK279,Programma!$F$3:$R$1101,13,0),"")</f>
        <v/>
      </c>
      <c r="BX279" s="448" t="str">
        <f>_xlfn.IFNA(VLOOKUP($BK279,Programma!$F$3:$S$1101,14,0),"")</f>
        <v/>
      </c>
      <c r="BY279" s="448" t="str">
        <f>_xlfn.IFNA(VLOOKUP($BK279,Programma!$F$3:$T$1101,15,0),"")</f>
        <v/>
      </c>
      <c r="BZ279" s="448" t="str">
        <f>_xlfn.IFNA(VLOOKUP($BK279,Programma!$F$3:$U$1101,16,0),"")</f>
        <v/>
      </c>
      <c r="CA279" s="448" t="str">
        <f>_xlfn.IFNA(VLOOKUP($BK279,Programma!$F$3:$V$1101,17,0),"")</f>
        <v/>
      </c>
      <c r="CB279" s="448" t="str">
        <f>_xlfn.IFNA(VLOOKUP($BK279,Programma!$F$3:$W$1101,18,0),"")</f>
        <v/>
      </c>
      <c r="CC279" s="448" t="str">
        <f>_xlfn.IFNA(VLOOKUP($BK279,Programma!$F$3:$X$1101,19,0),"")</f>
        <v/>
      </c>
      <c r="CD279" s="448" t="str">
        <f>_xlfn.IFNA(VLOOKUP($BK279,Programma!$F$3:$Y$1101,20,0),"")</f>
        <v/>
      </c>
      <c r="CE279" s="327"/>
      <c r="CF279" s="327"/>
      <c r="CG279" s="327"/>
      <c r="CH279" s="327"/>
      <c r="CI279" s="327"/>
      <c r="CJ279" s="327"/>
      <c r="CK279" s="327"/>
      <c r="CL279" s="327"/>
      <c r="CM279" s="327"/>
      <c r="CN279" s="327"/>
      <c r="CO279" s="327"/>
      <c r="CP279" s="327"/>
      <c r="CQ279" s="327"/>
      <c r="CR279" s="327"/>
      <c r="CS279" s="327"/>
      <c r="CT279" s="327"/>
      <c r="CU279" s="327"/>
      <c r="CV279" s="327"/>
      <c r="CW279" s="327"/>
      <c r="CX279" s="327"/>
      <c r="CY279" s="327"/>
      <c r="CZ279" s="327"/>
      <c r="DA279" s="327"/>
      <c r="DB279" s="327"/>
      <c r="DC279" s="327"/>
      <c r="DD279" s="327"/>
      <c r="DE279" s="327"/>
      <c r="DF279" s="327"/>
      <c r="DG279" s="327"/>
      <c r="DH279" s="327"/>
      <c r="DI279" s="327"/>
      <c r="DJ279" s="327"/>
      <c r="DK279" s="327"/>
      <c r="DL279" s="327"/>
      <c r="DM279" s="327"/>
      <c r="DN279" s="327"/>
      <c r="DO279" s="327"/>
      <c r="DP279" s="327"/>
      <c r="DQ279" s="327"/>
      <c r="DR279" s="327"/>
      <c r="DS279" s="327"/>
      <c r="DT279" s="327"/>
      <c r="DU279" s="327"/>
      <c r="DV279" s="327"/>
      <c r="DW279" s="327"/>
      <c r="DX279" s="327"/>
      <c r="DY279" s="327"/>
      <c r="DZ279" s="327"/>
      <c r="EA279" s="327"/>
      <c r="EB279" s="327"/>
      <c r="EC279" s="327"/>
      <c r="ED279" s="327"/>
      <c r="EE279" s="327"/>
      <c r="EF279" s="327"/>
      <c r="EG279" s="327"/>
      <c r="EH279" s="327"/>
      <c r="EI279" s="327"/>
      <c r="EJ279" s="327"/>
      <c r="EK279" s="327"/>
      <c r="EL279" s="327"/>
      <c r="EM279" s="327"/>
      <c r="EN279" s="327"/>
      <c r="EO279" s="327"/>
      <c r="EP279" s="327"/>
      <c r="EQ279" s="327"/>
      <c r="ER279" s="327"/>
      <c r="ES279" s="327"/>
      <c r="ET279" s="327"/>
      <c r="EU279" s="327"/>
      <c r="EV279" s="327"/>
      <c r="EW279" s="327"/>
      <c r="EX279" s="327"/>
      <c r="EY279" s="327"/>
      <c r="EZ279" s="327"/>
      <c r="FA279" s="327"/>
      <c r="FB279" s="327"/>
      <c r="FC279" s="327"/>
      <c r="FD279" s="327"/>
      <c r="FE279" s="327"/>
      <c r="FF279" s="327"/>
      <c r="FG279" s="327"/>
      <c r="FH279" s="327"/>
      <c r="FI279" s="327"/>
      <c r="FJ279" s="327"/>
      <c r="FK279" s="327"/>
      <c r="FL279" s="327"/>
      <c r="FM279" s="327"/>
      <c r="FN279" s="327"/>
      <c r="FO279" s="327"/>
      <c r="FP279" s="327"/>
      <c r="FQ279" s="327"/>
      <c r="FR279" s="327"/>
      <c r="FS279" s="327"/>
      <c r="FT279" s="327"/>
      <c r="FU279" s="327"/>
      <c r="FV279" s="327"/>
      <c r="FW279" s="327"/>
      <c r="FX279" s="327"/>
      <c r="FY279" s="327"/>
      <c r="FZ279" s="327"/>
      <c r="GA279" s="327"/>
      <c r="GB279" s="327"/>
      <c r="GC279" s="327"/>
      <c r="GD279" s="327"/>
      <c r="GE279" s="327"/>
      <c r="GF279" s="327"/>
      <c r="GG279" s="327"/>
      <c r="GH279" s="327"/>
      <c r="GI279" s="327"/>
      <c r="GJ279" s="327"/>
      <c r="GK279" s="327"/>
      <c r="GL279" s="327"/>
      <c r="GM279" s="327"/>
      <c r="GN279" s="327"/>
      <c r="GO279" s="327"/>
      <c r="GP279" s="327"/>
      <c r="GQ279" s="327"/>
      <c r="GR279" s="327"/>
      <c r="GS279" s="327"/>
      <c r="GT279" s="327"/>
      <c r="GU279" s="327"/>
      <c r="GV279" s="327"/>
      <c r="GW279" s="327"/>
      <c r="GX279" s="327"/>
      <c r="GY279" s="327"/>
      <c r="GZ279" s="327"/>
      <c r="HA279" s="327"/>
      <c r="HB279" s="327"/>
      <c r="HC279" s="327"/>
      <c r="HD279" s="327"/>
      <c r="HE279" s="327"/>
      <c r="HF279" s="327"/>
      <c r="HG279" s="327"/>
      <c r="HH279" s="327"/>
      <c r="HI279" s="327"/>
      <c r="HJ279" s="327"/>
      <c r="HK279" s="327"/>
      <c r="HL279" s="327"/>
      <c r="HM279" s="327"/>
      <c r="HN279" s="327"/>
      <c r="HO279" s="327"/>
      <c r="HP279" s="327"/>
      <c r="HQ279" s="327"/>
      <c r="HR279" s="327"/>
      <c r="HS279" s="327"/>
    </row>
    <row r="280" spans="1:227" ht="15" customHeight="1">
      <c r="A280" s="330">
        <v>12</v>
      </c>
      <c r="B280" s="435" t="str">
        <f>VLOOKUP(Ruimtestaat[[#This Row],[Code]],Locaties[[Code]:[Locatie]],2,FALSE)</f>
        <v>IKC De Leerplaneet Loc. 2 (vh 't Plankier)</v>
      </c>
      <c r="C280" s="435" t="str">
        <f>VLOOKUP(Ruimtestaat[[#This Row],[Code]],Locaties[[#All],[Code]:[Adres]],4,FALSE)</f>
        <v>Wedekindzijde 1-3</v>
      </c>
      <c r="D280" s="435" t="str">
        <f>VLOOKUP(Ruimtestaat[[#This Row],[Code]],Locaties[[#All],[Code]:[Postcode]],5,FALSE)</f>
        <v>2725 PG</v>
      </c>
      <c r="E280" s="435" t="str">
        <f>VLOOKUP(Ruimtestaat[[#This Row],[Code]],Locaties[#All],6,FALSE)</f>
        <v>Zoetermeer</v>
      </c>
      <c r="F280" s="450"/>
      <c r="G280" s="330" t="s">
        <v>1678</v>
      </c>
      <c r="H280" s="330" t="s">
        <v>1764</v>
      </c>
      <c r="I280" s="450" t="s">
        <v>1826</v>
      </c>
      <c r="J280" s="330">
        <v>6</v>
      </c>
      <c r="K280" s="450" t="str">
        <f>VLOOKUP(Ruimtestaat[[#This Row],[Ruimte code]],Ruimtegroepen[[#All],[Code]:[Ruimte omschrijving]],2,FALSE)</f>
        <v>Gangen/hallen</v>
      </c>
      <c r="L280" s="434" t="s">
        <v>100</v>
      </c>
      <c r="M280" s="437" t="s">
        <v>1759</v>
      </c>
      <c r="N280" s="439">
        <v>235</v>
      </c>
      <c r="O280" s="439"/>
      <c r="P280" s="439"/>
      <c r="Q280" s="439"/>
      <c r="R280" s="440" t="str">
        <f>VLOOKUP(Ruimtestaat[[#This Row],[Ruimte code]],Ruimtegroepen[],4,FALSE)</f>
        <v>Ve</v>
      </c>
      <c r="S280" s="434">
        <v>41</v>
      </c>
      <c r="T280" s="434" t="s">
        <v>2</v>
      </c>
      <c r="U280" s="434">
        <f>IF(S280&gt;0,IF(RIGHT(Ruimtestaat[[#This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80" s="434">
        <f>IF(U280&gt;0,VLOOKUP($J280,Ruimtegroepen[],3,FALSE)*VLOOKUP($L280,Vloersoorten[],3,FALSE)*VLOOKUP($T280,Frequenties[],3,FALSE)*VLOOKUP($A280,Locaties[],3,FALSE),0)</f>
        <v>0</v>
      </c>
      <c r="W280" s="434">
        <f>Ruimtestaat[[#This Row],[Uitvoeringen werkdagen]]*Ruimtestaat[[#This Row],[Oppervlak (netto)]]</f>
        <v>48175</v>
      </c>
      <c r="X280" s="441">
        <f>IF(V280&gt;0,Ruimtestaat[[#This Row],[Prest. (m2 /jaar) werkdagen]]/Ruimtestaat[[#This Row],[Norm (m2/uur) werkdagen]],0)</f>
        <v>0</v>
      </c>
      <c r="Y280" s="442">
        <f>Ruimtestaat[[#This Row],[Uitvoeringen werkdagen]]*Ruimtestaat[[#This Row],[Gedeeltelijk]]</f>
        <v>0</v>
      </c>
      <c r="Z280" s="443" t="e">
        <f>IF(U280&gt;0,Ruimtestaat[[#This Row],[Prest. (m2 / jaar) werkdagen gedeeld]]/Ruimtestaat[[#This Row],[Norm (m2/uur) werkdagen]],0)</f>
        <v>#DIV/0!</v>
      </c>
      <c r="AA280" s="441" t="e">
        <f>Ruimtestaat[[#This Row],[uren / jaar werkdagen gedeeld]]*Tariefsopbouw!$E$35</f>
        <v>#DIV/0!</v>
      </c>
      <c r="AB280" s="441">
        <f>Ruimtestaat[[#This Row],[Uitvoeringen werkdagen]]*Ruimtestaat[[#This Row],[BSO]]</f>
        <v>0</v>
      </c>
      <c r="AC280" s="443" t="e">
        <f>IF(U280&gt;0,Ruimtestaat[[#This Row],[Prest. (m2 / jaar) werkdagen BSO]]/Ruimtestaat[[#This Row],[Norm (m2/uur) werkdagen]],0)</f>
        <v>#DIV/0!</v>
      </c>
      <c r="AD280" s="443" t="e">
        <f>Ruimtestaat[[#This Row],[uren / jaar werkdagen BSO]]*Tariefsopbouw!$E$35</f>
        <v>#DIV/0!</v>
      </c>
      <c r="AE280" s="444">
        <f>Ruimtestaat[[#This Row],[uren / jaar werkdagen]]*Tariefsopbouw!$E$35</f>
        <v>0</v>
      </c>
      <c r="AF280" s="434"/>
      <c r="AG280" s="434">
        <f>IF(Ruimtestaat[[#This Row],[Frequentie weekend]]&gt;0,VALUE(LEFT(AF280,1))*S280,0)</f>
        <v>0</v>
      </c>
      <c r="AH280" s="445">
        <f>IF($AG280&gt;0,VLOOKUP($J280,Ruimtegroepen[],3,FALSE)*VLOOKUP($L280,Vloersoorten[],3,FALSE)*VLOOKUP($AF280,Frequenties[],3,FALSE)*VLOOKUP(Ruimtestaat[[#This Row],[Code]],Locaties[],3,FALSE),0)</f>
        <v>0</v>
      </c>
      <c r="AI280" s="445">
        <f>Ruimtestaat[[#This Row],[Uitvoeringen weekend]]*Ruimtestaat[[#This Row],[Oppervlak (netto)]]</f>
        <v>0</v>
      </c>
      <c r="AJ280" s="445">
        <f>IF(AH280&gt;0,Ruimtestaat[[#This Row],[Prest. (m2 /jaar) weekend]]/Ruimtestaat[[#This Row],[Norm (m2/uur) weekend]],0)</f>
        <v>0</v>
      </c>
      <c r="AK280" s="444">
        <f>Ruimtestaat[[#This Row],[uren / jaar weekend]]*Tariefsopbouw!$D$40</f>
        <v>0</v>
      </c>
      <c r="AL280" s="441">
        <f>Ruimtestaat[[#This Row],[Prest. (m2 /jaar) weekend]]+Ruimtestaat[[#This Row],[Prest. (m2 /jaar) werkdagen]]</f>
        <v>48175</v>
      </c>
      <c r="AM280" s="441">
        <f>Ruimtestaat[[#This Row],[uren / jaar weekend]]+Ruimtestaat[[#This Row],[uren / jaar werkdagen]]</f>
        <v>0</v>
      </c>
      <c r="AN280" s="446">
        <f>Ruimtestaat[[#This Row],[kosten / jaar weekend]]+Ruimtestaat[[#This Row],[kosten / jaar werkdagen]]</f>
        <v>0</v>
      </c>
      <c r="AO280" s="446"/>
      <c r="AP280" s="447" t="str">
        <f>IF(Ruimtestaat[[#This Row],[Frequentie werkdagen]]="","",_xlfn.CONCAT(Ruimtestaat[[#This Row],[Ruimte code]],"-",Ruimtestaat[[#This Row],[Frequentie werkdagen]]," ",Ruimtestaat[[#This Row],[Vloer code]]))</f>
        <v>6-5w L</v>
      </c>
      <c r="AQ280" s="448" t="str">
        <f>_xlfn.IFNA(VLOOKUP($AP280,Programma!$F$3:$G$1101,2,0),"")</f>
        <v>_</v>
      </c>
      <c r="AR280" s="448" t="str">
        <f>_xlfn.IFNA(VLOOKUP($AP280,Programma!$F$3:$H$1101,3,0),"")</f>
        <v>_</v>
      </c>
      <c r="AS280" s="448" t="str">
        <f>_xlfn.IFNA(VLOOKUP($AP280,Programma!$F$3:$I$1101,4,0),"")</f>
        <v>_</v>
      </c>
      <c r="AT280" s="448" t="str">
        <f>_xlfn.IFNA(VLOOKUP($AP280,Programma!$F$3:$J$1101,5,0),"")</f>
        <v>5w</v>
      </c>
      <c r="AU280" s="448" t="str">
        <f>_xlfn.IFNA(VLOOKUP($AP280,Programma!$F$3:$K$1101,6,0),"")</f>
        <v>_</v>
      </c>
      <c r="AV280" s="448" t="str">
        <f>_xlfn.IFNA(VLOOKUP($AP280,Programma!$F$3:$L$1101,7,0),"")</f>
        <v>_</v>
      </c>
      <c r="AW280" s="448" t="str">
        <f>_xlfn.IFNA(VLOOKUP($AP280,Programma!$F$3:$M$1101,8,0),"")</f>
        <v>_</v>
      </c>
      <c r="AX280" s="448" t="str">
        <f>_xlfn.IFNA(VLOOKUP($AP280,Programma!$F$3:$N$1101,9,0),"")</f>
        <v>_</v>
      </c>
      <c r="AY280" s="448" t="str">
        <f>_xlfn.IFNA(VLOOKUP($AP280,Programma!$F$3:$O$1101,10,0),"")</f>
        <v>5w</v>
      </c>
      <c r="AZ280" s="448" t="str">
        <f>_xlfn.IFNA(VLOOKUP($AP280,Programma!$F$3:$P$1101,11,0),"")</f>
        <v>5w</v>
      </c>
      <c r="BA280" s="448" t="str">
        <f>_xlfn.IFNA(VLOOKUP($AP280,Programma!$F$3:$Q$1101,12,0),"")</f>
        <v>1w</v>
      </c>
      <c r="BB280" s="448" t="str">
        <f>_xlfn.IFNA(VLOOKUP($AP280,Programma!$F$3:$R$1101,13,0),"")</f>
        <v>1w</v>
      </c>
      <c r="BC280" s="448" t="str">
        <f>_xlfn.IFNA(VLOOKUP($AP280,Programma!$F$3:$S$1101,14,0),"")</f>
        <v>1m</v>
      </c>
      <c r="BD280" s="448" t="str">
        <f>_xlfn.IFNA(VLOOKUP($AP280,Programma!$F$3:$T$1101,15,0),"")</f>
        <v>2j</v>
      </c>
      <c r="BE280" s="448" t="str">
        <f>_xlfn.IFNA(VLOOKUP($AP280,Programma!$F$3:$U$1101,16,0),"")</f>
        <v>1j</v>
      </c>
      <c r="BF280" s="448" t="str">
        <f>_xlfn.IFNA(VLOOKUP($AP280,Programma!$F$3:$V$1101,17,0),"")</f>
        <v>_</v>
      </c>
      <c r="BG280" s="448" t="str">
        <f>_xlfn.IFNA(VLOOKUP($AP280,Programma!$F$3:$W$1101,18,0),"")</f>
        <v>_</v>
      </c>
      <c r="BH280" s="448" t="str">
        <f>_xlfn.IFNA(VLOOKUP($AP280,Programma!$F$3:$X$1101,19,0),"")</f>
        <v>_</v>
      </c>
      <c r="BI280" s="448" t="str">
        <f>_xlfn.IFNA(VLOOKUP($AP280,Programma!$F$3:$Y$1101,20,0),"")</f>
        <v>_</v>
      </c>
      <c r="BJ280" s="449"/>
      <c r="BK280" s="447" t="str">
        <f>IF(Ruimtestaat[[#This Row],[Frequentie weekend]]="","",_xlfn.CONCAT(Ruimtestaat[[#This Row],[Ruimte code]],"-",Ruimtestaat[[#This Row],[Frequentie weekend]]," ",Ruimtestaat[[#This Row],[Vloer code]]))</f>
        <v/>
      </c>
      <c r="BL280" s="448" t="str">
        <f>_xlfn.IFNA(VLOOKUP($BK280,Programma!$F$3:$G$1101,2,0),"")</f>
        <v/>
      </c>
      <c r="BM280" s="448" t="str">
        <f>_xlfn.IFNA(VLOOKUP($BK280,Programma!$F$3:$H$1101,3,0),"")</f>
        <v/>
      </c>
      <c r="BN280" s="448" t="str">
        <f>_xlfn.IFNA(VLOOKUP($BK280,Programma!$F$3:$I$1101,4,0),"")</f>
        <v/>
      </c>
      <c r="BO280" s="448" t="str">
        <f>_xlfn.IFNA(VLOOKUP($BK280,Programma!$F$3:$J$1101,5,0),"")</f>
        <v/>
      </c>
      <c r="BP280" s="448" t="str">
        <f>_xlfn.IFNA(VLOOKUP($BK280,Programma!$F$3:$K$1101,6,0),"")</f>
        <v/>
      </c>
      <c r="BQ280" s="448" t="str">
        <f>_xlfn.IFNA(VLOOKUP($BK280,Programma!$F$3:$L$1101,7,0),"")</f>
        <v/>
      </c>
      <c r="BR280" s="448" t="str">
        <f>_xlfn.IFNA(VLOOKUP($BK280,Programma!$F$3:$M$1101,8,0),"")</f>
        <v/>
      </c>
      <c r="BS280" s="448" t="str">
        <f>_xlfn.IFNA(VLOOKUP($BK280,Programma!$F$3:$N$1101,9,0),"")</f>
        <v/>
      </c>
      <c r="BT280" s="448" t="str">
        <f>_xlfn.IFNA(VLOOKUP($BK280,Programma!$F$3:$O$1101,10,0),"")</f>
        <v/>
      </c>
      <c r="BU280" s="448" t="str">
        <f>_xlfn.IFNA(VLOOKUP($BK280,Programma!$F$3:$P$1101,11,0),"")</f>
        <v/>
      </c>
      <c r="BV280" s="448" t="str">
        <f>_xlfn.IFNA(VLOOKUP($BK280,Programma!$F$3:$Q$1101,12,0),"")</f>
        <v/>
      </c>
      <c r="BW280" s="448" t="str">
        <f>_xlfn.IFNA(VLOOKUP($BK280,Programma!$F$3:$R$1101,13,0),"")</f>
        <v/>
      </c>
      <c r="BX280" s="448" t="str">
        <f>_xlfn.IFNA(VLOOKUP($BK280,Programma!$F$3:$S$1101,14,0),"")</f>
        <v/>
      </c>
      <c r="BY280" s="448" t="str">
        <f>_xlfn.IFNA(VLOOKUP($BK280,Programma!$F$3:$T$1101,15,0),"")</f>
        <v/>
      </c>
      <c r="BZ280" s="448" t="str">
        <f>_xlfn.IFNA(VLOOKUP($BK280,Programma!$F$3:$U$1101,16,0),"")</f>
        <v/>
      </c>
      <c r="CA280" s="448" t="str">
        <f>_xlfn.IFNA(VLOOKUP($BK280,Programma!$F$3:$V$1101,17,0),"")</f>
        <v/>
      </c>
      <c r="CB280" s="448" t="str">
        <f>_xlfn.IFNA(VLOOKUP($BK280,Programma!$F$3:$W$1101,18,0),"")</f>
        <v/>
      </c>
      <c r="CC280" s="448" t="str">
        <f>_xlfn.IFNA(VLOOKUP($BK280,Programma!$F$3:$X$1101,19,0),"")</f>
        <v/>
      </c>
      <c r="CD280" s="448" t="str">
        <f>_xlfn.IFNA(VLOOKUP($BK280,Programma!$F$3:$Y$1101,20,0),"")</f>
        <v/>
      </c>
      <c r="CE280" s="327"/>
      <c r="CF280" s="327"/>
      <c r="CG280" s="327"/>
      <c r="CH280" s="327"/>
      <c r="CI280" s="327"/>
      <c r="CJ280" s="327"/>
      <c r="CK280" s="327"/>
      <c r="CL280" s="327"/>
      <c r="CM280" s="327"/>
      <c r="CN280" s="327"/>
      <c r="CO280" s="327"/>
      <c r="CP280" s="327"/>
      <c r="CQ280" s="327"/>
      <c r="CR280" s="327"/>
      <c r="CS280" s="327"/>
      <c r="CT280" s="327"/>
      <c r="CU280" s="327"/>
      <c r="CV280" s="327"/>
      <c r="CW280" s="327"/>
      <c r="CX280" s="327"/>
      <c r="CY280" s="327"/>
      <c r="CZ280" s="327"/>
      <c r="DA280" s="327"/>
      <c r="DB280" s="327"/>
      <c r="DC280" s="327"/>
      <c r="DD280" s="327"/>
      <c r="DE280" s="327"/>
      <c r="DF280" s="327"/>
      <c r="DG280" s="327"/>
      <c r="DH280" s="327"/>
      <c r="DI280" s="327"/>
      <c r="DJ280" s="327"/>
      <c r="DK280" s="327"/>
      <c r="DL280" s="327"/>
      <c r="DM280" s="327"/>
      <c r="DN280" s="327"/>
      <c r="DO280" s="327"/>
      <c r="DP280" s="327"/>
      <c r="DQ280" s="327"/>
      <c r="DR280" s="327"/>
      <c r="DS280" s="327"/>
      <c r="DT280" s="327"/>
      <c r="DU280" s="327"/>
      <c r="DV280" s="327"/>
      <c r="DW280" s="327"/>
      <c r="DX280" s="327"/>
      <c r="DY280" s="327"/>
      <c r="DZ280" s="327"/>
      <c r="EA280" s="327"/>
      <c r="EB280" s="327"/>
      <c r="EC280" s="327"/>
      <c r="ED280" s="327"/>
      <c r="EE280" s="327"/>
      <c r="EF280" s="327"/>
      <c r="EG280" s="327"/>
      <c r="EH280" s="327"/>
      <c r="EI280" s="327"/>
      <c r="EJ280" s="327"/>
      <c r="EK280" s="327"/>
      <c r="EL280" s="327"/>
      <c r="EM280" s="327"/>
      <c r="EN280" s="327"/>
      <c r="EO280" s="327"/>
      <c r="EP280" s="327"/>
      <c r="EQ280" s="327"/>
      <c r="ER280" s="327"/>
      <c r="ES280" s="327"/>
      <c r="ET280" s="327"/>
      <c r="EU280" s="327"/>
      <c r="EV280" s="327"/>
      <c r="EW280" s="327"/>
      <c r="EX280" s="327"/>
      <c r="EY280" s="327"/>
      <c r="EZ280" s="327"/>
      <c r="FA280" s="327"/>
      <c r="FB280" s="327"/>
      <c r="FC280" s="327"/>
      <c r="FD280" s="327"/>
      <c r="FE280" s="327"/>
      <c r="FF280" s="327"/>
      <c r="FG280" s="327"/>
      <c r="FH280" s="327"/>
      <c r="FI280" s="327"/>
      <c r="FJ280" s="327"/>
      <c r="FK280" s="327"/>
      <c r="FL280" s="327"/>
      <c r="FM280" s="327"/>
      <c r="FN280" s="327"/>
      <c r="FO280" s="327"/>
      <c r="FP280" s="327"/>
      <c r="FQ280" s="327"/>
      <c r="FR280" s="327"/>
      <c r="FS280" s="327"/>
      <c r="FT280" s="327"/>
      <c r="FU280" s="327"/>
      <c r="FV280" s="327"/>
      <c r="FW280" s="327"/>
      <c r="FX280" s="327"/>
      <c r="FY280" s="327"/>
      <c r="FZ280" s="327"/>
      <c r="GA280" s="327"/>
      <c r="GB280" s="327"/>
      <c r="GC280" s="327"/>
      <c r="GD280" s="327"/>
      <c r="GE280" s="327"/>
      <c r="GF280" s="327"/>
      <c r="GG280" s="327"/>
      <c r="GH280" s="327"/>
      <c r="GI280" s="327"/>
      <c r="GJ280" s="327"/>
      <c r="GK280" s="327"/>
      <c r="GL280" s="327"/>
      <c r="GM280" s="327"/>
      <c r="GN280" s="327"/>
      <c r="GO280" s="327"/>
      <c r="GP280" s="327"/>
      <c r="GQ280" s="327"/>
      <c r="GR280" s="327"/>
      <c r="GS280" s="327"/>
      <c r="GT280" s="327"/>
      <c r="GU280" s="327"/>
      <c r="GV280" s="327"/>
      <c r="GW280" s="327"/>
      <c r="GX280" s="327"/>
      <c r="GY280" s="327"/>
      <c r="GZ280" s="327"/>
      <c r="HA280" s="327"/>
      <c r="HB280" s="327"/>
      <c r="HC280" s="327"/>
      <c r="HD280" s="327"/>
      <c r="HE280" s="327"/>
      <c r="HF280" s="327"/>
      <c r="HG280" s="327"/>
      <c r="HH280" s="327"/>
      <c r="HI280" s="327"/>
      <c r="HJ280" s="327"/>
      <c r="HK280" s="327"/>
      <c r="HL280" s="327"/>
      <c r="HM280" s="327"/>
      <c r="HN280" s="327"/>
      <c r="HO280" s="327"/>
      <c r="HP280" s="327"/>
      <c r="HQ280" s="327"/>
      <c r="HR280" s="327"/>
      <c r="HS280" s="327"/>
    </row>
    <row r="281" spans="1:227" ht="15" customHeight="1">
      <c r="A281" s="330">
        <v>12</v>
      </c>
      <c r="B281" s="435" t="str">
        <f>VLOOKUP(Ruimtestaat[[#This Row],[Code]],Locaties[[Code]:[Locatie]],2,FALSE)</f>
        <v>IKC De Leerplaneet Loc. 2 (vh 't Plankier)</v>
      </c>
      <c r="C281" s="435" t="str">
        <f>VLOOKUP(Ruimtestaat[[#This Row],[Code]],Locaties[[#All],[Code]:[Adres]],4,FALSE)</f>
        <v>Wedekindzijde 1-3</v>
      </c>
      <c r="D281" s="435" t="str">
        <f>VLOOKUP(Ruimtestaat[[#This Row],[Code]],Locaties[[#All],[Code]:[Postcode]],5,FALSE)</f>
        <v>2725 PG</v>
      </c>
      <c r="E281" s="435" t="str">
        <f>VLOOKUP(Ruimtestaat[[#This Row],[Code]],Locaties[#All],6,FALSE)</f>
        <v>Zoetermeer</v>
      </c>
      <c r="F281" s="450"/>
      <c r="G281" s="330" t="s">
        <v>1678</v>
      </c>
      <c r="H281" s="330" t="s">
        <v>1827</v>
      </c>
      <c r="I281" s="450" t="s">
        <v>1826</v>
      </c>
      <c r="J281" s="330">
        <v>6</v>
      </c>
      <c r="K281" s="450" t="str">
        <f>VLOOKUP(Ruimtestaat[[#This Row],[Ruimte code]],Ruimtegroepen[[#All],[Code]:[Ruimte omschrijving]],2,FALSE)</f>
        <v>Gangen/hallen</v>
      </c>
      <c r="L281" s="434" t="s">
        <v>99</v>
      </c>
      <c r="M281" s="437" t="s">
        <v>36</v>
      </c>
      <c r="N281" s="439">
        <v>19</v>
      </c>
      <c r="O281" s="439"/>
      <c r="P281" s="439"/>
      <c r="Q281" s="439"/>
      <c r="R281" s="440" t="str">
        <f>VLOOKUP(Ruimtestaat[[#This Row],[Ruimte code]],Ruimtegroepen[],4,FALSE)</f>
        <v>Ve</v>
      </c>
      <c r="S281" s="434">
        <v>41</v>
      </c>
      <c r="T281" s="434" t="s">
        <v>2</v>
      </c>
      <c r="U281" s="434">
        <f>IF(S281&gt;0,IF(RIGHT(Ruimtestaat[[#This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81" s="434">
        <f>IF(U281&gt;0,VLOOKUP($J281,Ruimtegroepen[],3,FALSE)*VLOOKUP($L281,Vloersoorten[],3,FALSE)*VLOOKUP($T281,Frequenties[],3,FALSE)*VLOOKUP($A281,Locaties[],3,FALSE),0)</f>
        <v>0</v>
      </c>
      <c r="W281" s="434">
        <f>Ruimtestaat[[#This Row],[Uitvoeringen werkdagen]]*Ruimtestaat[[#This Row],[Oppervlak (netto)]]</f>
        <v>3895</v>
      </c>
      <c r="X281" s="441">
        <f>IF(V281&gt;0,Ruimtestaat[[#This Row],[Prest. (m2 /jaar) werkdagen]]/Ruimtestaat[[#This Row],[Norm (m2/uur) werkdagen]],0)</f>
        <v>0</v>
      </c>
      <c r="Y281" s="442">
        <f>Ruimtestaat[[#This Row],[Uitvoeringen werkdagen]]*Ruimtestaat[[#This Row],[Gedeeltelijk]]</f>
        <v>0</v>
      </c>
      <c r="Z281" s="443" t="e">
        <f>IF(U281&gt;0,Ruimtestaat[[#This Row],[Prest. (m2 / jaar) werkdagen gedeeld]]/Ruimtestaat[[#This Row],[Norm (m2/uur) werkdagen]],0)</f>
        <v>#DIV/0!</v>
      </c>
      <c r="AA281" s="441" t="e">
        <f>Ruimtestaat[[#This Row],[uren / jaar werkdagen gedeeld]]*Tariefsopbouw!$E$35</f>
        <v>#DIV/0!</v>
      </c>
      <c r="AB281" s="441">
        <f>Ruimtestaat[[#This Row],[Uitvoeringen werkdagen]]*Ruimtestaat[[#This Row],[BSO]]</f>
        <v>0</v>
      </c>
      <c r="AC281" s="443" t="e">
        <f>IF(U281&gt;0,Ruimtestaat[[#This Row],[Prest. (m2 / jaar) werkdagen BSO]]/Ruimtestaat[[#This Row],[Norm (m2/uur) werkdagen]],0)</f>
        <v>#DIV/0!</v>
      </c>
      <c r="AD281" s="443" t="e">
        <f>Ruimtestaat[[#This Row],[uren / jaar werkdagen BSO]]*Tariefsopbouw!$E$35</f>
        <v>#DIV/0!</v>
      </c>
      <c r="AE281" s="444">
        <f>Ruimtestaat[[#This Row],[uren / jaar werkdagen]]*Tariefsopbouw!$E$35</f>
        <v>0</v>
      </c>
      <c r="AF281" s="434"/>
      <c r="AG281" s="434">
        <f>IF(Ruimtestaat[[#This Row],[Frequentie weekend]]&gt;0,VALUE(LEFT(AF281,1))*S281,0)</f>
        <v>0</v>
      </c>
      <c r="AH281" s="445">
        <f>IF($AG281&gt;0,VLOOKUP($J281,Ruimtegroepen[],3,FALSE)*VLOOKUP($L281,Vloersoorten[],3,FALSE)*VLOOKUP($AF281,Frequenties[],3,FALSE)*VLOOKUP(Ruimtestaat[[#This Row],[Code]],Locaties[],3,FALSE),0)</f>
        <v>0</v>
      </c>
      <c r="AI281" s="445">
        <f>Ruimtestaat[[#This Row],[Uitvoeringen weekend]]*Ruimtestaat[[#This Row],[Oppervlak (netto)]]</f>
        <v>0</v>
      </c>
      <c r="AJ281" s="445">
        <f>IF(AH281&gt;0,Ruimtestaat[[#This Row],[Prest. (m2 /jaar) weekend]]/Ruimtestaat[[#This Row],[Norm (m2/uur) weekend]],0)</f>
        <v>0</v>
      </c>
      <c r="AK281" s="444">
        <f>Ruimtestaat[[#This Row],[uren / jaar weekend]]*Tariefsopbouw!$D$40</f>
        <v>0</v>
      </c>
      <c r="AL281" s="441">
        <f>Ruimtestaat[[#This Row],[Prest. (m2 /jaar) weekend]]+Ruimtestaat[[#This Row],[Prest. (m2 /jaar) werkdagen]]</f>
        <v>3895</v>
      </c>
      <c r="AM281" s="441">
        <f>Ruimtestaat[[#This Row],[uren / jaar weekend]]+Ruimtestaat[[#This Row],[uren / jaar werkdagen]]</f>
        <v>0</v>
      </c>
      <c r="AN281" s="446">
        <f>Ruimtestaat[[#This Row],[kosten / jaar weekend]]+Ruimtestaat[[#This Row],[kosten / jaar werkdagen]]</f>
        <v>0</v>
      </c>
      <c r="AO281" s="446"/>
      <c r="AP281" s="447" t="str">
        <f>IF(Ruimtestaat[[#This Row],[Frequentie werkdagen]]="","",_xlfn.CONCAT(Ruimtestaat[[#This Row],[Ruimte code]],"-",Ruimtestaat[[#This Row],[Frequentie werkdagen]]," ",Ruimtestaat[[#This Row],[Vloer code]]))</f>
        <v>6-5w T</v>
      </c>
      <c r="AQ281" s="448" t="str">
        <f>_xlfn.IFNA(VLOOKUP($AP281,Programma!$F$3:$G$1101,2,0),"")</f>
        <v>_</v>
      </c>
      <c r="AR281" s="448" t="str">
        <f>_xlfn.IFNA(VLOOKUP($AP281,Programma!$F$3:$H$1101,3,0),"")</f>
        <v>5w</v>
      </c>
      <c r="AS281" s="448" t="str">
        <f>_xlfn.IFNA(VLOOKUP($AP281,Programma!$F$3:$I$1101,4,0),"")</f>
        <v>_</v>
      </c>
      <c r="AT281" s="448" t="str">
        <f>_xlfn.IFNA(VLOOKUP($AP281,Programma!$F$3:$J$1101,5,0),"")</f>
        <v>_</v>
      </c>
      <c r="AU281" s="448" t="str">
        <f>_xlfn.IFNA(VLOOKUP($AP281,Programma!$F$3:$K$1101,6,0),"")</f>
        <v>_</v>
      </c>
      <c r="AV281" s="448" t="str">
        <f>_xlfn.IFNA(VLOOKUP($AP281,Programma!$F$3:$L$1101,7,0),"")</f>
        <v>_</v>
      </c>
      <c r="AW281" s="448" t="str">
        <f>_xlfn.IFNA(VLOOKUP($AP281,Programma!$F$3:$M$1101,8,0),"")</f>
        <v>_</v>
      </c>
      <c r="AX281" s="448" t="str">
        <f>_xlfn.IFNA(VLOOKUP($AP281,Programma!$F$3:$N$1101,9,0),"")</f>
        <v>_</v>
      </c>
      <c r="AY281" s="448" t="str">
        <f>_xlfn.IFNA(VLOOKUP($AP281,Programma!$F$3:$O$1101,10,0),"")</f>
        <v>5w</v>
      </c>
      <c r="AZ281" s="448" t="str">
        <f>_xlfn.IFNA(VLOOKUP($AP281,Programma!$F$3:$P$1101,11,0),"")</f>
        <v>5w</v>
      </c>
      <c r="BA281" s="448" t="str">
        <f>_xlfn.IFNA(VLOOKUP($AP281,Programma!$F$3:$Q$1101,12,0),"")</f>
        <v>1w</v>
      </c>
      <c r="BB281" s="448" t="str">
        <f>_xlfn.IFNA(VLOOKUP($AP281,Programma!$F$3:$R$1101,13,0),"")</f>
        <v>1w</v>
      </c>
      <c r="BC281" s="448" t="str">
        <f>_xlfn.IFNA(VLOOKUP($AP281,Programma!$F$3:$S$1101,14,0),"")</f>
        <v>1m</v>
      </c>
      <c r="BD281" s="448" t="str">
        <f>_xlfn.IFNA(VLOOKUP($AP281,Programma!$F$3:$T$1101,15,0),"")</f>
        <v>2j</v>
      </c>
      <c r="BE281" s="448" t="str">
        <f>_xlfn.IFNA(VLOOKUP($AP281,Programma!$F$3:$U$1101,16,0),"")</f>
        <v>1j</v>
      </c>
      <c r="BF281" s="448" t="str">
        <f>_xlfn.IFNA(VLOOKUP($AP281,Programma!$F$3:$V$1101,17,0),"")</f>
        <v>_</v>
      </c>
      <c r="BG281" s="448" t="str">
        <f>_xlfn.IFNA(VLOOKUP($AP281,Programma!$F$3:$W$1101,18,0),"")</f>
        <v>_</v>
      </c>
      <c r="BH281" s="448" t="str">
        <f>_xlfn.IFNA(VLOOKUP($AP281,Programma!$F$3:$X$1101,19,0),"")</f>
        <v>_</v>
      </c>
      <c r="BI281" s="448" t="str">
        <f>_xlfn.IFNA(VLOOKUP($AP281,Programma!$F$3:$Y$1101,20,0),"")</f>
        <v>_</v>
      </c>
      <c r="BJ281" s="449"/>
      <c r="BK281" s="447" t="str">
        <f>IF(Ruimtestaat[[#This Row],[Frequentie weekend]]="","",_xlfn.CONCAT(Ruimtestaat[[#This Row],[Ruimte code]],"-",Ruimtestaat[[#This Row],[Frequentie weekend]]," ",Ruimtestaat[[#This Row],[Vloer code]]))</f>
        <v/>
      </c>
      <c r="BL281" s="448" t="str">
        <f>_xlfn.IFNA(VLOOKUP($BK281,Programma!$F$3:$G$1101,2,0),"")</f>
        <v/>
      </c>
      <c r="BM281" s="448" t="str">
        <f>_xlfn.IFNA(VLOOKUP($BK281,Programma!$F$3:$H$1101,3,0),"")</f>
        <v/>
      </c>
      <c r="BN281" s="448" t="str">
        <f>_xlfn.IFNA(VLOOKUP($BK281,Programma!$F$3:$I$1101,4,0),"")</f>
        <v/>
      </c>
      <c r="BO281" s="448" t="str">
        <f>_xlfn.IFNA(VLOOKUP($BK281,Programma!$F$3:$J$1101,5,0),"")</f>
        <v/>
      </c>
      <c r="BP281" s="448" t="str">
        <f>_xlfn.IFNA(VLOOKUP($BK281,Programma!$F$3:$K$1101,6,0),"")</f>
        <v/>
      </c>
      <c r="BQ281" s="448" t="str">
        <f>_xlfn.IFNA(VLOOKUP($BK281,Programma!$F$3:$L$1101,7,0),"")</f>
        <v/>
      </c>
      <c r="BR281" s="448" t="str">
        <f>_xlfn.IFNA(VLOOKUP($BK281,Programma!$F$3:$M$1101,8,0),"")</f>
        <v/>
      </c>
      <c r="BS281" s="448" t="str">
        <f>_xlfn.IFNA(VLOOKUP($BK281,Programma!$F$3:$N$1101,9,0),"")</f>
        <v/>
      </c>
      <c r="BT281" s="448" t="str">
        <f>_xlfn.IFNA(VLOOKUP($BK281,Programma!$F$3:$O$1101,10,0),"")</f>
        <v/>
      </c>
      <c r="BU281" s="448" t="str">
        <f>_xlfn.IFNA(VLOOKUP($BK281,Programma!$F$3:$P$1101,11,0),"")</f>
        <v/>
      </c>
      <c r="BV281" s="448" t="str">
        <f>_xlfn.IFNA(VLOOKUP($BK281,Programma!$F$3:$Q$1101,12,0),"")</f>
        <v/>
      </c>
      <c r="BW281" s="448" t="str">
        <f>_xlfn.IFNA(VLOOKUP($BK281,Programma!$F$3:$R$1101,13,0),"")</f>
        <v/>
      </c>
      <c r="BX281" s="448" t="str">
        <f>_xlfn.IFNA(VLOOKUP($BK281,Programma!$F$3:$S$1101,14,0),"")</f>
        <v/>
      </c>
      <c r="BY281" s="448" t="str">
        <f>_xlfn.IFNA(VLOOKUP($BK281,Programma!$F$3:$T$1101,15,0),"")</f>
        <v/>
      </c>
      <c r="BZ281" s="448" t="str">
        <f>_xlfn.IFNA(VLOOKUP($BK281,Programma!$F$3:$U$1101,16,0),"")</f>
        <v/>
      </c>
      <c r="CA281" s="448" t="str">
        <f>_xlfn.IFNA(VLOOKUP($BK281,Programma!$F$3:$V$1101,17,0),"")</f>
        <v/>
      </c>
      <c r="CB281" s="448" t="str">
        <f>_xlfn.IFNA(VLOOKUP($BK281,Programma!$F$3:$W$1101,18,0),"")</f>
        <v/>
      </c>
      <c r="CC281" s="448" t="str">
        <f>_xlfn.IFNA(VLOOKUP($BK281,Programma!$F$3:$X$1101,19,0),"")</f>
        <v/>
      </c>
      <c r="CD281" s="448" t="str">
        <f>_xlfn.IFNA(VLOOKUP($BK281,Programma!$F$3:$Y$1101,20,0),"")</f>
        <v/>
      </c>
      <c r="CE281" s="327"/>
      <c r="CF281" s="327"/>
      <c r="CG281" s="327"/>
      <c r="CH281" s="327"/>
      <c r="CI281" s="327"/>
      <c r="CJ281" s="327"/>
      <c r="CK281" s="327"/>
      <c r="CL281" s="327"/>
      <c r="CM281" s="327"/>
      <c r="CN281" s="327"/>
      <c r="CO281" s="327"/>
      <c r="CP281" s="327"/>
      <c r="CQ281" s="327"/>
      <c r="CR281" s="327"/>
      <c r="CS281" s="327"/>
      <c r="CT281" s="327"/>
      <c r="CU281" s="327"/>
      <c r="CV281" s="327"/>
      <c r="CW281" s="327"/>
      <c r="CX281" s="327"/>
      <c r="CY281" s="327"/>
      <c r="CZ281" s="327"/>
      <c r="DA281" s="327"/>
      <c r="DB281" s="327"/>
      <c r="DC281" s="327"/>
      <c r="DD281" s="327"/>
      <c r="DE281" s="327"/>
      <c r="DF281" s="327"/>
      <c r="DG281" s="327"/>
      <c r="DH281" s="327"/>
      <c r="DI281" s="327"/>
      <c r="DJ281" s="327"/>
      <c r="DK281" s="327"/>
      <c r="DL281" s="327"/>
      <c r="DM281" s="327"/>
      <c r="DN281" s="327"/>
      <c r="DO281" s="327"/>
      <c r="DP281" s="327"/>
      <c r="DQ281" s="327"/>
      <c r="DR281" s="327"/>
      <c r="DS281" s="327"/>
      <c r="DT281" s="327"/>
      <c r="DU281" s="327"/>
      <c r="DV281" s="327"/>
      <c r="DW281" s="327"/>
      <c r="DX281" s="327"/>
      <c r="DY281" s="327"/>
      <c r="DZ281" s="327"/>
      <c r="EA281" s="327"/>
      <c r="EB281" s="327"/>
      <c r="EC281" s="327"/>
      <c r="ED281" s="327"/>
      <c r="EE281" s="327"/>
      <c r="EF281" s="327"/>
      <c r="EG281" s="327"/>
      <c r="EH281" s="327"/>
      <c r="EI281" s="327"/>
      <c r="EJ281" s="327"/>
      <c r="EK281" s="327"/>
      <c r="EL281" s="327"/>
      <c r="EM281" s="327"/>
      <c r="EN281" s="327"/>
      <c r="EO281" s="327"/>
      <c r="EP281" s="327"/>
      <c r="EQ281" s="327"/>
      <c r="ER281" s="327"/>
      <c r="ES281" s="327"/>
      <c r="ET281" s="327"/>
      <c r="EU281" s="327"/>
      <c r="EV281" s="327"/>
      <c r="EW281" s="327"/>
      <c r="EX281" s="327"/>
      <c r="EY281" s="327"/>
      <c r="EZ281" s="327"/>
      <c r="FA281" s="327"/>
      <c r="FB281" s="327"/>
      <c r="FC281" s="327"/>
      <c r="FD281" s="327"/>
      <c r="FE281" s="327"/>
      <c r="FF281" s="327"/>
      <c r="FG281" s="327"/>
      <c r="FH281" s="327"/>
      <c r="FI281" s="327"/>
      <c r="FJ281" s="327"/>
      <c r="FK281" s="327"/>
      <c r="FL281" s="327"/>
      <c r="FM281" s="327"/>
      <c r="FN281" s="327"/>
      <c r="FO281" s="327"/>
      <c r="FP281" s="327"/>
      <c r="FQ281" s="327"/>
      <c r="FR281" s="327"/>
      <c r="FS281" s="327"/>
      <c r="FT281" s="327"/>
      <c r="FU281" s="327"/>
      <c r="FV281" s="327"/>
      <c r="FW281" s="327"/>
      <c r="FX281" s="327"/>
      <c r="FY281" s="327"/>
      <c r="FZ281" s="327"/>
      <c r="GA281" s="327"/>
      <c r="GB281" s="327"/>
      <c r="GC281" s="327"/>
      <c r="GD281" s="327"/>
      <c r="GE281" s="327"/>
      <c r="GF281" s="327"/>
      <c r="GG281" s="327"/>
      <c r="GH281" s="327"/>
      <c r="GI281" s="327"/>
      <c r="GJ281" s="327"/>
      <c r="GK281" s="327"/>
      <c r="GL281" s="327"/>
      <c r="GM281" s="327"/>
      <c r="GN281" s="327"/>
      <c r="GO281" s="327"/>
      <c r="GP281" s="327"/>
      <c r="GQ281" s="327"/>
      <c r="GR281" s="327"/>
      <c r="GS281" s="327"/>
      <c r="GT281" s="327"/>
      <c r="GU281" s="327"/>
      <c r="GV281" s="327"/>
      <c r="GW281" s="327"/>
      <c r="GX281" s="327"/>
      <c r="GY281" s="327"/>
      <c r="GZ281" s="327"/>
      <c r="HA281" s="327"/>
      <c r="HB281" s="327"/>
      <c r="HC281" s="327"/>
      <c r="HD281" s="327"/>
      <c r="HE281" s="327"/>
      <c r="HF281" s="327"/>
      <c r="HG281" s="327"/>
      <c r="HH281" s="327"/>
      <c r="HI281" s="327"/>
      <c r="HJ281" s="327"/>
      <c r="HK281" s="327"/>
      <c r="HL281" s="327"/>
      <c r="HM281" s="327"/>
      <c r="HN281" s="327"/>
      <c r="HO281" s="327"/>
      <c r="HP281" s="327"/>
      <c r="HQ281" s="327"/>
      <c r="HR281" s="327"/>
      <c r="HS281" s="327"/>
    </row>
    <row r="282" spans="1:227" ht="15" customHeight="1">
      <c r="A282" s="330">
        <v>12</v>
      </c>
      <c r="B282" s="435" t="str">
        <f>VLOOKUP(Ruimtestaat[[#This Row],[Code]],Locaties[[Code]:[Locatie]],2,FALSE)</f>
        <v>IKC De Leerplaneet Loc. 2 (vh 't Plankier)</v>
      </c>
      <c r="C282" s="435" t="str">
        <f>VLOOKUP(Ruimtestaat[[#This Row],[Code]],Locaties[[#All],[Code]:[Adres]],4,FALSE)</f>
        <v>Wedekindzijde 1-3</v>
      </c>
      <c r="D282" s="435" t="str">
        <f>VLOOKUP(Ruimtestaat[[#This Row],[Code]],Locaties[[#All],[Code]:[Postcode]],5,FALSE)</f>
        <v>2725 PG</v>
      </c>
      <c r="E282" s="435" t="str">
        <f>VLOOKUP(Ruimtestaat[[#This Row],[Code]],Locaties[#All],6,FALSE)</f>
        <v>Zoetermeer</v>
      </c>
      <c r="F282" s="450"/>
      <c r="G282" s="330" t="s">
        <v>1678</v>
      </c>
      <c r="H282" s="330" t="s">
        <v>1828</v>
      </c>
      <c r="I282" s="450" t="s">
        <v>1666</v>
      </c>
      <c r="J282" s="330">
        <v>2</v>
      </c>
      <c r="K282" s="450" t="str">
        <f>VLOOKUP(Ruimtestaat[[#This Row],[Ruimte code]],Ruimtegroepen[[#All],[Code]:[Ruimte omschrijving]],2,FALSE)</f>
        <v>Kantoren</v>
      </c>
      <c r="L282" s="434" t="s">
        <v>100</v>
      </c>
      <c r="M282" s="437" t="s">
        <v>1759</v>
      </c>
      <c r="N282" s="439">
        <v>24</v>
      </c>
      <c r="O282" s="439"/>
      <c r="P282" s="439"/>
      <c r="Q282" s="439"/>
      <c r="R282" s="440" t="str">
        <f>VLOOKUP(Ruimtestaat[[#This Row],[Ruimte code]],Ruimtegroepen[],4,FALSE)</f>
        <v>Bu</v>
      </c>
      <c r="S282" s="434">
        <v>41</v>
      </c>
      <c r="T282" s="434" t="s">
        <v>17</v>
      </c>
      <c r="U282" s="434">
        <f>IF(S282&gt;0,IF(RIGHT(Ruimtestaat[[#This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282" s="434">
        <f>IF(U282&gt;0,VLOOKUP($J282,Ruimtegroepen[],3,FALSE)*VLOOKUP($L282,Vloersoorten[],3,FALSE)*VLOOKUP($T282,Frequenties[],3,FALSE)*VLOOKUP($A282,Locaties[],3,FALSE),0)</f>
        <v>0</v>
      </c>
      <c r="W282" s="434">
        <f>Ruimtestaat[[#This Row],[Uitvoeringen werkdagen]]*Ruimtestaat[[#This Row],[Oppervlak (netto)]]</f>
        <v>1968</v>
      </c>
      <c r="X282" s="441">
        <f>IF(V282&gt;0,Ruimtestaat[[#This Row],[Prest. (m2 /jaar) werkdagen]]/Ruimtestaat[[#This Row],[Norm (m2/uur) werkdagen]],0)</f>
        <v>0</v>
      </c>
      <c r="Y282" s="442">
        <f>Ruimtestaat[[#This Row],[Uitvoeringen werkdagen]]*Ruimtestaat[[#This Row],[Gedeeltelijk]]</f>
        <v>0</v>
      </c>
      <c r="Z282" s="443" t="e">
        <f>IF(U282&gt;0,Ruimtestaat[[#This Row],[Prest. (m2 / jaar) werkdagen gedeeld]]/Ruimtestaat[[#This Row],[Norm (m2/uur) werkdagen]],0)</f>
        <v>#DIV/0!</v>
      </c>
      <c r="AA282" s="441" t="e">
        <f>Ruimtestaat[[#This Row],[uren / jaar werkdagen gedeeld]]*Tariefsopbouw!$E$35</f>
        <v>#DIV/0!</v>
      </c>
      <c r="AB282" s="441">
        <f>Ruimtestaat[[#This Row],[Uitvoeringen werkdagen]]*Ruimtestaat[[#This Row],[BSO]]</f>
        <v>0</v>
      </c>
      <c r="AC282" s="443" t="e">
        <f>IF(U282&gt;0,Ruimtestaat[[#This Row],[Prest. (m2 / jaar) werkdagen BSO]]/Ruimtestaat[[#This Row],[Norm (m2/uur) werkdagen]],0)</f>
        <v>#DIV/0!</v>
      </c>
      <c r="AD282" s="443" t="e">
        <f>Ruimtestaat[[#This Row],[uren / jaar werkdagen BSO]]*Tariefsopbouw!$E$35</f>
        <v>#DIV/0!</v>
      </c>
      <c r="AE282" s="444">
        <f>Ruimtestaat[[#This Row],[uren / jaar werkdagen]]*Tariefsopbouw!$E$35</f>
        <v>0</v>
      </c>
      <c r="AF282" s="434"/>
      <c r="AG282" s="434">
        <f>IF(Ruimtestaat[[#This Row],[Frequentie weekend]]&gt;0,VALUE(LEFT(AF282,1))*S282,0)</f>
        <v>0</v>
      </c>
      <c r="AH282" s="445">
        <f>IF($AG282&gt;0,VLOOKUP($J282,Ruimtegroepen[],3,FALSE)*VLOOKUP($L282,Vloersoorten[],3,FALSE)*VLOOKUP($AF282,Frequenties[],3,FALSE)*VLOOKUP(Ruimtestaat[[#This Row],[Code]],Locaties[],3,FALSE),0)</f>
        <v>0</v>
      </c>
      <c r="AI282" s="445">
        <f>Ruimtestaat[[#This Row],[Uitvoeringen weekend]]*Ruimtestaat[[#This Row],[Oppervlak (netto)]]</f>
        <v>0</v>
      </c>
      <c r="AJ282" s="445">
        <f>IF(AH282&gt;0,Ruimtestaat[[#This Row],[Prest. (m2 /jaar) weekend]]/Ruimtestaat[[#This Row],[Norm (m2/uur) weekend]],0)</f>
        <v>0</v>
      </c>
      <c r="AK282" s="444">
        <f>Ruimtestaat[[#This Row],[uren / jaar weekend]]*Tariefsopbouw!$D$40</f>
        <v>0</v>
      </c>
      <c r="AL282" s="441">
        <f>Ruimtestaat[[#This Row],[Prest. (m2 /jaar) weekend]]+Ruimtestaat[[#This Row],[Prest. (m2 /jaar) werkdagen]]</f>
        <v>1968</v>
      </c>
      <c r="AM282" s="441">
        <f>Ruimtestaat[[#This Row],[uren / jaar weekend]]+Ruimtestaat[[#This Row],[uren / jaar werkdagen]]</f>
        <v>0</v>
      </c>
      <c r="AN282" s="446">
        <f>Ruimtestaat[[#This Row],[kosten / jaar weekend]]+Ruimtestaat[[#This Row],[kosten / jaar werkdagen]]</f>
        <v>0</v>
      </c>
      <c r="AO282" s="446"/>
      <c r="AP282" s="447" t="str">
        <f>IF(Ruimtestaat[[#This Row],[Frequentie werkdagen]]="","",_xlfn.CONCAT(Ruimtestaat[[#This Row],[Ruimte code]],"-",Ruimtestaat[[#This Row],[Frequentie werkdagen]]," ",Ruimtestaat[[#This Row],[Vloer code]]))</f>
        <v>2-2w L</v>
      </c>
      <c r="AQ282" s="448" t="str">
        <f>_xlfn.IFNA(VLOOKUP($AP282,Programma!$F$3:$G$1101,2,0),"")</f>
        <v>_</v>
      </c>
      <c r="AR282" s="448" t="str">
        <f>_xlfn.IFNA(VLOOKUP($AP282,Programma!$F$3:$H$1101,3,0),"")</f>
        <v>_</v>
      </c>
      <c r="AS282" s="448" t="str">
        <f>_xlfn.IFNA(VLOOKUP($AP282,Programma!$F$3:$I$1101,4,0),"")</f>
        <v>1w</v>
      </c>
      <c r="AT282" s="448" t="str">
        <f>_xlfn.IFNA(VLOOKUP($AP282,Programma!$F$3:$J$1101,5,0),"")</f>
        <v>1w</v>
      </c>
      <c r="AU282" s="448" t="str">
        <f>_xlfn.IFNA(VLOOKUP($AP282,Programma!$F$3:$K$1101,6,0),"")</f>
        <v>_</v>
      </c>
      <c r="AV282" s="448" t="str">
        <f>_xlfn.IFNA(VLOOKUP($AP282,Programma!$F$3:$L$1101,7,0),"")</f>
        <v>_</v>
      </c>
      <c r="AW282" s="448" t="str">
        <f>_xlfn.IFNA(VLOOKUP($AP282,Programma!$F$3:$M$1101,8,0),"")</f>
        <v>_</v>
      </c>
      <c r="AX282" s="448" t="str">
        <f>_xlfn.IFNA(VLOOKUP($AP282,Programma!$F$3:$N$1101,9,0),"")</f>
        <v>_</v>
      </c>
      <c r="AY282" s="448" t="str">
        <f>_xlfn.IFNA(VLOOKUP($AP282,Programma!$F$3:$O$1101,10,0),"")</f>
        <v>2w</v>
      </c>
      <c r="AZ282" s="448" t="str">
        <f>_xlfn.IFNA(VLOOKUP($AP282,Programma!$F$3:$P$1101,11,0),"")</f>
        <v>2w</v>
      </c>
      <c r="BA282" s="448" t="str">
        <f>_xlfn.IFNA(VLOOKUP($AP282,Programma!$F$3:$Q$1101,12,0),"")</f>
        <v>1w</v>
      </c>
      <c r="BB282" s="448" t="str">
        <f>_xlfn.IFNA(VLOOKUP($AP282,Programma!$F$3:$R$1101,13,0),"")</f>
        <v>1w</v>
      </c>
      <c r="BC282" s="448" t="str">
        <f>_xlfn.IFNA(VLOOKUP($AP282,Programma!$F$3:$S$1101,14,0),"")</f>
        <v>1m</v>
      </c>
      <c r="BD282" s="448" t="str">
        <f>_xlfn.IFNA(VLOOKUP($AP282,Programma!$F$3:$T$1101,15,0),"")</f>
        <v>2j</v>
      </c>
      <c r="BE282" s="448" t="str">
        <f>_xlfn.IFNA(VLOOKUP($AP282,Programma!$F$3:$U$1101,16,0),"")</f>
        <v>1j</v>
      </c>
      <c r="BF282" s="448" t="str">
        <f>_xlfn.IFNA(VLOOKUP($AP282,Programma!$F$3:$V$1101,17,0),"")</f>
        <v>_</v>
      </c>
      <c r="BG282" s="448" t="str">
        <f>_xlfn.IFNA(VLOOKUP($AP282,Programma!$F$3:$W$1101,18,0),"")</f>
        <v>_</v>
      </c>
      <c r="BH282" s="448" t="str">
        <f>_xlfn.IFNA(VLOOKUP($AP282,Programma!$F$3:$X$1101,19,0),"")</f>
        <v>_</v>
      </c>
      <c r="BI282" s="448" t="str">
        <f>_xlfn.IFNA(VLOOKUP($AP282,Programma!$F$3:$Y$1101,20,0),"")</f>
        <v>_</v>
      </c>
      <c r="BJ282" s="449"/>
      <c r="BK282" s="447" t="str">
        <f>IF(Ruimtestaat[[#This Row],[Frequentie weekend]]="","",_xlfn.CONCAT(Ruimtestaat[[#This Row],[Ruimte code]],"-",Ruimtestaat[[#This Row],[Frequentie weekend]]," ",Ruimtestaat[[#This Row],[Vloer code]]))</f>
        <v/>
      </c>
      <c r="BL282" s="448" t="str">
        <f>_xlfn.IFNA(VLOOKUP($BK282,Programma!$F$3:$G$1101,2,0),"")</f>
        <v/>
      </c>
      <c r="BM282" s="448" t="str">
        <f>_xlfn.IFNA(VLOOKUP($BK282,Programma!$F$3:$H$1101,3,0),"")</f>
        <v/>
      </c>
      <c r="BN282" s="448" t="str">
        <f>_xlfn.IFNA(VLOOKUP($BK282,Programma!$F$3:$I$1101,4,0),"")</f>
        <v/>
      </c>
      <c r="BO282" s="448" t="str">
        <f>_xlfn.IFNA(VLOOKUP($BK282,Programma!$F$3:$J$1101,5,0),"")</f>
        <v/>
      </c>
      <c r="BP282" s="448" t="str">
        <f>_xlfn.IFNA(VLOOKUP($BK282,Programma!$F$3:$K$1101,6,0),"")</f>
        <v/>
      </c>
      <c r="BQ282" s="448" t="str">
        <f>_xlfn.IFNA(VLOOKUP($BK282,Programma!$F$3:$L$1101,7,0),"")</f>
        <v/>
      </c>
      <c r="BR282" s="448" t="str">
        <f>_xlfn.IFNA(VLOOKUP($BK282,Programma!$F$3:$M$1101,8,0),"")</f>
        <v/>
      </c>
      <c r="BS282" s="448" t="str">
        <f>_xlfn.IFNA(VLOOKUP($BK282,Programma!$F$3:$N$1101,9,0),"")</f>
        <v/>
      </c>
      <c r="BT282" s="448" t="str">
        <f>_xlfn.IFNA(VLOOKUP($BK282,Programma!$F$3:$O$1101,10,0),"")</f>
        <v/>
      </c>
      <c r="BU282" s="448" t="str">
        <f>_xlfn.IFNA(VLOOKUP($BK282,Programma!$F$3:$P$1101,11,0),"")</f>
        <v/>
      </c>
      <c r="BV282" s="448" t="str">
        <f>_xlfn.IFNA(VLOOKUP($BK282,Programma!$F$3:$Q$1101,12,0),"")</f>
        <v/>
      </c>
      <c r="BW282" s="448" t="str">
        <f>_xlfn.IFNA(VLOOKUP($BK282,Programma!$F$3:$R$1101,13,0),"")</f>
        <v/>
      </c>
      <c r="BX282" s="448" t="str">
        <f>_xlfn.IFNA(VLOOKUP($BK282,Programma!$F$3:$S$1101,14,0),"")</f>
        <v/>
      </c>
      <c r="BY282" s="448" t="str">
        <f>_xlfn.IFNA(VLOOKUP($BK282,Programma!$F$3:$T$1101,15,0),"")</f>
        <v/>
      </c>
      <c r="BZ282" s="448" t="str">
        <f>_xlfn.IFNA(VLOOKUP($BK282,Programma!$F$3:$U$1101,16,0),"")</f>
        <v/>
      </c>
      <c r="CA282" s="448" t="str">
        <f>_xlfn.IFNA(VLOOKUP($BK282,Programma!$F$3:$V$1101,17,0),"")</f>
        <v/>
      </c>
      <c r="CB282" s="448" t="str">
        <f>_xlfn.IFNA(VLOOKUP($BK282,Programma!$F$3:$W$1101,18,0),"")</f>
        <v/>
      </c>
      <c r="CC282" s="448" t="str">
        <f>_xlfn.IFNA(VLOOKUP($BK282,Programma!$F$3:$X$1101,19,0),"")</f>
        <v/>
      </c>
      <c r="CD282" s="448" t="str">
        <f>_xlfn.IFNA(VLOOKUP($BK282,Programma!$F$3:$Y$1101,20,0),"")</f>
        <v/>
      </c>
      <c r="CE282" s="327"/>
      <c r="CF282" s="327"/>
      <c r="CG282" s="327"/>
      <c r="CH282" s="327"/>
      <c r="CI282" s="327"/>
      <c r="CJ282" s="327"/>
      <c r="CK282" s="327"/>
      <c r="CL282" s="327"/>
      <c r="CM282" s="327"/>
      <c r="CN282" s="327"/>
      <c r="CO282" s="327"/>
      <c r="CP282" s="327"/>
      <c r="CQ282" s="327"/>
      <c r="CR282" s="327"/>
      <c r="CS282" s="327"/>
      <c r="CT282" s="327"/>
      <c r="CU282" s="327"/>
      <c r="CV282" s="327"/>
      <c r="CW282" s="327"/>
      <c r="CX282" s="327"/>
      <c r="CY282" s="327"/>
      <c r="CZ282" s="327"/>
      <c r="DA282" s="327"/>
      <c r="DB282" s="327"/>
      <c r="DC282" s="327"/>
      <c r="DD282" s="327"/>
      <c r="DE282" s="327"/>
      <c r="DF282" s="327"/>
      <c r="DG282" s="327"/>
      <c r="DH282" s="327"/>
      <c r="DI282" s="327"/>
      <c r="DJ282" s="327"/>
      <c r="DK282" s="327"/>
      <c r="DL282" s="327"/>
      <c r="DM282" s="327"/>
      <c r="DN282" s="327"/>
      <c r="DO282" s="327"/>
      <c r="DP282" s="327"/>
      <c r="DQ282" s="327"/>
      <c r="DR282" s="327"/>
      <c r="DS282" s="327"/>
      <c r="DT282" s="327"/>
      <c r="DU282" s="327"/>
      <c r="DV282" s="327"/>
      <c r="DW282" s="327"/>
      <c r="DX282" s="327"/>
      <c r="DY282" s="327"/>
      <c r="DZ282" s="327"/>
      <c r="EA282" s="327"/>
      <c r="EB282" s="327"/>
      <c r="EC282" s="327"/>
      <c r="ED282" s="327"/>
      <c r="EE282" s="327"/>
      <c r="EF282" s="327"/>
      <c r="EG282" s="327"/>
      <c r="EH282" s="327"/>
      <c r="EI282" s="327"/>
      <c r="EJ282" s="327"/>
      <c r="EK282" s="327"/>
      <c r="EL282" s="327"/>
      <c r="EM282" s="327"/>
      <c r="EN282" s="327"/>
      <c r="EO282" s="327"/>
      <c r="EP282" s="327"/>
      <c r="EQ282" s="327"/>
      <c r="ER282" s="327"/>
      <c r="ES282" s="327"/>
      <c r="ET282" s="327"/>
      <c r="EU282" s="327"/>
      <c r="EV282" s="327"/>
      <c r="EW282" s="327"/>
      <c r="EX282" s="327"/>
      <c r="EY282" s="327"/>
      <c r="EZ282" s="327"/>
      <c r="FA282" s="327"/>
      <c r="FB282" s="327"/>
      <c r="FC282" s="327"/>
      <c r="FD282" s="327"/>
      <c r="FE282" s="327"/>
      <c r="FF282" s="327"/>
      <c r="FG282" s="327"/>
      <c r="FH282" s="327"/>
      <c r="FI282" s="327"/>
      <c r="FJ282" s="327"/>
      <c r="FK282" s="327"/>
      <c r="FL282" s="327"/>
      <c r="FM282" s="327"/>
      <c r="FN282" s="327"/>
      <c r="FO282" s="327"/>
      <c r="FP282" s="327"/>
      <c r="FQ282" s="327"/>
      <c r="FR282" s="327"/>
      <c r="FS282" s="327"/>
      <c r="FT282" s="327"/>
      <c r="FU282" s="327"/>
      <c r="FV282" s="327"/>
      <c r="FW282" s="327"/>
      <c r="FX282" s="327"/>
      <c r="FY282" s="327"/>
      <c r="FZ282" s="327"/>
      <c r="GA282" s="327"/>
      <c r="GB282" s="327"/>
      <c r="GC282" s="327"/>
      <c r="GD282" s="327"/>
      <c r="GE282" s="327"/>
      <c r="GF282" s="327"/>
      <c r="GG282" s="327"/>
      <c r="GH282" s="327"/>
      <c r="GI282" s="327"/>
      <c r="GJ282" s="327"/>
      <c r="GK282" s="327"/>
      <c r="GL282" s="327"/>
      <c r="GM282" s="327"/>
      <c r="GN282" s="327"/>
      <c r="GO282" s="327"/>
      <c r="GP282" s="327"/>
      <c r="GQ282" s="327"/>
      <c r="GR282" s="327"/>
      <c r="GS282" s="327"/>
      <c r="GT282" s="327"/>
      <c r="GU282" s="327"/>
      <c r="GV282" s="327"/>
      <c r="GW282" s="327"/>
      <c r="GX282" s="327"/>
      <c r="GY282" s="327"/>
      <c r="GZ282" s="327"/>
      <c r="HA282" s="327"/>
      <c r="HB282" s="327"/>
      <c r="HC282" s="327"/>
      <c r="HD282" s="327"/>
      <c r="HE282" s="327"/>
      <c r="HF282" s="327"/>
      <c r="HG282" s="327"/>
      <c r="HH282" s="327"/>
      <c r="HI282" s="327"/>
      <c r="HJ282" s="327"/>
      <c r="HK282" s="327"/>
      <c r="HL282" s="327"/>
      <c r="HM282" s="327"/>
      <c r="HN282" s="327"/>
      <c r="HO282" s="327"/>
      <c r="HP282" s="327"/>
      <c r="HQ282" s="327"/>
      <c r="HR282" s="327"/>
      <c r="HS282" s="327"/>
    </row>
    <row r="283" spans="1:227" ht="15" customHeight="1">
      <c r="A283" s="330">
        <v>12</v>
      </c>
      <c r="B283" s="435" t="str">
        <f>VLOOKUP(Ruimtestaat[[#This Row],[Code]],Locaties[[Code]:[Locatie]],2,FALSE)</f>
        <v>IKC De Leerplaneet Loc. 2 (vh 't Plankier)</v>
      </c>
      <c r="C283" s="435" t="str">
        <f>VLOOKUP(Ruimtestaat[[#This Row],[Code]],Locaties[[#All],[Code]:[Adres]],4,FALSE)</f>
        <v>Wedekindzijde 1-3</v>
      </c>
      <c r="D283" s="435" t="str">
        <f>VLOOKUP(Ruimtestaat[[#This Row],[Code]],Locaties[[#All],[Code]:[Postcode]],5,FALSE)</f>
        <v>2725 PG</v>
      </c>
      <c r="E283" s="435" t="str">
        <f>VLOOKUP(Ruimtestaat[[#This Row],[Code]],Locaties[#All],6,FALSE)</f>
        <v>Zoetermeer</v>
      </c>
      <c r="F283" s="450"/>
      <c r="G283" s="330" t="s">
        <v>1678</v>
      </c>
      <c r="H283" s="330" t="s">
        <v>1829</v>
      </c>
      <c r="I283" s="450" t="s">
        <v>1666</v>
      </c>
      <c r="J283" s="330">
        <v>2</v>
      </c>
      <c r="K283" s="450" t="str">
        <f>VLOOKUP(Ruimtestaat[[#This Row],[Ruimte code]],Ruimtegroepen[[#All],[Code]:[Ruimte omschrijving]],2,FALSE)</f>
        <v>Kantoren</v>
      </c>
      <c r="L283" s="434" t="s">
        <v>99</v>
      </c>
      <c r="M283" s="437" t="s">
        <v>36</v>
      </c>
      <c r="N283" s="439">
        <v>50</v>
      </c>
      <c r="O283" s="439"/>
      <c r="P283" s="439"/>
      <c r="Q283" s="439"/>
      <c r="R283" s="440" t="str">
        <f>VLOOKUP(Ruimtestaat[[#This Row],[Ruimte code]],Ruimtegroepen[],4,FALSE)</f>
        <v>Bu</v>
      </c>
      <c r="S283" s="434">
        <v>41</v>
      </c>
      <c r="T283" s="434" t="s">
        <v>17</v>
      </c>
      <c r="U283" s="434">
        <f>IF(S283&gt;0,IF(RIGHT(Ruimtestaat[[#This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283" s="434">
        <f>IF(U283&gt;0,VLOOKUP($J283,Ruimtegroepen[],3,FALSE)*VLOOKUP($L283,Vloersoorten[],3,FALSE)*VLOOKUP($T283,Frequenties[],3,FALSE)*VLOOKUP($A283,Locaties[],3,FALSE),0)</f>
        <v>0</v>
      </c>
      <c r="W283" s="434">
        <f>Ruimtestaat[[#This Row],[Uitvoeringen werkdagen]]*Ruimtestaat[[#This Row],[Oppervlak (netto)]]</f>
        <v>4100</v>
      </c>
      <c r="X283" s="441">
        <f>IF(V283&gt;0,Ruimtestaat[[#This Row],[Prest. (m2 /jaar) werkdagen]]/Ruimtestaat[[#This Row],[Norm (m2/uur) werkdagen]],0)</f>
        <v>0</v>
      </c>
      <c r="Y283" s="442">
        <f>Ruimtestaat[[#This Row],[Uitvoeringen werkdagen]]*Ruimtestaat[[#This Row],[Gedeeltelijk]]</f>
        <v>0</v>
      </c>
      <c r="Z283" s="443" t="e">
        <f>IF(U283&gt;0,Ruimtestaat[[#This Row],[Prest. (m2 / jaar) werkdagen gedeeld]]/Ruimtestaat[[#This Row],[Norm (m2/uur) werkdagen]],0)</f>
        <v>#DIV/0!</v>
      </c>
      <c r="AA283" s="441" t="e">
        <f>Ruimtestaat[[#This Row],[uren / jaar werkdagen gedeeld]]*Tariefsopbouw!$E$35</f>
        <v>#DIV/0!</v>
      </c>
      <c r="AB283" s="441">
        <f>Ruimtestaat[[#This Row],[Uitvoeringen werkdagen]]*Ruimtestaat[[#This Row],[BSO]]</f>
        <v>0</v>
      </c>
      <c r="AC283" s="443" t="e">
        <f>IF(U283&gt;0,Ruimtestaat[[#This Row],[Prest. (m2 / jaar) werkdagen BSO]]/Ruimtestaat[[#This Row],[Norm (m2/uur) werkdagen]],0)</f>
        <v>#DIV/0!</v>
      </c>
      <c r="AD283" s="443" t="e">
        <f>Ruimtestaat[[#This Row],[uren / jaar werkdagen BSO]]*Tariefsopbouw!$E$35</f>
        <v>#DIV/0!</v>
      </c>
      <c r="AE283" s="444">
        <f>Ruimtestaat[[#This Row],[uren / jaar werkdagen]]*Tariefsopbouw!$E$35</f>
        <v>0</v>
      </c>
      <c r="AF283" s="434"/>
      <c r="AG283" s="434">
        <f>IF(Ruimtestaat[[#This Row],[Frequentie weekend]]&gt;0,VALUE(LEFT(AF283,1))*S283,0)</f>
        <v>0</v>
      </c>
      <c r="AH283" s="445">
        <f>IF($AG283&gt;0,VLOOKUP($J283,Ruimtegroepen[],3,FALSE)*VLOOKUP($L283,Vloersoorten[],3,FALSE)*VLOOKUP($AF283,Frequenties[],3,FALSE)*VLOOKUP(Ruimtestaat[[#This Row],[Code]],Locaties[],3,FALSE),0)</f>
        <v>0</v>
      </c>
      <c r="AI283" s="445">
        <f>Ruimtestaat[[#This Row],[Uitvoeringen weekend]]*Ruimtestaat[[#This Row],[Oppervlak (netto)]]</f>
        <v>0</v>
      </c>
      <c r="AJ283" s="445">
        <f>IF(AH283&gt;0,Ruimtestaat[[#This Row],[Prest. (m2 /jaar) weekend]]/Ruimtestaat[[#This Row],[Norm (m2/uur) weekend]],0)</f>
        <v>0</v>
      </c>
      <c r="AK283" s="444">
        <f>Ruimtestaat[[#This Row],[uren / jaar weekend]]*Tariefsopbouw!$D$40</f>
        <v>0</v>
      </c>
      <c r="AL283" s="441">
        <f>Ruimtestaat[[#This Row],[Prest. (m2 /jaar) weekend]]+Ruimtestaat[[#This Row],[Prest. (m2 /jaar) werkdagen]]</f>
        <v>4100</v>
      </c>
      <c r="AM283" s="441">
        <f>Ruimtestaat[[#This Row],[uren / jaar weekend]]+Ruimtestaat[[#This Row],[uren / jaar werkdagen]]</f>
        <v>0</v>
      </c>
      <c r="AN283" s="446">
        <f>Ruimtestaat[[#This Row],[kosten / jaar weekend]]+Ruimtestaat[[#This Row],[kosten / jaar werkdagen]]</f>
        <v>0</v>
      </c>
      <c r="AO283" s="446"/>
      <c r="AP283" s="447" t="str">
        <f>IF(Ruimtestaat[[#This Row],[Frequentie werkdagen]]="","",_xlfn.CONCAT(Ruimtestaat[[#This Row],[Ruimte code]],"-",Ruimtestaat[[#This Row],[Frequentie werkdagen]]," ",Ruimtestaat[[#This Row],[Vloer code]]))</f>
        <v>2-2w T</v>
      </c>
      <c r="AQ283" s="448" t="str">
        <f>_xlfn.IFNA(VLOOKUP($AP283,Programma!$F$3:$G$1101,2,0),"")</f>
        <v>1w</v>
      </c>
      <c r="AR283" s="448" t="str">
        <f>_xlfn.IFNA(VLOOKUP($AP283,Programma!$F$3:$H$1101,3,0),"")</f>
        <v>1w</v>
      </c>
      <c r="AS283" s="448" t="str">
        <f>_xlfn.IFNA(VLOOKUP($AP283,Programma!$F$3:$I$1101,4,0),"")</f>
        <v>_</v>
      </c>
      <c r="AT283" s="448" t="str">
        <f>_xlfn.IFNA(VLOOKUP($AP283,Programma!$F$3:$J$1101,5,0),"")</f>
        <v>_</v>
      </c>
      <c r="AU283" s="448" t="str">
        <f>_xlfn.IFNA(VLOOKUP($AP283,Programma!$F$3:$K$1101,6,0),"")</f>
        <v>_</v>
      </c>
      <c r="AV283" s="448" t="str">
        <f>_xlfn.IFNA(VLOOKUP($AP283,Programma!$F$3:$L$1101,7,0),"")</f>
        <v>_</v>
      </c>
      <c r="AW283" s="448" t="str">
        <f>_xlfn.IFNA(VLOOKUP($AP283,Programma!$F$3:$M$1101,8,0),"")</f>
        <v>_</v>
      </c>
      <c r="AX283" s="448" t="str">
        <f>_xlfn.IFNA(VLOOKUP($AP283,Programma!$F$3:$N$1101,9,0),"")</f>
        <v>_</v>
      </c>
      <c r="AY283" s="448" t="str">
        <f>_xlfn.IFNA(VLOOKUP($AP283,Programma!$F$3:$O$1101,10,0),"")</f>
        <v>2w</v>
      </c>
      <c r="AZ283" s="448" t="str">
        <f>_xlfn.IFNA(VLOOKUP($AP283,Programma!$F$3:$P$1101,11,0),"")</f>
        <v>2w</v>
      </c>
      <c r="BA283" s="448" t="str">
        <f>_xlfn.IFNA(VLOOKUP($AP283,Programma!$F$3:$Q$1101,12,0),"")</f>
        <v>1w</v>
      </c>
      <c r="BB283" s="448" t="str">
        <f>_xlfn.IFNA(VLOOKUP($AP283,Programma!$F$3:$R$1101,13,0),"")</f>
        <v>1w</v>
      </c>
      <c r="BC283" s="448" t="str">
        <f>_xlfn.IFNA(VLOOKUP($AP283,Programma!$F$3:$S$1101,14,0),"")</f>
        <v>1m</v>
      </c>
      <c r="BD283" s="448" t="str">
        <f>_xlfn.IFNA(VLOOKUP($AP283,Programma!$F$3:$T$1101,15,0),"")</f>
        <v>2j</v>
      </c>
      <c r="BE283" s="448" t="str">
        <f>_xlfn.IFNA(VLOOKUP($AP283,Programma!$F$3:$U$1101,16,0),"")</f>
        <v>1j</v>
      </c>
      <c r="BF283" s="448" t="str">
        <f>_xlfn.IFNA(VLOOKUP($AP283,Programma!$F$3:$V$1101,17,0),"")</f>
        <v>_</v>
      </c>
      <c r="BG283" s="448" t="str">
        <f>_xlfn.IFNA(VLOOKUP($AP283,Programma!$F$3:$W$1101,18,0),"")</f>
        <v>_</v>
      </c>
      <c r="BH283" s="448" t="str">
        <f>_xlfn.IFNA(VLOOKUP($AP283,Programma!$F$3:$X$1101,19,0),"")</f>
        <v>_</v>
      </c>
      <c r="BI283" s="448" t="str">
        <f>_xlfn.IFNA(VLOOKUP($AP283,Programma!$F$3:$Y$1101,20,0),"")</f>
        <v>_</v>
      </c>
      <c r="BJ283" s="449"/>
      <c r="BK283" s="447" t="str">
        <f>IF(Ruimtestaat[[#This Row],[Frequentie weekend]]="","",_xlfn.CONCAT(Ruimtestaat[[#This Row],[Ruimte code]],"-",Ruimtestaat[[#This Row],[Frequentie weekend]]," ",Ruimtestaat[[#This Row],[Vloer code]]))</f>
        <v/>
      </c>
      <c r="BL283" s="448" t="str">
        <f>_xlfn.IFNA(VLOOKUP($BK283,Programma!$F$3:$G$1101,2,0),"")</f>
        <v/>
      </c>
      <c r="BM283" s="448" t="str">
        <f>_xlfn.IFNA(VLOOKUP($BK283,Programma!$F$3:$H$1101,3,0),"")</f>
        <v/>
      </c>
      <c r="BN283" s="448" t="str">
        <f>_xlfn.IFNA(VLOOKUP($BK283,Programma!$F$3:$I$1101,4,0),"")</f>
        <v/>
      </c>
      <c r="BO283" s="448" t="str">
        <f>_xlfn.IFNA(VLOOKUP($BK283,Programma!$F$3:$J$1101,5,0),"")</f>
        <v/>
      </c>
      <c r="BP283" s="448" t="str">
        <f>_xlfn.IFNA(VLOOKUP($BK283,Programma!$F$3:$K$1101,6,0),"")</f>
        <v/>
      </c>
      <c r="BQ283" s="448" t="str">
        <f>_xlfn.IFNA(VLOOKUP($BK283,Programma!$F$3:$L$1101,7,0),"")</f>
        <v/>
      </c>
      <c r="BR283" s="448" t="str">
        <f>_xlfn.IFNA(VLOOKUP($BK283,Programma!$F$3:$M$1101,8,0),"")</f>
        <v/>
      </c>
      <c r="BS283" s="448" t="str">
        <f>_xlfn.IFNA(VLOOKUP($BK283,Programma!$F$3:$N$1101,9,0),"")</f>
        <v/>
      </c>
      <c r="BT283" s="448" t="str">
        <f>_xlfn.IFNA(VLOOKUP($BK283,Programma!$F$3:$O$1101,10,0),"")</f>
        <v/>
      </c>
      <c r="BU283" s="448" t="str">
        <f>_xlfn.IFNA(VLOOKUP($BK283,Programma!$F$3:$P$1101,11,0),"")</f>
        <v/>
      </c>
      <c r="BV283" s="448" t="str">
        <f>_xlfn.IFNA(VLOOKUP($BK283,Programma!$F$3:$Q$1101,12,0),"")</f>
        <v/>
      </c>
      <c r="BW283" s="448" t="str">
        <f>_xlfn.IFNA(VLOOKUP($BK283,Programma!$F$3:$R$1101,13,0),"")</f>
        <v/>
      </c>
      <c r="BX283" s="448" t="str">
        <f>_xlfn.IFNA(VLOOKUP($BK283,Programma!$F$3:$S$1101,14,0),"")</f>
        <v/>
      </c>
      <c r="BY283" s="448" t="str">
        <f>_xlfn.IFNA(VLOOKUP($BK283,Programma!$F$3:$T$1101,15,0),"")</f>
        <v/>
      </c>
      <c r="BZ283" s="448" t="str">
        <f>_xlfn.IFNA(VLOOKUP($BK283,Programma!$F$3:$U$1101,16,0),"")</f>
        <v/>
      </c>
      <c r="CA283" s="448" t="str">
        <f>_xlfn.IFNA(VLOOKUP($BK283,Programma!$F$3:$V$1101,17,0),"")</f>
        <v/>
      </c>
      <c r="CB283" s="448" t="str">
        <f>_xlfn.IFNA(VLOOKUP($BK283,Programma!$F$3:$W$1101,18,0),"")</f>
        <v/>
      </c>
      <c r="CC283" s="448" t="str">
        <f>_xlfn.IFNA(VLOOKUP($BK283,Programma!$F$3:$X$1101,19,0),"")</f>
        <v/>
      </c>
      <c r="CD283" s="448" t="str">
        <f>_xlfn.IFNA(VLOOKUP($BK283,Programma!$F$3:$Y$1101,20,0),"")</f>
        <v/>
      </c>
      <c r="CE283" s="327"/>
      <c r="CF283" s="327"/>
      <c r="CG283" s="327"/>
      <c r="CH283" s="327"/>
      <c r="CI283" s="327"/>
      <c r="CJ283" s="327"/>
      <c r="CK283" s="327"/>
      <c r="CL283" s="327"/>
      <c r="CM283" s="327"/>
      <c r="CN283" s="327"/>
      <c r="CO283" s="327"/>
      <c r="CP283" s="327"/>
      <c r="CQ283" s="327"/>
      <c r="CR283" s="327"/>
      <c r="CS283" s="327"/>
      <c r="CT283" s="327"/>
      <c r="CU283" s="327"/>
      <c r="CV283" s="327"/>
      <c r="CW283" s="327"/>
      <c r="CX283" s="327"/>
      <c r="CY283" s="327"/>
      <c r="CZ283" s="327"/>
      <c r="DA283" s="327"/>
      <c r="DB283" s="327"/>
      <c r="DC283" s="327"/>
      <c r="DD283" s="327"/>
      <c r="DE283" s="327"/>
      <c r="DF283" s="327"/>
      <c r="DG283" s="327"/>
      <c r="DH283" s="327"/>
      <c r="DI283" s="327"/>
      <c r="DJ283" s="327"/>
      <c r="DK283" s="327"/>
      <c r="DL283" s="327"/>
      <c r="DM283" s="327"/>
      <c r="DN283" s="327"/>
      <c r="DO283" s="327"/>
      <c r="DP283" s="327"/>
      <c r="DQ283" s="327"/>
      <c r="DR283" s="327"/>
      <c r="DS283" s="327"/>
      <c r="DT283" s="327"/>
      <c r="DU283" s="327"/>
      <c r="DV283" s="327"/>
      <c r="DW283" s="327"/>
      <c r="DX283" s="327"/>
      <c r="DY283" s="327"/>
      <c r="DZ283" s="327"/>
      <c r="EA283" s="327"/>
      <c r="EB283" s="327"/>
      <c r="EC283" s="327"/>
      <c r="ED283" s="327"/>
      <c r="EE283" s="327"/>
      <c r="EF283" s="327"/>
      <c r="EG283" s="327"/>
      <c r="EH283" s="327"/>
      <c r="EI283" s="327"/>
      <c r="EJ283" s="327"/>
      <c r="EK283" s="327"/>
      <c r="EL283" s="327"/>
      <c r="EM283" s="327"/>
      <c r="EN283" s="327"/>
      <c r="EO283" s="327"/>
      <c r="EP283" s="327"/>
      <c r="EQ283" s="327"/>
      <c r="ER283" s="327"/>
      <c r="ES283" s="327"/>
      <c r="ET283" s="327"/>
      <c r="EU283" s="327"/>
      <c r="EV283" s="327"/>
      <c r="EW283" s="327"/>
      <c r="EX283" s="327"/>
      <c r="EY283" s="327"/>
      <c r="EZ283" s="327"/>
      <c r="FA283" s="327"/>
      <c r="FB283" s="327"/>
      <c r="FC283" s="327"/>
      <c r="FD283" s="327"/>
      <c r="FE283" s="327"/>
      <c r="FF283" s="327"/>
      <c r="FG283" s="327"/>
      <c r="FH283" s="327"/>
      <c r="FI283" s="327"/>
      <c r="FJ283" s="327"/>
      <c r="FK283" s="327"/>
      <c r="FL283" s="327"/>
      <c r="FM283" s="327"/>
      <c r="FN283" s="327"/>
      <c r="FO283" s="327"/>
      <c r="FP283" s="327"/>
      <c r="FQ283" s="327"/>
      <c r="FR283" s="327"/>
      <c r="FS283" s="327"/>
      <c r="FT283" s="327"/>
      <c r="FU283" s="327"/>
      <c r="FV283" s="327"/>
      <c r="FW283" s="327"/>
      <c r="FX283" s="327"/>
      <c r="FY283" s="327"/>
      <c r="FZ283" s="327"/>
      <c r="GA283" s="327"/>
      <c r="GB283" s="327"/>
      <c r="GC283" s="327"/>
      <c r="GD283" s="327"/>
      <c r="GE283" s="327"/>
      <c r="GF283" s="327"/>
      <c r="GG283" s="327"/>
      <c r="GH283" s="327"/>
      <c r="GI283" s="327"/>
      <c r="GJ283" s="327"/>
      <c r="GK283" s="327"/>
      <c r="GL283" s="327"/>
      <c r="GM283" s="327"/>
      <c r="GN283" s="327"/>
      <c r="GO283" s="327"/>
      <c r="GP283" s="327"/>
      <c r="GQ283" s="327"/>
      <c r="GR283" s="327"/>
      <c r="GS283" s="327"/>
      <c r="GT283" s="327"/>
      <c r="GU283" s="327"/>
      <c r="GV283" s="327"/>
      <c r="GW283" s="327"/>
      <c r="GX283" s="327"/>
      <c r="GY283" s="327"/>
      <c r="GZ283" s="327"/>
      <c r="HA283" s="327"/>
      <c r="HB283" s="327"/>
      <c r="HC283" s="327"/>
      <c r="HD283" s="327"/>
      <c r="HE283" s="327"/>
      <c r="HF283" s="327"/>
      <c r="HG283" s="327"/>
      <c r="HH283" s="327"/>
      <c r="HI283" s="327"/>
      <c r="HJ283" s="327"/>
      <c r="HK283" s="327"/>
      <c r="HL283" s="327"/>
      <c r="HM283" s="327"/>
      <c r="HN283" s="327"/>
      <c r="HO283" s="327"/>
      <c r="HP283" s="327"/>
      <c r="HQ283" s="327"/>
      <c r="HR283" s="327"/>
      <c r="HS283" s="327"/>
    </row>
    <row r="284" spans="1:227" ht="15" customHeight="1">
      <c r="A284" s="330">
        <v>12</v>
      </c>
      <c r="B284" s="435" t="str">
        <f>VLOOKUP(Ruimtestaat[[#This Row],[Code]],Locaties[[Code]:[Locatie]],2,FALSE)</f>
        <v>IKC De Leerplaneet Loc. 2 (vh 't Plankier)</v>
      </c>
      <c r="C284" s="435" t="str">
        <f>VLOOKUP(Ruimtestaat[[#This Row],[Code]],Locaties[[#All],[Code]:[Adres]],4,FALSE)</f>
        <v>Wedekindzijde 1-3</v>
      </c>
      <c r="D284" s="435" t="str">
        <f>VLOOKUP(Ruimtestaat[[#This Row],[Code]],Locaties[[#All],[Code]:[Postcode]],5,FALSE)</f>
        <v>2725 PG</v>
      </c>
      <c r="E284" s="435" t="str">
        <f>VLOOKUP(Ruimtestaat[[#This Row],[Code]],Locaties[#All],6,FALSE)</f>
        <v>Zoetermeer</v>
      </c>
      <c r="F284" s="450"/>
      <c r="G284" s="330" t="s">
        <v>1678</v>
      </c>
      <c r="H284" s="330" t="s">
        <v>1830</v>
      </c>
      <c r="I284" s="450" t="s">
        <v>1673</v>
      </c>
      <c r="J284" s="330">
        <v>5</v>
      </c>
      <c r="K284" s="450" t="str">
        <f>VLOOKUP(Ruimtestaat[[#This Row],[Ruimte code]],Ruimtegroepen[[#All],[Code]:[Ruimte omschrijving]],2,FALSE)</f>
        <v>Sanitair</v>
      </c>
      <c r="L284" s="330" t="s">
        <v>102</v>
      </c>
      <c r="M284" s="437" t="s">
        <v>2105</v>
      </c>
      <c r="N284" s="439">
        <v>50</v>
      </c>
      <c r="O284" s="439"/>
      <c r="P284" s="439"/>
      <c r="Q284" s="439"/>
      <c r="R284" s="440" t="str">
        <f>VLOOKUP(Ruimtestaat[[#This Row],[Ruimte code]],Ruimtegroepen[],4,FALSE)</f>
        <v>Sa</v>
      </c>
      <c r="S284" s="434">
        <v>41</v>
      </c>
      <c r="T284" s="434" t="s">
        <v>2</v>
      </c>
      <c r="U284" s="434">
        <f>IF(S284&gt;0,IF(RIGHT(Ruimtestaat[[#This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84" s="434">
        <f>IF(U284&gt;0,VLOOKUP($J284,Ruimtegroepen[],3,FALSE)*VLOOKUP($L284,Vloersoorten[],3,FALSE)*VLOOKUP($T284,Frequenties[],3,FALSE)*VLOOKUP($A284,Locaties[],3,FALSE),0)</f>
        <v>0</v>
      </c>
      <c r="W284" s="434">
        <f>Ruimtestaat[[#This Row],[Uitvoeringen werkdagen]]*Ruimtestaat[[#This Row],[Oppervlak (netto)]]</f>
        <v>10250</v>
      </c>
      <c r="X284" s="441">
        <f>IF(V284&gt;0,Ruimtestaat[[#This Row],[Prest. (m2 /jaar) werkdagen]]/Ruimtestaat[[#This Row],[Norm (m2/uur) werkdagen]],0)</f>
        <v>0</v>
      </c>
      <c r="Y284" s="442">
        <f>Ruimtestaat[[#This Row],[Uitvoeringen werkdagen]]*Ruimtestaat[[#This Row],[Gedeeltelijk]]</f>
        <v>0</v>
      </c>
      <c r="Z284" s="443" t="e">
        <f>IF(U284&gt;0,Ruimtestaat[[#This Row],[Prest. (m2 / jaar) werkdagen gedeeld]]/Ruimtestaat[[#This Row],[Norm (m2/uur) werkdagen]],0)</f>
        <v>#DIV/0!</v>
      </c>
      <c r="AA284" s="441" t="e">
        <f>Ruimtestaat[[#This Row],[uren / jaar werkdagen gedeeld]]*Tariefsopbouw!$E$35</f>
        <v>#DIV/0!</v>
      </c>
      <c r="AB284" s="441">
        <f>Ruimtestaat[[#This Row],[Uitvoeringen werkdagen]]*Ruimtestaat[[#This Row],[BSO]]</f>
        <v>0</v>
      </c>
      <c r="AC284" s="443" t="e">
        <f>IF(U284&gt;0,Ruimtestaat[[#This Row],[Prest. (m2 / jaar) werkdagen BSO]]/Ruimtestaat[[#This Row],[Norm (m2/uur) werkdagen]],0)</f>
        <v>#DIV/0!</v>
      </c>
      <c r="AD284" s="443" t="e">
        <f>Ruimtestaat[[#This Row],[uren / jaar werkdagen BSO]]*Tariefsopbouw!$E$35</f>
        <v>#DIV/0!</v>
      </c>
      <c r="AE284" s="444">
        <f>Ruimtestaat[[#This Row],[uren / jaar werkdagen]]*Tariefsopbouw!$E$35</f>
        <v>0</v>
      </c>
      <c r="AF284" s="434"/>
      <c r="AG284" s="434">
        <f>IF(Ruimtestaat[[#This Row],[Frequentie weekend]]&gt;0,VALUE(LEFT(AF284,1))*S284,0)</f>
        <v>0</v>
      </c>
      <c r="AH284" s="445">
        <f>IF($AG284&gt;0,VLOOKUP($J284,Ruimtegroepen[],3,FALSE)*VLOOKUP($L284,Vloersoorten[],3,FALSE)*VLOOKUP($AF284,Frequenties[],3,FALSE)*VLOOKUP(Ruimtestaat[[#This Row],[Code]],Locaties[],3,FALSE),0)</f>
        <v>0</v>
      </c>
      <c r="AI284" s="445">
        <f>Ruimtestaat[[#This Row],[Uitvoeringen weekend]]*Ruimtestaat[[#This Row],[Oppervlak (netto)]]</f>
        <v>0</v>
      </c>
      <c r="AJ284" s="445">
        <f>IF(AH284&gt;0,Ruimtestaat[[#This Row],[Prest. (m2 /jaar) weekend]]/Ruimtestaat[[#This Row],[Norm (m2/uur) weekend]],0)</f>
        <v>0</v>
      </c>
      <c r="AK284" s="444">
        <f>Ruimtestaat[[#This Row],[uren / jaar weekend]]*Tariefsopbouw!$D$40</f>
        <v>0</v>
      </c>
      <c r="AL284" s="441">
        <f>Ruimtestaat[[#This Row],[Prest. (m2 /jaar) weekend]]+Ruimtestaat[[#This Row],[Prest. (m2 /jaar) werkdagen]]</f>
        <v>10250</v>
      </c>
      <c r="AM284" s="441">
        <f>Ruimtestaat[[#This Row],[uren / jaar weekend]]+Ruimtestaat[[#This Row],[uren / jaar werkdagen]]</f>
        <v>0</v>
      </c>
      <c r="AN284" s="446">
        <f>Ruimtestaat[[#This Row],[kosten / jaar weekend]]+Ruimtestaat[[#This Row],[kosten / jaar werkdagen]]</f>
        <v>0</v>
      </c>
      <c r="AO284" s="446"/>
      <c r="AP284" s="447" t="str">
        <f>IF(Ruimtestaat[[#This Row],[Frequentie werkdagen]]="","",_xlfn.CONCAT(Ruimtestaat[[#This Row],[Ruimte code]],"-",Ruimtestaat[[#This Row],[Frequentie werkdagen]]," ",Ruimtestaat[[#This Row],[Vloer code]]))</f>
        <v>5-5w P</v>
      </c>
      <c r="AQ284" s="448" t="str">
        <f>_xlfn.IFNA(VLOOKUP($AP284,Programma!$F$3:$G$1101,2,0),"")</f>
        <v>_</v>
      </c>
      <c r="AR284" s="448" t="str">
        <f>_xlfn.IFNA(VLOOKUP($AP284,Programma!$F$3:$H$1101,3,0),"")</f>
        <v>_</v>
      </c>
      <c r="AS284" s="448" t="str">
        <f>_xlfn.IFNA(VLOOKUP($AP284,Programma!$F$3:$I$1101,4,0),"")</f>
        <v>_</v>
      </c>
      <c r="AT284" s="448" t="str">
        <f>_xlfn.IFNA(VLOOKUP($AP284,Programma!$F$3:$J$1101,5,0),"")</f>
        <v>4w</v>
      </c>
      <c r="AU284" s="448" t="str">
        <f>_xlfn.IFNA(VLOOKUP($AP284,Programma!$F$3:$K$1101,6,0),"")</f>
        <v>1w</v>
      </c>
      <c r="AV284" s="448" t="str">
        <f>_xlfn.IFNA(VLOOKUP($AP284,Programma!$F$3:$L$1101,7,0),"")</f>
        <v>_</v>
      </c>
      <c r="AW284" s="448" t="str">
        <f>_xlfn.IFNA(VLOOKUP($AP284,Programma!$F$3:$M$1101,8,0),"")</f>
        <v>_</v>
      </c>
      <c r="AX284" s="448" t="str">
        <f>_xlfn.IFNA(VLOOKUP($AP284,Programma!$F$3:$N$1101,9,0),"")</f>
        <v>_</v>
      </c>
      <c r="AY284" s="448" t="str">
        <f>_xlfn.IFNA(VLOOKUP($AP284,Programma!$F$3:$O$1101,10,0),"")</f>
        <v>_</v>
      </c>
      <c r="AZ284" s="448" t="str">
        <f>_xlfn.IFNA(VLOOKUP($AP284,Programma!$F$3:$P$1101,11,0),"")</f>
        <v>_</v>
      </c>
      <c r="BA284" s="448" t="str">
        <f>_xlfn.IFNA(VLOOKUP($AP284,Programma!$F$3:$Q$1101,12,0),"")</f>
        <v>_</v>
      </c>
      <c r="BB284" s="448" t="str">
        <f>_xlfn.IFNA(VLOOKUP($AP284,Programma!$F$3:$R$1101,13,0),"")</f>
        <v>_</v>
      </c>
      <c r="BC284" s="448" t="str">
        <f>_xlfn.IFNA(VLOOKUP($AP284,Programma!$F$3:$S$1101,14,0),"")</f>
        <v>_</v>
      </c>
      <c r="BD284" s="448" t="str">
        <f>_xlfn.IFNA(VLOOKUP($AP284,Programma!$F$3:$T$1101,15,0),"")</f>
        <v>_</v>
      </c>
      <c r="BE284" s="448" t="str">
        <f>_xlfn.IFNA(VLOOKUP($AP284,Programma!$F$3:$U$1101,16,0),"")</f>
        <v>_</v>
      </c>
      <c r="BF284" s="448" t="str">
        <f>_xlfn.IFNA(VLOOKUP($AP284,Programma!$F$3:$V$1101,17,0),"")</f>
        <v>_</v>
      </c>
      <c r="BG284" s="448" t="str">
        <f>_xlfn.IFNA(VLOOKUP($AP284,Programma!$F$3:$W$1101,18,0),"")</f>
        <v>4w</v>
      </c>
      <c r="BH284" s="448" t="str">
        <f>_xlfn.IFNA(VLOOKUP($AP284,Programma!$F$3:$X$1101,19,0),"")</f>
        <v>1w</v>
      </c>
      <c r="BI284" s="448" t="str">
        <f>_xlfn.IFNA(VLOOKUP($AP284,Programma!$F$3:$Y$1101,20,0),"")</f>
        <v>_</v>
      </c>
      <c r="BJ284" s="449"/>
      <c r="BK284" s="447" t="str">
        <f>IF(Ruimtestaat[[#This Row],[Frequentie weekend]]="","",_xlfn.CONCAT(Ruimtestaat[[#This Row],[Ruimte code]],"-",Ruimtestaat[[#This Row],[Frequentie weekend]]," ",Ruimtestaat[[#This Row],[Vloer code]]))</f>
        <v/>
      </c>
      <c r="BL284" s="448" t="str">
        <f>_xlfn.IFNA(VLOOKUP($BK284,Programma!$F$3:$G$1101,2,0),"")</f>
        <v/>
      </c>
      <c r="BM284" s="448" t="str">
        <f>_xlfn.IFNA(VLOOKUP($BK284,Programma!$F$3:$H$1101,3,0),"")</f>
        <v/>
      </c>
      <c r="BN284" s="448" t="str">
        <f>_xlfn.IFNA(VLOOKUP($BK284,Programma!$F$3:$I$1101,4,0),"")</f>
        <v/>
      </c>
      <c r="BO284" s="448" t="str">
        <f>_xlfn.IFNA(VLOOKUP($BK284,Programma!$F$3:$J$1101,5,0),"")</f>
        <v/>
      </c>
      <c r="BP284" s="448" t="str">
        <f>_xlfn.IFNA(VLOOKUP($BK284,Programma!$F$3:$K$1101,6,0),"")</f>
        <v/>
      </c>
      <c r="BQ284" s="448" t="str">
        <f>_xlfn.IFNA(VLOOKUP($BK284,Programma!$F$3:$L$1101,7,0),"")</f>
        <v/>
      </c>
      <c r="BR284" s="448" t="str">
        <f>_xlfn.IFNA(VLOOKUP($BK284,Programma!$F$3:$M$1101,8,0),"")</f>
        <v/>
      </c>
      <c r="BS284" s="448" t="str">
        <f>_xlfn.IFNA(VLOOKUP($BK284,Programma!$F$3:$N$1101,9,0),"")</f>
        <v/>
      </c>
      <c r="BT284" s="448" t="str">
        <f>_xlfn.IFNA(VLOOKUP($BK284,Programma!$F$3:$O$1101,10,0),"")</f>
        <v/>
      </c>
      <c r="BU284" s="448" t="str">
        <f>_xlfn.IFNA(VLOOKUP($BK284,Programma!$F$3:$P$1101,11,0),"")</f>
        <v/>
      </c>
      <c r="BV284" s="448" t="str">
        <f>_xlfn.IFNA(VLOOKUP($BK284,Programma!$F$3:$Q$1101,12,0),"")</f>
        <v/>
      </c>
      <c r="BW284" s="448" t="str">
        <f>_xlfn.IFNA(VLOOKUP($BK284,Programma!$F$3:$R$1101,13,0),"")</f>
        <v/>
      </c>
      <c r="BX284" s="448" t="str">
        <f>_xlfn.IFNA(VLOOKUP($BK284,Programma!$F$3:$S$1101,14,0),"")</f>
        <v/>
      </c>
      <c r="BY284" s="448" t="str">
        <f>_xlfn.IFNA(VLOOKUP($BK284,Programma!$F$3:$T$1101,15,0),"")</f>
        <v/>
      </c>
      <c r="BZ284" s="448" t="str">
        <f>_xlfn.IFNA(VLOOKUP($BK284,Programma!$F$3:$U$1101,16,0),"")</f>
        <v/>
      </c>
      <c r="CA284" s="448" t="str">
        <f>_xlfn.IFNA(VLOOKUP($BK284,Programma!$F$3:$V$1101,17,0),"")</f>
        <v/>
      </c>
      <c r="CB284" s="448" t="str">
        <f>_xlfn.IFNA(VLOOKUP($BK284,Programma!$F$3:$W$1101,18,0),"")</f>
        <v/>
      </c>
      <c r="CC284" s="448" t="str">
        <f>_xlfn.IFNA(VLOOKUP($BK284,Programma!$F$3:$X$1101,19,0),"")</f>
        <v/>
      </c>
      <c r="CD284" s="448" t="str">
        <f>_xlfn.IFNA(VLOOKUP($BK284,Programma!$F$3:$Y$1101,20,0),"")</f>
        <v/>
      </c>
      <c r="CE284" s="327"/>
      <c r="CF284" s="327"/>
      <c r="CG284" s="327"/>
      <c r="CH284" s="327"/>
      <c r="CI284" s="327"/>
      <c r="CJ284" s="327"/>
      <c r="CK284" s="327"/>
      <c r="CL284" s="327"/>
      <c r="CM284" s="327"/>
      <c r="CN284" s="327"/>
      <c r="CO284" s="327"/>
      <c r="CP284" s="327"/>
      <c r="CQ284" s="327"/>
      <c r="CR284" s="327"/>
      <c r="CS284" s="327"/>
      <c r="CT284" s="327"/>
      <c r="CU284" s="327"/>
      <c r="CV284" s="327"/>
      <c r="CW284" s="327"/>
      <c r="CX284" s="327"/>
      <c r="CY284" s="327"/>
      <c r="CZ284" s="327"/>
      <c r="DA284" s="327"/>
      <c r="DB284" s="327"/>
      <c r="DC284" s="327"/>
      <c r="DD284" s="327"/>
      <c r="DE284" s="327"/>
      <c r="DF284" s="327"/>
      <c r="DG284" s="327"/>
      <c r="DH284" s="327"/>
      <c r="DI284" s="327"/>
      <c r="DJ284" s="327"/>
      <c r="DK284" s="327"/>
      <c r="DL284" s="327"/>
      <c r="DM284" s="327"/>
      <c r="DN284" s="327"/>
      <c r="DO284" s="327"/>
      <c r="DP284" s="327"/>
      <c r="DQ284" s="327"/>
      <c r="DR284" s="327"/>
      <c r="DS284" s="327"/>
      <c r="DT284" s="327"/>
      <c r="DU284" s="327"/>
      <c r="DV284" s="327"/>
      <c r="DW284" s="327"/>
      <c r="DX284" s="327"/>
      <c r="DY284" s="327"/>
      <c r="DZ284" s="327"/>
      <c r="EA284" s="327"/>
      <c r="EB284" s="327"/>
      <c r="EC284" s="327"/>
      <c r="ED284" s="327"/>
      <c r="EE284" s="327"/>
      <c r="EF284" s="327"/>
      <c r="EG284" s="327"/>
      <c r="EH284" s="327"/>
      <c r="EI284" s="327"/>
      <c r="EJ284" s="327"/>
      <c r="EK284" s="327"/>
      <c r="EL284" s="327"/>
      <c r="EM284" s="327"/>
      <c r="EN284" s="327"/>
      <c r="EO284" s="327"/>
      <c r="EP284" s="327"/>
      <c r="EQ284" s="327"/>
      <c r="ER284" s="327"/>
      <c r="ES284" s="327"/>
      <c r="ET284" s="327"/>
      <c r="EU284" s="327"/>
      <c r="EV284" s="327"/>
      <c r="EW284" s="327"/>
      <c r="EX284" s="327"/>
      <c r="EY284" s="327"/>
      <c r="EZ284" s="327"/>
      <c r="FA284" s="327"/>
      <c r="FB284" s="327"/>
      <c r="FC284" s="327"/>
      <c r="FD284" s="327"/>
      <c r="FE284" s="327"/>
      <c r="FF284" s="327"/>
      <c r="FG284" s="327"/>
      <c r="FH284" s="327"/>
      <c r="FI284" s="327"/>
      <c r="FJ284" s="327"/>
      <c r="FK284" s="327"/>
      <c r="FL284" s="327"/>
      <c r="FM284" s="327"/>
      <c r="FN284" s="327"/>
      <c r="FO284" s="327"/>
      <c r="FP284" s="327"/>
      <c r="FQ284" s="327"/>
      <c r="FR284" s="327"/>
      <c r="FS284" s="327"/>
      <c r="FT284" s="327"/>
      <c r="FU284" s="327"/>
      <c r="FV284" s="327"/>
      <c r="FW284" s="327"/>
      <c r="FX284" s="327"/>
      <c r="FY284" s="327"/>
      <c r="FZ284" s="327"/>
      <c r="GA284" s="327"/>
      <c r="GB284" s="327"/>
      <c r="GC284" s="327"/>
      <c r="GD284" s="327"/>
      <c r="GE284" s="327"/>
      <c r="GF284" s="327"/>
      <c r="GG284" s="327"/>
      <c r="GH284" s="327"/>
      <c r="GI284" s="327"/>
      <c r="GJ284" s="327"/>
      <c r="GK284" s="327"/>
      <c r="GL284" s="327"/>
      <c r="GM284" s="327"/>
      <c r="GN284" s="327"/>
      <c r="GO284" s="327"/>
      <c r="GP284" s="327"/>
      <c r="GQ284" s="327"/>
      <c r="GR284" s="327"/>
      <c r="GS284" s="327"/>
      <c r="GT284" s="327"/>
      <c r="GU284" s="327"/>
      <c r="GV284" s="327"/>
      <c r="GW284" s="327"/>
      <c r="GX284" s="327"/>
      <c r="GY284" s="327"/>
      <c r="GZ284" s="327"/>
      <c r="HA284" s="327"/>
      <c r="HB284" s="327"/>
      <c r="HC284" s="327"/>
      <c r="HD284" s="327"/>
      <c r="HE284" s="327"/>
      <c r="HF284" s="327"/>
      <c r="HG284" s="327"/>
      <c r="HH284" s="327"/>
      <c r="HI284" s="327"/>
      <c r="HJ284" s="327"/>
      <c r="HK284" s="327"/>
      <c r="HL284" s="327"/>
      <c r="HM284" s="327"/>
      <c r="HN284" s="327"/>
      <c r="HO284" s="327"/>
      <c r="HP284" s="327"/>
      <c r="HQ284" s="327"/>
      <c r="HR284" s="327"/>
      <c r="HS284" s="327"/>
    </row>
    <row r="285" spans="1:227" ht="15" customHeight="1">
      <c r="A285" s="330">
        <v>12</v>
      </c>
      <c r="B285" s="435" t="str">
        <f>VLOOKUP(Ruimtestaat[[#This Row],[Code]],Locaties[[Code]:[Locatie]],2,FALSE)</f>
        <v>IKC De Leerplaneet Loc. 2 (vh 't Plankier)</v>
      </c>
      <c r="C285" s="435" t="str">
        <f>VLOOKUP(Ruimtestaat[[#This Row],[Code]],Locaties[[#All],[Code]:[Adres]],4,FALSE)</f>
        <v>Wedekindzijde 1-3</v>
      </c>
      <c r="D285" s="435" t="str">
        <f>VLOOKUP(Ruimtestaat[[#This Row],[Code]],Locaties[[#All],[Code]:[Postcode]],5,FALSE)</f>
        <v>2725 PG</v>
      </c>
      <c r="E285" s="435" t="str">
        <f>VLOOKUP(Ruimtestaat[[#This Row],[Code]],Locaties[#All],6,FALSE)</f>
        <v>Zoetermeer</v>
      </c>
      <c r="F285" s="450"/>
      <c r="G285" s="330" t="s">
        <v>1678</v>
      </c>
      <c r="H285" s="330" t="s">
        <v>1831</v>
      </c>
      <c r="I285" s="450" t="s">
        <v>38</v>
      </c>
      <c r="J285" s="330">
        <v>7</v>
      </c>
      <c r="K285" s="450" t="str">
        <f>VLOOKUP(Ruimtestaat[[#This Row],[Ruimte code]],Ruimtegroepen[[#All],[Code]:[Ruimte omschrijving]],2,FALSE)</f>
        <v>Entree</v>
      </c>
      <c r="L285" s="330" t="s">
        <v>99</v>
      </c>
      <c r="M285" s="437" t="s">
        <v>1758</v>
      </c>
      <c r="N285" s="439">
        <v>4</v>
      </c>
      <c r="O285" s="439"/>
      <c r="P285" s="439"/>
      <c r="Q285" s="439"/>
      <c r="R285" s="440" t="str">
        <f>VLOOKUP(Ruimtestaat[[#This Row],[Ruimte code]],Ruimtegroepen[],4,FALSE)</f>
        <v>Ve</v>
      </c>
      <c r="S285" s="434">
        <v>41</v>
      </c>
      <c r="T285" s="434" t="s">
        <v>2</v>
      </c>
      <c r="U285" s="434">
        <f>IF(S285&gt;0,IF(RIGHT(Ruimtestaat[[#This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85" s="434">
        <f>IF(U285&gt;0,VLOOKUP($J285,Ruimtegroepen[],3,FALSE)*VLOOKUP($L285,Vloersoorten[],3,FALSE)*VLOOKUP($T285,Frequenties[],3,FALSE)*VLOOKUP($A285,Locaties[],3,FALSE),0)</f>
        <v>0</v>
      </c>
      <c r="W285" s="434">
        <f>Ruimtestaat[[#This Row],[Uitvoeringen werkdagen]]*Ruimtestaat[[#This Row],[Oppervlak (netto)]]</f>
        <v>820</v>
      </c>
      <c r="X285" s="441">
        <f>IF(V285&gt;0,Ruimtestaat[[#This Row],[Prest. (m2 /jaar) werkdagen]]/Ruimtestaat[[#This Row],[Norm (m2/uur) werkdagen]],0)</f>
        <v>0</v>
      </c>
      <c r="Y285" s="442">
        <f>Ruimtestaat[[#This Row],[Uitvoeringen werkdagen]]*Ruimtestaat[[#This Row],[Gedeeltelijk]]</f>
        <v>0</v>
      </c>
      <c r="Z285" s="443" t="e">
        <f>IF(U285&gt;0,Ruimtestaat[[#This Row],[Prest. (m2 / jaar) werkdagen gedeeld]]/Ruimtestaat[[#This Row],[Norm (m2/uur) werkdagen]],0)</f>
        <v>#DIV/0!</v>
      </c>
      <c r="AA285" s="441" t="e">
        <f>Ruimtestaat[[#This Row],[uren / jaar werkdagen gedeeld]]*Tariefsopbouw!$E$35</f>
        <v>#DIV/0!</v>
      </c>
      <c r="AB285" s="441">
        <f>Ruimtestaat[[#This Row],[Uitvoeringen werkdagen]]*Ruimtestaat[[#This Row],[BSO]]</f>
        <v>0</v>
      </c>
      <c r="AC285" s="443" t="e">
        <f>IF(U285&gt;0,Ruimtestaat[[#This Row],[Prest. (m2 / jaar) werkdagen BSO]]/Ruimtestaat[[#This Row],[Norm (m2/uur) werkdagen]],0)</f>
        <v>#DIV/0!</v>
      </c>
      <c r="AD285" s="443" t="e">
        <f>Ruimtestaat[[#This Row],[uren / jaar werkdagen BSO]]*Tariefsopbouw!$E$35</f>
        <v>#DIV/0!</v>
      </c>
      <c r="AE285" s="444">
        <f>Ruimtestaat[[#This Row],[uren / jaar werkdagen]]*Tariefsopbouw!$E$35</f>
        <v>0</v>
      </c>
      <c r="AF285" s="434"/>
      <c r="AG285" s="434">
        <f>IF(Ruimtestaat[[#This Row],[Frequentie weekend]]&gt;0,VALUE(LEFT(AF285,1))*S285,0)</f>
        <v>0</v>
      </c>
      <c r="AH285" s="445">
        <f>IF($AG285&gt;0,VLOOKUP($J285,Ruimtegroepen[],3,FALSE)*VLOOKUP($L285,Vloersoorten[],3,FALSE)*VLOOKUP($AF285,Frequenties[],3,FALSE)*VLOOKUP(Ruimtestaat[[#This Row],[Code]],Locaties[],3,FALSE),0)</f>
        <v>0</v>
      </c>
      <c r="AI285" s="445">
        <f>Ruimtestaat[[#This Row],[Uitvoeringen weekend]]*Ruimtestaat[[#This Row],[Oppervlak (netto)]]</f>
        <v>0</v>
      </c>
      <c r="AJ285" s="445">
        <f>IF(AH285&gt;0,Ruimtestaat[[#This Row],[Prest. (m2 /jaar) weekend]]/Ruimtestaat[[#This Row],[Norm (m2/uur) weekend]],0)</f>
        <v>0</v>
      </c>
      <c r="AK285" s="444">
        <f>Ruimtestaat[[#This Row],[uren / jaar weekend]]*Tariefsopbouw!$D$40</f>
        <v>0</v>
      </c>
      <c r="AL285" s="441">
        <f>Ruimtestaat[[#This Row],[Prest. (m2 /jaar) weekend]]+Ruimtestaat[[#This Row],[Prest. (m2 /jaar) werkdagen]]</f>
        <v>820</v>
      </c>
      <c r="AM285" s="441">
        <f>Ruimtestaat[[#This Row],[uren / jaar weekend]]+Ruimtestaat[[#This Row],[uren / jaar werkdagen]]</f>
        <v>0</v>
      </c>
      <c r="AN285" s="446">
        <f>Ruimtestaat[[#This Row],[kosten / jaar weekend]]+Ruimtestaat[[#This Row],[kosten / jaar werkdagen]]</f>
        <v>0</v>
      </c>
      <c r="AO285" s="446"/>
      <c r="AP285" s="447" t="str">
        <f>IF(Ruimtestaat[[#This Row],[Frequentie werkdagen]]="","",_xlfn.CONCAT(Ruimtestaat[[#This Row],[Ruimte code]],"-",Ruimtestaat[[#This Row],[Frequentie werkdagen]]," ",Ruimtestaat[[#This Row],[Vloer code]]))</f>
        <v>7-5w T</v>
      </c>
      <c r="AQ285" s="448" t="str">
        <f>_xlfn.IFNA(VLOOKUP($AP285,Programma!$F$3:$G$1101,2,0),"")</f>
        <v>_</v>
      </c>
      <c r="AR285" s="448" t="str">
        <f>_xlfn.IFNA(VLOOKUP($AP285,Programma!$F$3:$H$1101,3,0),"")</f>
        <v>5w</v>
      </c>
      <c r="AS285" s="448" t="str">
        <f>_xlfn.IFNA(VLOOKUP($AP285,Programma!$F$3:$I$1101,4,0),"")</f>
        <v>_</v>
      </c>
      <c r="AT285" s="448" t="str">
        <f>_xlfn.IFNA(VLOOKUP($AP285,Programma!$F$3:$J$1101,5,0),"")</f>
        <v>_</v>
      </c>
      <c r="AU285" s="448" t="str">
        <f>_xlfn.IFNA(VLOOKUP($AP285,Programma!$F$3:$K$1101,6,0),"")</f>
        <v>_</v>
      </c>
      <c r="AV285" s="448" t="str">
        <f>_xlfn.IFNA(VLOOKUP($AP285,Programma!$F$3:$L$1101,7,0),"")</f>
        <v>_</v>
      </c>
      <c r="AW285" s="448" t="str">
        <f>_xlfn.IFNA(VLOOKUP($AP285,Programma!$F$3:$M$1101,8,0),"")</f>
        <v>_</v>
      </c>
      <c r="AX285" s="448" t="str">
        <f>_xlfn.IFNA(VLOOKUP($AP285,Programma!$F$3:$N$1101,9,0),"")</f>
        <v>_</v>
      </c>
      <c r="AY285" s="448" t="str">
        <f>_xlfn.IFNA(VLOOKUP($AP285,Programma!$F$3:$O$1101,10,0),"")</f>
        <v>5w</v>
      </c>
      <c r="AZ285" s="448" t="str">
        <f>_xlfn.IFNA(VLOOKUP($AP285,Programma!$F$3:$P$1101,11,0),"")</f>
        <v>5w</v>
      </c>
      <c r="BA285" s="448" t="str">
        <f>_xlfn.IFNA(VLOOKUP($AP285,Programma!$F$3:$Q$1101,12,0),"")</f>
        <v>1w</v>
      </c>
      <c r="BB285" s="448" t="str">
        <f>_xlfn.IFNA(VLOOKUP($AP285,Programma!$F$3:$R$1101,13,0),"")</f>
        <v>1w</v>
      </c>
      <c r="BC285" s="448" t="str">
        <f>_xlfn.IFNA(VLOOKUP($AP285,Programma!$F$3:$S$1101,14,0),"")</f>
        <v>1m</v>
      </c>
      <c r="BD285" s="448" t="str">
        <f>_xlfn.IFNA(VLOOKUP($AP285,Programma!$F$3:$T$1101,15,0),"")</f>
        <v>2j</v>
      </c>
      <c r="BE285" s="448" t="str">
        <f>_xlfn.IFNA(VLOOKUP($AP285,Programma!$F$3:$U$1101,16,0),"")</f>
        <v>1j</v>
      </c>
      <c r="BF285" s="448" t="str">
        <f>_xlfn.IFNA(VLOOKUP($AP285,Programma!$F$3:$V$1101,17,0),"")</f>
        <v>_</v>
      </c>
      <c r="BG285" s="448" t="str">
        <f>_xlfn.IFNA(VLOOKUP($AP285,Programma!$F$3:$W$1101,18,0),"")</f>
        <v>_</v>
      </c>
      <c r="BH285" s="448" t="str">
        <f>_xlfn.IFNA(VLOOKUP($AP285,Programma!$F$3:$X$1101,19,0),"")</f>
        <v>_</v>
      </c>
      <c r="BI285" s="448" t="str">
        <f>_xlfn.IFNA(VLOOKUP($AP285,Programma!$F$3:$Y$1101,20,0),"")</f>
        <v>_</v>
      </c>
      <c r="BJ285" s="449"/>
      <c r="BK285" s="447" t="str">
        <f>IF(Ruimtestaat[[#This Row],[Frequentie weekend]]="","",_xlfn.CONCAT(Ruimtestaat[[#This Row],[Ruimte code]],"-",Ruimtestaat[[#This Row],[Frequentie weekend]]," ",Ruimtestaat[[#This Row],[Vloer code]]))</f>
        <v/>
      </c>
      <c r="BL285" s="448" t="str">
        <f>_xlfn.IFNA(VLOOKUP($BK285,Programma!$F$3:$G$1101,2,0),"")</f>
        <v/>
      </c>
      <c r="BM285" s="448" t="str">
        <f>_xlfn.IFNA(VLOOKUP($BK285,Programma!$F$3:$H$1101,3,0),"")</f>
        <v/>
      </c>
      <c r="BN285" s="448" t="str">
        <f>_xlfn.IFNA(VLOOKUP($BK285,Programma!$F$3:$I$1101,4,0),"")</f>
        <v/>
      </c>
      <c r="BO285" s="448" t="str">
        <f>_xlfn.IFNA(VLOOKUP($BK285,Programma!$F$3:$J$1101,5,0),"")</f>
        <v/>
      </c>
      <c r="BP285" s="448" t="str">
        <f>_xlfn.IFNA(VLOOKUP($BK285,Programma!$F$3:$K$1101,6,0),"")</f>
        <v/>
      </c>
      <c r="BQ285" s="448" t="str">
        <f>_xlfn.IFNA(VLOOKUP($BK285,Programma!$F$3:$L$1101,7,0),"")</f>
        <v/>
      </c>
      <c r="BR285" s="448" t="str">
        <f>_xlfn.IFNA(VLOOKUP($BK285,Programma!$F$3:$M$1101,8,0),"")</f>
        <v/>
      </c>
      <c r="BS285" s="448" t="str">
        <f>_xlfn.IFNA(VLOOKUP($BK285,Programma!$F$3:$N$1101,9,0),"")</f>
        <v/>
      </c>
      <c r="BT285" s="448" t="str">
        <f>_xlfn.IFNA(VLOOKUP($BK285,Programma!$F$3:$O$1101,10,0),"")</f>
        <v/>
      </c>
      <c r="BU285" s="448" t="str">
        <f>_xlfn.IFNA(VLOOKUP($BK285,Programma!$F$3:$P$1101,11,0),"")</f>
        <v/>
      </c>
      <c r="BV285" s="448" t="str">
        <f>_xlfn.IFNA(VLOOKUP($BK285,Programma!$F$3:$Q$1101,12,0),"")</f>
        <v/>
      </c>
      <c r="BW285" s="448" t="str">
        <f>_xlfn.IFNA(VLOOKUP($BK285,Programma!$F$3:$R$1101,13,0),"")</f>
        <v/>
      </c>
      <c r="BX285" s="448" t="str">
        <f>_xlfn.IFNA(VLOOKUP($BK285,Programma!$F$3:$S$1101,14,0),"")</f>
        <v/>
      </c>
      <c r="BY285" s="448" t="str">
        <f>_xlfn.IFNA(VLOOKUP($BK285,Programma!$F$3:$T$1101,15,0),"")</f>
        <v/>
      </c>
      <c r="BZ285" s="448" t="str">
        <f>_xlfn.IFNA(VLOOKUP($BK285,Programma!$F$3:$U$1101,16,0),"")</f>
        <v/>
      </c>
      <c r="CA285" s="448" t="str">
        <f>_xlfn.IFNA(VLOOKUP($BK285,Programma!$F$3:$V$1101,17,0),"")</f>
        <v/>
      </c>
      <c r="CB285" s="448" t="str">
        <f>_xlfn.IFNA(VLOOKUP($BK285,Programma!$F$3:$W$1101,18,0),"")</f>
        <v/>
      </c>
      <c r="CC285" s="448" t="str">
        <f>_xlfn.IFNA(VLOOKUP($BK285,Programma!$F$3:$X$1101,19,0),"")</f>
        <v/>
      </c>
      <c r="CD285" s="448" t="str">
        <f>_xlfn.IFNA(VLOOKUP($BK285,Programma!$F$3:$Y$1101,20,0),"")</f>
        <v/>
      </c>
      <c r="CE285" s="327"/>
      <c r="CF285" s="327"/>
      <c r="CG285" s="327"/>
      <c r="CH285" s="327"/>
      <c r="CI285" s="327"/>
      <c r="CJ285" s="327"/>
      <c r="CK285" s="327"/>
      <c r="CL285" s="327"/>
      <c r="CM285" s="327"/>
      <c r="CN285" s="327"/>
      <c r="CO285" s="327"/>
      <c r="CP285" s="327"/>
      <c r="CQ285" s="327"/>
      <c r="CR285" s="327"/>
      <c r="CS285" s="327"/>
      <c r="CT285" s="327"/>
      <c r="CU285" s="327"/>
      <c r="CV285" s="327"/>
      <c r="CW285" s="327"/>
      <c r="CX285" s="327"/>
      <c r="CY285" s="327"/>
      <c r="CZ285" s="327"/>
      <c r="DA285" s="327"/>
      <c r="DB285" s="327"/>
      <c r="DC285" s="327"/>
      <c r="DD285" s="327"/>
      <c r="DE285" s="327"/>
      <c r="DF285" s="327"/>
      <c r="DG285" s="327"/>
      <c r="DH285" s="327"/>
      <c r="DI285" s="327"/>
      <c r="DJ285" s="327"/>
      <c r="DK285" s="327"/>
      <c r="DL285" s="327"/>
      <c r="DM285" s="327"/>
      <c r="DN285" s="327"/>
      <c r="DO285" s="327"/>
      <c r="DP285" s="327"/>
      <c r="DQ285" s="327"/>
      <c r="DR285" s="327"/>
      <c r="DS285" s="327"/>
      <c r="DT285" s="327"/>
      <c r="DU285" s="327"/>
      <c r="DV285" s="327"/>
      <c r="DW285" s="327"/>
      <c r="DX285" s="327"/>
      <c r="DY285" s="327"/>
      <c r="DZ285" s="327"/>
      <c r="EA285" s="327"/>
      <c r="EB285" s="327"/>
      <c r="EC285" s="327"/>
      <c r="ED285" s="327"/>
      <c r="EE285" s="327"/>
      <c r="EF285" s="327"/>
      <c r="EG285" s="327"/>
      <c r="EH285" s="327"/>
      <c r="EI285" s="327"/>
      <c r="EJ285" s="327"/>
      <c r="EK285" s="327"/>
      <c r="EL285" s="327"/>
      <c r="EM285" s="327"/>
      <c r="EN285" s="327"/>
      <c r="EO285" s="327"/>
      <c r="EP285" s="327"/>
      <c r="EQ285" s="327"/>
      <c r="ER285" s="327"/>
      <c r="ES285" s="327"/>
      <c r="ET285" s="327"/>
      <c r="EU285" s="327"/>
      <c r="EV285" s="327"/>
      <c r="EW285" s="327"/>
      <c r="EX285" s="327"/>
      <c r="EY285" s="327"/>
      <c r="EZ285" s="327"/>
      <c r="FA285" s="327"/>
      <c r="FB285" s="327"/>
      <c r="FC285" s="327"/>
      <c r="FD285" s="327"/>
      <c r="FE285" s="327"/>
      <c r="FF285" s="327"/>
      <c r="FG285" s="327"/>
      <c r="FH285" s="327"/>
      <c r="FI285" s="327"/>
      <c r="FJ285" s="327"/>
      <c r="FK285" s="327"/>
      <c r="FL285" s="327"/>
      <c r="FM285" s="327"/>
      <c r="FN285" s="327"/>
      <c r="FO285" s="327"/>
      <c r="FP285" s="327"/>
      <c r="FQ285" s="327"/>
      <c r="FR285" s="327"/>
      <c r="FS285" s="327"/>
      <c r="FT285" s="327"/>
      <c r="FU285" s="327"/>
      <c r="FV285" s="327"/>
      <c r="FW285" s="327"/>
      <c r="FX285" s="327"/>
      <c r="FY285" s="327"/>
      <c r="FZ285" s="327"/>
      <c r="GA285" s="327"/>
      <c r="GB285" s="327"/>
      <c r="GC285" s="327"/>
      <c r="GD285" s="327"/>
      <c r="GE285" s="327"/>
      <c r="GF285" s="327"/>
      <c r="GG285" s="327"/>
      <c r="GH285" s="327"/>
      <c r="GI285" s="327"/>
      <c r="GJ285" s="327"/>
      <c r="GK285" s="327"/>
      <c r="GL285" s="327"/>
      <c r="GM285" s="327"/>
      <c r="GN285" s="327"/>
      <c r="GO285" s="327"/>
      <c r="GP285" s="327"/>
      <c r="GQ285" s="327"/>
      <c r="GR285" s="327"/>
      <c r="GS285" s="327"/>
      <c r="GT285" s="327"/>
      <c r="GU285" s="327"/>
      <c r="GV285" s="327"/>
      <c r="GW285" s="327"/>
      <c r="GX285" s="327"/>
      <c r="GY285" s="327"/>
      <c r="GZ285" s="327"/>
      <c r="HA285" s="327"/>
      <c r="HB285" s="327"/>
      <c r="HC285" s="327"/>
      <c r="HD285" s="327"/>
      <c r="HE285" s="327"/>
      <c r="HF285" s="327"/>
      <c r="HG285" s="327"/>
      <c r="HH285" s="327"/>
      <c r="HI285" s="327"/>
      <c r="HJ285" s="327"/>
      <c r="HK285" s="327"/>
      <c r="HL285" s="327"/>
      <c r="HM285" s="327"/>
      <c r="HN285" s="327"/>
      <c r="HO285" s="327"/>
      <c r="HP285" s="327"/>
      <c r="HQ285" s="327"/>
      <c r="HR285" s="327"/>
      <c r="HS285" s="327"/>
    </row>
    <row r="286" spans="1:227" ht="15" customHeight="1">
      <c r="A286" s="330">
        <v>13</v>
      </c>
      <c r="B286" s="435" t="str">
        <f>VLOOKUP(Ruimtestaat[[#This Row],[Code]],Locaties[[Code]:[Locatie]],2,FALSE)</f>
        <v>IKC Florence Nightingale</v>
      </c>
      <c r="C286" s="435" t="str">
        <f>VLOOKUP(Ruimtestaat[[#This Row],[Code]],Locaties[[#All],[Code]:[Adres]],4,FALSE)</f>
        <v>Zanzibarplein 90</v>
      </c>
      <c r="D286" s="435" t="str">
        <f>VLOOKUP(Ruimtestaat[[#This Row],[Code]],Locaties[[#All],[Code]:[Postcode]],5,FALSE)</f>
        <v>2721 GE</v>
      </c>
      <c r="E286" s="435" t="str">
        <f>VLOOKUP(Ruimtestaat[[#This Row],[Code]],Locaties[#All],6,FALSE)</f>
        <v>Zoetermeer</v>
      </c>
      <c r="F286" s="450"/>
      <c r="G286" s="330" t="s">
        <v>1678</v>
      </c>
      <c r="H286" s="330" t="s">
        <v>1662</v>
      </c>
      <c r="I286" s="450" t="s">
        <v>1726</v>
      </c>
      <c r="J286" s="330">
        <v>16</v>
      </c>
      <c r="K286" s="450" t="str">
        <f>VLOOKUP(Ruimtestaat[[#This Row],[Ruimte code]],Ruimtegroepen[[#All],[Code]:[Ruimte omschrijving]],2,FALSE)</f>
        <v>Leslokalen</v>
      </c>
      <c r="L286" s="434" t="s">
        <v>100</v>
      </c>
      <c r="M286" s="437" t="s">
        <v>1759</v>
      </c>
      <c r="N286" s="439"/>
      <c r="O286" s="439"/>
      <c r="P286" s="439">
        <v>85</v>
      </c>
      <c r="Q286" s="439"/>
      <c r="R286" s="440" t="str">
        <f>VLOOKUP(Ruimtestaat[[#This Row],[Ruimte code]],Ruimtegroepen[],4,FALSE)</f>
        <v>Le</v>
      </c>
      <c r="S286" s="434">
        <v>40</v>
      </c>
      <c r="T286" s="434" t="s">
        <v>2</v>
      </c>
      <c r="U286" s="434">
        <f>IF(S286&gt;0,IF(RIGHT(Ruimtestaat[[#This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6" s="434">
        <f>IF(U286&gt;0,VLOOKUP($J286,Ruimtegroepen[],3,FALSE)*VLOOKUP($L286,Vloersoorten[],3,FALSE)*VLOOKUP($T286,Frequenties[],3,FALSE)*VLOOKUP($A286,Locaties[],3,FALSE),0)</f>
        <v>0</v>
      </c>
      <c r="W286" s="434">
        <f>Ruimtestaat[[#This Row],[Uitvoeringen werkdagen]]*Ruimtestaat[[#This Row],[Oppervlak (netto)]]</f>
        <v>0</v>
      </c>
      <c r="X286" s="441">
        <f>IF(V286&gt;0,Ruimtestaat[[#This Row],[Prest. (m2 /jaar) werkdagen]]/Ruimtestaat[[#This Row],[Norm (m2/uur) werkdagen]],0)</f>
        <v>0</v>
      </c>
      <c r="Y286" s="442">
        <f>Ruimtestaat[[#This Row],[Uitvoeringen werkdagen]]*Ruimtestaat[[#This Row],[Gedeeltelijk]]</f>
        <v>17000</v>
      </c>
      <c r="Z286" s="443" t="e">
        <f>IF(U286&gt;0,Ruimtestaat[[#This Row],[Prest. (m2 / jaar) werkdagen gedeeld]]/Ruimtestaat[[#This Row],[Norm (m2/uur) werkdagen]],0)</f>
        <v>#DIV/0!</v>
      </c>
      <c r="AA286" s="441" t="e">
        <f>Ruimtestaat[[#This Row],[uren / jaar werkdagen gedeeld]]*Tariefsopbouw!$E$35</f>
        <v>#DIV/0!</v>
      </c>
      <c r="AB286" s="441">
        <f>Ruimtestaat[[#This Row],[Uitvoeringen werkdagen]]*Ruimtestaat[[#This Row],[BSO]]</f>
        <v>0</v>
      </c>
      <c r="AC286" s="443" t="e">
        <f>IF(U286&gt;0,Ruimtestaat[[#This Row],[Prest. (m2 / jaar) werkdagen BSO]]/Ruimtestaat[[#This Row],[Norm (m2/uur) werkdagen]],0)</f>
        <v>#DIV/0!</v>
      </c>
      <c r="AD286" s="443" t="e">
        <f>Ruimtestaat[[#This Row],[uren / jaar werkdagen BSO]]*Tariefsopbouw!$E$35</f>
        <v>#DIV/0!</v>
      </c>
      <c r="AE286" s="444">
        <f>Ruimtestaat[[#This Row],[uren / jaar werkdagen]]*Tariefsopbouw!$E$35</f>
        <v>0</v>
      </c>
      <c r="AF286" s="434"/>
      <c r="AG286" s="434">
        <f>IF(Ruimtestaat[[#This Row],[Frequentie weekend]]&gt;0,VALUE(LEFT(AF286,1))*S286,0)</f>
        <v>0</v>
      </c>
      <c r="AH286" s="445">
        <f>IF($AG286&gt;0,VLOOKUP($J286,Ruimtegroepen[],3,FALSE)*VLOOKUP($L286,Vloersoorten[],3,FALSE)*VLOOKUP($AF286,Frequenties[],3,FALSE)*VLOOKUP(Ruimtestaat[[#This Row],[Code]],Locaties[],3,FALSE),0)</f>
        <v>0</v>
      </c>
      <c r="AI286" s="445">
        <f>Ruimtestaat[[#This Row],[Uitvoeringen weekend]]*Ruimtestaat[[#This Row],[Oppervlak (netto)]]</f>
        <v>0</v>
      </c>
      <c r="AJ286" s="445">
        <f>IF(AH286&gt;0,Ruimtestaat[[#This Row],[Prest. (m2 /jaar) weekend]]/Ruimtestaat[[#This Row],[Norm (m2/uur) weekend]],0)</f>
        <v>0</v>
      </c>
      <c r="AK286" s="444">
        <f>Ruimtestaat[[#This Row],[uren / jaar weekend]]*Tariefsopbouw!$D$40</f>
        <v>0</v>
      </c>
      <c r="AL286" s="441">
        <f>Ruimtestaat[[#This Row],[Prest. (m2 /jaar) weekend]]+Ruimtestaat[[#This Row],[Prest. (m2 /jaar) werkdagen]]</f>
        <v>0</v>
      </c>
      <c r="AM286" s="441">
        <f>Ruimtestaat[[#This Row],[uren / jaar weekend]]+Ruimtestaat[[#This Row],[uren / jaar werkdagen]]</f>
        <v>0</v>
      </c>
      <c r="AN286" s="446">
        <f>Ruimtestaat[[#This Row],[kosten / jaar weekend]]+Ruimtestaat[[#This Row],[kosten / jaar werkdagen]]</f>
        <v>0</v>
      </c>
      <c r="AO286" s="446"/>
      <c r="AP286" s="447" t="str">
        <f>IF(Ruimtestaat[[#This Row],[Frequentie werkdagen]]="","",_xlfn.CONCAT(Ruimtestaat[[#This Row],[Ruimte code]],"-",Ruimtestaat[[#This Row],[Frequentie werkdagen]]," ",Ruimtestaat[[#This Row],[Vloer code]]))</f>
        <v>16-5w L</v>
      </c>
      <c r="AQ286" s="448" t="str">
        <f>_xlfn.IFNA(VLOOKUP($AP286,Programma!$F$3:$G$1101,2,0),"")</f>
        <v>_</v>
      </c>
      <c r="AR286" s="448" t="str">
        <f>_xlfn.IFNA(VLOOKUP($AP286,Programma!$F$3:$H$1101,3,0),"")</f>
        <v>_</v>
      </c>
      <c r="AS286" s="448" t="str">
        <f>_xlfn.IFNA(VLOOKUP($AP286,Programma!$F$3:$I$1101,4,0),"")</f>
        <v>4w</v>
      </c>
      <c r="AT286" s="448" t="str">
        <f>_xlfn.IFNA(VLOOKUP($AP286,Programma!$F$3:$J$1101,5,0),"")</f>
        <v>1w</v>
      </c>
      <c r="AU286" s="448" t="str">
        <f>_xlfn.IFNA(VLOOKUP($AP286,Programma!$F$3:$K$1101,6,0),"")</f>
        <v>_</v>
      </c>
      <c r="AV286" s="448" t="str">
        <f>_xlfn.IFNA(VLOOKUP($AP286,Programma!$F$3:$L$1101,7,0),"")</f>
        <v>_</v>
      </c>
      <c r="AW286" s="448" t="str">
        <f>_xlfn.IFNA(VLOOKUP($AP286,Programma!$F$3:$M$1101,8,0),"")</f>
        <v>_</v>
      </c>
      <c r="AX286" s="448" t="str">
        <f>_xlfn.IFNA(VLOOKUP($AP286,Programma!$F$3:$N$1101,9,0),"")</f>
        <v>_</v>
      </c>
      <c r="AY286" s="448" t="str">
        <f>_xlfn.IFNA(VLOOKUP($AP286,Programma!$F$3:$O$1101,10,0),"")</f>
        <v>5w</v>
      </c>
      <c r="AZ286" s="448" t="str">
        <f>_xlfn.IFNA(VLOOKUP($AP286,Programma!$F$3:$P$1101,11,0),"")</f>
        <v>5w</v>
      </c>
      <c r="BA286" s="448" t="str">
        <f>_xlfn.IFNA(VLOOKUP($AP286,Programma!$F$3:$Q$1101,12,0),"")</f>
        <v>1w</v>
      </c>
      <c r="BB286" s="448" t="str">
        <f>_xlfn.IFNA(VLOOKUP($AP286,Programma!$F$3:$R$1101,13,0),"")</f>
        <v>1w</v>
      </c>
      <c r="BC286" s="448" t="str">
        <f>_xlfn.IFNA(VLOOKUP($AP286,Programma!$F$3:$S$1101,14,0),"")</f>
        <v>1m</v>
      </c>
      <c r="BD286" s="448" t="str">
        <f>_xlfn.IFNA(VLOOKUP($AP286,Programma!$F$3:$T$1101,15,0),"")</f>
        <v>2j</v>
      </c>
      <c r="BE286" s="448" t="str">
        <f>_xlfn.IFNA(VLOOKUP($AP286,Programma!$F$3:$U$1101,16,0),"")</f>
        <v>1j</v>
      </c>
      <c r="BF286" s="448" t="str">
        <f>_xlfn.IFNA(VLOOKUP($AP286,Programma!$F$3:$V$1101,17,0),"")</f>
        <v>_</v>
      </c>
      <c r="BG286" s="448" t="str">
        <f>_xlfn.IFNA(VLOOKUP($AP286,Programma!$F$3:$W$1101,18,0),"")</f>
        <v>_</v>
      </c>
      <c r="BH286" s="448" t="str">
        <f>_xlfn.IFNA(VLOOKUP($AP286,Programma!$F$3:$X$1101,19,0),"")</f>
        <v>_</v>
      </c>
      <c r="BI286" s="448" t="str">
        <f>_xlfn.IFNA(VLOOKUP($AP286,Programma!$F$3:$Y$1101,20,0),"")</f>
        <v>_</v>
      </c>
      <c r="BJ286" s="449"/>
      <c r="BK286" s="447" t="str">
        <f>IF(Ruimtestaat[[#This Row],[Frequentie weekend]]="","",_xlfn.CONCAT(Ruimtestaat[[#This Row],[Ruimte code]],"-",Ruimtestaat[[#This Row],[Frequentie weekend]]," ",Ruimtestaat[[#This Row],[Vloer code]]))</f>
        <v/>
      </c>
      <c r="BL286" s="448" t="str">
        <f>_xlfn.IFNA(VLOOKUP($BK286,Programma!$F$3:$G$1101,2,0),"")</f>
        <v/>
      </c>
      <c r="BM286" s="448" t="str">
        <f>_xlfn.IFNA(VLOOKUP($BK286,Programma!$F$3:$H$1101,3,0),"")</f>
        <v/>
      </c>
      <c r="BN286" s="448" t="str">
        <f>_xlfn.IFNA(VLOOKUP($BK286,Programma!$F$3:$I$1101,4,0),"")</f>
        <v/>
      </c>
      <c r="BO286" s="448" t="str">
        <f>_xlfn.IFNA(VLOOKUP($BK286,Programma!$F$3:$J$1101,5,0),"")</f>
        <v/>
      </c>
      <c r="BP286" s="448" t="str">
        <f>_xlfn.IFNA(VLOOKUP($BK286,Programma!$F$3:$K$1101,6,0),"")</f>
        <v/>
      </c>
      <c r="BQ286" s="448" t="str">
        <f>_xlfn.IFNA(VLOOKUP($BK286,Programma!$F$3:$L$1101,7,0),"")</f>
        <v/>
      </c>
      <c r="BR286" s="448" t="str">
        <f>_xlfn.IFNA(VLOOKUP($BK286,Programma!$F$3:$M$1101,8,0),"")</f>
        <v/>
      </c>
      <c r="BS286" s="448" t="str">
        <f>_xlfn.IFNA(VLOOKUP($BK286,Programma!$F$3:$N$1101,9,0),"")</f>
        <v/>
      </c>
      <c r="BT286" s="448" t="str">
        <f>_xlfn.IFNA(VLOOKUP($BK286,Programma!$F$3:$O$1101,10,0),"")</f>
        <v/>
      </c>
      <c r="BU286" s="448" t="str">
        <f>_xlfn.IFNA(VLOOKUP($BK286,Programma!$F$3:$P$1101,11,0),"")</f>
        <v/>
      </c>
      <c r="BV286" s="448" t="str">
        <f>_xlfn.IFNA(VLOOKUP($BK286,Programma!$F$3:$Q$1101,12,0),"")</f>
        <v/>
      </c>
      <c r="BW286" s="448" t="str">
        <f>_xlfn.IFNA(VLOOKUP($BK286,Programma!$F$3:$R$1101,13,0),"")</f>
        <v/>
      </c>
      <c r="BX286" s="448" t="str">
        <f>_xlfn.IFNA(VLOOKUP($BK286,Programma!$F$3:$S$1101,14,0),"")</f>
        <v/>
      </c>
      <c r="BY286" s="448" t="str">
        <f>_xlfn.IFNA(VLOOKUP($BK286,Programma!$F$3:$T$1101,15,0),"")</f>
        <v/>
      </c>
      <c r="BZ286" s="448" t="str">
        <f>_xlfn.IFNA(VLOOKUP($BK286,Programma!$F$3:$U$1101,16,0),"")</f>
        <v/>
      </c>
      <c r="CA286" s="448" t="str">
        <f>_xlfn.IFNA(VLOOKUP($BK286,Programma!$F$3:$V$1101,17,0),"")</f>
        <v/>
      </c>
      <c r="CB286" s="448" t="str">
        <f>_xlfn.IFNA(VLOOKUP($BK286,Programma!$F$3:$W$1101,18,0),"")</f>
        <v/>
      </c>
      <c r="CC286" s="448" t="str">
        <f>_xlfn.IFNA(VLOOKUP($BK286,Programma!$F$3:$X$1101,19,0),"")</f>
        <v/>
      </c>
      <c r="CD286" s="448" t="str">
        <f>_xlfn.IFNA(VLOOKUP($BK286,Programma!$F$3:$Y$1101,20,0),"")</f>
        <v/>
      </c>
      <c r="CE286" s="327"/>
      <c r="CF286" s="327"/>
      <c r="CG286" s="327"/>
      <c r="CH286" s="327"/>
      <c r="CI286" s="327"/>
      <c r="CJ286" s="327"/>
      <c r="CK286" s="327"/>
      <c r="CL286" s="327"/>
      <c r="CM286" s="327"/>
      <c r="CN286" s="327"/>
      <c r="CO286" s="327"/>
      <c r="CP286" s="327"/>
      <c r="CQ286" s="327"/>
      <c r="CR286" s="327"/>
      <c r="CS286" s="327"/>
      <c r="CT286" s="327"/>
      <c r="CU286" s="327"/>
      <c r="CV286" s="327"/>
      <c r="CW286" s="327"/>
      <c r="CX286" s="327"/>
      <c r="CY286" s="327"/>
      <c r="CZ286" s="327"/>
      <c r="DA286" s="327"/>
      <c r="DB286" s="327"/>
      <c r="DC286" s="327"/>
      <c r="DD286" s="327"/>
      <c r="DE286" s="327"/>
      <c r="DF286" s="327"/>
      <c r="DG286" s="327"/>
      <c r="DH286" s="327"/>
      <c r="DI286" s="327"/>
      <c r="DJ286" s="327"/>
      <c r="DK286" s="327"/>
      <c r="DL286" s="327"/>
      <c r="DM286" s="327"/>
      <c r="DN286" s="327"/>
      <c r="DO286" s="327"/>
      <c r="DP286" s="327"/>
      <c r="DQ286" s="327"/>
      <c r="DR286" s="327"/>
      <c r="DS286" s="327"/>
      <c r="DT286" s="327"/>
      <c r="DU286" s="327"/>
      <c r="DV286" s="327"/>
      <c r="DW286" s="327"/>
      <c r="DX286" s="327"/>
      <c r="DY286" s="327"/>
      <c r="DZ286" s="327"/>
      <c r="EA286" s="327"/>
      <c r="EB286" s="327"/>
      <c r="EC286" s="327"/>
      <c r="ED286" s="327"/>
      <c r="EE286" s="327"/>
      <c r="EF286" s="327"/>
      <c r="EG286" s="327"/>
      <c r="EH286" s="327"/>
      <c r="EI286" s="327"/>
      <c r="EJ286" s="327"/>
      <c r="EK286" s="327"/>
      <c r="EL286" s="327"/>
      <c r="EM286" s="327"/>
      <c r="EN286" s="327"/>
      <c r="EO286" s="327"/>
      <c r="EP286" s="327"/>
      <c r="EQ286" s="327"/>
      <c r="ER286" s="327"/>
      <c r="ES286" s="327"/>
      <c r="ET286" s="327"/>
      <c r="EU286" s="327"/>
      <c r="EV286" s="327"/>
      <c r="EW286" s="327"/>
      <c r="EX286" s="327"/>
      <c r="EY286" s="327"/>
      <c r="EZ286" s="327"/>
      <c r="FA286" s="327"/>
      <c r="FB286" s="327"/>
      <c r="FC286" s="327"/>
      <c r="FD286" s="327"/>
      <c r="FE286" s="327"/>
      <c r="FF286" s="327"/>
      <c r="FG286" s="327"/>
      <c r="FH286" s="327"/>
      <c r="FI286" s="327"/>
      <c r="FJ286" s="327"/>
      <c r="FK286" s="327"/>
      <c r="FL286" s="327"/>
      <c r="FM286" s="327"/>
      <c r="FN286" s="327"/>
      <c r="FO286" s="327"/>
      <c r="FP286" s="327"/>
      <c r="FQ286" s="327"/>
      <c r="FR286" s="327"/>
      <c r="FS286" s="327"/>
      <c r="FT286" s="327"/>
      <c r="FU286" s="327"/>
      <c r="FV286" s="327"/>
      <c r="FW286" s="327"/>
      <c r="FX286" s="327"/>
      <c r="FY286" s="327"/>
      <c r="FZ286" s="327"/>
      <c r="GA286" s="327"/>
      <c r="GB286" s="327"/>
      <c r="GC286" s="327"/>
      <c r="GD286" s="327"/>
      <c r="GE286" s="327"/>
      <c r="GF286" s="327"/>
      <c r="GG286" s="327"/>
      <c r="GH286" s="327"/>
      <c r="GI286" s="327"/>
      <c r="GJ286" s="327"/>
      <c r="GK286" s="327"/>
      <c r="GL286" s="327"/>
      <c r="GM286" s="327"/>
      <c r="GN286" s="327"/>
      <c r="GO286" s="327"/>
      <c r="GP286" s="327"/>
      <c r="GQ286" s="327"/>
      <c r="GR286" s="327"/>
      <c r="GS286" s="327"/>
      <c r="GT286" s="327"/>
      <c r="GU286" s="327"/>
      <c r="GV286" s="327"/>
      <c r="GW286" s="327"/>
      <c r="GX286" s="327"/>
      <c r="GY286" s="327"/>
      <c r="GZ286" s="327"/>
      <c r="HA286" s="327"/>
      <c r="HB286" s="327"/>
      <c r="HC286" s="327"/>
      <c r="HD286" s="327"/>
      <c r="HE286" s="327"/>
      <c r="HF286" s="327"/>
      <c r="HG286" s="327"/>
      <c r="HH286" s="327"/>
      <c r="HI286" s="327"/>
      <c r="HJ286" s="327"/>
      <c r="HK286" s="327"/>
      <c r="HL286" s="327"/>
      <c r="HM286" s="327"/>
      <c r="HN286" s="327"/>
      <c r="HO286" s="327"/>
      <c r="HP286" s="327"/>
      <c r="HQ286" s="327"/>
      <c r="HR286" s="327"/>
      <c r="HS286" s="327"/>
    </row>
    <row r="287" spans="1:227" ht="15" customHeight="1">
      <c r="A287" s="330">
        <v>13</v>
      </c>
      <c r="B287" s="435" t="str">
        <f>VLOOKUP(Ruimtestaat[[#This Row],[Code]],Locaties[[Code]:[Locatie]],2,FALSE)</f>
        <v>IKC Florence Nightingale</v>
      </c>
      <c r="C287" s="435" t="str">
        <f>VLOOKUP(Ruimtestaat[[#This Row],[Code]],Locaties[[#All],[Code]:[Adres]],4,FALSE)</f>
        <v>Zanzibarplein 90</v>
      </c>
      <c r="D287" s="435" t="str">
        <f>VLOOKUP(Ruimtestaat[[#This Row],[Code]],Locaties[[#All],[Code]:[Postcode]],5,FALSE)</f>
        <v>2721 GE</v>
      </c>
      <c r="E287" s="435" t="str">
        <f>VLOOKUP(Ruimtestaat[[#This Row],[Code]],Locaties[#All],6,FALSE)</f>
        <v>Zoetermeer</v>
      </c>
      <c r="F287" s="450"/>
      <c r="G287" s="330" t="s">
        <v>1678</v>
      </c>
      <c r="H287" s="330" t="s">
        <v>1665</v>
      </c>
      <c r="I287" s="450" t="s">
        <v>1679</v>
      </c>
      <c r="J287" s="330">
        <v>16</v>
      </c>
      <c r="K287" s="450" t="str">
        <f>VLOOKUP(Ruimtestaat[[#This Row],[Ruimte code]],Ruimtegroepen[[#All],[Code]:[Ruimte omschrijving]],2,FALSE)</f>
        <v>Leslokalen</v>
      </c>
      <c r="L287" s="434" t="s">
        <v>100</v>
      </c>
      <c r="M287" s="437" t="s">
        <v>1759</v>
      </c>
      <c r="N287" s="439"/>
      <c r="O287" s="439"/>
      <c r="P287" s="439">
        <v>53</v>
      </c>
      <c r="Q287" s="439"/>
      <c r="R287" s="440" t="str">
        <f>VLOOKUP(Ruimtestaat[[#This Row],[Ruimte code]],Ruimtegroepen[],4,FALSE)</f>
        <v>Le</v>
      </c>
      <c r="S287" s="434">
        <v>40</v>
      </c>
      <c r="T287" s="434" t="s">
        <v>2</v>
      </c>
      <c r="U287" s="434">
        <f>IF(S287&gt;0,IF(RIGHT(Ruimtestaat[[#This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7" s="434">
        <f>IF(U287&gt;0,VLOOKUP($J287,Ruimtegroepen[],3,FALSE)*VLOOKUP($L287,Vloersoorten[],3,FALSE)*VLOOKUP($T287,Frequenties[],3,FALSE)*VLOOKUP($A287,Locaties[],3,FALSE),0)</f>
        <v>0</v>
      </c>
      <c r="W287" s="434">
        <f>Ruimtestaat[[#This Row],[Uitvoeringen werkdagen]]*Ruimtestaat[[#This Row],[Oppervlak (netto)]]</f>
        <v>0</v>
      </c>
      <c r="X287" s="441">
        <f>IF(V287&gt;0,Ruimtestaat[[#This Row],[Prest. (m2 /jaar) werkdagen]]/Ruimtestaat[[#This Row],[Norm (m2/uur) werkdagen]],0)</f>
        <v>0</v>
      </c>
      <c r="Y287" s="442">
        <f>Ruimtestaat[[#This Row],[Uitvoeringen werkdagen]]*Ruimtestaat[[#This Row],[Gedeeltelijk]]</f>
        <v>10600</v>
      </c>
      <c r="Z287" s="443" t="e">
        <f>IF(U287&gt;0,Ruimtestaat[[#This Row],[Prest. (m2 / jaar) werkdagen gedeeld]]/Ruimtestaat[[#This Row],[Norm (m2/uur) werkdagen]],0)</f>
        <v>#DIV/0!</v>
      </c>
      <c r="AA287" s="441" t="e">
        <f>Ruimtestaat[[#This Row],[uren / jaar werkdagen gedeeld]]*Tariefsopbouw!$E$35</f>
        <v>#DIV/0!</v>
      </c>
      <c r="AB287" s="441">
        <f>Ruimtestaat[[#This Row],[Uitvoeringen werkdagen]]*Ruimtestaat[[#This Row],[BSO]]</f>
        <v>0</v>
      </c>
      <c r="AC287" s="443" t="e">
        <f>IF(U287&gt;0,Ruimtestaat[[#This Row],[Prest. (m2 / jaar) werkdagen BSO]]/Ruimtestaat[[#This Row],[Norm (m2/uur) werkdagen]],0)</f>
        <v>#DIV/0!</v>
      </c>
      <c r="AD287" s="443" t="e">
        <f>Ruimtestaat[[#This Row],[uren / jaar werkdagen BSO]]*Tariefsopbouw!$E$35</f>
        <v>#DIV/0!</v>
      </c>
      <c r="AE287" s="444">
        <f>Ruimtestaat[[#This Row],[uren / jaar werkdagen]]*Tariefsopbouw!$E$35</f>
        <v>0</v>
      </c>
      <c r="AF287" s="434"/>
      <c r="AG287" s="434">
        <f>IF(Ruimtestaat[[#This Row],[Frequentie weekend]]&gt;0,VALUE(LEFT(AF287,1))*S287,0)</f>
        <v>0</v>
      </c>
      <c r="AH287" s="445">
        <f>IF($AG287&gt;0,VLOOKUP($J287,Ruimtegroepen[],3,FALSE)*VLOOKUP($L287,Vloersoorten[],3,FALSE)*VLOOKUP($AF287,Frequenties[],3,FALSE)*VLOOKUP(Ruimtestaat[[#This Row],[Code]],Locaties[],3,FALSE),0)</f>
        <v>0</v>
      </c>
      <c r="AI287" s="445">
        <f>Ruimtestaat[[#This Row],[Uitvoeringen weekend]]*Ruimtestaat[[#This Row],[Oppervlak (netto)]]</f>
        <v>0</v>
      </c>
      <c r="AJ287" s="445">
        <f>IF(AH287&gt;0,Ruimtestaat[[#This Row],[Prest. (m2 /jaar) weekend]]/Ruimtestaat[[#This Row],[Norm (m2/uur) weekend]],0)</f>
        <v>0</v>
      </c>
      <c r="AK287" s="444">
        <f>Ruimtestaat[[#This Row],[uren / jaar weekend]]*Tariefsopbouw!$D$40</f>
        <v>0</v>
      </c>
      <c r="AL287" s="441">
        <f>Ruimtestaat[[#This Row],[Prest. (m2 /jaar) weekend]]+Ruimtestaat[[#This Row],[Prest. (m2 /jaar) werkdagen]]</f>
        <v>0</v>
      </c>
      <c r="AM287" s="441">
        <f>Ruimtestaat[[#This Row],[uren / jaar weekend]]+Ruimtestaat[[#This Row],[uren / jaar werkdagen]]</f>
        <v>0</v>
      </c>
      <c r="AN287" s="446">
        <f>Ruimtestaat[[#This Row],[kosten / jaar weekend]]+Ruimtestaat[[#This Row],[kosten / jaar werkdagen]]</f>
        <v>0</v>
      </c>
      <c r="AO287" s="446"/>
      <c r="AP287" s="447" t="str">
        <f>IF(Ruimtestaat[[#This Row],[Frequentie werkdagen]]="","",_xlfn.CONCAT(Ruimtestaat[[#This Row],[Ruimte code]],"-",Ruimtestaat[[#This Row],[Frequentie werkdagen]]," ",Ruimtestaat[[#This Row],[Vloer code]]))</f>
        <v>16-5w L</v>
      </c>
      <c r="AQ287" s="448" t="str">
        <f>_xlfn.IFNA(VLOOKUP($AP287,Programma!$F$3:$G$1101,2,0),"")</f>
        <v>_</v>
      </c>
      <c r="AR287" s="448" t="str">
        <f>_xlfn.IFNA(VLOOKUP($AP287,Programma!$F$3:$H$1101,3,0),"")</f>
        <v>_</v>
      </c>
      <c r="AS287" s="448" t="str">
        <f>_xlfn.IFNA(VLOOKUP($AP287,Programma!$F$3:$I$1101,4,0),"")</f>
        <v>4w</v>
      </c>
      <c r="AT287" s="448" t="str">
        <f>_xlfn.IFNA(VLOOKUP($AP287,Programma!$F$3:$J$1101,5,0),"")</f>
        <v>1w</v>
      </c>
      <c r="AU287" s="448" t="str">
        <f>_xlfn.IFNA(VLOOKUP($AP287,Programma!$F$3:$K$1101,6,0),"")</f>
        <v>_</v>
      </c>
      <c r="AV287" s="448" t="str">
        <f>_xlfn.IFNA(VLOOKUP($AP287,Programma!$F$3:$L$1101,7,0),"")</f>
        <v>_</v>
      </c>
      <c r="AW287" s="448" t="str">
        <f>_xlfn.IFNA(VLOOKUP($AP287,Programma!$F$3:$M$1101,8,0),"")</f>
        <v>_</v>
      </c>
      <c r="AX287" s="448" t="str">
        <f>_xlfn.IFNA(VLOOKUP($AP287,Programma!$F$3:$N$1101,9,0),"")</f>
        <v>_</v>
      </c>
      <c r="AY287" s="448" t="str">
        <f>_xlfn.IFNA(VLOOKUP($AP287,Programma!$F$3:$O$1101,10,0),"")</f>
        <v>5w</v>
      </c>
      <c r="AZ287" s="448" t="str">
        <f>_xlfn.IFNA(VLOOKUP($AP287,Programma!$F$3:$P$1101,11,0),"")</f>
        <v>5w</v>
      </c>
      <c r="BA287" s="448" t="str">
        <f>_xlfn.IFNA(VLOOKUP($AP287,Programma!$F$3:$Q$1101,12,0),"")</f>
        <v>1w</v>
      </c>
      <c r="BB287" s="448" t="str">
        <f>_xlfn.IFNA(VLOOKUP($AP287,Programma!$F$3:$R$1101,13,0),"")</f>
        <v>1w</v>
      </c>
      <c r="BC287" s="448" t="str">
        <f>_xlfn.IFNA(VLOOKUP($AP287,Programma!$F$3:$S$1101,14,0),"")</f>
        <v>1m</v>
      </c>
      <c r="BD287" s="448" t="str">
        <f>_xlfn.IFNA(VLOOKUP($AP287,Programma!$F$3:$T$1101,15,0),"")</f>
        <v>2j</v>
      </c>
      <c r="BE287" s="448" t="str">
        <f>_xlfn.IFNA(VLOOKUP($AP287,Programma!$F$3:$U$1101,16,0),"")</f>
        <v>1j</v>
      </c>
      <c r="BF287" s="448" t="str">
        <f>_xlfn.IFNA(VLOOKUP($AP287,Programma!$F$3:$V$1101,17,0),"")</f>
        <v>_</v>
      </c>
      <c r="BG287" s="448" t="str">
        <f>_xlfn.IFNA(VLOOKUP($AP287,Programma!$F$3:$W$1101,18,0),"")</f>
        <v>_</v>
      </c>
      <c r="BH287" s="448" t="str">
        <f>_xlfn.IFNA(VLOOKUP($AP287,Programma!$F$3:$X$1101,19,0),"")</f>
        <v>_</v>
      </c>
      <c r="BI287" s="448" t="str">
        <f>_xlfn.IFNA(VLOOKUP($AP287,Programma!$F$3:$Y$1101,20,0),"")</f>
        <v>_</v>
      </c>
      <c r="BJ287" s="449"/>
      <c r="BK287" s="447" t="str">
        <f>IF(Ruimtestaat[[#This Row],[Frequentie weekend]]="","",_xlfn.CONCAT(Ruimtestaat[[#This Row],[Ruimte code]],"-",Ruimtestaat[[#This Row],[Frequentie weekend]]," ",Ruimtestaat[[#This Row],[Vloer code]]))</f>
        <v/>
      </c>
      <c r="BL287" s="448" t="str">
        <f>_xlfn.IFNA(VLOOKUP($BK287,Programma!$F$3:$G$1101,2,0),"")</f>
        <v/>
      </c>
      <c r="BM287" s="448" t="str">
        <f>_xlfn.IFNA(VLOOKUP($BK287,Programma!$F$3:$H$1101,3,0),"")</f>
        <v/>
      </c>
      <c r="BN287" s="448" t="str">
        <f>_xlfn.IFNA(VLOOKUP($BK287,Programma!$F$3:$I$1101,4,0),"")</f>
        <v/>
      </c>
      <c r="BO287" s="448" t="str">
        <f>_xlfn.IFNA(VLOOKUP($BK287,Programma!$F$3:$J$1101,5,0),"")</f>
        <v/>
      </c>
      <c r="BP287" s="448" t="str">
        <f>_xlfn.IFNA(VLOOKUP($BK287,Programma!$F$3:$K$1101,6,0),"")</f>
        <v/>
      </c>
      <c r="BQ287" s="448" t="str">
        <f>_xlfn.IFNA(VLOOKUP($BK287,Programma!$F$3:$L$1101,7,0),"")</f>
        <v/>
      </c>
      <c r="BR287" s="448" t="str">
        <f>_xlfn.IFNA(VLOOKUP($BK287,Programma!$F$3:$M$1101,8,0),"")</f>
        <v/>
      </c>
      <c r="BS287" s="448" t="str">
        <f>_xlfn.IFNA(VLOOKUP($BK287,Programma!$F$3:$N$1101,9,0),"")</f>
        <v/>
      </c>
      <c r="BT287" s="448" t="str">
        <f>_xlfn.IFNA(VLOOKUP($BK287,Programma!$F$3:$O$1101,10,0),"")</f>
        <v/>
      </c>
      <c r="BU287" s="448" t="str">
        <f>_xlfn.IFNA(VLOOKUP($BK287,Programma!$F$3:$P$1101,11,0),"")</f>
        <v/>
      </c>
      <c r="BV287" s="448" t="str">
        <f>_xlfn.IFNA(VLOOKUP($BK287,Programma!$F$3:$Q$1101,12,0),"")</f>
        <v/>
      </c>
      <c r="BW287" s="448" t="str">
        <f>_xlfn.IFNA(VLOOKUP($BK287,Programma!$F$3:$R$1101,13,0),"")</f>
        <v/>
      </c>
      <c r="BX287" s="448" t="str">
        <f>_xlfn.IFNA(VLOOKUP($BK287,Programma!$F$3:$S$1101,14,0),"")</f>
        <v/>
      </c>
      <c r="BY287" s="448" t="str">
        <f>_xlfn.IFNA(VLOOKUP($BK287,Programma!$F$3:$T$1101,15,0),"")</f>
        <v/>
      </c>
      <c r="BZ287" s="448" t="str">
        <f>_xlfn.IFNA(VLOOKUP($BK287,Programma!$F$3:$U$1101,16,0),"")</f>
        <v/>
      </c>
      <c r="CA287" s="448" t="str">
        <f>_xlfn.IFNA(VLOOKUP($BK287,Programma!$F$3:$V$1101,17,0),"")</f>
        <v/>
      </c>
      <c r="CB287" s="448" t="str">
        <f>_xlfn.IFNA(VLOOKUP($BK287,Programma!$F$3:$W$1101,18,0),"")</f>
        <v/>
      </c>
      <c r="CC287" s="448" t="str">
        <f>_xlfn.IFNA(VLOOKUP($BK287,Programma!$F$3:$X$1101,19,0),"")</f>
        <v/>
      </c>
      <c r="CD287" s="448" t="str">
        <f>_xlfn.IFNA(VLOOKUP($BK287,Programma!$F$3:$Y$1101,20,0),"")</f>
        <v/>
      </c>
      <c r="CE287" s="327"/>
      <c r="CF287" s="327"/>
      <c r="CG287" s="327"/>
      <c r="CH287" s="327"/>
      <c r="CI287" s="327"/>
      <c r="CJ287" s="327"/>
      <c r="CK287" s="327"/>
      <c r="CL287" s="327"/>
      <c r="CM287" s="327"/>
      <c r="CN287" s="327"/>
      <c r="CO287" s="327"/>
      <c r="CP287" s="327"/>
      <c r="CQ287" s="327"/>
      <c r="CR287" s="327"/>
      <c r="CS287" s="327"/>
      <c r="CT287" s="327"/>
      <c r="CU287" s="327"/>
      <c r="CV287" s="327"/>
      <c r="CW287" s="327"/>
      <c r="CX287" s="327"/>
      <c r="CY287" s="327"/>
      <c r="CZ287" s="327"/>
      <c r="DA287" s="327"/>
      <c r="DB287" s="327"/>
      <c r="DC287" s="327"/>
      <c r="DD287" s="327"/>
      <c r="DE287" s="327"/>
      <c r="DF287" s="327"/>
      <c r="DG287" s="327"/>
      <c r="DH287" s="327"/>
      <c r="DI287" s="327"/>
      <c r="DJ287" s="327"/>
      <c r="DK287" s="327"/>
      <c r="DL287" s="327"/>
      <c r="DM287" s="327"/>
      <c r="DN287" s="327"/>
      <c r="DO287" s="327"/>
      <c r="DP287" s="327"/>
      <c r="DQ287" s="327"/>
      <c r="DR287" s="327"/>
      <c r="DS287" s="327"/>
      <c r="DT287" s="327"/>
      <c r="DU287" s="327"/>
      <c r="DV287" s="327"/>
      <c r="DW287" s="327"/>
      <c r="DX287" s="327"/>
      <c r="DY287" s="327"/>
      <c r="DZ287" s="327"/>
      <c r="EA287" s="327"/>
      <c r="EB287" s="327"/>
      <c r="EC287" s="327"/>
      <c r="ED287" s="327"/>
      <c r="EE287" s="327"/>
      <c r="EF287" s="327"/>
      <c r="EG287" s="327"/>
      <c r="EH287" s="327"/>
      <c r="EI287" s="327"/>
      <c r="EJ287" s="327"/>
      <c r="EK287" s="327"/>
      <c r="EL287" s="327"/>
      <c r="EM287" s="327"/>
      <c r="EN287" s="327"/>
      <c r="EO287" s="327"/>
      <c r="EP287" s="327"/>
      <c r="EQ287" s="327"/>
      <c r="ER287" s="327"/>
      <c r="ES287" s="327"/>
      <c r="ET287" s="327"/>
      <c r="EU287" s="327"/>
      <c r="EV287" s="327"/>
      <c r="EW287" s="327"/>
      <c r="EX287" s="327"/>
      <c r="EY287" s="327"/>
      <c r="EZ287" s="327"/>
      <c r="FA287" s="327"/>
      <c r="FB287" s="327"/>
      <c r="FC287" s="327"/>
      <c r="FD287" s="327"/>
      <c r="FE287" s="327"/>
      <c r="FF287" s="327"/>
      <c r="FG287" s="327"/>
      <c r="FH287" s="327"/>
      <c r="FI287" s="327"/>
      <c r="FJ287" s="327"/>
      <c r="FK287" s="327"/>
      <c r="FL287" s="327"/>
      <c r="FM287" s="327"/>
      <c r="FN287" s="327"/>
      <c r="FO287" s="327"/>
      <c r="FP287" s="327"/>
      <c r="FQ287" s="327"/>
      <c r="FR287" s="327"/>
      <c r="FS287" s="327"/>
      <c r="FT287" s="327"/>
      <c r="FU287" s="327"/>
      <c r="FV287" s="327"/>
      <c r="FW287" s="327"/>
      <c r="FX287" s="327"/>
      <c r="FY287" s="327"/>
      <c r="FZ287" s="327"/>
      <c r="GA287" s="327"/>
      <c r="GB287" s="327"/>
      <c r="GC287" s="327"/>
      <c r="GD287" s="327"/>
      <c r="GE287" s="327"/>
      <c r="GF287" s="327"/>
      <c r="GG287" s="327"/>
      <c r="GH287" s="327"/>
      <c r="GI287" s="327"/>
      <c r="GJ287" s="327"/>
      <c r="GK287" s="327"/>
      <c r="GL287" s="327"/>
      <c r="GM287" s="327"/>
      <c r="GN287" s="327"/>
      <c r="GO287" s="327"/>
      <c r="GP287" s="327"/>
      <c r="GQ287" s="327"/>
      <c r="GR287" s="327"/>
      <c r="GS287" s="327"/>
      <c r="GT287" s="327"/>
      <c r="GU287" s="327"/>
      <c r="GV287" s="327"/>
      <c r="GW287" s="327"/>
      <c r="GX287" s="327"/>
      <c r="GY287" s="327"/>
      <c r="GZ287" s="327"/>
      <c r="HA287" s="327"/>
      <c r="HB287" s="327"/>
      <c r="HC287" s="327"/>
      <c r="HD287" s="327"/>
      <c r="HE287" s="327"/>
      <c r="HF287" s="327"/>
      <c r="HG287" s="327"/>
      <c r="HH287" s="327"/>
      <c r="HI287" s="327"/>
      <c r="HJ287" s="327"/>
      <c r="HK287" s="327"/>
      <c r="HL287" s="327"/>
      <c r="HM287" s="327"/>
      <c r="HN287" s="327"/>
      <c r="HO287" s="327"/>
      <c r="HP287" s="327"/>
      <c r="HQ287" s="327"/>
      <c r="HR287" s="327"/>
      <c r="HS287" s="327"/>
    </row>
    <row r="288" spans="1:227" ht="15" customHeight="1">
      <c r="A288" s="330">
        <v>13</v>
      </c>
      <c r="B288" s="435" t="str">
        <f>VLOOKUP(Ruimtestaat[[#This Row],[Code]],Locaties[[Code]:[Locatie]],2,FALSE)</f>
        <v>IKC Florence Nightingale</v>
      </c>
      <c r="C288" s="435" t="str">
        <f>VLOOKUP(Ruimtestaat[[#This Row],[Code]],Locaties[[#All],[Code]:[Adres]],4,FALSE)</f>
        <v>Zanzibarplein 90</v>
      </c>
      <c r="D288" s="435" t="str">
        <f>VLOOKUP(Ruimtestaat[[#This Row],[Code]],Locaties[[#All],[Code]:[Postcode]],5,FALSE)</f>
        <v>2721 GE</v>
      </c>
      <c r="E288" s="435" t="str">
        <f>VLOOKUP(Ruimtestaat[[#This Row],[Code]],Locaties[#All],6,FALSE)</f>
        <v>Zoetermeer</v>
      </c>
      <c r="F288" s="450"/>
      <c r="G288" s="330" t="s">
        <v>1678</v>
      </c>
      <c r="H288" s="330" t="s">
        <v>1667</v>
      </c>
      <c r="I288" s="450" t="s">
        <v>1679</v>
      </c>
      <c r="J288" s="330">
        <v>16</v>
      </c>
      <c r="K288" s="450" t="str">
        <f>VLOOKUP(Ruimtestaat[[#This Row],[Ruimte code]],Ruimtegroepen[[#All],[Code]:[Ruimte omschrijving]],2,FALSE)</f>
        <v>Leslokalen</v>
      </c>
      <c r="L288" s="434" t="s">
        <v>100</v>
      </c>
      <c r="M288" s="437" t="s">
        <v>1759</v>
      </c>
      <c r="N288" s="439">
        <v>53</v>
      </c>
      <c r="O288" s="439"/>
      <c r="P288" s="439"/>
      <c r="Q288" s="439"/>
      <c r="R288" s="440" t="str">
        <f>VLOOKUP(Ruimtestaat[[#This Row],[Ruimte code]],Ruimtegroepen[],4,FALSE)</f>
        <v>Le</v>
      </c>
      <c r="S288" s="434">
        <v>40</v>
      </c>
      <c r="T288" s="434" t="s">
        <v>2</v>
      </c>
      <c r="U288" s="434">
        <f>IF(S288&gt;0,IF(RIGHT(Ruimtestaat[[#This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8" s="434">
        <f>IF(U288&gt;0,VLOOKUP($J288,Ruimtegroepen[],3,FALSE)*VLOOKUP($L288,Vloersoorten[],3,FALSE)*VLOOKUP($T288,Frequenties[],3,FALSE)*VLOOKUP($A288,Locaties[],3,FALSE),0)</f>
        <v>0</v>
      </c>
      <c r="W288" s="434">
        <f>Ruimtestaat[[#This Row],[Uitvoeringen werkdagen]]*Ruimtestaat[[#This Row],[Oppervlak (netto)]]</f>
        <v>10600</v>
      </c>
      <c r="X288" s="441">
        <f>IF(V288&gt;0,Ruimtestaat[[#This Row],[Prest. (m2 /jaar) werkdagen]]/Ruimtestaat[[#This Row],[Norm (m2/uur) werkdagen]],0)</f>
        <v>0</v>
      </c>
      <c r="Y288" s="442">
        <f>Ruimtestaat[[#This Row],[Uitvoeringen werkdagen]]*Ruimtestaat[[#This Row],[Gedeeltelijk]]</f>
        <v>0</v>
      </c>
      <c r="Z288" s="443" t="e">
        <f>IF(U288&gt;0,Ruimtestaat[[#This Row],[Prest. (m2 / jaar) werkdagen gedeeld]]/Ruimtestaat[[#This Row],[Norm (m2/uur) werkdagen]],0)</f>
        <v>#DIV/0!</v>
      </c>
      <c r="AA288" s="441" t="e">
        <f>Ruimtestaat[[#This Row],[uren / jaar werkdagen gedeeld]]*Tariefsopbouw!$E$35</f>
        <v>#DIV/0!</v>
      </c>
      <c r="AB288" s="441">
        <f>Ruimtestaat[[#This Row],[Uitvoeringen werkdagen]]*Ruimtestaat[[#This Row],[BSO]]</f>
        <v>0</v>
      </c>
      <c r="AC288" s="443" t="e">
        <f>IF(U288&gt;0,Ruimtestaat[[#This Row],[Prest. (m2 / jaar) werkdagen BSO]]/Ruimtestaat[[#This Row],[Norm (m2/uur) werkdagen]],0)</f>
        <v>#DIV/0!</v>
      </c>
      <c r="AD288" s="443" t="e">
        <f>Ruimtestaat[[#This Row],[uren / jaar werkdagen BSO]]*Tariefsopbouw!$E$35</f>
        <v>#DIV/0!</v>
      </c>
      <c r="AE288" s="444">
        <f>Ruimtestaat[[#This Row],[uren / jaar werkdagen]]*Tariefsopbouw!$E$35</f>
        <v>0</v>
      </c>
      <c r="AF288" s="434"/>
      <c r="AG288" s="434">
        <f>IF(Ruimtestaat[[#This Row],[Frequentie weekend]]&gt;0,VALUE(LEFT(AF288,1))*S288,0)</f>
        <v>0</v>
      </c>
      <c r="AH288" s="445">
        <f>IF($AG288&gt;0,VLOOKUP($J288,Ruimtegroepen[],3,FALSE)*VLOOKUP($L288,Vloersoorten[],3,FALSE)*VLOOKUP($AF288,Frequenties[],3,FALSE)*VLOOKUP(Ruimtestaat[[#This Row],[Code]],Locaties[],3,FALSE),0)</f>
        <v>0</v>
      </c>
      <c r="AI288" s="445">
        <f>Ruimtestaat[[#This Row],[Uitvoeringen weekend]]*Ruimtestaat[[#This Row],[Oppervlak (netto)]]</f>
        <v>0</v>
      </c>
      <c r="AJ288" s="445">
        <f>IF(AH288&gt;0,Ruimtestaat[[#This Row],[Prest. (m2 /jaar) weekend]]/Ruimtestaat[[#This Row],[Norm (m2/uur) weekend]],0)</f>
        <v>0</v>
      </c>
      <c r="AK288" s="444">
        <f>Ruimtestaat[[#This Row],[uren / jaar weekend]]*Tariefsopbouw!$D$40</f>
        <v>0</v>
      </c>
      <c r="AL288" s="441">
        <f>Ruimtestaat[[#This Row],[Prest. (m2 /jaar) weekend]]+Ruimtestaat[[#This Row],[Prest. (m2 /jaar) werkdagen]]</f>
        <v>10600</v>
      </c>
      <c r="AM288" s="441">
        <f>Ruimtestaat[[#This Row],[uren / jaar weekend]]+Ruimtestaat[[#This Row],[uren / jaar werkdagen]]</f>
        <v>0</v>
      </c>
      <c r="AN288" s="446">
        <f>Ruimtestaat[[#This Row],[kosten / jaar weekend]]+Ruimtestaat[[#This Row],[kosten / jaar werkdagen]]</f>
        <v>0</v>
      </c>
      <c r="AO288" s="446"/>
      <c r="AP288" s="447" t="str">
        <f>IF(Ruimtestaat[[#This Row],[Frequentie werkdagen]]="","",_xlfn.CONCAT(Ruimtestaat[[#This Row],[Ruimte code]],"-",Ruimtestaat[[#This Row],[Frequentie werkdagen]]," ",Ruimtestaat[[#This Row],[Vloer code]]))</f>
        <v>16-5w L</v>
      </c>
      <c r="AQ288" s="448" t="str">
        <f>_xlfn.IFNA(VLOOKUP($AP288,Programma!$F$3:$G$1101,2,0),"")</f>
        <v>_</v>
      </c>
      <c r="AR288" s="448" t="str">
        <f>_xlfn.IFNA(VLOOKUP($AP288,Programma!$F$3:$H$1101,3,0),"")</f>
        <v>_</v>
      </c>
      <c r="AS288" s="448" t="str">
        <f>_xlfn.IFNA(VLOOKUP($AP288,Programma!$F$3:$I$1101,4,0),"")</f>
        <v>4w</v>
      </c>
      <c r="AT288" s="448" t="str">
        <f>_xlfn.IFNA(VLOOKUP($AP288,Programma!$F$3:$J$1101,5,0),"")</f>
        <v>1w</v>
      </c>
      <c r="AU288" s="448" t="str">
        <f>_xlfn.IFNA(VLOOKUP($AP288,Programma!$F$3:$K$1101,6,0),"")</f>
        <v>_</v>
      </c>
      <c r="AV288" s="448" t="str">
        <f>_xlfn.IFNA(VLOOKUP($AP288,Programma!$F$3:$L$1101,7,0),"")</f>
        <v>_</v>
      </c>
      <c r="AW288" s="448" t="str">
        <f>_xlfn.IFNA(VLOOKUP($AP288,Programma!$F$3:$M$1101,8,0),"")</f>
        <v>_</v>
      </c>
      <c r="AX288" s="448" t="str">
        <f>_xlfn.IFNA(VLOOKUP($AP288,Programma!$F$3:$N$1101,9,0),"")</f>
        <v>_</v>
      </c>
      <c r="AY288" s="448" t="str">
        <f>_xlfn.IFNA(VLOOKUP($AP288,Programma!$F$3:$O$1101,10,0),"")</f>
        <v>5w</v>
      </c>
      <c r="AZ288" s="448" t="str">
        <f>_xlfn.IFNA(VLOOKUP($AP288,Programma!$F$3:$P$1101,11,0),"")</f>
        <v>5w</v>
      </c>
      <c r="BA288" s="448" t="str">
        <f>_xlfn.IFNA(VLOOKUP($AP288,Programma!$F$3:$Q$1101,12,0),"")</f>
        <v>1w</v>
      </c>
      <c r="BB288" s="448" t="str">
        <f>_xlfn.IFNA(VLOOKUP($AP288,Programma!$F$3:$R$1101,13,0),"")</f>
        <v>1w</v>
      </c>
      <c r="BC288" s="448" t="str">
        <f>_xlfn.IFNA(VLOOKUP($AP288,Programma!$F$3:$S$1101,14,0),"")</f>
        <v>1m</v>
      </c>
      <c r="BD288" s="448" t="str">
        <f>_xlfn.IFNA(VLOOKUP($AP288,Programma!$F$3:$T$1101,15,0),"")</f>
        <v>2j</v>
      </c>
      <c r="BE288" s="448" t="str">
        <f>_xlfn.IFNA(VLOOKUP($AP288,Programma!$F$3:$U$1101,16,0),"")</f>
        <v>1j</v>
      </c>
      <c r="BF288" s="448" t="str">
        <f>_xlfn.IFNA(VLOOKUP($AP288,Programma!$F$3:$V$1101,17,0),"")</f>
        <v>_</v>
      </c>
      <c r="BG288" s="448" t="str">
        <f>_xlfn.IFNA(VLOOKUP($AP288,Programma!$F$3:$W$1101,18,0),"")</f>
        <v>_</v>
      </c>
      <c r="BH288" s="448" t="str">
        <f>_xlfn.IFNA(VLOOKUP($AP288,Programma!$F$3:$X$1101,19,0),"")</f>
        <v>_</v>
      </c>
      <c r="BI288" s="448" t="str">
        <f>_xlfn.IFNA(VLOOKUP($AP288,Programma!$F$3:$Y$1101,20,0),"")</f>
        <v>_</v>
      </c>
      <c r="BJ288" s="449"/>
      <c r="BK288" s="447" t="str">
        <f>IF(Ruimtestaat[[#This Row],[Frequentie weekend]]="","",_xlfn.CONCAT(Ruimtestaat[[#This Row],[Ruimte code]],"-",Ruimtestaat[[#This Row],[Frequentie weekend]]," ",Ruimtestaat[[#This Row],[Vloer code]]))</f>
        <v/>
      </c>
      <c r="BL288" s="448" t="str">
        <f>_xlfn.IFNA(VLOOKUP($BK288,Programma!$F$3:$G$1101,2,0),"")</f>
        <v/>
      </c>
      <c r="BM288" s="448" t="str">
        <f>_xlfn.IFNA(VLOOKUP($BK288,Programma!$F$3:$H$1101,3,0),"")</f>
        <v/>
      </c>
      <c r="BN288" s="448" t="str">
        <f>_xlfn.IFNA(VLOOKUP($BK288,Programma!$F$3:$I$1101,4,0),"")</f>
        <v/>
      </c>
      <c r="BO288" s="448" t="str">
        <f>_xlfn.IFNA(VLOOKUP($BK288,Programma!$F$3:$J$1101,5,0),"")</f>
        <v/>
      </c>
      <c r="BP288" s="448" t="str">
        <f>_xlfn.IFNA(VLOOKUP($BK288,Programma!$F$3:$K$1101,6,0),"")</f>
        <v/>
      </c>
      <c r="BQ288" s="448" t="str">
        <f>_xlfn.IFNA(VLOOKUP($BK288,Programma!$F$3:$L$1101,7,0),"")</f>
        <v/>
      </c>
      <c r="BR288" s="448" t="str">
        <f>_xlfn.IFNA(VLOOKUP($BK288,Programma!$F$3:$M$1101,8,0),"")</f>
        <v/>
      </c>
      <c r="BS288" s="448" t="str">
        <f>_xlfn.IFNA(VLOOKUP($BK288,Programma!$F$3:$N$1101,9,0),"")</f>
        <v/>
      </c>
      <c r="BT288" s="448" t="str">
        <f>_xlfn.IFNA(VLOOKUP($BK288,Programma!$F$3:$O$1101,10,0),"")</f>
        <v/>
      </c>
      <c r="BU288" s="448" t="str">
        <f>_xlfn.IFNA(VLOOKUP($BK288,Programma!$F$3:$P$1101,11,0),"")</f>
        <v/>
      </c>
      <c r="BV288" s="448" t="str">
        <f>_xlfn.IFNA(VLOOKUP($BK288,Programma!$F$3:$Q$1101,12,0),"")</f>
        <v/>
      </c>
      <c r="BW288" s="448" t="str">
        <f>_xlfn.IFNA(VLOOKUP($BK288,Programma!$F$3:$R$1101,13,0),"")</f>
        <v/>
      </c>
      <c r="BX288" s="448" t="str">
        <f>_xlfn.IFNA(VLOOKUP($BK288,Programma!$F$3:$S$1101,14,0),"")</f>
        <v/>
      </c>
      <c r="BY288" s="448" t="str">
        <f>_xlfn.IFNA(VLOOKUP($BK288,Programma!$F$3:$T$1101,15,0),"")</f>
        <v/>
      </c>
      <c r="BZ288" s="448" t="str">
        <f>_xlfn.IFNA(VLOOKUP($BK288,Programma!$F$3:$U$1101,16,0),"")</f>
        <v/>
      </c>
      <c r="CA288" s="448" t="str">
        <f>_xlfn.IFNA(VLOOKUP($BK288,Programma!$F$3:$V$1101,17,0),"")</f>
        <v/>
      </c>
      <c r="CB288" s="448" t="str">
        <f>_xlfn.IFNA(VLOOKUP($BK288,Programma!$F$3:$W$1101,18,0),"")</f>
        <v/>
      </c>
      <c r="CC288" s="448" t="str">
        <f>_xlfn.IFNA(VLOOKUP($BK288,Programma!$F$3:$X$1101,19,0),"")</f>
        <v/>
      </c>
      <c r="CD288" s="448" t="str">
        <f>_xlfn.IFNA(VLOOKUP($BK288,Programma!$F$3:$Y$1101,20,0),"")</f>
        <v/>
      </c>
      <c r="CE288" s="327"/>
      <c r="CF288" s="327"/>
      <c r="CG288" s="327"/>
      <c r="CH288" s="327"/>
      <c r="CI288" s="327"/>
      <c r="CJ288" s="327"/>
      <c r="CK288" s="327"/>
      <c r="CL288" s="327"/>
      <c r="CM288" s="327"/>
      <c r="CN288" s="327"/>
      <c r="CO288" s="327"/>
      <c r="CP288" s="327"/>
      <c r="CQ288" s="327"/>
      <c r="CR288" s="327"/>
      <c r="CS288" s="327"/>
      <c r="CT288" s="327"/>
      <c r="CU288" s="327"/>
      <c r="CV288" s="327"/>
      <c r="CW288" s="327"/>
      <c r="CX288" s="327"/>
      <c r="CY288" s="327"/>
      <c r="CZ288" s="327"/>
      <c r="DA288" s="327"/>
      <c r="DB288" s="327"/>
      <c r="DC288" s="327"/>
      <c r="DD288" s="327"/>
      <c r="DE288" s="327"/>
      <c r="DF288" s="327"/>
      <c r="DG288" s="327"/>
      <c r="DH288" s="327"/>
      <c r="DI288" s="327"/>
      <c r="DJ288" s="327"/>
      <c r="DK288" s="327"/>
      <c r="DL288" s="327"/>
      <c r="DM288" s="327"/>
      <c r="DN288" s="327"/>
      <c r="DO288" s="327"/>
      <c r="DP288" s="327"/>
      <c r="DQ288" s="327"/>
      <c r="DR288" s="327"/>
      <c r="DS288" s="327"/>
      <c r="DT288" s="327"/>
      <c r="DU288" s="327"/>
      <c r="DV288" s="327"/>
      <c r="DW288" s="327"/>
      <c r="DX288" s="327"/>
      <c r="DY288" s="327"/>
      <c r="DZ288" s="327"/>
      <c r="EA288" s="327"/>
      <c r="EB288" s="327"/>
      <c r="EC288" s="327"/>
      <c r="ED288" s="327"/>
      <c r="EE288" s="327"/>
      <c r="EF288" s="327"/>
      <c r="EG288" s="327"/>
      <c r="EH288" s="327"/>
      <c r="EI288" s="327"/>
      <c r="EJ288" s="327"/>
      <c r="EK288" s="327"/>
      <c r="EL288" s="327"/>
      <c r="EM288" s="327"/>
      <c r="EN288" s="327"/>
      <c r="EO288" s="327"/>
      <c r="EP288" s="327"/>
      <c r="EQ288" s="327"/>
      <c r="ER288" s="327"/>
      <c r="ES288" s="327"/>
      <c r="ET288" s="327"/>
      <c r="EU288" s="327"/>
      <c r="EV288" s="327"/>
      <c r="EW288" s="327"/>
      <c r="EX288" s="327"/>
      <c r="EY288" s="327"/>
      <c r="EZ288" s="327"/>
      <c r="FA288" s="327"/>
      <c r="FB288" s="327"/>
      <c r="FC288" s="327"/>
      <c r="FD288" s="327"/>
      <c r="FE288" s="327"/>
      <c r="FF288" s="327"/>
      <c r="FG288" s="327"/>
      <c r="FH288" s="327"/>
      <c r="FI288" s="327"/>
      <c r="FJ288" s="327"/>
      <c r="FK288" s="327"/>
      <c r="FL288" s="327"/>
      <c r="FM288" s="327"/>
      <c r="FN288" s="327"/>
      <c r="FO288" s="327"/>
      <c r="FP288" s="327"/>
      <c r="FQ288" s="327"/>
      <c r="FR288" s="327"/>
      <c r="FS288" s="327"/>
      <c r="FT288" s="327"/>
      <c r="FU288" s="327"/>
      <c r="FV288" s="327"/>
      <c r="FW288" s="327"/>
      <c r="FX288" s="327"/>
      <c r="FY288" s="327"/>
      <c r="FZ288" s="327"/>
      <c r="GA288" s="327"/>
      <c r="GB288" s="327"/>
      <c r="GC288" s="327"/>
      <c r="GD288" s="327"/>
      <c r="GE288" s="327"/>
      <c r="GF288" s="327"/>
      <c r="GG288" s="327"/>
      <c r="GH288" s="327"/>
      <c r="GI288" s="327"/>
      <c r="GJ288" s="327"/>
      <c r="GK288" s="327"/>
      <c r="GL288" s="327"/>
      <c r="GM288" s="327"/>
      <c r="GN288" s="327"/>
      <c r="GO288" s="327"/>
      <c r="GP288" s="327"/>
      <c r="GQ288" s="327"/>
      <c r="GR288" s="327"/>
      <c r="GS288" s="327"/>
      <c r="GT288" s="327"/>
      <c r="GU288" s="327"/>
      <c r="GV288" s="327"/>
      <c r="GW288" s="327"/>
      <c r="GX288" s="327"/>
      <c r="GY288" s="327"/>
      <c r="GZ288" s="327"/>
      <c r="HA288" s="327"/>
      <c r="HB288" s="327"/>
      <c r="HC288" s="327"/>
      <c r="HD288" s="327"/>
      <c r="HE288" s="327"/>
      <c r="HF288" s="327"/>
      <c r="HG288" s="327"/>
      <c r="HH288" s="327"/>
      <c r="HI288" s="327"/>
      <c r="HJ288" s="327"/>
      <c r="HK288" s="327"/>
      <c r="HL288" s="327"/>
      <c r="HM288" s="327"/>
      <c r="HN288" s="327"/>
      <c r="HO288" s="327"/>
      <c r="HP288" s="327"/>
      <c r="HQ288" s="327"/>
      <c r="HR288" s="327"/>
      <c r="HS288" s="327"/>
    </row>
    <row r="289" spans="1:227" ht="15" customHeight="1">
      <c r="A289" s="330">
        <v>13</v>
      </c>
      <c r="B289" s="435" t="str">
        <f>VLOOKUP(Ruimtestaat[[#This Row],[Code]],Locaties[[Code]:[Locatie]],2,FALSE)</f>
        <v>IKC Florence Nightingale</v>
      </c>
      <c r="C289" s="435" t="str">
        <f>VLOOKUP(Ruimtestaat[[#This Row],[Code]],Locaties[[#All],[Code]:[Adres]],4,FALSE)</f>
        <v>Zanzibarplein 90</v>
      </c>
      <c r="D289" s="435" t="str">
        <f>VLOOKUP(Ruimtestaat[[#This Row],[Code]],Locaties[[#All],[Code]:[Postcode]],5,FALSE)</f>
        <v>2721 GE</v>
      </c>
      <c r="E289" s="435" t="str">
        <f>VLOOKUP(Ruimtestaat[[#This Row],[Code]],Locaties[#All],6,FALSE)</f>
        <v>Zoetermeer</v>
      </c>
      <c r="F289" s="450"/>
      <c r="G289" s="330" t="s">
        <v>1678</v>
      </c>
      <c r="H289" s="330" t="s">
        <v>1668</v>
      </c>
      <c r="I289" s="450" t="s">
        <v>1679</v>
      </c>
      <c r="J289" s="330">
        <v>16</v>
      </c>
      <c r="K289" s="450" t="str">
        <f>VLOOKUP(Ruimtestaat[[#This Row],[Ruimte code]],Ruimtegroepen[[#All],[Code]:[Ruimte omschrijving]],2,FALSE)</f>
        <v>Leslokalen</v>
      </c>
      <c r="L289" s="434" t="s">
        <v>100</v>
      </c>
      <c r="M289" s="437" t="s">
        <v>1759</v>
      </c>
      <c r="N289" s="439">
        <v>50</v>
      </c>
      <c r="O289" s="439"/>
      <c r="P289" s="439"/>
      <c r="Q289" s="439"/>
      <c r="R289" s="440" t="str">
        <f>VLOOKUP(Ruimtestaat[[#This Row],[Ruimte code]],Ruimtegroepen[],4,FALSE)</f>
        <v>Le</v>
      </c>
      <c r="S289" s="434">
        <v>40</v>
      </c>
      <c r="T289" s="434" t="s">
        <v>2</v>
      </c>
      <c r="U289" s="434">
        <f>IF(S289&gt;0,IF(RIGHT(Ruimtestaat[[#This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9" s="434">
        <f>IF(U289&gt;0,VLOOKUP($J289,Ruimtegroepen[],3,FALSE)*VLOOKUP($L289,Vloersoorten[],3,FALSE)*VLOOKUP($T289,Frequenties[],3,FALSE)*VLOOKUP($A289,Locaties[],3,FALSE),0)</f>
        <v>0</v>
      </c>
      <c r="W289" s="434">
        <f>Ruimtestaat[[#This Row],[Uitvoeringen werkdagen]]*Ruimtestaat[[#This Row],[Oppervlak (netto)]]</f>
        <v>10000</v>
      </c>
      <c r="X289" s="441">
        <f>IF(V289&gt;0,Ruimtestaat[[#This Row],[Prest. (m2 /jaar) werkdagen]]/Ruimtestaat[[#This Row],[Norm (m2/uur) werkdagen]],0)</f>
        <v>0</v>
      </c>
      <c r="Y289" s="442">
        <f>Ruimtestaat[[#This Row],[Uitvoeringen werkdagen]]*Ruimtestaat[[#This Row],[Gedeeltelijk]]</f>
        <v>0</v>
      </c>
      <c r="Z289" s="443" t="e">
        <f>IF(U289&gt;0,Ruimtestaat[[#This Row],[Prest. (m2 / jaar) werkdagen gedeeld]]/Ruimtestaat[[#This Row],[Norm (m2/uur) werkdagen]],0)</f>
        <v>#DIV/0!</v>
      </c>
      <c r="AA289" s="441" t="e">
        <f>Ruimtestaat[[#This Row],[uren / jaar werkdagen gedeeld]]*Tariefsopbouw!$E$35</f>
        <v>#DIV/0!</v>
      </c>
      <c r="AB289" s="441">
        <f>Ruimtestaat[[#This Row],[Uitvoeringen werkdagen]]*Ruimtestaat[[#This Row],[BSO]]</f>
        <v>0</v>
      </c>
      <c r="AC289" s="443" t="e">
        <f>IF(U289&gt;0,Ruimtestaat[[#This Row],[Prest. (m2 / jaar) werkdagen BSO]]/Ruimtestaat[[#This Row],[Norm (m2/uur) werkdagen]],0)</f>
        <v>#DIV/0!</v>
      </c>
      <c r="AD289" s="443" t="e">
        <f>Ruimtestaat[[#This Row],[uren / jaar werkdagen BSO]]*Tariefsopbouw!$E$35</f>
        <v>#DIV/0!</v>
      </c>
      <c r="AE289" s="444">
        <f>Ruimtestaat[[#This Row],[uren / jaar werkdagen]]*Tariefsopbouw!$E$35</f>
        <v>0</v>
      </c>
      <c r="AF289" s="434"/>
      <c r="AG289" s="434">
        <f>IF(Ruimtestaat[[#This Row],[Frequentie weekend]]&gt;0,VALUE(LEFT(AF289,1))*S289,0)</f>
        <v>0</v>
      </c>
      <c r="AH289" s="445">
        <f>IF($AG289&gt;0,VLOOKUP($J289,Ruimtegroepen[],3,FALSE)*VLOOKUP($L289,Vloersoorten[],3,FALSE)*VLOOKUP($AF289,Frequenties[],3,FALSE)*VLOOKUP(Ruimtestaat[[#This Row],[Code]],Locaties[],3,FALSE),0)</f>
        <v>0</v>
      </c>
      <c r="AI289" s="445">
        <f>Ruimtestaat[[#This Row],[Uitvoeringen weekend]]*Ruimtestaat[[#This Row],[Oppervlak (netto)]]</f>
        <v>0</v>
      </c>
      <c r="AJ289" s="445">
        <f>IF(AH289&gt;0,Ruimtestaat[[#This Row],[Prest. (m2 /jaar) weekend]]/Ruimtestaat[[#This Row],[Norm (m2/uur) weekend]],0)</f>
        <v>0</v>
      </c>
      <c r="AK289" s="444">
        <f>Ruimtestaat[[#This Row],[uren / jaar weekend]]*Tariefsopbouw!$D$40</f>
        <v>0</v>
      </c>
      <c r="AL289" s="441">
        <f>Ruimtestaat[[#This Row],[Prest. (m2 /jaar) weekend]]+Ruimtestaat[[#This Row],[Prest. (m2 /jaar) werkdagen]]</f>
        <v>10000</v>
      </c>
      <c r="AM289" s="441">
        <f>Ruimtestaat[[#This Row],[uren / jaar weekend]]+Ruimtestaat[[#This Row],[uren / jaar werkdagen]]</f>
        <v>0</v>
      </c>
      <c r="AN289" s="446">
        <f>Ruimtestaat[[#This Row],[kosten / jaar weekend]]+Ruimtestaat[[#This Row],[kosten / jaar werkdagen]]</f>
        <v>0</v>
      </c>
      <c r="AO289" s="446"/>
      <c r="AP289" s="447" t="str">
        <f>IF(Ruimtestaat[[#This Row],[Frequentie werkdagen]]="","",_xlfn.CONCAT(Ruimtestaat[[#This Row],[Ruimte code]],"-",Ruimtestaat[[#This Row],[Frequentie werkdagen]]," ",Ruimtestaat[[#This Row],[Vloer code]]))</f>
        <v>16-5w L</v>
      </c>
      <c r="AQ289" s="448" t="str">
        <f>_xlfn.IFNA(VLOOKUP($AP289,Programma!$F$3:$G$1101,2,0),"")</f>
        <v>_</v>
      </c>
      <c r="AR289" s="448" t="str">
        <f>_xlfn.IFNA(VLOOKUP($AP289,Programma!$F$3:$H$1101,3,0),"")</f>
        <v>_</v>
      </c>
      <c r="AS289" s="448" t="str">
        <f>_xlfn.IFNA(VLOOKUP($AP289,Programma!$F$3:$I$1101,4,0),"")</f>
        <v>4w</v>
      </c>
      <c r="AT289" s="448" t="str">
        <f>_xlfn.IFNA(VLOOKUP($AP289,Programma!$F$3:$J$1101,5,0),"")</f>
        <v>1w</v>
      </c>
      <c r="AU289" s="448" t="str">
        <f>_xlfn.IFNA(VLOOKUP($AP289,Programma!$F$3:$K$1101,6,0),"")</f>
        <v>_</v>
      </c>
      <c r="AV289" s="448" t="str">
        <f>_xlfn.IFNA(VLOOKUP($AP289,Programma!$F$3:$L$1101,7,0),"")</f>
        <v>_</v>
      </c>
      <c r="AW289" s="448" t="str">
        <f>_xlfn.IFNA(VLOOKUP($AP289,Programma!$F$3:$M$1101,8,0),"")</f>
        <v>_</v>
      </c>
      <c r="AX289" s="448" t="str">
        <f>_xlfn.IFNA(VLOOKUP($AP289,Programma!$F$3:$N$1101,9,0),"")</f>
        <v>_</v>
      </c>
      <c r="AY289" s="448" t="str">
        <f>_xlfn.IFNA(VLOOKUP($AP289,Programma!$F$3:$O$1101,10,0),"")</f>
        <v>5w</v>
      </c>
      <c r="AZ289" s="448" t="str">
        <f>_xlfn.IFNA(VLOOKUP($AP289,Programma!$F$3:$P$1101,11,0),"")</f>
        <v>5w</v>
      </c>
      <c r="BA289" s="448" t="str">
        <f>_xlfn.IFNA(VLOOKUP($AP289,Programma!$F$3:$Q$1101,12,0),"")</f>
        <v>1w</v>
      </c>
      <c r="BB289" s="448" t="str">
        <f>_xlfn.IFNA(VLOOKUP($AP289,Programma!$F$3:$R$1101,13,0),"")</f>
        <v>1w</v>
      </c>
      <c r="BC289" s="448" t="str">
        <f>_xlfn.IFNA(VLOOKUP($AP289,Programma!$F$3:$S$1101,14,0),"")</f>
        <v>1m</v>
      </c>
      <c r="BD289" s="448" t="str">
        <f>_xlfn.IFNA(VLOOKUP($AP289,Programma!$F$3:$T$1101,15,0),"")</f>
        <v>2j</v>
      </c>
      <c r="BE289" s="448" t="str">
        <f>_xlfn.IFNA(VLOOKUP($AP289,Programma!$F$3:$U$1101,16,0),"")</f>
        <v>1j</v>
      </c>
      <c r="BF289" s="448" t="str">
        <f>_xlfn.IFNA(VLOOKUP($AP289,Programma!$F$3:$V$1101,17,0),"")</f>
        <v>_</v>
      </c>
      <c r="BG289" s="448" t="str">
        <f>_xlfn.IFNA(VLOOKUP($AP289,Programma!$F$3:$W$1101,18,0),"")</f>
        <v>_</v>
      </c>
      <c r="BH289" s="448" t="str">
        <f>_xlfn.IFNA(VLOOKUP($AP289,Programma!$F$3:$X$1101,19,0),"")</f>
        <v>_</v>
      </c>
      <c r="BI289" s="448" t="str">
        <f>_xlfn.IFNA(VLOOKUP($AP289,Programma!$F$3:$Y$1101,20,0),"")</f>
        <v>_</v>
      </c>
      <c r="BJ289" s="449"/>
      <c r="BK289" s="447" t="str">
        <f>IF(Ruimtestaat[[#This Row],[Frequentie weekend]]="","",_xlfn.CONCAT(Ruimtestaat[[#This Row],[Ruimte code]],"-",Ruimtestaat[[#This Row],[Frequentie weekend]]," ",Ruimtestaat[[#This Row],[Vloer code]]))</f>
        <v/>
      </c>
      <c r="BL289" s="448" t="str">
        <f>_xlfn.IFNA(VLOOKUP($BK289,Programma!$F$3:$G$1101,2,0),"")</f>
        <v/>
      </c>
      <c r="BM289" s="448" t="str">
        <f>_xlfn.IFNA(VLOOKUP($BK289,Programma!$F$3:$H$1101,3,0),"")</f>
        <v/>
      </c>
      <c r="BN289" s="448" t="str">
        <f>_xlfn.IFNA(VLOOKUP($BK289,Programma!$F$3:$I$1101,4,0),"")</f>
        <v/>
      </c>
      <c r="BO289" s="448" t="str">
        <f>_xlfn.IFNA(VLOOKUP($BK289,Programma!$F$3:$J$1101,5,0),"")</f>
        <v/>
      </c>
      <c r="BP289" s="448" t="str">
        <f>_xlfn.IFNA(VLOOKUP($BK289,Programma!$F$3:$K$1101,6,0),"")</f>
        <v/>
      </c>
      <c r="BQ289" s="448" t="str">
        <f>_xlfn.IFNA(VLOOKUP($BK289,Programma!$F$3:$L$1101,7,0),"")</f>
        <v/>
      </c>
      <c r="BR289" s="448" t="str">
        <f>_xlfn.IFNA(VLOOKUP($BK289,Programma!$F$3:$M$1101,8,0),"")</f>
        <v/>
      </c>
      <c r="BS289" s="448" t="str">
        <f>_xlfn.IFNA(VLOOKUP($BK289,Programma!$F$3:$N$1101,9,0),"")</f>
        <v/>
      </c>
      <c r="BT289" s="448" t="str">
        <f>_xlfn.IFNA(VLOOKUP($BK289,Programma!$F$3:$O$1101,10,0),"")</f>
        <v/>
      </c>
      <c r="BU289" s="448" t="str">
        <f>_xlfn.IFNA(VLOOKUP($BK289,Programma!$F$3:$P$1101,11,0),"")</f>
        <v/>
      </c>
      <c r="BV289" s="448" t="str">
        <f>_xlfn.IFNA(VLOOKUP($BK289,Programma!$F$3:$Q$1101,12,0),"")</f>
        <v/>
      </c>
      <c r="BW289" s="448" t="str">
        <f>_xlfn.IFNA(VLOOKUP($BK289,Programma!$F$3:$R$1101,13,0),"")</f>
        <v/>
      </c>
      <c r="BX289" s="448" t="str">
        <f>_xlfn.IFNA(VLOOKUP($BK289,Programma!$F$3:$S$1101,14,0),"")</f>
        <v/>
      </c>
      <c r="BY289" s="448" t="str">
        <f>_xlfn.IFNA(VLOOKUP($BK289,Programma!$F$3:$T$1101,15,0),"")</f>
        <v/>
      </c>
      <c r="BZ289" s="448" t="str">
        <f>_xlfn.IFNA(VLOOKUP($BK289,Programma!$F$3:$U$1101,16,0),"")</f>
        <v/>
      </c>
      <c r="CA289" s="448" t="str">
        <f>_xlfn.IFNA(VLOOKUP($BK289,Programma!$F$3:$V$1101,17,0),"")</f>
        <v/>
      </c>
      <c r="CB289" s="448" t="str">
        <f>_xlfn.IFNA(VLOOKUP($BK289,Programma!$F$3:$W$1101,18,0),"")</f>
        <v/>
      </c>
      <c r="CC289" s="448" t="str">
        <f>_xlfn.IFNA(VLOOKUP($BK289,Programma!$F$3:$X$1101,19,0),"")</f>
        <v/>
      </c>
      <c r="CD289" s="448" t="str">
        <f>_xlfn.IFNA(VLOOKUP($BK289,Programma!$F$3:$Y$1101,20,0),"")</f>
        <v/>
      </c>
      <c r="CE289" s="327"/>
      <c r="CF289" s="327"/>
      <c r="CG289" s="327"/>
      <c r="CH289" s="327"/>
      <c r="CI289" s="327"/>
      <c r="CJ289" s="327"/>
      <c r="CK289" s="327"/>
      <c r="CL289" s="327"/>
      <c r="CM289" s="327"/>
      <c r="CN289" s="327"/>
      <c r="CO289" s="327"/>
      <c r="CP289" s="327"/>
      <c r="CQ289" s="327"/>
      <c r="CR289" s="327"/>
      <c r="CS289" s="327"/>
      <c r="CT289" s="327"/>
      <c r="CU289" s="327"/>
      <c r="CV289" s="327"/>
      <c r="CW289" s="327"/>
      <c r="CX289" s="327"/>
      <c r="CY289" s="327"/>
      <c r="CZ289" s="327"/>
      <c r="DA289" s="327"/>
      <c r="DB289" s="327"/>
      <c r="DC289" s="327"/>
      <c r="DD289" s="327"/>
      <c r="DE289" s="327"/>
      <c r="DF289" s="327"/>
      <c r="DG289" s="327"/>
      <c r="DH289" s="327"/>
      <c r="DI289" s="327"/>
      <c r="DJ289" s="327"/>
      <c r="DK289" s="327"/>
      <c r="DL289" s="327"/>
      <c r="DM289" s="327"/>
      <c r="DN289" s="327"/>
      <c r="DO289" s="327"/>
      <c r="DP289" s="327"/>
      <c r="DQ289" s="327"/>
      <c r="DR289" s="327"/>
      <c r="DS289" s="327"/>
      <c r="DT289" s="327"/>
      <c r="DU289" s="327"/>
      <c r="DV289" s="327"/>
      <c r="DW289" s="327"/>
      <c r="DX289" s="327"/>
      <c r="DY289" s="327"/>
      <c r="DZ289" s="327"/>
      <c r="EA289" s="327"/>
      <c r="EB289" s="327"/>
      <c r="EC289" s="327"/>
      <c r="ED289" s="327"/>
      <c r="EE289" s="327"/>
      <c r="EF289" s="327"/>
      <c r="EG289" s="327"/>
      <c r="EH289" s="327"/>
      <c r="EI289" s="327"/>
      <c r="EJ289" s="327"/>
      <c r="EK289" s="327"/>
      <c r="EL289" s="327"/>
      <c r="EM289" s="327"/>
      <c r="EN289" s="327"/>
      <c r="EO289" s="327"/>
      <c r="EP289" s="327"/>
      <c r="EQ289" s="327"/>
      <c r="ER289" s="327"/>
      <c r="ES289" s="327"/>
      <c r="ET289" s="327"/>
      <c r="EU289" s="327"/>
      <c r="EV289" s="327"/>
      <c r="EW289" s="327"/>
      <c r="EX289" s="327"/>
      <c r="EY289" s="327"/>
      <c r="EZ289" s="327"/>
      <c r="FA289" s="327"/>
      <c r="FB289" s="327"/>
      <c r="FC289" s="327"/>
      <c r="FD289" s="327"/>
      <c r="FE289" s="327"/>
      <c r="FF289" s="327"/>
      <c r="FG289" s="327"/>
      <c r="FH289" s="327"/>
      <c r="FI289" s="327"/>
      <c r="FJ289" s="327"/>
      <c r="FK289" s="327"/>
      <c r="FL289" s="327"/>
      <c r="FM289" s="327"/>
      <c r="FN289" s="327"/>
      <c r="FO289" s="327"/>
      <c r="FP289" s="327"/>
      <c r="FQ289" s="327"/>
      <c r="FR289" s="327"/>
      <c r="FS289" s="327"/>
      <c r="FT289" s="327"/>
      <c r="FU289" s="327"/>
      <c r="FV289" s="327"/>
      <c r="FW289" s="327"/>
      <c r="FX289" s="327"/>
      <c r="FY289" s="327"/>
      <c r="FZ289" s="327"/>
      <c r="GA289" s="327"/>
      <c r="GB289" s="327"/>
      <c r="GC289" s="327"/>
      <c r="GD289" s="327"/>
      <c r="GE289" s="327"/>
      <c r="GF289" s="327"/>
      <c r="GG289" s="327"/>
      <c r="GH289" s="327"/>
      <c r="GI289" s="327"/>
      <c r="GJ289" s="327"/>
      <c r="GK289" s="327"/>
      <c r="GL289" s="327"/>
      <c r="GM289" s="327"/>
      <c r="GN289" s="327"/>
      <c r="GO289" s="327"/>
      <c r="GP289" s="327"/>
      <c r="GQ289" s="327"/>
      <c r="GR289" s="327"/>
      <c r="GS289" s="327"/>
      <c r="GT289" s="327"/>
      <c r="GU289" s="327"/>
      <c r="GV289" s="327"/>
      <c r="GW289" s="327"/>
      <c r="GX289" s="327"/>
      <c r="GY289" s="327"/>
      <c r="GZ289" s="327"/>
      <c r="HA289" s="327"/>
      <c r="HB289" s="327"/>
      <c r="HC289" s="327"/>
      <c r="HD289" s="327"/>
      <c r="HE289" s="327"/>
      <c r="HF289" s="327"/>
      <c r="HG289" s="327"/>
      <c r="HH289" s="327"/>
      <c r="HI289" s="327"/>
      <c r="HJ289" s="327"/>
      <c r="HK289" s="327"/>
      <c r="HL289" s="327"/>
      <c r="HM289" s="327"/>
      <c r="HN289" s="327"/>
      <c r="HO289" s="327"/>
      <c r="HP289" s="327"/>
      <c r="HQ289" s="327"/>
      <c r="HR289" s="327"/>
      <c r="HS289" s="327"/>
    </row>
    <row r="290" spans="1:227" ht="15" customHeight="1">
      <c r="A290" s="330">
        <v>13</v>
      </c>
      <c r="B290" s="435" t="str">
        <f>VLOOKUP(Ruimtestaat[[#This Row],[Code]],Locaties[[Code]:[Locatie]],2,FALSE)</f>
        <v>IKC Florence Nightingale</v>
      </c>
      <c r="C290" s="435" t="str">
        <f>VLOOKUP(Ruimtestaat[[#This Row],[Code]],Locaties[[#All],[Code]:[Adres]],4,FALSE)</f>
        <v>Zanzibarplein 90</v>
      </c>
      <c r="D290" s="435" t="str">
        <f>VLOOKUP(Ruimtestaat[[#This Row],[Code]],Locaties[[#All],[Code]:[Postcode]],5,FALSE)</f>
        <v>2721 GE</v>
      </c>
      <c r="E290" s="435" t="str">
        <f>VLOOKUP(Ruimtestaat[[#This Row],[Code]],Locaties[#All],6,FALSE)</f>
        <v>Zoetermeer</v>
      </c>
      <c r="F290" s="450"/>
      <c r="G290" s="330" t="s">
        <v>1678</v>
      </c>
      <c r="H290" s="330" t="s">
        <v>1669</v>
      </c>
      <c r="I290" s="450" t="s">
        <v>1679</v>
      </c>
      <c r="J290" s="330">
        <v>16</v>
      </c>
      <c r="K290" s="450" t="str">
        <f>VLOOKUP(Ruimtestaat[[#This Row],[Ruimte code]],Ruimtegroepen[[#All],[Code]:[Ruimte omschrijving]],2,FALSE)</f>
        <v>Leslokalen</v>
      </c>
      <c r="L290" s="434" t="s">
        <v>100</v>
      </c>
      <c r="M290" s="437" t="s">
        <v>1759</v>
      </c>
      <c r="N290" s="439">
        <v>50</v>
      </c>
      <c r="O290" s="439"/>
      <c r="P290" s="439"/>
      <c r="Q290" s="439"/>
      <c r="R290" s="440" t="str">
        <f>VLOOKUP(Ruimtestaat[[#This Row],[Ruimte code]],Ruimtegroepen[],4,FALSE)</f>
        <v>Le</v>
      </c>
      <c r="S290" s="434">
        <v>40</v>
      </c>
      <c r="T290" s="434" t="s">
        <v>2</v>
      </c>
      <c r="U290" s="434">
        <f>IF(S290&gt;0,IF(RIGHT(Ruimtestaat[[#This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0" s="434">
        <f>IF(U290&gt;0,VLOOKUP($J290,Ruimtegroepen[],3,FALSE)*VLOOKUP($L290,Vloersoorten[],3,FALSE)*VLOOKUP($T290,Frequenties[],3,FALSE)*VLOOKUP($A290,Locaties[],3,FALSE),0)</f>
        <v>0</v>
      </c>
      <c r="W290" s="434">
        <f>Ruimtestaat[[#This Row],[Uitvoeringen werkdagen]]*Ruimtestaat[[#This Row],[Oppervlak (netto)]]</f>
        <v>10000</v>
      </c>
      <c r="X290" s="441">
        <f>IF(V290&gt;0,Ruimtestaat[[#This Row],[Prest. (m2 /jaar) werkdagen]]/Ruimtestaat[[#This Row],[Norm (m2/uur) werkdagen]],0)</f>
        <v>0</v>
      </c>
      <c r="Y290" s="442">
        <f>Ruimtestaat[[#This Row],[Uitvoeringen werkdagen]]*Ruimtestaat[[#This Row],[Gedeeltelijk]]</f>
        <v>0</v>
      </c>
      <c r="Z290" s="443" t="e">
        <f>IF(U290&gt;0,Ruimtestaat[[#This Row],[Prest. (m2 / jaar) werkdagen gedeeld]]/Ruimtestaat[[#This Row],[Norm (m2/uur) werkdagen]],0)</f>
        <v>#DIV/0!</v>
      </c>
      <c r="AA290" s="441" t="e">
        <f>Ruimtestaat[[#This Row],[uren / jaar werkdagen gedeeld]]*Tariefsopbouw!$E$35</f>
        <v>#DIV/0!</v>
      </c>
      <c r="AB290" s="441">
        <f>Ruimtestaat[[#This Row],[Uitvoeringen werkdagen]]*Ruimtestaat[[#This Row],[BSO]]</f>
        <v>0</v>
      </c>
      <c r="AC290" s="443" t="e">
        <f>IF(U290&gt;0,Ruimtestaat[[#This Row],[Prest. (m2 / jaar) werkdagen BSO]]/Ruimtestaat[[#This Row],[Norm (m2/uur) werkdagen]],0)</f>
        <v>#DIV/0!</v>
      </c>
      <c r="AD290" s="443" t="e">
        <f>Ruimtestaat[[#This Row],[uren / jaar werkdagen BSO]]*Tariefsopbouw!$E$35</f>
        <v>#DIV/0!</v>
      </c>
      <c r="AE290" s="444">
        <f>Ruimtestaat[[#This Row],[uren / jaar werkdagen]]*Tariefsopbouw!$E$35</f>
        <v>0</v>
      </c>
      <c r="AF290" s="434"/>
      <c r="AG290" s="434">
        <f>IF(Ruimtestaat[[#This Row],[Frequentie weekend]]&gt;0,VALUE(LEFT(AF290,1))*S290,0)</f>
        <v>0</v>
      </c>
      <c r="AH290" s="445">
        <f>IF($AG290&gt;0,VLOOKUP($J290,Ruimtegroepen[],3,FALSE)*VLOOKUP($L290,Vloersoorten[],3,FALSE)*VLOOKUP($AF290,Frequenties[],3,FALSE)*VLOOKUP(Ruimtestaat[[#This Row],[Code]],Locaties[],3,FALSE),0)</f>
        <v>0</v>
      </c>
      <c r="AI290" s="445">
        <f>Ruimtestaat[[#This Row],[Uitvoeringen weekend]]*Ruimtestaat[[#This Row],[Oppervlak (netto)]]</f>
        <v>0</v>
      </c>
      <c r="AJ290" s="445">
        <f>IF(AH290&gt;0,Ruimtestaat[[#This Row],[Prest. (m2 /jaar) weekend]]/Ruimtestaat[[#This Row],[Norm (m2/uur) weekend]],0)</f>
        <v>0</v>
      </c>
      <c r="AK290" s="444">
        <f>Ruimtestaat[[#This Row],[uren / jaar weekend]]*Tariefsopbouw!$D$40</f>
        <v>0</v>
      </c>
      <c r="AL290" s="441">
        <f>Ruimtestaat[[#This Row],[Prest. (m2 /jaar) weekend]]+Ruimtestaat[[#This Row],[Prest. (m2 /jaar) werkdagen]]</f>
        <v>10000</v>
      </c>
      <c r="AM290" s="441">
        <f>Ruimtestaat[[#This Row],[uren / jaar weekend]]+Ruimtestaat[[#This Row],[uren / jaar werkdagen]]</f>
        <v>0</v>
      </c>
      <c r="AN290" s="446">
        <f>Ruimtestaat[[#This Row],[kosten / jaar weekend]]+Ruimtestaat[[#This Row],[kosten / jaar werkdagen]]</f>
        <v>0</v>
      </c>
      <c r="AO290" s="446"/>
      <c r="AP290" s="447" t="str">
        <f>IF(Ruimtestaat[[#This Row],[Frequentie werkdagen]]="","",_xlfn.CONCAT(Ruimtestaat[[#This Row],[Ruimte code]],"-",Ruimtestaat[[#This Row],[Frequentie werkdagen]]," ",Ruimtestaat[[#This Row],[Vloer code]]))</f>
        <v>16-5w L</v>
      </c>
      <c r="AQ290" s="448" t="str">
        <f>_xlfn.IFNA(VLOOKUP($AP290,Programma!$F$3:$G$1101,2,0),"")</f>
        <v>_</v>
      </c>
      <c r="AR290" s="448" t="str">
        <f>_xlfn.IFNA(VLOOKUP($AP290,Programma!$F$3:$H$1101,3,0),"")</f>
        <v>_</v>
      </c>
      <c r="AS290" s="448" t="str">
        <f>_xlfn.IFNA(VLOOKUP($AP290,Programma!$F$3:$I$1101,4,0),"")</f>
        <v>4w</v>
      </c>
      <c r="AT290" s="448" t="str">
        <f>_xlfn.IFNA(VLOOKUP($AP290,Programma!$F$3:$J$1101,5,0),"")</f>
        <v>1w</v>
      </c>
      <c r="AU290" s="448" t="str">
        <f>_xlfn.IFNA(VLOOKUP($AP290,Programma!$F$3:$K$1101,6,0),"")</f>
        <v>_</v>
      </c>
      <c r="AV290" s="448" t="str">
        <f>_xlfn.IFNA(VLOOKUP($AP290,Programma!$F$3:$L$1101,7,0),"")</f>
        <v>_</v>
      </c>
      <c r="AW290" s="448" t="str">
        <f>_xlfn.IFNA(VLOOKUP($AP290,Programma!$F$3:$M$1101,8,0),"")</f>
        <v>_</v>
      </c>
      <c r="AX290" s="448" t="str">
        <f>_xlfn.IFNA(VLOOKUP($AP290,Programma!$F$3:$N$1101,9,0),"")</f>
        <v>_</v>
      </c>
      <c r="AY290" s="448" t="str">
        <f>_xlfn.IFNA(VLOOKUP($AP290,Programma!$F$3:$O$1101,10,0),"")</f>
        <v>5w</v>
      </c>
      <c r="AZ290" s="448" t="str">
        <f>_xlfn.IFNA(VLOOKUP($AP290,Programma!$F$3:$P$1101,11,0),"")</f>
        <v>5w</v>
      </c>
      <c r="BA290" s="448" t="str">
        <f>_xlfn.IFNA(VLOOKUP($AP290,Programma!$F$3:$Q$1101,12,0),"")</f>
        <v>1w</v>
      </c>
      <c r="BB290" s="448" t="str">
        <f>_xlfn.IFNA(VLOOKUP($AP290,Programma!$F$3:$R$1101,13,0),"")</f>
        <v>1w</v>
      </c>
      <c r="BC290" s="448" t="str">
        <f>_xlfn.IFNA(VLOOKUP($AP290,Programma!$F$3:$S$1101,14,0),"")</f>
        <v>1m</v>
      </c>
      <c r="BD290" s="448" t="str">
        <f>_xlfn.IFNA(VLOOKUP($AP290,Programma!$F$3:$T$1101,15,0),"")</f>
        <v>2j</v>
      </c>
      <c r="BE290" s="448" t="str">
        <f>_xlfn.IFNA(VLOOKUP($AP290,Programma!$F$3:$U$1101,16,0),"")</f>
        <v>1j</v>
      </c>
      <c r="BF290" s="448" t="str">
        <f>_xlfn.IFNA(VLOOKUP($AP290,Programma!$F$3:$V$1101,17,0),"")</f>
        <v>_</v>
      </c>
      <c r="BG290" s="448" t="str">
        <f>_xlfn.IFNA(VLOOKUP($AP290,Programma!$F$3:$W$1101,18,0),"")</f>
        <v>_</v>
      </c>
      <c r="BH290" s="448" t="str">
        <f>_xlfn.IFNA(VLOOKUP($AP290,Programma!$F$3:$X$1101,19,0),"")</f>
        <v>_</v>
      </c>
      <c r="BI290" s="448" t="str">
        <f>_xlfn.IFNA(VLOOKUP($AP290,Programma!$F$3:$Y$1101,20,0),"")</f>
        <v>_</v>
      </c>
      <c r="BJ290" s="449"/>
      <c r="BK290" s="447" t="str">
        <f>IF(Ruimtestaat[[#This Row],[Frequentie weekend]]="","",_xlfn.CONCAT(Ruimtestaat[[#This Row],[Ruimte code]],"-",Ruimtestaat[[#This Row],[Frequentie weekend]]," ",Ruimtestaat[[#This Row],[Vloer code]]))</f>
        <v/>
      </c>
      <c r="BL290" s="448" t="str">
        <f>_xlfn.IFNA(VLOOKUP($BK290,Programma!$F$3:$G$1101,2,0),"")</f>
        <v/>
      </c>
      <c r="BM290" s="448" t="str">
        <f>_xlfn.IFNA(VLOOKUP($BK290,Programma!$F$3:$H$1101,3,0),"")</f>
        <v/>
      </c>
      <c r="BN290" s="448" t="str">
        <f>_xlfn.IFNA(VLOOKUP($BK290,Programma!$F$3:$I$1101,4,0),"")</f>
        <v/>
      </c>
      <c r="BO290" s="448" t="str">
        <f>_xlfn.IFNA(VLOOKUP($BK290,Programma!$F$3:$J$1101,5,0),"")</f>
        <v/>
      </c>
      <c r="BP290" s="448" t="str">
        <f>_xlfn.IFNA(VLOOKUP($BK290,Programma!$F$3:$K$1101,6,0),"")</f>
        <v/>
      </c>
      <c r="BQ290" s="448" t="str">
        <f>_xlfn.IFNA(VLOOKUP($BK290,Programma!$F$3:$L$1101,7,0),"")</f>
        <v/>
      </c>
      <c r="BR290" s="448" t="str">
        <f>_xlfn.IFNA(VLOOKUP($BK290,Programma!$F$3:$M$1101,8,0),"")</f>
        <v/>
      </c>
      <c r="BS290" s="448" t="str">
        <f>_xlfn.IFNA(VLOOKUP($BK290,Programma!$F$3:$N$1101,9,0),"")</f>
        <v/>
      </c>
      <c r="BT290" s="448" t="str">
        <f>_xlfn.IFNA(VLOOKUP($BK290,Programma!$F$3:$O$1101,10,0),"")</f>
        <v/>
      </c>
      <c r="BU290" s="448" t="str">
        <f>_xlfn.IFNA(VLOOKUP($BK290,Programma!$F$3:$P$1101,11,0),"")</f>
        <v/>
      </c>
      <c r="BV290" s="448" t="str">
        <f>_xlfn.IFNA(VLOOKUP($BK290,Programma!$F$3:$Q$1101,12,0),"")</f>
        <v/>
      </c>
      <c r="BW290" s="448" t="str">
        <f>_xlfn.IFNA(VLOOKUP($BK290,Programma!$F$3:$R$1101,13,0),"")</f>
        <v/>
      </c>
      <c r="BX290" s="448" t="str">
        <f>_xlfn.IFNA(VLOOKUP($BK290,Programma!$F$3:$S$1101,14,0),"")</f>
        <v/>
      </c>
      <c r="BY290" s="448" t="str">
        <f>_xlfn.IFNA(VLOOKUP($BK290,Programma!$F$3:$T$1101,15,0),"")</f>
        <v/>
      </c>
      <c r="BZ290" s="448" t="str">
        <f>_xlfn.IFNA(VLOOKUP($BK290,Programma!$F$3:$U$1101,16,0),"")</f>
        <v/>
      </c>
      <c r="CA290" s="448" t="str">
        <f>_xlfn.IFNA(VLOOKUP($BK290,Programma!$F$3:$V$1101,17,0),"")</f>
        <v/>
      </c>
      <c r="CB290" s="448" t="str">
        <f>_xlfn.IFNA(VLOOKUP($BK290,Programma!$F$3:$W$1101,18,0),"")</f>
        <v/>
      </c>
      <c r="CC290" s="448" t="str">
        <f>_xlfn.IFNA(VLOOKUP($BK290,Programma!$F$3:$X$1101,19,0),"")</f>
        <v/>
      </c>
      <c r="CD290" s="448" t="str">
        <f>_xlfn.IFNA(VLOOKUP($BK290,Programma!$F$3:$Y$1101,20,0),"")</f>
        <v/>
      </c>
      <c r="CE290" s="327"/>
      <c r="CF290" s="327"/>
      <c r="CG290" s="327"/>
      <c r="CH290" s="327"/>
      <c r="CI290" s="327"/>
      <c r="CJ290" s="327"/>
      <c r="CK290" s="327"/>
      <c r="CL290" s="327"/>
      <c r="CM290" s="327"/>
      <c r="CN290" s="327"/>
      <c r="CO290" s="327"/>
      <c r="CP290" s="327"/>
      <c r="CQ290" s="327"/>
      <c r="CR290" s="327"/>
      <c r="CS290" s="327"/>
      <c r="CT290" s="327"/>
      <c r="CU290" s="327"/>
      <c r="CV290" s="327"/>
      <c r="CW290" s="327"/>
      <c r="CX290" s="327"/>
      <c r="CY290" s="327"/>
      <c r="CZ290" s="327"/>
      <c r="DA290" s="327"/>
      <c r="DB290" s="327"/>
      <c r="DC290" s="327"/>
      <c r="DD290" s="327"/>
      <c r="DE290" s="327"/>
      <c r="DF290" s="327"/>
      <c r="DG290" s="327"/>
      <c r="DH290" s="327"/>
      <c r="DI290" s="327"/>
      <c r="DJ290" s="327"/>
      <c r="DK290" s="327"/>
      <c r="DL290" s="327"/>
      <c r="DM290" s="327"/>
      <c r="DN290" s="327"/>
      <c r="DO290" s="327"/>
      <c r="DP290" s="327"/>
      <c r="DQ290" s="327"/>
      <c r="DR290" s="327"/>
      <c r="DS290" s="327"/>
      <c r="DT290" s="327"/>
      <c r="DU290" s="327"/>
      <c r="DV290" s="327"/>
      <c r="DW290" s="327"/>
      <c r="DX290" s="327"/>
      <c r="DY290" s="327"/>
      <c r="DZ290" s="327"/>
      <c r="EA290" s="327"/>
      <c r="EB290" s="327"/>
      <c r="EC290" s="327"/>
      <c r="ED290" s="327"/>
      <c r="EE290" s="327"/>
      <c r="EF290" s="327"/>
      <c r="EG290" s="327"/>
      <c r="EH290" s="327"/>
      <c r="EI290" s="327"/>
      <c r="EJ290" s="327"/>
      <c r="EK290" s="327"/>
      <c r="EL290" s="327"/>
      <c r="EM290" s="327"/>
      <c r="EN290" s="327"/>
      <c r="EO290" s="327"/>
      <c r="EP290" s="327"/>
      <c r="EQ290" s="327"/>
      <c r="ER290" s="327"/>
      <c r="ES290" s="327"/>
      <c r="ET290" s="327"/>
      <c r="EU290" s="327"/>
      <c r="EV290" s="327"/>
      <c r="EW290" s="327"/>
      <c r="EX290" s="327"/>
      <c r="EY290" s="327"/>
      <c r="EZ290" s="327"/>
      <c r="FA290" s="327"/>
      <c r="FB290" s="327"/>
      <c r="FC290" s="327"/>
      <c r="FD290" s="327"/>
      <c r="FE290" s="327"/>
      <c r="FF290" s="327"/>
      <c r="FG290" s="327"/>
      <c r="FH290" s="327"/>
      <c r="FI290" s="327"/>
      <c r="FJ290" s="327"/>
      <c r="FK290" s="327"/>
      <c r="FL290" s="327"/>
      <c r="FM290" s="327"/>
      <c r="FN290" s="327"/>
      <c r="FO290" s="327"/>
      <c r="FP290" s="327"/>
      <c r="FQ290" s="327"/>
      <c r="FR290" s="327"/>
      <c r="FS290" s="327"/>
      <c r="FT290" s="327"/>
      <c r="FU290" s="327"/>
      <c r="FV290" s="327"/>
      <c r="FW290" s="327"/>
      <c r="FX290" s="327"/>
      <c r="FY290" s="327"/>
      <c r="FZ290" s="327"/>
      <c r="GA290" s="327"/>
      <c r="GB290" s="327"/>
      <c r="GC290" s="327"/>
      <c r="GD290" s="327"/>
      <c r="GE290" s="327"/>
      <c r="GF290" s="327"/>
      <c r="GG290" s="327"/>
      <c r="GH290" s="327"/>
      <c r="GI290" s="327"/>
      <c r="GJ290" s="327"/>
      <c r="GK290" s="327"/>
      <c r="GL290" s="327"/>
      <c r="GM290" s="327"/>
      <c r="GN290" s="327"/>
      <c r="GO290" s="327"/>
      <c r="GP290" s="327"/>
      <c r="GQ290" s="327"/>
      <c r="GR290" s="327"/>
      <c r="GS290" s="327"/>
      <c r="GT290" s="327"/>
      <c r="GU290" s="327"/>
      <c r="GV290" s="327"/>
      <c r="GW290" s="327"/>
      <c r="GX290" s="327"/>
      <c r="GY290" s="327"/>
      <c r="GZ290" s="327"/>
      <c r="HA290" s="327"/>
      <c r="HB290" s="327"/>
      <c r="HC290" s="327"/>
      <c r="HD290" s="327"/>
      <c r="HE290" s="327"/>
      <c r="HF290" s="327"/>
      <c r="HG290" s="327"/>
      <c r="HH290" s="327"/>
      <c r="HI290" s="327"/>
      <c r="HJ290" s="327"/>
      <c r="HK290" s="327"/>
      <c r="HL290" s="327"/>
      <c r="HM290" s="327"/>
      <c r="HN290" s="327"/>
      <c r="HO290" s="327"/>
      <c r="HP290" s="327"/>
      <c r="HQ290" s="327"/>
      <c r="HR290" s="327"/>
      <c r="HS290" s="327"/>
    </row>
    <row r="291" spans="1:227" ht="15" customHeight="1">
      <c r="A291" s="330">
        <v>13</v>
      </c>
      <c r="B291" s="435" t="str">
        <f>VLOOKUP(Ruimtestaat[[#This Row],[Code]],Locaties[[Code]:[Locatie]],2,FALSE)</f>
        <v>IKC Florence Nightingale</v>
      </c>
      <c r="C291" s="435" t="str">
        <f>VLOOKUP(Ruimtestaat[[#This Row],[Code]],Locaties[[#All],[Code]:[Adres]],4,FALSE)</f>
        <v>Zanzibarplein 90</v>
      </c>
      <c r="D291" s="435" t="str">
        <f>VLOOKUP(Ruimtestaat[[#This Row],[Code]],Locaties[[#All],[Code]:[Postcode]],5,FALSE)</f>
        <v>2721 GE</v>
      </c>
      <c r="E291" s="435" t="str">
        <f>VLOOKUP(Ruimtestaat[[#This Row],[Code]],Locaties[#All],6,FALSE)</f>
        <v>Zoetermeer</v>
      </c>
      <c r="F291" s="450"/>
      <c r="G291" s="330" t="s">
        <v>1678</v>
      </c>
      <c r="H291" s="330" t="s">
        <v>1670</v>
      </c>
      <c r="I291" s="450" t="s">
        <v>1679</v>
      </c>
      <c r="J291" s="330">
        <v>16</v>
      </c>
      <c r="K291" s="450" t="str">
        <f>VLOOKUP(Ruimtestaat[[#This Row],[Ruimte code]],Ruimtegroepen[[#All],[Code]:[Ruimte omschrijving]],2,FALSE)</f>
        <v>Leslokalen</v>
      </c>
      <c r="L291" s="434" t="s">
        <v>100</v>
      </c>
      <c r="M291" s="437" t="s">
        <v>1759</v>
      </c>
      <c r="N291" s="439">
        <v>52</v>
      </c>
      <c r="O291" s="439"/>
      <c r="P291" s="439"/>
      <c r="Q291" s="439"/>
      <c r="R291" s="440" t="str">
        <f>VLOOKUP(Ruimtestaat[[#This Row],[Ruimte code]],Ruimtegroepen[],4,FALSE)</f>
        <v>Le</v>
      </c>
      <c r="S291" s="434">
        <v>40</v>
      </c>
      <c r="T291" s="434" t="s">
        <v>2</v>
      </c>
      <c r="U291" s="434">
        <f>IF(S291&gt;0,IF(RIGHT(Ruimtestaat[[#This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1" s="434">
        <f>IF(U291&gt;0,VLOOKUP($J291,Ruimtegroepen[],3,FALSE)*VLOOKUP($L291,Vloersoorten[],3,FALSE)*VLOOKUP($T291,Frequenties[],3,FALSE)*VLOOKUP($A291,Locaties[],3,FALSE),0)</f>
        <v>0</v>
      </c>
      <c r="W291" s="434">
        <f>Ruimtestaat[[#This Row],[Uitvoeringen werkdagen]]*Ruimtestaat[[#This Row],[Oppervlak (netto)]]</f>
        <v>10400</v>
      </c>
      <c r="X291" s="441">
        <f>IF(V291&gt;0,Ruimtestaat[[#This Row],[Prest. (m2 /jaar) werkdagen]]/Ruimtestaat[[#This Row],[Norm (m2/uur) werkdagen]],0)</f>
        <v>0</v>
      </c>
      <c r="Y291" s="442">
        <f>Ruimtestaat[[#This Row],[Uitvoeringen werkdagen]]*Ruimtestaat[[#This Row],[Gedeeltelijk]]</f>
        <v>0</v>
      </c>
      <c r="Z291" s="443" t="e">
        <f>IF(U291&gt;0,Ruimtestaat[[#This Row],[Prest. (m2 / jaar) werkdagen gedeeld]]/Ruimtestaat[[#This Row],[Norm (m2/uur) werkdagen]],0)</f>
        <v>#DIV/0!</v>
      </c>
      <c r="AA291" s="441" t="e">
        <f>Ruimtestaat[[#This Row],[uren / jaar werkdagen gedeeld]]*Tariefsopbouw!$E$35</f>
        <v>#DIV/0!</v>
      </c>
      <c r="AB291" s="441">
        <f>Ruimtestaat[[#This Row],[Uitvoeringen werkdagen]]*Ruimtestaat[[#This Row],[BSO]]</f>
        <v>0</v>
      </c>
      <c r="AC291" s="443" t="e">
        <f>IF(U291&gt;0,Ruimtestaat[[#This Row],[Prest. (m2 / jaar) werkdagen BSO]]/Ruimtestaat[[#This Row],[Norm (m2/uur) werkdagen]],0)</f>
        <v>#DIV/0!</v>
      </c>
      <c r="AD291" s="443" t="e">
        <f>Ruimtestaat[[#This Row],[uren / jaar werkdagen BSO]]*Tariefsopbouw!$E$35</f>
        <v>#DIV/0!</v>
      </c>
      <c r="AE291" s="444">
        <f>Ruimtestaat[[#This Row],[uren / jaar werkdagen]]*Tariefsopbouw!$E$35</f>
        <v>0</v>
      </c>
      <c r="AF291" s="434"/>
      <c r="AG291" s="434">
        <f>IF(Ruimtestaat[[#This Row],[Frequentie weekend]]&gt;0,VALUE(LEFT(AF291,1))*S291,0)</f>
        <v>0</v>
      </c>
      <c r="AH291" s="445">
        <f>IF($AG291&gt;0,VLOOKUP($J291,Ruimtegroepen[],3,FALSE)*VLOOKUP($L291,Vloersoorten[],3,FALSE)*VLOOKUP($AF291,Frequenties[],3,FALSE)*VLOOKUP(Ruimtestaat[[#This Row],[Code]],Locaties[],3,FALSE),0)</f>
        <v>0</v>
      </c>
      <c r="AI291" s="445">
        <f>Ruimtestaat[[#This Row],[Uitvoeringen weekend]]*Ruimtestaat[[#This Row],[Oppervlak (netto)]]</f>
        <v>0</v>
      </c>
      <c r="AJ291" s="445">
        <f>IF(AH291&gt;0,Ruimtestaat[[#This Row],[Prest. (m2 /jaar) weekend]]/Ruimtestaat[[#This Row],[Norm (m2/uur) weekend]],0)</f>
        <v>0</v>
      </c>
      <c r="AK291" s="444">
        <f>Ruimtestaat[[#This Row],[uren / jaar weekend]]*Tariefsopbouw!$D$40</f>
        <v>0</v>
      </c>
      <c r="AL291" s="441">
        <f>Ruimtestaat[[#This Row],[Prest. (m2 /jaar) weekend]]+Ruimtestaat[[#This Row],[Prest. (m2 /jaar) werkdagen]]</f>
        <v>10400</v>
      </c>
      <c r="AM291" s="441">
        <f>Ruimtestaat[[#This Row],[uren / jaar weekend]]+Ruimtestaat[[#This Row],[uren / jaar werkdagen]]</f>
        <v>0</v>
      </c>
      <c r="AN291" s="446">
        <f>Ruimtestaat[[#This Row],[kosten / jaar weekend]]+Ruimtestaat[[#This Row],[kosten / jaar werkdagen]]</f>
        <v>0</v>
      </c>
      <c r="AO291" s="446"/>
      <c r="AP291" s="447" t="str">
        <f>IF(Ruimtestaat[[#This Row],[Frequentie werkdagen]]="","",_xlfn.CONCAT(Ruimtestaat[[#This Row],[Ruimte code]],"-",Ruimtestaat[[#This Row],[Frequentie werkdagen]]," ",Ruimtestaat[[#This Row],[Vloer code]]))</f>
        <v>16-5w L</v>
      </c>
      <c r="AQ291" s="448" t="str">
        <f>_xlfn.IFNA(VLOOKUP($AP291,Programma!$F$3:$G$1101,2,0),"")</f>
        <v>_</v>
      </c>
      <c r="AR291" s="448" t="str">
        <f>_xlfn.IFNA(VLOOKUP($AP291,Programma!$F$3:$H$1101,3,0),"")</f>
        <v>_</v>
      </c>
      <c r="AS291" s="448" t="str">
        <f>_xlfn.IFNA(VLOOKUP($AP291,Programma!$F$3:$I$1101,4,0),"")</f>
        <v>4w</v>
      </c>
      <c r="AT291" s="448" t="str">
        <f>_xlfn.IFNA(VLOOKUP($AP291,Programma!$F$3:$J$1101,5,0),"")</f>
        <v>1w</v>
      </c>
      <c r="AU291" s="448" t="str">
        <f>_xlfn.IFNA(VLOOKUP($AP291,Programma!$F$3:$K$1101,6,0),"")</f>
        <v>_</v>
      </c>
      <c r="AV291" s="448" t="str">
        <f>_xlfn.IFNA(VLOOKUP($AP291,Programma!$F$3:$L$1101,7,0),"")</f>
        <v>_</v>
      </c>
      <c r="AW291" s="448" t="str">
        <f>_xlfn.IFNA(VLOOKUP($AP291,Programma!$F$3:$M$1101,8,0),"")</f>
        <v>_</v>
      </c>
      <c r="AX291" s="448" t="str">
        <f>_xlfn.IFNA(VLOOKUP($AP291,Programma!$F$3:$N$1101,9,0),"")</f>
        <v>_</v>
      </c>
      <c r="AY291" s="448" t="str">
        <f>_xlfn.IFNA(VLOOKUP($AP291,Programma!$F$3:$O$1101,10,0),"")</f>
        <v>5w</v>
      </c>
      <c r="AZ291" s="448" t="str">
        <f>_xlfn.IFNA(VLOOKUP($AP291,Programma!$F$3:$P$1101,11,0),"")</f>
        <v>5w</v>
      </c>
      <c r="BA291" s="448" t="str">
        <f>_xlfn.IFNA(VLOOKUP($AP291,Programma!$F$3:$Q$1101,12,0),"")</f>
        <v>1w</v>
      </c>
      <c r="BB291" s="448" t="str">
        <f>_xlfn.IFNA(VLOOKUP($AP291,Programma!$F$3:$R$1101,13,0),"")</f>
        <v>1w</v>
      </c>
      <c r="BC291" s="448" t="str">
        <f>_xlfn.IFNA(VLOOKUP($AP291,Programma!$F$3:$S$1101,14,0),"")</f>
        <v>1m</v>
      </c>
      <c r="BD291" s="448" t="str">
        <f>_xlfn.IFNA(VLOOKUP($AP291,Programma!$F$3:$T$1101,15,0),"")</f>
        <v>2j</v>
      </c>
      <c r="BE291" s="448" t="str">
        <f>_xlfn.IFNA(VLOOKUP($AP291,Programma!$F$3:$U$1101,16,0),"")</f>
        <v>1j</v>
      </c>
      <c r="BF291" s="448" t="str">
        <f>_xlfn.IFNA(VLOOKUP($AP291,Programma!$F$3:$V$1101,17,0),"")</f>
        <v>_</v>
      </c>
      <c r="BG291" s="448" t="str">
        <f>_xlfn.IFNA(VLOOKUP($AP291,Programma!$F$3:$W$1101,18,0),"")</f>
        <v>_</v>
      </c>
      <c r="BH291" s="448" t="str">
        <f>_xlfn.IFNA(VLOOKUP($AP291,Programma!$F$3:$X$1101,19,0),"")</f>
        <v>_</v>
      </c>
      <c r="BI291" s="448" t="str">
        <f>_xlfn.IFNA(VLOOKUP($AP291,Programma!$F$3:$Y$1101,20,0),"")</f>
        <v>_</v>
      </c>
      <c r="BJ291" s="449"/>
      <c r="BK291" s="447" t="str">
        <f>IF(Ruimtestaat[[#This Row],[Frequentie weekend]]="","",_xlfn.CONCAT(Ruimtestaat[[#This Row],[Ruimte code]],"-",Ruimtestaat[[#This Row],[Frequentie weekend]]," ",Ruimtestaat[[#This Row],[Vloer code]]))</f>
        <v/>
      </c>
      <c r="BL291" s="448" t="str">
        <f>_xlfn.IFNA(VLOOKUP($BK291,Programma!$F$3:$G$1101,2,0),"")</f>
        <v/>
      </c>
      <c r="BM291" s="448" t="str">
        <f>_xlfn.IFNA(VLOOKUP($BK291,Programma!$F$3:$H$1101,3,0),"")</f>
        <v/>
      </c>
      <c r="BN291" s="448" t="str">
        <f>_xlfn.IFNA(VLOOKUP($BK291,Programma!$F$3:$I$1101,4,0),"")</f>
        <v/>
      </c>
      <c r="BO291" s="448" t="str">
        <f>_xlfn.IFNA(VLOOKUP($BK291,Programma!$F$3:$J$1101,5,0),"")</f>
        <v/>
      </c>
      <c r="BP291" s="448" t="str">
        <f>_xlfn.IFNA(VLOOKUP($BK291,Programma!$F$3:$K$1101,6,0),"")</f>
        <v/>
      </c>
      <c r="BQ291" s="448" t="str">
        <f>_xlfn.IFNA(VLOOKUP($BK291,Programma!$F$3:$L$1101,7,0),"")</f>
        <v/>
      </c>
      <c r="BR291" s="448" t="str">
        <f>_xlfn.IFNA(VLOOKUP($BK291,Programma!$F$3:$M$1101,8,0),"")</f>
        <v/>
      </c>
      <c r="BS291" s="448" t="str">
        <f>_xlfn.IFNA(VLOOKUP($BK291,Programma!$F$3:$N$1101,9,0),"")</f>
        <v/>
      </c>
      <c r="BT291" s="448" t="str">
        <f>_xlfn.IFNA(VLOOKUP($BK291,Programma!$F$3:$O$1101,10,0),"")</f>
        <v/>
      </c>
      <c r="BU291" s="448" t="str">
        <f>_xlfn.IFNA(VLOOKUP($BK291,Programma!$F$3:$P$1101,11,0),"")</f>
        <v/>
      </c>
      <c r="BV291" s="448" t="str">
        <f>_xlfn.IFNA(VLOOKUP($BK291,Programma!$F$3:$Q$1101,12,0),"")</f>
        <v/>
      </c>
      <c r="BW291" s="448" t="str">
        <f>_xlfn.IFNA(VLOOKUP($BK291,Programma!$F$3:$R$1101,13,0),"")</f>
        <v/>
      </c>
      <c r="BX291" s="448" t="str">
        <f>_xlfn.IFNA(VLOOKUP($BK291,Programma!$F$3:$S$1101,14,0),"")</f>
        <v/>
      </c>
      <c r="BY291" s="448" t="str">
        <f>_xlfn.IFNA(VLOOKUP($BK291,Programma!$F$3:$T$1101,15,0),"")</f>
        <v/>
      </c>
      <c r="BZ291" s="448" t="str">
        <f>_xlfn.IFNA(VLOOKUP($BK291,Programma!$F$3:$U$1101,16,0),"")</f>
        <v/>
      </c>
      <c r="CA291" s="448" t="str">
        <f>_xlfn.IFNA(VLOOKUP($BK291,Programma!$F$3:$V$1101,17,0),"")</f>
        <v/>
      </c>
      <c r="CB291" s="448" t="str">
        <f>_xlfn.IFNA(VLOOKUP($BK291,Programma!$F$3:$W$1101,18,0),"")</f>
        <v/>
      </c>
      <c r="CC291" s="448" t="str">
        <f>_xlfn.IFNA(VLOOKUP($BK291,Programma!$F$3:$X$1101,19,0),"")</f>
        <v/>
      </c>
      <c r="CD291" s="448" t="str">
        <f>_xlfn.IFNA(VLOOKUP($BK291,Programma!$F$3:$Y$1101,20,0),"")</f>
        <v/>
      </c>
      <c r="CE291" s="327"/>
      <c r="CF291" s="327"/>
      <c r="CG291" s="327"/>
      <c r="CH291" s="327"/>
      <c r="CI291" s="327"/>
      <c r="CJ291" s="327"/>
      <c r="CK291" s="327"/>
      <c r="CL291" s="327"/>
      <c r="CM291" s="327"/>
      <c r="CN291" s="327"/>
      <c r="CO291" s="327"/>
      <c r="CP291" s="327"/>
      <c r="CQ291" s="327"/>
      <c r="CR291" s="327"/>
      <c r="CS291" s="327"/>
      <c r="CT291" s="327"/>
      <c r="CU291" s="327"/>
      <c r="CV291" s="327"/>
      <c r="CW291" s="327"/>
      <c r="CX291" s="327"/>
      <c r="CY291" s="327"/>
      <c r="CZ291" s="327"/>
      <c r="DA291" s="327"/>
      <c r="DB291" s="327"/>
      <c r="DC291" s="327"/>
      <c r="DD291" s="327"/>
      <c r="DE291" s="327"/>
      <c r="DF291" s="327"/>
      <c r="DG291" s="327"/>
      <c r="DH291" s="327"/>
      <c r="DI291" s="327"/>
      <c r="DJ291" s="327"/>
      <c r="DK291" s="327"/>
      <c r="DL291" s="327"/>
      <c r="DM291" s="327"/>
      <c r="DN291" s="327"/>
      <c r="DO291" s="327"/>
      <c r="DP291" s="327"/>
      <c r="DQ291" s="327"/>
      <c r="DR291" s="327"/>
      <c r="DS291" s="327"/>
      <c r="DT291" s="327"/>
      <c r="DU291" s="327"/>
      <c r="DV291" s="327"/>
      <c r="DW291" s="327"/>
      <c r="DX291" s="327"/>
      <c r="DY291" s="327"/>
      <c r="DZ291" s="327"/>
      <c r="EA291" s="327"/>
      <c r="EB291" s="327"/>
      <c r="EC291" s="327"/>
      <c r="ED291" s="327"/>
      <c r="EE291" s="327"/>
      <c r="EF291" s="327"/>
      <c r="EG291" s="327"/>
      <c r="EH291" s="327"/>
      <c r="EI291" s="327"/>
      <c r="EJ291" s="327"/>
      <c r="EK291" s="327"/>
      <c r="EL291" s="327"/>
      <c r="EM291" s="327"/>
      <c r="EN291" s="327"/>
      <c r="EO291" s="327"/>
      <c r="EP291" s="327"/>
      <c r="EQ291" s="327"/>
      <c r="ER291" s="327"/>
      <c r="ES291" s="327"/>
      <c r="ET291" s="327"/>
      <c r="EU291" s="327"/>
      <c r="EV291" s="327"/>
      <c r="EW291" s="327"/>
      <c r="EX291" s="327"/>
      <c r="EY291" s="327"/>
      <c r="EZ291" s="327"/>
      <c r="FA291" s="327"/>
      <c r="FB291" s="327"/>
      <c r="FC291" s="327"/>
      <c r="FD291" s="327"/>
      <c r="FE291" s="327"/>
      <c r="FF291" s="327"/>
      <c r="FG291" s="327"/>
      <c r="FH291" s="327"/>
      <c r="FI291" s="327"/>
      <c r="FJ291" s="327"/>
      <c r="FK291" s="327"/>
      <c r="FL291" s="327"/>
      <c r="FM291" s="327"/>
      <c r="FN291" s="327"/>
      <c r="FO291" s="327"/>
      <c r="FP291" s="327"/>
      <c r="FQ291" s="327"/>
      <c r="FR291" s="327"/>
      <c r="FS291" s="327"/>
      <c r="FT291" s="327"/>
      <c r="FU291" s="327"/>
      <c r="FV291" s="327"/>
      <c r="FW291" s="327"/>
      <c r="FX291" s="327"/>
      <c r="FY291" s="327"/>
      <c r="FZ291" s="327"/>
      <c r="GA291" s="327"/>
      <c r="GB291" s="327"/>
      <c r="GC291" s="327"/>
      <c r="GD291" s="327"/>
      <c r="GE291" s="327"/>
      <c r="GF291" s="327"/>
      <c r="GG291" s="327"/>
      <c r="GH291" s="327"/>
      <c r="GI291" s="327"/>
      <c r="GJ291" s="327"/>
      <c r="GK291" s="327"/>
      <c r="GL291" s="327"/>
      <c r="GM291" s="327"/>
      <c r="GN291" s="327"/>
      <c r="GO291" s="327"/>
      <c r="GP291" s="327"/>
      <c r="GQ291" s="327"/>
      <c r="GR291" s="327"/>
      <c r="GS291" s="327"/>
      <c r="GT291" s="327"/>
      <c r="GU291" s="327"/>
      <c r="GV291" s="327"/>
      <c r="GW291" s="327"/>
      <c r="GX291" s="327"/>
      <c r="GY291" s="327"/>
      <c r="GZ291" s="327"/>
      <c r="HA291" s="327"/>
      <c r="HB291" s="327"/>
      <c r="HC291" s="327"/>
      <c r="HD291" s="327"/>
      <c r="HE291" s="327"/>
      <c r="HF291" s="327"/>
      <c r="HG291" s="327"/>
      <c r="HH291" s="327"/>
      <c r="HI291" s="327"/>
      <c r="HJ291" s="327"/>
      <c r="HK291" s="327"/>
      <c r="HL291" s="327"/>
      <c r="HM291" s="327"/>
      <c r="HN291" s="327"/>
      <c r="HO291" s="327"/>
      <c r="HP291" s="327"/>
      <c r="HQ291" s="327"/>
      <c r="HR291" s="327"/>
      <c r="HS291" s="327"/>
    </row>
    <row r="292" spans="1:227" ht="15" customHeight="1">
      <c r="A292" s="330">
        <v>13</v>
      </c>
      <c r="B292" s="435" t="str">
        <f>VLOOKUP(Ruimtestaat[[#This Row],[Code]],Locaties[[Code]:[Locatie]],2,FALSE)</f>
        <v>IKC Florence Nightingale</v>
      </c>
      <c r="C292" s="435" t="str">
        <f>VLOOKUP(Ruimtestaat[[#This Row],[Code]],Locaties[[#All],[Code]:[Adres]],4,FALSE)</f>
        <v>Zanzibarplein 90</v>
      </c>
      <c r="D292" s="435" t="str">
        <f>VLOOKUP(Ruimtestaat[[#This Row],[Code]],Locaties[[#All],[Code]:[Postcode]],5,FALSE)</f>
        <v>2721 GE</v>
      </c>
      <c r="E292" s="435" t="str">
        <f>VLOOKUP(Ruimtestaat[[#This Row],[Code]],Locaties[#All],6,FALSE)</f>
        <v>Zoetermeer</v>
      </c>
      <c r="F292" s="450"/>
      <c r="G292" s="330" t="s">
        <v>1678</v>
      </c>
      <c r="H292" s="330" t="s">
        <v>1672</v>
      </c>
      <c r="I292" s="450" t="s">
        <v>1679</v>
      </c>
      <c r="J292" s="330">
        <v>16</v>
      </c>
      <c r="K292" s="450" t="str">
        <f>VLOOKUP(Ruimtestaat[[#This Row],[Ruimte code]],Ruimtegroepen[[#All],[Code]:[Ruimte omschrijving]],2,FALSE)</f>
        <v>Leslokalen</v>
      </c>
      <c r="L292" s="434" t="s">
        <v>100</v>
      </c>
      <c r="M292" s="437" t="s">
        <v>1759</v>
      </c>
      <c r="N292" s="439">
        <v>52</v>
      </c>
      <c r="O292" s="439"/>
      <c r="P292" s="439"/>
      <c r="Q292" s="439"/>
      <c r="R292" s="440" t="str">
        <f>VLOOKUP(Ruimtestaat[[#This Row],[Ruimte code]],Ruimtegroepen[],4,FALSE)</f>
        <v>Le</v>
      </c>
      <c r="S292" s="434">
        <v>40</v>
      </c>
      <c r="T292" s="434" t="s">
        <v>2</v>
      </c>
      <c r="U292" s="434">
        <f>IF(S292&gt;0,IF(RIGHT(Ruimtestaat[[#This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2" s="434">
        <f>IF(U292&gt;0,VLOOKUP($J292,Ruimtegroepen[],3,FALSE)*VLOOKUP($L292,Vloersoorten[],3,FALSE)*VLOOKUP($T292,Frequenties[],3,FALSE)*VLOOKUP($A292,Locaties[],3,FALSE),0)</f>
        <v>0</v>
      </c>
      <c r="W292" s="434">
        <f>Ruimtestaat[[#This Row],[Uitvoeringen werkdagen]]*Ruimtestaat[[#This Row],[Oppervlak (netto)]]</f>
        <v>10400</v>
      </c>
      <c r="X292" s="441">
        <f>IF(V292&gt;0,Ruimtestaat[[#This Row],[Prest. (m2 /jaar) werkdagen]]/Ruimtestaat[[#This Row],[Norm (m2/uur) werkdagen]],0)</f>
        <v>0</v>
      </c>
      <c r="Y292" s="442">
        <f>Ruimtestaat[[#This Row],[Uitvoeringen werkdagen]]*Ruimtestaat[[#This Row],[Gedeeltelijk]]</f>
        <v>0</v>
      </c>
      <c r="Z292" s="443" t="e">
        <f>IF(U292&gt;0,Ruimtestaat[[#This Row],[Prest. (m2 / jaar) werkdagen gedeeld]]/Ruimtestaat[[#This Row],[Norm (m2/uur) werkdagen]],0)</f>
        <v>#DIV/0!</v>
      </c>
      <c r="AA292" s="441" t="e">
        <f>Ruimtestaat[[#This Row],[uren / jaar werkdagen gedeeld]]*Tariefsopbouw!$E$35</f>
        <v>#DIV/0!</v>
      </c>
      <c r="AB292" s="441">
        <f>Ruimtestaat[[#This Row],[Uitvoeringen werkdagen]]*Ruimtestaat[[#This Row],[BSO]]</f>
        <v>0</v>
      </c>
      <c r="AC292" s="443" t="e">
        <f>IF(U292&gt;0,Ruimtestaat[[#This Row],[Prest. (m2 / jaar) werkdagen BSO]]/Ruimtestaat[[#This Row],[Norm (m2/uur) werkdagen]],0)</f>
        <v>#DIV/0!</v>
      </c>
      <c r="AD292" s="443" t="e">
        <f>Ruimtestaat[[#This Row],[uren / jaar werkdagen BSO]]*Tariefsopbouw!$E$35</f>
        <v>#DIV/0!</v>
      </c>
      <c r="AE292" s="444">
        <f>Ruimtestaat[[#This Row],[uren / jaar werkdagen]]*Tariefsopbouw!$E$35</f>
        <v>0</v>
      </c>
      <c r="AF292" s="434"/>
      <c r="AG292" s="434">
        <f>IF(Ruimtestaat[[#This Row],[Frequentie weekend]]&gt;0,VALUE(LEFT(AF292,1))*S292,0)</f>
        <v>0</v>
      </c>
      <c r="AH292" s="445">
        <f>IF($AG292&gt;0,VLOOKUP($J292,Ruimtegroepen[],3,FALSE)*VLOOKUP($L292,Vloersoorten[],3,FALSE)*VLOOKUP($AF292,Frequenties[],3,FALSE)*VLOOKUP(Ruimtestaat[[#This Row],[Code]],Locaties[],3,FALSE),0)</f>
        <v>0</v>
      </c>
      <c r="AI292" s="445">
        <f>Ruimtestaat[[#This Row],[Uitvoeringen weekend]]*Ruimtestaat[[#This Row],[Oppervlak (netto)]]</f>
        <v>0</v>
      </c>
      <c r="AJ292" s="445">
        <f>IF(AH292&gt;0,Ruimtestaat[[#This Row],[Prest. (m2 /jaar) weekend]]/Ruimtestaat[[#This Row],[Norm (m2/uur) weekend]],0)</f>
        <v>0</v>
      </c>
      <c r="AK292" s="444">
        <f>Ruimtestaat[[#This Row],[uren / jaar weekend]]*Tariefsopbouw!$D$40</f>
        <v>0</v>
      </c>
      <c r="AL292" s="441">
        <f>Ruimtestaat[[#This Row],[Prest. (m2 /jaar) weekend]]+Ruimtestaat[[#This Row],[Prest. (m2 /jaar) werkdagen]]</f>
        <v>10400</v>
      </c>
      <c r="AM292" s="441">
        <f>Ruimtestaat[[#This Row],[uren / jaar weekend]]+Ruimtestaat[[#This Row],[uren / jaar werkdagen]]</f>
        <v>0</v>
      </c>
      <c r="AN292" s="446">
        <f>Ruimtestaat[[#This Row],[kosten / jaar weekend]]+Ruimtestaat[[#This Row],[kosten / jaar werkdagen]]</f>
        <v>0</v>
      </c>
      <c r="AO292" s="446"/>
      <c r="AP292" s="447" t="str">
        <f>IF(Ruimtestaat[[#This Row],[Frequentie werkdagen]]="","",_xlfn.CONCAT(Ruimtestaat[[#This Row],[Ruimte code]],"-",Ruimtestaat[[#This Row],[Frequentie werkdagen]]," ",Ruimtestaat[[#This Row],[Vloer code]]))</f>
        <v>16-5w L</v>
      </c>
      <c r="AQ292" s="448" t="str">
        <f>_xlfn.IFNA(VLOOKUP($AP292,Programma!$F$3:$G$1101,2,0),"")</f>
        <v>_</v>
      </c>
      <c r="AR292" s="448" t="str">
        <f>_xlfn.IFNA(VLOOKUP($AP292,Programma!$F$3:$H$1101,3,0),"")</f>
        <v>_</v>
      </c>
      <c r="AS292" s="448" t="str">
        <f>_xlfn.IFNA(VLOOKUP($AP292,Programma!$F$3:$I$1101,4,0),"")</f>
        <v>4w</v>
      </c>
      <c r="AT292" s="448" t="str">
        <f>_xlfn.IFNA(VLOOKUP($AP292,Programma!$F$3:$J$1101,5,0),"")</f>
        <v>1w</v>
      </c>
      <c r="AU292" s="448" t="str">
        <f>_xlfn.IFNA(VLOOKUP($AP292,Programma!$F$3:$K$1101,6,0),"")</f>
        <v>_</v>
      </c>
      <c r="AV292" s="448" t="str">
        <f>_xlfn.IFNA(VLOOKUP($AP292,Programma!$F$3:$L$1101,7,0),"")</f>
        <v>_</v>
      </c>
      <c r="AW292" s="448" t="str">
        <f>_xlfn.IFNA(VLOOKUP($AP292,Programma!$F$3:$M$1101,8,0),"")</f>
        <v>_</v>
      </c>
      <c r="AX292" s="448" t="str">
        <f>_xlfn.IFNA(VLOOKUP($AP292,Programma!$F$3:$N$1101,9,0),"")</f>
        <v>_</v>
      </c>
      <c r="AY292" s="448" t="str">
        <f>_xlfn.IFNA(VLOOKUP($AP292,Programma!$F$3:$O$1101,10,0),"")</f>
        <v>5w</v>
      </c>
      <c r="AZ292" s="448" t="str">
        <f>_xlfn.IFNA(VLOOKUP($AP292,Programma!$F$3:$P$1101,11,0),"")</f>
        <v>5w</v>
      </c>
      <c r="BA292" s="448" t="str">
        <f>_xlfn.IFNA(VLOOKUP($AP292,Programma!$F$3:$Q$1101,12,0),"")</f>
        <v>1w</v>
      </c>
      <c r="BB292" s="448" t="str">
        <f>_xlfn.IFNA(VLOOKUP($AP292,Programma!$F$3:$R$1101,13,0),"")</f>
        <v>1w</v>
      </c>
      <c r="BC292" s="448" t="str">
        <f>_xlfn.IFNA(VLOOKUP($AP292,Programma!$F$3:$S$1101,14,0),"")</f>
        <v>1m</v>
      </c>
      <c r="BD292" s="448" t="str">
        <f>_xlfn.IFNA(VLOOKUP($AP292,Programma!$F$3:$T$1101,15,0),"")</f>
        <v>2j</v>
      </c>
      <c r="BE292" s="448" t="str">
        <f>_xlfn.IFNA(VLOOKUP($AP292,Programma!$F$3:$U$1101,16,0),"")</f>
        <v>1j</v>
      </c>
      <c r="BF292" s="448" t="str">
        <f>_xlfn.IFNA(VLOOKUP($AP292,Programma!$F$3:$V$1101,17,0),"")</f>
        <v>_</v>
      </c>
      <c r="BG292" s="448" t="str">
        <f>_xlfn.IFNA(VLOOKUP($AP292,Programma!$F$3:$W$1101,18,0),"")</f>
        <v>_</v>
      </c>
      <c r="BH292" s="448" t="str">
        <f>_xlfn.IFNA(VLOOKUP($AP292,Programma!$F$3:$X$1101,19,0),"")</f>
        <v>_</v>
      </c>
      <c r="BI292" s="448" t="str">
        <f>_xlfn.IFNA(VLOOKUP($AP292,Programma!$F$3:$Y$1101,20,0),"")</f>
        <v>_</v>
      </c>
      <c r="BJ292" s="449"/>
      <c r="BK292" s="447" t="str">
        <f>IF(Ruimtestaat[[#This Row],[Frequentie weekend]]="","",_xlfn.CONCAT(Ruimtestaat[[#This Row],[Ruimte code]],"-",Ruimtestaat[[#This Row],[Frequentie weekend]]," ",Ruimtestaat[[#This Row],[Vloer code]]))</f>
        <v/>
      </c>
      <c r="BL292" s="448" t="str">
        <f>_xlfn.IFNA(VLOOKUP($BK292,Programma!$F$3:$G$1101,2,0),"")</f>
        <v/>
      </c>
      <c r="BM292" s="448" t="str">
        <f>_xlfn.IFNA(VLOOKUP($BK292,Programma!$F$3:$H$1101,3,0),"")</f>
        <v/>
      </c>
      <c r="BN292" s="448" t="str">
        <f>_xlfn.IFNA(VLOOKUP($BK292,Programma!$F$3:$I$1101,4,0),"")</f>
        <v/>
      </c>
      <c r="BO292" s="448" t="str">
        <f>_xlfn.IFNA(VLOOKUP($BK292,Programma!$F$3:$J$1101,5,0),"")</f>
        <v/>
      </c>
      <c r="BP292" s="448" t="str">
        <f>_xlfn.IFNA(VLOOKUP($BK292,Programma!$F$3:$K$1101,6,0),"")</f>
        <v/>
      </c>
      <c r="BQ292" s="448" t="str">
        <f>_xlfn.IFNA(VLOOKUP($BK292,Programma!$F$3:$L$1101,7,0),"")</f>
        <v/>
      </c>
      <c r="BR292" s="448" t="str">
        <f>_xlfn.IFNA(VLOOKUP($BK292,Programma!$F$3:$M$1101,8,0),"")</f>
        <v/>
      </c>
      <c r="BS292" s="448" t="str">
        <f>_xlfn.IFNA(VLOOKUP($BK292,Programma!$F$3:$N$1101,9,0),"")</f>
        <v/>
      </c>
      <c r="BT292" s="448" t="str">
        <f>_xlfn.IFNA(VLOOKUP($BK292,Programma!$F$3:$O$1101,10,0),"")</f>
        <v/>
      </c>
      <c r="BU292" s="448" t="str">
        <f>_xlfn.IFNA(VLOOKUP($BK292,Programma!$F$3:$P$1101,11,0),"")</f>
        <v/>
      </c>
      <c r="BV292" s="448" t="str">
        <f>_xlfn.IFNA(VLOOKUP($BK292,Programma!$F$3:$Q$1101,12,0),"")</f>
        <v/>
      </c>
      <c r="BW292" s="448" t="str">
        <f>_xlfn.IFNA(VLOOKUP($BK292,Programma!$F$3:$R$1101,13,0),"")</f>
        <v/>
      </c>
      <c r="BX292" s="448" t="str">
        <f>_xlfn.IFNA(VLOOKUP($BK292,Programma!$F$3:$S$1101,14,0),"")</f>
        <v/>
      </c>
      <c r="BY292" s="448" t="str">
        <f>_xlfn.IFNA(VLOOKUP($BK292,Programma!$F$3:$T$1101,15,0),"")</f>
        <v/>
      </c>
      <c r="BZ292" s="448" t="str">
        <f>_xlfn.IFNA(VLOOKUP($BK292,Programma!$F$3:$U$1101,16,0),"")</f>
        <v/>
      </c>
      <c r="CA292" s="448" t="str">
        <f>_xlfn.IFNA(VLOOKUP($BK292,Programma!$F$3:$V$1101,17,0),"")</f>
        <v/>
      </c>
      <c r="CB292" s="448" t="str">
        <f>_xlfn.IFNA(VLOOKUP($BK292,Programma!$F$3:$W$1101,18,0),"")</f>
        <v/>
      </c>
      <c r="CC292" s="448" t="str">
        <f>_xlfn.IFNA(VLOOKUP($BK292,Programma!$F$3:$X$1101,19,0),"")</f>
        <v/>
      </c>
      <c r="CD292" s="448" t="str">
        <f>_xlfn.IFNA(VLOOKUP($BK292,Programma!$F$3:$Y$1101,20,0),"")</f>
        <v/>
      </c>
      <c r="CE292" s="327"/>
      <c r="CF292" s="327"/>
      <c r="CG292" s="327"/>
      <c r="CH292" s="327"/>
      <c r="CI292" s="327"/>
      <c r="CJ292" s="327"/>
      <c r="CK292" s="327"/>
      <c r="CL292" s="327"/>
      <c r="CM292" s="327"/>
      <c r="CN292" s="327"/>
      <c r="CO292" s="327"/>
      <c r="CP292" s="327"/>
      <c r="CQ292" s="327"/>
      <c r="CR292" s="327"/>
      <c r="CS292" s="327"/>
      <c r="CT292" s="327"/>
      <c r="CU292" s="327"/>
      <c r="CV292" s="327"/>
      <c r="CW292" s="327"/>
      <c r="CX292" s="327"/>
      <c r="CY292" s="327"/>
      <c r="CZ292" s="327"/>
      <c r="DA292" s="327"/>
      <c r="DB292" s="327"/>
      <c r="DC292" s="327"/>
      <c r="DD292" s="327"/>
      <c r="DE292" s="327"/>
      <c r="DF292" s="327"/>
      <c r="DG292" s="327"/>
      <c r="DH292" s="327"/>
      <c r="DI292" s="327"/>
      <c r="DJ292" s="327"/>
      <c r="DK292" s="327"/>
      <c r="DL292" s="327"/>
      <c r="DM292" s="327"/>
      <c r="DN292" s="327"/>
      <c r="DO292" s="327"/>
      <c r="DP292" s="327"/>
      <c r="DQ292" s="327"/>
      <c r="DR292" s="327"/>
      <c r="DS292" s="327"/>
      <c r="DT292" s="327"/>
      <c r="DU292" s="327"/>
      <c r="DV292" s="327"/>
      <c r="DW292" s="327"/>
      <c r="DX292" s="327"/>
      <c r="DY292" s="327"/>
      <c r="DZ292" s="327"/>
      <c r="EA292" s="327"/>
      <c r="EB292" s="327"/>
      <c r="EC292" s="327"/>
      <c r="ED292" s="327"/>
      <c r="EE292" s="327"/>
      <c r="EF292" s="327"/>
      <c r="EG292" s="327"/>
      <c r="EH292" s="327"/>
      <c r="EI292" s="327"/>
      <c r="EJ292" s="327"/>
      <c r="EK292" s="327"/>
      <c r="EL292" s="327"/>
      <c r="EM292" s="327"/>
      <c r="EN292" s="327"/>
      <c r="EO292" s="327"/>
      <c r="EP292" s="327"/>
      <c r="EQ292" s="327"/>
      <c r="ER292" s="327"/>
      <c r="ES292" s="327"/>
      <c r="ET292" s="327"/>
      <c r="EU292" s="327"/>
      <c r="EV292" s="327"/>
      <c r="EW292" s="327"/>
      <c r="EX292" s="327"/>
      <c r="EY292" s="327"/>
      <c r="EZ292" s="327"/>
      <c r="FA292" s="327"/>
      <c r="FB292" s="327"/>
      <c r="FC292" s="327"/>
      <c r="FD292" s="327"/>
      <c r="FE292" s="327"/>
      <c r="FF292" s="327"/>
      <c r="FG292" s="327"/>
      <c r="FH292" s="327"/>
      <c r="FI292" s="327"/>
      <c r="FJ292" s="327"/>
      <c r="FK292" s="327"/>
      <c r="FL292" s="327"/>
      <c r="FM292" s="327"/>
      <c r="FN292" s="327"/>
      <c r="FO292" s="327"/>
      <c r="FP292" s="327"/>
      <c r="FQ292" s="327"/>
      <c r="FR292" s="327"/>
      <c r="FS292" s="327"/>
      <c r="FT292" s="327"/>
      <c r="FU292" s="327"/>
      <c r="FV292" s="327"/>
      <c r="FW292" s="327"/>
      <c r="FX292" s="327"/>
      <c r="FY292" s="327"/>
      <c r="FZ292" s="327"/>
      <c r="GA292" s="327"/>
      <c r="GB292" s="327"/>
      <c r="GC292" s="327"/>
      <c r="GD292" s="327"/>
      <c r="GE292" s="327"/>
      <c r="GF292" s="327"/>
      <c r="GG292" s="327"/>
      <c r="GH292" s="327"/>
      <c r="GI292" s="327"/>
      <c r="GJ292" s="327"/>
      <c r="GK292" s="327"/>
      <c r="GL292" s="327"/>
      <c r="GM292" s="327"/>
      <c r="GN292" s="327"/>
      <c r="GO292" s="327"/>
      <c r="GP292" s="327"/>
      <c r="GQ292" s="327"/>
      <c r="GR292" s="327"/>
      <c r="GS292" s="327"/>
      <c r="GT292" s="327"/>
      <c r="GU292" s="327"/>
      <c r="GV292" s="327"/>
      <c r="GW292" s="327"/>
      <c r="GX292" s="327"/>
      <c r="GY292" s="327"/>
      <c r="GZ292" s="327"/>
      <c r="HA292" s="327"/>
      <c r="HB292" s="327"/>
      <c r="HC292" s="327"/>
      <c r="HD292" s="327"/>
      <c r="HE292" s="327"/>
      <c r="HF292" s="327"/>
      <c r="HG292" s="327"/>
      <c r="HH292" s="327"/>
      <c r="HI292" s="327"/>
      <c r="HJ292" s="327"/>
      <c r="HK292" s="327"/>
      <c r="HL292" s="327"/>
      <c r="HM292" s="327"/>
      <c r="HN292" s="327"/>
      <c r="HO292" s="327"/>
      <c r="HP292" s="327"/>
      <c r="HQ292" s="327"/>
      <c r="HR292" s="327"/>
      <c r="HS292" s="327"/>
    </row>
    <row r="293" spans="1:227" ht="15" customHeight="1">
      <c r="A293" s="330">
        <v>13</v>
      </c>
      <c r="B293" s="435" t="str">
        <f>VLOOKUP(Ruimtestaat[[#This Row],[Code]],Locaties[[Code]:[Locatie]],2,FALSE)</f>
        <v>IKC Florence Nightingale</v>
      </c>
      <c r="C293" s="435" t="str">
        <f>VLOOKUP(Ruimtestaat[[#This Row],[Code]],Locaties[[#All],[Code]:[Adres]],4,FALSE)</f>
        <v>Zanzibarplein 90</v>
      </c>
      <c r="D293" s="435" t="str">
        <f>VLOOKUP(Ruimtestaat[[#This Row],[Code]],Locaties[[#All],[Code]:[Postcode]],5,FALSE)</f>
        <v>2721 GE</v>
      </c>
      <c r="E293" s="435" t="str">
        <f>VLOOKUP(Ruimtestaat[[#This Row],[Code]],Locaties[#All],6,FALSE)</f>
        <v>Zoetermeer</v>
      </c>
      <c r="F293" s="450"/>
      <c r="G293" s="330" t="s">
        <v>1678</v>
      </c>
      <c r="H293" s="330" t="s">
        <v>1674</v>
      </c>
      <c r="I293" s="450" t="s">
        <v>1770</v>
      </c>
      <c r="J293" s="330">
        <v>6</v>
      </c>
      <c r="K293" s="450" t="str">
        <f>VLOOKUP(Ruimtestaat[[#This Row],[Ruimte code]],Ruimtegroepen[[#All],[Code]:[Ruimte omschrijving]],2,FALSE)</f>
        <v>Gangen/hallen</v>
      </c>
      <c r="L293" s="434" t="s">
        <v>100</v>
      </c>
      <c r="M293" s="437" t="s">
        <v>1759</v>
      </c>
      <c r="N293" s="439">
        <v>52</v>
      </c>
      <c r="O293" s="439"/>
      <c r="P293" s="439"/>
      <c r="Q293" s="439"/>
      <c r="R293" s="440" t="str">
        <f>VLOOKUP(Ruimtestaat[[#This Row],[Ruimte code]],Ruimtegroepen[],4,FALSE)</f>
        <v>Ve</v>
      </c>
      <c r="S293" s="434">
        <v>41</v>
      </c>
      <c r="T293" s="434" t="s">
        <v>2</v>
      </c>
      <c r="U293" s="434">
        <f>IF(S293&gt;0,IF(RIGHT(Ruimtestaat[[#This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93" s="434">
        <f>IF(U293&gt;0,VLOOKUP($J293,Ruimtegroepen[],3,FALSE)*VLOOKUP($L293,Vloersoorten[],3,FALSE)*VLOOKUP($T293,Frequenties[],3,FALSE)*VLOOKUP($A293,Locaties[],3,FALSE),0)</f>
        <v>0</v>
      </c>
      <c r="W293" s="434">
        <f>Ruimtestaat[[#This Row],[Uitvoeringen werkdagen]]*Ruimtestaat[[#This Row],[Oppervlak (netto)]]</f>
        <v>10660</v>
      </c>
      <c r="X293" s="441">
        <f>IF(V293&gt;0,Ruimtestaat[[#This Row],[Prest. (m2 /jaar) werkdagen]]/Ruimtestaat[[#This Row],[Norm (m2/uur) werkdagen]],0)</f>
        <v>0</v>
      </c>
      <c r="Y293" s="442">
        <f>Ruimtestaat[[#This Row],[Uitvoeringen werkdagen]]*Ruimtestaat[[#This Row],[Gedeeltelijk]]</f>
        <v>0</v>
      </c>
      <c r="Z293" s="443" t="e">
        <f>IF(U293&gt;0,Ruimtestaat[[#This Row],[Prest. (m2 / jaar) werkdagen gedeeld]]/Ruimtestaat[[#This Row],[Norm (m2/uur) werkdagen]],0)</f>
        <v>#DIV/0!</v>
      </c>
      <c r="AA293" s="441" t="e">
        <f>Ruimtestaat[[#This Row],[uren / jaar werkdagen gedeeld]]*Tariefsopbouw!$E$35</f>
        <v>#DIV/0!</v>
      </c>
      <c r="AB293" s="441">
        <f>Ruimtestaat[[#This Row],[Uitvoeringen werkdagen]]*Ruimtestaat[[#This Row],[BSO]]</f>
        <v>0</v>
      </c>
      <c r="AC293" s="443" t="e">
        <f>IF(U293&gt;0,Ruimtestaat[[#This Row],[Prest. (m2 / jaar) werkdagen BSO]]/Ruimtestaat[[#This Row],[Norm (m2/uur) werkdagen]],0)</f>
        <v>#DIV/0!</v>
      </c>
      <c r="AD293" s="443" t="e">
        <f>Ruimtestaat[[#This Row],[uren / jaar werkdagen BSO]]*Tariefsopbouw!$E$35</f>
        <v>#DIV/0!</v>
      </c>
      <c r="AE293" s="444">
        <f>Ruimtestaat[[#This Row],[uren / jaar werkdagen]]*Tariefsopbouw!$E$35</f>
        <v>0</v>
      </c>
      <c r="AF293" s="434"/>
      <c r="AG293" s="434">
        <f>IF(Ruimtestaat[[#This Row],[Frequentie weekend]]&gt;0,VALUE(LEFT(AF293,1))*S293,0)</f>
        <v>0</v>
      </c>
      <c r="AH293" s="445">
        <f>IF($AG293&gt;0,VLOOKUP($J293,Ruimtegroepen[],3,FALSE)*VLOOKUP($L293,Vloersoorten[],3,FALSE)*VLOOKUP($AF293,Frequenties[],3,FALSE)*VLOOKUP(Ruimtestaat[[#This Row],[Code]],Locaties[],3,FALSE),0)</f>
        <v>0</v>
      </c>
      <c r="AI293" s="445">
        <f>Ruimtestaat[[#This Row],[Uitvoeringen weekend]]*Ruimtestaat[[#This Row],[Oppervlak (netto)]]</f>
        <v>0</v>
      </c>
      <c r="AJ293" s="445">
        <f>IF(AH293&gt;0,Ruimtestaat[[#This Row],[Prest. (m2 /jaar) weekend]]/Ruimtestaat[[#This Row],[Norm (m2/uur) weekend]],0)</f>
        <v>0</v>
      </c>
      <c r="AK293" s="444">
        <f>Ruimtestaat[[#This Row],[uren / jaar weekend]]*Tariefsopbouw!$D$40</f>
        <v>0</v>
      </c>
      <c r="AL293" s="441">
        <f>Ruimtestaat[[#This Row],[Prest. (m2 /jaar) weekend]]+Ruimtestaat[[#This Row],[Prest. (m2 /jaar) werkdagen]]</f>
        <v>10660</v>
      </c>
      <c r="AM293" s="441">
        <f>Ruimtestaat[[#This Row],[uren / jaar weekend]]+Ruimtestaat[[#This Row],[uren / jaar werkdagen]]</f>
        <v>0</v>
      </c>
      <c r="AN293" s="446">
        <f>Ruimtestaat[[#This Row],[kosten / jaar weekend]]+Ruimtestaat[[#This Row],[kosten / jaar werkdagen]]</f>
        <v>0</v>
      </c>
      <c r="AO293" s="446"/>
      <c r="AP293" s="447" t="str">
        <f>IF(Ruimtestaat[[#This Row],[Frequentie werkdagen]]="","",_xlfn.CONCAT(Ruimtestaat[[#This Row],[Ruimte code]],"-",Ruimtestaat[[#This Row],[Frequentie werkdagen]]," ",Ruimtestaat[[#This Row],[Vloer code]]))</f>
        <v>6-5w L</v>
      </c>
      <c r="AQ293" s="448" t="str">
        <f>_xlfn.IFNA(VLOOKUP($AP293,Programma!$F$3:$G$1101,2,0),"")</f>
        <v>_</v>
      </c>
      <c r="AR293" s="448" t="str">
        <f>_xlfn.IFNA(VLOOKUP($AP293,Programma!$F$3:$H$1101,3,0),"")</f>
        <v>_</v>
      </c>
      <c r="AS293" s="448" t="str">
        <f>_xlfn.IFNA(VLOOKUP($AP293,Programma!$F$3:$I$1101,4,0),"")</f>
        <v>_</v>
      </c>
      <c r="AT293" s="448" t="str">
        <f>_xlfn.IFNA(VLOOKUP($AP293,Programma!$F$3:$J$1101,5,0),"")</f>
        <v>5w</v>
      </c>
      <c r="AU293" s="448" t="str">
        <f>_xlfn.IFNA(VLOOKUP($AP293,Programma!$F$3:$K$1101,6,0),"")</f>
        <v>_</v>
      </c>
      <c r="AV293" s="448" t="str">
        <f>_xlfn.IFNA(VLOOKUP($AP293,Programma!$F$3:$L$1101,7,0),"")</f>
        <v>_</v>
      </c>
      <c r="AW293" s="448" t="str">
        <f>_xlfn.IFNA(VLOOKUP($AP293,Programma!$F$3:$M$1101,8,0),"")</f>
        <v>_</v>
      </c>
      <c r="AX293" s="448" t="str">
        <f>_xlfn.IFNA(VLOOKUP($AP293,Programma!$F$3:$N$1101,9,0),"")</f>
        <v>_</v>
      </c>
      <c r="AY293" s="448" t="str">
        <f>_xlfn.IFNA(VLOOKUP($AP293,Programma!$F$3:$O$1101,10,0),"")</f>
        <v>5w</v>
      </c>
      <c r="AZ293" s="448" t="str">
        <f>_xlfn.IFNA(VLOOKUP($AP293,Programma!$F$3:$P$1101,11,0),"")</f>
        <v>5w</v>
      </c>
      <c r="BA293" s="448" t="str">
        <f>_xlfn.IFNA(VLOOKUP($AP293,Programma!$F$3:$Q$1101,12,0),"")</f>
        <v>1w</v>
      </c>
      <c r="BB293" s="448" t="str">
        <f>_xlfn.IFNA(VLOOKUP($AP293,Programma!$F$3:$R$1101,13,0),"")</f>
        <v>1w</v>
      </c>
      <c r="BC293" s="448" t="str">
        <f>_xlfn.IFNA(VLOOKUP($AP293,Programma!$F$3:$S$1101,14,0),"")</f>
        <v>1m</v>
      </c>
      <c r="BD293" s="448" t="str">
        <f>_xlfn.IFNA(VLOOKUP($AP293,Programma!$F$3:$T$1101,15,0),"")</f>
        <v>2j</v>
      </c>
      <c r="BE293" s="448" t="str">
        <f>_xlfn.IFNA(VLOOKUP($AP293,Programma!$F$3:$U$1101,16,0),"")</f>
        <v>1j</v>
      </c>
      <c r="BF293" s="448" t="str">
        <f>_xlfn.IFNA(VLOOKUP($AP293,Programma!$F$3:$V$1101,17,0),"")</f>
        <v>_</v>
      </c>
      <c r="BG293" s="448" t="str">
        <f>_xlfn.IFNA(VLOOKUP($AP293,Programma!$F$3:$W$1101,18,0),"")</f>
        <v>_</v>
      </c>
      <c r="BH293" s="448" t="str">
        <f>_xlfn.IFNA(VLOOKUP($AP293,Programma!$F$3:$X$1101,19,0),"")</f>
        <v>_</v>
      </c>
      <c r="BI293" s="448" t="str">
        <f>_xlfn.IFNA(VLOOKUP($AP293,Programma!$F$3:$Y$1101,20,0),"")</f>
        <v>_</v>
      </c>
      <c r="BJ293" s="449"/>
      <c r="BK293" s="447" t="str">
        <f>IF(Ruimtestaat[[#This Row],[Frequentie weekend]]="","",_xlfn.CONCAT(Ruimtestaat[[#This Row],[Ruimte code]],"-",Ruimtestaat[[#This Row],[Frequentie weekend]]," ",Ruimtestaat[[#This Row],[Vloer code]]))</f>
        <v/>
      </c>
      <c r="BL293" s="448" t="str">
        <f>_xlfn.IFNA(VLOOKUP($BK293,Programma!$F$3:$G$1101,2,0),"")</f>
        <v/>
      </c>
      <c r="BM293" s="448" t="str">
        <f>_xlfn.IFNA(VLOOKUP($BK293,Programma!$F$3:$H$1101,3,0),"")</f>
        <v/>
      </c>
      <c r="BN293" s="448" t="str">
        <f>_xlfn.IFNA(VLOOKUP($BK293,Programma!$F$3:$I$1101,4,0),"")</f>
        <v/>
      </c>
      <c r="BO293" s="448" t="str">
        <f>_xlfn.IFNA(VLOOKUP($BK293,Programma!$F$3:$J$1101,5,0),"")</f>
        <v/>
      </c>
      <c r="BP293" s="448" t="str">
        <f>_xlfn.IFNA(VLOOKUP($BK293,Programma!$F$3:$K$1101,6,0),"")</f>
        <v/>
      </c>
      <c r="BQ293" s="448" t="str">
        <f>_xlfn.IFNA(VLOOKUP($BK293,Programma!$F$3:$L$1101,7,0),"")</f>
        <v/>
      </c>
      <c r="BR293" s="448" t="str">
        <f>_xlfn.IFNA(VLOOKUP($BK293,Programma!$F$3:$M$1101,8,0),"")</f>
        <v/>
      </c>
      <c r="BS293" s="448" t="str">
        <f>_xlfn.IFNA(VLOOKUP($BK293,Programma!$F$3:$N$1101,9,0),"")</f>
        <v/>
      </c>
      <c r="BT293" s="448" t="str">
        <f>_xlfn.IFNA(VLOOKUP($BK293,Programma!$F$3:$O$1101,10,0),"")</f>
        <v/>
      </c>
      <c r="BU293" s="448" t="str">
        <f>_xlfn.IFNA(VLOOKUP($BK293,Programma!$F$3:$P$1101,11,0),"")</f>
        <v/>
      </c>
      <c r="BV293" s="448" t="str">
        <f>_xlfn.IFNA(VLOOKUP($BK293,Programma!$F$3:$Q$1101,12,0),"")</f>
        <v/>
      </c>
      <c r="BW293" s="448" t="str">
        <f>_xlfn.IFNA(VLOOKUP($BK293,Programma!$F$3:$R$1101,13,0),"")</f>
        <v/>
      </c>
      <c r="BX293" s="448" t="str">
        <f>_xlfn.IFNA(VLOOKUP($BK293,Programma!$F$3:$S$1101,14,0),"")</f>
        <v/>
      </c>
      <c r="BY293" s="448" t="str">
        <f>_xlfn.IFNA(VLOOKUP($BK293,Programma!$F$3:$T$1101,15,0),"")</f>
        <v/>
      </c>
      <c r="BZ293" s="448" t="str">
        <f>_xlfn.IFNA(VLOOKUP($BK293,Programma!$F$3:$U$1101,16,0),"")</f>
        <v/>
      </c>
      <c r="CA293" s="448" t="str">
        <f>_xlfn.IFNA(VLOOKUP($BK293,Programma!$F$3:$V$1101,17,0),"")</f>
        <v/>
      </c>
      <c r="CB293" s="448" t="str">
        <f>_xlfn.IFNA(VLOOKUP($BK293,Programma!$F$3:$W$1101,18,0),"")</f>
        <v/>
      </c>
      <c r="CC293" s="448" t="str">
        <f>_xlfn.IFNA(VLOOKUP($BK293,Programma!$F$3:$X$1101,19,0),"")</f>
        <v/>
      </c>
      <c r="CD293" s="448" t="str">
        <f>_xlfn.IFNA(VLOOKUP($BK293,Programma!$F$3:$Y$1101,20,0),"")</f>
        <v/>
      </c>
      <c r="CE293" s="327"/>
      <c r="CF293" s="327"/>
      <c r="CG293" s="327"/>
      <c r="CH293" s="327"/>
      <c r="CI293" s="327"/>
      <c r="CJ293" s="327"/>
      <c r="CK293" s="327"/>
      <c r="CL293" s="327"/>
      <c r="CM293" s="327"/>
      <c r="CN293" s="327"/>
      <c r="CO293" s="327"/>
      <c r="CP293" s="327"/>
      <c r="CQ293" s="327"/>
      <c r="CR293" s="327"/>
      <c r="CS293" s="327"/>
      <c r="CT293" s="327"/>
      <c r="CU293" s="327"/>
      <c r="CV293" s="327"/>
      <c r="CW293" s="327"/>
      <c r="CX293" s="327"/>
      <c r="CY293" s="327"/>
      <c r="CZ293" s="327"/>
      <c r="DA293" s="327"/>
      <c r="DB293" s="327"/>
      <c r="DC293" s="327"/>
      <c r="DD293" s="327"/>
      <c r="DE293" s="327"/>
      <c r="DF293" s="327"/>
      <c r="DG293" s="327"/>
      <c r="DH293" s="327"/>
      <c r="DI293" s="327"/>
      <c r="DJ293" s="327"/>
      <c r="DK293" s="327"/>
      <c r="DL293" s="327"/>
      <c r="DM293" s="327"/>
      <c r="DN293" s="327"/>
      <c r="DO293" s="327"/>
      <c r="DP293" s="327"/>
      <c r="DQ293" s="327"/>
      <c r="DR293" s="327"/>
      <c r="DS293" s="327"/>
      <c r="DT293" s="327"/>
      <c r="DU293" s="327"/>
      <c r="DV293" s="327"/>
      <c r="DW293" s="327"/>
      <c r="DX293" s="327"/>
      <c r="DY293" s="327"/>
      <c r="DZ293" s="327"/>
      <c r="EA293" s="327"/>
      <c r="EB293" s="327"/>
      <c r="EC293" s="327"/>
      <c r="ED293" s="327"/>
      <c r="EE293" s="327"/>
      <c r="EF293" s="327"/>
      <c r="EG293" s="327"/>
      <c r="EH293" s="327"/>
      <c r="EI293" s="327"/>
      <c r="EJ293" s="327"/>
      <c r="EK293" s="327"/>
      <c r="EL293" s="327"/>
      <c r="EM293" s="327"/>
      <c r="EN293" s="327"/>
      <c r="EO293" s="327"/>
      <c r="EP293" s="327"/>
      <c r="EQ293" s="327"/>
      <c r="ER293" s="327"/>
      <c r="ES293" s="327"/>
      <c r="ET293" s="327"/>
      <c r="EU293" s="327"/>
      <c r="EV293" s="327"/>
      <c r="EW293" s="327"/>
      <c r="EX293" s="327"/>
      <c r="EY293" s="327"/>
      <c r="EZ293" s="327"/>
      <c r="FA293" s="327"/>
      <c r="FB293" s="327"/>
      <c r="FC293" s="327"/>
      <c r="FD293" s="327"/>
      <c r="FE293" s="327"/>
      <c r="FF293" s="327"/>
      <c r="FG293" s="327"/>
      <c r="FH293" s="327"/>
      <c r="FI293" s="327"/>
      <c r="FJ293" s="327"/>
      <c r="FK293" s="327"/>
      <c r="FL293" s="327"/>
      <c r="FM293" s="327"/>
      <c r="FN293" s="327"/>
      <c r="FO293" s="327"/>
      <c r="FP293" s="327"/>
      <c r="FQ293" s="327"/>
      <c r="FR293" s="327"/>
      <c r="FS293" s="327"/>
      <c r="FT293" s="327"/>
      <c r="FU293" s="327"/>
      <c r="FV293" s="327"/>
      <c r="FW293" s="327"/>
      <c r="FX293" s="327"/>
      <c r="FY293" s="327"/>
      <c r="FZ293" s="327"/>
      <c r="GA293" s="327"/>
      <c r="GB293" s="327"/>
      <c r="GC293" s="327"/>
      <c r="GD293" s="327"/>
      <c r="GE293" s="327"/>
      <c r="GF293" s="327"/>
      <c r="GG293" s="327"/>
      <c r="GH293" s="327"/>
      <c r="GI293" s="327"/>
      <c r="GJ293" s="327"/>
      <c r="GK293" s="327"/>
      <c r="GL293" s="327"/>
      <c r="GM293" s="327"/>
      <c r="GN293" s="327"/>
      <c r="GO293" s="327"/>
      <c r="GP293" s="327"/>
      <c r="GQ293" s="327"/>
      <c r="GR293" s="327"/>
      <c r="GS293" s="327"/>
      <c r="GT293" s="327"/>
      <c r="GU293" s="327"/>
      <c r="GV293" s="327"/>
      <c r="GW293" s="327"/>
      <c r="GX293" s="327"/>
      <c r="GY293" s="327"/>
      <c r="GZ293" s="327"/>
      <c r="HA293" s="327"/>
      <c r="HB293" s="327"/>
      <c r="HC293" s="327"/>
      <c r="HD293" s="327"/>
      <c r="HE293" s="327"/>
      <c r="HF293" s="327"/>
      <c r="HG293" s="327"/>
      <c r="HH293" s="327"/>
      <c r="HI293" s="327"/>
      <c r="HJ293" s="327"/>
      <c r="HK293" s="327"/>
      <c r="HL293" s="327"/>
      <c r="HM293" s="327"/>
      <c r="HN293" s="327"/>
      <c r="HO293" s="327"/>
      <c r="HP293" s="327"/>
      <c r="HQ293" s="327"/>
      <c r="HR293" s="327"/>
      <c r="HS293" s="327"/>
    </row>
    <row r="294" spans="1:227" ht="15" customHeight="1">
      <c r="A294" s="330">
        <v>13</v>
      </c>
      <c r="B294" s="435" t="str">
        <f>VLOOKUP(Ruimtestaat[[#This Row],[Code]],Locaties[[Code]:[Locatie]],2,FALSE)</f>
        <v>IKC Florence Nightingale</v>
      </c>
      <c r="C294" s="435" t="str">
        <f>VLOOKUP(Ruimtestaat[[#This Row],[Code]],Locaties[[#All],[Code]:[Adres]],4,FALSE)</f>
        <v>Zanzibarplein 90</v>
      </c>
      <c r="D294" s="435" t="str">
        <f>VLOOKUP(Ruimtestaat[[#This Row],[Code]],Locaties[[#All],[Code]:[Postcode]],5,FALSE)</f>
        <v>2721 GE</v>
      </c>
      <c r="E294" s="435" t="str">
        <f>VLOOKUP(Ruimtestaat[[#This Row],[Code]],Locaties[#All],6,FALSE)</f>
        <v>Zoetermeer</v>
      </c>
      <c r="F294" s="450"/>
      <c r="G294" s="330" t="s">
        <v>1678</v>
      </c>
      <c r="H294" s="330" t="s">
        <v>1680</v>
      </c>
      <c r="I294" s="450" t="s">
        <v>1671</v>
      </c>
      <c r="J294" s="330">
        <v>15</v>
      </c>
      <c r="K294" s="450" t="str">
        <f>VLOOKUP(Ruimtestaat[[#This Row],[Ruimte code]],Ruimtegroepen[[#All],[Code]:[Ruimte omschrijving]],2,FALSE)</f>
        <v>Keuken/pantry</v>
      </c>
      <c r="L294" s="434" t="s">
        <v>100</v>
      </c>
      <c r="M294" s="437" t="s">
        <v>1759</v>
      </c>
      <c r="N294" s="439">
        <v>17</v>
      </c>
      <c r="O294" s="439"/>
      <c r="P294" s="439"/>
      <c r="Q294" s="439"/>
      <c r="R294" s="440" t="str">
        <f>VLOOKUP(Ruimtestaat[[#This Row],[Ruimte code]],Ruimtegroepen[],4,FALSE)</f>
        <v>Ve</v>
      </c>
      <c r="S294" s="434">
        <v>41</v>
      </c>
      <c r="T294" s="434" t="s">
        <v>2</v>
      </c>
      <c r="U294" s="434">
        <f>IF(S294&gt;0,IF(RIGHT(Ruimtestaat[[#This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294" s="434">
        <f>IF(U294&gt;0,VLOOKUP($J294,Ruimtegroepen[],3,FALSE)*VLOOKUP($L294,Vloersoorten[],3,FALSE)*VLOOKUP($T294,Frequenties[],3,FALSE)*VLOOKUP($A294,Locaties[],3,FALSE),0)</f>
        <v>0</v>
      </c>
      <c r="W294" s="434">
        <f>Ruimtestaat[[#This Row],[Uitvoeringen werkdagen]]*Ruimtestaat[[#This Row],[Oppervlak (netto)]]</f>
        <v>3485</v>
      </c>
      <c r="X294" s="441">
        <f>IF(V294&gt;0,Ruimtestaat[[#This Row],[Prest. (m2 /jaar) werkdagen]]/Ruimtestaat[[#This Row],[Norm (m2/uur) werkdagen]],0)</f>
        <v>0</v>
      </c>
      <c r="Y294" s="442">
        <f>Ruimtestaat[[#This Row],[Uitvoeringen werkdagen]]*Ruimtestaat[[#This Row],[Gedeeltelijk]]</f>
        <v>0</v>
      </c>
      <c r="Z294" s="443" t="e">
        <f>IF(U294&gt;0,Ruimtestaat[[#This Row],[Prest. (m2 / jaar) werkdagen gedeeld]]/Ruimtestaat[[#This Row],[Norm (m2/uur) werkdagen]],0)</f>
        <v>#DIV/0!</v>
      </c>
      <c r="AA294" s="441" t="e">
        <f>Ruimtestaat[[#This Row],[uren / jaar werkdagen gedeeld]]*Tariefsopbouw!$E$35</f>
        <v>#DIV/0!</v>
      </c>
      <c r="AB294" s="441">
        <f>Ruimtestaat[[#This Row],[Uitvoeringen werkdagen]]*Ruimtestaat[[#This Row],[BSO]]</f>
        <v>0</v>
      </c>
      <c r="AC294" s="443" t="e">
        <f>IF(U294&gt;0,Ruimtestaat[[#This Row],[Prest. (m2 / jaar) werkdagen BSO]]/Ruimtestaat[[#This Row],[Norm (m2/uur) werkdagen]],0)</f>
        <v>#DIV/0!</v>
      </c>
      <c r="AD294" s="443" t="e">
        <f>Ruimtestaat[[#This Row],[uren / jaar werkdagen BSO]]*Tariefsopbouw!$E$35</f>
        <v>#DIV/0!</v>
      </c>
      <c r="AE294" s="444">
        <f>Ruimtestaat[[#This Row],[uren / jaar werkdagen]]*Tariefsopbouw!$E$35</f>
        <v>0</v>
      </c>
      <c r="AF294" s="434"/>
      <c r="AG294" s="434">
        <f>IF(Ruimtestaat[[#This Row],[Frequentie weekend]]&gt;0,VALUE(LEFT(AF294,1))*S294,0)</f>
        <v>0</v>
      </c>
      <c r="AH294" s="445">
        <f>IF($AG294&gt;0,VLOOKUP($J294,Ruimtegroepen[],3,FALSE)*VLOOKUP($L294,Vloersoorten[],3,FALSE)*VLOOKUP($AF294,Frequenties[],3,FALSE)*VLOOKUP(Ruimtestaat[[#This Row],[Code]],Locaties[],3,FALSE),0)</f>
        <v>0</v>
      </c>
      <c r="AI294" s="445">
        <f>Ruimtestaat[[#This Row],[Uitvoeringen weekend]]*Ruimtestaat[[#This Row],[Oppervlak (netto)]]</f>
        <v>0</v>
      </c>
      <c r="AJ294" s="445">
        <f>IF(AH294&gt;0,Ruimtestaat[[#This Row],[Prest. (m2 /jaar) weekend]]/Ruimtestaat[[#This Row],[Norm (m2/uur) weekend]],0)</f>
        <v>0</v>
      </c>
      <c r="AK294" s="444">
        <f>Ruimtestaat[[#This Row],[uren / jaar weekend]]*Tariefsopbouw!$D$40</f>
        <v>0</v>
      </c>
      <c r="AL294" s="441">
        <f>Ruimtestaat[[#This Row],[Prest. (m2 /jaar) weekend]]+Ruimtestaat[[#This Row],[Prest. (m2 /jaar) werkdagen]]</f>
        <v>3485</v>
      </c>
      <c r="AM294" s="441">
        <f>Ruimtestaat[[#This Row],[uren / jaar weekend]]+Ruimtestaat[[#This Row],[uren / jaar werkdagen]]</f>
        <v>0</v>
      </c>
      <c r="AN294" s="446">
        <f>Ruimtestaat[[#This Row],[kosten / jaar weekend]]+Ruimtestaat[[#This Row],[kosten / jaar werkdagen]]</f>
        <v>0</v>
      </c>
      <c r="AO294" s="446"/>
      <c r="AP294" s="447" t="str">
        <f>IF(Ruimtestaat[[#This Row],[Frequentie werkdagen]]="","",_xlfn.CONCAT(Ruimtestaat[[#This Row],[Ruimte code]],"-",Ruimtestaat[[#This Row],[Frequentie werkdagen]]," ",Ruimtestaat[[#This Row],[Vloer code]]))</f>
        <v>15-5w L</v>
      </c>
      <c r="AQ294" s="448" t="str">
        <f>_xlfn.IFNA(VLOOKUP($AP294,Programma!$F$3:$G$1101,2,0),"")</f>
        <v>_</v>
      </c>
      <c r="AR294" s="448" t="str">
        <f>_xlfn.IFNA(VLOOKUP($AP294,Programma!$F$3:$H$1101,3,0),"")</f>
        <v>_</v>
      </c>
      <c r="AS294" s="448" t="str">
        <f>_xlfn.IFNA(VLOOKUP($AP294,Programma!$F$3:$I$1101,4,0),"")</f>
        <v>_</v>
      </c>
      <c r="AT294" s="448" t="str">
        <f>_xlfn.IFNA(VLOOKUP($AP294,Programma!$F$3:$J$1101,5,0),"")</f>
        <v>5w</v>
      </c>
      <c r="AU294" s="448" t="str">
        <f>_xlfn.IFNA(VLOOKUP($AP294,Programma!$F$3:$K$1101,6,0),"")</f>
        <v>_</v>
      </c>
      <c r="AV294" s="448" t="str">
        <f>_xlfn.IFNA(VLOOKUP($AP294,Programma!$F$3:$L$1101,7,0),"")</f>
        <v>_</v>
      </c>
      <c r="AW294" s="448" t="str">
        <f>_xlfn.IFNA(VLOOKUP($AP294,Programma!$F$3:$M$1101,8,0),"")</f>
        <v>_</v>
      </c>
      <c r="AX294" s="448" t="str">
        <f>_xlfn.IFNA(VLOOKUP($AP294,Programma!$F$3:$N$1101,9,0),"")</f>
        <v>_</v>
      </c>
      <c r="AY294" s="448" t="str">
        <f>_xlfn.IFNA(VLOOKUP($AP294,Programma!$F$3:$O$1101,10,0),"")</f>
        <v>5w</v>
      </c>
      <c r="AZ294" s="448" t="str">
        <f>_xlfn.IFNA(VLOOKUP($AP294,Programma!$F$3:$P$1101,11,0),"")</f>
        <v>5w</v>
      </c>
      <c r="BA294" s="448" t="str">
        <f>_xlfn.IFNA(VLOOKUP($AP294,Programma!$F$3:$Q$1101,12,0),"")</f>
        <v>1w</v>
      </c>
      <c r="BB294" s="448" t="str">
        <f>_xlfn.IFNA(VLOOKUP($AP294,Programma!$F$3:$R$1101,13,0),"")</f>
        <v>1w</v>
      </c>
      <c r="BC294" s="448" t="str">
        <f>_xlfn.IFNA(VLOOKUP($AP294,Programma!$F$3:$S$1101,14,0),"")</f>
        <v>1m</v>
      </c>
      <c r="BD294" s="448" t="str">
        <f>_xlfn.IFNA(VLOOKUP($AP294,Programma!$F$3:$T$1101,15,0),"")</f>
        <v>2j</v>
      </c>
      <c r="BE294" s="448" t="str">
        <f>_xlfn.IFNA(VLOOKUP($AP294,Programma!$F$3:$U$1101,16,0),"")</f>
        <v>1j</v>
      </c>
      <c r="BF294" s="448" t="str">
        <f>_xlfn.IFNA(VLOOKUP($AP294,Programma!$F$3:$V$1101,17,0),"")</f>
        <v>_</v>
      </c>
      <c r="BG294" s="448" t="str">
        <f>_xlfn.IFNA(VLOOKUP($AP294,Programma!$F$3:$W$1101,18,0),"")</f>
        <v>_</v>
      </c>
      <c r="BH294" s="448" t="str">
        <f>_xlfn.IFNA(VLOOKUP($AP294,Programma!$F$3:$X$1101,19,0),"")</f>
        <v>_</v>
      </c>
      <c r="BI294" s="448" t="str">
        <f>_xlfn.IFNA(VLOOKUP($AP294,Programma!$F$3:$Y$1101,20,0),"")</f>
        <v>_</v>
      </c>
      <c r="BJ294" s="449"/>
      <c r="BK294" s="447" t="str">
        <f>IF(Ruimtestaat[[#This Row],[Frequentie weekend]]="","",_xlfn.CONCAT(Ruimtestaat[[#This Row],[Ruimte code]],"-",Ruimtestaat[[#This Row],[Frequentie weekend]]," ",Ruimtestaat[[#This Row],[Vloer code]]))</f>
        <v/>
      </c>
      <c r="BL294" s="448" t="str">
        <f>_xlfn.IFNA(VLOOKUP($BK294,Programma!$F$3:$G$1101,2,0),"")</f>
        <v/>
      </c>
      <c r="BM294" s="448" t="str">
        <f>_xlfn.IFNA(VLOOKUP($BK294,Programma!$F$3:$H$1101,3,0),"")</f>
        <v/>
      </c>
      <c r="BN294" s="448" t="str">
        <f>_xlfn.IFNA(VLOOKUP($BK294,Programma!$F$3:$I$1101,4,0),"")</f>
        <v/>
      </c>
      <c r="BO294" s="448" t="str">
        <f>_xlfn.IFNA(VLOOKUP($BK294,Programma!$F$3:$J$1101,5,0),"")</f>
        <v/>
      </c>
      <c r="BP294" s="448" t="str">
        <f>_xlfn.IFNA(VLOOKUP($BK294,Programma!$F$3:$K$1101,6,0),"")</f>
        <v/>
      </c>
      <c r="BQ294" s="448" t="str">
        <f>_xlfn.IFNA(VLOOKUP($BK294,Programma!$F$3:$L$1101,7,0),"")</f>
        <v/>
      </c>
      <c r="BR294" s="448" t="str">
        <f>_xlfn.IFNA(VLOOKUP($BK294,Programma!$F$3:$M$1101,8,0),"")</f>
        <v/>
      </c>
      <c r="BS294" s="448" t="str">
        <f>_xlfn.IFNA(VLOOKUP($BK294,Programma!$F$3:$N$1101,9,0),"")</f>
        <v/>
      </c>
      <c r="BT294" s="448" t="str">
        <f>_xlfn.IFNA(VLOOKUP($BK294,Programma!$F$3:$O$1101,10,0),"")</f>
        <v/>
      </c>
      <c r="BU294" s="448" t="str">
        <f>_xlfn.IFNA(VLOOKUP($BK294,Programma!$F$3:$P$1101,11,0),"")</f>
        <v/>
      </c>
      <c r="BV294" s="448" t="str">
        <f>_xlfn.IFNA(VLOOKUP($BK294,Programma!$F$3:$Q$1101,12,0),"")</f>
        <v/>
      </c>
      <c r="BW294" s="448" t="str">
        <f>_xlfn.IFNA(VLOOKUP($BK294,Programma!$F$3:$R$1101,13,0),"")</f>
        <v/>
      </c>
      <c r="BX294" s="448" t="str">
        <f>_xlfn.IFNA(VLOOKUP($BK294,Programma!$F$3:$S$1101,14,0),"")</f>
        <v/>
      </c>
      <c r="BY294" s="448" t="str">
        <f>_xlfn.IFNA(VLOOKUP($BK294,Programma!$F$3:$T$1101,15,0),"")</f>
        <v/>
      </c>
      <c r="BZ294" s="448" t="str">
        <f>_xlfn.IFNA(VLOOKUP($BK294,Programma!$F$3:$U$1101,16,0),"")</f>
        <v/>
      </c>
      <c r="CA294" s="448" t="str">
        <f>_xlfn.IFNA(VLOOKUP($BK294,Programma!$F$3:$V$1101,17,0),"")</f>
        <v/>
      </c>
      <c r="CB294" s="448" t="str">
        <f>_xlfn.IFNA(VLOOKUP($BK294,Programma!$F$3:$W$1101,18,0),"")</f>
        <v/>
      </c>
      <c r="CC294" s="448" t="str">
        <f>_xlfn.IFNA(VLOOKUP($BK294,Programma!$F$3:$X$1101,19,0),"")</f>
        <v/>
      </c>
      <c r="CD294" s="448" t="str">
        <f>_xlfn.IFNA(VLOOKUP($BK294,Programma!$F$3:$Y$1101,20,0),"")</f>
        <v/>
      </c>
      <c r="CE294" s="327"/>
      <c r="CF294" s="327"/>
      <c r="CG294" s="327"/>
      <c r="CH294" s="327"/>
      <c r="CI294" s="327"/>
      <c r="CJ294" s="327"/>
      <c r="CK294" s="327"/>
      <c r="CL294" s="327"/>
      <c r="CM294" s="327"/>
      <c r="CN294" s="327"/>
      <c r="CO294" s="327"/>
      <c r="CP294" s="327"/>
      <c r="CQ294" s="327"/>
      <c r="CR294" s="327"/>
      <c r="CS294" s="327"/>
      <c r="CT294" s="327"/>
      <c r="CU294" s="327"/>
      <c r="CV294" s="327"/>
      <c r="CW294" s="327"/>
      <c r="CX294" s="327"/>
      <c r="CY294" s="327"/>
      <c r="CZ294" s="327"/>
      <c r="DA294" s="327"/>
      <c r="DB294" s="327"/>
      <c r="DC294" s="327"/>
      <c r="DD294" s="327"/>
      <c r="DE294" s="327"/>
      <c r="DF294" s="327"/>
      <c r="DG294" s="327"/>
      <c r="DH294" s="327"/>
      <c r="DI294" s="327"/>
      <c r="DJ294" s="327"/>
      <c r="DK294" s="327"/>
      <c r="DL294" s="327"/>
      <c r="DM294" s="327"/>
      <c r="DN294" s="327"/>
      <c r="DO294" s="327"/>
      <c r="DP294" s="327"/>
      <c r="DQ294" s="327"/>
      <c r="DR294" s="327"/>
      <c r="DS294" s="327"/>
      <c r="DT294" s="327"/>
      <c r="DU294" s="327"/>
      <c r="DV294" s="327"/>
      <c r="DW294" s="327"/>
      <c r="DX294" s="327"/>
      <c r="DY294" s="327"/>
      <c r="DZ294" s="327"/>
      <c r="EA294" s="327"/>
      <c r="EB294" s="327"/>
      <c r="EC294" s="327"/>
      <c r="ED294" s="327"/>
      <c r="EE294" s="327"/>
      <c r="EF294" s="327"/>
      <c r="EG294" s="327"/>
      <c r="EH294" s="327"/>
      <c r="EI294" s="327"/>
      <c r="EJ294" s="327"/>
      <c r="EK294" s="327"/>
      <c r="EL294" s="327"/>
      <c r="EM294" s="327"/>
      <c r="EN294" s="327"/>
      <c r="EO294" s="327"/>
      <c r="EP294" s="327"/>
      <c r="EQ294" s="327"/>
      <c r="ER294" s="327"/>
      <c r="ES294" s="327"/>
      <c r="ET294" s="327"/>
      <c r="EU294" s="327"/>
      <c r="EV294" s="327"/>
      <c r="EW294" s="327"/>
      <c r="EX294" s="327"/>
      <c r="EY294" s="327"/>
      <c r="EZ294" s="327"/>
      <c r="FA294" s="327"/>
      <c r="FB294" s="327"/>
      <c r="FC294" s="327"/>
      <c r="FD294" s="327"/>
      <c r="FE294" s="327"/>
      <c r="FF294" s="327"/>
      <c r="FG294" s="327"/>
      <c r="FH294" s="327"/>
      <c r="FI294" s="327"/>
      <c r="FJ294" s="327"/>
      <c r="FK294" s="327"/>
      <c r="FL294" s="327"/>
      <c r="FM294" s="327"/>
      <c r="FN294" s="327"/>
      <c r="FO294" s="327"/>
      <c r="FP294" s="327"/>
      <c r="FQ294" s="327"/>
      <c r="FR294" s="327"/>
      <c r="FS294" s="327"/>
      <c r="FT294" s="327"/>
      <c r="FU294" s="327"/>
      <c r="FV294" s="327"/>
      <c r="FW294" s="327"/>
      <c r="FX294" s="327"/>
      <c r="FY294" s="327"/>
      <c r="FZ294" s="327"/>
      <c r="GA294" s="327"/>
      <c r="GB294" s="327"/>
      <c r="GC294" s="327"/>
      <c r="GD294" s="327"/>
      <c r="GE294" s="327"/>
      <c r="GF294" s="327"/>
      <c r="GG294" s="327"/>
      <c r="GH294" s="327"/>
      <c r="GI294" s="327"/>
      <c r="GJ294" s="327"/>
      <c r="GK294" s="327"/>
      <c r="GL294" s="327"/>
      <c r="GM294" s="327"/>
      <c r="GN294" s="327"/>
      <c r="GO294" s="327"/>
      <c r="GP294" s="327"/>
      <c r="GQ294" s="327"/>
      <c r="GR294" s="327"/>
      <c r="GS294" s="327"/>
      <c r="GT294" s="327"/>
      <c r="GU294" s="327"/>
      <c r="GV294" s="327"/>
      <c r="GW294" s="327"/>
      <c r="GX294" s="327"/>
      <c r="GY294" s="327"/>
      <c r="GZ294" s="327"/>
      <c r="HA294" s="327"/>
      <c r="HB294" s="327"/>
      <c r="HC294" s="327"/>
      <c r="HD294" s="327"/>
      <c r="HE294" s="327"/>
      <c r="HF294" s="327"/>
      <c r="HG294" s="327"/>
      <c r="HH294" s="327"/>
      <c r="HI294" s="327"/>
      <c r="HJ294" s="327"/>
      <c r="HK294" s="327"/>
      <c r="HL294" s="327"/>
      <c r="HM294" s="327"/>
      <c r="HN294" s="327"/>
      <c r="HO294" s="327"/>
      <c r="HP294" s="327"/>
      <c r="HQ294" s="327"/>
      <c r="HR294" s="327"/>
      <c r="HS294" s="327"/>
    </row>
    <row r="295" spans="1:227" ht="15" customHeight="1">
      <c r="A295" s="330">
        <v>13</v>
      </c>
      <c r="B295" s="435" t="str">
        <f>VLOOKUP(Ruimtestaat[[#This Row],[Code]],Locaties[[Code]:[Locatie]],2,FALSE)</f>
        <v>IKC Florence Nightingale</v>
      </c>
      <c r="C295" s="435" t="str">
        <f>VLOOKUP(Ruimtestaat[[#This Row],[Code]],Locaties[[#All],[Code]:[Adres]],4,FALSE)</f>
        <v>Zanzibarplein 90</v>
      </c>
      <c r="D295" s="435" t="str">
        <f>VLOOKUP(Ruimtestaat[[#This Row],[Code]],Locaties[[#All],[Code]:[Postcode]],5,FALSE)</f>
        <v>2721 GE</v>
      </c>
      <c r="E295" s="435" t="str">
        <f>VLOOKUP(Ruimtestaat[[#This Row],[Code]],Locaties[#All],6,FALSE)</f>
        <v>Zoetermeer</v>
      </c>
      <c r="F295" s="450"/>
      <c r="G295" s="330" t="s">
        <v>1678</v>
      </c>
      <c r="H295" s="330" t="s">
        <v>1681</v>
      </c>
      <c r="I295" s="450" t="s">
        <v>1666</v>
      </c>
      <c r="J295" s="330">
        <v>2</v>
      </c>
      <c r="K295" s="450" t="str">
        <f>VLOOKUP(Ruimtestaat[[#This Row],[Ruimte code]],Ruimtegroepen[[#All],[Code]:[Ruimte omschrijving]],2,FALSE)</f>
        <v>Kantoren</v>
      </c>
      <c r="L295" s="434" t="s">
        <v>100</v>
      </c>
      <c r="M295" s="437" t="s">
        <v>1759</v>
      </c>
      <c r="N295" s="439">
        <v>17</v>
      </c>
      <c r="O295" s="439"/>
      <c r="P295" s="439"/>
      <c r="Q295" s="439"/>
      <c r="R295" s="440" t="str">
        <f>VLOOKUP(Ruimtestaat[[#This Row],[Ruimte code]],Ruimtegroepen[],4,FALSE)</f>
        <v>Bu</v>
      </c>
      <c r="S295" s="434">
        <v>41</v>
      </c>
      <c r="T295" s="434" t="s">
        <v>17</v>
      </c>
      <c r="U295" s="434">
        <f>IF(S295&gt;0,IF(RIGHT(Ruimtestaat[[#This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295" s="434">
        <f>IF(U295&gt;0,VLOOKUP($J295,Ruimtegroepen[],3,FALSE)*VLOOKUP($L295,Vloersoorten[],3,FALSE)*VLOOKUP($T295,Frequenties[],3,FALSE)*VLOOKUP($A295,Locaties[],3,FALSE),0)</f>
        <v>0</v>
      </c>
      <c r="W295" s="434">
        <f>Ruimtestaat[[#This Row],[Uitvoeringen werkdagen]]*Ruimtestaat[[#This Row],[Oppervlak (netto)]]</f>
        <v>1394</v>
      </c>
      <c r="X295" s="441">
        <f>IF(V295&gt;0,Ruimtestaat[[#This Row],[Prest. (m2 /jaar) werkdagen]]/Ruimtestaat[[#This Row],[Norm (m2/uur) werkdagen]],0)</f>
        <v>0</v>
      </c>
      <c r="Y295" s="442">
        <f>Ruimtestaat[[#This Row],[Uitvoeringen werkdagen]]*Ruimtestaat[[#This Row],[Gedeeltelijk]]</f>
        <v>0</v>
      </c>
      <c r="Z295" s="443" t="e">
        <f>IF(U295&gt;0,Ruimtestaat[[#This Row],[Prest. (m2 / jaar) werkdagen gedeeld]]/Ruimtestaat[[#This Row],[Norm (m2/uur) werkdagen]],0)</f>
        <v>#DIV/0!</v>
      </c>
      <c r="AA295" s="441" t="e">
        <f>Ruimtestaat[[#This Row],[uren / jaar werkdagen gedeeld]]*Tariefsopbouw!$E$35</f>
        <v>#DIV/0!</v>
      </c>
      <c r="AB295" s="441">
        <f>Ruimtestaat[[#This Row],[Uitvoeringen werkdagen]]*Ruimtestaat[[#This Row],[BSO]]</f>
        <v>0</v>
      </c>
      <c r="AC295" s="443" t="e">
        <f>IF(U295&gt;0,Ruimtestaat[[#This Row],[Prest. (m2 / jaar) werkdagen BSO]]/Ruimtestaat[[#This Row],[Norm (m2/uur) werkdagen]],0)</f>
        <v>#DIV/0!</v>
      </c>
      <c r="AD295" s="443" t="e">
        <f>Ruimtestaat[[#This Row],[uren / jaar werkdagen BSO]]*Tariefsopbouw!$E$35</f>
        <v>#DIV/0!</v>
      </c>
      <c r="AE295" s="444">
        <f>Ruimtestaat[[#This Row],[uren / jaar werkdagen]]*Tariefsopbouw!$E$35</f>
        <v>0</v>
      </c>
      <c r="AF295" s="434"/>
      <c r="AG295" s="434">
        <f>IF(Ruimtestaat[[#This Row],[Frequentie weekend]]&gt;0,VALUE(LEFT(AF295,1))*S295,0)</f>
        <v>0</v>
      </c>
      <c r="AH295" s="445">
        <f>IF($AG295&gt;0,VLOOKUP($J295,Ruimtegroepen[],3,FALSE)*VLOOKUP($L295,Vloersoorten[],3,FALSE)*VLOOKUP($AF295,Frequenties[],3,FALSE)*VLOOKUP(Ruimtestaat[[#This Row],[Code]],Locaties[],3,FALSE),0)</f>
        <v>0</v>
      </c>
      <c r="AI295" s="445">
        <f>Ruimtestaat[[#This Row],[Uitvoeringen weekend]]*Ruimtestaat[[#This Row],[Oppervlak (netto)]]</f>
        <v>0</v>
      </c>
      <c r="AJ295" s="445">
        <f>IF(AH295&gt;0,Ruimtestaat[[#This Row],[Prest. (m2 /jaar) weekend]]/Ruimtestaat[[#This Row],[Norm (m2/uur) weekend]],0)</f>
        <v>0</v>
      </c>
      <c r="AK295" s="444">
        <f>Ruimtestaat[[#This Row],[uren / jaar weekend]]*Tariefsopbouw!$D$40</f>
        <v>0</v>
      </c>
      <c r="AL295" s="441">
        <f>Ruimtestaat[[#This Row],[Prest. (m2 /jaar) weekend]]+Ruimtestaat[[#This Row],[Prest. (m2 /jaar) werkdagen]]</f>
        <v>1394</v>
      </c>
      <c r="AM295" s="441">
        <f>Ruimtestaat[[#This Row],[uren / jaar weekend]]+Ruimtestaat[[#This Row],[uren / jaar werkdagen]]</f>
        <v>0</v>
      </c>
      <c r="AN295" s="446">
        <f>Ruimtestaat[[#This Row],[kosten / jaar weekend]]+Ruimtestaat[[#This Row],[kosten / jaar werkdagen]]</f>
        <v>0</v>
      </c>
      <c r="AO295" s="446"/>
      <c r="AP295" s="447" t="str">
        <f>IF(Ruimtestaat[[#This Row],[Frequentie werkdagen]]="","",_xlfn.CONCAT(Ruimtestaat[[#This Row],[Ruimte code]],"-",Ruimtestaat[[#This Row],[Frequentie werkdagen]]," ",Ruimtestaat[[#This Row],[Vloer code]]))</f>
        <v>2-2w L</v>
      </c>
      <c r="AQ295" s="448" t="str">
        <f>_xlfn.IFNA(VLOOKUP($AP295,Programma!$F$3:$G$1101,2,0),"")</f>
        <v>_</v>
      </c>
      <c r="AR295" s="448" t="str">
        <f>_xlfn.IFNA(VLOOKUP($AP295,Programma!$F$3:$H$1101,3,0),"")</f>
        <v>_</v>
      </c>
      <c r="AS295" s="448" t="str">
        <f>_xlfn.IFNA(VLOOKUP($AP295,Programma!$F$3:$I$1101,4,0),"")</f>
        <v>1w</v>
      </c>
      <c r="AT295" s="448" t="str">
        <f>_xlfn.IFNA(VLOOKUP($AP295,Programma!$F$3:$J$1101,5,0),"")</f>
        <v>1w</v>
      </c>
      <c r="AU295" s="448" t="str">
        <f>_xlfn.IFNA(VLOOKUP($AP295,Programma!$F$3:$K$1101,6,0),"")</f>
        <v>_</v>
      </c>
      <c r="AV295" s="448" t="str">
        <f>_xlfn.IFNA(VLOOKUP($AP295,Programma!$F$3:$L$1101,7,0),"")</f>
        <v>_</v>
      </c>
      <c r="AW295" s="448" t="str">
        <f>_xlfn.IFNA(VLOOKUP($AP295,Programma!$F$3:$M$1101,8,0),"")</f>
        <v>_</v>
      </c>
      <c r="AX295" s="448" t="str">
        <f>_xlfn.IFNA(VLOOKUP($AP295,Programma!$F$3:$N$1101,9,0),"")</f>
        <v>_</v>
      </c>
      <c r="AY295" s="448" t="str">
        <f>_xlfn.IFNA(VLOOKUP($AP295,Programma!$F$3:$O$1101,10,0),"")</f>
        <v>2w</v>
      </c>
      <c r="AZ295" s="448" t="str">
        <f>_xlfn.IFNA(VLOOKUP($AP295,Programma!$F$3:$P$1101,11,0),"")</f>
        <v>2w</v>
      </c>
      <c r="BA295" s="448" t="str">
        <f>_xlfn.IFNA(VLOOKUP($AP295,Programma!$F$3:$Q$1101,12,0),"")</f>
        <v>1w</v>
      </c>
      <c r="BB295" s="448" t="str">
        <f>_xlfn.IFNA(VLOOKUP($AP295,Programma!$F$3:$R$1101,13,0),"")</f>
        <v>1w</v>
      </c>
      <c r="BC295" s="448" t="str">
        <f>_xlfn.IFNA(VLOOKUP($AP295,Programma!$F$3:$S$1101,14,0),"")</f>
        <v>1m</v>
      </c>
      <c r="BD295" s="448" t="str">
        <f>_xlfn.IFNA(VLOOKUP($AP295,Programma!$F$3:$T$1101,15,0),"")</f>
        <v>2j</v>
      </c>
      <c r="BE295" s="448" t="str">
        <f>_xlfn.IFNA(VLOOKUP($AP295,Programma!$F$3:$U$1101,16,0),"")</f>
        <v>1j</v>
      </c>
      <c r="BF295" s="448" t="str">
        <f>_xlfn.IFNA(VLOOKUP($AP295,Programma!$F$3:$V$1101,17,0),"")</f>
        <v>_</v>
      </c>
      <c r="BG295" s="448" t="str">
        <f>_xlfn.IFNA(VLOOKUP($AP295,Programma!$F$3:$W$1101,18,0),"")</f>
        <v>_</v>
      </c>
      <c r="BH295" s="448" t="str">
        <f>_xlfn.IFNA(VLOOKUP($AP295,Programma!$F$3:$X$1101,19,0),"")</f>
        <v>_</v>
      </c>
      <c r="BI295" s="448" t="str">
        <f>_xlfn.IFNA(VLOOKUP($AP295,Programma!$F$3:$Y$1101,20,0),"")</f>
        <v>_</v>
      </c>
      <c r="BJ295" s="449"/>
      <c r="BK295" s="447" t="str">
        <f>IF(Ruimtestaat[[#This Row],[Frequentie weekend]]="","",_xlfn.CONCAT(Ruimtestaat[[#This Row],[Ruimte code]],"-",Ruimtestaat[[#This Row],[Frequentie weekend]]," ",Ruimtestaat[[#This Row],[Vloer code]]))</f>
        <v/>
      </c>
      <c r="BL295" s="448" t="str">
        <f>_xlfn.IFNA(VLOOKUP($BK295,Programma!$F$3:$G$1101,2,0),"")</f>
        <v/>
      </c>
      <c r="BM295" s="448" t="str">
        <f>_xlfn.IFNA(VLOOKUP($BK295,Programma!$F$3:$H$1101,3,0),"")</f>
        <v/>
      </c>
      <c r="BN295" s="448" t="str">
        <f>_xlfn.IFNA(VLOOKUP($BK295,Programma!$F$3:$I$1101,4,0),"")</f>
        <v/>
      </c>
      <c r="BO295" s="448" t="str">
        <f>_xlfn.IFNA(VLOOKUP($BK295,Programma!$F$3:$J$1101,5,0),"")</f>
        <v/>
      </c>
      <c r="BP295" s="448" t="str">
        <f>_xlfn.IFNA(VLOOKUP($BK295,Programma!$F$3:$K$1101,6,0),"")</f>
        <v/>
      </c>
      <c r="BQ295" s="448" t="str">
        <f>_xlfn.IFNA(VLOOKUP($BK295,Programma!$F$3:$L$1101,7,0),"")</f>
        <v/>
      </c>
      <c r="BR295" s="448" t="str">
        <f>_xlfn.IFNA(VLOOKUP($BK295,Programma!$F$3:$M$1101,8,0),"")</f>
        <v/>
      </c>
      <c r="BS295" s="448" t="str">
        <f>_xlfn.IFNA(VLOOKUP($BK295,Programma!$F$3:$N$1101,9,0),"")</f>
        <v/>
      </c>
      <c r="BT295" s="448" t="str">
        <f>_xlfn.IFNA(VLOOKUP($BK295,Programma!$F$3:$O$1101,10,0),"")</f>
        <v/>
      </c>
      <c r="BU295" s="448" t="str">
        <f>_xlfn.IFNA(VLOOKUP($BK295,Programma!$F$3:$P$1101,11,0),"")</f>
        <v/>
      </c>
      <c r="BV295" s="448" t="str">
        <f>_xlfn.IFNA(VLOOKUP($BK295,Programma!$F$3:$Q$1101,12,0),"")</f>
        <v/>
      </c>
      <c r="BW295" s="448" t="str">
        <f>_xlfn.IFNA(VLOOKUP($BK295,Programma!$F$3:$R$1101,13,0),"")</f>
        <v/>
      </c>
      <c r="BX295" s="448" t="str">
        <f>_xlfn.IFNA(VLOOKUP($BK295,Programma!$F$3:$S$1101,14,0),"")</f>
        <v/>
      </c>
      <c r="BY295" s="448" t="str">
        <f>_xlfn.IFNA(VLOOKUP($BK295,Programma!$F$3:$T$1101,15,0),"")</f>
        <v/>
      </c>
      <c r="BZ295" s="448" t="str">
        <f>_xlfn.IFNA(VLOOKUP($BK295,Programma!$F$3:$U$1101,16,0),"")</f>
        <v/>
      </c>
      <c r="CA295" s="448" t="str">
        <f>_xlfn.IFNA(VLOOKUP($BK295,Programma!$F$3:$V$1101,17,0),"")</f>
        <v/>
      </c>
      <c r="CB295" s="448" t="str">
        <f>_xlfn.IFNA(VLOOKUP($BK295,Programma!$F$3:$W$1101,18,0),"")</f>
        <v/>
      </c>
      <c r="CC295" s="448" t="str">
        <f>_xlfn.IFNA(VLOOKUP($BK295,Programma!$F$3:$X$1101,19,0),"")</f>
        <v/>
      </c>
      <c r="CD295" s="448" t="str">
        <f>_xlfn.IFNA(VLOOKUP($BK295,Programma!$F$3:$Y$1101,20,0),"")</f>
        <v/>
      </c>
      <c r="CE295" s="327"/>
      <c r="CF295" s="327"/>
      <c r="CG295" s="327"/>
      <c r="CH295" s="327"/>
      <c r="CI295" s="327"/>
      <c r="CJ295" s="327"/>
      <c r="CK295" s="327"/>
      <c r="CL295" s="327"/>
      <c r="CM295" s="327"/>
      <c r="CN295" s="327"/>
      <c r="CO295" s="327"/>
      <c r="CP295" s="327"/>
      <c r="CQ295" s="327"/>
      <c r="CR295" s="327"/>
      <c r="CS295" s="327"/>
      <c r="CT295" s="327"/>
      <c r="CU295" s="327"/>
      <c r="CV295" s="327"/>
      <c r="CW295" s="327"/>
      <c r="CX295" s="327"/>
      <c r="CY295" s="327"/>
      <c r="CZ295" s="327"/>
      <c r="DA295" s="327"/>
      <c r="DB295" s="327"/>
      <c r="DC295" s="327"/>
      <c r="DD295" s="327"/>
      <c r="DE295" s="327"/>
      <c r="DF295" s="327"/>
      <c r="DG295" s="327"/>
      <c r="DH295" s="327"/>
      <c r="DI295" s="327"/>
      <c r="DJ295" s="327"/>
      <c r="DK295" s="327"/>
      <c r="DL295" s="327"/>
      <c r="DM295" s="327"/>
      <c r="DN295" s="327"/>
      <c r="DO295" s="327"/>
      <c r="DP295" s="327"/>
      <c r="DQ295" s="327"/>
      <c r="DR295" s="327"/>
      <c r="DS295" s="327"/>
      <c r="DT295" s="327"/>
      <c r="DU295" s="327"/>
      <c r="DV295" s="327"/>
      <c r="DW295" s="327"/>
      <c r="DX295" s="327"/>
      <c r="DY295" s="327"/>
      <c r="DZ295" s="327"/>
      <c r="EA295" s="327"/>
      <c r="EB295" s="327"/>
      <c r="EC295" s="327"/>
      <c r="ED295" s="327"/>
      <c r="EE295" s="327"/>
      <c r="EF295" s="327"/>
      <c r="EG295" s="327"/>
      <c r="EH295" s="327"/>
      <c r="EI295" s="327"/>
      <c r="EJ295" s="327"/>
      <c r="EK295" s="327"/>
      <c r="EL295" s="327"/>
      <c r="EM295" s="327"/>
      <c r="EN295" s="327"/>
      <c r="EO295" s="327"/>
      <c r="EP295" s="327"/>
      <c r="EQ295" s="327"/>
      <c r="ER295" s="327"/>
      <c r="ES295" s="327"/>
      <c r="ET295" s="327"/>
      <c r="EU295" s="327"/>
      <c r="EV295" s="327"/>
      <c r="EW295" s="327"/>
      <c r="EX295" s="327"/>
      <c r="EY295" s="327"/>
      <c r="EZ295" s="327"/>
      <c r="FA295" s="327"/>
      <c r="FB295" s="327"/>
      <c r="FC295" s="327"/>
      <c r="FD295" s="327"/>
      <c r="FE295" s="327"/>
      <c r="FF295" s="327"/>
      <c r="FG295" s="327"/>
      <c r="FH295" s="327"/>
      <c r="FI295" s="327"/>
      <c r="FJ295" s="327"/>
      <c r="FK295" s="327"/>
      <c r="FL295" s="327"/>
      <c r="FM295" s="327"/>
      <c r="FN295" s="327"/>
      <c r="FO295" s="327"/>
      <c r="FP295" s="327"/>
      <c r="FQ295" s="327"/>
      <c r="FR295" s="327"/>
      <c r="FS295" s="327"/>
      <c r="FT295" s="327"/>
      <c r="FU295" s="327"/>
      <c r="FV295" s="327"/>
      <c r="FW295" s="327"/>
      <c r="FX295" s="327"/>
      <c r="FY295" s="327"/>
      <c r="FZ295" s="327"/>
      <c r="GA295" s="327"/>
      <c r="GB295" s="327"/>
      <c r="GC295" s="327"/>
      <c r="GD295" s="327"/>
      <c r="GE295" s="327"/>
      <c r="GF295" s="327"/>
      <c r="GG295" s="327"/>
      <c r="GH295" s="327"/>
      <c r="GI295" s="327"/>
      <c r="GJ295" s="327"/>
      <c r="GK295" s="327"/>
      <c r="GL295" s="327"/>
      <c r="GM295" s="327"/>
      <c r="GN295" s="327"/>
      <c r="GO295" s="327"/>
      <c r="GP295" s="327"/>
      <c r="GQ295" s="327"/>
      <c r="GR295" s="327"/>
      <c r="GS295" s="327"/>
      <c r="GT295" s="327"/>
      <c r="GU295" s="327"/>
      <c r="GV295" s="327"/>
      <c r="GW295" s="327"/>
      <c r="GX295" s="327"/>
      <c r="GY295" s="327"/>
      <c r="GZ295" s="327"/>
      <c r="HA295" s="327"/>
      <c r="HB295" s="327"/>
      <c r="HC295" s="327"/>
      <c r="HD295" s="327"/>
      <c r="HE295" s="327"/>
      <c r="HF295" s="327"/>
      <c r="HG295" s="327"/>
      <c r="HH295" s="327"/>
      <c r="HI295" s="327"/>
      <c r="HJ295" s="327"/>
      <c r="HK295" s="327"/>
      <c r="HL295" s="327"/>
      <c r="HM295" s="327"/>
      <c r="HN295" s="327"/>
      <c r="HO295" s="327"/>
      <c r="HP295" s="327"/>
      <c r="HQ295" s="327"/>
      <c r="HR295" s="327"/>
      <c r="HS295" s="327"/>
    </row>
    <row r="296" spans="1:227" ht="15" customHeight="1">
      <c r="A296" s="330">
        <v>13</v>
      </c>
      <c r="B296" s="435" t="str">
        <f>VLOOKUP(Ruimtestaat[[#This Row],[Code]],Locaties[[Code]:[Locatie]],2,FALSE)</f>
        <v>IKC Florence Nightingale</v>
      </c>
      <c r="C296" s="435" t="str">
        <f>VLOOKUP(Ruimtestaat[[#This Row],[Code]],Locaties[[#All],[Code]:[Adres]],4,FALSE)</f>
        <v>Zanzibarplein 90</v>
      </c>
      <c r="D296" s="435" t="str">
        <f>VLOOKUP(Ruimtestaat[[#This Row],[Code]],Locaties[[#All],[Code]:[Postcode]],5,FALSE)</f>
        <v>2721 GE</v>
      </c>
      <c r="E296" s="435" t="str">
        <f>VLOOKUP(Ruimtestaat[[#This Row],[Code]],Locaties[#All],6,FALSE)</f>
        <v>Zoetermeer</v>
      </c>
      <c r="F296" s="450"/>
      <c r="G296" s="330" t="s">
        <v>1678</v>
      </c>
      <c r="H296" s="330" t="s">
        <v>1682</v>
      </c>
      <c r="I296" s="450" t="s">
        <v>1666</v>
      </c>
      <c r="J296" s="330">
        <v>2</v>
      </c>
      <c r="K296" s="450" t="str">
        <f>VLOOKUP(Ruimtestaat[[#This Row],[Ruimte code]],Ruimtegroepen[[#All],[Code]:[Ruimte omschrijving]],2,FALSE)</f>
        <v>Kantoren</v>
      </c>
      <c r="L296" s="434" t="s">
        <v>100</v>
      </c>
      <c r="M296" s="437" t="s">
        <v>1759</v>
      </c>
      <c r="N296" s="439">
        <v>17</v>
      </c>
      <c r="O296" s="439"/>
      <c r="P296" s="439"/>
      <c r="Q296" s="439"/>
      <c r="R296" s="440" t="str">
        <f>VLOOKUP(Ruimtestaat[[#This Row],[Ruimte code]],Ruimtegroepen[],4,FALSE)</f>
        <v>Bu</v>
      </c>
      <c r="S296" s="434">
        <v>41</v>
      </c>
      <c r="T296" s="434" t="s">
        <v>17</v>
      </c>
      <c r="U296" s="434">
        <f>IF(S296&gt;0,IF(RIGHT(Ruimtestaat[[#This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296" s="434">
        <f>IF(U296&gt;0,VLOOKUP($J296,Ruimtegroepen[],3,FALSE)*VLOOKUP($L296,Vloersoorten[],3,FALSE)*VLOOKUP($T296,Frequenties[],3,FALSE)*VLOOKUP($A296,Locaties[],3,FALSE),0)</f>
        <v>0</v>
      </c>
      <c r="W296" s="434">
        <f>Ruimtestaat[[#This Row],[Uitvoeringen werkdagen]]*Ruimtestaat[[#This Row],[Oppervlak (netto)]]</f>
        <v>1394</v>
      </c>
      <c r="X296" s="441">
        <f>IF(V296&gt;0,Ruimtestaat[[#This Row],[Prest. (m2 /jaar) werkdagen]]/Ruimtestaat[[#This Row],[Norm (m2/uur) werkdagen]],0)</f>
        <v>0</v>
      </c>
      <c r="Y296" s="442">
        <f>Ruimtestaat[[#This Row],[Uitvoeringen werkdagen]]*Ruimtestaat[[#This Row],[Gedeeltelijk]]</f>
        <v>0</v>
      </c>
      <c r="Z296" s="443" t="e">
        <f>IF(U296&gt;0,Ruimtestaat[[#This Row],[Prest. (m2 / jaar) werkdagen gedeeld]]/Ruimtestaat[[#This Row],[Norm (m2/uur) werkdagen]],0)</f>
        <v>#DIV/0!</v>
      </c>
      <c r="AA296" s="441" t="e">
        <f>Ruimtestaat[[#This Row],[uren / jaar werkdagen gedeeld]]*Tariefsopbouw!$E$35</f>
        <v>#DIV/0!</v>
      </c>
      <c r="AB296" s="441">
        <f>Ruimtestaat[[#This Row],[Uitvoeringen werkdagen]]*Ruimtestaat[[#This Row],[BSO]]</f>
        <v>0</v>
      </c>
      <c r="AC296" s="443" t="e">
        <f>IF(U296&gt;0,Ruimtestaat[[#This Row],[Prest. (m2 / jaar) werkdagen BSO]]/Ruimtestaat[[#This Row],[Norm (m2/uur) werkdagen]],0)</f>
        <v>#DIV/0!</v>
      </c>
      <c r="AD296" s="443" t="e">
        <f>Ruimtestaat[[#This Row],[uren / jaar werkdagen BSO]]*Tariefsopbouw!$E$35</f>
        <v>#DIV/0!</v>
      </c>
      <c r="AE296" s="444">
        <f>Ruimtestaat[[#This Row],[uren / jaar werkdagen]]*Tariefsopbouw!$E$35</f>
        <v>0</v>
      </c>
      <c r="AF296" s="434"/>
      <c r="AG296" s="434">
        <f>IF(Ruimtestaat[[#This Row],[Frequentie weekend]]&gt;0,VALUE(LEFT(AF296,1))*S296,0)</f>
        <v>0</v>
      </c>
      <c r="AH296" s="445">
        <f>IF($AG296&gt;0,VLOOKUP($J296,Ruimtegroepen[],3,FALSE)*VLOOKUP($L296,Vloersoorten[],3,FALSE)*VLOOKUP($AF296,Frequenties[],3,FALSE)*VLOOKUP(Ruimtestaat[[#This Row],[Code]],Locaties[],3,FALSE),0)</f>
        <v>0</v>
      </c>
      <c r="AI296" s="445">
        <f>Ruimtestaat[[#This Row],[Uitvoeringen weekend]]*Ruimtestaat[[#This Row],[Oppervlak (netto)]]</f>
        <v>0</v>
      </c>
      <c r="AJ296" s="445">
        <f>IF(AH296&gt;0,Ruimtestaat[[#This Row],[Prest. (m2 /jaar) weekend]]/Ruimtestaat[[#This Row],[Norm (m2/uur) weekend]],0)</f>
        <v>0</v>
      </c>
      <c r="AK296" s="444">
        <f>Ruimtestaat[[#This Row],[uren / jaar weekend]]*Tariefsopbouw!$D$40</f>
        <v>0</v>
      </c>
      <c r="AL296" s="441">
        <f>Ruimtestaat[[#This Row],[Prest. (m2 /jaar) weekend]]+Ruimtestaat[[#This Row],[Prest. (m2 /jaar) werkdagen]]</f>
        <v>1394</v>
      </c>
      <c r="AM296" s="441">
        <f>Ruimtestaat[[#This Row],[uren / jaar weekend]]+Ruimtestaat[[#This Row],[uren / jaar werkdagen]]</f>
        <v>0</v>
      </c>
      <c r="AN296" s="446">
        <f>Ruimtestaat[[#This Row],[kosten / jaar weekend]]+Ruimtestaat[[#This Row],[kosten / jaar werkdagen]]</f>
        <v>0</v>
      </c>
      <c r="AO296" s="446"/>
      <c r="AP296" s="447" t="str">
        <f>IF(Ruimtestaat[[#This Row],[Frequentie werkdagen]]="","",_xlfn.CONCAT(Ruimtestaat[[#This Row],[Ruimte code]],"-",Ruimtestaat[[#This Row],[Frequentie werkdagen]]," ",Ruimtestaat[[#This Row],[Vloer code]]))</f>
        <v>2-2w L</v>
      </c>
      <c r="AQ296" s="448" t="str">
        <f>_xlfn.IFNA(VLOOKUP($AP296,Programma!$F$3:$G$1101,2,0),"")</f>
        <v>_</v>
      </c>
      <c r="AR296" s="448" t="str">
        <f>_xlfn.IFNA(VLOOKUP($AP296,Programma!$F$3:$H$1101,3,0),"")</f>
        <v>_</v>
      </c>
      <c r="AS296" s="448" t="str">
        <f>_xlfn.IFNA(VLOOKUP($AP296,Programma!$F$3:$I$1101,4,0),"")</f>
        <v>1w</v>
      </c>
      <c r="AT296" s="448" t="str">
        <f>_xlfn.IFNA(VLOOKUP($AP296,Programma!$F$3:$J$1101,5,0),"")</f>
        <v>1w</v>
      </c>
      <c r="AU296" s="448" t="str">
        <f>_xlfn.IFNA(VLOOKUP($AP296,Programma!$F$3:$K$1101,6,0),"")</f>
        <v>_</v>
      </c>
      <c r="AV296" s="448" t="str">
        <f>_xlfn.IFNA(VLOOKUP($AP296,Programma!$F$3:$L$1101,7,0),"")</f>
        <v>_</v>
      </c>
      <c r="AW296" s="448" t="str">
        <f>_xlfn.IFNA(VLOOKUP($AP296,Programma!$F$3:$M$1101,8,0),"")</f>
        <v>_</v>
      </c>
      <c r="AX296" s="448" t="str">
        <f>_xlfn.IFNA(VLOOKUP($AP296,Programma!$F$3:$N$1101,9,0),"")</f>
        <v>_</v>
      </c>
      <c r="AY296" s="448" t="str">
        <f>_xlfn.IFNA(VLOOKUP($AP296,Programma!$F$3:$O$1101,10,0),"")</f>
        <v>2w</v>
      </c>
      <c r="AZ296" s="448" t="str">
        <f>_xlfn.IFNA(VLOOKUP($AP296,Programma!$F$3:$P$1101,11,0),"")</f>
        <v>2w</v>
      </c>
      <c r="BA296" s="448" t="str">
        <f>_xlfn.IFNA(VLOOKUP($AP296,Programma!$F$3:$Q$1101,12,0),"")</f>
        <v>1w</v>
      </c>
      <c r="BB296" s="448" t="str">
        <f>_xlfn.IFNA(VLOOKUP($AP296,Programma!$F$3:$R$1101,13,0),"")</f>
        <v>1w</v>
      </c>
      <c r="BC296" s="448" t="str">
        <f>_xlfn.IFNA(VLOOKUP($AP296,Programma!$F$3:$S$1101,14,0),"")</f>
        <v>1m</v>
      </c>
      <c r="BD296" s="448" t="str">
        <f>_xlfn.IFNA(VLOOKUP($AP296,Programma!$F$3:$T$1101,15,0),"")</f>
        <v>2j</v>
      </c>
      <c r="BE296" s="448" t="str">
        <f>_xlfn.IFNA(VLOOKUP($AP296,Programma!$F$3:$U$1101,16,0),"")</f>
        <v>1j</v>
      </c>
      <c r="BF296" s="448" t="str">
        <f>_xlfn.IFNA(VLOOKUP($AP296,Programma!$F$3:$V$1101,17,0),"")</f>
        <v>_</v>
      </c>
      <c r="BG296" s="448" t="str">
        <f>_xlfn.IFNA(VLOOKUP($AP296,Programma!$F$3:$W$1101,18,0),"")</f>
        <v>_</v>
      </c>
      <c r="BH296" s="448" t="str">
        <f>_xlfn.IFNA(VLOOKUP($AP296,Programma!$F$3:$X$1101,19,0),"")</f>
        <v>_</v>
      </c>
      <c r="BI296" s="448" t="str">
        <f>_xlfn.IFNA(VLOOKUP($AP296,Programma!$F$3:$Y$1101,20,0),"")</f>
        <v>_</v>
      </c>
      <c r="BJ296" s="449"/>
      <c r="BK296" s="447" t="str">
        <f>IF(Ruimtestaat[[#This Row],[Frequentie weekend]]="","",_xlfn.CONCAT(Ruimtestaat[[#This Row],[Ruimte code]],"-",Ruimtestaat[[#This Row],[Frequentie weekend]]," ",Ruimtestaat[[#This Row],[Vloer code]]))</f>
        <v/>
      </c>
      <c r="BL296" s="448" t="str">
        <f>_xlfn.IFNA(VLOOKUP($BK296,Programma!$F$3:$G$1101,2,0),"")</f>
        <v/>
      </c>
      <c r="BM296" s="448" t="str">
        <f>_xlfn.IFNA(VLOOKUP($BK296,Programma!$F$3:$H$1101,3,0),"")</f>
        <v/>
      </c>
      <c r="BN296" s="448" t="str">
        <f>_xlfn.IFNA(VLOOKUP($BK296,Programma!$F$3:$I$1101,4,0),"")</f>
        <v/>
      </c>
      <c r="BO296" s="448" t="str">
        <f>_xlfn.IFNA(VLOOKUP($BK296,Programma!$F$3:$J$1101,5,0),"")</f>
        <v/>
      </c>
      <c r="BP296" s="448" t="str">
        <f>_xlfn.IFNA(VLOOKUP($BK296,Programma!$F$3:$K$1101,6,0),"")</f>
        <v/>
      </c>
      <c r="BQ296" s="448" t="str">
        <f>_xlfn.IFNA(VLOOKUP($BK296,Programma!$F$3:$L$1101,7,0),"")</f>
        <v/>
      </c>
      <c r="BR296" s="448" t="str">
        <f>_xlfn.IFNA(VLOOKUP($BK296,Programma!$F$3:$M$1101,8,0),"")</f>
        <v/>
      </c>
      <c r="BS296" s="448" t="str">
        <f>_xlfn.IFNA(VLOOKUP($BK296,Programma!$F$3:$N$1101,9,0),"")</f>
        <v/>
      </c>
      <c r="BT296" s="448" t="str">
        <f>_xlfn.IFNA(VLOOKUP($BK296,Programma!$F$3:$O$1101,10,0),"")</f>
        <v/>
      </c>
      <c r="BU296" s="448" t="str">
        <f>_xlfn.IFNA(VLOOKUP($BK296,Programma!$F$3:$P$1101,11,0),"")</f>
        <v/>
      </c>
      <c r="BV296" s="448" t="str">
        <f>_xlfn.IFNA(VLOOKUP($BK296,Programma!$F$3:$Q$1101,12,0),"")</f>
        <v/>
      </c>
      <c r="BW296" s="448" t="str">
        <f>_xlfn.IFNA(VLOOKUP($BK296,Programma!$F$3:$R$1101,13,0),"")</f>
        <v/>
      </c>
      <c r="BX296" s="448" t="str">
        <f>_xlfn.IFNA(VLOOKUP($BK296,Programma!$F$3:$S$1101,14,0),"")</f>
        <v/>
      </c>
      <c r="BY296" s="448" t="str">
        <f>_xlfn.IFNA(VLOOKUP($BK296,Programma!$F$3:$T$1101,15,0),"")</f>
        <v/>
      </c>
      <c r="BZ296" s="448" t="str">
        <f>_xlfn.IFNA(VLOOKUP($BK296,Programma!$F$3:$U$1101,16,0),"")</f>
        <v/>
      </c>
      <c r="CA296" s="448" t="str">
        <f>_xlfn.IFNA(VLOOKUP($BK296,Programma!$F$3:$V$1101,17,0),"")</f>
        <v/>
      </c>
      <c r="CB296" s="448" t="str">
        <f>_xlfn.IFNA(VLOOKUP($BK296,Programma!$F$3:$W$1101,18,0),"")</f>
        <v/>
      </c>
      <c r="CC296" s="448" t="str">
        <f>_xlfn.IFNA(VLOOKUP($BK296,Programma!$F$3:$X$1101,19,0),"")</f>
        <v/>
      </c>
      <c r="CD296" s="448" t="str">
        <f>_xlfn.IFNA(VLOOKUP($BK296,Programma!$F$3:$Y$1101,20,0),"")</f>
        <v/>
      </c>
      <c r="CE296" s="327"/>
      <c r="CF296" s="327"/>
      <c r="CG296" s="327"/>
      <c r="CH296" s="327"/>
      <c r="CI296" s="327"/>
      <c r="CJ296" s="327"/>
      <c r="CK296" s="327"/>
      <c r="CL296" s="327"/>
      <c r="CM296" s="327"/>
      <c r="CN296" s="327"/>
      <c r="CO296" s="327"/>
      <c r="CP296" s="327"/>
      <c r="CQ296" s="327"/>
      <c r="CR296" s="327"/>
      <c r="CS296" s="327"/>
      <c r="CT296" s="327"/>
      <c r="CU296" s="327"/>
      <c r="CV296" s="327"/>
      <c r="CW296" s="327"/>
      <c r="CX296" s="327"/>
      <c r="CY296" s="327"/>
      <c r="CZ296" s="327"/>
      <c r="DA296" s="327"/>
      <c r="DB296" s="327"/>
      <c r="DC296" s="327"/>
      <c r="DD296" s="327"/>
      <c r="DE296" s="327"/>
      <c r="DF296" s="327"/>
      <c r="DG296" s="327"/>
      <c r="DH296" s="327"/>
      <c r="DI296" s="327"/>
      <c r="DJ296" s="327"/>
      <c r="DK296" s="327"/>
      <c r="DL296" s="327"/>
      <c r="DM296" s="327"/>
      <c r="DN296" s="327"/>
      <c r="DO296" s="327"/>
      <c r="DP296" s="327"/>
      <c r="DQ296" s="327"/>
      <c r="DR296" s="327"/>
      <c r="DS296" s="327"/>
      <c r="DT296" s="327"/>
      <c r="DU296" s="327"/>
      <c r="DV296" s="327"/>
      <c r="DW296" s="327"/>
      <c r="DX296" s="327"/>
      <c r="DY296" s="327"/>
      <c r="DZ296" s="327"/>
      <c r="EA296" s="327"/>
      <c r="EB296" s="327"/>
      <c r="EC296" s="327"/>
      <c r="ED296" s="327"/>
      <c r="EE296" s="327"/>
      <c r="EF296" s="327"/>
      <c r="EG296" s="327"/>
      <c r="EH296" s="327"/>
      <c r="EI296" s="327"/>
      <c r="EJ296" s="327"/>
      <c r="EK296" s="327"/>
      <c r="EL296" s="327"/>
      <c r="EM296" s="327"/>
      <c r="EN296" s="327"/>
      <c r="EO296" s="327"/>
      <c r="EP296" s="327"/>
      <c r="EQ296" s="327"/>
      <c r="ER296" s="327"/>
      <c r="ES296" s="327"/>
      <c r="ET296" s="327"/>
      <c r="EU296" s="327"/>
      <c r="EV296" s="327"/>
      <c r="EW296" s="327"/>
      <c r="EX296" s="327"/>
      <c r="EY296" s="327"/>
      <c r="EZ296" s="327"/>
      <c r="FA296" s="327"/>
      <c r="FB296" s="327"/>
      <c r="FC296" s="327"/>
      <c r="FD296" s="327"/>
      <c r="FE296" s="327"/>
      <c r="FF296" s="327"/>
      <c r="FG296" s="327"/>
      <c r="FH296" s="327"/>
      <c r="FI296" s="327"/>
      <c r="FJ296" s="327"/>
      <c r="FK296" s="327"/>
      <c r="FL296" s="327"/>
      <c r="FM296" s="327"/>
      <c r="FN296" s="327"/>
      <c r="FO296" s="327"/>
      <c r="FP296" s="327"/>
      <c r="FQ296" s="327"/>
      <c r="FR296" s="327"/>
      <c r="FS296" s="327"/>
      <c r="FT296" s="327"/>
      <c r="FU296" s="327"/>
      <c r="FV296" s="327"/>
      <c r="FW296" s="327"/>
      <c r="FX296" s="327"/>
      <c r="FY296" s="327"/>
      <c r="FZ296" s="327"/>
      <c r="GA296" s="327"/>
      <c r="GB296" s="327"/>
      <c r="GC296" s="327"/>
      <c r="GD296" s="327"/>
      <c r="GE296" s="327"/>
      <c r="GF296" s="327"/>
      <c r="GG296" s="327"/>
      <c r="GH296" s="327"/>
      <c r="GI296" s="327"/>
      <c r="GJ296" s="327"/>
      <c r="GK296" s="327"/>
      <c r="GL296" s="327"/>
      <c r="GM296" s="327"/>
      <c r="GN296" s="327"/>
      <c r="GO296" s="327"/>
      <c r="GP296" s="327"/>
      <c r="GQ296" s="327"/>
      <c r="GR296" s="327"/>
      <c r="GS296" s="327"/>
      <c r="GT296" s="327"/>
      <c r="GU296" s="327"/>
      <c r="GV296" s="327"/>
      <c r="GW296" s="327"/>
      <c r="GX296" s="327"/>
      <c r="GY296" s="327"/>
      <c r="GZ296" s="327"/>
      <c r="HA296" s="327"/>
      <c r="HB296" s="327"/>
      <c r="HC296" s="327"/>
      <c r="HD296" s="327"/>
      <c r="HE296" s="327"/>
      <c r="HF296" s="327"/>
      <c r="HG296" s="327"/>
      <c r="HH296" s="327"/>
      <c r="HI296" s="327"/>
      <c r="HJ296" s="327"/>
      <c r="HK296" s="327"/>
      <c r="HL296" s="327"/>
      <c r="HM296" s="327"/>
      <c r="HN296" s="327"/>
      <c r="HO296" s="327"/>
      <c r="HP296" s="327"/>
      <c r="HQ296" s="327"/>
      <c r="HR296" s="327"/>
      <c r="HS296" s="327"/>
    </row>
    <row r="297" spans="1:227" ht="15" customHeight="1">
      <c r="A297" s="330">
        <v>13</v>
      </c>
      <c r="B297" s="435" t="str">
        <f>VLOOKUP(Ruimtestaat[[#This Row],[Code]],Locaties[[Code]:[Locatie]],2,FALSE)</f>
        <v>IKC Florence Nightingale</v>
      </c>
      <c r="C297" s="435" t="str">
        <f>VLOOKUP(Ruimtestaat[[#This Row],[Code]],Locaties[[#All],[Code]:[Adres]],4,FALSE)</f>
        <v>Zanzibarplein 90</v>
      </c>
      <c r="D297" s="435" t="str">
        <f>VLOOKUP(Ruimtestaat[[#This Row],[Code]],Locaties[[#All],[Code]:[Postcode]],5,FALSE)</f>
        <v>2721 GE</v>
      </c>
      <c r="E297" s="435" t="str">
        <f>VLOOKUP(Ruimtestaat[[#This Row],[Code]],Locaties[#All],6,FALSE)</f>
        <v>Zoetermeer</v>
      </c>
      <c r="F297" s="450"/>
      <c r="G297" s="330" t="s">
        <v>1678</v>
      </c>
      <c r="H297" s="330" t="s">
        <v>1683</v>
      </c>
      <c r="I297" s="450" t="s">
        <v>1666</v>
      </c>
      <c r="J297" s="330">
        <v>2</v>
      </c>
      <c r="K297" s="450" t="str">
        <f>VLOOKUP(Ruimtestaat[[#This Row],[Ruimte code]],Ruimtegroepen[[#All],[Code]:[Ruimte omschrijving]],2,FALSE)</f>
        <v>Kantoren</v>
      </c>
      <c r="L297" s="434" t="s">
        <v>100</v>
      </c>
      <c r="M297" s="437" t="s">
        <v>1759</v>
      </c>
      <c r="N297" s="439">
        <v>33</v>
      </c>
      <c r="O297" s="439"/>
      <c r="P297" s="439"/>
      <c r="Q297" s="439"/>
      <c r="R297" s="440" t="str">
        <f>VLOOKUP(Ruimtestaat[[#This Row],[Ruimte code]],Ruimtegroepen[],4,FALSE)</f>
        <v>Bu</v>
      </c>
      <c r="S297" s="434">
        <v>41</v>
      </c>
      <c r="T297" s="434" t="s">
        <v>17</v>
      </c>
      <c r="U297" s="434">
        <f>IF(S297&gt;0,IF(RIGHT(Ruimtestaat[[#This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297" s="434">
        <f>IF(U297&gt;0,VLOOKUP($J297,Ruimtegroepen[],3,FALSE)*VLOOKUP($L297,Vloersoorten[],3,FALSE)*VLOOKUP($T297,Frequenties[],3,FALSE)*VLOOKUP($A297,Locaties[],3,FALSE),0)</f>
        <v>0</v>
      </c>
      <c r="W297" s="434">
        <f>Ruimtestaat[[#This Row],[Uitvoeringen werkdagen]]*Ruimtestaat[[#This Row],[Oppervlak (netto)]]</f>
        <v>2706</v>
      </c>
      <c r="X297" s="441">
        <f>IF(V297&gt;0,Ruimtestaat[[#This Row],[Prest. (m2 /jaar) werkdagen]]/Ruimtestaat[[#This Row],[Norm (m2/uur) werkdagen]],0)</f>
        <v>0</v>
      </c>
      <c r="Y297" s="442">
        <f>Ruimtestaat[[#This Row],[Uitvoeringen werkdagen]]*Ruimtestaat[[#This Row],[Gedeeltelijk]]</f>
        <v>0</v>
      </c>
      <c r="Z297" s="443" t="e">
        <f>IF(U297&gt;0,Ruimtestaat[[#This Row],[Prest. (m2 / jaar) werkdagen gedeeld]]/Ruimtestaat[[#This Row],[Norm (m2/uur) werkdagen]],0)</f>
        <v>#DIV/0!</v>
      </c>
      <c r="AA297" s="441" t="e">
        <f>Ruimtestaat[[#This Row],[uren / jaar werkdagen gedeeld]]*Tariefsopbouw!$E$35</f>
        <v>#DIV/0!</v>
      </c>
      <c r="AB297" s="441">
        <f>Ruimtestaat[[#This Row],[Uitvoeringen werkdagen]]*Ruimtestaat[[#This Row],[BSO]]</f>
        <v>0</v>
      </c>
      <c r="AC297" s="443" t="e">
        <f>IF(U297&gt;0,Ruimtestaat[[#This Row],[Prest. (m2 / jaar) werkdagen BSO]]/Ruimtestaat[[#This Row],[Norm (m2/uur) werkdagen]],0)</f>
        <v>#DIV/0!</v>
      </c>
      <c r="AD297" s="443" t="e">
        <f>Ruimtestaat[[#This Row],[uren / jaar werkdagen BSO]]*Tariefsopbouw!$E$35</f>
        <v>#DIV/0!</v>
      </c>
      <c r="AE297" s="444">
        <f>Ruimtestaat[[#This Row],[uren / jaar werkdagen]]*Tariefsopbouw!$E$35</f>
        <v>0</v>
      </c>
      <c r="AF297" s="434"/>
      <c r="AG297" s="434">
        <f>IF(Ruimtestaat[[#This Row],[Frequentie weekend]]&gt;0,VALUE(LEFT(AF297,1))*S297,0)</f>
        <v>0</v>
      </c>
      <c r="AH297" s="445">
        <f>IF($AG297&gt;0,VLOOKUP($J297,Ruimtegroepen[],3,FALSE)*VLOOKUP($L297,Vloersoorten[],3,FALSE)*VLOOKUP($AF297,Frequenties[],3,FALSE)*VLOOKUP(Ruimtestaat[[#This Row],[Code]],Locaties[],3,FALSE),0)</f>
        <v>0</v>
      </c>
      <c r="AI297" s="445">
        <f>Ruimtestaat[[#This Row],[Uitvoeringen weekend]]*Ruimtestaat[[#This Row],[Oppervlak (netto)]]</f>
        <v>0</v>
      </c>
      <c r="AJ297" s="445">
        <f>IF(AH297&gt;0,Ruimtestaat[[#This Row],[Prest. (m2 /jaar) weekend]]/Ruimtestaat[[#This Row],[Norm (m2/uur) weekend]],0)</f>
        <v>0</v>
      </c>
      <c r="AK297" s="444">
        <f>Ruimtestaat[[#This Row],[uren / jaar weekend]]*Tariefsopbouw!$D$40</f>
        <v>0</v>
      </c>
      <c r="AL297" s="441">
        <f>Ruimtestaat[[#This Row],[Prest. (m2 /jaar) weekend]]+Ruimtestaat[[#This Row],[Prest. (m2 /jaar) werkdagen]]</f>
        <v>2706</v>
      </c>
      <c r="AM297" s="441">
        <f>Ruimtestaat[[#This Row],[uren / jaar weekend]]+Ruimtestaat[[#This Row],[uren / jaar werkdagen]]</f>
        <v>0</v>
      </c>
      <c r="AN297" s="446">
        <f>Ruimtestaat[[#This Row],[kosten / jaar weekend]]+Ruimtestaat[[#This Row],[kosten / jaar werkdagen]]</f>
        <v>0</v>
      </c>
      <c r="AO297" s="446"/>
      <c r="AP297" s="447" t="str">
        <f>IF(Ruimtestaat[[#This Row],[Frequentie werkdagen]]="","",_xlfn.CONCAT(Ruimtestaat[[#This Row],[Ruimte code]],"-",Ruimtestaat[[#This Row],[Frequentie werkdagen]]," ",Ruimtestaat[[#This Row],[Vloer code]]))</f>
        <v>2-2w L</v>
      </c>
      <c r="AQ297" s="448" t="str">
        <f>_xlfn.IFNA(VLOOKUP($AP297,Programma!$F$3:$G$1101,2,0),"")</f>
        <v>_</v>
      </c>
      <c r="AR297" s="448" t="str">
        <f>_xlfn.IFNA(VLOOKUP($AP297,Programma!$F$3:$H$1101,3,0),"")</f>
        <v>_</v>
      </c>
      <c r="AS297" s="448" t="str">
        <f>_xlfn.IFNA(VLOOKUP($AP297,Programma!$F$3:$I$1101,4,0),"")</f>
        <v>1w</v>
      </c>
      <c r="AT297" s="448" t="str">
        <f>_xlfn.IFNA(VLOOKUP($AP297,Programma!$F$3:$J$1101,5,0),"")</f>
        <v>1w</v>
      </c>
      <c r="AU297" s="448" t="str">
        <f>_xlfn.IFNA(VLOOKUP($AP297,Programma!$F$3:$K$1101,6,0),"")</f>
        <v>_</v>
      </c>
      <c r="AV297" s="448" t="str">
        <f>_xlfn.IFNA(VLOOKUP($AP297,Programma!$F$3:$L$1101,7,0),"")</f>
        <v>_</v>
      </c>
      <c r="AW297" s="448" t="str">
        <f>_xlfn.IFNA(VLOOKUP($AP297,Programma!$F$3:$M$1101,8,0),"")</f>
        <v>_</v>
      </c>
      <c r="AX297" s="448" t="str">
        <f>_xlfn.IFNA(VLOOKUP($AP297,Programma!$F$3:$N$1101,9,0),"")</f>
        <v>_</v>
      </c>
      <c r="AY297" s="448" t="str">
        <f>_xlfn.IFNA(VLOOKUP($AP297,Programma!$F$3:$O$1101,10,0),"")</f>
        <v>2w</v>
      </c>
      <c r="AZ297" s="448" t="str">
        <f>_xlfn.IFNA(VLOOKUP($AP297,Programma!$F$3:$P$1101,11,0),"")</f>
        <v>2w</v>
      </c>
      <c r="BA297" s="448" t="str">
        <f>_xlfn.IFNA(VLOOKUP($AP297,Programma!$F$3:$Q$1101,12,0),"")</f>
        <v>1w</v>
      </c>
      <c r="BB297" s="448" t="str">
        <f>_xlfn.IFNA(VLOOKUP($AP297,Programma!$F$3:$R$1101,13,0),"")</f>
        <v>1w</v>
      </c>
      <c r="BC297" s="448" t="str">
        <f>_xlfn.IFNA(VLOOKUP($AP297,Programma!$F$3:$S$1101,14,0),"")</f>
        <v>1m</v>
      </c>
      <c r="BD297" s="448" t="str">
        <f>_xlfn.IFNA(VLOOKUP($AP297,Programma!$F$3:$T$1101,15,0),"")</f>
        <v>2j</v>
      </c>
      <c r="BE297" s="448" t="str">
        <f>_xlfn.IFNA(VLOOKUP($AP297,Programma!$F$3:$U$1101,16,0),"")</f>
        <v>1j</v>
      </c>
      <c r="BF297" s="448" t="str">
        <f>_xlfn.IFNA(VLOOKUP($AP297,Programma!$F$3:$V$1101,17,0),"")</f>
        <v>_</v>
      </c>
      <c r="BG297" s="448" t="str">
        <f>_xlfn.IFNA(VLOOKUP($AP297,Programma!$F$3:$W$1101,18,0),"")</f>
        <v>_</v>
      </c>
      <c r="BH297" s="448" t="str">
        <f>_xlfn.IFNA(VLOOKUP($AP297,Programma!$F$3:$X$1101,19,0),"")</f>
        <v>_</v>
      </c>
      <c r="BI297" s="448" t="str">
        <f>_xlfn.IFNA(VLOOKUP($AP297,Programma!$F$3:$Y$1101,20,0),"")</f>
        <v>_</v>
      </c>
      <c r="BJ297" s="449"/>
      <c r="BK297" s="447" t="str">
        <f>IF(Ruimtestaat[[#This Row],[Frequentie weekend]]="","",_xlfn.CONCAT(Ruimtestaat[[#This Row],[Ruimte code]],"-",Ruimtestaat[[#This Row],[Frequentie weekend]]," ",Ruimtestaat[[#This Row],[Vloer code]]))</f>
        <v/>
      </c>
      <c r="BL297" s="448" t="str">
        <f>_xlfn.IFNA(VLOOKUP($BK297,Programma!$F$3:$G$1101,2,0),"")</f>
        <v/>
      </c>
      <c r="BM297" s="448" t="str">
        <f>_xlfn.IFNA(VLOOKUP($BK297,Programma!$F$3:$H$1101,3,0),"")</f>
        <v/>
      </c>
      <c r="BN297" s="448" t="str">
        <f>_xlfn.IFNA(VLOOKUP($BK297,Programma!$F$3:$I$1101,4,0),"")</f>
        <v/>
      </c>
      <c r="BO297" s="448" t="str">
        <f>_xlfn.IFNA(VLOOKUP($BK297,Programma!$F$3:$J$1101,5,0),"")</f>
        <v/>
      </c>
      <c r="BP297" s="448" t="str">
        <f>_xlfn.IFNA(VLOOKUP($BK297,Programma!$F$3:$K$1101,6,0),"")</f>
        <v/>
      </c>
      <c r="BQ297" s="448" t="str">
        <f>_xlfn.IFNA(VLOOKUP($BK297,Programma!$F$3:$L$1101,7,0),"")</f>
        <v/>
      </c>
      <c r="BR297" s="448" t="str">
        <f>_xlfn.IFNA(VLOOKUP($BK297,Programma!$F$3:$M$1101,8,0),"")</f>
        <v/>
      </c>
      <c r="BS297" s="448" t="str">
        <f>_xlfn.IFNA(VLOOKUP($BK297,Programma!$F$3:$N$1101,9,0),"")</f>
        <v/>
      </c>
      <c r="BT297" s="448" t="str">
        <f>_xlfn.IFNA(VLOOKUP($BK297,Programma!$F$3:$O$1101,10,0),"")</f>
        <v/>
      </c>
      <c r="BU297" s="448" t="str">
        <f>_xlfn.IFNA(VLOOKUP($BK297,Programma!$F$3:$P$1101,11,0),"")</f>
        <v/>
      </c>
      <c r="BV297" s="448" t="str">
        <f>_xlfn.IFNA(VLOOKUP($BK297,Programma!$F$3:$Q$1101,12,0),"")</f>
        <v/>
      </c>
      <c r="BW297" s="448" t="str">
        <f>_xlfn.IFNA(VLOOKUP($BK297,Programma!$F$3:$R$1101,13,0),"")</f>
        <v/>
      </c>
      <c r="BX297" s="448" t="str">
        <f>_xlfn.IFNA(VLOOKUP($BK297,Programma!$F$3:$S$1101,14,0),"")</f>
        <v/>
      </c>
      <c r="BY297" s="448" t="str">
        <f>_xlfn.IFNA(VLOOKUP($BK297,Programma!$F$3:$T$1101,15,0),"")</f>
        <v/>
      </c>
      <c r="BZ297" s="448" t="str">
        <f>_xlfn.IFNA(VLOOKUP($BK297,Programma!$F$3:$U$1101,16,0),"")</f>
        <v/>
      </c>
      <c r="CA297" s="448" t="str">
        <f>_xlfn.IFNA(VLOOKUP($BK297,Programma!$F$3:$V$1101,17,0),"")</f>
        <v/>
      </c>
      <c r="CB297" s="448" t="str">
        <f>_xlfn.IFNA(VLOOKUP($BK297,Programma!$F$3:$W$1101,18,0),"")</f>
        <v/>
      </c>
      <c r="CC297" s="448" t="str">
        <f>_xlfn.IFNA(VLOOKUP($BK297,Programma!$F$3:$X$1101,19,0),"")</f>
        <v/>
      </c>
      <c r="CD297" s="448" t="str">
        <f>_xlfn.IFNA(VLOOKUP($BK297,Programma!$F$3:$Y$1101,20,0),"")</f>
        <v/>
      </c>
      <c r="CE297" s="327"/>
      <c r="CF297" s="327"/>
      <c r="CG297" s="327"/>
      <c r="CH297" s="327"/>
      <c r="CI297" s="327"/>
      <c r="CJ297" s="327"/>
      <c r="CK297" s="327"/>
      <c r="CL297" s="327"/>
      <c r="CM297" s="327"/>
      <c r="CN297" s="327"/>
      <c r="CO297" s="327"/>
      <c r="CP297" s="327"/>
      <c r="CQ297" s="327"/>
      <c r="CR297" s="327"/>
      <c r="CS297" s="327"/>
      <c r="CT297" s="327"/>
      <c r="CU297" s="327"/>
      <c r="CV297" s="327"/>
      <c r="CW297" s="327"/>
      <c r="CX297" s="327"/>
      <c r="CY297" s="327"/>
      <c r="CZ297" s="327"/>
      <c r="DA297" s="327"/>
      <c r="DB297" s="327"/>
      <c r="DC297" s="327"/>
      <c r="DD297" s="327"/>
      <c r="DE297" s="327"/>
      <c r="DF297" s="327"/>
      <c r="DG297" s="327"/>
      <c r="DH297" s="327"/>
      <c r="DI297" s="327"/>
      <c r="DJ297" s="327"/>
      <c r="DK297" s="327"/>
      <c r="DL297" s="327"/>
      <c r="DM297" s="327"/>
      <c r="DN297" s="327"/>
      <c r="DO297" s="327"/>
      <c r="DP297" s="327"/>
      <c r="DQ297" s="327"/>
      <c r="DR297" s="327"/>
      <c r="DS297" s="327"/>
      <c r="DT297" s="327"/>
      <c r="DU297" s="327"/>
      <c r="DV297" s="327"/>
      <c r="DW297" s="327"/>
      <c r="DX297" s="327"/>
      <c r="DY297" s="327"/>
      <c r="DZ297" s="327"/>
      <c r="EA297" s="327"/>
      <c r="EB297" s="327"/>
      <c r="EC297" s="327"/>
      <c r="ED297" s="327"/>
      <c r="EE297" s="327"/>
      <c r="EF297" s="327"/>
      <c r="EG297" s="327"/>
      <c r="EH297" s="327"/>
      <c r="EI297" s="327"/>
      <c r="EJ297" s="327"/>
      <c r="EK297" s="327"/>
      <c r="EL297" s="327"/>
      <c r="EM297" s="327"/>
      <c r="EN297" s="327"/>
      <c r="EO297" s="327"/>
      <c r="EP297" s="327"/>
      <c r="EQ297" s="327"/>
      <c r="ER297" s="327"/>
      <c r="ES297" s="327"/>
      <c r="ET297" s="327"/>
      <c r="EU297" s="327"/>
      <c r="EV297" s="327"/>
      <c r="EW297" s="327"/>
      <c r="EX297" s="327"/>
      <c r="EY297" s="327"/>
      <c r="EZ297" s="327"/>
      <c r="FA297" s="327"/>
      <c r="FB297" s="327"/>
      <c r="FC297" s="327"/>
      <c r="FD297" s="327"/>
      <c r="FE297" s="327"/>
      <c r="FF297" s="327"/>
      <c r="FG297" s="327"/>
      <c r="FH297" s="327"/>
      <c r="FI297" s="327"/>
      <c r="FJ297" s="327"/>
      <c r="FK297" s="327"/>
      <c r="FL297" s="327"/>
      <c r="FM297" s="327"/>
      <c r="FN297" s="327"/>
      <c r="FO297" s="327"/>
      <c r="FP297" s="327"/>
      <c r="FQ297" s="327"/>
      <c r="FR297" s="327"/>
      <c r="FS297" s="327"/>
      <c r="FT297" s="327"/>
      <c r="FU297" s="327"/>
      <c r="FV297" s="327"/>
      <c r="FW297" s="327"/>
      <c r="FX297" s="327"/>
      <c r="FY297" s="327"/>
      <c r="FZ297" s="327"/>
      <c r="GA297" s="327"/>
      <c r="GB297" s="327"/>
      <c r="GC297" s="327"/>
      <c r="GD297" s="327"/>
      <c r="GE297" s="327"/>
      <c r="GF297" s="327"/>
      <c r="GG297" s="327"/>
      <c r="GH297" s="327"/>
      <c r="GI297" s="327"/>
      <c r="GJ297" s="327"/>
      <c r="GK297" s="327"/>
      <c r="GL297" s="327"/>
      <c r="GM297" s="327"/>
      <c r="GN297" s="327"/>
      <c r="GO297" s="327"/>
      <c r="GP297" s="327"/>
      <c r="GQ297" s="327"/>
      <c r="GR297" s="327"/>
      <c r="GS297" s="327"/>
      <c r="GT297" s="327"/>
      <c r="GU297" s="327"/>
      <c r="GV297" s="327"/>
      <c r="GW297" s="327"/>
      <c r="GX297" s="327"/>
      <c r="GY297" s="327"/>
      <c r="GZ297" s="327"/>
      <c r="HA297" s="327"/>
      <c r="HB297" s="327"/>
      <c r="HC297" s="327"/>
      <c r="HD297" s="327"/>
      <c r="HE297" s="327"/>
      <c r="HF297" s="327"/>
      <c r="HG297" s="327"/>
      <c r="HH297" s="327"/>
      <c r="HI297" s="327"/>
      <c r="HJ297" s="327"/>
      <c r="HK297" s="327"/>
      <c r="HL297" s="327"/>
      <c r="HM297" s="327"/>
      <c r="HN297" s="327"/>
      <c r="HO297" s="327"/>
      <c r="HP297" s="327"/>
      <c r="HQ297" s="327"/>
      <c r="HR297" s="327"/>
      <c r="HS297" s="327"/>
    </row>
    <row r="298" spans="1:227" ht="15" customHeight="1">
      <c r="A298" s="330">
        <v>13</v>
      </c>
      <c r="B298" s="435" t="str">
        <f>VLOOKUP(Ruimtestaat[[#This Row],[Code]],Locaties[[Code]:[Locatie]],2,FALSE)</f>
        <v>IKC Florence Nightingale</v>
      </c>
      <c r="C298" s="435" t="str">
        <f>VLOOKUP(Ruimtestaat[[#This Row],[Code]],Locaties[[#All],[Code]:[Adres]],4,FALSE)</f>
        <v>Zanzibarplein 90</v>
      </c>
      <c r="D298" s="435" t="str">
        <f>VLOOKUP(Ruimtestaat[[#This Row],[Code]],Locaties[[#All],[Code]:[Postcode]],5,FALSE)</f>
        <v>2721 GE</v>
      </c>
      <c r="E298" s="435" t="str">
        <f>VLOOKUP(Ruimtestaat[[#This Row],[Code]],Locaties[#All],6,FALSE)</f>
        <v>Zoetermeer</v>
      </c>
      <c r="F298" s="450"/>
      <c r="G298" s="330" t="s">
        <v>1678</v>
      </c>
      <c r="H298" s="330" t="s">
        <v>1761</v>
      </c>
      <c r="I298" s="450" t="s">
        <v>1666</v>
      </c>
      <c r="J298" s="330">
        <v>2</v>
      </c>
      <c r="K298" s="450" t="str">
        <f>VLOOKUP(Ruimtestaat[[#This Row],[Ruimte code]],Ruimtegroepen[[#All],[Code]:[Ruimte omschrijving]],2,FALSE)</f>
        <v>Kantoren</v>
      </c>
      <c r="L298" s="434" t="s">
        <v>100</v>
      </c>
      <c r="M298" s="437" t="s">
        <v>1759</v>
      </c>
      <c r="N298" s="439">
        <v>26</v>
      </c>
      <c r="O298" s="439"/>
      <c r="P298" s="439"/>
      <c r="Q298" s="439"/>
      <c r="R298" s="440" t="str">
        <f>VLOOKUP(Ruimtestaat[[#This Row],[Ruimte code]],Ruimtegroepen[],4,FALSE)</f>
        <v>Bu</v>
      </c>
      <c r="S298" s="434">
        <v>41</v>
      </c>
      <c r="T298" s="434" t="s">
        <v>17</v>
      </c>
      <c r="U298" s="434">
        <f>IF(S298&gt;0,IF(RIGHT(Ruimtestaat[[#This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298" s="434">
        <f>IF(U298&gt;0,VLOOKUP($J298,Ruimtegroepen[],3,FALSE)*VLOOKUP($L298,Vloersoorten[],3,FALSE)*VLOOKUP($T298,Frequenties[],3,FALSE)*VLOOKUP($A298,Locaties[],3,FALSE),0)</f>
        <v>0</v>
      </c>
      <c r="W298" s="434">
        <f>Ruimtestaat[[#This Row],[Uitvoeringen werkdagen]]*Ruimtestaat[[#This Row],[Oppervlak (netto)]]</f>
        <v>2132</v>
      </c>
      <c r="X298" s="441">
        <f>IF(V298&gt;0,Ruimtestaat[[#This Row],[Prest. (m2 /jaar) werkdagen]]/Ruimtestaat[[#This Row],[Norm (m2/uur) werkdagen]],0)</f>
        <v>0</v>
      </c>
      <c r="Y298" s="442">
        <f>Ruimtestaat[[#This Row],[Uitvoeringen werkdagen]]*Ruimtestaat[[#This Row],[Gedeeltelijk]]</f>
        <v>0</v>
      </c>
      <c r="Z298" s="443" t="e">
        <f>IF(U298&gt;0,Ruimtestaat[[#This Row],[Prest. (m2 / jaar) werkdagen gedeeld]]/Ruimtestaat[[#This Row],[Norm (m2/uur) werkdagen]],0)</f>
        <v>#DIV/0!</v>
      </c>
      <c r="AA298" s="441" t="e">
        <f>Ruimtestaat[[#This Row],[uren / jaar werkdagen gedeeld]]*Tariefsopbouw!$E$35</f>
        <v>#DIV/0!</v>
      </c>
      <c r="AB298" s="441">
        <f>Ruimtestaat[[#This Row],[Uitvoeringen werkdagen]]*Ruimtestaat[[#This Row],[BSO]]</f>
        <v>0</v>
      </c>
      <c r="AC298" s="443" t="e">
        <f>IF(U298&gt;0,Ruimtestaat[[#This Row],[Prest. (m2 / jaar) werkdagen BSO]]/Ruimtestaat[[#This Row],[Norm (m2/uur) werkdagen]],0)</f>
        <v>#DIV/0!</v>
      </c>
      <c r="AD298" s="443" t="e">
        <f>Ruimtestaat[[#This Row],[uren / jaar werkdagen BSO]]*Tariefsopbouw!$E$35</f>
        <v>#DIV/0!</v>
      </c>
      <c r="AE298" s="444">
        <f>Ruimtestaat[[#This Row],[uren / jaar werkdagen]]*Tariefsopbouw!$E$35</f>
        <v>0</v>
      </c>
      <c r="AF298" s="434"/>
      <c r="AG298" s="434">
        <f>IF(Ruimtestaat[[#This Row],[Frequentie weekend]]&gt;0,VALUE(LEFT(AF298,1))*S298,0)</f>
        <v>0</v>
      </c>
      <c r="AH298" s="445">
        <f>IF($AG298&gt;0,VLOOKUP($J298,Ruimtegroepen[],3,FALSE)*VLOOKUP($L298,Vloersoorten[],3,FALSE)*VLOOKUP($AF298,Frequenties[],3,FALSE)*VLOOKUP(Ruimtestaat[[#This Row],[Code]],Locaties[],3,FALSE),0)</f>
        <v>0</v>
      </c>
      <c r="AI298" s="445">
        <f>Ruimtestaat[[#This Row],[Uitvoeringen weekend]]*Ruimtestaat[[#This Row],[Oppervlak (netto)]]</f>
        <v>0</v>
      </c>
      <c r="AJ298" s="445">
        <f>IF(AH298&gt;0,Ruimtestaat[[#This Row],[Prest. (m2 /jaar) weekend]]/Ruimtestaat[[#This Row],[Norm (m2/uur) weekend]],0)</f>
        <v>0</v>
      </c>
      <c r="AK298" s="444">
        <f>Ruimtestaat[[#This Row],[uren / jaar weekend]]*Tariefsopbouw!$D$40</f>
        <v>0</v>
      </c>
      <c r="AL298" s="441">
        <f>Ruimtestaat[[#This Row],[Prest. (m2 /jaar) weekend]]+Ruimtestaat[[#This Row],[Prest. (m2 /jaar) werkdagen]]</f>
        <v>2132</v>
      </c>
      <c r="AM298" s="441">
        <f>Ruimtestaat[[#This Row],[uren / jaar weekend]]+Ruimtestaat[[#This Row],[uren / jaar werkdagen]]</f>
        <v>0</v>
      </c>
      <c r="AN298" s="446">
        <f>Ruimtestaat[[#This Row],[kosten / jaar weekend]]+Ruimtestaat[[#This Row],[kosten / jaar werkdagen]]</f>
        <v>0</v>
      </c>
      <c r="AO298" s="446"/>
      <c r="AP298" s="447" t="str">
        <f>IF(Ruimtestaat[[#This Row],[Frequentie werkdagen]]="","",_xlfn.CONCAT(Ruimtestaat[[#This Row],[Ruimte code]],"-",Ruimtestaat[[#This Row],[Frequentie werkdagen]]," ",Ruimtestaat[[#This Row],[Vloer code]]))</f>
        <v>2-2w L</v>
      </c>
      <c r="AQ298" s="448" t="str">
        <f>_xlfn.IFNA(VLOOKUP($AP298,Programma!$F$3:$G$1101,2,0),"")</f>
        <v>_</v>
      </c>
      <c r="AR298" s="448" t="str">
        <f>_xlfn.IFNA(VLOOKUP($AP298,Programma!$F$3:$H$1101,3,0),"")</f>
        <v>_</v>
      </c>
      <c r="AS298" s="448" t="str">
        <f>_xlfn.IFNA(VLOOKUP($AP298,Programma!$F$3:$I$1101,4,0),"")</f>
        <v>1w</v>
      </c>
      <c r="AT298" s="448" t="str">
        <f>_xlfn.IFNA(VLOOKUP($AP298,Programma!$F$3:$J$1101,5,0),"")</f>
        <v>1w</v>
      </c>
      <c r="AU298" s="448" t="str">
        <f>_xlfn.IFNA(VLOOKUP($AP298,Programma!$F$3:$K$1101,6,0),"")</f>
        <v>_</v>
      </c>
      <c r="AV298" s="448" t="str">
        <f>_xlfn.IFNA(VLOOKUP($AP298,Programma!$F$3:$L$1101,7,0),"")</f>
        <v>_</v>
      </c>
      <c r="AW298" s="448" t="str">
        <f>_xlfn.IFNA(VLOOKUP($AP298,Programma!$F$3:$M$1101,8,0),"")</f>
        <v>_</v>
      </c>
      <c r="AX298" s="448" t="str">
        <f>_xlfn.IFNA(VLOOKUP($AP298,Programma!$F$3:$N$1101,9,0),"")</f>
        <v>_</v>
      </c>
      <c r="AY298" s="448" t="str">
        <f>_xlfn.IFNA(VLOOKUP($AP298,Programma!$F$3:$O$1101,10,0),"")</f>
        <v>2w</v>
      </c>
      <c r="AZ298" s="448" t="str">
        <f>_xlfn.IFNA(VLOOKUP($AP298,Programma!$F$3:$P$1101,11,0),"")</f>
        <v>2w</v>
      </c>
      <c r="BA298" s="448" t="str">
        <f>_xlfn.IFNA(VLOOKUP($AP298,Programma!$F$3:$Q$1101,12,0),"")</f>
        <v>1w</v>
      </c>
      <c r="BB298" s="448" t="str">
        <f>_xlfn.IFNA(VLOOKUP($AP298,Programma!$F$3:$R$1101,13,0),"")</f>
        <v>1w</v>
      </c>
      <c r="BC298" s="448" t="str">
        <f>_xlfn.IFNA(VLOOKUP($AP298,Programma!$F$3:$S$1101,14,0),"")</f>
        <v>1m</v>
      </c>
      <c r="BD298" s="448" t="str">
        <f>_xlfn.IFNA(VLOOKUP($AP298,Programma!$F$3:$T$1101,15,0),"")</f>
        <v>2j</v>
      </c>
      <c r="BE298" s="448" t="str">
        <f>_xlfn.IFNA(VLOOKUP($AP298,Programma!$F$3:$U$1101,16,0),"")</f>
        <v>1j</v>
      </c>
      <c r="BF298" s="448" t="str">
        <f>_xlfn.IFNA(VLOOKUP($AP298,Programma!$F$3:$V$1101,17,0),"")</f>
        <v>_</v>
      </c>
      <c r="BG298" s="448" t="str">
        <f>_xlfn.IFNA(VLOOKUP($AP298,Programma!$F$3:$W$1101,18,0),"")</f>
        <v>_</v>
      </c>
      <c r="BH298" s="448" t="str">
        <f>_xlfn.IFNA(VLOOKUP($AP298,Programma!$F$3:$X$1101,19,0),"")</f>
        <v>_</v>
      </c>
      <c r="BI298" s="448" t="str">
        <f>_xlfn.IFNA(VLOOKUP($AP298,Programma!$F$3:$Y$1101,20,0),"")</f>
        <v>_</v>
      </c>
      <c r="BJ298" s="449"/>
      <c r="BK298" s="447" t="str">
        <f>IF(Ruimtestaat[[#This Row],[Frequentie weekend]]="","",_xlfn.CONCAT(Ruimtestaat[[#This Row],[Ruimte code]],"-",Ruimtestaat[[#This Row],[Frequentie weekend]]," ",Ruimtestaat[[#This Row],[Vloer code]]))</f>
        <v/>
      </c>
      <c r="BL298" s="448" t="str">
        <f>_xlfn.IFNA(VLOOKUP($BK298,Programma!$F$3:$G$1101,2,0),"")</f>
        <v/>
      </c>
      <c r="BM298" s="448" t="str">
        <f>_xlfn.IFNA(VLOOKUP($BK298,Programma!$F$3:$H$1101,3,0),"")</f>
        <v/>
      </c>
      <c r="BN298" s="448" t="str">
        <f>_xlfn.IFNA(VLOOKUP($BK298,Programma!$F$3:$I$1101,4,0),"")</f>
        <v/>
      </c>
      <c r="BO298" s="448" t="str">
        <f>_xlfn.IFNA(VLOOKUP($BK298,Programma!$F$3:$J$1101,5,0),"")</f>
        <v/>
      </c>
      <c r="BP298" s="448" t="str">
        <f>_xlfn.IFNA(VLOOKUP($BK298,Programma!$F$3:$K$1101,6,0),"")</f>
        <v/>
      </c>
      <c r="BQ298" s="448" t="str">
        <f>_xlfn.IFNA(VLOOKUP($BK298,Programma!$F$3:$L$1101,7,0),"")</f>
        <v/>
      </c>
      <c r="BR298" s="448" t="str">
        <f>_xlfn.IFNA(VLOOKUP($BK298,Programma!$F$3:$M$1101,8,0),"")</f>
        <v/>
      </c>
      <c r="BS298" s="448" t="str">
        <f>_xlfn.IFNA(VLOOKUP($BK298,Programma!$F$3:$N$1101,9,0),"")</f>
        <v/>
      </c>
      <c r="BT298" s="448" t="str">
        <f>_xlfn.IFNA(VLOOKUP($BK298,Programma!$F$3:$O$1101,10,0),"")</f>
        <v/>
      </c>
      <c r="BU298" s="448" t="str">
        <f>_xlfn.IFNA(VLOOKUP($BK298,Programma!$F$3:$P$1101,11,0),"")</f>
        <v/>
      </c>
      <c r="BV298" s="448" t="str">
        <f>_xlfn.IFNA(VLOOKUP($BK298,Programma!$F$3:$Q$1101,12,0),"")</f>
        <v/>
      </c>
      <c r="BW298" s="448" t="str">
        <f>_xlfn.IFNA(VLOOKUP($BK298,Programma!$F$3:$R$1101,13,0),"")</f>
        <v/>
      </c>
      <c r="BX298" s="448" t="str">
        <f>_xlfn.IFNA(VLOOKUP($BK298,Programma!$F$3:$S$1101,14,0),"")</f>
        <v/>
      </c>
      <c r="BY298" s="448" t="str">
        <f>_xlfn.IFNA(VLOOKUP($BK298,Programma!$F$3:$T$1101,15,0),"")</f>
        <v/>
      </c>
      <c r="BZ298" s="448" t="str">
        <f>_xlfn.IFNA(VLOOKUP($BK298,Programma!$F$3:$U$1101,16,0),"")</f>
        <v/>
      </c>
      <c r="CA298" s="448" t="str">
        <f>_xlfn.IFNA(VLOOKUP($BK298,Programma!$F$3:$V$1101,17,0),"")</f>
        <v/>
      </c>
      <c r="CB298" s="448" t="str">
        <f>_xlfn.IFNA(VLOOKUP($BK298,Programma!$F$3:$W$1101,18,0),"")</f>
        <v/>
      </c>
      <c r="CC298" s="448" t="str">
        <f>_xlfn.IFNA(VLOOKUP($BK298,Programma!$F$3:$X$1101,19,0),"")</f>
        <v/>
      </c>
      <c r="CD298" s="448" t="str">
        <f>_xlfn.IFNA(VLOOKUP($BK298,Programma!$F$3:$Y$1101,20,0),"")</f>
        <v/>
      </c>
      <c r="CE298" s="327"/>
      <c r="CF298" s="327"/>
      <c r="CG298" s="327"/>
      <c r="CH298" s="327"/>
      <c r="CI298" s="327"/>
      <c r="CJ298" s="327"/>
      <c r="CK298" s="327"/>
      <c r="CL298" s="327"/>
      <c r="CM298" s="327"/>
      <c r="CN298" s="327"/>
      <c r="CO298" s="327"/>
      <c r="CP298" s="327"/>
      <c r="CQ298" s="327"/>
      <c r="CR298" s="327"/>
      <c r="CS298" s="327"/>
      <c r="CT298" s="327"/>
      <c r="CU298" s="327"/>
      <c r="CV298" s="327"/>
      <c r="CW298" s="327"/>
      <c r="CX298" s="327"/>
      <c r="CY298" s="327"/>
      <c r="CZ298" s="327"/>
      <c r="DA298" s="327"/>
      <c r="DB298" s="327"/>
      <c r="DC298" s="327"/>
      <c r="DD298" s="327"/>
      <c r="DE298" s="327"/>
      <c r="DF298" s="327"/>
      <c r="DG298" s="327"/>
      <c r="DH298" s="327"/>
      <c r="DI298" s="327"/>
      <c r="DJ298" s="327"/>
      <c r="DK298" s="327"/>
      <c r="DL298" s="327"/>
      <c r="DM298" s="327"/>
      <c r="DN298" s="327"/>
      <c r="DO298" s="327"/>
      <c r="DP298" s="327"/>
      <c r="DQ298" s="327"/>
      <c r="DR298" s="327"/>
      <c r="DS298" s="327"/>
      <c r="DT298" s="327"/>
      <c r="DU298" s="327"/>
      <c r="DV298" s="327"/>
      <c r="DW298" s="327"/>
      <c r="DX298" s="327"/>
      <c r="DY298" s="327"/>
      <c r="DZ298" s="327"/>
      <c r="EA298" s="327"/>
      <c r="EB298" s="327"/>
      <c r="EC298" s="327"/>
      <c r="ED298" s="327"/>
      <c r="EE298" s="327"/>
      <c r="EF298" s="327"/>
      <c r="EG298" s="327"/>
      <c r="EH298" s="327"/>
      <c r="EI298" s="327"/>
      <c r="EJ298" s="327"/>
      <c r="EK298" s="327"/>
      <c r="EL298" s="327"/>
      <c r="EM298" s="327"/>
      <c r="EN298" s="327"/>
      <c r="EO298" s="327"/>
      <c r="EP298" s="327"/>
      <c r="EQ298" s="327"/>
      <c r="ER298" s="327"/>
      <c r="ES298" s="327"/>
      <c r="ET298" s="327"/>
      <c r="EU298" s="327"/>
      <c r="EV298" s="327"/>
      <c r="EW298" s="327"/>
      <c r="EX298" s="327"/>
      <c r="EY298" s="327"/>
      <c r="EZ298" s="327"/>
      <c r="FA298" s="327"/>
      <c r="FB298" s="327"/>
      <c r="FC298" s="327"/>
      <c r="FD298" s="327"/>
      <c r="FE298" s="327"/>
      <c r="FF298" s="327"/>
      <c r="FG298" s="327"/>
      <c r="FH298" s="327"/>
      <c r="FI298" s="327"/>
      <c r="FJ298" s="327"/>
      <c r="FK298" s="327"/>
      <c r="FL298" s="327"/>
      <c r="FM298" s="327"/>
      <c r="FN298" s="327"/>
      <c r="FO298" s="327"/>
      <c r="FP298" s="327"/>
      <c r="FQ298" s="327"/>
      <c r="FR298" s="327"/>
      <c r="FS298" s="327"/>
      <c r="FT298" s="327"/>
      <c r="FU298" s="327"/>
      <c r="FV298" s="327"/>
      <c r="FW298" s="327"/>
      <c r="FX298" s="327"/>
      <c r="FY298" s="327"/>
      <c r="FZ298" s="327"/>
      <c r="GA298" s="327"/>
      <c r="GB298" s="327"/>
      <c r="GC298" s="327"/>
      <c r="GD298" s="327"/>
      <c r="GE298" s="327"/>
      <c r="GF298" s="327"/>
      <c r="GG298" s="327"/>
      <c r="GH298" s="327"/>
      <c r="GI298" s="327"/>
      <c r="GJ298" s="327"/>
      <c r="GK298" s="327"/>
      <c r="GL298" s="327"/>
      <c r="GM298" s="327"/>
      <c r="GN298" s="327"/>
      <c r="GO298" s="327"/>
      <c r="GP298" s="327"/>
      <c r="GQ298" s="327"/>
      <c r="GR298" s="327"/>
      <c r="GS298" s="327"/>
      <c r="GT298" s="327"/>
      <c r="GU298" s="327"/>
      <c r="GV298" s="327"/>
      <c r="GW298" s="327"/>
      <c r="GX298" s="327"/>
      <c r="GY298" s="327"/>
      <c r="GZ298" s="327"/>
      <c r="HA298" s="327"/>
      <c r="HB298" s="327"/>
      <c r="HC298" s="327"/>
      <c r="HD298" s="327"/>
      <c r="HE298" s="327"/>
      <c r="HF298" s="327"/>
      <c r="HG298" s="327"/>
      <c r="HH298" s="327"/>
      <c r="HI298" s="327"/>
      <c r="HJ298" s="327"/>
      <c r="HK298" s="327"/>
      <c r="HL298" s="327"/>
      <c r="HM298" s="327"/>
      <c r="HN298" s="327"/>
      <c r="HO298" s="327"/>
      <c r="HP298" s="327"/>
      <c r="HQ298" s="327"/>
      <c r="HR298" s="327"/>
      <c r="HS298" s="327"/>
    </row>
    <row r="299" spans="1:227" ht="15" customHeight="1">
      <c r="A299" s="330">
        <v>13</v>
      </c>
      <c r="B299" s="435" t="str">
        <f>VLOOKUP(Ruimtestaat[[#This Row],[Code]],Locaties[[Code]:[Locatie]],2,FALSE)</f>
        <v>IKC Florence Nightingale</v>
      </c>
      <c r="C299" s="435" t="str">
        <f>VLOOKUP(Ruimtestaat[[#This Row],[Code]],Locaties[[#All],[Code]:[Adres]],4,FALSE)</f>
        <v>Zanzibarplein 90</v>
      </c>
      <c r="D299" s="435" t="str">
        <f>VLOOKUP(Ruimtestaat[[#This Row],[Code]],Locaties[[#All],[Code]:[Postcode]],5,FALSE)</f>
        <v>2721 GE</v>
      </c>
      <c r="E299" s="435" t="str">
        <f>VLOOKUP(Ruimtestaat[[#This Row],[Code]],Locaties[#All],6,FALSE)</f>
        <v>Zoetermeer</v>
      </c>
      <c r="F299" s="450"/>
      <c r="G299" s="330" t="s">
        <v>1678</v>
      </c>
      <c r="H299" s="330" t="s">
        <v>1689</v>
      </c>
      <c r="I299" s="450" t="s">
        <v>1666</v>
      </c>
      <c r="J299" s="330">
        <v>2</v>
      </c>
      <c r="K299" s="450" t="str">
        <f>VLOOKUP(Ruimtestaat[[#This Row],[Ruimte code]],Ruimtegroepen[[#All],[Code]:[Ruimte omschrijving]],2,FALSE)</f>
        <v>Kantoren</v>
      </c>
      <c r="L299" s="434" t="s">
        <v>100</v>
      </c>
      <c r="M299" s="437" t="s">
        <v>1759</v>
      </c>
      <c r="N299" s="439">
        <v>15</v>
      </c>
      <c r="O299" s="439"/>
      <c r="P299" s="439"/>
      <c r="Q299" s="439"/>
      <c r="R299" s="440" t="str">
        <f>VLOOKUP(Ruimtestaat[[#This Row],[Ruimte code]],Ruimtegroepen[],4,FALSE)</f>
        <v>Bu</v>
      </c>
      <c r="S299" s="434">
        <v>41</v>
      </c>
      <c r="T299" s="434" t="s">
        <v>17</v>
      </c>
      <c r="U299" s="434">
        <f>IF(S299&gt;0,IF(RIGHT(Ruimtestaat[[#This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299" s="434">
        <f>IF(U299&gt;0,VLOOKUP($J299,Ruimtegroepen[],3,FALSE)*VLOOKUP($L299,Vloersoorten[],3,FALSE)*VLOOKUP($T299,Frequenties[],3,FALSE)*VLOOKUP($A299,Locaties[],3,FALSE),0)</f>
        <v>0</v>
      </c>
      <c r="W299" s="434">
        <f>Ruimtestaat[[#This Row],[Uitvoeringen werkdagen]]*Ruimtestaat[[#This Row],[Oppervlak (netto)]]</f>
        <v>1230</v>
      </c>
      <c r="X299" s="441">
        <f>IF(V299&gt;0,Ruimtestaat[[#This Row],[Prest. (m2 /jaar) werkdagen]]/Ruimtestaat[[#This Row],[Norm (m2/uur) werkdagen]],0)</f>
        <v>0</v>
      </c>
      <c r="Y299" s="442">
        <f>Ruimtestaat[[#This Row],[Uitvoeringen werkdagen]]*Ruimtestaat[[#This Row],[Gedeeltelijk]]</f>
        <v>0</v>
      </c>
      <c r="Z299" s="443" t="e">
        <f>IF(U299&gt;0,Ruimtestaat[[#This Row],[Prest. (m2 / jaar) werkdagen gedeeld]]/Ruimtestaat[[#This Row],[Norm (m2/uur) werkdagen]],0)</f>
        <v>#DIV/0!</v>
      </c>
      <c r="AA299" s="441" t="e">
        <f>Ruimtestaat[[#This Row],[uren / jaar werkdagen gedeeld]]*Tariefsopbouw!$E$35</f>
        <v>#DIV/0!</v>
      </c>
      <c r="AB299" s="441">
        <f>Ruimtestaat[[#This Row],[Uitvoeringen werkdagen]]*Ruimtestaat[[#This Row],[BSO]]</f>
        <v>0</v>
      </c>
      <c r="AC299" s="443" t="e">
        <f>IF(U299&gt;0,Ruimtestaat[[#This Row],[Prest. (m2 / jaar) werkdagen BSO]]/Ruimtestaat[[#This Row],[Norm (m2/uur) werkdagen]],0)</f>
        <v>#DIV/0!</v>
      </c>
      <c r="AD299" s="443" t="e">
        <f>Ruimtestaat[[#This Row],[uren / jaar werkdagen BSO]]*Tariefsopbouw!$E$35</f>
        <v>#DIV/0!</v>
      </c>
      <c r="AE299" s="444">
        <f>Ruimtestaat[[#This Row],[uren / jaar werkdagen]]*Tariefsopbouw!$E$35</f>
        <v>0</v>
      </c>
      <c r="AF299" s="434"/>
      <c r="AG299" s="434">
        <f>IF(Ruimtestaat[[#This Row],[Frequentie weekend]]&gt;0,VALUE(LEFT(AF299,1))*S299,0)</f>
        <v>0</v>
      </c>
      <c r="AH299" s="445">
        <f>IF($AG299&gt;0,VLOOKUP($J299,Ruimtegroepen[],3,FALSE)*VLOOKUP($L299,Vloersoorten[],3,FALSE)*VLOOKUP($AF299,Frequenties[],3,FALSE)*VLOOKUP(Ruimtestaat[[#This Row],[Code]],Locaties[],3,FALSE),0)</f>
        <v>0</v>
      </c>
      <c r="AI299" s="445">
        <f>Ruimtestaat[[#This Row],[Uitvoeringen weekend]]*Ruimtestaat[[#This Row],[Oppervlak (netto)]]</f>
        <v>0</v>
      </c>
      <c r="AJ299" s="445">
        <f>IF(AH299&gt;0,Ruimtestaat[[#This Row],[Prest. (m2 /jaar) weekend]]/Ruimtestaat[[#This Row],[Norm (m2/uur) weekend]],0)</f>
        <v>0</v>
      </c>
      <c r="AK299" s="444">
        <f>Ruimtestaat[[#This Row],[uren / jaar weekend]]*Tariefsopbouw!$D$40</f>
        <v>0</v>
      </c>
      <c r="AL299" s="441">
        <f>Ruimtestaat[[#This Row],[Prest. (m2 /jaar) weekend]]+Ruimtestaat[[#This Row],[Prest. (m2 /jaar) werkdagen]]</f>
        <v>1230</v>
      </c>
      <c r="AM299" s="441">
        <f>Ruimtestaat[[#This Row],[uren / jaar weekend]]+Ruimtestaat[[#This Row],[uren / jaar werkdagen]]</f>
        <v>0</v>
      </c>
      <c r="AN299" s="446">
        <f>Ruimtestaat[[#This Row],[kosten / jaar weekend]]+Ruimtestaat[[#This Row],[kosten / jaar werkdagen]]</f>
        <v>0</v>
      </c>
      <c r="AO299" s="446"/>
      <c r="AP299" s="447" t="str">
        <f>IF(Ruimtestaat[[#This Row],[Frequentie werkdagen]]="","",_xlfn.CONCAT(Ruimtestaat[[#This Row],[Ruimte code]],"-",Ruimtestaat[[#This Row],[Frequentie werkdagen]]," ",Ruimtestaat[[#This Row],[Vloer code]]))</f>
        <v>2-2w L</v>
      </c>
      <c r="AQ299" s="448" t="str">
        <f>_xlfn.IFNA(VLOOKUP($AP299,Programma!$F$3:$G$1101,2,0),"")</f>
        <v>_</v>
      </c>
      <c r="AR299" s="448" t="str">
        <f>_xlfn.IFNA(VLOOKUP($AP299,Programma!$F$3:$H$1101,3,0),"")</f>
        <v>_</v>
      </c>
      <c r="AS299" s="448" t="str">
        <f>_xlfn.IFNA(VLOOKUP($AP299,Programma!$F$3:$I$1101,4,0),"")</f>
        <v>1w</v>
      </c>
      <c r="AT299" s="448" t="str">
        <f>_xlfn.IFNA(VLOOKUP($AP299,Programma!$F$3:$J$1101,5,0),"")</f>
        <v>1w</v>
      </c>
      <c r="AU299" s="448" t="str">
        <f>_xlfn.IFNA(VLOOKUP($AP299,Programma!$F$3:$K$1101,6,0),"")</f>
        <v>_</v>
      </c>
      <c r="AV299" s="448" t="str">
        <f>_xlfn.IFNA(VLOOKUP($AP299,Programma!$F$3:$L$1101,7,0),"")</f>
        <v>_</v>
      </c>
      <c r="AW299" s="448" t="str">
        <f>_xlfn.IFNA(VLOOKUP($AP299,Programma!$F$3:$M$1101,8,0),"")</f>
        <v>_</v>
      </c>
      <c r="AX299" s="448" t="str">
        <f>_xlfn.IFNA(VLOOKUP($AP299,Programma!$F$3:$N$1101,9,0),"")</f>
        <v>_</v>
      </c>
      <c r="AY299" s="448" t="str">
        <f>_xlfn.IFNA(VLOOKUP($AP299,Programma!$F$3:$O$1101,10,0),"")</f>
        <v>2w</v>
      </c>
      <c r="AZ299" s="448" t="str">
        <f>_xlfn.IFNA(VLOOKUP($AP299,Programma!$F$3:$P$1101,11,0),"")</f>
        <v>2w</v>
      </c>
      <c r="BA299" s="448" t="str">
        <f>_xlfn.IFNA(VLOOKUP($AP299,Programma!$F$3:$Q$1101,12,0),"")</f>
        <v>1w</v>
      </c>
      <c r="BB299" s="448" t="str">
        <f>_xlfn.IFNA(VLOOKUP($AP299,Programma!$F$3:$R$1101,13,0),"")</f>
        <v>1w</v>
      </c>
      <c r="BC299" s="448" t="str">
        <f>_xlfn.IFNA(VLOOKUP($AP299,Programma!$F$3:$S$1101,14,0),"")</f>
        <v>1m</v>
      </c>
      <c r="BD299" s="448" t="str">
        <f>_xlfn.IFNA(VLOOKUP($AP299,Programma!$F$3:$T$1101,15,0),"")</f>
        <v>2j</v>
      </c>
      <c r="BE299" s="448" t="str">
        <f>_xlfn.IFNA(VLOOKUP($AP299,Programma!$F$3:$U$1101,16,0),"")</f>
        <v>1j</v>
      </c>
      <c r="BF299" s="448" t="str">
        <f>_xlfn.IFNA(VLOOKUP($AP299,Programma!$F$3:$V$1101,17,0),"")</f>
        <v>_</v>
      </c>
      <c r="BG299" s="448" t="str">
        <f>_xlfn.IFNA(VLOOKUP($AP299,Programma!$F$3:$W$1101,18,0),"")</f>
        <v>_</v>
      </c>
      <c r="BH299" s="448" t="str">
        <f>_xlfn.IFNA(VLOOKUP($AP299,Programma!$F$3:$X$1101,19,0),"")</f>
        <v>_</v>
      </c>
      <c r="BI299" s="448" t="str">
        <f>_xlfn.IFNA(VLOOKUP($AP299,Programma!$F$3:$Y$1101,20,0),"")</f>
        <v>_</v>
      </c>
      <c r="BJ299" s="449"/>
      <c r="BK299" s="447" t="str">
        <f>IF(Ruimtestaat[[#This Row],[Frequentie weekend]]="","",_xlfn.CONCAT(Ruimtestaat[[#This Row],[Ruimte code]],"-",Ruimtestaat[[#This Row],[Frequentie weekend]]," ",Ruimtestaat[[#This Row],[Vloer code]]))</f>
        <v/>
      </c>
      <c r="BL299" s="448" t="str">
        <f>_xlfn.IFNA(VLOOKUP($BK299,Programma!$F$3:$G$1101,2,0),"")</f>
        <v/>
      </c>
      <c r="BM299" s="448" t="str">
        <f>_xlfn.IFNA(VLOOKUP($BK299,Programma!$F$3:$H$1101,3,0),"")</f>
        <v/>
      </c>
      <c r="BN299" s="448" t="str">
        <f>_xlfn.IFNA(VLOOKUP($BK299,Programma!$F$3:$I$1101,4,0),"")</f>
        <v/>
      </c>
      <c r="BO299" s="448" t="str">
        <f>_xlfn.IFNA(VLOOKUP($BK299,Programma!$F$3:$J$1101,5,0),"")</f>
        <v/>
      </c>
      <c r="BP299" s="448" t="str">
        <f>_xlfn.IFNA(VLOOKUP($BK299,Programma!$F$3:$K$1101,6,0),"")</f>
        <v/>
      </c>
      <c r="BQ299" s="448" t="str">
        <f>_xlfn.IFNA(VLOOKUP($BK299,Programma!$F$3:$L$1101,7,0),"")</f>
        <v/>
      </c>
      <c r="BR299" s="448" t="str">
        <f>_xlfn.IFNA(VLOOKUP($BK299,Programma!$F$3:$M$1101,8,0),"")</f>
        <v/>
      </c>
      <c r="BS299" s="448" t="str">
        <f>_xlfn.IFNA(VLOOKUP($BK299,Programma!$F$3:$N$1101,9,0),"")</f>
        <v/>
      </c>
      <c r="BT299" s="448" t="str">
        <f>_xlfn.IFNA(VLOOKUP($BK299,Programma!$F$3:$O$1101,10,0),"")</f>
        <v/>
      </c>
      <c r="BU299" s="448" t="str">
        <f>_xlfn.IFNA(VLOOKUP($BK299,Programma!$F$3:$P$1101,11,0),"")</f>
        <v/>
      </c>
      <c r="BV299" s="448" t="str">
        <f>_xlfn.IFNA(VLOOKUP($BK299,Programma!$F$3:$Q$1101,12,0),"")</f>
        <v/>
      </c>
      <c r="BW299" s="448" t="str">
        <f>_xlfn.IFNA(VLOOKUP($BK299,Programma!$F$3:$R$1101,13,0),"")</f>
        <v/>
      </c>
      <c r="BX299" s="448" t="str">
        <f>_xlfn.IFNA(VLOOKUP($BK299,Programma!$F$3:$S$1101,14,0),"")</f>
        <v/>
      </c>
      <c r="BY299" s="448" t="str">
        <f>_xlfn.IFNA(VLOOKUP($BK299,Programma!$F$3:$T$1101,15,0),"")</f>
        <v/>
      </c>
      <c r="BZ299" s="448" t="str">
        <f>_xlfn.IFNA(VLOOKUP($BK299,Programma!$F$3:$U$1101,16,0),"")</f>
        <v/>
      </c>
      <c r="CA299" s="448" t="str">
        <f>_xlfn.IFNA(VLOOKUP($BK299,Programma!$F$3:$V$1101,17,0),"")</f>
        <v/>
      </c>
      <c r="CB299" s="448" t="str">
        <f>_xlfn.IFNA(VLOOKUP($BK299,Programma!$F$3:$W$1101,18,0),"")</f>
        <v/>
      </c>
      <c r="CC299" s="448" t="str">
        <f>_xlfn.IFNA(VLOOKUP($BK299,Programma!$F$3:$X$1101,19,0),"")</f>
        <v/>
      </c>
      <c r="CD299" s="448" t="str">
        <f>_xlfn.IFNA(VLOOKUP($BK299,Programma!$F$3:$Y$1101,20,0),"")</f>
        <v/>
      </c>
      <c r="CE299" s="327"/>
      <c r="CF299" s="327"/>
      <c r="CG299" s="327"/>
      <c r="CH299" s="327"/>
      <c r="CI299" s="327"/>
      <c r="CJ299" s="327"/>
      <c r="CK299" s="327"/>
      <c r="CL299" s="327"/>
      <c r="CM299" s="327"/>
      <c r="CN299" s="327"/>
      <c r="CO299" s="327"/>
      <c r="CP299" s="327"/>
      <c r="CQ299" s="327"/>
      <c r="CR299" s="327"/>
      <c r="CS299" s="327"/>
      <c r="CT299" s="327"/>
      <c r="CU299" s="327"/>
      <c r="CV299" s="327"/>
      <c r="CW299" s="327"/>
      <c r="CX299" s="327"/>
      <c r="CY299" s="327"/>
      <c r="CZ299" s="327"/>
      <c r="DA299" s="327"/>
      <c r="DB299" s="327"/>
      <c r="DC299" s="327"/>
      <c r="DD299" s="327"/>
      <c r="DE299" s="327"/>
      <c r="DF299" s="327"/>
      <c r="DG299" s="327"/>
      <c r="DH299" s="327"/>
      <c r="DI299" s="327"/>
      <c r="DJ299" s="327"/>
      <c r="DK299" s="327"/>
      <c r="DL299" s="327"/>
      <c r="DM299" s="327"/>
      <c r="DN299" s="327"/>
      <c r="DO299" s="327"/>
      <c r="DP299" s="327"/>
      <c r="DQ299" s="327"/>
      <c r="DR299" s="327"/>
      <c r="DS299" s="327"/>
      <c r="DT299" s="327"/>
      <c r="DU299" s="327"/>
      <c r="DV299" s="327"/>
      <c r="DW299" s="327"/>
      <c r="DX299" s="327"/>
      <c r="DY299" s="327"/>
      <c r="DZ299" s="327"/>
      <c r="EA299" s="327"/>
      <c r="EB299" s="327"/>
      <c r="EC299" s="327"/>
      <c r="ED299" s="327"/>
      <c r="EE299" s="327"/>
      <c r="EF299" s="327"/>
      <c r="EG299" s="327"/>
      <c r="EH299" s="327"/>
      <c r="EI299" s="327"/>
      <c r="EJ299" s="327"/>
      <c r="EK299" s="327"/>
      <c r="EL299" s="327"/>
      <c r="EM299" s="327"/>
      <c r="EN299" s="327"/>
      <c r="EO299" s="327"/>
      <c r="EP299" s="327"/>
      <c r="EQ299" s="327"/>
      <c r="ER299" s="327"/>
      <c r="ES299" s="327"/>
      <c r="ET299" s="327"/>
      <c r="EU299" s="327"/>
      <c r="EV299" s="327"/>
      <c r="EW299" s="327"/>
      <c r="EX299" s="327"/>
      <c r="EY299" s="327"/>
      <c r="EZ299" s="327"/>
      <c r="FA299" s="327"/>
      <c r="FB299" s="327"/>
      <c r="FC299" s="327"/>
      <c r="FD299" s="327"/>
      <c r="FE299" s="327"/>
      <c r="FF299" s="327"/>
      <c r="FG299" s="327"/>
      <c r="FH299" s="327"/>
      <c r="FI299" s="327"/>
      <c r="FJ299" s="327"/>
      <c r="FK299" s="327"/>
      <c r="FL299" s="327"/>
      <c r="FM299" s="327"/>
      <c r="FN299" s="327"/>
      <c r="FO299" s="327"/>
      <c r="FP299" s="327"/>
      <c r="FQ299" s="327"/>
      <c r="FR299" s="327"/>
      <c r="FS299" s="327"/>
      <c r="FT299" s="327"/>
      <c r="FU299" s="327"/>
      <c r="FV299" s="327"/>
      <c r="FW299" s="327"/>
      <c r="FX299" s="327"/>
      <c r="FY299" s="327"/>
      <c r="FZ299" s="327"/>
      <c r="GA299" s="327"/>
      <c r="GB299" s="327"/>
      <c r="GC299" s="327"/>
      <c r="GD299" s="327"/>
      <c r="GE299" s="327"/>
      <c r="GF299" s="327"/>
      <c r="GG299" s="327"/>
      <c r="GH299" s="327"/>
      <c r="GI299" s="327"/>
      <c r="GJ299" s="327"/>
      <c r="GK299" s="327"/>
      <c r="GL299" s="327"/>
      <c r="GM299" s="327"/>
      <c r="GN299" s="327"/>
      <c r="GO299" s="327"/>
      <c r="GP299" s="327"/>
      <c r="GQ299" s="327"/>
      <c r="GR299" s="327"/>
      <c r="GS299" s="327"/>
      <c r="GT299" s="327"/>
      <c r="GU299" s="327"/>
      <c r="GV299" s="327"/>
      <c r="GW299" s="327"/>
      <c r="GX299" s="327"/>
      <c r="GY299" s="327"/>
      <c r="GZ299" s="327"/>
      <c r="HA299" s="327"/>
      <c r="HB299" s="327"/>
      <c r="HC299" s="327"/>
      <c r="HD299" s="327"/>
      <c r="HE299" s="327"/>
      <c r="HF299" s="327"/>
      <c r="HG299" s="327"/>
      <c r="HH299" s="327"/>
      <c r="HI299" s="327"/>
      <c r="HJ299" s="327"/>
      <c r="HK299" s="327"/>
      <c r="HL299" s="327"/>
      <c r="HM299" s="327"/>
      <c r="HN299" s="327"/>
      <c r="HO299" s="327"/>
      <c r="HP299" s="327"/>
      <c r="HQ299" s="327"/>
      <c r="HR299" s="327"/>
      <c r="HS299" s="327"/>
    </row>
    <row r="300" spans="1:227" ht="15" customHeight="1">
      <c r="A300" s="330">
        <v>13</v>
      </c>
      <c r="B300" s="435" t="str">
        <f>VLOOKUP(Ruimtestaat[[#This Row],[Code]],Locaties[[Code]:[Locatie]],2,FALSE)</f>
        <v>IKC Florence Nightingale</v>
      </c>
      <c r="C300" s="435" t="str">
        <f>VLOOKUP(Ruimtestaat[[#This Row],[Code]],Locaties[[#All],[Code]:[Adres]],4,FALSE)</f>
        <v>Zanzibarplein 90</v>
      </c>
      <c r="D300" s="435" t="str">
        <f>VLOOKUP(Ruimtestaat[[#This Row],[Code]],Locaties[[#All],[Code]:[Postcode]],5,FALSE)</f>
        <v>2721 GE</v>
      </c>
      <c r="E300" s="435" t="str">
        <f>VLOOKUP(Ruimtestaat[[#This Row],[Code]],Locaties[#All],6,FALSE)</f>
        <v>Zoetermeer</v>
      </c>
      <c r="F300" s="450"/>
      <c r="G300" s="330" t="s">
        <v>1678</v>
      </c>
      <c r="H300" s="330" t="s">
        <v>1691</v>
      </c>
      <c r="I300" s="450" t="s">
        <v>1666</v>
      </c>
      <c r="J300" s="330">
        <v>2</v>
      </c>
      <c r="K300" s="450" t="str">
        <f>VLOOKUP(Ruimtestaat[[#This Row],[Ruimte code]],Ruimtegroepen[[#All],[Code]:[Ruimte omschrijving]],2,FALSE)</f>
        <v>Kantoren</v>
      </c>
      <c r="L300" s="434" t="s">
        <v>100</v>
      </c>
      <c r="M300" s="437" t="s">
        <v>1759</v>
      </c>
      <c r="N300" s="439">
        <v>9</v>
      </c>
      <c r="O300" s="439"/>
      <c r="P300" s="439"/>
      <c r="Q300" s="439"/>
      <c r="R300" s="440" t="str">
        <f>VLOOKUP(Ruimtestaat[[#This Row],[Ruimte code]],Ruimtegroepen[],4,FALSE)</f>
        <v>Bu</v>
      </c>
      <c r="S300" s="434">
        <v>41</v>
      </c>
      <c r="T300" s="434" t="s">
        <v>17</v>
      </c>
      <c r="U300" s="434">
        <f>IF(S300&gt;0,IF(RIGHT(Ruimtestaat[[#This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00" s="434">
        <f>IF(U300&gt;0,VLOOKUP($J300,Ruimtegroepen[],3,FALSE)*VLOOKUP($L300,Vloersoorten[],3,FALSE)*VLOOKUP($T300,Frequenties[],3,FALSE)*VLOOKUP($A300,Locaties[],3,FALSE),0)</f>
        <v>0</v>
      </c>
      <c r="W300" s="434">
        <f>Ruimtestaat[[#This Row],[Uitvoeringen werkdagen]]*Ruimtestaat[[#This Row],[Oppervlak (netto)]]</f>
        <v>738</v>
      </c>
      <c r="X300" s="441">
        <f>IF(V300&gt;0,Ruimtestaat[[#This Row],[Prest. (m2 /jaar) werkdagen]]/Ruimtestaat[[#This Row],[Norm (m2/uur) werkdagen]],0)</f>
        <v>0</v>
      </c>
      <c r="Y300" s="442">
        <f>Ruimtestaat[[#This Row],[Uitvoeringen werkdagen]]*Ruimtestaat[[#This Row],[Gedeeltelijk]]</f>
        <v>0</v>
      </c>
      <c r="Z300" s="443" t="e">
        <f>IF(U300&gt;0,Ruimtestaat[[#This Row],[Prest. (m2 / jaar) werkdagen gedeeld]]/Ruimtestaat[[#This Row],[Norm (m2/uur) werkdagen]],0)</f>
        <v>#DIV/0!</v>
      </c>
      <c r="AA300" s="441" t="e">
        <f>Ruimtestaat[[#This Row],[uren / jaar werkdagen gedeeld]]*Tariefsopbouw!$E$35</f>
        <v>#DIV/0!</v>
      </c>
      <c r="AB300" s="441">
        <f>Ruimtestaat[[#This Row],[Uitvoeringen werkdagen]]*Ruimtestaat[[#This Row],[BSO]]</f>
        <v>0</v>
      </c>
      <c r="AC300" s="443" t="e">
        <f>IF(U300&gt;0,Ruimtestaat[[#This Row],[Prest. (m2 / jaar) werkdagen BSO]]/Ruimtestaat[[#This Row],[Norm (m2/uur) werkdagen]],0)</f>
        <v>#DIV/0!</v>
      </c>
      <c r="AD300" s="443" t="e">
        <f>Ruimtestaat[[#This Row],[uren / jaar werkdagen BSO]]*Tariefsopbouw!$E$35</f>
        <v>#DIV/0!</v>
      </c>
      <c r="AE300" s="444">
        <f>Ruimtestaat[[#This Row],[uren / jaar werkdagen]]*Tariefsopbouw!$E$35</f>
        <v>0</v>
      </c>
      <c r="AF300" s="434"/>
      <c r="AG300" s="434">
        <f>IF(Ruimtestaat[[#This Row],[Frequentie weekend]]&gt;0,VALUE(LEFT(AF300,1))*S300,0)</f>
        <v>0</v>
      </c>
      <c r="AH300" s="445">
        <f>IF($AG300&gt;0,VLOOKUP($J300,Ruimtegroepen[],3,FALSE)*VLOOKUP($L300,Vloersoorten[],3,FALSE)*VLOOKUP($AF300,Frequenties[],3,FALSE)*VLOOKUP(Ruimtestaat[[#This Row],[Code]],Locaties[],3,FALSE),0)</f>
        <v>0</v>
      </c>
      <c r="AI300" s="445">
        <f>Ruimtestaat[[#This Row],[Uitvoeringen weekend]]*Ruimtestaat[[#This Row],[Oppervlak (netto)]]</f>
        <v>0</v>
      </c>
      <c r="AJ300" s="445">
        <f>IF(AH300&gt;0,Ruimtestaat[[#This Row],[Prest. (m2 /jaar) weekend]]/Ruimtestaat[[#This Row],[Norm (m2/uur) weekend]],0)</f>
        <v>0</v>
      </c>
      <c r="AK300" s="444">
        <f>Ruimtestaat[[#This Row],[uren / jaar weekend]]*Tariefsopbouw!$D$40</f>
        <v>0</v>
      </c>
      <c r="AL300" s="441">
        <f>Ruimtestaat[[#This Row],[Prest. (m2 /jaar) weekend]]+Ruimtestaat[[#This Row],[Prest. (m2 /jaar) werkdagen]]</f>
        <v>738</v>
      </c>
      <c r="AM300" s="441">
        <f>Ruimtestaat[[#This Row],[uren / jaar weekend]]+Ruimtestaat[[#This Row],[uren / jaar werkdagen]]</f>
        <v>0</v>
      </c>
      <c r="AN300" s="446">
        <f>Ruimtestaat[[#This Row],[kosten / jaar weekend]]+Ruimtestaat[[#This Row],[kosten / jaar werkdagen]]</f>
        <v>0</v>
      </c>
      <c r="AO300" s="446"/>
      <c r="AP300" s="447" t="str">
        <f>IF(Ruimtestaat[[#This Row],[Frequentie werkdagen]]="","",_xlfn.CONCAT(Ruimtestaat[[#This Row],[Ruimte code]],"-",Ruimtestaat[[#This Row],[Frequentie werkdagen]]," ",Ruimtestaat[[#This Row],[Vloer code]]))</f>
        <v>2-2w L</v>
      </c>
      <c r="AQ300" s="448" t="str">
        <f>_xlfn.IFNA(VLOOKUP($AP300,Programma!$F$3:$G$1101,2,0),"")</f>
        <v>_</v>
      </c>
      <c r="AR300" s="448" t="str">
        <f>_xlfn.IFNA(VLOOKUP($AP300,Programma!$F$3:$H$1101,3,0),"")</f>
        <v>_</v>
      </c>
      <c r="AS300" s="448" t="str">
        <f>_xlfn.IFNA(VLOOKUP($AP300,Programma!$F$3:$I$1101,4,0),"")</f>
        <v>1w</v>
      </c>
      <c r="AT300" s="448" t="str">
        <f>_xlfn.IFNA(VLOOKUP($AP300,Programma!$F$3:$J$1101,5,0),"")</f>
        <v>1w</v>
      </c>
      <c r="AU300" s="448" t="str">
        <f>_xlfn.IFNA(VLOOKUP($AP300,Programma!$F$3:$K$1101,6,0),"")</f>
        <v>_</v>
      </c>
      <c r="AV300" s="448" t="str">
        <f>_xlfn.IFNA(VLOOKUP($AP300,Programma!$F$3:$L$1101,7,0),"")</f>
        <v>_</v>
      </c>
      <c r="AW300" s="448" t="str">
        <f>_xlfn.IFNA(VLOOKUP($AP300,Programma!$F$3:$M$1101,8,0),"")</f>
        <v>_</v>
      </c>
      <c r="AX300" s="448" t="str">
        <f>_xlfn.IFNA(VLOOKUP($AP300,Programma!$F$3:$N$1101,9,0),"")</f>
        <v>_</v>
      </c>
      <c r="AY300" s="448" t="str">
        <f>_xlfn.IFNA(VLOOKUP($AP300,Programma!$F$3:$O$1101,10,0),"")</f>
        <v>2w</v>
      </c>
      <c r="AZ300" s="448" t="str">
        <f>_xlfn.IFNA(VLOOKUP($AP300,Programma!$F$3:$P$1101,11,0),"")</f>
        <v>2w</v>
      </c>
      <c r="BA300" s="448" t="str">
        <f>_xlfn.IFNA(VLOOKUP($AP300,Programma!$F$3:$Q$1101,12,0),"")</f>
        <v>1w</v>
      </c>
      <c r="BB300" s="448" t="str">
        <f>_xlfn.IFNA(VLOOKUP($AP300,Programma!$F$3:$R$1101,13,0),"")</f>
        <v>1w</v>
      </c>
      <c r="BC300" s="448" t="str">
        <f>_xlfn.IFNA(VLOOKUP($AP300,Programma!$F$3:$S$1101,14,0),"")</f>
        <v>1m</v>
      </c>
      <c r="BD300" s="448" t="str">
        <f>_xlfn.IFNA(VLOOKUP($AP300,Programma!$F$3:$T$1101,15,0),"")</f>
        <v>2j</v>
      </c>
      <c r="BE300" s="448" t="str">
        <f>_xlfn.IFNA(VLOOKUP($AP300,Programma!$F$3:$U$1101,16,0),"")</f>
        <v>1j</v>
      </c>
      <c r="BF300" s="448" t="str">
        <f>_xlfn.IFNA(VLOOKUP($AP300,Programma!$F$3:$V$1101,17,0),"")</f>
        <v>_</v>
      </c>
      <c r="BG300" s="448" t="str">
        <f>_xlfn.IFNA(VLOOKUP($AP300,Programma!$F$3:$W$1101,18,0),"")</f>
        <v>_</v>
      </c>
      <c r="BH300" s="448" t="str">
        <f>_xlfn.IFNA(VLOOKUP($AP300,Programma!$F$3:$X$1101,19,0),"")</f>
        <v>_</v>
      </c>
      <c r="BI300" s="448" t="str">
        <f>_xlfn.IFNA(VLOOKUP($AP300,Programma!$F$3:$Y$1101,20,0),"")</f>
        <v>_</v>
      </c>
      <c r="BJ300" s="449"/>
      <c r="BK300" s="447" t="str">
        <f>IF(Ruimtestaat[[#This Row],[Frequentie weekend]]="","",_xlfn.CONCAT(Ruimtestaat[[#This Row],[Ruimte code]],"-",Ruimtestaat[[#This Row],[Frequentie weekend]]," ",Ruimtestaat[[#This Row],[Vloer code]]))</f>
        <v/>
      </c>
      <c r="BL300" s="448" t="str">
        <f>_xlfn.IFNA(VLOOKUP($BK300,Programma!$F$3:$G$1101,2,0),"")</f>
        <v/>
      </c>
      <c r="BM300" s="448" t="str">
        <f>_xlfn.IFNA(VLOOKUP($BK300,Programma!$F$3:$H$1101,3,0),"")</f>
        <v/>
      </c>
      <c r="BN300" s="448" t="str">
        <f>_xlfn.IFNA(VLOOKUP($BK300,Programma!$F$3:$I$1101,4,0),"")</f>
        <v/>
      </c>
      <c r="BO300" s="448" t="str">
        <f>_xlfn.IFNA(VLOOKUP($BK300,Programma!$F$3:$J$1101,5,0),"")</f>
        <v/>
      </c>
      <c r="BP300" s="448" t="str">
        <f>_xlfn.IFNA(VLOOKUP($BK300,Programma!$F$3:$K$1101,6,0),"")</f>
        <v/>
      </c>
      <c r="BQ300" s="448" t="str">
        <f>_xlfn.IFNA(VLOOKUP($BK300,Programma!$F$3:$L$1101,7,0),"")</f>
        <v/>
      </c>
      <c r="BR300" s="448" t="str">
        <f>_xlfn.IFNA(VLOOKUP($BK300,Programma!$F$3:$M$1101,8,0),"")</f>
        <v/>
      </c>
      <c r="BS300" s="448" t="str">
        <f>_xlfn.IFNA(VLOOKUP($BK300,Programma!$F$3:$N$1101,9,0),"")</f>
        <v/>
      </c>
      <c r="BT300" s="448" t="str">
        <f>_xlfn.IFNA(VLOOKUP($BK300,Programma!$F$3:$O$1101,10,0),"")</f>
        <v/>
      </c>
      <c r="BU300" s="448" t="str">
        <f>_xlfn.IFNA(VLOOKUP($BK300,Programma!$F$3:$P$1101,11,0),"")</f>
        <v/>
      </c>
      <c r="BV300" s="448" t="str">
        <f>_xlfn.IFNA(VLOOKUP($BK300,Programma!$F$3:$Q$1101,12,0),"")</f>
        <v/>
      </c>
      <c r="BW300" s="448" t="str">
        <f>_xlfn.IFNA(VLOOKUP($BK300,Programma!$F$3:$R$1101,13,0),"")</f>
        <v/>
      </c>
      <c r="BX300" s="448" t="str">
        <f>_xlfn.IFNA(VLOOKUP($BK300,Programma!$F$3:$S$1101,14,0),"")</f>
        <v/>
      </c>
      <c r="BY300" s="448" t="str">
        <f>_xlfn.IFNA(VLOOKUP($BK300,Programma!$F$3:$T$1101,15,0),"")</f>
        <v/>
      </c>
      <c r="BZ300" s="448" t="str">
        <f>_xlfn.IFNA(VLOOKUP($BK300,Programma!$F$3:$U$1101,16,0),"")</f>
        <v/>
      </c>
      <c r="CA300" s="448" t="str">
        <f>_xlfn.IFNA(VLOOKUP($BK300,Programma!$F$3:$V$1101,17,0),"")</f>
        <v/>
      </c>
      <c r="CB300" s="448" t="str">
        <f>_xlfn.IFNA(VLOOKUP($BK300,Programma!$F$3:$W$1101,18,0),"")</f>
        <v/>
      </c>
      <c r="CC300" s="448" t="str">
        <f>_xlfn.IFNA(VLOOKUP($BK300,Programma!$F$3:$X$1101,19,0),"")</f>
        <v/>
      </c>
      <c r="CD300" s="448" t="str">
        <f>_xlfn.IFNA(VLOOKUP($BK300,Programma!$F$3:$Y$1101,20,0),"")</f>
        <v/>
      </c>
      <c r="CE300" s="327"/>
      <c r="CF300" s="327"/>
      <c r="CG300" s="327"/>
      <c r="CH300" s="327"/>
      <c r="CI300" s="327"/>
      <c r="CJ300" s="327"/>
      <c r="CK300" s="327"/>
      <c r="CL300" s="327"/>
      <c r="CM300" s="327"/>
      <c r="CN300" s="327"/>
      <c r="CO300" s="327"/>
      <c r="CP300" s="327"/>
      <c r="CQ300" s="327"/>
      <c r="CR300" s="327"/>
      <c r="CS300" s="327"/>
      <c r="CT300" s="327"/>
      <c r="CU300" s="327"/>
      <c r="CV300" s="327"/>
      <c r="CW300" s="327"/>
      <c r="CX300" s="327"/>
      <c r="CY300" s="327"/>
      <c r="CZ300" s="327"/>
      <c r="DA300" s="327"/>
      <c r="DB300" s="327"/>
      <c r="DC300" s="327"/>
      <c r="DD300" s="327"/>
      <c r="DE300" s="327"/>
      <c r="DF300" s="327"/>
      <c r="DG300" s="327"/>
      <c r="DH300" s="327"/>
      <c r="DI300" s="327"/>
      <c r="DJ300" s="327"/>
      <c r="DK300" s="327"/>
      <c r="DL300" s="327"/>
      <c r="DM300" s="327"/>
      <c r="DN300" s="327"/>
      <c r="DO300" s="327"/>
      <c r="DP300" s="327"/>
      <c r="DQ300" s="327"/>
      <c r="DR300" s="327"/>
      <c r="DS300" s="327"/>
      <c r="DT300" s="327"/>
      <c r="DU300" s="327"/>
      <c r="DV300" s="327"/>
      <c r="DW300" s="327"/>
      <c r="DX300" s="327"/>
      <c r="DY300" s="327"/>
      <c r="DZ300" s="327"/>
      <c r="EA300" s="327"/>
      <c r="EB300" s="327"/>
      <c r="EC300" s="327"/>
      <c r="ED300" s="327"/>
      <c r="EE300" s="327"/>
      <c r="EF300" s="327"/>
      <c r="EG300" s="327"/>
      <c r="EH300" s="327"/>
      <c r="EI300" s="327"/>
      <c r="EJ300" s="327"/>
      <c r="EK300" s="327"/>
      <c r="EL300" s="327"/>
      <c r="EM300" s="327"/>
      <c r="EN300" s="327"/>
      <c r="EO300" s="327"/>
      <c r="EP300" s="327"/>
      <c r="EQ300" s="327"/>
      <c r="ER300" s="327"/>
      <c r="ES300" s="327"/>
      <c r="ET300" s="327"/>
      <c r="EU300" s="327"/>
      <c r="EV300" s="327"/>
      <c r="EW300" s="327"/>
      <c r="EX300" s="327"/>
      <c r="EY300" s="327"/>
      <c r="EZ300" s="327"/>
      <c r="FA300" s="327"/>
      <c r="FB300" s="327"/>
      <c r="FC300" s="327"/>
      <c r="FD300" s="327"/>
      <c r="FE300" s="327"/>
      <c r="FF300" s="327"/>
      <c r="FG300" s="327"/>
      <c r="FH300" s="327"/>
      <c r="FI300" s="327"/>
      <c r="FJ300" s="327"/>
      <c r="FK300" s="327"/>
      <c r="FL300" s="327"/>
      <c r="FM300" s="327"/>
      <c r="FN300" s="327"/>
      <c r="FO300" s="327"/>
      <c r="FP300" s="327"/>
      <c r="FQ300" s="327"/>
      <c r="FR300" s="327"/>
      <c r="FS300" s="327"/>
      <c r="FT300" s="327"/>
      <c r="FU300" s="327"/>
      <c r="FV300" s="327"/>
      <c r="FW300" s="327"/>
      <c r="FX300" s="327"/>
      <c r="FY300" s="327"/>
      <c r="FZ300" s="327"/>
      <c r="GA300" s="327"/>
      <c r="GB300" s="327"/>
      <c r="GC300" s="327"/>
      <c r="GD300" s="327"/>
      <c r="GE300" s="327"/>
      <c r="GF300" s="327"/>
      <c r="GG300" s="327"/>
      <c r="GH300" s="327"/>
      <c r="GI300" s="327"/>
      <c r="GJ300" s="327"/>
      <c r="GK300" s="327"/>
      <c r="GL300" s="327"/>
      <c r="GM300" s="327"/>
      <c r="GN300" s="327"/>
      <c r="GO300" s="327"/>
      <c r="GP300" s="327"/>
      <c r="GQ300" s="327"/>
      <c r="GR300" s="327"/>
      <c r="GS300" s="327"/>
      <c r="GT300" s="327"/>
      <c r="GU300" s="327"/>
      <c r="GV300" s="327"/>
      <c r="GW300" s="327"/>
      <c r="GX300" s="327"/>
      <c r="GY300" s="327"/>
      <c r="GZ300" s="327"/>
      <c r="HA300" s="327"/>
      <c r="HB300" s="327"/>
      <c r="HC300" s="327"/>
      <c r="HD300" s="327"/>
      <c r="HE300" s="327"/>
      <c r="HF300" s="327"/>
      <c r="HG300" s="327"/>
      <c r="HH300" s="327"/>
      <c r="HI300" s="327"/>
      <c r="HJ300" s="327"/>
      <c r="HK300" s="327"/>
      <c r="HL300" s="327"/>
      <c r="HM300" s="327"/>
      <c r="HN300" s="327"/>
      <c r="HO300" s="327"/>
      <c r="HP300" s="327"/>
      <c r="HQ300" s="327"/>
      <c r="HR300" s="327"/>
      <c r="HS300" s="327"/>
    </row>
    <row r="301" spans="1:227" ht="15" customHeight="1">
      <c r="A301" s="330">
        <v>13</v>
      </c>
      <c r="B301" s="435" t="str">
        <f>VLOOKUP(Ruimtestaat[[#This Row],[Code]],Locaties[[Code]:[Locatie]],2,FALSE)</f>
        <v>IKC Florence Nightingale</v>
      </c>
      <c r="C301" s="435" t="str">
        <f>VLOOKUP(Ruimtestaat[[#This Row],[Code]],Locaties[[#All],[Code]:[Adres]],4,FALSE)</f>
        <v>Zanzibarplein 90</v>
      </c>
      <c r="D301" s="435" t="str">
        <f>VLOOKUP(Ruimtestaat[[#This Row],[Code]],Locaties[[#All],[Code]:[Postcode]],5,FALSE)</f>
        <v>2721 GE</v>
      </c>
      <c r="E301" s="435" t="str">
        <f>VLOOKUP(Ruimtestaat[[#This Row],[Code]],Locaties[#All],6,FALSE)</f>
        <v>Zoetermeer</v>
      </c>
      <c r="F301" s="450"/>
      <c r="G301" s="330" t="s">
        <v>1678</v>
      </c>
      <c r="H301" s="330" t="s">
        <v>1692</v>
      </c>
      <c r="I301" s="450" t="s">
        <v>1745</v>
      </c>
      <c r="J301" s="330">
        <v>12</v>
      </c>
      <c r="K301" s="450" t="str">
        <f>VLOOKUP(Ruimtestaat[[#This Row],[Ruimte code]],Ruimtegroepen[[#All],[Code]:[Ruimte omschrijving]],2,FALSE)</f>
        <v>Kantine/Aula</v>
      </c>
      <c r="L301" s="434" t="s">
        <v>100</v>
      </c>
      <c r="M301" s="437" t="s">
        <v>1759</v>
      </c>
      <c r="N301" s="439">
        <v>270</v>
      </c>
      <c r="O301" s="439"/>
      <c r="P301" s="439"/>
      <c r="Q301" s="439"/>
      <c r="R301" s="440" t="str">
        <f>VLOOKUP(Ruimtestaat[[#This Row],[Ruimte code]],Ruimtegroepen[],4,FALSE)</f>
        <v>Ve</v>
      </c>
      <c r="S301" s="434">
        <v>41</v>
      </c>
      <c r="T301" s="434" t="s">
        <v>2</v>
      </c>
      <c r="U301" s="434">
        <f>IF(S301&gt;0,IF(RIGHT(Ruimtestaat[[#This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01" s="434">
        <f>IF(U301&gt;0,VLOOKUP($J301,Ruimtegroepen[],3,FALSE)*VLOOKUP($L301,Vloersoorten[],3,FALSE)*VLOOKUP($T301,Frequenties[],3,FALSE)*VLOOKUP($A301,Locaties[],3,FALSE),0)</f>
        <v>0</v>
      </c>
      <c r="W301" s="434">
        <f>Ruimtestaat[[#This Row],[Uitvoeringen werkdagen]]*Ruimtestaat[[#This Row],[Oppervlak (netto)]]</f>
        <v>55350</v>
      </c>
      <c r="X301" s="441">
        <f>IF(V301&gt;0,Ruimtestaat[[#This Row],[Prest. (m2 /jaar) werkdagen]]/Ruimtestaat[[#This Row],[Norm (m2/uur) werkdagen]],0)</f>
        <v>0</v>
      </c>
      <c r="Y301" s="442">
        <f>Ruimtestaat[[#This Row],[Uitvoeringen werkdagen]]*Ruimtestaat[[#This Row],[Gedeeltelijk]]</f>
        <v>0</v>
      </c>
      <c r="Z301" s="443" t="e">
        <f>IF(U301&gt;0,Ruimtestaat[[#This Row],[Prest. (m2 / jaar) werkdagen gedeeld]]/Ruimtestaat[[#This Row],[Norm (m2/uur) werkdagen]],0)</f>
        <v>#DIV/0!</v>
      </c>
      <c r="AA301" s="441" t="e">
        <f>Ruimtestaat[[#This Row],[uren / jaar werkdagen gedeeld]]*Tariefsopbouw!$E$35</f>
        <v>#DIV/0!</v>
      </c>
      <c r="AB301" s="441">
        <f>Ruimtestaat[[#This Row],[Uitvoeringen werkdagen]]*Ruimtestaat[[#This Row],[BSO]]</f>
        <v>0</v>
      </c>
      <c r="AC301" s="443" t="e">
        <f>IF(U301&gt;0,Ruimtestaat[[#This Row],[Prest. (m2 / jaar) werkdagen BSO]]/Ruimtestaat[[#This Row],[Norm (m2/uur) werkdagen]],0)</f>
        <v>#DIV/0!</v>
      </c>
      <c r="AD301" s="443" t="e">
        <f>Ruimtestaat[[#This Row],[uren / jaar werkdagen BSO]]*Tariefsopbouw!$E$35</f>
        <v>#DIV/0!</v>
      </c>
      <c r="AE301" s="444">
        <f>Ruimtestaat[[#This Row],[uren / jaar werkdagen]]*Tariefsopbouw!$E$35</f>
        <v>0</v>
      </c>
      <c r="AF301" s="434"/>
      <c r="AG301" s="434">
        <f>IF(Ruimtestaat[[#This Row],[Frequentie weekend]]&gt;0,VALUE(LEFT(AF301,1))*S301,0)</f>
        <v>0</v>
      </c>
      <c r="AH301" s="445">
        <f>IF($AG301&gt;0,VLOOKUP($J301,Ruimtegroepen[],3,FALSE)*VLOOKUP($L301,Vloersoorten[],3,FALSE)*VLOOKUP($AF301,Frequenties[],3,FALSE)*VLOOKUP(Ruimtestaat[[#This Row],[Code]],Locaties[],3,FALSE),0)</f>
        <v>0</v>
      </c>
      <c r="AI301" s="445">
        <f>Ruimtestaat[[#This Row],[Uitvoeringen weekend]]*Ruimtestaat[[#This Row],[Oppervlak (netto)]]</f>
        <v>0</v>
      </c>
      <c r="AJ301" s="445">
        <f>IF(AH301&gt;0,Ruimtestaat[[#This Row],[Prest. (m2 /jaar) weekend]]/Ruimtestaat[[#This Row],[Norm (m2/uur) weekend]],0)</f>
        <v>0</v>
      </c>
      <c r="AK301" s="444">
        <f>Ruimtestaat[[#This Row],[uren / jaar weekend]]*Tariefsopbouw!$D$40</f>
        <v>0</v>
      </c>
      <c r="AL301" s="441">
        <f>Ruimtestaat[[#This Row],[Prest. (m2 /jaar) weekend]]+Ruimtestaat[[#This Row],[Prest. (m2 /jaar) werkdagen]]</f>
        <v>55350</v>
      </c>
      <c r="AM301" s="441">
        <f>Ruimtestaat[[#This Row],[uren / jaar weekend]]+Ruimtestaat[[#This Row],[uren / jaar werkdagen]]</f>
        <v>0</v>
      </c>
      <c r="AN301" s="446">
        <f>Ruimtestaat[[#This Row],[kosten / jaar weekend]]+Ruimtestaat[[#This Row],[kosten / jaar werkdagen]]</f>
        <v>0</v>
      </c>
      <c r="AO301" s="446"/>
      <c r="AP301" s="447" t="str">
        <f>IF(Ruimtestaat[[#This Row],[Frequentie werkdagen]]="","",_xlfn.CONCAT(Ruimtestaat[[#This Row],[Ruimte code]],"-",Ruimtestaat[[#This Row],[Frequentie werkdagen]]," ",Ruimtestaat[[#This Row],[Vloer code]]))</f>
        <v>12-5w L</v>
      </c>
      <c r="AQ301" s="448" t="str">
        <f>_xlfn.IFNA(VLOOKUP($AP301,Programma!$F$3:$G$1101,2,0),"")</f>
        <v>_</v>
      </c>
      <c r="AR301" s="448" t="str">
        <f>_xlfn.IFNA(VLOOKUP($AP301,Programma!$F$3:$H$1101,3,0),"")</f>
        <v>_</v>
      </c>
      <c r="AS301" s="448" t="str">
        <f>_xlfn.IFNA(VLOOKUP($AP301,Programma!$F$3:$I$1101,4,0),"")</f>
        <v>_</v>
      </c>
      <c r="AT301" s="448" t="str">
        <f>_xlfn.IFNA(VLOOKUP($AP301,Programma!$F$3:$J$1101,5,0),"")</f>
        <v>5w</v>
      </c>
      <c r="AU301" s="448" t="str">
        <f>_xlfn.IFNA(VLOOKUP($AP301,Programma!$F$3:$K$1101,6,0),"")</f>
        <v>_</v>
      </c>
      <c r="AV301" s="448" t="str">
        <f>_xlfn.IFNA(VLOOKUP($AP301,Programma!$F$3:$L$1101,7,0),"")</f>
        <v>_</v>
      </c>
      <c r="AW301" s="448" t="str">
        <f>_xlfn.IFNA(VLOOKUP($AP301,Programma!$F$3:$M$1101,8,0),"")</f>
        <v>_</v>
      </c>
      <c r="AX301" s="448" t="str">
        <f>_xlfn.IFNA(VLOOKUP($AP301,Programma!$F$3:$N$1101,9,0),"")</f>
        <v>_</v>
      </c>
      <c r="AY301" s="448" t="str">
        <f>_xlfn.IFNA(VLOOKUP($AP301,Programma!$F$3:$O$1101,10,0),"")</f>
        <v>5w</v>
      </c>
      <c r="AZ301" s="448" t="str">
        <f>_xlfn.IFNA(VLOOKUP($AP301,Programma!$F$3:$P$1101,11,0),"")</f>
        <v>5w</v>
      </c>
      <c r="BA301" s="448" t="str">
        <f>_xlfn.IFNA(VLOOKUP($AP301,Programma!$F$3:$Q$1101,12,0),"")</f>
        <v>1w</v>
      </c>
      <c r="BB301" s="448" t="str">
        <f>_xlfn.IFNA(VLOOKUP($AP301,Programma!$F$3:$R$1101,13,0),"")</f>
        <v>1w</v>
      </c>
      <c r="BC301" s="448" t="str">
        <f>_xlfn.IFNA(VLOOKUP($AP301,Programma!$F$3:$S$1101,14,0),"")</f>
        <v>1m</v>
      </c>
      <c r="BD301" s="448" t="str">
        <f>_xlfn.IFNA(VLOOKUP($AP301,Programma!$F$3:$T$1101,15,0),"")</f>
        <v>2j</v>
      </c>
      <c r="BE301" s="448" t="str">
        <f>_xlfn.IFNA(VLOOKUP($AP301,Programma!$F$3:$U$1101,16,0),"")</f>
        <v>1j</v>
      </c>
      <c r="BF301" s="448" t="str">
        <f>_xlfn.IFNA(VLOOKUP($AP301,Programma!$F$3:$V$1101,17,0),"")</f>
        <v>_</v>
      </c>
      <c r="BG301" s="448" t="str">
        <f>_xlfn.IFNA(VLOOKUP($AP301,Programma!$F$3:$W$1101,18,0),"")</f>
        <v>_</v>
      </c>
      <c r="BH301" s="448" t="str">
        <f>_xlfn.IFNA(VLOOKUP($AP301,Programma!$F$3:$X$1101,19,0),"")</f>
        <v>_</v>
      </c>
      <c r="BI301" s="448" t="str">
        <f>_xlfn.IFNA(VLOOKUP($AP301,Programma!$F$3:$Y$1101,20,0),"")</f>
        <v>_</v>
      </c>
      <c r="BJ301" s="449"/>
      <c r="BK301" s="447" t="str">
        <f>IF(Ruimtestaat[[#This Row],[Frequentie weekend]]="","",_xlfn.CONCAT(Ruimtestaat[[#This Row],[Ruimte code]],"-",Ruimtestaat[[#This Row],[Frequentie weekend]]," ",Ruimtestaat[[#This Row],[Vloer code]]))</f>
        <v/>
      </c>
      <c r="BL301" s="448" t="str">
        <f>_xlfn.IFNA(VLOOKUP($BK301,Programma!$F$3:$G$1101,2,0),"")</f>
        <v/>
      </c>
      <c r="BM301" s="448" t="str">
        <f>_xlfn.IFNA(VLOOKUP($BK301,Programma!$F$3:$H$1101,3,0),"")</f>
        <v/>
      </c>
      <c r="BN301" s="448" t="str">
        <f>_xlfn.IFNA(VLOOKUP($BK301,Programma!$F$3:$I$1101,4,0),"")</f>
        <v/>
      </c>
      <c r="BO301" s="448" t="str">
        <f>_xlfn.IFNA(VLOOKUP($BK301,Programma!$F$3:$J$1101,5,0),"")</f>
        <v/>
      </c>
      <c r="BP301" s="448" t="str">
        <f>_xlfn.IFNA(VLOOKUP($BK301,Programma!$F$3:$K$1101,6,0),"")</f>
        <v/>
      </c>
      <c r="BQ301" s="448" t="str">
        <f>_xlfn.IFNA(VLOOKUP($BK301,Programma!$F$3:$L$1101,7,0),"")</f>
        <v/>
      </c>
      <c r="BR301" s="448" t="str">
        <f>_xlfn.IFNA(VLOOKUP($BK301,Programma!$F$3:$M$1101,8,0),"")</f>
        <v/>
      </c>
      <c r="BS301" s="448" t="str">
        <f>_xlfn.IFNA(VLOOKUP($BK301,Programma!$F$3:$N$1101,9,0),"")</f>
        <v/>
      </c>
      <c r="BT301" s="448" t="str">
        <f>_xlfn.IFNA(VLOOKUP($BK301,Programma!$F$3:$O$1101,10,0),"")</f>
        <v/>
      </c>
      <c r="BU301" s="448" t="str">
        <f>_xlfn.IFNA(VLOOKUP($BK301,Programma!$F$3:$P$1101,11,0),"")</f>
        <v/>
      </c>
      <c r="BV301" s="448" t="str">
        <f>_xlfn.IFNA(VLOOKUP($BK301,Programma!$F$3:$Q$1101,12,0),"")</f>
        <v/>
      </c>
      <c r="BW301" s="448" t="str">
        <f>_xlfn.IFNA(VLOOKUP($BK301,Programma!$F$3:$R$1101,13,0),"")</f>
        <v/>
      </c>
      <c r="BX301" s="448" t="str">
        <f>_xlfn.IFNA(VLOOKUP($BK301,Programma!$F$3:$S$1101,14,0),"")</f>
        <v/>
      </c>
      <c r="BY301" s="448" t="str">
        <f>_xlfn.IFNA(VLOOKUP($BK301,Programma!$F$3:$T$1101,15,0),"")</f>
        <v/>
      </c>
      <c r="BZ301" s="448" t="str">
        <f>_xlfn.IFNA(VLOOKUP($BK301,Programma!$F$3:$U$1101,16,0),"")</f>
        <v/>
      </c>
      <c r="CA301" s="448" t="str">
        <f>_xlfn.IFNA(VLOOKUP($BK301,Programma!$F$3:$V$1101,17,0),"")</f>
        <v/>
      </c>
      <c r="CB301" s="448" t="str">
        <f>_xlfn.IFNA(VLOOKUP($BK301,Programma!$F$3:$W$1101,18,0),"")</f>
        <v/>
      </c>
      <c r="CC301" s="448" t="str">
        <f>_xlfn.IFNA(VLOOKUP($BK301,Programma!$F$3:$X$1101,19,0),"")</f>
        <v/>
      </c>
      <c r="CD301" s="448" t="str">
        <f>_xlfn.IFNA(VLOOKUP($BK301,Programma!$F$3:$Y$1101,20,0),"")</f>
        <v/>
      </c>
      <c r="CE301" s="327"/>
      <c r="CF301" s="327"/>
      <c r="CG301" s="327"/>
      <c r="CH301" s="327"/>
      <c r="CI301" s="327"/>
      <c r="CJ301" s="327"/>
      <c r="CK301" s="327"/>
      <c r="CL301" s="327"/>
      <c r="CM301" s="327"/>
      <c r="CN301" s="327"/>
      <c r="CO301" s="327"/>
      <c r="CP301" s="327"/>
      <c r="CQ301" s="327"/>
      <c r="CR301" s="327"/>
      <c r="CS301" s="327"/>
      <c r="CT301" s="327"/>
      <c r="CU301" s="327"/>
      <c r="CV301" s="327"/>
      <c r="CW301" s="327"/>
      <c r="CX301" s="327"/>
      <c r="CY301" s="327"/>
      <c r="CZ301" s="327"/>
      <c r="DA301" s="327"/>
      <c r="DB301" s="327"/>
      <c r="DC301" s="327"/>
      <c r="DD301" s="327"/>
      <c r="DE301" s="327"/>
      <c r="DF301" s="327"/>
      <c r="DG301" s="327"/>
      <c r="DH301" s="327"/>
      <c r="DI301" s="327"/>
      <c r="DJ301" s="327"/>
      <c r="DK301" s="327"/>
      <c r="DL301" s="327"/>
      <c r="DM301" s="327"/>
      <c r="DN301" s="327"/>
      <c r="DO301" s="327"/>
      <c r="DP301" s="327"/>
      <c r="DQ301" s="327"/>
      <c r="DR301" s="327"/>
      <c r="DS301" s="327"/>
      <c r="DT301" s="327"/>
      <c r="DU301" s="327"/>
      <c r="DV301" s="327"/>
      <c r="DW301" s="327"/>
      <c r="DX301" s="327"/>
      <c r="DY301" s="327"/>
      <c r="DZ301" s="327"/>
      <c r="EA301" s="327"/>
      <c r="EB301" s="327"/>
      <c r="EC301" s="327"/>
      <c r="ED301" s="327"/>
      <c r="EE301" s="327"/>
      <c r="EF301" s="327"/>
      <c r="EG301" s="327"/>
      <c r="EH301" s="327"/>
      <c r="EI301" s="327"/>
      <c r="EJ301" s="327"/>
      <c r="EK301" s="327"/>
      <c r="EL301" s="327"/>
      <c r="EM301" s="327"/>
      <c r="EN301" s="327"/>
      <c r="EO301" s="327"/>
      <c r="EP301" s="327"/>
      <c r="EQ301" s="327"/>
      <c r="ER301" s="327"/>
      <c r="ES301" s="327"/>
      <c r="ET301" s="327"/>
      <c r="EU301" s="327"/>
      <c r="EV301" s="327"/>
      <c r="EW301" s="327"/>
      <c r="EX301" s="327"/>
      <c r="EY301" s="327"/>
      <c r="EZ301" s="327"/>
      <c r="FA301" s="327"/>
      <c r="FB301" s="327"/>
      <c r="FC301" s="327"/>
      <c r="FD301" s="327"/>
      <c r="FE301" s="327"/>
      <c r="FF301" s="327"/>
      <c r="FG301" s="327"/>
      <c r="FH301" s="327"/>
      <c r="FI301" s="327"/>
      <c r="FJ301" s="327"/>
      <c r="FK301" s="327"/>
      <c r="FL301" s="327"/>
      <c r="FM301" s="327"/>
      <c r="FN301" s="327"/>
      <c r="FO301" s="327"/>
      <c r="FP301" s="327"/>
      <c r="FQ301" s="327"/>
      <c r="FR301" s="327"/>
      <c r="FS301" s="327"/>
      <c r="FT301" s="327"/>
      <c r="FU301" s="327"/>
      <c r="FV301" s="327"/>
      <c r="FW301" s="327"/>
      <c r="FX301" s="327"/>
      <c r="FY301" s="327"/>
      <c r="FZ301" s="327"/>
      <c r="GA301" s="327"/>
      <c r="GB301" s="327"/>
      <c r="GC301" s="327"/>
      <c r="GD301" s="327"/>
      <c r="GE301" s="327"/>
      <c r="GF301" s="327"/>
      <c r="GG301" s="327"/>
      <c r="GH301" s="327"/>
      <c r="GI301" s="327"/>
      <c r="GJ301" s="327"/>
      <c r="GK301" s="327"/>
      <c r="GL301" s="327"/>
      <c r="GM301" s="327"/>
      <c r="GN301" s="327"/>
      <c r="GO301" s="327"/>
      <c r="GP301" s="327"/>
      <c r="GQ301" s="327"/>
      <c r="GR301" s="327"/>
      <c r="GS301" s="327"/>
      <c r="GT301" s="327"/>
      <c r="GU301" s="327"/>
      <c r="GV301" s="327"/>
      <c r="GW301" s="327"/>
      <c r="GX301" s="327"/>
      <c r="GY301" s="327"/>
      <c r="GZ301" s="327"/>
      <c r="HA301" s="327"/>
      <c r="HB301" s="327"/>
      <c r="HC301" s="327"/>
      <c r="HD301" s="327"/>
      <c r="HE301" s="327"/>
      <c r="HF301" s="327"/>
      <c r="HG301" s="327"/>
      <c r="HH301" s="327"/>
      <c r="HI301" s="327"/>
      <c r="HJ301" s="327"/>
      <c r="HK301" s="327"/>
      <c r="HL301" s="327"/>
      <c r="HM301" s="327"/>
      <c r="HN301" s="327"/>
      <c r="HO301" s="327"/>
      <c r="HP301" s="327"/>
      <c r="HQ301" s="327"/>
      <c r="HR301" s="327"/>
      <c r="HS301" s="327"/>
    </row>
    <row r="302" spans="1:227" ht="15" customHeight="1">
      <c r="A302" s="330">
        <v>13</v>
      </c>
      <c r="B302" s="435" t="str">
        <f>VLOOKUP(Ruimtestaat[[#This Row],[Code]],Locaties[[Code]:[Locatie]],2,FALSE)</f>
        <v>IKC Florence Nightingale</v>
      </c>
      <c r="C302" s="435" t="str">
        <f>VLOOKUP(Ruimtestaat[[#This Row],[Code]],Locaties[[#All],[Code]:[Adres]],4,FALSE)</f>
        <v>Zanzibarplein 90</v>
      </c>
      <c r="D302" s="435" t="str">
        <f>VLOOKUP(Ruimtestaat[[#This Row],[Code]],Locaties[[#All],[Code]:[Postcode]],5,FALSE)</f>
        <v>2721 GE</v>
      </c>
      <c r="E302" s="435" t="str">
        <f>VLOOKUP(Ruimtestaat[[#This Row],[Code]],Locaties[#All],6,FALSE)</f>
        <v>Zoetermeer</v>
      </c>
      <c r="F302" s="450"/>
      <c r="G302" s="330" t="s">
        <v>1678</v>
      </c>
      <c r="H302" s="330" t="s">
        <v>1693</v>
      </c>
      <c r="I302" s="450" t="s">
        <v>121</v>
      </c>
      <c r="J302" s="330">
        <v>15</v>
      </c>
      <c r="K302" s="450" t="str">
        <f>VLOOKUP(Ruimtestaat[[#This Row],[Ruimte code]],Ruimtegroepen[[#All],[Code]:[Ruimte omschrijving]],2,FALSE)</f>
        <v>Keuken/pantry</v>
      </c>
      <c r="L302" s="330" t="s">
        <v>101</v>
      </c>
      <c r="M302" s="437" t="s">
        <v>1816</v>
      </c>
      <c r="N302" s="439">
        <v>10</v>
      </c>
      <c r="O302" s="439"/>
      <c r="P302" s="439"/>
      <c r="Q302" s="439"/>
      <c r="R302" s="440" t="str">
        <f>VLOOKUP(Ruimtestaat[[#This Row],[Ruimte code]],Ruimtegroepen[],4,FALSE)</f>
        <v>Ve</v>
      </c>
      <c r="S302" s="434">
        <v>41</v>
      </c>
      <c r="T302" s="434" t="s">
        <v>2</v>
      </c>
      <c r="U302" s="434">
        <f>IF(S302&gt;0,IF(RIGHT(Ruimtestaat[[#This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02" s="434">
        <f>IF(U302&gt;0,VLOOKUP($J302,Ruimtegroepen[],3,FALSE)*VLOOKUP($L302,Vloersoorten[],3,FALSE)*VLOOKUP($T302,Frequenties[],3,FALSE)*VLOOKUP($A302,Locaties[],3,FALSE),0)</f>
        <v>0</v>
      </c>
      <c r="W302" s="434">
        <f>Ruimtestaat[[#This Row],[Uitvoeringen werkdagen]]*Ruimtestaat[[#This Row],[Oppervlak (netto)]]</f>
        <v>2050</v>
      </c>
      <c r="X302" s="441">
        <f>IF(V302&gt;0,Ruimtestaat[[#This Row],[Prest. (m2 /jaar) werkdagen]]/Ruimtestaat[[#This Row],[Norm (m2/uur) werkdagen]],0)</f>
        <v>0</v>
      </c>
      <c r="Y302" s="442">
        <f>Ruimtestaat[[#This Row],[Uitvoeringen werkdagen]]*Ruimtestaat[[#This Row],[Gedeeltelijk]]</f>
        <v>0</v>
      </c>
      <c r="Z302" s="443" t="e">
        <f>IF(U302&gt;0,Ruimtestaat[[#This Row],[Prest. (m2 / jaar) werkdagen gedeeld]]/Ruimtestaat[[#This Row],[Norm (m2/uur) werkdagen]],0)</f>
        <v>#DIV/0!</v>
      </c>
      <c r="AA302" s="441" t="e">
        <f>Ruimtestaat[[#This Row],[uren / jaar werkdagen gedeeld]]*Tariefsopbouw!$E$35</f>
        <v>#DIV/0!</v>
      </c>
      <c r="AB302" s="441">
        <f>Ruimtestaat[[#This Row],[Uitvoeringen werkdagen]]*Ruimtestaat[[#This Row],[BSO]]</f>
        <v>0</v>
      </c>
      <c r="AC302" s="443" t="e">
        <f>IF(U302&gt;0,Ruimtestaat[[#This Row],[Prest. (m2 / jaar) werkdagen BSO]]/Ruimtestaat[[#This Row],[Norm (m2/uur) werkdagen]],0)</f>
        <v>#DIV/0!</v>
      </c>
      <c r="AD302" s="443" t="e">
        <f>Ruimtestaat[[#This Row],[uren / jaar werkdagen BSO]]*Tariefsopbouw!$E$35</f>
        <v>#DIV/0!</v>
      </c>
      <c r="AE302" s="444">
        <f>Ruimtestaat[[#This Row],[uren / jaar werkdagen]]*Tariefsopbouw!$E$35</f>
        <v>0</v>
      </c>
      <c r="AF302" s="434"/>
      <c r="AG302" s="434">
        <f>IF(Ruimtestaat[[#This Row],[Frequentie weekend]]&gt;0,VALUE(LEFT(AF302,1))*S302,0)</f>
        <v>0</v>
      </c>
      <c r="AH302" s="445">
        <f>IF($AG302&gt;0,VLOOKUP($J302,Ruimtegroepen[],3,FALSE)*VLOOKUP($L302,Vloersoorten[],3,FALSE)*VLOOKUP($AF302,Frequenties[],3,FALSE)*VLOOKUP(Ruimtestaat[[#This Row],[Code]],Locaties[],3,FALSE),0)</f>
        <v>0</v>
      </c>
      <c r="AI302" s="445">
        <f>Ruimtestaat[[#This Row],[Uitvoeringen weekend]]*Ruimtestaat[[#This Row],[Oppervlak (netto)]]</f>
        <v>0</v>
      </c>
      <c r="AJ302" s="445">
        <f>IF(AH302&gt;0,Ruimtestaat[[#This Row],[Prest. (m2 /jaar) weekend]]/Ruimtestaat[[#This Row],[Norm (m2/uur) weekend]],0)</f>
        <v>0</v>
      </c>
      <c r="AK302" s="444">
        <f>Ruimtestaat[[#This Row],[uren / jaar weekend]]*Tariefsopbouw!$D$40</f>
        <v>0</v>
      </c>
      <c r="AL302" s="441">
        <f>Ruimtestaat[[#This Row],[Prest. (m2 /jaar) weekend]]+Ruimtestaat[[#This Row],[Prest. (m2 /jaar) werkdagen]]</f>
        <v>2050</v>
      </c>
      <c r="AM302" s="441">
        <f>Ruimtestaat[[#This Row],[uren / jaar weekend]]+Ruimtestaat[[#This Row],[uren / jaar werkdagen]]</f>
        <v>0</v>
      </c>
      <c r="AN302" s="446">
        <f>Ruimtestaat[[#This Row],[kosten / jaar weekend]]+Ruimtestaat[[#This Row],[kosten / jaar werkdagen]]</f>
        <v>0</v>
      </c>
      <c r="AO302" s="446"/>
      <c r="AP302" s="447" t="str">
        <f>IF(Ruimtestaat[[#This Row],[Frequentie werkdagen]]="","",_xlfn.CONCAT(Ruimtestaat[[#This Row],[Ruimte code]],"-",Ruimtestaat[[#This Row],[Frequentie werkdagen]]," ",Ruimtestaat[[#This Row],[Vloer code]]))</f>
        <v>15-5w S</v>
      </c>
      <c r="AQ302" s="448" t="str">
        <f>_xlfn.IFNA(VLOOKUP($AP302,Programma!$F$3:$G$1101,2,0),"")</f>
        <v>_</v>
      </c>
      <c r="AR302" s="448" t="str">
        <f>_xlfn.IFNA(VLOOKUP($AP302,Programma!$F$3:$H$1101,3,0),"")</f>
        <v>_</v>
      </c>
      <c r="AS302" s="448" t="str">
        <f>_xlfn.IFNA(VLOOKUP($AP302,Programma!$F$3:$I$1101,4,0),"")</f>
        <v>5w</v>
      </c>
      <c r="AT302" s="448" t="str">
        <f>_xlfn.IFNA(VLOOKUP($AP302,Programma!$F$3:$J$1101,5,0),"")</f>
        <v>_</v>
      </c>
      <c r="AU302" s="448" t="str">
        <f>_xlfn.IFNA(VLOOKUP($AP302,Programma!$F$3:$K$1101,6,0),"")</f>
        <v>5w</v>
      </c>
      <c r="AV302" s="448" t="str">
        <f>_xlfn.IFNA(VLOOKUP($AP302,Programma!$F$3:$L$1101,7,0),"")</f>
        <v>_</v>
      </c>
      <c r="AW302" s="448" t="str">
        <f>_xlfn.IFNA(VLOOKUP($AP302,Programma!$F$3:$M$1101,8,0),"")</f>
        <v>_</v>
      </c>
      <c r="AX302" s="448" t="str">
        <f>_xlfn.IFNA(VLOOKUP($AP302,Programma!$F$3:$N$1101,9,0),"")</f>
        <v>_</v>
      </c>
      <c r="AY302" s="448" t="str">
        <f>_xlfn.IFNA(VLOOKUP($AP302,Programma!$F$3:$O$1101,10,0),"")</f>
        <v>5w</v>
      </c>
      <c r="AZ302" s="448" t="str">
        <f>_xlfn.IFNA(VLOOKUP($AP302,Programma!$F$3:$P$1101,11,0),"")</f>
        <v>5w</v>
      </c>
      <c r="BA302" s="448" t="str">
        <f>_xlfn.IFNA(VLOOKUP($AP302,Programma!$F$3:$Q$1101,12,0),"")</f>
        <v>1w</v>
      </c>
      <c r="BB302" s="448" t="str">
        <f>_xlfn.IFNA(VLOOKUP($AP302,Programma!$F$3:$R$1101,13,0),"")</f>
        <v>1w</v>
      </c>
      <c r="BC302" s="448" t="str">
        <f>_xlfn.IFNA(VLOOKUP($AP302,Programma!$F$3:$S$1101,14,0),"")</f>
        <v>1m</v>
      </c>
      <c r="BD302" s="448" t="str">
        <f>_xlfn.IFNA(VLOOKUP($AP302,Programma!$F$3:$T$1101,15,0),"")</f>
        <v>2j</v>
      </c>
      <c r="BE302" s="448" t="str">
        <f>_xlfn.IFNA(VLOOKUP($AP302,Programma!$F$3:$U$1101,16,0),"")</f>
        <v>1j</v>
      </c>
      <c r="BF302" s="448" t="str">
        <f>_xlfn.IFNA(VLOOKUP($AP302,Programma!$F$3:$V$1101,17,0),"")</f>
        <v>_</v>
      </c>
      <c r="BG302" s="448" t="str">
        <f>_xlfn.IFNA(VLOOKUP($AP302,Programma!$F$3:$W$1101,18,0),"")</f>
        <v>_</v>
      </c>
      <c r="BH302" s="448" t="str">
        <f>_xlfn.IFNA(VLOOKUP($AP302,Programma!$F$3:$X$1101,19,0),"")</f>
        <v>_</v>
      </c>
      <c r="BI302" s="448" t="str">
        <f>_xlfn.IFNA(VLOOKUP($AP302,Programma!$F$3:$Y$1101,20,0),"")</f>
        <v>_</v>
      </c>
      <c r="BJ302" s="449"/>
      <c r="BK302" s="447" t="str">
        <f>IF(Ruimtestaat[[#This Row],[Frequentie weekend]]="","",_xlfn.CONCAT(Ruimtestaat[[#This Row],[Ruimte code]],"-",Ruimtestaat[[#This Row],[Frequentie weekend]]," ",Ruimtestaat[[#This Row],[Vloer code]]))</f>
        <v/>
      </c>
      <c r="BL302" s="448" t="str">
        <f>_xlfn.IFNA(VLOOKUP($BK302,Programma!$F$3:$G$1101,2,0),"")</f>
        <v/>
      </c>
      <c r="BM302" s="448" t="str">
        <f>_xlfn.IFNA(VLOOKUP($BK302,Programma!$F$3:$H$1101,3,0),"")</f>
        <v/>
      </c>
      <c r="BN302" s="448" t="str">
        <f>_xlfn.IFNA(VLOOKUP($BK302,Programma!$F$3:$I$1101,4,0),"")</f>
        <v/>
      </c>
      <c r="BO302" s="448" t="str">
        <f>_xlfn.IFNA(VLOOKUP($BK302,Programma!$F$3:$J$1101,5,0),"")</f>
        <v/>
      </c>
      <c r="BP302" s="448" t="str">
        <f>_xlfn.IFNA(VLOOKUP($BK302,Programma!$F$3:$K$1101,6,0),"")</f>
        <v/>
      </c>
      <c r="BQ302" s="448" t="str">
        <f>_xlfn.IFNA(VLOOKUP($BK302,Programma!$F$3:$L$1101,7,0),"")</f>
        <v/>
      </c>
      <c r="BR302" s="448" t="str">
        <f>_xlfn.IFNA(VLOOKUP($BK302,Programma!$F$3:$M$1101,8,0),"")</f>
        <v/>
      </c>
      <c r="BS302" s="448" t="str">
        <f>_xlfn.IFNA(VLOOKUP($BK302,Programma!$F$3:$N$1101,9,0),"")</f>
        <v/>
      </c>
      <c r="BT302" s="448" t="str">
        <f>_xlfn.IFNA(VLOOKUP($BK302,Programma!$F$3:$O$1101,10,0),"")</f>
        <v/>
      </c>
      <c r="BU302" s="448" t="str">
        <f>_xlfn.IFNA(VLOOKUP($BK302,Programma!$F$3:$P$1101,11,0),"")</f>
        <v/>
      </c>
      <c r="BV302" s="448" t="str">
        <f>_xlfn.IFNA(VLOOKUP($BK302,Programma!$F$3:$Q$1101,12,0),"")</f>
        <v/>
      </c>
      <c r="BW302" s="448" t="str">
        <f>_xlfn.IFNA(VLOOKUP($BK302,Programma!$F$3:$R$1101,13,0),"")</f>
        <v/>
      </c>
      <c r="BX302" s="448" t="str">
        <f>_xlfn.IFNA(VLOOKUP($BK302,Programma!$F$3:$S$1101,14,0),"")</f>
        <v/>
      </c>
      <c r="BY302" s="448" t="str">
        <f>_xlfn.IFNA(VLOOKUP($BK302,Programma!$F$3:$T$1101,15,0),"")</f>
        <v/>
      </c>
      <c r="BZ302" s="448" t="str">
        <f>_xlfn.IFNA(VLOOKUP($BK302,Programma!$F$3:$U$1101,16,0),"")</f>
        <v/>
      </c>
      <c r="CA302" s="448" t="str">
        <f>_xlfn.IFNA(VLOOKUP($BK302,Programma!$F$3:$V$1101,17,0),"")</f>
        <v/>
      </c>
      <c r="CB302" s="448" t="str">
        <f>_xlfn.IFNA(VLOOKUP($BK302,Programma!$F$3:$W$1101,18,0),"")</f>
        <v/>
      </c>
      <c r="CC302" s="448" t="str">
        <f>_xlfn.IFNA(VLOOKUP($BK302,Programma!$F$3:$X$1101,19,0),"")</f>
        <v/>
      </c>
      <c r="CD302" s="448" t="str">
        <f>_xlfn.IFNA(VLOOKUP($BK302,Programma!$F$3:$Y$1101,20,0),"")</f>
        <v/>
      </c>
      <c r="CE302" s="327"/>
      <c r="CF302" s="327"/>
      <c r="CG302" s="327"/>
      <c r="CH302" s="327"/>
      <c r="CI302" s="327"/>
      <c r="CJ302" s="327"/>
      <c r="CK302" s="327"/>
      <c r="CL302" s="327"/>
      <c r="CM302" s="327"/>
      <c r="CN302" s="327"/>
      <c r="CO302" s="327"/>
      <c r="CP302" s="327"/>
      <c r="CQ302" s="327"/>
      <c r="CR302" s="327"/>
      <c r="CS302" s="327"/>
      <c r="CT302" s="327"/>
      <c r="CU302" s="327"/>
      <c r="CV302" s="327"/>
      <c r="CW302" s="327"/>
      <c r="CX302" s="327"/>
      <c r="CY302" s="327"/>
      <c r="CZ302" s="327"/>
      <c r="DA302" s="327"/>
      <c r="DB302" s="327"/>
      <c r="DC302" s="327"/>
      <c r="DD302" s="327"/>
      <c r="DE302" s="327"/>
      <c r="DF302" s="327"/>
      <c r="DG302" s="327"/>
      <c r="DH302" s="327"/>
      <c r="DI302" s="327"/>
      <c r="DJ302" s="327"/>
      <c r="DK302" s="327"/>
      <c r="DL302" s="327"/>
      <c r="DM302" s="327"/>
      <c r="DN302" s="327"/>
      <c r="DO302" s="327"/>
      <c r="DP302" s="327"/>
      <c r="DQ302" s="327"/>
      <c r="DR302" s="327"/>
      <c r="DS302" s="327"/>
      <c r="DT302" s="327"/>
      <c r="DU302" s="327"/>
      <c r="DV302" s="327"/>
      <c r="DW302" s="327"/>
      <c r="DX302" s="327"/>
      <c r="DY302" s="327"/>
      <c r="DZ302" s="327"/>
      <c r="EA302" s="327"/>
      <c r="EB302" s="327"/>
      <c r="EC302" s="327"/>
      <c r="ED302" s="327"/>
      <c r="EE302" s="327"/>
      <c r="EF302" s="327"/>
      <c r="EG302" s="327"/>
      <c r="EH302" s="327"/>
      <c r="EI302" s="327"/>
      <c r="EJ302" s="327"/>
      <c r="EK302" s="327"/>
      <c r="EL302" s="327"/>
      <c r="EM302" s="327"/>
      <c r="EN302" s="327"/>
      <c r="EO302" s="327"/>
      <c r="EP302" s="327"/>
      <c r="EQ302" s="327"/>
      <c r="ER302" s="327"/>
      <c r="ES302" s="327"/>
      <c r="ET302" s="327"/>
      <c r="EU302" s="327"/>
      <c r="EV302" s="327"/>
      <c r="EW302" s="327"/>
      <c r="EX302" s="327"/>
      <c r="EY302" s="327"/>
      <c r="EZ302" s="327"/>
      <c r="FA302" s="327"/>
      <c r="FB302" s="327"/>
      <c r="FC302" s="327"/>
      <c r="FD302" s="327"/>
      <c r="FE302" s="327"/>
      <c r="FF302" s="327"/>
      <c r="FG302" s="327"/>
      <c r="FH302" s="327"/>
      <c r="FI302" s="327"/>
      <c r="FJ302" s="327"/>
      <c r="FK302" s="327"/>
      <c r="FL302" s="327"/>
      <c r="FM302" s="327"/>
      <c r="FN302" s="327"/>
      <c r="FO302" s="327"/>
      <c r="FP302" s="327"/>
      <c r="FQ302" s="327"/>
      <c r="FR302" s="327"/>
      <c r="FS302" s="327"/>
      <c r="FT302" s="327"/>
      <c r="FU302" s="327"/>
      <c r="FV302" s="327"/>
      <c r="FW302" s="327"/>
      <c r="FX302" s="327"/>
      <c r="FY302" s="327"/>
      <c r="FZ302" s="327"/>
      <c r="GA302" s="327"/>
      <c r="GB302" s="327"/>
      <c r="GC302" s="327"/>
      <c r="GD302" s="327"/>
      <c r="GE302" s="327"/>
      <c r="GF302" s="327"/>
      <c r="GG302" s="327"/>
      <c r="GH302" s="327"/>
      <c r="GI302" s="327"/>
      <c r="GJ302" s="327"/>
      <c r="GK302" s="327"/>
      <c r="GL302" s="327"/>
      <c r="GM302" s="327"/>
      <c r="GN302" s="327"/>
      <c r="GO302" s="327"/>
      <c r="GP302" s="327"/>
      <c r="GQ302" s="327"/>
      <c r="GR302" s="327"/>
      <c r="GS302" s="327"/>
      <c r="GT302" s="327"/>
      <c r="GU302" s="327"/>
      <c r="GV302" s="327"/>
      <c r="GW302" s="327"/>
      <c r="GX302" s="327"/>
      <c r="GY302" s="327"/>
      <c r="GZ302" s="327"/>
      <c r="HA302" s="327"/>
      <c r="HB302" s="327"/>
      <c r="HC302" s="327"/>
      <c r="HD302" s="327"/>
      <c r="HE302" s="327"/>
      <c r="HF302" s="327"/>
      <c r="HG302" s="327"/>
      <c r="HH302" s="327"/>
      <c r="HI302" s="327"/>
      <c r="HJ302" s="327"/>
      <c r="HK302" s="327"/>
      <c r="HL302" s="327"/>
      <c r="HM302" s="327"/>
      <c r="HN302" s="327"/>
      <c r="HO302" s="327"/>
      <c r="HP302" s="327"/>
      <c r="HQ302" s="327"/>
      <c r="HR302" s="327"/>
      <c r="HS302" s="327"/>
    </row>
    <row r="303" spans="1:227" ht="15" customHeight="1">
      <c r="A303" s="330">
        <v>13</v>
      </c>
      <c r="B303" s="435" t="str">
        <f>VLOOKUP(Ruimtestaat[[#This Row],[Code]],Locaties[[Code]:[Locatie]],2,FALSE)</f>
        <v>IKC Florence Nightingale</v>
      </c>
      <c r="C303" s="435" t="str">
        <f>VLOOKUP(Ruimtestaat[[#This Row],[Code]],Locaties[[#All],[Code]:[Adres]],4,FALSE)</f>
        <v>Zanzibarplein 90</v>
      </c>
      <c r="D303" s="435" t="str">
        <f>VLOOKUP(Ruimtestaat[[#This Row],[Code]],Locaties[[#All],[Code]:[Postcode]],5,FALSE)</f>
        <v>2721 GE</v>
      </c>
      <c r="E303" s="435" t="str">
        <f>VLOOKUP(Ruimtestaat[[#This Row],[Code]],Locaties[#All],6,FALSE)</f>
        <v>Zoetermeer</v>
      </c>
      <c r="F303" s="450"/>
      <c r="G303" s="330" t="s">
        <v>1678</v>
      </c>
      <c r="H303" s="330" t="s">
        <v>1699</v>
      </c>
      <c r="I303" s="450" t="s">
        <v>1673</v>
      </c>
      <c r="J303" s="330">
        <v>5</v>
      </c>
      <c r="K303" s="450" t="str">
        <f>VLOOKUP(Ruimtestaat[[#This Row],[Ruimte code]],Ruimtegroepen[[#All],[Code]:[Ruimte omschrijving]],2,FALSE)</f>
        <v>Sanitair</v>
      </c>
      <c r="L303" s="330" t="s">
        <v>101</v>
      </c>
      <c r="M303" s="437" t="s">
        <v>1816</v>
      </c>
      <c r="N303" s="439">
        <v>48</v>
      </c>
      <c r="O303" s="439"/>
      <c r="P303" s="439"/>
      <c r="Q303" s="439"/>
      <c r="R303" s="440" t="str">
        <f>VLOOKUP(Ruimtestaat[[#This Row],[Ruimte code]],Ruimtegroepen[],4,FALSE)</f>
        <v>Sa</v>
      </c>
      <c r="S303" s="434">
        <v>41</v>
      </c>
      <c r="T303" s="434" t="s">
        <v>2</v>
      </c>
      <c r="U303" s="434">
        <f>IF(S303&gt;0,IF(RIGHT(Ruimtestaat[[#This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03" s="434">
        <f>IF(U303&gt;0,VLOOKUP($J303,Ruimtegroepen[],3,FALSE)*VLOOKUP($L303,Vloersoorten[],3,FALSE)*VLOOKUP($T303,Frequenties[],3,FALSE)*VLOOKUP($A303,Locaties[],3,FALSE),0)</f>
        <v>0</v>
      </c>
      <c r="W303" s="434">
        <f>Ruimtestaat[[#This Row],[Uitvoeringen werkdagen]]*Ruimtestaat[[#This Row],[Oppervlak (netto)]]</f>
        <v>9840</v>
      </c>
      <c r="X303" s="441">
        <f>IF(V303&gt;0,Ruimtestaat[[#This Row],[Prest. (m2 /jaar) werkdagen]]/Ruimtestaat[[#This Row],[Norm (m2/uur) werkdagen]],0)</f>
        <v>0</v>
      </c>
      <c r="Y303" s="442">
        <f>Ruimtestaat[[#This Row],[Uitvoeringen werkdagen]]*Ruimtestaat[[#This Row],[Gedeeltelijk]]</f>
        <v>0</v>
      </c>
      <c r="Z303" s="443" t="e">
        <f>IF(U303&gt;0,Ruimtestaat[[#This Row],[Prest. (m2 / jaar) werkdagen gedeeld]]/Ruimtestaat[[#This Row],[Norm (m2/uur) werkdagen]],0)</f>
        <v>#DIV/0!</v>
      </c>
      <c r="AA303" s="441" t="e">
        <f>Ruimtestaat[[#This Row],[uren / jaar werkdagen gedeeld]]*Tariefsopbouw!$E$35</f>
        <v>#DIV/0!</v>
      </c>
      <c r="AB303" s="441">
        <f>Ruimtestaat[[#This Row],[Uitvoeringen werkdagen]]*Ruimtestaat[[#This Row],[BSO]]</f>
        <v>0</v>
      </c>
      <c r="AC303" s="443" t="e">
        <f>IF(U303&gt;0,Ruimtestaat[[#This Row],[Prest. (m2 / jaar) werkdagen BSO]]/Ruimtestaat[[#This Row],[Norm (m2/uur) werkdagen]],0)</f>
        <v>#DIV/0!</v>
      </c>
      <c r="AD303" s="443" t="e">
        <f>Ruimtestaat[[#This Row],[uren / jaar werkdagen BSO]]*Tariefsopbouw!$E$35</f>
        <v>#DIV/0!</v>
      </c>
      <c r="AE303" s="444">
        <f>Ruimtestaat[[#This Row],[uren / jaar werkdagen]]*Tariefsopbouw!$E$35</f>
        <v>0</v>
      </c>
      <c r="AF303" s="434"/>
      <c r="AG303" s="434">
        <f>IF(Ruimtestaat[[#This Row],[Frequentie weekend]]&gt;0,VALUE(LEFT(AF303,1))*S303,0)</f>
        <v>0</v>
      </c>
      <c r="AH303" s="445">
        <f>IF($AG303&gt;0,VLOOKUP($J303,Ruimtegroepen[],3,FALSE)*VLOOKUP($L303,Vloersoorten[],3,FALSE)*VLOOKUP($AF303,Frequenties[],3,FALSE)*VLOOKUP(Ruimtestaat[[#This Row],[Code]],Locaties[],3,FALSE),0)</f>
        <v>0</v>
      </c>
      <c r="AI303" s="445">
        <f>Ruimtestaat[[#This Row],[Uitvoeringen weekend]]*Ruimtestaat[[#This Row],[Oppervlak (netto)]]</f>
        <v>0</v>
      </c>
      <c r="AJ303" s="445">
        <f>IF(AH303&gt;0,Ruimtestaat[[#This Row],[Prest. (m2 /jaar) weekend]]/Ruimtestaat[[#This Row],[Norm (m2/uur) weekend]],0)</f>
        <v>0</v>
      </c>
      <c r="AK303" s="444">
        <f>Ruimtestaat[[#This Row],[uren / jaar weekend]]*Tariefsopbouw!$D$40</f>
        <v>0</v>
      </c>
      <c r="AL303" s="441">
        <f>Ruimtestaat[[#This Row],[Prest. (m2 /jaar) weekend]]+Ruimtestaat[[#This Row],[Prest. (m2 /jaar) werkdagen]]</f>
        <v>9840</v>
      </c>
      <c r="AM303" s="441">
        <f>Ruimtestaat[[#This Row],[uren / jaar weekend]]+Ruimtestaat[[#This Row],[uren / jaar werkdagen]]</f>
        <v>0</v>
      </c>
      <c r="AN303" s="446">
        <f>Ruimtestaat[[#This Row],[kosten / jaar weekend]]+Ruimtestaat[[#This Row],[kosten / jaar werkdagen]]</f>
        <v>0</v>
      </c>
      <c r="AO303" s="446"/>
      <c r="AP303" s="447" t="str">
        <f>IF(Ruimtestaat[[#This Row],[Frequentie werkdagen]]="","",_xlfn.CONCAT(Ruimtestaat[[#This Row],[Ruimte code]],"-",Ruimtestaat[[#This Row],[Frequentie werkdagen]]," ",Ruimtestaat[[#This Row],[Vloer code]]))</f>
        <v>5-5w S</v>
      </c>
      <c r="AQ303" s="448" t="str">
        <f>_xlfn.IFNA(VLOOKUP($AP303,Programma!$F$3:$G$1101,2,0),"")</f>
        <v>_</v>
      </c>
      <c r="AR303" s="448" t="str">
        <f>_xlfn.IFNA(VLOOKUP($AP303,Programma!$F$3:$H$1101,3,0),"")</f>
        <v>_</v>
      </c>
      <c r="AS303" s="448" t="str">
        <f>_xlfn.IFNA(VLOOKUP($AP303,Programma!$F$3:$I$1101,4,0),"")</f>
        <v>_</v>
      </c>
      <c r="AT303" s="448" t="str">
        <f>_xlfn.IFNA(VLOOKUP($AP303,Programma!$F$3:$J$1101,5,0),"")</f>
        <v>4w</v>
      </c>
      <c r="AU303" s="448" t="str">
        <f>_xlfn.IFNA(VLOOKUP($AP303,Programma!$F$3:$K$1101,6,0),"")</f>
        <v>1w</v>
      </c>
      <c r="AV303" s="448" t="str">
        <f>_xlfn.IFNA(VLOOKUP($AP303,Programma!$F$3:$L$1101,7,0),"")</f>
        <v>_</v>
      </c>
      <c r="AW303" s="448" t="str">
        <f>_xlfn.IFNA(VLOOKUP($AP303,Programma!$F$3:$M$1101,8,0),"")</f>
        <v>_</v>
      </c>
      <c r="AX303" s="448" t="str">
        <f>_xlfn.IFNA(VLOOKUP($AP303,Programma!$F$3:$N$1101,9,0),"")</f>
        <v>_</v>
      </c>
      <c r="AY303" s="448" t="str">
        <f>_xlfn.IFNA(VLOOKUP($AP303,Programma!$F$3:$O$1101,10,0),"")</f>
        <v>_</v>
      </c>
      <c r="AZ303" s="448" t="str">
        <f>_xlfn.IFNA(VLOOKUP($AP303,Programma!$F$3:$P$1101,11,0),"")</f>
        <v>_</v>
      </c>
      <c r="BA303" s="448" t="str">
        <f>_xlfn.IFNA(VLOOKUP($AP303,Programma!$F$3:$Q$1101,12,0),"")</f>
        <v>_</v>
      </c>
      <c r="BB303" s="448" t="str">
        <f>_xlfn.IFNA(VLOOKUP($AP303,Programma!$F$3:$R$1101,13,0),"")</f>
        <v>_</v>
      </c>
      <c r="BC303" s="448" t="str">
        <f>_xlfn.IFNA(VLOOKUP($AP303,Programma!$F$3:$S$1101,14,0),"")</f>
        <v>_</v>
      </c>
      <c r="BD303" s="448" t="str">
        <f>_xlfn.IFNA(VLOOKUP($AP303,Programma!$F$3:$T$1101,15,0),"")</f>
        <v>_</v>
      </c>
      <c r="BE303" s="448" t="str">
        <f>_xlfn.IFNA(VLOOKUP($AP303,Programma!$F$3:$U$1101,16,0),"")</f>
        <v>_</v>
      </c>
      <c r="BF303" s="448" t="str">
        <f>_xlfn.IFNA(VLOOKUP($AP303,Programma!$F$3:$V$1101,17,0),"")</f>
        <v>_</v>
      </c>
      <c r="BG303" s="448" t="str">
        <f>_xlfn.IFNA(VLOOKUP($AP303,Programma!$F$3:$W$1101,18,0),"")</f>
        <v>4w</v>
      </c>
      <c r="BH303" s="448" t="str">
        <f>_xlfn.IFNA(VLOOKUP($AP303,Programma!$F$3:$X$1101,19,0),"")</f>
        <v>1w</v>
      </c>
      <c r="BI303" s="448" t="str">
        <f>_xlfn.IFNA(VLOOKUP($AP303,Programma!$F$3:$Y$1101,20,0),"")</f>
        <v>_</v>
      </c>
      <c r="BJ303" s="449"/>
      <c r="BK303" s="447" t="str">
        <f>IF(Ruimtestaat[[#This Row],[Frequentie weekend]]="","",_xlfn.CONCAT(Ruimtestaat[[#This Row],[Ruimte code]],"-",Ruimtestaat[[#This Row],[Frequentie weekend]]," ",Ruimtestaat[[#This Row],[Vloer code]]))</f>
        <v/>
      </c>
      <c r="BL303" s="448" t="str">
        <f>_xlfn.IFNA(VLOOKUP($BK303,Programma!$F$3:$G$1101,2,0),"")</f>
        <v/>
      </c>
      <c r="BM303" s="448" t="str">
        <f>_xlfn.IFNA(VLOOKUP($BK303,Programma!$F$3:$H$1101,3,0),"")</f>
        <v/>
      </c>
      <c r="BN303" s="448" t="str">
        <f>_xlfn.IFNA(VLOOKUP($BK303,Programma!$F$3:$I$1101,4,0),"")</f>
        <v/>
      </c>
      <c r="BO303" s="448" t="str">
        <f>_xlfn.IFNA(VLOOKUP($BK303,Programma!$F$3:$J$1101,5,0),"")</f>
        <v/>
      </c>
      <c r="BP303" s="448" t="str">
        <f>_xlfn.IFNA(VLOOKUP($BK303,Programma!$F$3:$K$1101,6,0),"")</f>
        <v/>
      </c>
      <c r="BQ303" s="448" t="str">
        <f>_xlfn.IFNA(VLOOKUP($BK303,Programma!$F$3:$L$1101,7,0),"")</f>
        <v/>
      </c>
      <c r="BR303" s="448" t="str">
        <f>_xlfn.IFNA(VLOOKUP($BK303,Programma!$F$3:$M$1101,8,0),"")</f>
        <v/>
      </c>
      <c r="BS303" s="448" t="str">
        <f>_xlfn.IFNA(VLOOKUP($BK303,Programma!$F$3:$N$1101,9,0),"")</f>
        <v/>
      </c>
      <c r="BT303" s="448" t="str">
        <f>_xlfn.IFNA(VLOOKUP($BK303,Programma!$F$3:$O$1101,10,0),"")</f>
        <v/>
      </c>
      <c r="BU303" s="448" t="str">
        <f>_xlfn.IFNA(VLOOKUP($BK303,Programma!$F$3:$P$1101,11,0),"")</f>
        <v/>
      </c>
      <c r="BV303" s="448" t="str">
        <f>_xlfn.IFNA(VLOOKUP($BK303,Programma!$F$3:$Q$1101,12,0),"")</f>
        <v/>
      </c>
      <c r="BW303" s="448" t="str">
        <f>_xlfn.IFNA(VLOOKUP($BK303,Programma!$F$3:$R$1101,13,0),"")</f>
        <v/>
      </c>
      <c r="BX303" s="448" t="str">
        <f>_xlfn.IFNA(VLOOKUP($BK303,Programma!$F$3:$S$1101,14,0),"")</f>
        <v/>
      </c>
      <c r="BY303" s="448" t="str">
        <f>_xlfn.IFNA(VLOOKUP($BK303,Programma!$F$3:$T$1101,15,0),"")</f>
        <v/>
      </c>
      <c r="BZ303" s="448" t="str">
        <f>_xlfn.IFNA(VLOOKUP($BK303,Programma!$F$3:$U$1101,16,0),"")</f>
        <v/>
      </c>
      <c r="CA303" s="448" t="str">
        <f>_xlfn.IFNA(VLOOKUP($BK303,Programma!$F$3:$V$1101,17,0),"")</f>
        <v/>
      </c>
      <c r="CB303" s="448" t="str">
        <f>_xlfn.IFNA(VLOOKUP($BK303,Programma!$F$3:$W$1101,18,0),"")</f>
        <v/>
      </c>
      <c r="CC303" s="448" t="str">
        <f>_xlfn.IFNA(VLOOKUP($BK303,Programma!$F$3:$X$1101,19,0),"")</f>
        <v/>
      </c>
      <c r="CD303" s="448" t="str">
        <f>_xlfn.IFNA(VLOOKUP($BK303,Programma!$F$3:$Y$1101,20,0),"")</f>
        <v/>
      </c>
      <c r="CE303" s="327"/>
      <c r="CF303" s="327"/>
      <c r="CG303" s="327"/>
      <c r="CH303" s="327"/>
      <c r="CI303" s="327"/>
      <c r="CJ303" s="327"/>
      <c r="CK303" s="327"/>
      <c r="CL303" s="327"/>
      <c r="CM303" s="327"/>
      <c r="CN303" s="327"/>
      <c r="CO303" s="327"/>
      <c r="CP303" s="327"/>
      <c r="CQ303" s="327"/>
      <c r="CR303" s="327"/>
      <c r="CS303" s="327"/>
      <c r="CT303" s="327"/>
      <c r="CU303" s="327"/>
      <c r="CV303" s="327"/>
      <c r="CW303" s="327"/>
      <c r="CX303" s="327"/>
      <c r="CY303" s="327"/>
      <c r="CZ303" s="327"/>
      <c r="DA303" s="327"/>
      <c r="DB303" s="327"/>
      <c r="DC303" s="327"/>
      <c r="DD303" s="327"/>
      <c r="DE303" s="327"/>
      <c r="DF303" s="327"/>
      <c r="DG303" s="327"/>
      <c r="DH303" s="327"/>
      <c r="DI303" s="327"/>
      <c r="DJ303" s="327"/>
      <c r="DK303" s="327"/>
      <c r="DL303" s="327"/>
      <c r="DM303" s="327"/>
      <c r="DN303" s="327"/>
      <c r="DO303" s="327"/>
      <c r="DP303" s="327"/>
      <c r="DQ303" s="327"/>
      <c r="DR303" s="327"/>
      <c r="DS303" s="327"/>
      <c r="DT303" s="327"/>
      <c r="DU303" s="327"/>
      <c r="DV303" s="327"/>
      <c r="DW303" s="327"/>
      <c r="DX303" s="327"/>
      <c r="DY303" s="327"/>
      <c r="DZ303" s="327"/>
      <c r="EA303" s="327"/>
      <c r="EB303" s="327"/>
      <c r="EC303" s="327"/>
      <c r="ED303" s="327"/>
      <c r="EE303" s="327"/>
      <c r="EF303" s="327"/>
      <c r="EG303" s="327"/>
      <c r="EH303" s="327"/>
      <c r="EI303" s="327"/>
      <c r="EJ303" s="327"/>
      <c r="EK303" s="327"/>
      <c r="EL303" s="327"/>
      <c r="EM303" s="327"/>
      <c r="EN303" s="327"/>
      <c r="EO303" s="327"/>
      <c r="EP303" s="327"/>
      <c r="EQ303" s="327"/>
      <c r="ER303" s="327"/>
      <c r="ES303" s="327"/>
      <c r="ET303" s="327"/>
      <c r="EU303" s="327"/>
      <c r="EV303" s="327"/>
      <c r="EW303" s="327"/>
      <c r="EX303" s="327"/>
      <c r="EY303" s="327"/>
      <c r="EZ303" s="327"/>
      <c r="FA303" s="327"/>
      <c r="FB303" s="327"/>
      <c r="FC303" s="327"/>
      <c r="FD303" s="327"/>
      <c r="FE303" s="327"/>
      <c r="FF303" s="327"/>
      <c r="FG303" s="327"/>
      <c r="FH303" s="327"/>
      <c r="FI303" s="327"/>
      <c r="FJ303" s="327"/>
      <c r="FK303" s="327"/>
      <c r="FL303" s="327"/>
      <c r="FM303" s="327"/>
      <c r="FN303" s="327"/>
      <c r="FO303" s="327"/>
      <c r="FP303" s="327"/>
      <c r="FQ303" s="327"/>
      <c r="FR303" s="327"/>
      <c r="FS303" s="327"/>
      <c r="FT303" s="327"/>
      <c r="FU303" s="327"/>
      <c r="FV303" s="327"/>
      <c r="FW303" s="327"/>
      <c r="FX303" s="327"/>
      <c r="FY303" s="327"/>
      <c r="FZ303" s="327"/>
      <c r="GA303" s="327"/>
      <c r="GB303" s="327"/>
      <c r="GC303" s="327"/>
      <c r="GD303" s="327"/>
      <c r="GE303" s="327"/>
      <c r="GF303" s="327"/>
      <c r="GG303" s="327"/>
      <c r="GH303" s="327"/>
      <c r="GI303" s="327"/>
      <c r="GJ303" s="327"/>
      <c r="GK303" s="327"/>
      <c r="GL303" s="327"/>
      <c r="GM303" s="327"/>
      <c r="GN303" s="327"/>
      <c r="GO303" s="327"/>
      <c r="GP303" s="327"/>
      <c r="GQ303" s="327"/>
      <c r="GR303" s="327"/>
      <c r="GS303" s="327"/>
      <c r="GT303" s="327"/>
      <c r="GU303" s="327"/>
      <c r="GV303" s="327"/>
      <c r="GW303" s="327"/>
      <c r="GX303" s="327"/>
      <c r="GY303" s="327"/>
      <c r="GZ303" s="327"/>
      <c r="HA303" s="327"/>
      <c r="HB303" s="327"/>
      <c r="HC303" s="327"/>
      <c r="HD303" s="327"/>
      <c r="HE303" s="327"/>
      <c r="HF303" s="327"/>
      <c r="HG303" s="327"/>
      <c r="HH303" s="327"/>
      <c r="HI303" s="327"/>
      <c r="HJ303" s="327"/>
      <c r="HK303" s="327"/>
      <c r="HL303" s="327"/>
      <c r="HM303" s="327"/>
      <c r="HN303" s="327"/>
      <c r="HO303" s="327"/>
      <c r="HP303" s="327"/>
      <c r="HQ303" s="327"/>
      <c r="HR303" s="327"/>
      <c r="HS303" s="327"/>
    </row>
    <row r="304" spans="1:227" ht="15" customHeight="1">
      <c r="A304" s="330">
        <v>13</v>
      </c>
      <c r="B304" s="435" t="str">
        <f>VLOOKUP(Ruimtestaat[[#This Row],[Code]],Locaties[[Code]:[Locatie]],2,FALSE)</f>
        <v>IKC Florence Nightingale</v>
      </c>
      <c r="C304" s="435" t="str">
        <f>VLOOKUP(Ruimtestaat[[#This Row],[Code]],Locaties[[#All],[Code]:[Adres]],4,FALSE)</f>
        <v>Zanzibarplein 90</v>
      </c>
      <c r="D304" s="435" t="str">
        <f>VLOOKUP(Ruimtestaat[[#This Row],[Code]],Locaties[[#All],[Code]:[Postcode]],5,FALSE)</f>
        <v>2721 GE</v>
      </c>
      <c r="E304" s="435" t="str">
        <f>VLOOKUP(Ruimtestaat[[#This Row],[Code]],Locaties[#All],6,FALSE)</f>
        <v>Zoetermeer</v>
      </c>
      <c r="F304" s="450"/>
      <c r="G304" s="330" t="s">
        <v>1678</v>
      </c>
      <c r="H304" s="330" t="s">
        <v>1762</v>
      </c>
      <c r="I304" s="450" t="s">
        <v>1675</v>
      </c>
      <c r="J304" s="330">
        <v>6</v>
      </c>
      <c r="K304" s="450" t="str">
        <f>VLOOKUP(Ruimtestaat[[#This Row],[Ruimte code]],Ruimtegroepen[[#All],[Code]:[Ruimte omschrijving]],2,FALSE)</f>
        <v>Gangen/hallen</v>
      </c>
      <c r="L304" s="330" t="s">
        <v>99</v>
      </c>
      <c r="M304" s="437" t="s">
        <v>1758</v>
      </c>
      <c r="N304" s="439">
        <v>14</v>
      </c>
      <c r="O304" s="439"/>
      <c r="P304" s="439"/>
      <c r="Q304" s="439"/>
      <c r="R304" s="440" t="str">
        <f>VLOOKUP(Ruimtestaat[[#This Row],[Ruimte code]],Ruimtegroepen[],4,FALSE)</f>
        <v>Ve</v>
      </c>
      <c r="S304" s="434">
        <v>41</v>
      </c>
      <c r="T304" s="434" t="s">
        <v>2</v>
      </c>
      <c r="U304" s="434">
        <f>IF(S304&gt;0,IF(RIGHT(Ruimtestaat[[#This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04" s="434">
        <f>IF(U304&gt;0,VLOOKUP($J304,Ruimtegroepen[],3,FALSE)*VLOOKUP($L304,Vloersoorten[],3,FALSE)*VLOOKUP($T304,Frequenties[],3,FALSE)*VLOOKUP($A304,Locaties[],3,FALSE),0)</f>
        <v>0</v>
      </c>
      <c r="W304" s="434">
        <f>Ruimtestaat[[#This Row],[Uitvoeringen werkdagen]]*Ruimtestaat[[#This Row],[Oppervlak (netto)]]</f>
        <v>2870</v>
      </c>
      <c r="X304" s="441">
        <f>IF(V304&gt;0,Ruimtestaat[[#This Row],[Prest. (m2 /jaar) werkdagen]]/Ruimtestaat[[#This Row],[Norm (m2/uur) werkdagen]],0)</f>
        <v>0</v>
      </c>
      <c r="Y304" s="442">
        <f>Ruimtestaat[[#This Row],[Uitvoeringen werkdagen]]*Ruimtestaat[[#This Row],[Gedeeltelijk]]</f>
        <v>0</v>
      </c>
      <c r="Z304" s="443" t="e">
        <f>IF(U304&gt;0,Ruimtestaat[[#This Row],[Prest. (m2 / jaar) werkdagen gedeeld]]/Ruimtestaat[[#This Row],[Norm (m2/uur) werkdagen]],0)</f>
        <v>#DIV/0!</v>
      </c>
      <c r="AA304" s="441" t="e">
        <f>Ruimtestaat[[#This Row],[uren / jaar werkdagen gedeeld]]*Tariefsopbouw!$E$35</f>
        <v>#DIV/0!</v>
      </c>
      <c r="AB304" s="441">
        <f>Ruimtestaat[[#This Row],[Uitvoeringen werkdagen]]*Ruimtestaat[[#This Row],[BSO]]</f>
        <v>0</v>
      </c>
      <c r="AC304" s="443" t="e">
        <f>IF(U304&gt;0,Ruimtestaat[[#This Row],[Prest. (m2 / jaar) werkdagen BSO]]/Ruimtestaat[[#This Row],[Norm (m2/uur) werkdagen]],0)</f>
        <v>#DIV/0!</v>
      </c>
      <c r="AD304" s="443" t="e">
        <f>Ruimtestaat[[#This Row],[uren / jaar werkdagen BSO]]*Tariefsopbouw!$E$35</f>
        <v>#DIV/0!</v>
      </c>
      <c r="AE304" s="444">
        <f>Ruimtestaat[[#This Row],[uren / jaar werkdagen]]*Tariefsopbouw!$E$35</f>
        <v>0</v>
      </c>
      <c r="AF304" s="434"/>
      <c r="AG304" s="434">
        <f>IF(Ruimtestaat[[#This Row],[Frequentie weekend]]&gt;0,VALUE(LEFT(AF304,1))*S304,0)</f>
        <v>0</v>
      </c>
      <c r="AH304" s="445">
        <f>IF($AG304&gt;0,VLOOKUP($J304,Ruimtegroepen[],3,FALSE)*VLOOKUP($L304,Vloersoorten[],3,FALSE)*VLOOKUP($AF304,Frequenties[],3,FALSE)*VLOOKUP(Ruimtestaat[[#This Row],[Code]],Locaties[],3,FALSE),0)</f>
        <v>0</v>
      </c>
      <c r="AI304" s="445">
        <f>Ruimtestaat[[#This Row],[Uitvoeringen weekend]]*Ruimtestaat[[#This Row],[Oppervlak (netto)]]</f>
        <v>0</v>
      </c>
      <c r="AJ304" s="445">
        <f>IF(AH304&gt;0,Ruimtestaat[[#This Row],[Prest. (m2 /jaar) weekend]]/Ruimtestaat[[#This Row],[Norm (m2/uur) weekend]],0)</f>
        <v>0</v>
      </c>
      <c r="AK304" s="444">
        <f>Ruimtestaat[[#This Row],[uren / jaar weekend]]*Tariefsopbouw!$D$40</f>
        <v>0</v>
      </c>
      <c r="AL304" s="441">
        <f>Ruimtestaat[[#This Row],[Prest. (m2 /jaar) weekend]]+Ruimtestaat[[#This Row],[Prest. (m2 /jaar) werkdagen]]</f>
        <v>2870</v>
      </c>
      <c r="AM304" s="441">
        <f>Ruimtestaat[[#This Row],[uren / jaar weekend]]+Ruimtestaat[[#This Row],[uren / jaar werkdagen]]</f>
        <v>0</v>
      </c>
      <c r="AN304" s="446">
        <f>Ruimtestaat[[#This Row],[kosten / jaar weekend]]+Ruimtestaat[[#This Row],[kosten / jaar werkdagen]]</f>
        <v>0</v>
      </c>
      <c r="AO304" s="446"/>
      <c r="AP304" s="447" t="str">
        <f>IF(Ruimtestaat[[#This Row],[Frequentie werkdagen]]="","",_xlfn.CONCAT(Ruimtestaat[[#This Row],[Ruimte code]],"-",Ruimtestaat[[#This Row],[Frequentie werkdagen]]," ",Ruimtestaat[[#This Row],[Vloer code]]))</f>
        <v>6-5w T</v>
      </c>
      <c r="AQ304" s="448" t="str">
        <f>_xlfn.IFNA(VLOOKUP($AP304,Programma!$F$3:$G$1101,2,0),"")</f>
        <v>_</v>
      </c>
      <c r="AR304" s="448" t="str">
        <f>_xlfn.IFNA(VLOOKUP($AP304,Programma!$F$3:$H$1101,3,0),"")</f>
        <v>5w</v>
      </c>
      <c r="AS304" s="448" t="str">
        <f>_xlfn.IFNA(VLOOKUP($AP304,Programma!$F$3:$I$1101,4,0),"")</f>
        <v>_</v>
      </c>
      <c r="AT304" s="448" t="str">
        <f>_xlfn.IFNA(VLOOKUP($AP304,Programma!$F$3:$J$1101,5,0),"")</f>
        <v>_</v>
      </c>
      <c r="AU304" s="448" t="str">
        <f>_xlfn.IFNA(VLOOKUP($AP304,Programma!$F$3:$K$1101,6,0),"")</f>
        <v>_</v>
      </c>
      <c r="AV304" s="448" t="str">
        <f>_xlfn.IFNA(VLOOKUP($AP304,Programma!$F$3:$L$1101,7,0),"")</f>
        <v>_</v>
      </c>
      <c r="AW304" s="448" t="str">
        <f>_xlfn.IFNA(VLOOKUP($AP304,Programma!$F$3:$M$1101,8,0),"")</f>
        <v>_</v>
      </c>
      <c r="AX304" s="448" t="str">
        <f>_xlfn.IFNA(VLOOKUP($AP304,Programma!$F$3:$N$1101,9,0),"")</f>
        <v>_</v>
      </c>
      <c r="AY304" s="448" t="str">
        <f>_xlfn.IFNA(VLOOKUP($AP304,Programma!$F$3:$O$1101,10,0),"")</f>
        <v>5w</v>
      </c>
      <c r="AZ304" s="448" t="str">
        <f>_xlfn.IFNA(VLOOKUP($AP304,Programma!$F$3:$P$1101,11,0),"")</f>
        <v>5w</v>
      </c>
      <c r="BA304" s="448" t="str">
        <f>_xlfn.IFNA(VLOOKUP($AP304,Programma!$F$3:$Q$1101,12,0),"")</f>
        <v>1w</v>
      </c>
      <c r="BB304" s="448" t="str">
        <f>_xlfn.IFNA(VLOOKUP($AP304,Programma!$F$3:$R$1101,13,0),"")</f>
        <v>1w</v>
      </c>
      <c r="BC304" s="448" t="str">
        <f>_xlfn.IFNA(VLOOKUP($AP304,Programma!$F$3:$S$1101,14,0),"")</f>
        <v>1m</v>
      </c>
      <c r="BD304" s="448" t="str">
        <f>_xlfn.IFNA(VLOOKUP($AP304,Programma!$F$3:$T$1101,15,0),"")</f>
        <v>2j</v>
      </c>
      <c r="BE304" s="448" t="str">
        <f>_xlfn.IFNA(VLOOKUP($AP304,Programma!$F$3:$U$1101,16,0),"")</f>
        <v>1j</v>
      </c>
      <c r="BF304" s="448" t="str">
        <f>_xlfn.IFNA(VLOOKUP($AP304,Programma!$F$3:$V$1101,17,0),"")</f>
        <v>_</v>
      </c>
      <c r="BG304" s="448" t="str">
        <f>_xlfn.IFNA(VLOOKUP($AP304,Programma!$F$3:$W$1101,18,0),"")</f>
        <v>_</v>
      </c>
      <c r="BH304" s="448" t="str">
        <f>_xlfn.IFNA(VLOOKUP($AP304,Programma!$F$3:$X$1101,19,0),"")</f>
        <v>_</v>
      </c>
      <c r="BI304" s="448" t="str">
        <f>_xlfn.IFNA(VLOOKUP($AP304,Programma!$F$3:$Y$1101,20,0),"")</f>
        <v>_</v>
      </c>
      <c r="BJ304" s="449"/>
      <c r="BK304" s="447" t="str">
        <f>IF(Ruimtestaat[[#This Row],[Frequentie weekend]]="","",_xlfn.CONCAT(Ruimtestaat[[#This Row],[Ruimte code]],"-",Ruimtestaat[[#This Row],[Frequentie weekend]]," ",Ruimtestaat[[#This Row],[Vloer code]]))</f>
        <v/>
      </c>
      <c r="BL304" s="448" t="str">
        <f>_xlfn.IFNA(VLOOKUP($BK304,Programma!$F$3:$G$1101,2,0),"")</f>
        <v/>
      </c>
      <c r="BM304" s="448" t="str">
        <f>_xlfn.IFNA(VLOOKUP($BK304,Programma!$F$3:$H$1101,3,0),"")</f>
        <v/>
      </c>
      <c r="BN304" s="448" t="str">
        <f>_xlfn.IFNA(VLOOKUP($BK304,Programma!$F$3:$I$1101,4,0),"")</f>
        <v/>
      </c>
      <c r="BO304" s="448" t="str">
        <f>_xlfn.IFNA(VLOOKUP($BK304,Programma!$F$3:$J$1101,5,0),"")</f>
        <v/>
      </c>
      <c r="BP304" s="448" t="str">
        <f>_xlfn.IFNA(VLOOKUP($BK304,Programma!$F$3:$K$1101,6,0),"")</f>
        <v/>
      </c>
      <c r="BQ304" s="448" t="str">
        <f>_xlfn.IFNA(VLOOKUP($BK304,Programma!$F$3:$L$1101,7,0),"")</f>
        <v/>
      </c>
      <c r="BR304" s="448" t="str">
        <f>_xlfn.IFNA(VLOOKUP($BK304,Programma!$F$3:$M$1101,8,0),"")</f>
        <v/>
      </c>
      <c r="BS304" s="448" t="str">
        <f>_xlfn.IFNA(VLOOKUP($BK304,Programma!$F$3:$N$1101,9,0),"")</f>
        <v/>
      </c>
      <c r="BT304" s="448" t="str">
        <f>_xlfn.IFNA(VLOOKUP($BK304,Programma!$F$3:$O$1101,10,0),"")</f>
        <v/>
      </c>
      <c r="BU304" s="448" t="str">
        <f>_xlfn.IFNA(VLOOKUP($BK304,Programma!$F$3:$P$1101,11,0),"")</f>
        <v/>
      </c>
      <c r="BV304" s="448" t="str">
        <f>_xlfn.IFNA(VLOOKUP($BK304,Programma!$F$3:$Q$1101,12,0),"")</f>
        <v/>
      </c>
      <c r="BW304" s="448" t="str">
        <f>_xlfn.IFNA(VLOOKUP($BK304,Programma!$F$3:$R$1101,13,0),"")</f>
        <v/>
      </c>
      <c r="BX304" s="448" t="str">
        <f>_xlfn.IFNA(VLOOKUP($BK304,Programma!$F$3:$S$1101,14,0),"")</f>
        <v/>
      </c>
      <c r="BY304" s="448" t="str">
        <f>_xlfn.IFNA(VLOOKUP($BK304,Programma!$F$3:$T$1101,15,0),"")</f>
        <v/>
      </c>
      <c r="BZ304" s="448" t="str">
        <f>_xlfn.IFNA(VLOOKUP($BK304,Programma!$F$3:$U$1101,16,0),"")</f>
        <v/>
      </c>
      <c r="CA304" s="448" t="str">
        <f>_xlfn.IFNA(VLOOKUP($BK304,Programma!$F$3:$V$1101,17,0),"")</f>
        <v/>
      </c>
      <c r="CB304" s="448" t="str">
        <f>_xlfn.IFNA(VLOOKUP($BK304,Programma!$F$3:$W$1101,18,0),"")</f>
        <v/>
      </c>
      <c r="CC304" s="448" t="str">
        <f>_xlfn.IFNA(VLOOKUP($BK304,Programma!$F$3:$X$1101,19,0),"")</f>
        <v/>
      </c>
      <c r="CD304" s="448" t="str">
        <f>_xlfn.IFNA(VLOOKUP($BK304,Programma!$F$3:$Y$1101,20,0),"")</f>
        <v/>
      </c>
      <c r="CE304" s="327"/>
      <c r="CF304" s="327"/>
      <c r="CG304" s="327"/>
      <c r="CH304" s="327"/>
      <c r="CI304" s="327"/>
      <c r="CJ304" s="327"/>
      <c r="CK304" s="327"/>
      <c r="CL304" s="327"/>
      <c r="CM304" s="327"/>
      <c r="CN304" s="327"/>
      <c r="CO304" s="327"/>
      <c r="CP304" s="327"/>
      <c r="CQ304" s="327"/>
      <c r="CR304" s="327"/>
      <c r="CS304" s="327"/>
      <c r="CT304" s="327"/>
      <c r="CU304" s="327"/>
      <c r="CV304" s="327"/>
      <c r="CW304" s="327"/>
      <c r="CX304" s="327"/>
      <c r="CY304" s="327"/>
      <c r="CZ304" s="327"/>
      <c r="DA304" s="327"/>
      <c r="DB304" s="327"/>
      <c r="DC304" s="327"/>
      <c r="DD304" s="327"/>
      <c r="DE304" s="327"/>
      <c r="DF304" s="327"/>
      <c r="DG304" s="327"/>
      <c r="DH304" s="327"/>
      <c r="DI304" s="327"/>
      <c r="DJ304" s="327"/>
      <c r="DK304" s="327"/>
      <c r="DL304" s="327"/>
      <c r="DM304" s="327"/>
      <c r="DN304" s="327"/>
      <c r="DO304" s="327"/>
      <c r="DP304" s="327"/>
      <c r="DQ304" s="327"/>
      <c r="DR304" s="327"/>
      <c r="DS304" s="327"/>
      <c r="DT304" s="327"/>
      <c r="DU304" s="327"/>
      <c r="DV304" s="327"/>
      <c r="DW304" s="327"/>
      <c r="DX304" s="327"/>
      <c r="DY304" s="327"/>
      <c r="DZ304" s="327"/>
      <c r="EA304" s="327"/>
      <c r="EB304" s="327"/>
      <c r="EC304" s="327"/>
      <c r="ED304" s="327"/>
      <c r="EE304" s="327"/>
      <c r="EF304" s="327"/>
      <c r="EG304" s="327"/>
      <c r="EH304" s="327"/>
      <c r="EI304" s="327"/>
      <c r="EJ304" s="327"/>
      <c r="EK304" s="327"/>
      <c r="EL304" s="327"/>
      <c r="EM304" s="327"/>
      <c r="EN304" s="327"/>
      <c r="EO304" s="327"/>
      <c r="EP304" s="327"/>
      <c r="EQ304" s="327"/>
      <c r="ER304" s="327"/>
      <c r="ES304" s="327"/>
      <c r="ET304" s="327"/>
      <c r="EU304" s="327"/>
      <c r="EV304" s="327"/>
      <c r="EW304" s="327"/>
      <c r="EX304" s="327"/>
      <c r="EY304" s="327"/>
      <c r="EZ304" s="327"/>
      <c r="FA304" s="327"/>
      <c r="FB304" s="327"/>
      <c r="FC304" s="327"/>
      <c r="FD304" s="327"/>
      <c r="FE304" s="327"/>
      <c r="FF304" s="327"/>
      <c r="FG304" s="327"/>
      <c r="FH304" s="327"/>
      <c r="FI304" s="327"/>
      <c r="FJ304" s="327"/>
      <c r="FK304" s="327"/>
      <c r="FL304" s="327"/>
      <c r="FM304" s="327"/>
      <c r="FN304" s="327"/>
      <c r="FO304" s="327"/>
      <c r="FP304" s="327"/>
      <c r="FQ304" s="327"/>
      <c r="FR304" s="327"/>
      <c r="FS304" s="327"/>
      <c r="FT304" s="327"/>
      <c r="FU304" s="327"/>
      <c r="FV304" s="327"/>
      <c r="FW304" s="327"/>
      <c r="FX304" s="327"/>
      <c r="FY304" s="327"/>
      <c r="FZ304" s="327"/>
      <c r="GA304" s="327"/>
      <c r="GB304" s="327"/>
      <c r="GC304" s="327"/>
      <c r="GD304" s="327"/>
      <c r="GE304" s="327"/>
      <c r="GF304" s="327"/>
      <c r="GG304" s="327"/>
      <c r="GH304" s="327"/>
      <c r="GI304" s="327"/>
      <c r="GJ304" s="327"/>
      <c r="GK304" s="327"/>
      <c r="GL304" s="327"/>
      <c r="GM304" s="327"/>
      <c r="GN304" s="327"/>
      <c r="GO304" s="327"/>
      <c r="GP304" s="327"/>
      <c r="GQ304" s="327"/>
      <c r="GR304" s="327"/>
      <c r="GS304" s="327"/>
      <c r="GT304" s="327"/>
      <c r="GU304" s="327"/>
      <c r="GV304" s="327"/>
      <c r="GW304" s="327"/>
      <c r="GX304" s="327"/>
      <c r="GY304" s="327"/>
      <c r="GZ304" s="327"/>
      <c r="HA304" s="327"/>
      <c r="HB304" s="327"/>
      <c r="HC304" s="327"/>
      <c r="HD304" s="327"/>
      <c r="HE304" s="327"/>
      <c r="HF304" s="327"/>
      <c r="HG304" s="327"/>
      <c r="HH304" s="327"/>
      <c r="HI304" s="327"/>
      <c r="HJ304" s="327"/>
      <c r="HK304" s="327"/>
      <c r="HL304" s="327"/>
      <c r="HM304" s="327"/>
      <c r="HN304" s="327"/>
      <c r="HO304" s="327"/>
      <c r="HP304" s="327"/>
      <c r="HQ304" s="327"/>
      <c r="HR304" s="327"/>
      <c r="HS304" s="327"/>
    </row>
    <row r="305" spans="1:227" ht="15" customHeight="1">
      <c r="A305" s="330">
        <v>13</v>
      </c>
      <c r="B305" s="435" t="str">
        <f>VLOOKUP(Ruimtestaat[[#This Row],[Code]],Locaties[[Code]:[Locatie]],2,FALSE)</f>
        <v>IKC Florence Nightingale</v>
      </c>
      <c r="C305" s="435" t="str">
        <f>VLOOKUP(Ruimtestaat[[#This Row],[Code]],Locaties[[#All],[Code]:[Adres]],4,FALSE)</f>
        <v>Zanzibarplein 90</v>
      </c>
      <c r="D305" s="435" t="str">
        <f>VLOOKUP(Ruimtestaat[[#This Row],[Code]],Locaties[[#All],[Code]:[Postcode]],5,FALSE)</f>
        <v>2721 GE</v>
      </c>
      <c r="E305" s="435" t="str">
        <f>VLOOKUP(Ruimtestaat[[#This Row],[Code]],Locaties[#All],6,FALSE)</f>
        <v>Zoetermeer</v>
      </c>
      <c r="F305" s="450"/>
      <c r="G305" s="330" t="s">
        <v>1769</v>
      </c>
      <c r="H305" s="330" t="s">
        <v>1709</v>
      </c>
      <c r="I305" s="450" t="s">
        <v>1675</v>
      </c>
      <c r="J305" s="330">
        <v>6</v>
      </c>
      <c r="K305" s="450" t="str">
        <f>VLOOKUP(Ruimtestaat[[#This Row],[Ruimte code]],Ruimtegroepen[[#All],[Code]:[Ruimte omschrijving]],2,FALSE)</f>
        <v>Gangen/hallen</v>
      </c>
      <c r="L305" s="434" t="s">
        <v>100</v>
      </c>
      <c r="M305" s="437" t="s">
        <v>1759</v>
      </c>
      <c r="N305" s="439">
        <v>162</v>
      </c>
      <c r="O305" s="439"/>
      <c r="P305" s="439"/>
      <c r="Q305" s="439"/>
      <c r="R305" s="440" t="str">
        <f>VLOOKUP(Ruimtestaat[[#This Row],[Ruimte code]],Ruimtegroepen[],4,FALSE)</f>
        <v>Ve</v>
      </c>
      <c r="S305" s="434">
        <v>41</v>
      </c>
      <c r="T305" s="434" t="s">
        <v>2</v>
      </c>
      <c r="U305" s="434">
        <f>IF(S305&gt;0,IF(RIGHT(Ruimtestaat[[#This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05" s="434">
        <f>IF(U305&gt;0,VLOOKUP($J305,Ruimtegroepen[],3,FALSE)*VLOOKUP($L305,Vloersoorten[],3,FALSE)*VLOOKUP($T305,Frequenties[],3,FALSE)*VLOOKUP($A305,Locaties[],3,FALSE),0)</f>
        <v>0</v>
      </c>
      <c r="W305" s="434">
        <f>Ruimtestaat[[#This Row],[Uitvoeringen werkdagen]]*Ruimtestaat[[#This Row],[Oppervlak (netto)]]</f>
        <v>33210</v>
      </c>
      <c r="X305" s="441">
        <f>IF(V305&gt;0,Ruimtestaat[[#This Row],[Prest. (m2 /jaar) werkdagen]]/Ruimtestaat[[#This Row],[Norm (m2/uur) werkdagen]],0)</f>
        <v>0</v>
      </c>
      <c r="Y305" s="442">
        <f>Ruimtestaat[[#This Row],[Uitvoeringen werkdagen]]*Ruimtestaat[[#This Row],[Gedeeltelijk]]</f>
        <v>0</v>
      </c>
      <c r="Z305" s="443" t="e">
        <f>IF(U305&gt;0,Ruimtestaat[[#This Row],[Prest. (m2 / jaar) werkdagen gedeeld]]/Ruimtestaat[[#This Row],[Norm (m2/uur) werkdagen]],0)</f>
        <v>#DIV/0!</v>
      </c>
      <c r="AA305" s="441" t="e">
        <f>Ruimtestaat[[#This Row],[uren / jaar werkdagen gedeeld]]*Tariefsopbouw!$E$35</f>
        <v>#DIV/0!</v>
      </c>
      <c r="AB305" s="441">
        <f>Ruimtestaat[[#This Row],[Uitvoeringen werkdagen]]*Ruimtestaat[[#This Row],[BSO]]</f>
        <v>0</v>
      </c>
      <c r="AC305" s="443" t="e">
        <f>IF(U305&gt;0,Ruimtestaat[[#This Row],[Prest. (m2 / jaar) werkdagen BSO]]/Ruimtestaat[[#This Row],[Norm (m2/uur) werkdagen]],0)</f>
        <v>#DIV/0!</v>
      </c>
      <c r="AD305" s="443" t="e">
        <f>Ruimtestaat[[#This Row],[uren / jaar werkdagen BSO]]*Tariefsopbouw!$E$35</f>
        <v>#DIV/0!</v>
      </c>
      <c r="AE305" s="444">
        <f>Ruimtestaat[[#This Row],[uren / jaar werkdagen]]*Tariefsopbouw!$E$35</f>
        <v>0</v>
      </c>
      <c r="AF305" s="434"/>
      <c r="AG305" s="434">
        <f>IF(Ruimtestaat[[#This Row],[Frequentie weekend]]&gt;0,VALUE(LEFT(AF305,1))*S305,0)</f>
        <v>0</v>
      </c>
      <c r="AH305" s="445">
        <f>IF($AG305&gt;0,VLOOKUP($J305,Ruimtegroepen[],3,FALSE)*VLOOKUP($L305,Vloersoorten[],3,FALSE)*VLOOKUP($AF305,Frequenties[],3,FALSE)*VLOOKUP(Ruimtestaat[[#This Row],[Code]],Locaties[],3,FALSE),0)</f>
        <v>0</v>
      </c>
      <c r="AI305" s="445">
        <f>Ruimtestaat[[#This Row],[Uitvoeringen weekend]]*Ruimtestaat[[#This Row],[Oppervlak (netto)]]</f>
        <v>0</v>
      </c>
      <c r="AJ305" s="445">
        <f>IF(AH305&gt;0,Ruimtestaat[[#This Row],[Prest. (m2 /jaar) weekend]]/Ruimtestaat[[#This Row],[Norm (m2/uur) weekend]],0)</f>
        <v>0</v>
      </c>
      <c r="AK305" s="444">
        <f>Ruimtestaat[[#This Row],[uren / jaar weekend]]*Tariefsopbouw!$D$40</f>
        <v>0</v>
      </c>
      <c r="AL305" s="441">
        <f>Ruimtestaat[[#This Row],[Prest. (m2 /jaar) weekend]]+Ruimtestaat[[#This Row],[Prest. (m2 /jaar) werkdagen]]</f>
        <v>33210</v>
      </c>
      <c r="AM305" s="441">
        <f>Ruimtestaat[[#This Row],[uren / jaar weekend]]+Ruimtestaat[[#This Row],[uren / jaar werkdagen]]</f>
        <v>0</v>
      </c>
      <c r="AN305" s="446">
        <f>Ruimtestaat[[#This Row],[kosten / jaar weekend]]+Ruimtestaat[[#This Row],[kosten / jaar werkdagen]]</f>
        <v>0</v>
      </c>
      <c r="AO305" s="446"/>
      <c r="AP305" s="447" t="str">
        <f>IF(Ruimtestaat[[#This Row],[Frequentie werkdagen]]="","",_xlfn.CONCAT(Ruimtestaat[[#This Row],[Ruimte code]],"-",Ruimtestaat[[#This Row],[Frequentie werkdagen]]," ",Ruimtestaat[[#This Row],[Vloer code]]))</f>
        <v>6-5w L</v>
      </c>
      <c r="AQ305" s="448" t="str">
        <f>_xlfn.IFNA(VLOOKUP($AP305,Programma!$F$3:$G$1101,2,0),"")</f>
        <v>_</v>
      </c>
      <c r="AR305" s="448" t="str">
        <f>_xlfn.IFNA(VLOOKUP($AP305,Programma!$F$3:$H$1101,3,0),"")</f>
        <v>_</v>
      </c>
      <c r="AS305" s="448" t="str">
        <f>_xlfn.IFNA(VLOOKUP($AP305,Programma!$F$3:$I$1101,4,0),"")</f>
        <v>_</v>
      </c>
      <c r="AT305" s="448" t="str">
        <f>_xlfn.IFNA(VLOOKUP($AP305,Programma!$F$3:$J$1101,5,0),"")</f>
        <v>5w</v>
      </c>
      <c r="AU305" s="448" t="str">
        <f>_xlfn.IFNA(VLOOKUP($AP305,Programma!$F$3:$K$1101,6,0),"")</f>
        <v>_</v>
      </c>
      <c r="AV305" s="448" t="str">
        <f>_xlfn.IFNA(VLOOKUP($AP305,Programma!$F$3:$L$1101,7,0),"")</f>
        <v>_</v>
      </c>
      <c r="AW305" s="448" t="str">
        <f>_xlfn.IFNA(VLOOKUP($AP305,Programma!$F$3:$M$1101,8,0),"")</f>
        <v>_</v>
      </c>
      <c r="AX305" s="448" t="str">
        <f>_xlfn.IFNA(VLOOKUP($AP305,Programma!$F$3:$N$1101,9,0),"")</f>
        <v>_</v>
      </c>
      <c r="AY305" s="448" t="str">
        <f>_xlfn.IFNA(VLOOKUP($AP305,Programma!$F$3:$O$1101,10,0),"")</f>
        <v>5w</v>
      </c>
      <c r="AZ305" s="448" t="str">
        <f>_xlfn.IFNA(VLOOKUP($AP305,Programma!$F$3:$P$1101,11,0),"")</f>
        <v>5w</v>
      </c>
      <c r="BA305" s="448" t="str">
        <f>_xlfn.IFNA(VLOOKUP($AP305,Programma!$F$3:$Q$1101,12,0),"")</f>
        <v>1w</v>
      </c>
      <c r="BB305" s="448" t="str">
        <f>_xlfn.IFNA(VLOOKUP($AP305,Programma!$F$3:$R$1101,13,0),"")</f>
        <v>1w</v>
      </c>
      <c r="BC305" s="448" t="str">
        <f>_xlfn.IFNA(VLOOKUP($AP305,Programma!$F$3:$S$1101,14,0),"")</f>
        <v>1m</v>
      </c>
      <c r="BD305" s="448" t="str">
        <f>_xlfn.IFNA(VLOOKUP($AP305,Programma!$F$3:$T$1101,15,0),"")</f>
        <v>2j</v>
      </c>
      <c r="BE305" s="448" t="str">
        <f>_xlfn.IFNA(VLOOKUP($AP305,Programma!$F$3:$U$1101,16,0),"")</f>
        <v>1j</v>
      </c>
      <c r="BF305" s="448" t="str">
        <f>_xlfn.IFNA(VLOOKUP($AP305,Programma!$F$3:$V$1101,17,0),"")</f>
        <v>_</v>
      </c>
      <c r="BG305" s="448" t="str">
        <f>_xlfn.IFNA(VLOOKUP($AP305,Programma!$F$3:$W$1101,18,0),"")</f>
        <v>_</v>
      </c>
      <c r="BH305" s="448" t="str">
        <f>_xlfn.IFNA(VLOOKUP($AP305,Programma!$F$3:$X$1101,19,0),"")</f>
        <v>_</v>
      </c>
      <c r="BI305" s="448" t="str">
        <f>_xlfn.IFNA(VLOOKUP($AP305,Programma!$F$3:$Y$1101,20,0),"")</f>
        <v>_</v>
      </c>
      <c r="BJ305" s="449"/>
      <c r="BK305" s="447" t="str">
        <f>IF(Ruimtestaat[[#This Row],[Frequentie weekend]]="","",_xlfn.CONCAT(Ruimtestaat[[#This Row],[Ruimte code]],"-",Ruimtestaat[[#This Row],[Frequentie weekend]]," ",Ruimtestaat[[#This Row],[Vloer code]]))</f>
        <v/>
      </c>
      <c r="BL305" s="448" t="str">
        <f>_xlfn.IFNA(VLOOKUP($BK305,Programma!$F$3:$G$1101,2,0),"")</f>
        <v/>
      </c>
      <c r="BM305" s="448" t="str">
        <f>_xlfn.IFNA(VLOOKUP($BK305,Programma!$F$3:$H$1101,3,0),"")</f>
        <v/>
      </c>
      <c r="BN305" s="448" t="str">
        <f>_xlfn.IFNA(VLOOKUP($BK305,Programma!$F$3:$I$1101,4,0),"")</f>
        <v/>
      </c>
      <c r="BO305" s="448" t="str">
        <f>_xlfn.IFNA(VLOOKUP($BK305,Programma!$F$3:$J$1101,5,0),"")</f>
        <v/>
      </c>
      <c r="BP305" s="448" t="str">
        <f>_xlfn.IFNA(VLOOKUP($BK305,Programma!$F$3:$K$1101,6,0),"")</f>
        <v/>
      </c>
      <c r="BQ305" s="448" t="str">
        <f>_xlfn.IFNA(VLOOKUP($BK305,Programma!$F$3:$L$1101,7,0),"")</f>
        <v/>
      </c>
      <c r="BR305" s="448" t="str">
        <f>_xlfn.IFNA(VLOOKUP($BK305,Programma!$F$3:$M$1101,8,0),"")</f>
        <v/>
      </c>
      <c r="BS305" s="448" t="str">
        <f>_xlfn.IFNA(VLOOKUP($BK305,Programma!$F$3:$N$1101,9,0),"")</f>
        <v/>
      </c>
      <c r="BT305" s="448" t="str">
        <f>_xlfn.IFNA(VLOOKUP($BK305,Programma!$F$3:$O$1101,10,0),"")</f>
        <v/>
      </c>
      <c r="BU305" s="448" t="str">
        <f>_xlfn.IFNA(VLOOKUP($BK305,Programma!$F$3:$P$1101,11,0),"")</f>
        <v/>
      </c>
      <c r="BV305" s="448" t="str">
        <f>_xlfn.IFNA(VLOOKUP($BK305,Programma!$F$3:$Q$1101,12,0),"")</f>
        <v/>
      </c>
      <c r="BW305" s="448" t="str">
        <f>_xlfn.IFNA(VLOOKUP($BK305,Programma!$F$3:$R$1101,13,0),"")</f>
        <v/>
      </c>
      <c r="BX305" s="448" t="str">
        <f>_xlfn.IFNA(VLOOKUP($BK305,Programma!$F$3:$S$1101,14,0),"")</f>
        <v/>
      </c>
      <c r="BY305" s="448" t="str">
        <f>_xlfn.IFNA(VLOOKUP($BK305,Programma!$F$3:$T$1101,15,0),"")</f>
        <v/>
      </c>
      <c r="BZ305" s="448" t="str">
        <f>_xlfn.IFNA(VLOOKUP($BK305,Programma!$F$3:$U$1101,16,0),"")</f>
        <v/>
      </c>
      <c r="CA305" s="448" t="str">
        <f>_xlfn.IFNA(VLOOKUP($BK305,Programma!$F$3:$V$1101,17,0),"")</f>
        <v/>
      </c>
      <c r="CB305" s="448" t="str">
        <f>_xlfn.IFNA(VLOOKUP($BK305,Programma!$F$3:$W$1101,18,0),"")</f>
        <v/>
      </c>
      <c r="CC305" s="448" t="str">
        <f>_xlfn.IFNA(VLOOKUP($BK305,Programma!$F$3:$X$1101,19,0),"")</f>
        <v/>
      </c>
      <c r="CD305" s="448" t="str">
        <f>_xlfn.IFNA(VLOOKUP($BK305,Programma!$F$3:$Y$1101,20,0),"")</f>
        <v/>
      </c>
      <c r="CE305" s="327"/>
      <c r="CF305" s="327"/>
      <c r="CG305" s="327"/>
      <c r="CH305" s="327"/>
      <c r="CI305" s="327"/>
      <c r="CJ305" s="327"/>
      <c r="CK305" s="327"/>
      <c r="CL305" s="327"/>
      <c r="CM305" s="327"/>
      <c r="CN305" s="327"/>
      <c r="CO305" s="327"/>
      <c r="CP305" s="327"/>
      <c r="CQ305" s="327"/>
      <c r="CR305" s="327"/>
      <c r="CS305" s="327"/>
      <c r="CT305" s="327"/>
      <c r="CU305" s="327"/>
      <c r="CV305" s="327"/>
      <c r="CW305" s="327"/>
      <c r="CX305" s="327"/>
      <c r="CY305" s="327"/>
      <c r="CZ305" s="327"/>
      <c r="DA305" s="327"/>
      <c r="DB305" s="327"/>
      <c r="DC305" s="327"/>
      <c r="DD305" s="327"/>
      <c r="DE305" s="327"/>
      <c r="DF305" s="327"/>
      <c r="DG305" s="327"/>
      <c r="DH305" s="327"/>
      <c r="DI305" s="327"/>
      <c r="DJ305" s="327"/>
      <c r="DK305" s="327"/>
      <c r="DL305" s="327"/>
      <c r="DM305" s="327"/>
      <c r="DN305" s="327"/>
      <c r="DO305" s="327"/>
      <c r="DP305" s="327"/>
      <c r="DQ305" s="327"/>
      <c r="DR305" s="327"/>
      <c r="DS305" s="327"/>
      <c r="DT305" s="327"/>
      <c r="DU305" s="327"/>
      <c r="DV305" s="327"/>
      <c r="DW305" s="327"/>
      <c r="DX305" s="327"/>
      <c r="DY305" s="327"/>
      <c r="DZ305" s="327"/>
      <c r="EA305" s="327"/>
      <c r="EB305" s="327"/>
      <c r="EC305" s="327"/>
      <c r="ED305" s="327"/>
      <c r="EE305" s="327"/>
      <c r="EF305" s="327"/>
      <c r="EG305" s="327"/>
      <c r="EH305" s="327"/>
      <c r="EI305" s="327"/>
      <c r="EJ305" s="327"/>
      <c r="EK305" s="327"/>
      <c r="EL305" s="327"/>
      <c r="EM305" s="327"/>
      <c r="EN305" s="327"/>
      <c r="EO305" s="327"/>
      <c r="EP305" s="327"/>
      <c r="EQ305" s="327"/>
      <c r="ER305" s="327"/>
      <c r="ES305" s="327"/>
      <c r="ET305" s="327"/>
      <c r="EU305" s="327"/>
      <c r="EV305" s="327"/>
      <c r="EW305" s="327"/>
      <c r="EX305" s="327"/>
      <c r="EY305" s="327"/>
      <c r="EZ305" s="327"/>
      <c r="FA305" s="327"/>
      <c r="FB305" s="327"/>
      <c r="FC305" s="327"/>
      <c r="FD305" s="327"/>
      <c r="FE305" s="327"/>
      <c r="FF305" s="327"/>
      <c r="FG305" s="327"/>
      <c r="FH305" s="327"/>
      <c r="FI305" s="327"/>
      <c r="FJ305" s="327"/>
      <c r="FK305" s="327"/>
      <c r="FL305" s="327"/>
      <c r="FM305" s="327"/>
      <c r="FN305" s="327"/>
      <c r="FO305" s="327"/>
      <c r="FP305" s="327"/>
      <c r="FQ305" s="327"/>
      <c r="FR305" s="327"/>
      <c r="FS305" s="327"/>
      <c r="FT305" s="327"/>
      <c r="FU305" s="327"/>
      <c r="FV305" s="327"/>
      <c r="FW305" s="327"/>
      <c r="FX305" s="327"/>
      <c r="FY305" s="327"/>
      <c r="FZ305" s="327"/>
      <c r="GA305" s="327"/>
      <c r="GB305" s="327"/>
      <c r="GC305" s="327"/>
      <c r="GD305" s="327"/>
      <c r="GE305" s="327"/>
      <c r="GF305" s="327"/>
      <c r="GG305" s="327"/>
      <c r="GH305" s="327"/>
      <c r="GI305" s="327"/>
      <c r="GJ305" s="327"/>
      <c r="GK305" s="327"/>
      <c r="GL305" s="327"/>
      <c r="GM305" s="327"/>
      <c r="GN305" s="327"/>
      <c r="GO305" s="327"/>
      <c r="GP305" s="327"/>
      <c r="GQ305" s="327"/>
      <c r="GR305" s="327"/>
      <c r="GS305" s="327"/>
      <c r="GT305" s="327"/>
      <c r="GU305" s="327"/>
      <c r="GV305" s="327"/>
      <c r="GW305" s="327"/>
      <c r="GX305" s="327"/>
      <c r="GY305" s="327"/>
      <c r="GZ305" s="327"/>
      <c r="HA305" s="327"/>
      <c r="HB305" s="327"/>
      <c r="HC305" s="327"/>
      <c r="HD305" s="327"/>
      <c r="HE305" s="327"/>
      <c r="HF305" s="327"/>
      <c r="HG305" s="327"/>
      <c r="HH305" s="327"/>
      <c r="HI305" s="327"/>
      <c r="HJ305" s="327"/>
      <c r="HK305" s="327"/>
      <c r="HL305" s="327"/>
      <c r="HM305" s="327"/>
      <c r="HN305" s="327"/>
      <c r="HO305" s="327"/>
      <c r="HP305" s="327"/>
      <c r="HQ305" s="327"/>
      <c r="HR305" s="327"/>
      <c r="HS305" s="327"/>
    </row>
    <row r="306" spans="1:227" ht="15" customHeight="1">
      <c r="A306" s="330">
        <v>13</v>
      </c>
      <c r="B306" s="435" t="str">
        <f>VLOOKUP(Ruimtestaat[[#This Row],[Code]],Locaties[[Code]:[Locatie]],2,FALSE)</f>
        <v>IKC Florence Nightingale</v>
      </c>
      <c r="C306" s="435" t="str">
        <f>VLOOKUP(Ruimtestaat[[#This Row],[Code]],Locaties[[#All],[Code]:[Adres]],4,FALSE)</f>
        <v>Zanzibarplein 90</v>
      </c>
      <c r="D306" s="435" t="str">
        <f>VLOOKUP(Ruimtestaat[[#This Row],[Code]],Locaties[[#All],[Code]:[Postcode]],5,FALSE)</f>
        <v>2721 GE</v>
      </c>
      <c r="E306" s="435" t="str">
        <f>VLOOKUP(Ruimtestaat[[#This Row],[Code]],Locaties[#All],6,FALSE)</f>
        <v>Zoetermeer</v>
      </c>
      <c r="F306" s="450"/>
      <c r="G306" s="330" t="s">
        <v>1769</v>
      </c>
      <c r="H306" s="330" t="s">
        <v>1711</v>
      </c>
      <c r="I306" s="450" t="s">
        <v>1679</v>
      </c>
      <c r="J306" s="330">
        <v>16</v>
      </c>
      <c r="K306" s="450" t="str">
        <f>VLOOKUP(Ruimtestaat[[#This Row],[Ruimte code]],Ruimtegroepen[[#All],[Code]:[Ruimte omschrijving]],2,FALSE)</f>
        <v>Leslokalen</v>
      </c>
      <c r="L306" s="434" t="s">
        <v>100</v>
      </c>
      <c r="M306" s="437" t="s">
        <v>1759</v>
      </c>
      <c r="N306" s="439">
        <v>55</v>
      </c>
      <c r="O306" s="439"/>
      <c r="P306" s="439"/>
      <c r="Q306" s="439"/>
      <c r="R306" s="440" t="str">
        <f>VLOOKUP(Ruimtestaat[[#This Row],[Ruimte code]],Ruimtegroepen[],4,FALSE)</f>
        <v>Le</v>
      </c>
      <c r="S306" s="434">
        <v>40</v>
      </c>
      <c r="T306" s="434" t="s">
        <v>2</v>
      </c>
      <c r="U306" s="434">
        <f>IF(S306&gt;0,IF(RIGHT(Ruimtestaat[[#This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6" s="434">
        <f>IF(U306&gt;0,VLOOKUP($J306,Ruimtegroepen[],3,FALSE)*VLOOKUP($L306,Vloersoorten[],3,FALSE)*VLOOKUP($T306,Frequenties[],3,FALSE)*VLOOKUP($A306,Locaties[],3,FALSE),0)</f>
        <v>0</v>
      </c>
      <c r="W306" s="434">
        <f>Ruimtestaat[[#This Row],[Uitvoeringen werkdagen]]*Ruimtestaat[[#This Row],[Oppervlak (netto)]]</f>
        <v>11000</v>
      </c>
      <c r="X306" s="441">
        <f>IF(V306&gt;0,Ruimtestaat[[#This Row],[Prest. (m2 /jaar) werkdagen]]/Ruimtestaat[[#This Row],[Norm (m2/uur) werkdagen]],0)</f>
        <v>0</v>
      </c>
      <c r="Y306" s="442">
        <f>Ruimtestaat[[#This Row],[Uitvoeringen werkdagen]]*Ruimtestaat[[#This Row],[Gedeeltelijk]]</f>
        <v>0</v>
      </c>
      <c r="Z306" s="443" t="e">
        <f>IF(U306&gt;0,Ruimtestaat[[#This Row],[Prest. (m2 / jaar) werkdagen gedeeld]]/Ruimtestaat[[#This Row],[Norm (m2/uur) werkdagen]],0)</f>
        <v>#DIV/0!</v>
      </c>
      <c r="AA306" s="441" t="e">
        <f>Ruimtestaat[[#This Row],[uren / jaar werkdagen gedeeld]]*Tariefsopbouw!$E$35</f>
        <v>#DIV/0!</v>
      </c>
      <c r="AB306" s="441">
        <f>Ruimtestaat[[#This Row],[Uitvoeringen werkdagen]]*Ruimtestaat[[#This Row],[BSO]]</f>
        <v>0</v>
      </c>
      <c r="AC306" s="443" t="e">
        <f>IF(U306&gt;0,Ruimtestaat[[#This Row],[Prest. (m2 / jaar) werkdagen BSO]]/Ruimtestaat[[#This Row],[Norm (m2/uur) werkdagen]],0)</f>
        <v>#DIV/0!</v>
      </c>
      <c r="AD306" s="443" t="e">
        <f>Ruimtestaat[[#This Row],[uren / jaar werkdagen BSO]]*Tariefsopbouw!$E$35</f>
        <v>#DIV/0!</v>
      </c>
      <c r="AE306" s="444">
        <f>Ruimtestaat[[#This Row],[uren / jaar werkdagen]]*Tariefsopbouw!$E$35</f>
        <v>0</v>
      </c>
      <c r="AF306" s="434"/>
      <c r="AG306" s="434">
        <f>IF(Ruimtestaat[[#This Row],[Frequentie weekend]]&gt;0,VALUE(LEFT(AF306,1))*S306,0)</f>
        <v>0</v>
      </c>
      <c r="AH306" s="445">
        <f>IF($AG306&gt;0,VLOOKUP($J306,Ruimtegroepen[],3,FALSE)*VLOOKUP($L306,Vloersoorten[],3,FALSE)*VLOOKUP($AF306,Frequenties[],3,FALSE)*VLOOKUP(Ruimtestaat[[#This Row],[Code]],Locaties[],3,FALSE),0)</f>
        <v>0</v>
      </c>
      <c r="AI306" s="445">
        <f>Ruimtestaat[[#This Row],[Uitvoeringen weekend]]*Ruimtestaat[[#This Row],[Oppervlak (netto)]]</f>
        <v>0</v>
      </c>
      <c r="AJ306" s="445">
        <f>IF(AH306&gt;0,Ruimtestaat[[#This Row],[Prest. (m2 /jaar) weekend]]/Ruimtestaat[[#This Row],[Norm (m2/uur) weekend]],0)</f>
        <v>0</v>
      </c>
      <c r="AK306" s="444">
        <f>Ruimtestaat[[#This Row],[uren / jaar weekend]]*Tariefsopbouw!$D$40</f>
        <v>0</v>
      </c>
      <c r="AL306" s="441">
        <f>Ruimtestaat[[#This Row],[Prest. (m2 /jaar) weekend]]+Ruimtestaat[[#This Row],[Prest. (m2 /jaar) werkdagen]]</f>
        <v>11000</v>
      </c>
      <c r="AM306" s="441">
        <f>Ruimtestaat[[#This Row],[uren / jaar weekend]]+Ruimtestaat[[#This Row],[uren / jaar werkdagen]]</f>
        <v>0</v>
      </c>
      <c r="AN306" s="446">
        <f>Ruimtestaat[[#This Row],[kosten / jaar weekend]]+Ruimtestaat[[#This Row],[kosten / jaar werkdagen]]</f>
        <v>0</v>
      </c>
      <c r="AO306" s="446"/>
      <c r="AP306" s="447" t="str">
        <f>IF(Ruimtestaat[[#This Row],[Frequentie werkdagen]]="","",_xlfn.CONCAT(Ruimtestaat[[#This Row],[Ruimte code]],"-",Ruimtestaat[[#This Row],[Frequentie werkdagen]]," ",Ruimtestaat[[#This Row],[Vloer code]]))</f>
        <v>16-5w L</v>
      </c>
      <c r="AQ306" s="448" t="str">
        <f>_xlfn.IFNA(VLOOKUP($AP306,Programma!$F$3:$G$1101,2,0),"")</f>
        <v>_</v>
      </c>
      <c r="AR306" s="448" t="str">
        <f>_xlfn.IFNA(VLOOKUP($AP306,Programma!$F$3:$H$1101,3,0),"")</f>
        <v>_</v>
      </c>
      <c r="AS306" s="448" t="str">
        <f>_xlfn.IFNA(VLOOKUP($AP306,Programma!$F$3:$I$1101,4,0),"")</f>
        <v>4w</v>
      </c>
      <c r="AT306" s="448" t="str">
        <f>_xlfn.IFNA(VLOOKUP($AP306,Programma!$F$3:$J$1101,5,0),"")</f>
        <v>1w</v>
      </c>
      <c r="AU306" s="448" t="str">
        <f>_xlfn.IFNA(VLOOKUP($AP306,Programma!$F$3:$K$1101,6,0),"")</f>
        <v>_</v>
      </c>
      <c r="AV306" s="448" t="str">
        <f>_xlfn.IFNA(VLOOKUP($AP306,Programma!$F$3:$L$1101,7,0),"")</f>
        <v>_</v>
      </c>
      <c r="AW306" s="448" t="str">
        <f>_xlfn.IFNA(VLOOKUP($AP306,Programma!$F$3:$M$1101,8,0),"")</f>
        <v>_</v>
      </c>
      <c r="AX306" s="448" t="str">
        <f>_xlfn.IFNA(VLOOKUP($AP306,Programma!$F$3:$N$1101,9,0),"")</f>
        <v>_</v>
      </c>
      <c r="AY306" s="448" t="str">
        <f>_xlfn.IFNA(VLOOKUP($AP306,Programma!$F$3:$O$1101,10,0),"")</f>
        <v>5w</v>
      </c>
      <c r="AZ306" s="448" t="str">
        <f>_xlfn.IFNA(VLOOKUP($AP306,Programma!$F$3:$P$1101,11,0),"")</f>
        <v>5w</v>
      </c>
      <c r="BA306" s="448" t="str">
        <f>_xlfn.IFNA(VLOOKUP($AP306,Programma!$F$3:$Q$1101,12,0),"")</f>
        <v>1w</v>
      </c>
      <c r="BB306" s="448" t="str">
        <f>_xlfn.IFNA(VLOOKUP($AP306,Programma!$F$3:$R$1101,13,0),"")</f>
        <v>1w</v>
      </c>
      <c r="BC306" s="448" t="str">
        <f>_xlfn.IFNA(VLOOKUP($AP306,Programma!$F$3:$S$1101,14,0),"")</f>
        <v>1m</v>
      </c>
      <c r="BD306" s="448" t="str">
        <f>_xlfn.IFNA(VLOOKUP($AP306,Programma!$F$3:$T$1101,15,0),"")</f>
        <v>2j</v>
      </c>
      <c r="BE306" s="448" t="str">
        <f>_xlfn.IFNA(VLOOKUP($AP306,Programma!$F$3:$U$1101,16,0),"")</f>
        <v>1j</v>
      </c>
      <c r="BF306" s="448" t="str">
        <f>_xlfn.IFNA(VLOOKUP($AP306,Programma!$F$3:$V$1101,17,0),"")</f>
        <v>_</v>
      </c>
      <c r="BG306" s="448" t="str">
        <f>_xlfn.IFNA(VLOOKUP($AP306,Programma!$F$3:$W$1101,18,0),"")</f>
        <v>_</v>
      </c>
      <c r="BH306" s="448" t="str">
        <f>_xlfn.IFNA(VLOOKUP($AP306,Programma!$F$3:$X$1101,19,0),"")</f>
        <v>_</v>
      </c>
      <c r="BI306" s="448" t="str">
        <f>_xlfn.IFNA(VLOOKUP($AP306,Programma!$F$3:$Y$1101,20,0),"")</f>
        <v>_</v>
      </c>
      <c r="BJ306" s="449"/>
      <c r="BK306" s="447" t="str">
        <f>IF(Ruimtestaat[[#This Row],[Frequentie weekend]]="","",_xlfn.CONCAT(Ruimtestaat[[#This Row],[Ruimte code]],"-",Ruimtestaat[[#This Row],[Frequentie weekend]]," ",Ruimtestaat[[#This Row],[Vloer code]]))</f>
        <v/>
      </c>
      <c r="BL306" s="448" t="str">
        <f>_xlfn.IFNA(VLOOKUP($BK306,Programma!$F$3:$G$1101,2,0),"")</f>
        <v/>
      </c>
      <c r="BM306" s="448" t="str">
        <f>_xlfn.IFNA(VLOOKUP($BK306,Programma!$F$3:$H$1101,3,0),"")</f>
        <v/>
      </c>
      <c r="BN306" s="448" t="str">
        <f>_xlfn.IFNA(VLOOKUP($BK306,Programma!$F$3:$I$1101,4,0),"")</f>
        <v/>
      </c>
      <c r="BO306" s="448" t="str">
        <f>_xlfn.IFNA(VLOOKUP($BK306,Programma!$F$3:$J$1101,5,0),"")</f>
        <v/>
      </c>
      <c r="BP306" s="448" t="str">
        <f>_xlfn.IFNA(VLOOKUP($BK306,Programma!$F$3:$K$1101,6,0),"")</f>
        <v/>
      </c>
      <c r="BQ306" s="448" t="str">
        <f>_xlfn.IFNA(VLOOKUP($BK306,Programma!$F$3:$L$1101,7,0),"")</f>
        <v/>
      </c>
      <c r="BR306" s="448" t="str">
        <f>_xlfn.IFNA(VLOOKUP($BK306,Programma!$F$3:$M$1101,8,0),"")</f>
        <v/>
      </c>
      <c r="BS306" s="448" t="str">
        <f>_xlfn.IFNA(VLOOKUP($BK306,Programma!$F$3:$N$1101,9,0),"")</f>
        <v/>
      </c>
      <c r="BT306" s="448" t="str">
        <f>_xlfn.IFNA(VLOOKUP($BK306,Programma!$F$3:$O$1101,10,0),"")</f>
        <v/>
      </c>
      <c r="BU306" s="448" t="str">
        <f>_xlfn.IFNA(VLOOKUP($BK306,Programma!$F$3:$P$1101,11,0),"")</f>
        <v/>
      </c>
      <c r="BV306" s="448" t="str">
        <f>_xlfn.IFNA(VLOOKUP($BK306,Programma!$F$3:$Q$1101,12,0),"")</f>
        <v/>
      </c>
      <c r="BW306" s="448" t="str">
        <f>_xlfn.IFNA(VLOOKUP($BK306,Programma!$F$3:$R$1101,13,0),"")</f>
        <v/>
      </c>
      <c r="BX306" s="448" t="str">
        <f>_xlfn.IFNA(VLOOKUP($BK306,Programma!$F$3:$S$1101,14,0),"")</f>
        <v/>
      </c>
      <c r="BY306" s="448" t="str">
        <f>_xlfn.IFNA(VLOOKUP($BK306,Programma!$F$3:$T$1101,15,0),"")</f>
        <v/>
      </c>
      <c r="BZ306" s="448" t="str">
        <f>_xlfn.IFNA(VLOOKUP($BK306,Programma!$F$3:$U$1101,16,0),"")</f>
        <v/>
      </c>
      <c r="CA306" s="448" t="str">
        <f>_xlfn.IFNA(VLOOKUP($BK306,Programma!$F$3:$V$1101,17,0),"")</f>
        <v/>
      </c>
      <c r="CB306" s="448" t="str">
        <f>_xlfn.IFNA(VLOOKUP($BK306,Programma!$F$3:$W$1101,18,0),"")</f>
        <v/>
      </c>
      <c r="CC306" s="448" t="str">
        <f>_xlfn.IFNA(VLOOKUP($BK306,Programma!$F$3:$X$1101,19,0),"")</f>
        <v/>
      </c>
      <c r="CD306" s="448" t="str">
        <f>_xlfn.IFNA(VLOOKUP($BK306,Programma!$F$3:$Y$1101,20,0),"")</f>
        <v/>
      </c>
      <c r="CE306" s="327"/>
      <c r="CF306" s="327"/>
      <c r="CG306" s="327"/>
      <c r="CH306" s="327"/>
      <c r="CI306" s="327"/>
      <c r="CJ306" s="327"/>
      <c r="CK306" s="327"/>
      <c r="CL306" s="327"/>
      <c r="CM306" s="327"/>
      <c r="CN306" s="327"/>
      <c r="CO306" s="327"/>
      <c r="CP306" s="327"/>
      <c r="CQ306" s="327"/>
      <c r="CR306" s="327"/>
      <c r="CS306" s="327"/>
      <c r="CT306" s="327"/>
      <c r="CU306" s="327"/>
      <c r="CV306" s="327"/>
      <c r="CW306" s="327"/>
      <c r="CX306" s="327"/>
      <c r="CY306" s="327"/>
      <c r="CZ306" s="327"/>
      <c r="DA306" s="327"/>
      <c r="DB306" s="327"/>
      <c r="DC306" s="327"/>
      <c r="DD306" s="327"/>
      <c r="DE306" s="327"/>
      <c r="DF306" s="327"/>
      <c r="DG306" s="327"/>
      <c r="DH306" s="327"/>
      <c r="DI306" s="327"/>
      <c r="DJ306" s="327"/>
      <c r="DK306" s="327"/>
      <c r="DL306" s="327"/>
      <c r="DM306" s="327"/>
      <c r="DN306" s="327"/>
      <c r="DO306" s="327"/>
      <c r="DP306" s="327"/>
      <c r="DQ306" s="327"/>
      <c r="DR306" s="327"/>
      <c r="DS306" s="327"/>
      <c r="DT306" s="327"/>
      <c r="DU306" s="327"/>
      <c r="DV306" s="327"/>
      <c r="DW306" s="327"/>
      <c r="DX306" s="327"/>
      <c r="DY306" s="327"/>
      <c r="DZ306" s="327"/>
      <c r="EA306" s="327"/>
      <c r="EB306" s="327"/>
      <c r="EC306" s="327"/>
      <c r="ED306" s="327"/>
      <c r="EE306" s="327"/>
      <c r="EF306" s="327"/>
      <c r="EG306" s="327"/>
      <c r="EH306" s="327"/>
      <c r="EI306" s="327"/>
      <c r="EJ306" s="327"/>
      <c r="EK306" s="327"/>
      <c r="EL306" s="327"/>
      <c r="EM306" s="327"/>
      <c r="EN306" s="327"/>
      <c r="EO306" s="327"/>
      <c r="EP306" s="327"/>
      <c r="EQ306" s="327"/>
      <c r="ER306" s="327"/>
      <c r="ES306" s="327"/>
      <c r="ET306" s="327"/>
      <c r="EU306" s="327"/>
      <c r="EV306" s="327"/>
      <c r="EW306" s="327"/>
      <c r="EX306" s="327"/>
      <c r="EY306" s="327"/>
      <c r="EZ306" s="327"/>
      <c r="FA306" s="327"/>
      <c r="FB306" s="327"/>
      <c r="FC306" s="327"/>
      <c r="FD306" s="327"/>
      <c r="FE306" s="327"/>
      <c r="FF306" s="327"/>
      <c r="FG306" s="327"/>
      <c r="FH306" s="327"/>
      <c r="FI306" s="327"/>
      <c r="FJ306" s="327"/>
      <c r="FK306" s="327"/>
      <c r="FL306" s="327"/>
      <c r="FM306" s="327"/>
      <c r="FN306" s="327"/>
      <c r="FO306" s="327"/>
      <c r="FP306" s="327"/>
      <c r="FQ306" s="327"/>
      <c r="FR306" s="327"/>
      <c r="FS306" s="327"/>
      <c r="FT306" s="327"/>
      <c r="FU306" s="327"/>
      <c r="FV306" s="327"/>
      <c r="FW306" s="327"/>
      <c r="FX306" s="327"/>
      <c r="FY306" s="327"/>
      <c r="FZ306" s="327"/>
      <c r="GA306" s="327"/>
      <c r="GB306" s="327"/>
      <c r="GC306" s="327"/>
      <c r="GD306" s="327"/>
      <c r="GE306" s="327"/>
      <c r="GF306" s="327"/>
      <c r="GG306" s="327"/>
      <c r="GH306" s="327"/>
      <c r="GI306" s="327"/>
      <c r="GJ306" s="327"/>
      <c r="GK306" s="327"/>
      <c r="GL306" s="327"/>
      <c r="GM306" s="327"/>
      <c r="GN306" s="327"/>
      <c r="GO306" s="327"/>
      <c r="GP306" s="327"/>
      <c r="GQ306" s="327"/>
      <c r="GR306" s="327"/>
      <c r="GS306" s="327"/>
      <c r="GT306" s="327"/>
      <c r="GU306" s="327"/>
      <c r="GV306" s="327"/>
      <c r="GW306" s="327"/>
      <c r="GX306" s="327"/>
      <c r="GY306" s="327"/>
      <c r="GZ306" s="327"/>
      <c r="HA306" s="327"/>
      <c r="HB306" s="327"/>
      <c r="HC306" s="327"/>
      <c r="HD306" s="327"/>
      <c r="HE306" s="327"/>
      <c r="HF306" s="327"/>
      <c r="HG306" s="327"/>
      <c r="HH306" s="327"/>
      <c r="HI306" s="327"/>
      <c r="HJ306" s="327"/>
      <c r="HK306" s="327"/>
      <c r="HL306" s="327"/>
      <c r="HM306" s="327"/>
      <c r="HN306" s="327"/>
      <c r="HO306" s="327"/>
      <c r="HP306" s="327"/>
      <c r="HQ306" s="327"/>
      <c r="HR306" s="327"/>
      <c r="HS306" s="327"/>
    </row>
    <row r="307" spans="1:227" ht="15" customHeight="1">
      <c r="A307" s="330">
        <v>13</v>
      </c>
      <c r="B307" s="435" t="str">
        <f>VLOOKUP(Ruimtestaat[[#This Row],[Code]],Locaties[[Code]:[Locatie]],2,FALSE)</f>
        <v>IKC Florence Nightingale</v>
      </c>
      <c r="C307" s="435" t="str">
        <f>VLOOKUP(Ruimtestaat[[#This Row],[Code]],Locaties[[#All],[Code]:[Adres]],4,FALSE)</f>
        <v>Zanzibarplein 90</v>
      </c>
      <c r="D307" s="435" t="str">
        <f>VLOOKUP(Ruimtestaat[[#This Row],[Code]],Locaties[[#All],[Code]:[Postcode]],5,FALSE)</f>
        <v>2721 GE</v>
      </c>
      <c r="E307" s="435" t="str">
        <f>VLOOKUP(Ruimtestaat[[#This Row],[Code]],Locaties[#All],6,FALSE)</f>
        <v>Zoetermeer</v>
      </c>
      <c r="F307" s="450"/>
      <c r="G307" s="330" t="s">
        <v>1769</v>
      </c>
      <c r="H307" s="330" t="s">
        <v>1713</v>
      </c>
      <c r="I307" s="450" t="s">
        <v>1679</v>
      </c>
      <c r="J307" s="330">
        <v>16</v>
      </c>
      <c r="K307" s="450" t="str">
        <f>VLOOKUP(Ruimtestaat[[#This Row],[Ruimte code]],Ruimtegroepen[[#All],[Code]:[Ruimte omschrijving]],2,FALSE)</f>
        <v>Leslokalen</v>
      </c>
      <c r="L307" s="434" t="s">
        <v>100</v>
      </c>
      <c r="M307" s="437" t="s">
        <v>1759</v>
      </c>
      <c r="N307" s="439">
        <v>48</v>
      </c>
      <c r="O307" s="439"/>
      <c r="P307" s="439"/>
      <c r="Q307" s="439"/>
      <c r="R307" s="440" t="str">
        <f>VLOOKUP(Ruimtestaat[[#This Row],[Ruimte code]],Ruimtegroepen[],4,FALSE)</f>
        <v>Le</v>
      </c>
      <c r="S307" s="434">
        <v>40</v>
      </c>
      <c r="T307" s="434" t="s">
        <v>2</v>
      </c>
      <c r="U307" s="434">
        <f>IF(S307&gt;0,IF(RIGHT(Ruimtestaat[[#This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7" s="434">
        <f>IF(U307&gt;0,VLOOKUP($J307,Ruimtegroepen[],3,FALSE)*VLOOKUP($L307,Vloersoorten[],3,FALSE)*VLOOKUP($T307,Frequenties[],3,FALSE)*VLOOKUP($A307,Locaties[],3,FALSE),0)</f>
        <v>0</v>
      </c>
      <c r="W307" s="434">
        <f>Ruimtestaat[[#This Row],[Uitvoeringen werkdagen]]*Ruimtestaat[[#This Row],[Oppervlak (netto)]]</f>
        <v>9600</v>
      </c>
      <c r="X307" s="441">
        <f>IF(V307&gt;0,Ruimtestaat[[#This Row],[Prest. (m2 /jaar) werkdagen]]/Ruimtestaat[[#This Row],[Norm (m2/uur) werkdagen]],0)</f>
        <v>0</v>
      </c>
      <c r="Y307" s="442">
        <f>Ruimtestaat[[#This Row],[Uitvoeringen werkdagen]]*Ruimtestaat[[#This Row],[Gedeeltelijk]]</f>
        <v>0</v>
      </c>
      <c r="Z307" s="443" t="e">
        <f>IF(U307&gt;0,Ruimtestaat[[#This Row],[Prest. (m2 / jaar) werkdagen gedeeld]]/Ruimtestaat[[#This Row],[Norm (m2/uur) werkdagen]],0)</f>
        <v>#DIV/0!</v>
      </c>
      <c r="AA307" s="441" t="e">
        <f>Ruimtestaat[[#This Row],[uren / jaar werkdagen gedeeld]]*Tariefsopbouw!$E$35</f>
        <v>#DIV/0!</v>
      </c>
      <c r="AB307" s="441">
        <f>Ruimtestaat[[#This Row],[Uitvoeringen werkdagen]]*Ruimtestaat[[#This Row],[BSO]]</f>
        <v>0</v>
      </c>
      <c r="AC307" s="443" t="e">
        <f>IF(U307&gt;0,Ruimtestaat[[#This Row],[Prest. (m2 / jaar) werkdagen BSO]]/Ruimtestaat[[#This Row],[Norm (m2/uur) werkdagen]],0)</f>
        <v>#DIV/0!</v>
      </c>
      <c r="AD307" s="443" t="e">
        <f>Ruimtestaat[[#This Row],[uren / jaar werkdagen BSO]]*Tariefsopbouw!$E$35</f>
        <v>#DIV/0!</v>
      </c>
      <c r="AE307" s="444">
        <f>Ruimtestaat[[#This Row],[uren / jaar werkdagen]]*Tariefsopbouw!$E$35</f>
        <v>0</v>
      </c>
      <c r="AF307" s="434"/>
      <c r="AG307" s="434">
        <f>IF(Ruimtestaat[[#This Row],[Frequentie weekend]]&gt;0,VALUE(LEFT(AF307,1))*S307,0)</f>
        <v>0</v>
      </c>
      <c r="AH307" s="445">
        <f>IF($AG307&gt;0,VLOOKUP($J307,Ruimtegroepen[],3,FALSE)*VLOOKUP($L307,Vloersoorten[],3,FALSE)*VLOOKUP($AF307,Frequenties[],3,FALSE)*VLOOKUP(Ruimtestaat[[#This Row],[Code]],Locaties[],3,FALSE),0)</f>
        <v>0</v>
      </c>
      <c r="AI307" s="445">
        <f>Ruimtestaat[[#This Row],[Uitvoeringen weekend]]*Ruimtestaat[[#This Row],[Oppervlak (netto)]]</f>
        <v>0</v>
      </c>
      <c r="AJ307" s="445">
        <f>IF(AH307&gt;0,Ruimtestaat[[#This Row],[Prest. (m2 /jaar) weekend]]/Ruimtestaat[[#This Row],[Norm (m2/uur) weekend]],0)</f>
        <v>0</v>
      </c>
      <c r="AK307" s="444">
        <f>Ruimtestaat[[#This Row],[uren / jaar weekend]]*Tariefsopbouw!$D$40</f>
        <v>0</v>
      </c>
      <c r="AL307" s="441">
        <f>Ruimtestaat[[#This Row],[Prest. (m2 /jaar) weekend]]+Ruimtestaat[[#This Row],[Prest. (m2 /jaar) werkdagen]]</f>
        <v>9600</v>
      </c>
      <c r="AM307" s="441">
        <f>Ruimtestaat[[#This Row],[uren / jaar weekend]]+Ruimtestaat[[#This Row],[uren / jaar werkdagen]]</f>
        <v>0</v>
      </c>
      <c r="AN307" s="446">
        <f>Ruimtestaat[[#This Row],[kosten / jaar weekend]]+Ruimtestaat[[#This Row],[kosten / jaar werkdagen]]</f>
        <v>0</v>
      </c>
      <c r="AO307" s="446"/>
      <c r="AP307" s="447" t="str">
        <f>IF(Ruimtestaat[[#This Row],[Frequentie werkdagen]]="","",_xlfn.CONCAT(Ruimtestaat[[#This Row],[Ruimte code]],"-",Ruimtestaat[[#This Row],[Frequentie werkdagen]]," ",Ruimtestaat[[#This Row],[Vloer code]]))</f>
        <v>16-5w L</v>
      </c>
      <c r="AQ307" s="448" t="str">
        <f>_xlfn.IFNA(VLOOKUP($AP307,Programma!$F$3:$G$1101,2,0),"")</f>
        <v>_</v>
      </c>
      <c r="AR307" s="448" t="str">
        <f>_xlfn.IFNA(VLOOKUP($AP307,Programma!$F$3:$H$1101,3,0),"")</f>
        <v>_</v>
      </c>
      <c r="AS307" s="448" t="str">
        <f>_xlfn.IFNA(VLOOKUP($AP307,Programma!$F$3:$I$1101,4,0),"")</f>
        <v>4w</v>
      </c>
      <c r="AT307" s="448" t="str">
        <f>_xlfn.IFNA(VLOOKUP($AP307,Programma!$F$3:$J$1101,5,0),"")</f>
        <v>1w</v>
      </c>
      <c r="AU307" s="448" t="str">
        <f>_xlfn.IFNA(VLOOKUP($AP307,Programma!$F$3:$K$1101,6,0),"")</f>
        <v>_</v>
      </c>
      <c r="AV307" s="448" t="str">
        <f>_xlfn.IFNA(VLOOKUP($AP307,Programma!$F$3:$L$1101,7,0),"")</f>
        <v>_</v>
      </c>
      <c r="AW307" s="448" t="str">
        <f>_xlfn.IFNA(VLOOKUP($AP307,Programma!$F$3:$M$1101,8,0),"")</f>
        <v>_</v>
      </c>
      <c r="AX307" s="448" t="str">
        <f>_xlfn.IFNA(VLOOKUP($AP307,Programma!$F$3:$N$1101,9,0),"")</f>
        <v>_</v>
      </c>
      <c r="AY307" s="448" t="str">
        <f>_xlfn.IFNA(VLOOKUP($AP307,Programma!$F$3:$O$1101,10,0),"")</f>
        <v>5w</v>
      </c>
      <c r="AZ307" s="448" t="str">
        <f>_xlfn.IFNA(VLOOKUP($AP307,Programma!$F$3:$P$1101,11,0),"")</f>
        <v>5w</v>
      </c>
      <c r="BA307" s="448" t="str">
        <f>_xlfn.IFNA(VLOOKUP($AP307,Programma!$F$3:$Q$1101,12,0),"")</f>
        <v>1w</v>
      </c>
      <c r="BB307" s="448" t="str">
        <f>_xlfn.IFNA(VLOOKUP($AP307,Programma!$F$3:$R$1101,13,0),"")</f>
        <v>1w</v>
      </c>
      <c r="BC307" s="448" t="str">
        <f>_xlfn.IFNA(VLOOKUP($AP307,Programma!$F$3:$S$1101,14,0),"")</f>
        <v>1m</v>
      </c>
      <c r="BD307" s="448" t="str">
        <f>_xlfn.IFNA(VLOOKUP($AP307,Programma!$F$3:$T$1101,15,0),"")</f>
        <v>2j</v>
      </c>
      <c r="BE307" s="448" t="str">
        <f>_xlfn.IFNA(VLOOKUP($AP307,Programma!$F$3:$U$1101,16,0),"")</f>
        <v>1j</v>
      </c>
      <c r="BF307" s="448" t="str">
        <f>_xlfn.IFNA(VLOOKUP($AP307,Programma!$F$3:$V$1101,17,0),"")</f>
        <v>_</v>
      </c>
      <c r="BG307" s="448" t="str">
        <f>_xlfn.IFNA(VLOOKUP($AP307,Programma!$F$3:$W$1101,18,0),"")</f>
        <v>_</v>
      </c>
      <c r="BH307" s="448" t="str">
        <f>_xlfn.IFNA(VLOOKUP($AP307,Programma!$F$3:$X$1101,19,0),"")</f>
        <v>_</v>
      </c>
      <c r="BI307" s="448" t="str">
        <f>_xlfn.IFNA(VLOOKUP($AP307,Programma!$F$3:$Y$1101,20,0),"")</f>
        <v>_</v>
      </c>
      <c r="BJ307" s="449"/>
      <c r="BK307" s="447" t="str">
        <f>IF(Ruimtestaat[[#This Row],[Frequentie weekend]]="","",_xlfn.CONCAT(Ruimtestaat[[#This Row],[Ruimte code]],"-",Ruimtestaat[[#This Row],[Frequentie weekend]]," ",Ruimtestaat[[#This Row],[Vloer code]]))</f>
        <v/>
      </c>
      <c r="BL307" s="448" t="str">
        <f>_xlfn.IFNA(VLOOKUP($BK307,Programma!$F$3:$G$1101,2,0),"")</f>
        <v/>
      </c>
      <c r="BM307" s="448" t="str">
        <f>_xlfn.IFNA(VLOOKUP($BK307,Programma!$F$3:$H$1101,3,0),"")</f>
        <v/>
      </c>
      <c r="BN307" s="448" t="str">
        <f>_xlfn.IFNA(VLOOKUP($BK307,Programma!$F$3:$I$1101,4,0),"")</f>
        <v/>
      </c>
      <c r="BO307" s="448" t="str">
        <f>_xlfn.IFNA(VLOOKUP($BK307,Programma!$F$3:$J$1101,5,0),"")</f>
        <v/>
      </c>
      <c r="BP307" s="448" t="str">
        <f>_xlfn.IFNA(VLOOKUP($BK307,Programma!$F$3:$K$1101,6,0),"")</f>
        <v/>
      </c>
      <c r="BQ307" s="448" t="str">
        <f>_xlfn.IFNA(VLOOKUP($BK307,Programma!$F$3:$L$1101,7,0),"")</f>
        <v/>
      </c>
      <c r="BR307" s="448" t="str">
        <f>_xlfn.IFNA(VLOOKUP($BK307,Programma!$F$3:$M$1101,8,0),"")</f>
        <v/>
      </c>
      <c r="BS307" s="448" t="str">
        <f>_xlfn.IFNA(VLOOKUP($BK307,Programma!$F$3:$N$1101,9,0),"")</f>
        <v/>
      </c>
      <c r="BT307" s="448" t="str">
        <f>_xlfn.IFNA(VLOOKUP($BK307,Programma!$F$3:$O$1101,10,0),"")</f>
        <v/>
      </c>
      <c r="BU307" s="448" t="str">
        <f>_xlfn.IFNA(VLOOKUP($BK307,Programma!$F$3:$P$1101,11,0),"")</f>
        <v/>
      </c>
      <c r="BV307" s="448" t="str">
        <f>_xlfn.IFNA(VLOOKUP($BK307,Programma!$F$3:$Q$1101,12,0),"")</f>
        <v/>
      </c>
      <c r="BW307" s="448" t="str">
        <f>_xlfn.IFNA(VLOOKUP($BK307,Programma!$F$3:$R$1101,13,0),"")</f>
        <v/>
      </c>
      <c r="BX307" s="448" t="str">
        <f>_xlfn.IFNA(VLOOKUP($BK307,Programma!$F$3:$S$1101,14,0),"")</f>
        <v/>
      </c>
      <c r="BY307" s="448" t="str">
        <f>_xlfn.IFNA(VLOOKUP($BK307,Programma!$F$3:$T$1101,15,0),"")</f>
        <v/>
      </c>
      <c r="BZ307" s="448" t="str">
        <f>_xlfn.IFNA(VLOOKUP($BK307,Programma!$F$3:$U$1101,16,0),"")</f>
        <v/>
      </c>
      <c r="CA307" s="448" t="str">
        <f>_xlfn.IFNA(VLOOKUP($BK307,Programma!$F$3:$V$1101,17,0),"")</f>
        <v/>
      </c>
      <c r="CB307" s="448" t="str">
        <f>_xlfn.IFNA(VLOOKUP($BK307,Programma!$F$3:$W$1101,18,0),"")</f>
        <v/>
      </c>
      <c r="CC307" s="448" t="str">
        <f>_xlfn.IFNA(VLOOKUP($BK307,Programma!$F$3:$X$1101,19,0),"")</f>
        <v/>
      </c>
      <c r="CD307" s="448" t="str">
        <f>_xlfn.IFNA(VLOOKUP($BK307,Programma!$F$3:$Y$1101,20,0),"")</f>
        <v/>
      </c>
      <c r="CE307" s="327"/>
      <c r="CF307" s="327"/>
      <c r="CG307" s="327"/>
      <c r="CH307" s="327"/>
      <c r="CI307" s="327"/>
      <c r="CJ307" s="327"/>
      <c r="CK307" s="327"/>
      <c r="CL307" s="327"/>
      <c r="CM307" s="327"/>
      <c r="CN307" s="327"/>
      <c r="CO307" s="327"/>
      <c r="CP307" s="327"/>
      <c r="CQ307" s="327"/>
      <c r="CR307" s="327"/>
      <c r="CS307" s="327"/>
      <c r="CT307" s="327"/>
      <c r="CU307" s="327"/>
      <c r="CV307" s="327"/>
      <c r="CW307" s="327"/>
      <c r="CX307" s="327"/>
      <c r="CY307" s="327"/>
      <c r="CZ307" s="327"/>
      <c r="DA307" s="327"/>
      <c r="DB307" s="327"/>
      <c r="DC307" s="327"/>
      <c r="DD307" s="327"/>
      <c r="DE307" s="327"/>
      <c r="DF307" s="327"/>
      <c r="DG307" s="327"/>
      <c r="DH307" s="327"/>
      <c r="DI307" s="327"/>
      <c r="DJ307" s="327"/>
      <c r="DK307" s="327"/>
      <c r="DL307" s="327"/>
      <c r="DM307" s="327"/>
      <c r="DN307" s="327"/>
      <c r="DO307" s="327"/>
      <c r="DP307" s="327"/>
      <c r="DQ307" s="327"/>
      <c r="DR307" s="327"/>
      <c r="DS307" s="327"/>
      <c r="DT307" s="327"/>
      <c r="DU307" s="327"/>
      <c r="DV307" s="327"/>
      <c r="DW307" s="327"/>
      <c r="DX307" s="327"/>
      <c r="DY307" s="327"/>
      <c r="DZ307" s="327"/>
      <c r="EA307" s="327"/>
      <c r="EB307" s="327"/>
      <c r="EC307" s="327"/>
      <c r="ED307" s="327"/>
      <c r="EE307" s="327"/>
      <c r="EF307" s="327"/>
      <c r="EG307" s="327"/>
      <c r="EH307" s="327"/>
      <c r="EI307" s="327"/>
      <c r="EJ307" s="327"/>
      <c r="EK307" s="327"/>
      <c r="EL307" s="327"/>
      <c r="EM307" s="327"/>
      <c r="EN307" s="327"/>
      <c r="EO307" s="327"/>
      <c r="EP307" s="327"/>
      <c r="EQ307" s="327"/>
      <c r="ER307" s="327"/>
      <c r="ES307" s="327"/>
      <c r="ET307" s="327"/>
      <c r="EU307" s="327"/>
      <c r="EV307" s="327"/>
      <c r="EW307" s="327"/>
      <c r="EX307" s="327"/>
      <c r="EY307" s="327"/>
      <c r="EZ307" s="327"/>
      <c r="FA307" s="327"/>
      <c r="FB307" s="327"/>
      <c r="FC307" s="327"/>
      <c r="FD307" s="327"/>
      <c r="FE307" s="327"/>
      <c r="FF307" s="327"/>
      <c r="FG307" s="327"/>
      <c r="FH307" s="327"/>
      <c r="FI307" s="327"/>
      <c r="FJ307" s="327"/>
      <c r="FK307" s="327"/>
      <c r="FL307" s="327"/>
      <c r="FM307" s="327"/>
      <c r="FN307" s="327"/>
      <c r="FO307" s="327"/>
      <c r="FP307" s="327"/>
      <c r="FQ307" s="327"/>
      <c r="FR307" s="327"/>
      <c r="FS307" s="327"/>
      <c r="FT307" s="327"/>
      <c r="FU307" s="327"/>
      <c r="FV307" s="327"/>
      <c r="FW307" s="327"/>
      <c r="FX307" s="327"/>
      <c r="FY307" s="327"/>
      <c r="FZ307" s="327"/>
      <c r="GA307" s="327"/>
      <c r="GB307" s="327"/>
      <c r="GC307" s="327"/>
      <c r="GD307" s="327"/>
      <c r="GE307" s="327"/>
      <c r="GF307" s="327"/>
      <c r="GG307" s="327"/>
      <c r="GH307" s="327"/>
      <c r="GI307" s="327"/>
      <c r="GJ307" s="327"/>
      <c r="GK307" s="327"/>
      <c r="GL307" s="327"/>
      <c r="GM307" s="327"/>
      <c r="GN307" s="327"/>
      <c r="GO307" s="327"/>
      <c r="GP307" s="327"/>
      <c r="GQ307" s="327"/>
      <c r="GR307" s="327"/>
      <c r="GS307" s="327"/>
      <c r="GT307" s="327"/>
      <c r="GU307" s="327"/>
      <c r="GV307" s="327"/>
      <c r="GW307" s="327"/>
      <c r="GX307" s="327"/>
      <c r="GY307" s="327"/>
      <c r="GZ307" s="327"/>
      <c r="HA307" s="327"/>
      <c r="HB307" s="327"/>
      <c r="HC307" s="327"/>
      <c r="HD307" s="327"/>
      <c r="HE307" s="327"/>
      <c r="HF307" s="327"/>
      <c r="HG307" s="327"/>
      <c r="HH307" s="327"/>
      <c r="HI307" s="327"/>
      <c r="HJ307" s="327"/>
      <c r="HK307" s="327"/>
      <c r="HL307" s="327"/>
      <c r="HM307" s="327"/>
      <c r="HN307" s="327"/>
      <c r="HO307" s="327"/>
      <c r="HP307" s="327"/>
      <c r="HQ307" s="327"/>
      <c r="HR307" s="327"/>
      <c r="HS307" s="327"/>
    </row>
    <row r="308" spans="1:227" ht="15" customHeight="1">
      <c r="A308" s="330">
        <v>13</v>
      </c>
      <c r="B308" s="435" t="str">
        <f>VLOOKUP(Ruimtestaat[[#This Row],[Code]],Locaties[[Code]:[Locatie]],2,FALSE)</f>
        <v>IKC Florence Nightingale</v>
      </c>
      <c r="C308" s="435" t="str">
        <f>VLOOKUP(Ruimtestaat[[#This Row],[Code]],Locaties[[#All],[Code]:[Adres]],4,FALSE)</f>
        <v>Zanzibarplein 90</v>
      </c>
      <c r="D308" s="435" t="str">
        <f>VLOOKUP(Ruimtestaat[[#This Row],[Code]],Locaties[[#All],[Code]:[Postcode]],5,FALSE)</f>
        <v>2721 GE</v>
      </c>
      <c r="E308" s="435" t="str">
        <f>VLOOKUP(Ruimtestaat[[#This Row],[Code]],Locaties[#All],6,FALSE)</f>
        <v>Zoetermeer</v>
      </c>
      <c r="F308" s="450"/>
      <c r="G308" s="330" t="s">
        <v>1769</v>
      </c>
      <c r="H308" s="330">
        <v>1.4</v>
      </c>
      <c r="I308" s="450" t="s">
        <v>1679</v>
      </c>
      <c r="J308" s="330">
        <v>16</v>
      </c>
      <c r="K308" s="450" t="str">
        <f>VLOOKUP(Ruimtestaat[[#This Row],[Ruimte code]],Ruimtegroepen[[#All],[Code]:[Ruimte omschrijving]],2,FALSE)</f>
        <v>Leslokalen</v>
      </c>
      <c r="L308" s="434" t="s">
        <v>100</v>
      </c>
      <c r="M308" s="437" t="s">
        <v>1759</v>
      </c>
      <c r="N308" s="439">
        <v>53</v>
      </c>
      <c r="O308" s="439"/>
      <c r="P308" s="439"/>
      <c r="Q308" s="439"/>
      <c r="R308" s="440" t="str">
        <f>VLOOKUP(Ruimtestaat[[#This Row],[Ruimte code]],Ruimtegroepen[],4,FALSE)</f>
        <v>Le</v>
      </c>
      <c r="S308" s="434">
        <v>40</v>
      </c>
      <c r="T308" s="434" t="s">
        <v>2</v>
      </c>
      <c r="U308" s="434">
        <f>IF(S308&gt;0,IF(RIGHT(Ruimtestaat[[#This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8" s="434">
        <f>IF(U308&gt;0,VLOOKUP($J308,Ruimtegroepen[],3,FALSE)*VLOOKUP($L308,Vloersoorten[],3,FALSE)*VLOOKUP($T308,Frequenties[],3,FALSE)*VLOOKUP($A308,Locaties[],3,FALSE),0)</f>
        <v>0</v>
      </c>
      <c r="W308" s="434">
        <f>Ruimtestaat[[#This Row],[Uitvoeringen werkdagen]]*Ruimtestaat[[#This Row],[Oppervlak (netto)]]</f>
        <v>10600</v>
      </c>
      <c r="X308" s="441">
        <f>IF(V308&gt;0,Ruimtestaat[[#This Row],[Prest. (m2 /jaar) werkdagen]]/Ruimtestaat[[#This Row],[Norm (m2/uur) werkdagen]],0)</f>
        <v>0</v>
      </c>
      <c r="Y308" s="442">
        <f>Ruimtestaat[[#This Row],[Uitvoeringen werkdagen]]*Ruimtestaat[[#This Row],[Gedeeltelijk]]</f>
        <v>0</v>
      </c>
      <c r="Z308" s="443" t="e">
        <f>IF(U308&gt;0,Ruimtestaat[[#This Row],[Prest. (m2 / jaar) werkdagen gedeeld]]/Ruimtestaat[[#This Row],[Norm (m2/uur) werkdagen]],0)</f>
        <v>#DIV/0!</v>
      </c>
      <c r="AA308" s="441" t="e">
        <f>Ruimtestaat[[#This Row],[uren / jaar werkdagen gedeeld]]*Tariefsopbouw!$E$35</f>
        <v>#DIV/0!</v>
      </c>
      <c r="AB308" s="441">
        <f>Ruimtestaat[[#This Row],[Uitvoeringen werkdagen]]*Ruimtestaat[[#This Row],[BSO]]</f>
        <v>0</v>
      </c>
      <c r="AC308" s="443" t="e">
        <f>IF(U308&gt;0,Ruimtestaat[[#This Row],[Prest. (m2 / jaar) werkdagen BSO]]/Ruimtestaat[[#This Row],[Norm (m2/uur) werkdagen]],0)</f>
        <v>#DIV/0!</v>
      </c>
      <c r="AD308" s="443" t="e">
        <f>Ruimtestaat[[#This Row],[uren / jaar werkdagen BSO]]*Tariefsopbouw!$E$35</f>
        <v>#DIV/0!</v>
      </c>
      <c r="AE308" s="444">
        <f>Ruimtestaat[[#This Row],[uren / jaar werkdagen]]*Tariefsopbouw!$E$35</f>
        <v>0</v>
      </c>
      <c r="AF308" s="434"/>
      <c r="AG308" s="434">
        <f>IF(Ruimtestaat[[#This Row],[Frequentie weekend]]&gt;0,VALUE(LEFT(AF308,1))*S308,0)</f>
        <v>0</v>
      </c>
      <c r="AH308" s="445">
        <f>IF($AG308&gt;0,VLOOKUP($J308,Ruimtegroepen[],3,FALSE)*VLOOKUP($L308,Vloersoorten[],3,FALSE)*VLOOKUP($AF308,Frequenties[],3,FALSE)*VLOOKUP(Ruimtestaat[[#This Row],[Code]],Locaties[],3,FALSE),0)</f>
        <v>0</v>
      </c>
      <c r="AI308" s="445">
        <f>Ruimtestaat[[#This Row],[Uitvoeringen weekend]]*Ruimtestaat[[#This Row],[Oppervlak (netto)]]</f>
        <v>0</v>
      </c>
      <c r="AJ308" s="445">
        <f>IF(AH308&gt;0,Ruimtestaat[[#This Row],[Prest. (m2 /jaar) weekend]]/Ruimtestaat[[#This Row],[Norm (m2/uur) weekend]],0)</f>
        <v>0</v>
      </c>
      <c r="AK308" s="444">
        <f>Ruimtestaat[[#This Row],[uren / jaar weekend]]*Tariefsopbouw!$D$40</f>
        <v>0</v>
      </c>
      <c r="AL308" s="441">
        <f>Ruimtestaat[[#This Row],[Prest. (m2 /jaar) weekend]]+Ruimtestaat[[#This Row],[Prest. (m2 /jaar) werkdagen]]</f>
        <v>10600</v>
      </c>
      <c r="AM308" s="441">
        <f>Ruimtestaat[[#This Row],[uren / jaar weekend]]+Ruimtestaat[[#This Row],[uren / jaar werkdagen]]</f>
        <v>0</v>
      </c>
      <c r="AN308" s="446">
        <f>Ruimtestaat[[#This Row],[kosten / jaar weekend]]+Ruimtestaat[[#This Row],[kosten / jaar werkdagen]]</f>
        <v>0</v>
      </c>
      <c r="AO308" s="446"/>
      <c r="AP308" s="447" t="str">
        <f>IF(Ruimtestaat[[#This Row],[Frequentie werkdagen]]="","",_xlfn.CONCAT(Ruimtestaat[[#This Row],[Ruimte code]],"-",Ruimtestaat[[#This Row],[Frequentie werkdagen]]," ",Ruimtestaat[[#This Row],[Vloer code]]))</f>
        <v>16-5w L</v>
      </c>
      <c r="AQ308" s="448" t="str">
        <f>_xlfn.IFNA(VLOOKUP($AP308,Programma!$F$3:$G$1101,2,0),"")</f>
        <v>_</v>
      </c>
      <c r="AR308" s="448" t="str">
        <f>_xlfn.IFNA(VLOOKUP($AP308,Programma!$F$3:$H$1101,3,0),"")</f>
        <v>_</v>
      </c>
      <c r="AS308" s="448" t="str">
        <f>_xlfn.IFNA(VLOOKUP($AP308,Programma!$F$3:$I$1101,4,0),"")</f>
        <v>4w</v>
      </c>
      <c r="AT308" s="448" t="str">
        <f>_xlfn.IFNA(VLOOKUP($AP308,Programma!$F$3:$J$1101,5,0),"")</f>
        <v>1w</v>
      </c>
      <c r="AU308" s="448" t="str">
        <f>_xlfn.IFNA(VLOOKUP($AP308,Programma!$F$3:$K$1101,6,0),"")</f>
        <v>_</v>
      </c>
      <c r="AV308" s="448" t="str">
        <f>_xlfn.IFNA(VLOOKUP($AP308,Programma!$F$3:$L$1101,7,0),"")</f>
        <v>_</v>
      </c>
      <c r="AW308" s="448" t="str">
        <f>_xlfn.IFNA(VLOOKUP($AP308,Programma!$F$3:$M$1101,8,0),"")</f>
        <v>_</v>
      </c>
      <c r="AX308" s="448" t="str">
        <f>_xlfn.IFNA(VLOOKUP($AP308,Programma!$F$3:$N$1101,9,0),"")</f>
        <v>_</v>
      </c>
      <c r="AY308" s="448" t="str">
        <f>_xlfn.IFNA(VLOOKUP($AP308,Programma!$F$3:$O$1101,10,0),"")</f>
        <v>5w</v>
      </c>
      <c r="AZ308" s="448" t="str">
        <f>_xlfn.IFNA(VLOOKUP($AP308,Programma!$F$3:$P$1101,11,0),"")</f>
        <v>5w</v>
      </c>
      <c r="BA308" s="448" t="str">
        <f>_xlfn.IFNA(VLOOKUP($AP308,Programma!$F$3:$Q$1101,12,0),"")</f>
        <v>1w</v>
      </c>
      <c r="BB308" s="448" t="str">
        <f>_xlfn.IFNA(VLOOKUP($AP308,Programma!$F$3:$R$1101,13,0),"")</f>
        <v>1w</v>
      </c>
      <c r="BC308" s="448" t="str">
        <f>_xlfn.IFNA(VLOOKUP($AP308,Programma!$F$3:$S$1101,14,0),"")</f>
        <v>1m</v>
      </c>
      <c r="BD308" s="448" t="str">
        <f>_xlfn.IFNA(VLOOKUP($AP308,Programma!$F$3:$T$1101,15,0),"")</f>
        <v>2j</v>
      </c>
      <c r="BE308" s="448" t="str">
        <f>_xlfn.IFNA(VLOOKUP($AP308,Programma!$F$3:$U$1101,16,0),"")</f>
        <v>1j</v>
      </c>
      <c r="BF308" s="448" t="str">
        <f>_xlfn.IFNA(VLOOKUP($AP308,Programma!$F$3:$V$1101,17,0),"")</f>
        <v>_</v>
      </c>
      <c r="BG308" s="448" t="str">
        <f>_xlfn.IFNA(VLOOKUP($AP308,Programma!$F$3:$W$1101,18,0),"")</f>
        <v>_</v>
      </c>
      <c r="BH308" s="448" t="str">
        <f>_xlfn.IFNA(VLOOKUP($AP308,Programma!$F$3:$X$1101,19,0),"")</f>
        <v>_</v>
      </c>
      <c r="BI308" s="448" t="str">
        <f>_xlfn.IFNA(VLOOKUP($AP308,Programma!$F$3:$Y$1101,20,0),"")</f>
        <v>_</v>
      </c>
      <c r="BJ308" s="449"/>
      <c r="BK308" s="447" t="str">
        <f>IF(Ruimtestaat[[#This Row],[Frequentie weekend]]="","",_xlfn.CONCAT(Ruimtestaat[[#This Row],[Ruimte code]],"-",Ruimtestaat[[#This Row],[Frequentie weekend]]," ",Ruimtestaat[[#This Row],[Vloer code]]))</f>
        <v/>
      </c>
      <c r="BL308" s="448" t="str">
        <f>_xlfn.IFNA(VLOOKUP($BK308,Programma!$F$3:$G$1101,2,0),"")</f>
        <v/>
      </c>
      <c r="BM308" s="448" t="str">
        <f>_xlfn.IFNA(VLOOKUP($BK308,Programma!$F$3:$H$1101,3,0),"")</f>
        <v/>
      </c>
      <c r="BN308" s="448" t="str">
        <f>_xlfn.IFNA(VLOOKUP($BK308,Programma!$F$3:$I$1101,4,0),"")</f>
        <v/>
      </c>
      <c r="BO308" s="448" t="str">
        <f>_xlfn.IFNA(VLOOKUP($BK308,Programma!$F$3:$J$1101,5,0),"")</f>
        <v/>
      </c>
      <c r="BP308" s="448" t="str">
        <f>_xlfn.IFNA(VLOOKUP($BK308,Programma!$F$3:$K$1101,6,0),"")</f>
        <v/>
      </c>
      <c r="BQ308" s="448" t="str">
        <f>_xlfn.IFNA(VLOOKUP($BK308,Programma!$F$3:$L$1101,7,0),"")</f>
        <v/>
      </c>
      <c r="BR308" s="448" t="str">
        <f>_xlfn.IFNA(VLOOKUP($BK308,Programma!$F$3:$M$1101,8,0),"")</f>
        <v/>
      </c>
      <c r="BS308" s="448" t="str">
        <f>_xlfn.IFNA(VLOOKUP($BK308,Programma!$F$3:$N$1101,9,0),"")</f>
        <v/>
      </c>
      <c r="BT308" s="448" t="str">
        <f>_xlfn.IFNA(VLOOKUP($BK308,Programma!$F$3:$O$1101,10,0),"")</f>
        <v/>
      </c>
      <c r="BU308" s="448" t="str">
        <f>_xlfn.IFNA(VLOOKUP($BK308,Programma!$F$3:$P$1101,11,0),"")</f>
        <v/>
      </c>
      <c r="BV308" s="448" t="str">
        <f>_xlfn.IFNA(VLOOKUP($BK308,Programma!$F$3:$Q$1101,12,0),"")</f>
        <v/>
      </c>
      <c r="BW308" s="448" t="str">
        <f>_xlfn.IFNA(VLOOKUP($BK308,Programma!$F$3:$R$1101,13,0),"")</f>
        <v/>
      </c>
      <c r="BX308" s="448" t="str">
        <f>_xlfn.IFNA(VLOOKUP($BK308,Programma!$F$3:$S$1101,14,0),"")</f>
        <v/>
      </c>
      <c r="BY308" s="448" t="str">
        <f>_xlfn.IFNA(VLOOKUP($BK308,Programma!$F$3:$T$1101,15,0),"")</f>
        <v/>
      </c>
      <c r="BZ308" s="448" t="str">
        <f>_xlfn.IFNA(VLOOKUP($BK308,Programma!$F$3:$U$1101,16,0),"")</f>
        <v/>
      </c>
      <c r="CA308" s="448" t="str">
        <f>_xlfn.IFNA(VLOOKUP($BK308,Programma!$F$3:$V$1101,17,0),"")</f>
        <v/>
      </c>
      <c r="CB308" s="448" t="str">
        <f>_xlfn.IFNA(VLOOKUP($BK308,Programma!$F$3:$W$1101,18,0),"")</f>
        <v/>
      </c>
      <c r="CC308" s="448" t="str">
        <f>_xlfn.IFNA(VLOOKUP($BK308,Programma!$F$3:$X$1101,19,0),"")</f>
        <v/>
      </c>
      <c r="CD308" s="448" t="str">
        <f>_xlfn.IFNA(VLOOKUP($BK308,Programma!$F$3:$Y$1101,20,0),"")</f>
        <v/>
      </c>
      <c r="CE308" s="327"/>
      <c r="CF308" s="327"/>
      <c r="CG308" s="327"/>
      <c r="CH308" s="327"/>
      <c r="CI308" s="327"/>
      <c r="CJ308" s="327"/>
      <c r="CK308" s="327"/>
      <c r="CL308" s="327"/>
      <c r="CM308" s="327"/>
      <c r="CN308" s="327"/>
      <c r="CO308" s="327"/>
      <c r="CP308" s="327"/>
      <c r="CQ308" s="327"/>
      <c r="CR308" s="327"/>
      <c r="CS308" s="327"/>
      <c r="CT308" s="327"/>
      <c r="CU308" s="327"/>
      <c r="CV308" s="327"/>
      <c r="CW308" s="327"/>
      <c r="CX308" s="327"/>
      <c r="CY308" s="327"/>
      <c r="CZ308" s="327"/>
      <c r="DA308" s="327"/>
      <c r="DB308" s="327"/>
      <c r="DC308" s="327"/>
      <c r="DD308" s="327"/>
      <c r="DE308" s="327"/>
      <c r="DF308" s="327"/>
      <c r="DG308" s="327"/>
      <c r="DH308" s="327"/>
      <c r="DI308" s="327"/>
      <c r="DJ308" s="327"/>
      <c r="DK308" s="327"/>
      <c r="DL308" s="327"/>
      <c r="DM308" s="327"/>
      <c r="DN308" s="327"/>
      <c r="DO308" s="327"/>
      <c r="DP308" s="327"/>
      <c r="DQ308" s="327"/>
      <c r="DR308" s="327"/>
      <c r="DS308" s="327"/>
      <c r="DT308" s="327"/>
      <c r="DU308" s="327"/>
      <c r="DV308" s="327"/>
      <c r="DW308" s="327"/>
      <c r="DX308" s="327"/>
      <c r="DY308" s="327"/>
      <c r="DZ308" s="327"/>
      <c r="EA308" s="327"/>
      <c r="EB308" s="327"/>
      <c r="EC308" s="327"/>
      <c r="ED308" s="327"/>
      <c r="EE308" s="327"/>
      <c r="EF308" s="327"/>
      <c r="EG308" s="327"/>
      <c r="EH308" s="327"/>
      <c r="EI308" s="327"/>
      <c r="EJ308" s="327"/>
      <c r="EK308" s="327"/>
      <c r="EL308" s="327"/>
      <c r="EM308" s="327"/>
      <c r="EN308" s="327"/>
      <c r="EO308" s="327"/>
      <c r="EP308" s="327"/>
      <c r="EQ308" s="327"/>
      <c r="ER308" s="327"/>
      <c r="ES308" s="327"/>
      <c r="ET308" s="327"/>
      <c r="EU308" s="327"/>
      <c r="EV308" s="327"/>
      <c r="EW308" s="327"/>
      <c r="EX308" s="327"/>
      <c r="EY308" s="327"/>
      <c r="EZ308" s="327"/>
      <c r="FA308" s="327"/>
      <c r="FB308" s="327"/>
      <c r="FC308" s="327"/>
      <c r="FD308" s="327"/>
      <c r="FE308" s="327"/>
      <c r="FF308" s="327"/>
      <c r="FG308" s="327"/>
      <c r="FH308" s="327"/>
      <c r="FI308" s="327"/>
      <c r="FJ308" s="327"/>
      <c r="FK308" s="327"/>
      <c r="FL308" s="327"/>
      <c r="FM308" s="327"/>
      <c r="FN308" s="327"/>
      <c r="FO308" s="327"/>
      <c r="FP308" s="327"/>
      <c r="FQ308" s="327"/>
      <c r="FR308" s="327"/>
      <c r="FS308" s="327"/>
      <c r="FT308" s="327"/>
      <c r="FU308" s="327"/>
      <c r="FV308" s="327"/>
      <c r="FW308" s="327"/>
      <c r="FX308" s="327"/>
      <c r="FY308" s="327"/>
      <c r="FZ308" s="327"/>
      <c r="GA308" s="327"/>
      <c r="GB308" s="327"/>
      <c r="GC308" s="327"/>
      <c r="GD308" s="327"/>
      <c r="GE308" s="327"/>
      <c r="GF308" s="327"/>
      <c r="GG308" s="327"/>
      <c r="GH308" s="327"/>
      <c r="GI308" s="327"/>
      <c r="GJ308" s="327"/>
      <c r="GK308" s="327"/>
      <c r="GL308" s="327"/>
      <c r="GM308" s="327"/>
      <c r="GN308" s="327"/>
      <c r="GO308" s="327"/>
      <c r="GP308" s="327"/>
      <c r="GQ308" s="327"/>
      <c r="GR308" s="327"/>
      <c r="GS308" s="327"/>
      <c r="GT308" s="327"/>
      <c r="GU308" s="327"/>
      <c r="GV308" s="327"/>
      <c r="GW308" s="327"/>
      <c r="GX308" s="327"/>
      <c r="GY308" s="327"/>
      <c r="GZ308" s="327"/>
      <c r="HA308" s="327"/>
      <c r="HB308" s="327"/>
      <c r="HC308" s="327"/>
      <c r="HD308" s="327"/>
      <c r="HE308" s="327"/>
      <c r="HF308" s="327"/>
      <c r="HG308" s="327"/>
      <c r="HH308" s="327"/>
      <c r="HI308" s="327"/>
      <c r="HJ308" s="327"/>
      <c r="HK308" s="327"/>
      <c r="HL308" s="327"/>
      <c r="HM308" s="327"/>
      <c r="HN308" s="327"/>
      <c r="HO308" s="327"/>
      <c r="HP308" s="327"/>
      <c r="HQ308" s="327"/>
      <c r="HR308" s="327"/>
      <c r="HS308" s="327"/>
    </row>
    <row r="309" spans="1:227" ht="15" customHeight="1">
      <c r="A309" s="330">
        <v>13</v>
      </c>
      <c r="B309" s="435" t="str">
        <f>VLOOKUP(Ruimtestaat[[#This Row],[Code]],Locaties[[Code]:[Locatie]],2,FALSE)</f>
        <v>IKC Florence Nightingale</v>
      </c>
      <c r="C309" s="435" t="str">
        <f>VLOOKUP(Ruimtestaat[[#This Row],[Code]],Locaties[[#All],[Code]:[Adres]],4,FALSE)</f>
        <v>Zanzibarplein 90</v>
      </c>
      <c r="D309" s="435" t="str">
        <f>VLOOKUP(Ruimtestaat[[#This Row],[Code]],Locaties[[#All],[Code]:[Postcode]],5,FALSE)</f>
        <v>2721 GE</v>
      </c>
      <c r="E309" s="435" t="str">
        <f>VLOOKUP(Ruimtestaat[[#This Row],[Code]],Locaties[#All],6,FALSE)</f>
        <v>Zoetermeer</v>
      </c>
      <c r="F309" s="450"/>
      <c r="G309" s="330" t="s">
        <v>1769</v>
      </c>
      <c r="H309" s="330" t="s">
        <v>1728</v>
      </c>
      <c r="I309" s="450" t="s">
        <v>1679</v>
      </c>
      <c r="J309" s="330">
        <v>16</v>
      </c>
      <c r="K309" s="450" t="str">
        <f>VLOOKUP(Ruimtestaat[[#This Row],[Ruimte code]],Ruimtegroepen[[#All],[Code]:[Ruimte omschrijving]],2,FALSE)</f>
        <v>Leslokalen</v>
      </c>
      <c r="L309" s="434" t="s">
        <v>100</v>
      </c>
      <c r="M309" s="437" t="s">
        <v>1759</v>
      </c>
      <c r="N309" s="439">
        <v>54</v>
      </c>
      <c r="O309" s="439"/>
      <c r="P309" s="439"/>
      <c r="Q309" s="439"/>
      <c r="R309" s="440" t="str">
        <f>VLOOKUP(Ruimtestaat[[#This Row],[Ruimte code]],Ruimtegroepen[],4,FALSE)</f>
        <v>Le</v>
      </c>
      <c r="S309" s="434">
        <v>40</v>
      </c>
      <c r="T309" s="434" t="s">
        <v>2</v>
      </c>
      <c r="U309" s="434">
        <f>IF(S309&gt;0,IF(RIGHT(Ruimtestaat[[#This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9" s="434">
        <f>IF(U309&gt;0,VLOOKUP($J309,Ruimtegroepen[],3,FALSE)*VLOOKUP($L309,Vloersoorten[],3,FALSE)*VLOOKUP($T309,Frequenties[],3,FALSE)*VLOOKUP($A309,Locaties[],3,FALSE),0)</f>
        <v>0</v>
      </c>
      <c r="W309" s="434">
        <f>Ruimtestaat[[#This Row],[Uitvoeringen werkdagen]]*Ruimtestaat[[#This Row],[Oppervlak (netto)]]</f>
        <v>10800</v>
      </c>
      <c r="X309" s="441">
        <f>IF(V309&gt;0,Ruimtestaat[[#This Row],[Prest. (m2 /jaar) werkdagen]]/Ruimtestaat[[#This Row],[Norm (m2/uur) werkdagen]],0)</f>
        <v>0</v>
      </c>
      <c r="Y309" s="442">
        <f>Ruimtestaat[[#This Row],[Uitvoeringen werkdagen]]*Ruimtestaat[[#This Row],[Gedeeltelijk]]</f>
        <v>0</v>
      </c>
      <c r="Z309" s="443" t="e">
        <f>IF(U309&gt;0,Ruimtestaat[[#This Row],[Prest. (m2 / jaar) werkdagen gedeeld]]/Ruimtestaat[[#This Row],[Norm (m2/uur) werkdagen]],0)</f>
        <v>#DIV/0!</v>
      </c>
      <c r="AA309" s="441" t="e">
        <f>Ruimtestaat[[#This Row],[uren / jaar werkdagen gedeeld]]*Tariefsopbouw!$E$35</f>
        <v>#DIV/0!</v>
      </c>
      <c r="AB309" s="441">
        <f>Ruimtestaat[[#This Row],[Uitvoeringen werkdagen]]*Ruimtestaat[[#This Row],[BSO]]</f>
        <v>0</v>
      </c>
      <c r="AC309" s="443" t="e">
        <f>IF(U309&gt;0,Ruimtestaat[[#This Row],[Prest. (m2 / jaar) werkdagen BSO]]/Ruimtestaat[[#This Row],[Norm (m2/uur) werkdagen]],0)</f>
        <v>#DIV/0!</v>
      </c>
      <c r="AD309" s="443" t="e">
        <f>Ruimtestaat[[#This Row],[uren / jaar werkdagen BSO]]*Tariefsopbouw!$E$35</f>
        <v>#DIV/0!</v>
      </c>
      <c r="AE309" s="444">
        <f>Ruimtestaat[[#This Row],[uren / jaar werkdagen]]*Tariefsopbouw!$E$35</f>
        <v>0</v>
      </c>
      <c r="AF309" s="434"/>
      <c r="AG309" s="434">
        <f>IF(Ruimtestaat[[#This Row],[Frequentie weekend]]&gt;0,VALUE(LEFT(AF309,1))*S309,0)</f>
        <v>0</v>
      </c>
      <c r="AH309" s="445">
        <f>IF($AG309&gt;0,VLOOKUP($J309,Ruimtegroepen[],3,FALSE)*VLOOKUP($L309,Vloersoorten[],3,FALSE)*VLOOKUP($AF309,Frequenties[],3,FALSE)*VLOOKUP(Ruimtestaat[[#This Row],[Code]],Locaties[],3,FALSE),0)</f>
        <v>0</v>
      </c>
      <c r="AI309" s="445">
        <f>Ruimtestaat[[#This Row],[Uitvoeringen weekend]]*Ruimtestaat[[#This Row],[Oppervlak (netto)]]</f>
        <v>0</v>
      </c>
      <c r="AJ309" s="445">
        <f>IF(AH309&gt;0,Ruimtestaat[[#This Row],[Prest. (m2 /jaar) weekend]]/Ruimtestaat[[#This Row],[Norm (m2/uur) weekend]],0)</f>
        <v>0</v>
      </c>
      <c r="AK309" s="444">
        <f>Ruimtestaat[[#This Row],[uren / jaar weekend]]*Tariefsopbouw!$D$40</f>
        <v>0</v>
      </c>
      <c r="AL309" s="441">
        <f>Ruimtestaat[[#This Row],[Prest. (m2 /jaar) weekend]]+Ruimtestaat[[#This Row],[Prest. (m2 /jaar) werkdagen]]</f>
        <v>10800</v>
      </c>
      <c r="AM309" s="441">
        <f>Ruimtestaat[[#This Row],[uren / jaar weekend]]+Ruimtestaat[[#This Row],[uren / jaar werkdagen]]</f>
        <v>0</v>
      </c>
      <c r="AN309" s="446">
        <f>Ruimtestaat[[#This Row],[kosten / jaar weekend]]+Ruimtestaat[[#This Row],[kosten / jaar werkdagen]]</f>
        <v>0</v>
      </c>
      <c r="AO309" s="446"/>
      <c r="AP309" s="447" t="str">
        <f>IF(Ruimtestaat[[#This Row],[Frequentie werkdagen]]="","",_xlfn.CONCAT(Ruimtestaat[[#This Row],[Ruimte code]],"-",Ruimtestaat[[#This Row],[Frequentie werkdagen]]," ",Ruimtestaat[[#This Row],[Vloer code]]))</f>
        <v>16-5w L</v>
      </c>
      <c r="AQ309" s="448" t="str">
        <f>_xlfn.IFNA(VLOOKUP($AP309,Programma!$F$3:$G$1101,2,0),"")</f>
        <v>_</v>
      </c>
      <c r="AR309" s="448" t="str">
        <f>_xlfn.IFNA(VLOOKUP($AP309,Programma!$F$3:$H$1101,3,0),"")</f>
        <v>_</v>
      </c>
      <c r="AS309" s="448" t="str">
        <f>_xlfn.IFNA(VLOOKUP($AP309,Programma!$F$3:$I$1101,4,0),"")</f>
        <v>4w</v>
      </c>
      <c r="AT309" s="448" t="str">
        <f>_xlfn.IFNA(VLOOKUP($AP309,Programma!$F$3:$J$1101,5,0),"")</f>
        <v>1w</v>
      </c>
      <c r="AU309" s="448" t="str">
        <f>_xlfn.IFNA(VLOOKUP($AP309,Programma!$F$3:$K$1101,6,0),"")</f>
        <v>_</v>
      </c>
      <c r="AV309" s="448" t="str">
        <f>_xlfn.IFNA(VLOOKUP($AP309,Programma!$F$3:$L$1101,7,0),"")</f>
        <v>_</v>
      </c>
      <c r="AW309" s="448" t="str">
        <f>_xlfn.IFNA(VLOOKUP($AP309,Programma!$F$3:$M$1101,8,0),"")</f>
        <v>_</v>
      </c>
      <c r="AX309" s="448" t="str">
        <f>_xlfn.IFNA(VLOOKUP($AP309,Programma!$F$3:$N$1101,9,0),"")</f>
        <v>_</v>
      </c>
      <c r="AY309" s="448" t="str">
        <f>_xlfn.IFNA(VLOOKUP($AP309,Programma!$F$3:$O$1101,10,0),"")</f>
        <v>5w</v>
      </c>
      <c r="AZ309" s="448" t="str">
        <f>_xlfn.IFNA(VLOOKUP($AP309,Programma!$F$3:$P$1101,11,0),"")</f>
        <v>5w</v>
      </c>
      <c r="BA309" s="448" t="str">
        <f>_xlfn.IFNA(VLOOKUP($AP309,Programma!$F$3:$Q$1101,12,0),"")</f>
        <v>1w</v>
      </c>
      <c r="BB309" s="448" t="str">
        <f>_xlfn.IFNA(VLOOKUP($AP309,Programma!$F$3:$R$1101,13,0),"")</f>
        <v>1w</v>
      </c>
      <c r="BC309" s="448" t="str">
        <f>_xlfn.IFNA(VLOOKUP($AP309,Programma!$F$3:$S$1101,14,0),"")</f>
        <v>1m</v>
      </c>
      <c r="BD309" s="448" t="str">
        <f>_xlfn.IFNA(VLOOKUP($AP309,Programma!$F$3:$T$1101,15,0),"")</f>
        <v>2j</v>
      </c>
      <c r="BE309" s="448" t="str">
        <f>_xlfn.IFNA(VLOOKUP($AP309,Programma!$F$3:$U$1101,16,0),"")</f>
        <v>1j</v>
      </c>
      <c r="BF309" s="448" t="str">
        <f>_xlfn.IFNA(VLOOKUP($AP309,Programma!$F$3:$V$1101,17,0),"")</f>
        <v>_</v>
      </c>
      <c r="BG309" s="448" t="str">
        <f>_xlfn.IFNA(VLOOKUP($AP309,Programma!$F$3:$W$1101,18,0),"")</f>
        <v>_</v>
      </c>
      <c r="BH309" s="448" t="str">
        <f>_xlfn.IFNA(VLOOKUP($AP309,Programma!$F$3:$X$1101,19,0),"")</f>
        <v>_</v>
      </c>
      <c r="BI309" s="448" t="str">
        <f>_xlfn.IFNA(VLOOKUP($AP309,Programma!$F$3:$Y$1101,20,0),"")</f>
        <v>_</v>
      </c>
      <c r="BJ309" s="449"/>
      <c r="BK309" s="447" t="str">
        <f>IF(Ruimtestaat[[#This Row],[Frequentie weekend]]="","",_xlfn.CONCAT(Ruimtestaat[[#This Row],[Ruimte code]],"-",Ruimtestaat[[#This Row],[Frequentie weekend]]," ",Ruimtestaat[[#This Row],[Vloer code]]))</f>
        <v/>
      </c>
      <c r="BL309" s="448" t="str">
        <f>_xlfn.IFNA(VLOOKUP($BK309,Programma!$F$3:$G$1101,2,0),"")</f>
        <v/>
      </c>
      <c r="BM309" s="448" t="str">
        <f>_xlfn.IFNA(VLOOKUP($BK309,Programma!$F$3:$H$1101,3,0),"")</f>
        <v/>
      </c>
      <c r="BN309" s="448" t="str">
        <f>_xlfn.IFNA(VLOOKUP($BK309,Programma!$F$3:$I$1101,4,0),"")</f>
        <v/>
      </c>
      <c r="BO309" s="448" t="str">
        <f>_xlfn.IFNA(VLOOKUP($BK309,Programma!$F$3:$J$1101,5,0),"")</f>
        <v/>
      </c>
      <c r="BP309" s="448" t="str">
        <f>_xlfn.IFNA(VLOOKUP($BK309,Programma!$F$3:$K$1101,6,0),"")</f>
        <v/>
      </c>
      <c r="BQ309" s="448" t="str">
        <f>_xlfn.IFNA(VLOOKUP($BK309,Programma!$F$3:$L$1101,7,0),"")</f>
        <v/>
      </c>
      <c r="BR309" s="448" t="str">
        <f>_xlfn.IFNA(VLOOKUP($BK309,Programma!$F$3:$M$1101,8,0),"")</f>
        <v/>
      </c>
      <c r="BS309" s="448" t="str">
        <f>_xlfn.IFNA(VLOOKUP($BK309,Programma!$F$3:$N$1101,9,0),"")</f>
        <v/>
      </c>
      <c r="BT309" s="448" t="str">
        <f>_xlfn.IFNA(VLOOKUP($BK309,Programma!$F$3:$O$1101,10,0),"")</f>
        <v/>
      </c>
      <c r="BU309" s="448" t="str">
        <f>_xlfn.IFNA(VLOOKUP($BK309,Programma!$F$3:$P$1101,11,0),"")</f>
        <v/>
      </c>
      <c r="BV309" s="448" t="str">
        <f>_xlfn.IFNA(VLOOKUP($BK309,Programma!$F$3:$Q$1101,12,0),"")</f>
        <v/>
      </c>
      <c r="BW309" s="448" t="str">
        <f>_xlfn.IFNA(VLOOKUP($BK309,Programma!$F$3:$R$1101,13,0),"")</f>
        <v/>
      </c>
      <c r="BX309" s="448" t="str">
        <f>_xlfn.IFNA(VLOOKUP($BK309,Programma!$F$3:$S$1101,14,0),"")</f>
        <v/>
      </c>
      <c r="BY309" s="448" t="str">
        <f>_xlfn.IFNA(VLOOKUP($BK309,Programma!$F$3:$T$1101,15,0),"")</f>
        <v/>
      </c>
      <c r="BZ309" s="448" t="str">
        <f>_xlfn.IFNA(VLOOKUP($BK309,Programma!$F$3:$U$1101,16,0),"")</f>
        <v/>
      </c>
      <c r="CA309" s="448" t="str">
        <f>_xlfn.IFNA(VLOOKUP($BK309,Programma!$F$3:$V$1101,17,0),"")</f>
        <v/>
      </c>
      <c r="CB309" s="448" t="str">
        <f>_xlfn.IFNA(VLOOKUP($BK309,Programma!$F$3:$W$1101,18,0),"")</f>
        <v/>
      </c>
      <c r="CC309" s="448" t="str">
        <f>_xlfn.IFNA(VLOOKUP($BK309,Programma!$F$3:$X$1101,19,0),"")</f>
        <v/>
      </c>
      <c r="CD309" s="448" t="str">
        <f>_xlfn.IFNA(VLOOKUP($BK309,Programma!$F$3:$Y$1101,20,0),"")</f>
        <v/>
      </c>
      <c r="CE309" s="327"/>
      <c r="CF309" s="327"/>
      <c r="CG309" s="327"/>
      <c r="CH309" s="327"/>
      <c r="CI309" s="327"/>
      <c r="CJ309" s="327"/>
      <c r="CK309" s="327"/>
      <c r="CL309" s="327"/>
      <c r="CM309" s="327"/>
      <c r="CN309" s="327"/>
      <c r="CO309" s="327"/>
      <c r="CP309" s="327"/>
      <c r="CQ309" s="327"/>
      <c r="CR309" s="327"/>
      <c r="CS309" s="327"/>
      <c r="CT309" s="327"/>
      <c r="CU309" s="327"/>
      <c r="CV309" s="327"/>
      <c r="CW309" s="327"/>
      <c r="CX309" s="327"/>
      <c r="CY309" s="327"/>
      <c r="CZ309" s="327"/>
      <c r="DA309" s="327"/>
      <c r="DB309" s="327"/>
      <c r="DC309" s="327"/>
      <c r="DD309" s="327"/>
      <c r="DE309" s="327"/>
      <c r="DF309" s="327"/>
      <c r="DG309" s="327"/>
      <c r="DH309" s="327"/>
      <c r="DI309" s="327"/>
      <c r="DJ309" s="327"/>
      <c r="DK309" s="327"/>
      <c r="DL309" s="327"/>
      <c r="DM309" s="327"/>
      <c r="DN309" s="327"/>
      <c r="DO309" s="327"/>
      <c r="DP309" s="327"/>
      <c r="DQ309" s="327"/>
      <c r="DR309" s="327"/>
      <c r="DS309" s="327"/>
      <c r="DT309" s="327"/>
      <c r="DU309" s="327"/>
      <c r="DV309" s="327"/>
      <c r="DW309" s="327"/>
      <c r="DX309" s="327"/>
      <c r="DY309" s="327"/>
      <c r="DZ309" s="327"/>
      <c r="EA309" s="327"/>
      <c r="EB309" s="327"/>
      <c r="EC309" s="327"/>
      <c r="ED309" s="327"/>
      <c r="EE309" s="327"/>
      <c r="EF309" s="327"/>
      <c r="EG309" s="327"/>
      <c r="EH309" s="327"/>
      <c r="EI309" s="327"/>
      <c r="EJ309" s="327"/>
      <c r="EK309" s="327"/>
      <c r="EL309" s="327"/>
      <c r="EM309" s="327"/>
      <c r="EN309" s="327"/>
      <c r="EO309" s="327"/>
      <c r="EP309" s="327"/>
      <c r="EQ309" s="327"/>
      <c r="ER309" s="327"/>
      <c r="ES309" s="327"/>
      <c r="ET309" s="327"/>
      <c r="EU309" s="327"/>
      <c r="EV309" s="327"/>
      <c r="EW309" s="327"/>
      <c r="EX309" s="327"/>
      <c r="EY309" s="327"/>
      <c r="EZ309" s="327"/>
      <c r="FA309" s="327"/>
      <c r="FB309" s="327"/>
      <c r="FC309" s="327"/>
      <c r="FD309" s="327"/>
      <c r="FE309" s="327"/>
      <c r="FF309" s="327"/>
      <c r="FG309" s="327"/>
      <c r="FH309" s="327"/>
      <c r="FI309" s="327"/>
      <c r="FJ309" s="327"/>
      <c r="FK309" s="327"/>
      <c r="FL309" s="327"/>
      <c r="FM309" s="327"/>
      <c r="FN309" s="327"/>
      <c r="FO309" s="327"/>
      <c r="FP309" s="327"/>
      <c r="FQ309" s="327"/>
      <c r="FR309" s="327"/>
      <c r="FS309" s="327"/>
      <c r="FT309" s="327"/>
      <c r="FU309" s="327"/>
      <c r="FV309" s="327"/>
      <c r="FW309" s="327"/>
      <c r="FX309" s="327"/>
      <c r="FY309" s="327"/>
      <c r="FZ309" s="327"/>
      <c r="GA309" s="327"/>
      <c r="GB309" s="327"/>
      <c r="GC309" s="327"/>
      <c r="GD309" s="327"/>
      <c r="GE309" s="327"/>
      <c r="GF309" s="327"/>
      <c r="GG309" s="327"/>
      <c r="GH309" s="327"/>
      <c r="GI309" s="327"/>
      <c r="GJ309" s="327"/>
      <c r="GK309" s="327"/>
      <c r="GL309" s="327"/>
      <c r="GM309" s="327"/>
      <c r="GN309" s="327"/>
      <c r="GO309" s="327"/>
      <c r="GP309" s="327"/>
      <c r="GQ309" s="327"/>
      <c r="GR309" s="327"/>
      <c r="GS309" s="327"/>
      <c r="GT309" s="327"/>
      <c r="GU309" s="327"/>
      <c r="GV309" s="327"/>
      <c r="GW309" s="327"/>
      <c r="GX309" s="327"/>
      <c r="GY309" s="327"/>
      <c r="GZ309" s="327"/>
      <c r="HA309" s="327"/>
      <c r="HB309" s="327"/>
      <c r="HC309" s="327"/>
      <c r="HD309" s="327"/>
      <c r="HE309" s="327"/>
      <c r="HF309" s="327"/>
      <c r="HG309" s="327"/>
      <c r="HH309" s="327"/>
      <c r="HI309" s="327"/>
      <c r="HJ309" s="327"/>
      <c r="HK309" s="327"/>
      <c r="HL309" s="327"/>
      <c r="HM309" s="327"/>
      <c r="HN309" s="327"/>
      <c r="HO309" s="327"/>
      <c r="HP309" s="327"/>
      <c r="HQ309" s="327"/>
      <c r="HR309" s="327"/>
      <c r="HS309" s="327"/>
    </row>
    <row r="310" spans="1:227" ht="15" customHeight="1">
      <c r="A310" s="330">
        <v>13</v>
      </c>
      <c r="B310" s="435" t="str">
        <f>VLOOKUP(Ruimtestaat[[#This Row],[Code]],Locaties[[Code]:[Locatie]],2,FALSE)</f>
        <v>IKC Florence Nightingale</v>
      </c>
      <c r="C310" s="435" t="str">
        <f>VLOOKUP(Ruimtestaat[[#This Row],[Code]],Locaties[[#All],[Code]:[Adres]],4,FALSE)</f>
        <v>Zanzibarplein 90</v>
      </c>
      <c r="D310" s="435" t="str">
        <f>VLOOKUP(Ruimtestaat[[#This Row],[Code]],Locaties[[#All],[Code]:[Postcode]],5,FALSE)</f>
        <v>2721 GE</v>
      </c>
      <c r="E310" s="435" t="str">
        <f>VLOOKUP(Ruimtestaat[[#This Row],[Code]],Locaties[#All],6,FALSE)</f>
        <v>Zoetermeer</v>
      </c>
      <c r="F310" s="450"/>
      <c r="G310" s="330" t="s">
        <v>1769</v>
      </c>
      <c r="H310" s="330" t="s">
        <v>1730</v>
      </c>
      <c r="I310" s="450" t="s">
        <v>1679</v>
      </c>
      <c r="J310" s="330">
        <v>16</v>
      </c>
      <c r="K310" s="450" t="str">
        <f>VLOOKUP(Ruimtestaat[[#This Row],[Ruimte code]],Ruimtegroepen[[#All],[Code]:[Ruimte omschrijving]],2,FALSE)</f>
        <v>Leslokalen</v>
      </c>
      <c r="L310" s="434" t="s">
        <v>100</v>
      </c>
      <c r="M310" s="437" t="s">
        <v>1759</v>
      </c>
      <c r="N310" s="439">
        <v>55</v>
      </c>
      <c r="O310" s="439"/>
      <c r="P310" s="439"/>
      <c r="Q310" s="439"/>
      <c r="R310" s="440" t="str">
        <f>VLOOKUP(Ruimtestaat[[#This Row],[Ruimte code]],Ruimtegroepen[],4,FALSE)</f>
        <v>Le</v>
      </c>
      <c r="S310" s="434">
        <v>40</v>
      </c>
      <c r="T310" s="434" t="s">
        <v>2</v>
      </c>
      <c r="U310" s="434">
        <f>IF(S310&gt;0,IF(RIGHT(Ruimtestaat[[#This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0" s="434">
        <f>IF(U310&gt;0,VLOOKUP($J310,Ruimtegroepen[],3,FALSE)*VLOOKUP($L310,Vloersoorten[],3,FALSE)*VLOOKUP($T310,Frequenties[],3,FALSE)*VLOOKUP($A310,Locaties[],3,FALSE),0)</f>
        <v>0</v>
      </c>
      <c r="W310" s="434">
        <f>Ruimtestaat[[#This Row],[Uitvoeringen werkdagen]]*Ruimtestaat[[#This Row],[Oppervlak (netto)]]</f>
        <v>11000</v>
      </c>
      <c r="X310" s="441">
        <f>IF(V310&gt;0,Ruimtestaat[[#This Row],[Prest. (m2 /jaar) werkdagen]]/Ruimtestaat[[#This Row],[Norm (m2/uur) werkdagen]],0)</f>
        <v>0</v>
      </c>
      <c r="Y310" s="442">
        <f>Ruimtestaat[[#This Row],[Uitvoeringen werkdagen]]*Ruimtestaat[[#This Row],[Gedeeltelijk]]</f>
        <v>0</v>
      </c>
      <c r="Z310" s="443" t="e">
        <f>IF(U310&gt;0,Ruimtestaat[[#This Row],[Prest. (m2 / jaar) werkdagen gedeeld]]/Ruimtestaat[[#This Row],[Norm (m2/uur) werkdagen]],0)</f>
        <v>#DIV/0!</v>
      </c>
      <c r="AA310" s="441" t="e">
        <f>Ruimtestaat[[#This Row],[uren / jaar werkdagen gedeeld]]*Tariefsopbouw!$E$35</f>
        <v>#DIV/0!</v>
      </c>
      <c r="AB310" s="441">
        <f>Ruimtestaat[[#This Row],[Uitvoeringen werkdagen]]*Ruimtestaat[[#This Row],[BSO]]</f>
        <v>0</v>
      </c>
      <c r="AC310" s="443" t="e">
        <f>IF(U310&gt;0,Ruimtestaat[[#This Row],[Prest. (m2 / jaar) werkdagen BSO]]/Ruimtestaat[[#This Row],[Norm (m2/uur) werkdagen]],0)</f>
        <v>#DIV/0!</v>
      </c>
      <c r="AD310" s="443" t="e">
        <f>Ruimtestaat[[#This Row],[uren / jaar werkdagen BSO]]*Tariefsopbouw!$E$35</f>
        <v>#DIV/0!</v>
      </c>
      <c r="AE310" s="444">
        <f>Ruimtestaat[[#This Row],[uren / jaar werkdagen]]*Tariefsopbouw!$E$35</f>
        <v>0</v>
      </c>
      <c r="AF310" s="434"/>
      <c r="AG310" s="434">
        <f>IF(Ruimtestaat[[#This Row],[Frequentie weekend]]&gt;0,VALUE(LEFT(AF310,1))*S310,0)</f>
        <v>0</v>
      </c>
      <c r="AH310" s="445">
        <f>IF($AG310&gt;0,VLOOKUP($J310,Ruimtegroepen[],3,FALSE)*VLOOKUP($L310,Vloersoorten[],3,FALSE)*VLOOKUP($AF310,Frequenties[],3,FALSE)*VLOOKUP(Ruimtestaat[[#This Row],[Code]],Locaties[],3,FALSE),0)</f>
        <v>0</v>
      </c>
      <c r="AI310" s="445">
        <f>Ruimtestaat[[#This Row],[Uitvoeringen weekend]]*Ruimtestaat[[#This Row],[Oppervlak (netto)]]</f>
        <v>0</v>
      </c>
      <c r="AJ310" s="445">
        <f>IF(AH310&gt;0,Ruimtestaat[[#This Row],[Prest. (m2 /jaar) weekend]]/Ruimtestaat[[#This Row],[Norm (m2/uur) weekend]],0)</f>
        <v>0</v>
      </c>
      <c r="AK310" s="444">
        <f>Ruimtestaat[[#This Row],[uren / jaar weekend]]*Tariefsopbouw!$D$40</f>
        <v>0</v>
      </c>
      <c r="AL310" s="441">
        <f>Ruimtestaat[[#This Row],[Prest. (m2 /jaar) weekend]]+Ruimtestaat[[#This Row],[Prest. (m2 /jaar) werkdagen]]</f>
        <v>11000</v>
      </c>
      <c r="AM310" s="441">
        <f>Ruimtestaat[[#This Row],[uren / jaar weekend]]+Ruimtestaat[[#This Row],[uren / jaar werkdagen]]</f>
        <v>0</v>
      </c>
      <c r="AN310" s="446">
        <f>Ruimtestaat[[#This Row],[kosten / jaar weekend]]+Ruimtestaat[[#This Row],[kosten / jaar werkdagen]]</f>
        <v>0</v>
      </c>
      <c r="AO310" s="446"/>
      <c r="AP310" s="447" t="str">
        <f>IF(Ruimtestaat[[#This Row],[Frequentie werkdagen]]="","",_xlfn.CONCAT(Ruimtestaat[[#This Row],[Ruimte code]],"-",Ruimtestaat[[#This Row],[Frequentie werkdagen]]," ",Ruimtestaat[[#This Row],[Vloer code]]))</f>
        <v>16-5w L</v>
      </c>
      <c r="AQ310" s="448" t="str">
        <f>_xlfn.IFNA(VLOOKUP($AP310,Programma!$F$3:$G$1101,2,0),"")</f>
        <v>_</v>
      </c>
      <c r="AR310" s="448" t="str">
        <f>_xlfn.IFNA(VLOOKUP($AP310,Programma!$F$3:$H$1101,3,0),"")</f>
        <v>_</v>
      </c>
      <c r="AS310" s="448" t="str">
        <f>_xlfn.IFNA(VLOOKUP($AP310,Programma!$F$3:$I$1101,4,0),"")</f>
        <v>4w</v>
      </c>
      <c r="AT310" s="448" t="str">
        <f>_xlfn.IFNA(VLOOKUP($AP310,Programma!$F$3:$J$1101,5,0),"")</f>
        <v>1w</v>
      </c>
      <c r="AU310" s="448" t="str">
        <f>_xlfn.IFNA(VLOOKUP($AP310,Programma!$F$3:$K$1101,6,0),"")</f>
        <v>_</v>
      </c>
      <c r="AV310" s="448" t="str">
        <f>_xlfn.IFNA(VLOOKUP($AP310,Programma!$F$3:$L$1101,7,0),"")</f>
        <v>_</v>
      </c>
      <c r="AW310" s="448" t="str">
        <f>_xlfn.IFNA(VLOOKUP($AP310,Programma!$F$3:$M$1101,8,0),"")</f>
        <v>_</v>
      </c>
      <c r="AX310" s="448" t="str">
        <f>_xlfn.IFNA(VLOOKUP($AP310,Programma!$F$3:$N$1101,9,0),"")</f>
        <v>_</v>
      </c>
      <c r="AY310" s="448" t="str">
        <f>_xlfn.IFNA(VLOOKUP($AP310,Programma!$F$3:$O$1101,10,0),"")</f>
        <v>5w</v>
      </c>
      <c r="AZ310" s="448" t="str">
        <f>_xlfn.IFNA(VLOOKUP($AP310,Programma!$F$3:$P$1101,11,0),"")</f>
        <v>5w</v>
      </c>
      <c r="BA310" s="448" t="str">
        <f>_xlfn.IFNA(VLOOKUP($AP310,Programma!$F$3:$Q$1101,12,0),"")</f>
        <v>1w</v>
      </c>
      <c r="BB310" s="448" t="str">
        <f>_xlfn.IFNA(VLOOKUP($AP310,Programma!$F$3:$R$1101,13,0),"")</f>
        <v>1w</v>
      </c>
      <c r="BC310" s="448" t="str">
        <f>_xlfn.IFNA(VLOOKUP($AP310,Programma!$F$3:$S$1101,14,0),"")</f>
        <v>1m</v>
      </c>
      <c r="BD310" s="448" t="str">
        <f>_xlfn.IFNA(VLOOKUP($AP310,Programma!$F$3:$T$1101,15,0),"")</f>
        <v>2j</v>
      </c>
      <c r="BE310" s="448" t="str">
        <f>_xlfn.IFNA(VLOOKUP($AP310,Programma!$F$3:$U$1101,16,0),"")</f>
        <v>1j</v>
      </c>
      <c r="BF310" s="448" t="str">
        <f>_xlfn.IFNA(VLOOKUP($AP310,Programma!$F$3:$V$1101,17,0),"")</f>
        <v>_</v>
      </c>
      <c r="BG310" s="448" t="str">
        <f>_xlfn.IFNA(VLOOKUP($AP310,Programma!$F$3:$W$1101,18,0),"")</f>
        <v>_</v>
      </c>
      <c r="BH310" s="448" t="str">
        <f>_xlfn.IFNA(VLOOKUP($AP310,Programma!$F$3:$X$1101,19,0),"")</f>
        <v>_</v>
      </c>
      <c r="BI310" s="448" t="str">
        <f>_xlfn.IFNA(VLOOKUP($AP310,Programma!$F$3:$Y$1101,20,0),"")</f>
        <v>_</v>
      </c>
      <c r="BJ310" s="449"/>
      <c r="BK310" s="447" t="str">
        <f>IF(Ruimtestaat[[#This Row],[Frequentie weekend]]="","",_xlfn.CONCAT(Ruimtestaat[[#This Row],[Ruimte code]],"-",Ruimtestaat[[#This Row],[Frequentie weekend]]," ",Ruimtestaat[[#This Row],[Vloer code]]))</f>
        <v/>
      </c>
      <c r="BL310" s="448" t="str">
        <f>_xlfn.IFNA(VLOOKUP($BK310,Programma!$F$3:$G$1101,2,0),"")</f>
        <v/>
      </c>
      <c r="BM310" s="448" t="str">
        <f>_xlfn.IFNA(VLOOKUP($BK310,Programma!$F$3:$H$1101,3,0),"")</f>
        <v/>
      </c>
      <c r="BN310" s="448" t="str">
        <f>_xlfn.IFNA(VLOOKUP($BK310,Programma!$F$3:$I$1101,4,0),"")</f>
        <v/>
      </c>
      <c r="BO310" s="448" t="str">
        <f>_xlfn.IFNA(VLOOKUP($BK310,Programma!$F$3:$J$1101,5,0),"")</f>
        <v/>
      </c>
      <c r="BP310" s="448" t="str">
        <f>_xlfn.IFNA(VLOOKUP($BK310,Programma!$F$3:$K$1101,6,0),"")</f>
        <v/>
      </c>
      <c r="BQ310" s="448" t="str">
        <f>_xlfn.IFNA(VLOOKUP($BK310,Programma!$F$3:$L$1101,7,0),"")</f>
        <v/>
      </c>
      <c r="BR310" s="448" t="str">
        <f>_xlfn.IFNA(VLOOKUP($BK310,Programma!$F$3:$M$1101,8,0),"")</f>
        <v/>
      </c>
      <c r="BS310" s="448" t="str">
        <f>_xlfn.IFNA(VLOOKUP($BK310,Programma!$F$3:$N$1101,9,0),"")</f>
        <v/>
      </c>
      <c r="BT310" s="448" t="str">
        <f>_xlfn.IFNA(VLOOKUP($BK310,Programma!$F$3:$O$1101,10,0),"")</f>
        <v/>
      </c>
      <c r="BU310" s="448" t="str">
        <f>_xlfn.IFNA(VLOOKUP($BK310,Programma!$F$3:$P$1101,11,0),"")</f>
        <v/>
      </c>
      <c r="BV310" s="448" t="str">
        <f>_xlfn.IFNA(VLOOKUP($BK310,Programma!$F$3:$Q$1101,12,0),"")</f>
        <v/>
      </c>
      <c r="BW310" s="448" t="str">
        <f>_xlfn.IFNA(VLOOKUP($BK310,Programma!$F$3:$R$1101,13,0),"")</f>
        <v/>
      </c>
      <c r="BX310" s="448" t="str">
        <f>_xlfn.IFNA(VLOOKUP($BK310,Programma!$F$3:$S$1101,14,0),"")</f>
        <v/>
      </c>
      <c r="BY310" s="448" t="str">
        <f>_xlfn.IFNA(VLOOKUP($BK310,Programma!$F$3:$T$1101,15,0),"")</f>
        <v/>
      </c>
      <c r="BZ310" s="448" t="str">
        <f>_xlfn.IFNA(VLOOKUP($BK310,Programma!$F$3:$U$1101,16,0),"")</f>
        <v/>
      </c>
      <c r="CA310" s="448" t="str">
        <f>_xlfn.IFNA(VLOOKUP($BK310,Programma!$F$3:$V$1101,17,0),"")</f>
        <v/>
      </c>
      <c r="CB310" s="448" t="str">
        <f>_xlfn.IFNA(VLOOKUP($BK310,Programma!$F$3:$W$1101,18,0),"")</f>
        <v/>
      </c>
      <c r="CC310" s="448" t="str">
        <f>_xlfn.IFNA(VLOOKUP($BK310,Programma!$F$3:$X$1101,19,0),"")</f>
        <v/>
      </c>
      <c r="CD310" s="448" t="str">
        <f>_xlfn.IFNA(VLOOKUP($BK310,Programma!$F$3:$Y$1101,20,0),"")</f>
        <v/>
      </c>
      <c r="CE310" s="327"/>
      <c r="CF310" s="327"/>
      <c r="CG310" s="327"/>
      <c r="CH310" s="327"/>
      <c r="CI310" s="327"/>
      <c r="CJ310" s="327"/>
      <c r="CK310" s="327"/>
      <c r="CL310" s="327"/>
      <c r="CM310" s="327"/>
      <c r="CN310" s="327"/>
      <c r="CO310" s="327"/>
      <c r="CP310" s="327"/>
      <c r="CQ310" s="327"/>
      <c r="CR310" s="327"/>
      <c r="CS310" s="327"/>
      <c r="CT310" s="327"/>
      <c r="CU310" s="327"/>
      <c r="CV310" s="327"/>
      <c r="CW310" s="327"/>
      <c r="CX310" s="327"/>
      <c r="CY310" s="327"/>
      <c r="CZ310" s="327"/>
      <c r="DA310" s="327"/>
      <c r="DB310" s="327"/>
      <c r="DC310" s="327"/>
      <c r="DD310" s="327"/>
      <c r="DE310" s="327"/>
      <c r="DF310" s="327"/>
      <c r="DG310" s="327"/>
      <c r="DH310" s="327"/>
      <c r="DI310" s="327"/>
      <c r="DJ310" s="327"/>
      <c r="DK310" s="327"/>
      <c r="DL310" s="327"/>
      <c r="DM310" s="327"/>
      <c r="DN310" s="327"/>
      <c r="DO310" s="327"/>
      <c r="DP310" s="327"/>
      <c r="DQ310" s="327"/>
      <c r="DR310" s="327"/>
      <c r="DS310" s="327"/>
      <c r="DT310" s="327"/>
      <c r="DU310" s="327"/>
      <c r="DV310" s="327"/>
      <c r="DW310" s="327"/>
      <c r="DX310" s="327"/>
      <c r="DY310" s="327"/>
      <c r="DZ310" s="327"/>
      <c r="EA310" s="327"/>
      <c r="EB310" s="327"/>
      <c r="EC310" s="327"/>
      <c r="ED310" s="327"/>
      <c r="EE310" s="327"/>
      <c r="EF310" s="327"/>
      <c r="EG310" s="327"/>
      <c r="EH310" s="327"/>
      <c r="EI310" s="327"/>
      <c r="EJ310" s="327"/>
      <c r="EK310" s="327"/>
      <c r="EL310" s="327"/>
      <c r="EM310" s="327"/>
      <c r="EN310" s="327"/>
      <c r="EO310" s="327"/>
      <c r="EP310" s="327"/>
      <c r="EQ310" s="327"/>
      <c r="ER310" s="327"/>
      <c r="ES310" s="327"/>
      <c r="ET310" s="327"/>
      <c r="EU310" s="327"/>
      <c r="EV310" s="327"/>
      <c r="EW310" s="327"/>
      <c r="EX310" s="327"/>
      <c r="EY310" s="327"/>
      <c r="EZ310" s="327"/>
      <c r="FA310" s="327"/>
      <c r="FB310" s="327"/>
      <c r="FC310" s="327"/>
      <c r="FD310" s="327"/>
      <c r="FE310" s="327"/>
      <c r="FF310" s="327"/>
      <c r="FG310" s="327"/>
      <c r="FH310" s="327"/>
      <c r="FI310" s="327"/>
      <c r="FJ310" s="327"/>
      <c r="FK310" s="327"/>
      <c r="FL310" s="327"/>
      <c r="FM310" s="327"/>
      <c r="FN310" s="327"/>
      <c r="FO310" s="327"/>
      <c r="FP310" s="327"/>
      <c r="FQ310" s="327"/>
      <c r="FR310" s="327"/>
      <c r="FS310" s="327"/>
      <c r="FT310" s="327"/>
      <c r="FU310" s="327"/>
      <c r="FV310" s="327"/>
      <c r="FW310" s="327"/>
      <c r="FX310" s="327"/>
      <c r="FY310" s="327"/>
      <c r="FZ310" s="327"/>
      <c r="GA310" s="327"/>
      <c r="GB310" s="327"/>
      <c r="GC310" s="327"/>
      <c r="GD310" s="327"/>
      <c r="GE310" s="327"/>
      <c r="GF310" s="327"/>
      <c r="GG310" s="327"/>
      <c r="GH310" s="327"/>
      <c r="GI310" s="327"/>
      <c r="GJ310" s="327"/>
      <c r="GK310" s="327"/>
      <c r="GL310" s="327"/>
      <c r="GM310" s="327"/>
      <c r="GN310" s="327"/>
      <c r="GO310" s="327"/>
      <c r="GP310" s="327"/>
      <c r="GQ310" s="327"/>
      <c r="GR310" s="327"/>
      <c r="GS310" s="327"/>
      <c r="GT310" s="327"/>
      <c r="GU310" s="327"/>
      <c r="GV310" s="327"/>
      <c r="GW310" s="327"/>
      <c r="GX310" s="327"/>
      <c r="GY310" s="327"/>
      <c r="GZ310" s="327"/>
      <c r="HA310" s="327"/>
      <c r="HB310" s="327"/>
      <c r="HC310" s="327"/>
      <c r="HD310" s="327"/>
      <c r="HE310" s="327"/>
      <c r="HF310" s="327"/>
      <c r="HG310" s="327"/>
      <c r="HH310" s="327"/>
      <c r="HI310" s="327"/>
      <c r="HJ310" s="327"/>
      <c r="HK310" s="327"/>
      <c r="HL310" s="327"/>
      <c r="HM310" s="327"/>
      <c r="HN310" s="327"/>
      <c r="HO310" s="327"/>
      <c r="HP310" s="327"/>
      <c r="HQ310" s="327"/>
      <c r="HR310" s="327"/>
      <c r="HS310" s="327"/>
    </row>
    <row r="311" spans="1:227" ht="15" customHeight="1">
      <c r="A311" s="330">
        <v>13</v>
      </c>
      <c r="B311" s="435" t="str">
        <f>VLOOKUP(Ruimtestaat[[#This Row],[Code]],Locaties[[Code]:[Locatie]],2,FALSE)</f>
        <v>IKC Florence Nightingale</v>
      </c>
      <c r="C311" s="435" t="str">
        <f>VLOOKUP(Ruimtestaat[[#This Row],[Code]],Locaties[[#All],[Code]:[Adres]],4,FALSE)</f>
        <v>Zanzibarplein 90</v>
      </c>
      <c r="D311" s="435" t="str">
        <f>VLOOKUP(Ruimtestaat[[#This Row],[Code]],Locaties[[#All],[Code]:[Postcode]],5,FALSE)</f>
        <v>2721 GE</v>
      </c>
      <c r="E311" s="435" t="str">
        <f>VLOOKUP(Ruimtestaat[[#This Row],[Code]],Locaties[#All],6,FALSE)</f>
        <v>Zoetermeer</v>
      </c>
      <c r="F311" s="450"/>
      <c r="G311" s="330" t="s">
        <v>1769</v>
      </c>
      <c r="H311" s="330" t="s">
        <v>1732</v>
      </c>
      <c r="I311" s="450" t="s">
        <v>1679</v>
      </c>
      <c r="J311" s="330">
        <v>16</v>
      </c>
      <c r="K311" s="450" t="str">
        <f>VLOOKUP(Ruimtestaat[[#This Row],[Ruimte code]],Ruimtegroepen[[#All],[Code]:[Ruimte omschrijving]],2,FALSE)</f>
        <v>Leslokalen</v>
      </c>
      <c r="L311" s="434" t="s">
        <v>100</v>
      </c>
      <c r="M311" s="437" t="s">
        <v>1759</v>
      </c>
      <c r="N311" s="439">
        <v>55</v>
      </c>
      <c r="O311" s="439"/>
      <c r="P311" s="439"/>
      <c r="Q311" s="439"/>
      <c r="R311" s="440" t="str">
        <f>VLOOKUP(Ruimtestaat[[#This Row],[Ruimte code]],Ruimtegroepen[],4,FALSE)</f>
        <v>Le</v>
      </c>
      <c r="S311" s="434">
        <v>40</v>
      </c>
      <c r="T311" s="434" t="s">
        <v>2</v>
      </c>
      <c r="U311" s="434">
        <f>IF(S311&gt;0,IF(RIGHT(Ruimtestaat[[#This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1" s="434">
        <f>IF(U311&gt;0,VLOOKUP($J311,Ruimtegroepen[],3,FALSE)*VLOOKUP($L311,Vloersoorten[],3,FALSE)*VLOOKUP($T311,Frequenties[],3,FALSE)*VLOOKUP($A311,Locaties[],3,FALSE),0)</f>
        <v>0</v>
      </c>
      <c r="W311" s="434">
        <f>Ruimtestaat[[#This Row],[Uitvoeringen werkdagen]]*Ruimtestaat[[#This Row],[Oppervlak (netto)]]</f>
        <v>11000</v>
      </c>
      <c r="X311" s="441">
        <f>IF(V311&gt;0,Ruimtestaat[[#This Row],[Prest. (m2 /jaar) werkdagen]]/Ruimtestaat[[#This Row],[Norm (m2/uur) werkdagen]],0)</f>
        <v>0</v>
      </c>
      <c r="Y311" s="442">
        <f>Ruimtestaat[[#This Row],[Uitvoeringen werkdagen]]*Ruimtestaat[[#This Row],[Gedeeltelijk]]</f>
        <v>0</v>
      </c>
      <c r="Z311" s="443" t="e">
        <f>IF(U311&gt;0,Ruimtestaat[[#This Row],[Prest. (m2 / jaar) werkdagen gedeeld]]/Ruimtestaat[[#This Row],[Norm (m2/uur) werkdagen]],0)</f>
        <v>#DIV/0!</v>
      </c>
      <c r="AA311" s="441" t="e">
        <f>Ruimtestaat[[#This Row],[uren / jaar werkdagen gedeeld]]*Tariefsopbouw!$E$35</f>
        <v>#DIV/0!</v>
      </c>
      <c r="AB311" s="441">
        <f>Ruimtestaat[[#This Row],[Uitvoeringen werkdagen]]*Ruimtestaat[[#This Row],[BSO]]</f>
        <v>0</v>
      </c>
      <c r="AC311" s="443" t="e">
        <f>IF(U311&gt;0,Ruimtestaat[[#This Row],[Prest. (m2 / jaar) werkdagen BSO]]/Ruimtestaat[[#This Row],[Norm (m2/uur) werkdagen]],0)</f>
        <v>#DIV/0!</v>
      </c>
      <c r="AD311" s="443" t="e">
        <f>Ruimtestaat[[#This Row],[uren / jaar werkdagen BSO]]*Tariefsopbouw!$E$35</f>
        <v>#DIV/0!</v>
      </c>
      <c r="AE311" s="444">
        <f>Ruimtestaat[[#This Row],[uren / jaar werkdagen]]*Tariefsopbouw!$E$35</f>
        <v>0</v>
      </c>
      <c r="AF311" s="434"/>
      <c r="AG311" s="434">
        <f>IF(Ruimtestaat[[#This Row],[Frequentie weekend]]&gt;0,VALUE(LEFT(AF311,1))*S311,0)</f>
        <v>0</v>
      </c>
      <c r="AH311" s="445">
        <f>IF($AG311&gt;0,VLOOKUP($J311,Ruimtegroepen[],3,FALSE)*VLOOKUP($L311,Vloersoorten[],3,FALSE)*VLOOKUP($AF311,Frequenties[],3,FALSE)*VLOOKUP(Ruimtestaat[[#This Row],[Code]],Locaties[],3,FALSE),0)</f>
        <v>0</v>
      </c>
      <c r="AI311" s="445">
        <f>Ruimtestaat[[#This Row],[Uitvoeringen weekend]]*Ruimtestaat[[#This Row],[Oppervlak (netto)]]</f>
        <v>0</v>
      </c>
      <c r="AJ311" s="445">
        <f>IF(AH311&gt;0,Ruimtestaat[[#This Row],[Prest. (m2 /jaar) weekend]]/Ruimtestaat[[#This Row],[Norm (m2/uur) weekend]],0)</f>
        <v>0</v>
      </c>
      <c r="AK311" s="444">
        <f>Ruimtestaat[[#This Row],[uren / jaar weekend]]*Tariefsopbouw!$D$40</f>
        <v>0</v>
      </c>
      <c r="AL311" s="441">
        <f>Ruimtestaat[[#This Row],[Prest. (m2 /jaar) weekend]]+Ruimtestaat[[#This Row],[Prest. (m2 /jaar) werkdagen]]</f>
        <v>11000</v>
      </c>
      <c r="AM311" s="441">
        <f>Ruimtestaat[[#This Row],[uren / jaar weekend]]+Ruimtestaat[[#This Row],[uren / jaar werkdagen]]</f>
        <v>0</v>
      </c>
      <c r="AN311" s="446">
        <f>Ruimtestaat[[#This Row],[kosten / jaar weekend]]+Ruimtestaat[[#This Row],[kosten / jaar werkdagen]]</f>
        <v>0</v>
      </c>
      <c r="AO311" s="446"/>
      <c r="AP311" s="447" t="str">
        <f>IF(Ruimtestaat[[#This Row],[Frequentie werkdagen]]="","",_xlfn.CONCAT(Ruimtestaat[[#This Row],[Ruimte code]],"-",Ruimtestaat[[#This Row],[Frequentie werkdagen]]," ",Ruimtestaat[[#This Row],[Vloer code]]))</f>
        <v>16-5w L</v>
      </c>
      <c r="AQ311" s="448" t="str">
        <f>_xlfn.IFNA(VLOOKUP($AP311,Programma!$F$3:$G$1101,2,0),"")</f>
        <v>_</v>
      </c>
      <c r="AR311" s="448" t="str">
        <f>_xlfn.IFNA(VLOOKUP($AP311,Programma!$F$3:$H$1101,3,0),"")</f>
        <v>_</v>
      </c>
      <c r="AS311" s="448" t="str">
        <f>_xlfn.IFNA(VLOOKUP($AP311,Programma!$F$3:$I$1101,4,0),"")</f>
        <v>4w</v>
      </c>
      <c r="AT311" s="448" t="str">
        <f>_xlfn.IFNA(VLOOKUP($AP311,Programma!$F$3:$J$1101,5,0),"")</f>
        <v>1w</v>
      </c>
      <c r="AU311" s="448" t="str">
        <f>_xlfn.IFNA(VLOOKUP($AP311,Programma!$F$3:$K$1101,6,0),"")</f>
        <v>_</v>
      </c>
      <c r="AV311" s="448" t="str">
        <f>_xlfn.IFNA(VLOOKUP($AP311,Programma!$F$3:$L$1101,7,0),"")</f>
        <v>_</v>
      </c>
      <c r="AW311" s="448" t="str">
        <f>_xlfn.IFNA(VLOOKUP($AP311,Programma!$F$3:$M$1101,8,0),"")</f>
        <v>_</v>
      </c>
      <c r="AX311" s="448" t="str">
        <f>_xlfn.IFNA(VLOOKUP($AP311,Programma!$F$3:$N$1101,9,0),"")</f>
        <v>_</v>
      </c>
      <c r="AY311" s="448" t="str">
        <f>_xlfn.IFNA(VLOOKUP($AP311,Programma!$F$3:$O$1101,10,0),"")</f>
        <v>5w</v>
      </c>
      <c r="AZ311" s="448" t="str">
        <f>_xlfn.IFNA(VLOOKUP($AP311,Programma!$F$3:$P$1101,11,0),"")</f>
        <v>5w</v>
      </c>
      <c r="BA311" s="448" t="str">
        <f>_xlfn.IFNA(VLOOKUP($AP311,Programma!$F$3:$Q$1101,12,0),"")</f>
        <v>1w</v>
      </c>
      <c r="BB311" s="448" t="str">
        <f>_xlfn.IFNA(VLOOKUP($AP311,Programma!$F$3:$R$1101,13,0),"")</f>
        <v>1w</v>
      </c>
      <c r="BC311" s="448" t="str">
        <f>_xlfn.IFNA(VLOOKUP($AP311,Programma!$F$3:$S$1101,14,0),"")</f>
        <v>1m</v>
      </c>
      <c r="BD311" s="448" t="str">
        <f>_xlfn.IFNA(VLOOKUP($AP311,Programma!$F$3:$T$1101,15,0),"")</f>
        <v>2j</v>
      </c>
      <c r="BE311" s="448" t="str">
        <f>_xlfn.IFNA(VLOOKUP($AP311,Programma!$F$3:$U$1101,16,0),"")</f>
        <v>1j</v>
      </c>
      <c r="BF311" s="448" t="str">
        <f>_xlfn.IFNA(VLOOKUP($AP311,Programma!$F$3:$V$1101,17,0),"")</f>
        <v>_</v>
      </c>
      <c r="BG311" s="448" t="str">
        <f>_xlfn.IFNA(VLOOKUP($AP311,Programma!$F$3:$W$1101,18,0),"")</f>
        <v>_</v>
      </c>
      <c r="BH311" s="448" t="str">
        <f>_xlfn.IFNA(VLOOKUP($AP311,Programma!$F$3:$X$1101,19,0),"")</f>
        <v>_</v>
      </c>
      <c r="BI311" s="448" t="str">
        <f>_xlfn.IFNA(VLOOKUP($AP311,Programma!$F$3:$Y$1101,20,0),"")</f>
        <v>_</v>
      </c>
      <c r="BJ311" s="449"/>
      <c r="BK311" s="447" t="str">
        <f>IF(Ruimtestaat[[#This Row],[Frequentie weekend]]="","",_xlfn.CONCAT(Ruimtestaat[[#This Row],[Ruimte code]],"-",Ruimtestaat[[#This Row],[Frequentie weekend]]," ",Ruimtestaat[[#This Row],[Vloer code]]))</f>
        <v/>
      </c>
      <c r="BL311" s="448" t="str">
        <f>_xlfn.IFNA(VLOOKUP($BK311,Programma!$F$3:$G$1101,2,0),"")</f>
        <v/>
      </c>
      <c r="BM311" s="448" t="str">
        <f>_xlfn.IFNA(VLOOKUP($BK311,Programma!$F$3:$H$1101,3,0),"")</f>
        <v/>
      </c>
      <c r="BN311" s="448" t="str">
        <f>_xlfn.IFNA(VLOOKUP($BK311,Programma!$F$3:$I$1101,4,0),"")</f>
        <v/>
      </c>
      <c r="BO311" s="448" t="str">
        <f>_xlfn.IFNA(VLOOKUP($BK311,Programma!$F$3:$J$1101,5,0),"")</f>
        <v/>
      </c>
      <c r="BP311" s="448" t="str">
        <f>_xlfn.IFNA(VLOOKUP($BK311,Programma!$F$3:$K$1101,6,0),"")</f>
        <v/>
      </c>
      <c r="BQ311" s="448" t="str">
        <f>_xlfn.IFNA(VLOOKUP($BK311,Programma!$F$3:$L$1101,7,0),"")</f>
        <v/>
      </c>
      <c r="BR311" s="448" t="str">
        <f>_xlfn.IFNA(VLOOKUP($BK311,Programma!$F$3:$M$1101,8,0),"")</f>
        <v/>
      </c>
      <c r="BS311" s="448" t="str">
        <f>_xlfn.IFNA(VLOOKUP($BK311,Programma!$F$3:$N$1101,9,0),"")</f>
        <v/>
      </c>
      <c r="BT311" s="448" t="str">
        <f>_xlfn.IFNA(VLOOKUP($BK311,Programma!$F$3:$O$1101,10,0),"")</f>
        <v/>
      </c>
      <c r="BU311" s="448" t="str">
        <f>_xlfn.IFNA(VLOOKUP($BK311,Programma!$F$3:$P$1101,11,0),"")</f>
        <v/>
      </c>
      <c r="BV311" s="448" t="str">
        <f>_xlfn.IFNA(VLOOKUP($BK311,Programma!$F$3:$Q$1101,12,0),"")</f>
        <v/>
      </c>
      <c r="BW311" s="448" t="str">
        <f>_xlfn.IFNA(VLOOKUP($BK311,Programma!$F$3:$R$1101,13,0),"")</f>
        <v/>
      </c>
      <c r="BX311" s="448" t="str">
        <f>_xlfn.IFNA(VLOOKUP($BK311,Programma!$F$3:$S$1101,14,0),"")</f>
        <v/>
      </c>
      <c r="BY311" s="448" t="str">
        <f>_xlfn.IFNA(VLOOKUP($BK311,Programma!$F$3:$T$1101,15,0),"")</f>
        <v/>
      </c>
      <c r="BZ311" s="448" t="str">
        <f>_xlfn.IFNA(VLOOKUP($BK311,Programma!$F$3:$U$1101,16,0),"")</f>
        <v/>
      </c>
      <c r="CA311" s="448" t="str">
        <f>_xlfn.IFNA(VLOOKUP($BK311,Programma!$F$3:$V$1101,17,0),"")</f>
        <v/>
      </c>
      <c r="CB311" s="448" t="str">
        <f>_xlfn.IFNA(VLOOKUP($BK311,Programma!$F$3:$W$1101,18,0),"")</f>
        <v/>
      </c>
      <c r="CC311" s="448" t="str">
        <f>_xlfn.IFNA(VLOOKUP($BK311,Programma!$F$3:$X$1101,19,0),"")</f>
        <v/>
      </c>
      <c r="CD311" s="448" t="str">
        <f>_xlfn.IFNA(VLOOKUP($BK311,Programma!$F$3:$Y$1101,20,0),"")</f>
        <v/>
      </c>
      <c r="CE311" s="327"/>
      <c r="CF311" s="327"/>
      <c r="CG311" s="327"/>
      <c r="CH311" s="327"/>
      <c r="CI311" s="327"/>
      <c r="CJ311" s="327"/>
      <c r="CK311" s="327"/>
      <c r="CL311" s="327"/>
      <c r="CM311" s="327"/>
      <c r="CN311" s="327"/>
      <c r="CO311" s="327"/>
      <c r="CP311" s="327"/>
      <c r="CQ311" s="327"/>
      <c r="CR311" s="327"/>
      <c r="CS311" s="327"/>
      <c r="CT311" s="327"/>
      <c r="CU311" s="327"/>
      <c r="CV311" s="327"/>
      <c r="CW311" s="327"/>
      <c r="CX311" s="327"/>
      <c r="CY311" s="327"/>
      <c r="CZ311" s="327"/>
      <c r="DA311" s="327"/>
      <c r="DB311" s="327"/>
      <c r="DC311" s="327"/>
      <c r="DD311" s="327"/>
      <c r="DE311" s="327"/>
      <c r="DF311" s="327"/>
      <c r="DG311" s="327"/>
      <c r="DH311" s="327"/>
      <c r="DI311" s="327"/>
      <c r="DJ311" s="327"/>
      <c r="DK311" s="327"/>
      <c r="DL311" s="327"/>
      <c r="DM311" s="327"/>
      <c r="DN311" s="327"/>
      <c r="DO311" s="327"/>
      <c r="DP311" s="327"/>
      <c r="DQ311" s="327"/>
      <c r="DR311" s="327"/>
      <c r="DS311" s="327"/>
      <c r="DT311" s="327"/>
      <c r="DU311" s="327"/>
      <c r="DV311" s="327"/>
      <c r="DW311" s="327"/>
      <c r="DX311" s="327"/>
      <c r="DY311" s="327"/>
      <c r="DZ311" s="327"/>
      <c r="EA311" s="327"/>
      <c r="EB311" s="327"/>
      <c r="EC311" s="327"/>
      <c r="ED311" s="327"/>
      <c r="EE311" s="327"/>
      <c r="EF311" s="327"/>
      <c r="EG311" s="327"/>
      <c r="EH311" s="327"/>
      <c r="EI311" s="327"/>
      <c r="EJ311" s="327"/>
      <c r="EK311" s="327"/>
      <c r="EL311" s="327"/>
      <c r="EM311" s="327"/>
      <c r="EN311" s="327"/>
      <c r="EO311" s="327"/>
      <c r="EP311" s="327"/>
      <c r="EQ311" s="327"/>
      <c r="ER311" s="327"/>
      <c r="ES311" s="327"/>
      <c r="ET311" s="327"/>
      <c r="EU311" s="327"/>
      <c r="EV311" s="327"/>
      <c r="EW311" s="327"/>
      <c r="EX311" s="327"/>
      <c r="EY311" s="327"/>
      <c r="EZ311" s="327"/>
      <c r="FA311" s="327"/>
      <c r="FB311" s="327"/>
      <c r="FC311" s="327"/>
      <c r="FD311" s="327"/>
      <c r="FE311" s="327"/>
      <c r="FF311" s="327"/>
      <c r="FG311" s="327"/>
      <c r="FH311" s="327"/>
      <c r="FI311" s="327"/>
      <c r="FJ311" s="327"/>
      <c r="FK311" s="327"/>
      <c r="FL311" s="327"/>
      <c r="FM311" s="327"/>
      <c r="FN311" s="327"/>
      <c r="FO311" s="327"/>
      <c r="FP311" s="327"/>
      <c r="FQ311" s="327"/>
      <c r="FR311" s="327"/>
      <c r="FS311" s="327"/>
      <c r="FT311" s="327"/>
      <c r="FU311" s="327"/>
      <c r="FV311" s="327"/>
      <c r="FW311" s="327"/>
      <c r="FX311" s="327"/>
      <c r="FY311" s="327"/>
      <c r="FZ311" s="327"/>
      <c r="GA311" s="327"/>
      <c r="GB311" s="327"/>
      <c r="GC311" s="327"/>
      <c r="GD311" s="327"/>
      <c r="GE311" s="327"/>
      <c r="GF311" s="327"/>
      <c r="GG311" s="327"/>
      <c r="GH311" s="327"/>
      <c r="GI311" s="327"/>
      <c r="GJ311" s="327"/>
      <c r="GK311" s="327"/>
      <c r="GL311" s="327"/>
      <c r="GM311" s="327"/>
      <c r="GN311" s="327"/>
      <c r="GO311" s="327"/>
      <c r="GP311" s="327"/>
      <c r="GQ311" s="327"/>
      <c r="GR311" s="327"/>
      <c r="GS311" s="327"/>
      <c r="GT311" s="327"/>
      <c r="GU311" s="327"/>
      <c r="GV311" s="327"/>
      <c r="GW311" s="327"/>
      <c r="GX311" s="327"/>
      <c r="GY311" s="327"/>
      <c r="GZ311" s="327"/>
      <c r="HA311" s="327"/>
      <c r="HB311" s="327"/>
      <c r="HC311" s="327"/>
      <c r="HD311" s="327"/>
      <c r="HE311" s="327"/>
      <c r="HF311" s="327"/>
      <c r="HG311" s="327"/>
      <c r="HH311" s="327"/>
      <c r="HI311" s="327"/>
      <c r="HJ311" s="327"/>
      <c r="HK311" s="327"/>
      <c r="HL311" s="327"/>
      <c r="HM311" s="327"/>
      <c r="HN311" s="327"/>
      <c r="HO311" s="327"/>
      <c r="HP311" s="327"/>
      <c r="HQ311" s="327"/>
      <c r="HR311" s="327"/>
      <c r="HS311" s="327"/>
    </row>
    <row r="312" spans="1:227" ht="15" customHeight="1">
      <c r="A312" s="330">
        <v>13</v>
      </c>
      <c r="B312" s="435" t="str">
        <f>VLOOKUP(Ruimtestaat[[#This Row],[Code]],Locaties[[Code]:[Locatie]],2,FALSE)</f>
        <v>IKC Florence Nightingale</v>
      </c>
      <c r="C312" s="435" t="str">
        <f>VLOOKUP(Ruimtestaat[[#This Row],[Code]],Locaties[[#All],[Code]:[Adres]],4,FALSE)</f>
        <v>Zanzibarplein 90</v>
      </c>
      <c r="D312" s="435" t="str">
        <f>VLOOKUP(Ruimtestaat[[#This Row],[Code]],Locaties[[#All],[Code]:[Postcode]],5,FALSE)</f>
        <v>2721 GE</v>
      </c>
      <c r="E312" s="435" t="str">
        <f>VLOOKUP(Ruimtestaat[[#This Row],[Code]],Locaties[#All],6,FALSE)</f>
        <v>Zoetermeer</v>
      </c>
      <c r="F312" s="450"/>
      <c r="G312" s="330" t="s">
        <v>1769</v>
      </c>
      <c r="H312" s="330" t="s">
        <v>1734</v>
      </c>
      <c r="I312" s="450" t="s">
        <v>1673</v>
      </c>
      <c r="J312" s="330">
        <v>5</v>
      </c>
      <c r="K312" s="450" t="str">
        <f>VLOOKUP(Ruimtestaat[[#This Row],[Ruimte code]],Ruimtegroepen[[#All],[Code]:[Ruimte omschrijving]],2,FALSE)</f>
        <v>Sanitair</v>
      </c>
      <c r="L312" s="330" t="s">
        <v>101</v>
      </c>
      <c r="M312" s="437" t="s">
        <v>1816</v>
      </c>
      <c r="N312" s="439">
        <v>29.5</v>
      </c>
      <c r="O312" s="439"/>
      <c r="P312" s="439"/>
      <c r="Q312" s="439"/>
      <c r="R312" s="440" t="str">
        <f>VLOOKUP(Ruimtestaat[[#This Row],[Ruimte code]],Ruimtegroepen[],4,FALSE)</f>
        <v>Sa</v>
      </c>
      <c r="S312" s="434">
        <v>41</v>
      </c>
      <c r="T312" s="434" t="s">
        <v>2</v>
      </c>
      <c r="U312" s="434">
        <f>IF(S312&gt;0,IF(RIGHT(Ruimtestaat[[#This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12" s="434">
        <f>IF(U312&gt;0,VLOOKUP($J312,Ruimtegroepen[],3,FALSE)*VLOOKUP($L312,Vloersoorten[],3,FALSE)*VLOOKUP($T312,Frequenties[],3,FALSE)*VLOOKUP($A312,Locaties[],3,FALSE),0)</f>
        <v>0</v>
      </c>
      <c r="W312" s="434">
        <f>Ruimtestaat[[#This Row],[Uitvoeringen werkdagen]]*Ruimtestaat[[#This Row],[Oppervlak (netto)]]</f>
        <v>6047.5</v>
      </c>
      <c r="X312" s="441">
        <f>IF(V312&gt;0,Ruimtestaat[[#This Row],[Prest. (m2 /jaar) werkdagen]]/Ruimtestaat[[#This Row],[Norm (m2/uur) werkdagen]],0)</f>
        <v>0</v>
      </c>
      <c r="Y312" s="442">
        <f>Ruimtestaat[[#This Row],[Uitvoeringen werkdagen]]*Ruimtestaat[[#This Row],[Gedeeltelijk]]</f>
        <v>0</v>
      </c>
      <c r="Z312" s="443" t="e">
        <f>IF(U312&gt;0,Ruimtestaat[[#This Row],[Prest. (m2 / jaar) werkdagen gedeeld]]/Ruimtestaat[[#This Row],[Norm (m2/uur) werkdagen]],0)</f>
        <v>#DIV/0!</v>
      </c>
      <c r="AA312" s="441" t="e">
        <f>Ruimtestaat[[#This Row],[uren / jaar werkdagen gedeeld]]*Tariefsopbouw!$E$35</f>
        <v>#DIV/0!</v>
      </c>
      <c r="AB312" s="441">
        <f>Ruimtestaat[[#This Row],[Uitvoeringen werkdagen]]*Ruimtestaat[[#This Row],[BSO]]</f>
        <v>0</v>
      </c>
      <c r="AC312" s="443" t="e">
        <f>IF(U312&gt;0,Ruimtestaat[[#This Row],[Prest. (m2 / jaar) werkdagen BSO]]/Ruimtestaat[[#This Row],[Norm (m2/uur) werkdagen]],0)</f>
        <v>#DIV/0!</v>
      </c>
      <c r="AD312" s="443" t="e">
        <f>Ruimtestaat[[#This Row],[uren / jaar werkdagen BSO]]*Tariefsopbouw!$E$35</f>
        <v>#DIV/0!</v>
      </c>
      <c r="AE312" s="444">
        <f>Ruimtestaat[[#This Row],[uren / jaar werkdagen]]*Tariefsopbouw!$E$35</f>
        <v>0</v>
      </c>
      <c r="AF312" s="434"/>
      <c r="AG312" s="434">
        <f>IF(Ruimtestaat[[#This Row],[Frequentie weekend]]&gt;0,VALUE(LEFT(AF312,1))*S312,0)</f>
        <v>0</v>
      </c>
      <c r="AH312" s="445">
        <f>IF($AG312&gt;0,VLOOKUP($J312,Ruimtegroepen[],3,FALSE)*VLOOKUP($L312,Vloersoorten[],3,FALSE)*VLOOKUP($AF312,Frequenties[],3,FALSE)*VLOOKUP(Ruimtestaat[[#This Row],[Code]],Locaties[],3,FALSE),0)</f>
        <v>0</v>
      </c>
      <c r="AI312" s="445">
        <f>Ruimtestaat[[#This Row],[Uitvoeringen weekend]]*Ruimtestaat[[#This Row],[Oppervlak (netto)]]</f>
        <v>0</v>
      </c>
      <c r="AJ312" s="445">
        <f>IF(AH312&gt;0,Ruimtestaat[[#This Row],[Prest. (m2 /jaar) weekend]]/Ruimtestaat[[#This Row],[Norm (m2/uur) weekend]],0)</f>
        <v>0</v>
      </c>
      <c r="AK312" s="444">
        <f>Ruimtestaat[[#This Row],[uren / jaar weekend]]*Tariefsopbouw!$D$40</f>
        <v>0</v>
      </c>
      <c r="AL312" s="441">
        <f>Ruimtestaat[[#This Row],[Prest. (m2 /jaar) weekend]]+Ruimtestaat[[#This Row],[Prest. (m2 /jaar) werkdagen]]</f>
        <v>6047.5</v>
      </c>
      <c r="AM312" s="441">
        <f>Ruimtestaat[[#This Row],[uren / jaar weekend]]+Ruimtestaat[[#This Row],[uren / jaar werkdagen]]</f>
        <v>0</v>
      </c>
      <c r="AN312" s="446">
        <f>Ruimtestaat[[#This Row],[kosten / jaar weekend]]+Ruimtestaat[[#This Row],[kosten / jaar werkdagen]]</f>
        <v>0</v>
      </c>
      <c r="AO312" s="446"/>
      <c r="AP312" s="447" t="str">
        <f>IF(Ruimtestaat[[#This Row],[Frequentie werkdagen]]="","",_xlfn.CONCAT(Ruimtestaat[[#This Row],[Ruimte code]],"-",Ruimtestaat[[#This Row],[Frequentie werkdagen]]," ",Ruimtestaat[[#This Row],[Vloer code]]))</f>
        <v>5-5w S</v>
      </c>
      <c r="AQ312" s="448" t="str">
        <f>_xlfn.IFNA(VLOOKUP($AP312,Programma!$F$3:$G$1101,2,0),"")</f>
        <v>_</v>
      </c>
      <c r="AR312" s="448" t="str">
        <f>_xlfn.IFNA(VLOOKUP($AP312,Programma!$F$3:$H$1101,3,0),"")</f>
        <v>_</v>
      </c>
      <c r="AS312" s="448" t="str">
        <f>_xlfn.IFNA(VLOOKUP($AP312,Programma!$F$3:$I$1101,4,0),"")</f>
        <v>_</v>
      </c>
      <c r="AT312" s="448" t="str">
        <f>_xlfn.IFNA(VLOOKUP($AP312,Programma!$F$3:$J$1101,5,0),"")</f>
        <v>4w</v>
      </c>
      <c r="AU312" s="448" t="str">
        <f>_xlfn.IFNA(VLOOKUP($AP312,Programma!$F$3:$K$1101,6,0),"")</f>
        <v>1w</v>
      </c>
      <c r="AV312" s="448" t="str">
        <f>_xlfn.IFNA(VLOOKUP($AP312,Programma!$F$3:$L$1101,7,0),"")</f>
        <v>_</v>
      </c>
      <c r="AW312" s="448" t="str">
        <f>_xlfn.IFNA(VLOOKUP($AP312,Programma!$F$3:$M$1101,8,0),"")</f>
        <v>_</v>
      </c>
      <c r="AX312" s="448" t="str">
        <f>_xlfn.IFNA(VLOOKUP($AP312,Programma!$F$3:$N$1101,9,0),"")</f>
        <v>_</v>
      </c>
      <c r="AY312" s="448" t="str">
        <f>_xlfn.IFNA(VLOOKUP($AP312,Programma!$F$3:$O$1101,10,0),"")</f>
        <v>_</v>
      </c>
      <c r="AZ312" s="448" t="str">
        <f>_xlfn.IFNA(VLOOKUP($AP312,Programma!$F$3:$P$1101,11,0),"")</f>
        <v>_</v>
      </c>
      <c r="BA312" s="448" t="str">
        <f>_xlfn.IFNA(VLOOKUP($AP312,Programma!$F$3:$Q$1101,12,0),"")</f>
        <v>_</v>
      </c>
      <c r="BB312" s="448" t="str">
        <f>_xlfn.IFNA(VLOOKUP($AP312,Programma!$F$3:$R$1101,13,0),"")</f>
        <v>_</v>
      </c>
      <c r="BC312" s="448" t="str">
        <f>_xlfn.IFNA(VLOOKUP($AP312,Programma!$F$3:$S$1101,14,0),"")</f>
        <v>_</v>
      </c>
      <c r="BD312" s="448" t="str">
        <f>_xlfn.IFNA(VLOOKUP($AP312,Programma!$F$3:$T$1101,15,0),"")</f>
        <v>_</v>
      </c>
      <c r="BE312" s="448" t="str">
        <f>_xlfn.IFNA(VLOOKUP($AP312,Programma!$F$3:$U$1101,16,0),"")</f>
        <v>_</v>
      </c>
      <c r="BF312" s="448" t="str">
        <f>_xlfn.IFNA(VLOOKUP($AP312,Programma!$F$3:$V$1101,17,0),"")</f>
        <v>_</v>
      </c>
      <c r="BG312" s="448" t="str">
        <f>_xlfn.IFNA(VLOOKUP($AP312,Programma!$F$3:$W$1101,18,0),"")</f>
        <v>4w</v>
      </c>
      <c r="BH312" s="448" t="str">
        <f>_xlfn.IFNA(VLOOKUP($AP312,Programma!$F$3:$X$1101,19,0),"")</f>
        <v>1w</v>
      </c>
      <c r="BI312" s="448" t="str">
        <f>_xlfn.IFNA(VLOOKUP($AP312,Programma!$F$3:$Y$1101,20,0),"")</f>
        <v>_</v>
      </c>
      <c r="BJ312" s="449"/>
      <c r="BK312" s="447" t="str">
        <f>IF(Ruimtestaat[[#This Row],[Frequentie weekend]]="","",_xlfn.CONCAT(Ruimtestaat[[#This Row],[Ruimte code]],"-",Ruimtestaat[[#This Row],[Frequentie weekend]]," ",Ruimtestaat[[#This Row],[Vloer code]]))</f>
        <v/>
      </c>
      <c r="BL312" s="448" t="str">
        <f>_xlfn.IFNA(VLOOKUP($BK312,Programma!$F$3:$G$1101,2,0),"")</f>
        <v/>
      </c>
      <c r="BM312" s="448" t="str">
        <f>_xlfn.IFNA(VLOOKUP($BK312,Programma!$F$3:$H$1101,3,0),"")</f>
        <v/>
      </c>
      <c r="BN312" s="448" t="str">
        <f>_xlfn.IFNA(VLOOKUP($BK312,Programma!$F$3:$I$1101,4,0),"")</f>
        <v/>
      </c>
      <c r="BO312" s="448" t="str">
        <f>_xlfn.IFNA(VLOOKUP($BK312,Programma!$F$3:$J$1101,5,0),"")</f>
        <v/>
      </c>
      <c r="BP312" s="448" t="str">
        <f>_xlfn.IFNA(VLOOKUP($BK312,Programma!$F$3:$K$1101,6,0),"")</f>
        <v/>
      </c>
      <c r="BQ312" s="448" t="str">
        <f>_xlfn.IFNA(VLOOKUP($BK312,Programma!$F$3:$L$1101,7,0),"")</f>
        <v/>
      </c>
      <c r="BR312" s="448" t="str">
        <f>_xlfn.IFNA(VLOOKUP($BK312,Programma!$F$3:$M$1101,8,0),"")</f>
        <v/>
      </c>
      <c r="BS312" s="448" t="str">
        <f>_xlfn.IFNA(VLOOKUP($BK312,Programma!$F$3:$N$1101,9,0),"")</f>
        <v/>
      </c>
      <c r="BT312" s="448" t="str">
        <f>_xlfn.IFNA(VLOOKUP($BK312,Programma!$F$3:$O$1101,10,0),"")</f>
        <v/>
      </c>
      <c r="BU312" s="448" t="str">
        <f>_xlfn.IFNA(VLOOKUP($BK312,Programma!$F$3:$P$1101,11,0),"")</f>
        <v/>
      </c>
      <c r="BV312" s="448" t="str">
        <f>_xlfn.IFNA(VLOOKUP($BK312,Programma!$F$3:$Q$1101,12,0),"")</f>
        <v/>
      </c>
      <c r="BW312" s="448" t="str">
        <f>_xlfn.IFNA(VLOOKUP($BK312,Programma!$F$3:$R$1101,13,0),"")</f>
        <v/>
      </c>
      <c r="BX312" s="448" t="str">
        <f>_xlfn.IFNA(VLOOKUP($BK312,Programma!$F$3:$S$1101,14,0),"")</f>
        <v/>
      </c>
      <c r="BY312" s="448" t="str">
        <f>_xlfn.IFNA(VLOOKUP($BK312,Programma!$F$3:$T$1101,15,0),"")</f>
        <v/>
      </c>
      <c r="BZ312" s="448" t="str">
        <f>_xlfn.IFNA(VLOOKUP($BK312,Programma!$F$3:$U$1101,16,0),"")</f>
        <v/>
      </c>
      <c r="CA312" s="448" t="str">
        <f>_xlfn.IFNA(VLOOKUP($BK312,Programma!$F$3:$V$1101,17,0),"")</f>
        <v/>
      </c>
      <c r="CB312" s="448" t="str">
        <f>_xlfn.IFNA(VLOOKUP($BK312,Programma!$F$3:$W$1101,18,0),"")</f>
        <v/>
      </c>
      <c r="CC312" s="448" t="str">
        <f>_xlfn.IFNA(VLOOKUP($BK312,Programma!$F$3:$X$1101,19,0),"")</f>
        <v/>
      </c>
      <c r="CD312" s="448" t="str">
        <f>_xlfn.IFNA(VLOOKUP($BK312,Programma!$F$3:$Y$1101,20,0),"")</f>
        <v/>
      </c>
      <c r="CE312" s="327"/>
      <c r="CF312" s="327"/>
      <c r="CG312" s="327"/>
      <c r="CH312" s="327"/>
      <c r="CI312" s="327"/>
      <c r="CJ312" s="327"/>
      <c r="CK312" s="327"/>
      <c r="CL312" s="327"/>
      <c r="CM312" s="327"/>
      <c r="CN312" s="327"/>
      <c r="CO312" s="327"/>
      <c r="CP312" s="327"/>
      <c r="CQ312" s="327"/>
      <c r="CR312" s="327"/>
      <c r="CS312" s="327"/>
      <c r="CT312" s="327"/>
      <c r="CU312" s="327"/>
      <c r="CV312" s="327"/>
      <c r="CW312" s="327"/>
      <c r="CX312" s="327"/>
      <c r="CY312" s="327"/>
      <c r="CZ312" s="327"/>
      <c r="DA312" s="327"/>
      <c r="DB312" s="327"/>
      <c r="DC312" s="327"/>
      <c r="DD312" s="327"/>
      <c r="DE312" s="327"/>
      <c r="DF312" s="327"/>
      <c r="DG312" s="327"/>
      <c r="DH312" s="327"/>
      <c r="DI312" s="327"/>
      <c r="DJ312" s="327"/>
      <c r="DK312" s="327"/>
      <c r="DL312" s="327"/>
      <c r="DM312" s="327"/>
      <c r="DN312" s="327"/>
      <c r="DO312" s="327"/>
      <c r="DP312" s="327"/>
      <c r="DQ312" s="327"/>
      <c r="DR312" s="327"/>
      <c r="DS312" s="327"/>
      <c r="DT312" s="327"/>
      <c r="DU312" s="327"/>
      <c r="DV312" s="327"/>
      <c r="DW312" s="327"/>
      <c r="DX312" s="327"/>
      <c r="DY312" s="327"/>
      <c r="DZ312" s="327"/>
      <c r="EA312" s="327"/>
      <c r="EB312" s="327"/>
      <c r="EC312" s="327"/>
      <c r="ED312" s="327"/>
      <c r="EE312" s="327"/>
      <c r="EF312" s="327"/>
      <c r="EG312" s="327"/>
      <c r="EH312" s="327"/>
      <c r="EI312" s="327"/>
      <c r="EJ312" s="327"/>
      <c r="EK312" s="327"/>
      <c r="EL312" s="327"/>
      <c r="EM312" s="327"/>
      <c r="EN312" s="327"/>
      <c r="EO312" s="327"/>
      <c r="EP312" s="327"/>
      <c r="EQ312" s="327"/>
      <c r="ER312" s="327"/>
      <c r="ES312" s="327"/>
      <c r="ET312" s="327"/>
      <c r="EU312" s="327"/>
      <c r="EV312" s="327"/>
      <c r="EW312" s="327"/>
      <c r="EX312" s="327"/>
      <c r="EY312" s="327"/>
      <c r="EZ312" s="327"/>
      <c r="FA312" s="327"/>
      <c r="FB312" s="327"/>
      <c r="FC312" s="327"/>
      <c r="FD312" s="327"/>
      <c r="FE312" s="327"/>
      <c r="FF312" s="327"/>
      <c r="FG312" s="327"/>
      <c r="FH312" s="327"/>
      <c r="FI312" s="327"/>
      <c r="FJ312" s="327"/>
      <c r="FK312" s="327"/>
      <c r="FL312" s="327"/>
      <c r="FM312" s="327"/>
      <c r="FN312" s="327"/>
      <c r="FO312" s="327"/>
      <c r="FP312" s="327"/>
      <c r="FQ312" s="327"/>
      <c r="FR312" s="327"/>
      <c r="FS312" s="327"/>
      <c r="FT312" s="327"/>
      <c r="FU312" s="327"/>
      <c r="FV312" s="327"/>
      <c r="FW312" s="327"/>
      <c r="FX312" s="327"/>
      <c r="FY312" s="327"/>
      <c r="FZ312" s="327"/>
      <c r="GA312" s="327"/>
      <c r="GB312" s="327"/>
      <c r="GC312" s="327"/>
      <c r="GD312" s="327"/>
      <c r="GE312" s="327"/>
      <c r="GF312" s="327"/>
      <c r="GG312" s="327"/>
      <c r="GH312" s="327"/>
      <c r="GI312" s="327"/>
      <c r="GJ312" s="327"/>
      <c r="GK312" s="327"/>
      <c r="GL312" s="327"/>
      <c r="GM312" s="327"/>
      <c r="GN312" s="327"/>
      <c r="GO312" s="327"/>
      <c r="GP312" s="327"/>
      <c r="GQ312" s="327"/>
      <c r="GR312" s="327"/>
      <c r="GS312" s="327"/>
      <c r="GT312" s="327"/>
      <c r="GU312" s="327"/>
      <c r="GV312" s="327"/>
      <c r="GW312" s="327"/>
      <c r="GX312" s="327"/>
      <c r="GY312" s="327"/>
      <c r="GZ312" s="327"/>
      <c r="HA312" s="327"/>
      <c r="HB312" s="327"/>
      <c r="HC312" s="327"/>
      <c r="HD312" s="327"/>
      <c r="HE312" s="327"/>
      <c r="HF312" s="327"/>
      <c r="HG312" s="327"/>
      <c r="HH312" s="327"/>
      <c r="HI312" s="327"/>
      <c r="HJ312" s="327"/>
      <c r="HK312" s="327"/>
      <c r="HL312" s="327"/>
      <c r="HM312" s="327"/>
      <c r="HN312" s="327"/>
      <c r="HO312" s="327"/>
      <c r="HP312" s="327"/>
      <c r="HQ312" s="327"/>
      <c r="HR312" s="327"/>
      <c r="HS312" s="327"/>
    </row>
    <row r="313" spans="1:227" ht="15" customHeight="1">
      <c r="A313" s="330">
        <v>13</v>
      </c>
      <c r="B313" s="435" t="str">
        <f>VLOOKUP(Ruimtestaat[[#This Row],[Code]],Locaties[[Code]:[Locatie]],2,FALSE)</f>
        <v>IKC Florence Nightingale</v>
      </c>
      <c r="C313" s="435" t="str">
        <f>VLOOKUP(Ruimtestaat[[#This Row],[Code]],Locaties[[#All],[Code]:[Adres]],4,FALSE)</f>
        <v>Zanzibarplein 90</v>
      </c>
      <c r="D313" s="435" t="str">
        <f>VLOOKUP(Ruimtestaat[[#This Row],[Code]],Locaties[[#All],[Code]:[Postcode]],5,FALSE)</f>
        <v>2721 GE</v>
      </c>
      <c r="E313" s="435" t="str">
        <f>VLOOKUP(Ruimtestaat[[#This Row],[Code]],Locaties[#All],6,FALSE)</f>
        <v>Zoetermeer</v>
      </c>
      <c r="F313" s="450"/>
      <c r="G313" s="330" t="s">
        <v>1769</v>
      </c>
      <c r="H313" s="330" t="s">
        <v>1706</v>
      </c>
      <c r="I313" s="450" t="s">
        <v>1773</v>
      </c>
      <c r="J313" s="330">
        <v>10</v>
      </c>
      <c r="K313" s="450" t="str">
        <f>VLOOKUP(Ruimtestaat[[#This Row],[Ruimte code]],Ruimtegroepen[[#All],[Code]:[Ruimte omschrijving]],2,FALSE)</f>
        <v>Trappenhuizen/lift</v>
      </c>
      <c r="L313" s="330" t="s">
        <v>101</v>
      </c>
      <c r="M313" s="330" t="s">
        <v>2107</v>
      </c>
      <c r="N313" s="439">
        <v>10</v>
      </c>
      <c r="O313" s="439"/>
      <c r="P313" s="439"/>
      <c r="Q313" s="439"/>
      <c r="R313" s="440" t="str">
        <f>VLOOKUP(Ruimtestaat[[#This Row],[Ruimte code]],Ruimtegroepen[],4,FALSE)</f>
        <v>Ve</v>
      </c>
      <c r="S313" s="434">
        <v>41</v>
      </c>
      <c r="T313" s="434" t="s">
        <v>2</v>
      </c>
      <c r="U313" s="434">
        <f>IF(S313&gt;0,IF(RIGHT(Ruimtestaat[[#This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13" s="434">
        <f>IF(U313&gt;0,VLOOKUP($J313,Ruimtegroepen[],3,FALSE)*VLOOKUP($L313,Vloersoorten[],3,FALSE)*VLOOKUP($T313,Frequenties[],3,FALSE)*VLOOKUP($A313,Locaties[],3,FALSE),0)</f>
        <v>0</v>
      </c>
      <c r="W313" s="434">
        <f>Ruimtestaat[[#This Row],[Uitvoeringen werkdagen]]*Ruimtestaat[[#This Row],[Oppervlak (netto)]]</f>
        <v>2050</v>
      </c>
      <c r="X313" s="441">
        <f>IF(V313&gt;0,Ruimtestaat[[#This Row],[Prest. (m2 /jaar) werkdagen]]/Ruimtestaat[[#This Row],[Norm (m2/uur) werkdagen]],0)</f>
        <v>0</v>
      </c>
      <c r="Y313" s="442">
        <f>Ruimtestaat[[#This Row],[Uitvoeringen werkdagen]]*Ruimtestaat[[#This Row],[Gedeeltelijk]]</f>
        <v>0</v>
      </c>
      <c r="Z313" s="443" t="e">
        <f>IF(U313&gt;0,Ruimtestaat[[#This Row],[Prest. (m2 / jaar) werkdagen gedeeld]]/Ruimtestaat[[#This Row],[Norm (m2/uur) werkdagen]],0)</f>
        <v>#DIV/0!</v>
      </c>
      <c r="AA313" s="441" t="e">
        <f>Ruimtestaat[[#This Row],[uren / jaar werkdagen gedeeld]]*Tariefsopbouw!$E$35</f>
        <v>#DIV/0!</v>
      </c>
      <c r="AB313" s="441">
        <f>Ruimtestaat[[#This Row],[Uitvoeringen werkdagen]]*Ruimtestaat[[#This Row],[BSO]]</f>
        <v>0</v>
      </c>
      <c r="AC313" s="443" t="e">
        <f>IF(U313&gt;0,Ruimtestaat[[#This Row],[Prest. (m2 / jaar) werkdagen BSO]]/Ruimtestaat[[#This Row],[Norm (m2/uur) werkdagen]],0)</f>
        <v>#DIV/0!</v>
      </c>
      <c r="AD313" s="443" t="e">
        <f>Ruimtestaat[[#This Row],[uren / jaar werkdagen BSO]]*Tariefsopbouw!$E$35</f>
        <v>#DIV/0!</v>
      </c>
      <c r="AE313" s="444">
        <f>Ruimtestaat[[#This Row],[uren / jaar werkdagen]]*Tariefsopbouw!$E$35</f>
        <v>0</v>
      </c>
      <c r="AF313" s="434"/>
      <c r="AG313" s="434">
        <f>IF(Ruimtestaat[[#This Row],[Frequentie weekend]]&gt;0,VALUE(LEFT(AF313,1))*S313,0)</f>
        <v>0</v>
      </c>
      <c r="AH313" s="445">
        <f>IF($AG313&gt;0,VLOOKUP($J313,Ruimtegroepen[],3,FALSE)*VLOOKUP($L313,Vloersoorten[],3,FALSE)*VLOOKUP($AF313,Frequenties[],3,FALSE)*VLOOKUP(Ruimtestaat[[#This Row],[Code]],Locaties[],3,FALSE),0)</f>
        <v>0</v>
      </c>
      <c r="AI313" s="445">
        <f>Ruimtestaat[[#This Row],[Uitvoeringen weekend]]*Ruimtestaat[[#This Row],[Oppervlak (netto)]]</f>
        <v>0</v>
      </c>
      <c r="AJ313" s="445">
        <f>IF(AH313&gt;0,Ruimtestaat[[#This Row],[Prest. (m2 /jaar) weekend]]/Ruimtestaat[[#This Row],[Norm (m2/uur) weekend]],0)</f>
        <v>0</v>
      </c>
      <c r="AK313" s="444">
        <f>Ruimtestaat[[#This Row],[uren / jaar weekend]]*Tariefsopbouw!$D$40</f>
        <v>0</v>
      </c>
      <c r="AL313" s="441">
        <f>Ruimtestaat[[#This Row],[Prest. (m2 /jaar) weekend]]+Ruimtestaat[[#This Row],[Prest. (m2 /jaar) werkdagen]]</f>
        <v>2050</v>
      </c>
      <c r="AM313" s="441">
        <f>Ruimtestaat[[#This Row],[uren / jaar weekend]]+Ruimtestaat[[#This Row],[uren / jaar werkdagen]]</f>
        <v>0</v>
      </c>
      <c r="AN313" s="446">
        <f>Ruimtestaat[[#This Row],[kosten / jaar weekend]]+Ruimtestaat[[#This Row],[kosten / jaar werkdagen]]</f>
        <v>0</v>
      </c>
      <c r="AO313" s="446"/>
      <c r="AP313" s="447" t="str">
        <f>IF(Ruimtestaat[[#This Row],[Frequentie werkdagen]]="","",_xlfn.CONCAT(Ruimtestaat[[#This Row],[Ruimte code]],"-",Ruimtestaat[[#This Row],[Frequentie werkdagen]]," ",Ruimtestaat[[#This Row],[Vloer code]]))</f>
        <v>10-5w S</v>
      </c>
      <c r="AQ313" s="448" t="str">
        <f>_xlfn.IFNA(VLOOKUP($AP313,Programma!$F$3:$G$1101,2,0),"")</f>
        <v>_</v>
      </c>
      <c r="AR313" s="448" t="str">
        <f>_xlfn.IFNA(VLOOKUP($AP313,Programma!$F$3:$H$1101,3,0),"")</f>
        <v>_</v>
      </c>
      <c r="AS313" s="448" t="str">
        <f>_xlfn.IFNA(VLOOKUP($AP313,Programma!$F$3:$I$1101,4,0),"")</f>
        <v>4w</v>
      </c>
      <c r="AT313" s="448" t="str">
        <f>_xlfn.IFNA(VLOOKUP($AP313,Programma!$F$3:$J$1101,5,0),"")</f>
        <v>1w</v>
      </c>
      <c r="AU313" s="448" t="str">
        <f>_xlfn.IFNA(VLOOKUP($AP313,Programma!$F$3:$K$1101,6,0),"")</f>
        <v>4j</v>
      </c>
      <c r="AV313" s="448" t="str">
        <f>_xlfn.IFNA(VLOOKUP($AP313,Programma!$F$3:$L$1101,7,0),"")</f>
        <v>_</v>
      </c>
      <c r="AW313" s="448" t="str">
        <f>_xlfn.IFNA(VLOOKUP($AP313,Programma!$F$3:$M$1101,8,0),"")</f>
        <v>_</v>
      </c>
      <c r="AX313" s="448" t="str">
        <f>_xlfn.IFNA(VLOOKUP($AP313,Programma!$F$3:$N$1101,9,0),"")</f>
        <v>_</v>
      </c>
      <c r="AY313" s="448" t="str">
        <f>_xlfn.IFNA(VLOOKUP($AP313,Programma!$F$3:$O$1101,10,0),"")</f>
        <v>5w</v>
      </c>
      <c r="AZ313" s="448" t="str">
        <f>_xlfn.IFNA(VLOOKUP($AP313,Programma!$F$3:$P$1101,11,0),"")</f>
        <v>5w</v>
      </c>
      <c r="BA313" s="448" t="str">
        <f>_xlfn.IFNA(VLOOKUP($AP313,Programma!$F$3:$Q$1101,12,0),"")</f>
        <v>1w</v>
      </c>
      <c r="BB313" s="448" t="str">
        <f>_xlfn.IFNA(VLOOKUP($AP313,Programma!$F$3:$R$1101,13,0),"")</f>
        <v>1w</v>
      </c>
      <c r="BC313" s="448" t="str">
        <f>_xlfn.IFNA(VLOOKUP($AP313,Programma!$F$3:$S$1101,14,0),"")</f>
        <v>1m</v>
      </c>
      <c r="BD313" s="448" t="str">
        <f>_xlfn.IFNA(VLOOKUP($AP313,Programma!$F$3:$T$1101,15,0),"")</f>
        <v>2j</v>
      </c>
      <c r="BE313" s="448" t="str">
        <f>_xlfn.IFNA(VLOOKUP($AP313,Programma!$F$3:$U$1101,16,0),"")</f>
        <v>1j</v>
      </c>
      <c r="BF313" s="448" t="str">
        <f>_xlfn.IFNA(VLOOKUP($AP313,Programma!$F$3:$V$1101,17,0),"")</f>
        <v>_</v>
      </c>
      <c r="BG313" s="448" t="str">
        <f>_xlfn.IFNA(VLOOKUP($AP313,Programma!$F$3:$W$1101,18,0),"")</f>
        <v>_</v>
      </c>
      <c r="BH313" s="448" t="str">
        <f>_xlfn.IFNA(VLOOKUP($AP313,Programma!$F$3:$X$1101,19,0),"")</f>
        <v>_</v>
      </c>
      <c r="BI313" s="448" t="str">
        <f>_xlfn.IFNA(VLOOKUP($AP313,Programma!$F$3:$Y$1101,20,0),"")</f>
        <v>_</v>
      </c>
      <c r="BJ313" s="449"/>
      <c r="BK313" s="447" t="str">
        <f>IF(Ruimtestaat[[#This Row],[Frequentie weekend]]="","",_xlfn.CONCAT(Ruimtestaat[[#This Row],[Ruimte code]],"-",Ruimtestaat[[#This Row],[Frequentie weekend]]," ",Ruimtestaat[[#This Row],[Vloer code]]))</f>
        <v/>
      </c>
      <c r="BL313" s="448" t="str">
        <f>_xlfn.IFNA(VLOOKUP($BK313,Programma!$F$3:$G$1101,2,0),"")</f>
        <v/>
      </c>
      <c r="BM313" s="448" t="str">
        <f>_xlfn.IFNA(VLOOKUP($BK313,Programma!$F$3:$H$1101,3,0),"")</f>
        <v/>
      </c>
      <c r="BN313" s="448" t="str">
        <f>_xlfn.IFNA(VLOOKUP($BK313,Programma!$F$3:$I$1101,4,0),"")</f>
        <v/>
      </c>
      <c r="BO313" s="448" t="str">
        <f>_xlfn.IFNA(VLOOKUP($BK313,Programma!$F$3:$J$1101,5,0),"")</f>
        <v/>
      </c>
      <c r="BP313" s="448" t="str">
        <f>_xlfn.IFNA(VLOOKUP($BK313,Programma!$F$3:$K$1101,6,0),"")</f>
        <v/>
      </c>
      <c r="BQ313" s="448" t="str">
        <f>_xlfn.IFNA(VLOOKUP($BK313,Programma!$F$3:$L$1101,7,0),"")</f>
        <v/>
      </c>
      <c r="BR313" s="448" t="str">
        <f>_xlfn.IFNA(VLOOKUP($BK313,Programma!$F$3:$M$1101,8,0),"")</f>
        <v/>
      </c>
      <c r="BS313" s="448" t="str">
        <f>_xlfn.IFNA(VLOOKUP($BK313,Programma!$F$3:$N$1101,9,0),"")</f>
        <v/>
      </c>
      <c r="BT313" s="448" t="str">
        <f>_xlfn.IFNA(VLOOKUP($BK313,Programma!$F$3:$O$1101,10,0),"")</f>
        <v/>
      </c>
      <c r="BU313" s="448" t="str">
        <f>_xlfn.IFNA(VLOOKUP($BK313,Programma!$F$3:$P$1101,11,0),"")</f>
        <v/>
      </c>
      <c r="BV313" s="448" t="str">
        <f>_xlfn.IFNA(VLOOKUP($BK313,Programma!$F$3:$Q$1101,12,0),"")</f>
        <v/>
      </c>
      <c r="BW313" s="448" t="str">
        <f>_xlfn.IFNA(VLOOKUP($BK313,Programma!$F$3:$R$1101,13,0),"")</f>
        <v/>
      </c>
      <c r="BX313" s="448" t="str">
        <f>_xlfn.IFNA(VLOOKUP($BK313,Programma!$F$3:$S$1101,14,0),"")</f>
        <v/>
      </c>
      <c r="BY313" s="448" t="str">
        <f>_xlfn.IFNA(VLOOKUP($BK313,Programma!$F$3:$T$1101,15,0),"")</f>
        <v/>
      </c>
      <c r="BZ313" s="448" t="str">
        <f>_xlfn.IFNA(VLOOKUP($BK313,Programma!$F$3:$U$1101,16,0),"")</f>
        <v/>
      </c>
      <c r="CA313" s="448" t="str">
        <f>_xlfn.IFNA(VLOOKUP($BK313,Programma!$F$3:$V$1101,17,0),"")</f>
        <v/>
      </c>
      <c r="CB313" s="448" t="str">
        <f>_xlfn.IFNA(VLOOKUP($BK313,Programma!$F$3:$W$1101,18,0),"")</f>
        <v/>
      </c>
      <c r="CC313" s="448" t="str">
        <f>_xlfn.IFNA(VLOOKUP($BK313,Programma!$F$3:$X$1101,19,0),"")</f>
        <v/>
      </c>
      <c r="CD313" s="448" t="str">
        <f>_xlfn.IFNA(VLOOKUP($BK313,Programma!$F$3:$Y$1101,20,0),"")</f>
        <v/>
      </c>
      <c r="CE313" s="327"/>
      <c r="CF313" s="327"/>
      <c r="CG313" s="327"/>
      <c r="CH313" s="327"/>
      <c r="CI313" s="327"/>
      <c r="CJ313" s="327"/>
      <c r="CK313" s="327"/>
      <c r="CL313" s="327"/>
      <c r="CM313" s="327"/>
      <c r="CN313" s="327"/>
      <c r="CO313" s="327"/>
      <c r="CP313" s="327"/>
      <c r="CQ313" s="327"/>
      <c r="CR313" s="327"/>
      <c r="CS313" s="327"/>
      <c r="CT313" s="327"/>
      <c r="CU313" s="327"/>
      <c r="CV313" s="327"/>
      <c r="CW313" s="327"/>
      <c r="CX313" s="327"/>
      <c r="CY313" s="327"/>
      <c r="CZ313" s="327"/>
      <c r="DA313" s="327"/>
      <c r="DB313" s="327"/>
      <c r="DC313" s="327"/>
      <c r="DD313" s="327"/>
      <c r="DE313" s="327"/>
      <c r="DF313" s="327"/>
      <c r="DG313" s="327"/>
      <c r="DH313" s="327"/>
      <c r="DI313" s="327"/>
      <c r="DJ313" s="327"/>
      <c r="DK313" s="327"/>
      <c r="DL313" s="327"/>
      <c r="DM313" s="327"/>
      <c r="DN313" s="327"/>
      <c r="DO313" s="327"/>
      <c r="DP313" s="327"/>
      <c r="DQ313" s="327"/>
      <c r="DR313" s="327"/>
      <c r="DS313" s="327"/>
      <c r="DT313" s="327"/>
      <c r="DU313" s="327"/>
      <c r="DV313" s="327"/>
      <c r="DW313" s="327"/>
      <c r="DX313" s="327"/>
      <c r="DY313" s="327"/>
      <c r="DZ313" s="327"/>
      <c r="EA313" s="327"/>
      <c r="EB313" s="327"/>
      <c r="EC313" s="327"/>
      <c r="ED313" s="327"/>
      <c r="EE313" s="327"/>
      <c r="EF313" s="327"/>
      <c r="EG313" s="327"/>
      <c r="EH313" s="327"/>
      <c r="EI313" s="327"/>
      <c r="EJ313" s="327"/>
      <c r="EK313" s="327"/>
      <c r="EL313" s="327"/>
      <c r="EM313" s="327"/>
      <c r="EN313" s="327"/>
      <c r="EO313" s="327"/>
      <c r="EP313" s="327"/>
      <c r="EQ313" s="327"/>
      <c r="ER313" s="327"/>
      <c r="ES313" s="327"/>
      <c r="ET313" s="327"/>
      <c r="EU313" s="327"/>
      <c r="EV313" s="327"/>
      <c r="EW313" s="327"/>
      <c r="EX313" s="327"/>
      <c r="EY313" s="327"/>
      <c r="EZ313" s="327"/>
      <c r="FA313" s="327"/>
      <c r="FB313" s="327"/>
      <c r="FC313" s="327"/>
      <c r="FD313" s="327"/>
      <c r="FE313" s="327"/>
      <c r="FF313" s="327"/>
      <c r="FG313" s="327"/>
      <c r="FH313" s="327"/>
      <c r="FI313" s="327"/>
      <c r="FJ313" s="327"/>
      <c r="FK313" s="327"/>
      <c r="FL313" s="327"/>
      <c r="FM313" s="327"/>
      <c r="FN313" s="327"/>
      <c r="FO313" s="327"/>
      <c r="FP313" s="327"/>
      <c r="FQ313" s="327"/>
      <c r="FR313" s="327"/>
      <c r="FS313" s="327"/>
      <c r="FT313" s="327"/>
      <c r="FU313" s="327"/>
      <c r="FV313" s="327"/>
      <c r="FW313" s="327"/>
      <c r="FX313" s="327"/>
      <c r="FY313" s="327"/>
      <c r="FZ313" s="327"/>
      <c r="GA313" s="327"/>
      <c r="GB313" s="327"/>
      <c r="GC313" s="327"/>
      <c r="GD313" s="327"/>
      <c r="GE313" s="327"/>
      <c r="GF313" s="327"/>
      <c r="GG313" s="327"/>
      <c r="GH313" s="327"/>
      <c r="GI313" s="327"/>
      <c r="GJ313" s="327"/>
      <c r="GK313" s="327"/>
      <c r="GL313" s="327"/>
      <c r="GM313" s="327"/>
      <c r="GN313" s="327"/>
      <c r="GO313" s="327"/>
      <c r="GP313" s="327"/>
      <c r="GQ313" s="327"/>
      <c r="GR313" s="327"/>
      <c r="GS313" s="327"/>
      <c r="GT313" s="327"/>
      <c r="GU313" s="327"/>
      <c r="GV313" s="327"/>
      <c r="GW313" s="327"/>
      <c r="GX313" s="327"/>
      <c r="GY313" s="327"/>
      <c r="GZ313" s="327"/>
      <c r="HA313" s="327"/>
      <c r="HB313" s="327"/>
      <c r="HC313" s="327"/>
      <c r="HD313" s="327"/>
      <c r="HE313" s="327"/>
      <c r="HF313" s="327"/>
      <c r="HG313" s="327"/>
      <c r="HH313" s="327"/>
      <c r="HI313" s="327"/>
      <c r="HJ313" s="327"/>
      <c r="HK313" s="327"/>
      <c r="HL313" s="327"/>
      <c r="HM313" s="327"/>
      <c r="HN313" s="327"/>
      <c r="HO313" s="327"/>
      <c r="HP313" s="327"/>
      <c r="HQ313" s="327"/>
      <c r="HR313" s="327"/>
      <c r="HS313" s="327"/>
    </row>
    <row r="314" spans="1:227" ht="15" customHeight="1">
      <c r="A314" s="330">
        <v>13</v>
      </c>
      <c r="B314" s="435" t="str">
        <f>VLOOKUP(Ruimtestaat[[#This Row],[Code]],Locaties[[Code]:[Locatie]],2,FALSE)</f>
        <v>IKC Florence Nightingale</v>
      </c>
      <c r="C314" s="435" t="str">
        <f>VLOOKUP(Ruimtestaat[[#This Row],[Code]],Locaties[[#All],[Code]:[Adres]],4,FALSE)</f>
        <v>Zanzibarplein 90</v>
      </c>
      <c r="D314" s="435" t="str">
        <f>VLOOKUP(Ruimtestaat[[#This Row],[Code]],Locaties[[#All],[Code]:[Postcode]],5,FALSE)</f>
        <v>2721 GE</v>
      </c>
      <c r="E314" s="435" t="str">
        <f>VLOOKUP(Ruimtestaat[[#This Row],[Code]],Locaties[#All],6,FALSE)</f>
        <v>Zoetermeer</v>
      </c>
      <c r="F314" s="450"/>
      <c r="G314" s="330" t="s">
        <v>1769</v>
      </c>
      <c r="H314" s="330" t="s">
        <v>1748</v>
      </c>
      <c r="I314" s="450" t="s">
        <v>1783</v>
      </c>
      <c r="J314" s="330">
        <v>10</v>
      </c>
      <c r="K314" s="450" t="str">
        <f>VLOOKUP(Ruimtestaat[[#This Row],[Ruimte code]],Ruimtegroepen[[#All],[Code]:[Ruimte omschrijving]],2,FALSE)</f>
        <v>Trappenhuizen/lift</v>
      </c>
      <c r="L314" s="434" t="s">
        <v>100</v>
      </c>
      <c r="M314" s="437" t="s">
        <v>1759</v>
      </c>
      <c r="N314" s="439">
        <v>1.5</v>
      </c>
      <c r="O314" s="439"/>
      <c r="P314" s="439"/>
      <c r="Q314" s="439"/>
      <c r="R314" s="440" t="str">
        <f>VLOOKUP(Ruimtestaat[[#This Row],[Ruimte code]],Ruimtegroepen[],4,FALSE)</f>
        <v>Ve</v>
      </c>
      <c r="S314" s="434">
        <v>41</v>
      </c>
      <c r="T314" s="434" t="s">
        <v>2</v>
      </c>
      <c r="U314" s="434">
        <f>IF(S314&gt;0,IF(RIGHT(Ruimtestaat[[#This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14" s="434">
        <f>IF(U314&gt;0,VLOOKUP($J314,Ruimtegroepen[],3,FALSE)*VLOOKUP($L314,Vloersoorten[],3,FALSE)*VLOOKUP($T314,Frequenties[],3,FALSE)*VLOOKUP($A314,Locaties[],3,FALSE),0)</f>
        <v>0</v>
      </c>
      <c r="W314" s="434">
        <f>Ruimtestaat[[#This Row],[Uitvoeringen werkdagen]]*Ruimtestaat[[#This Row],[Oppervlak (netto)]]</f>
        <v>307.5</v>
      </c>
      <c r="X314" s="441">
        <f>IF(V314&gt;0,Ruimtestaat[[#This Row],[Prest. (m2 /jaar) werkdagen]]/Ruimtestaat[[#This Row],[Norm (m2/uur) werkdagen]],0)</f>
        <v>0</v>
      </c>
      <c r="Y314" s="442">
        <f>Ruimtestaat[[#This Row],[Uitvoeringen werkdagen]]*Ruimtestaat[[#This Row],[Gedeeltelijk]]</f>
        <v>0</v>
      </c>
      <c r="Z314" s="443" t="e">
        <f>IF(U314&gt;0,Ruimtestaat[[#This Row],[Prest. (m2 / jaar) werkdagen gedeeld]]/Ruimtestaat[[#This Row],[Norm (m2/uur) werkdagen]],0)</f>
        <v>#DIV/0!</v>
      </c>
      <c r="AA314" s="441" t="e">
        <f>Ruimtestaat[[#This Row],[uren / jaar werkdagen gedeeld]]*Tariefsopbouw!$E$35</f>
        <v>#DIV/0!</v>
      </c>
      <c r="AB314" s="441">
        <f>Ruimtestaat[[#This Row],[Uitvoeringen werkdagen]]*Ruimtestaat[[#This Row],[BSO]]</f>
        <v>0</v>
      </c>
      <c r="AC314" s="443" t="e">
        <f>IF(U314&gt;0,Ruimtestaat[[#This Row],[Prest. (m2 / jaar) werkdagen BSO]]/Ruimtestaat[[#This Row],[Norm (m2/uur) werkdagen]],0)</f>
        <v>#DIV/0!</v>
      </c>
      <c r="AD314" s="443" t="e">
        <f>Ruimtestaat[[#This Row],[uren / jaar werkdagen BSO]]*Tariefsopbouw!$E$35</f>
        <v>#DIV/0!</v>
      </c>
      <c r="AE314" s="444">
        <f>Ruimtestaat[[#This Row],[uren / jaar werkdagen]]*Tariefsopbouw!$E$35</f>
        <v>0</v>
      </c>
      <c r="AF314" s="434"/>
      <c r="AG314" s="434">
        <f>IF(Ruimtestaat[[#This Row],[Frequentie weekend]]&gt;0,VALUE(LEFT(AF314,1))*S314,0)</f>
        <v>0</v>
      </c>
      <c r="AH314" s="445">
        <f>IF($AG314&gt;0,VLOOKUP($J314,Ruimtegroepen[],3,FALSE)*VLOOKUP($L314,Vloersoorten[],3,FALSE)*VLOOKUP($AF314,Frequenties[],3,FALSE)*VLOOKUP(Ruimtestaat[[#This Row],[Code]],Locaties[],3,FALSE),0)</f>
        <v>0</v>
      </c>
      <c r="AI314" s="445">
        <f>Ruimtestaat[[#This Row],[Uitvoeringen weekend]]*Ruimtestaat[[#This Row],[Oppervlak (netto)]]</f>
        <v>0</v>
      </c>
      <c r="AJ314" s="445">
        <f>IF(AH314&gt;0,Ruimtestaat[[#This Row],[Prest. (m2 /jaar) weekend]]/Ruimtestaat[[#This Row],[Norm (m2/uur) weekend]],0)</f>
        <v>0</v>
      </c>
      <c r="AK314" s="444">
        <f>Ruimtestaat[[#This Row],[uren / jaar weekend]]*Tariefsopbouw!$D$40</f>
        <v>0</v>
      </c>
      <c r="AL314" s="441">
        <f>Ruimtestaat[[#This Row],[Prest. (m2 /jaar) weekend]]+Ruimtestaat[[#This Row],[Prest. (m2 /jaar) werkdagen]]</f>
        <v>307.5</v>
      </c>
      <c r="AM314" s="441">
        <f>Ruimtestaat[[#This Row],[uren / jaar weekend]]+Ruimtestaat[[#This Row],[uren / jaar werkdagen]]</f>
        <v>0</v>
      </c>
      <c r="AN314" s="446">
        <f>Ruimtestaat[[#This Row],[kosten / jaar weekend]]+Ruimtestaat[[#This Row],[kosten / jaar werkdagen]]</f>
        <v>0</v>
      </c>
      <c r="AO314" s="446"/>
      <c r="AP314" s="447" t="str">
        <f>IF(Ruimtestaat[[#This Row],[Frequentie werkdagen]]="","",_xlfn.CONCAT(Ruimtestaat[[#This Row],[Ruimte code]],"-",Ruimtestaat[[#This Row],[Frequentie werkdagen]]," ",Ruimtestaat[[#This Row],[Vloer code]]))</f>
        <v>10-5w L</v>
      </c>
      <c r="AQ314" s="448" t="str">
        <f>_xlfn.IFNA(VLOOKUP($AP314,Programma!$F$3:$G$1101,2,0),"")</f>
        <v>_</v>
      </c>
      <c r="AR314" s="448" t="str">
        <f>_xlfn.IFNA(VLOOKUP($AP314,Programma!$F$3:$H$1101,3,0),"")</f>
        <v>_</v>
      </c>
      <c r="AS314" s="448" t="str">
        <f>_xlfn.IFNA(VLOOKUP($AP314,Programma!$F$3:$I$1101,4,0),"")</f>
        <v>4w</v>
      </c>
      <c r="AT314" s="448" t="str">
        <f>_xlfn.IFNA(VLOOKUP($AP314,Programma!$F$3:$J$1101,5,0),"")</f>
        <v>1w</v>
      </c>
      <c r="AU314" s="448" t="str">
        <f>_xlfn.IFNA(VLOOKUP($AP314,Programma!$F$3:$K$1101,6,0),"")</f>
        <v>_</v>
      </c>
      <c r="AV314" s="448" t="str">
        <f>_xlfn.IFNA(VLOOKUP($AP314,Programma!$F$3:$L$1101,7,0),"")</f>
        <v>_</v>
      </c>
      <c r="AW314" s="448" t="str">
        <f>_xlfn.IFNA(VLOOKUP($AP314,Programma!$F$3:$M$1101,8,0),"")</f>
        <v>_</v>
      </c>
      <c r="AX314" s="448" t="str">
        <f>_xlfn.IFNA(VLOOKUP($AP314,Programma!$F$3:$N$1101,9,0),"")</f>
        <v>_</v>
      </c>
      <c r="AY314" s="448" t="str">
        <f>_xlfn.IFNA(VLOOKUP($AP314,Programma!$F$3:$O$1101,10,0),"")</f>
        <v>5w</v>
      </c>
      <c r="AZ314" s="448" t="str">
        <f>_xlfn.IFNA(VLOOKUP($AP314,Programma!$F$3:$P$1101,11,0),"")</f>
        <v>5w</v>
      </c>
      <c r="BA314" s="448" t="str">
        <f>_xlfn.IFNA(VLOOKUP($AP314,Programma!$F$3:$Q$1101,12,0),"")</f>
        <v>1w</v>
      </c>
      <c r="BB314" s="448" t="str">
        <f>_xlfn.IFNA(VLOOKUP($AP314,Programma!$F$3:$R$1101,13,0),"")</f>
        <v>1w</v>
      </c>
      <c r="BC314" s="448" t="str">
        <f>_xlfn.IFNA(VLOOKUP($AP314,Programma!$F$3:$S$1101,14,0),"")</f>
        <v>1m</v>
      </c>
      <c r="BD314" s="448" t="str">
        <f>_xlfn.IFNA(VLOOKUP($AP314,Programma!$F$3:$T$1101,15,0),"")</f>
        <v>2j</v>
      </c>
      <c r="BE314" s="448" t="str">
        <f>_xlfn.IFNA(VLOOKUP($AP314,Programma!$F$3:$U$1101,16,0),"")</f>
        <v>1j</v>
      </c>
      <c r="BF314" s="448" t="str">
        <f>_xlfn.IFNA(VLOOKUP($AP314,Programma!$F$3:$V$1101,17,0),"")</f>
        <v>_</v>
      </c>
      <c r="BG314" s="448" t="str">
        <f>_xlfn.IFNA(VLOOKUP($AP314,Programma!$F$3:$W$1101,18,0),"")</f>
        <v>_</v>
      </c>
      <c r="BH314" s="448" t="str">
        <f>_xlfn.IFNA(VLOOKUP($AP314,Programma!$F$3:$X$1101,19,0),"")</f>
        <v>_</v>
      </c>
      <c r="BI314" s="448" t="str">
        <f>_xlfn.IFNA(VLOOKUP($AP314,Programma!$F$3:$Y$1101,20,0),"")</f>
        <v>_</v>
      </c>
      <c r="BJ314" s="449"/>
      <c r="BK314" s="447" t="str">
        <f>IF(Ruimtestaat[[#This Row],[Frequentie weekend]]="","",_xlfn.CONCAT(Ruimtestaat[[#This Row],[Ruimte code]],"-",Ruimtestaat[[#This Row],[Frequentie weekend]]," ",Ruimtestaat[[#This Row],[Vloer code]]))</f>
        <v/>
      </c>
      <c r="BL314" s="448" t="str">
        <f>_xlfn.IFNA(VLOOKUP($BK314,Programma!$F$3:$G$1101,2,0),"")</f>
        <v/>
      </c>
      <c r="BM314" s="448" t="str">
        <f>_xlfn.IFNA(VLOOKUP($BK314,Programma!$F$3:$H$1101,3,0),"")</f>
        <v/>
      </c>
      <c r="BN314" s="448" t="str">
        <f>_xlfn.IFNA(VLOOKUP($BK314,Programma!$F$3:$I$1101,4,0),"")</f>
        <v/>
      </c>
      <c r="BO314" s="448" t="str">
        <f>_xlfn.IFNA(VLOOKUP($BK314,Programma!$F$3:$J$1101,5,0),"")</f>
        <v/>
      </c>
      <c r="BP314" s="448" t="str">
        <f>_xlfn.IFNA(VLOOKUP($BK314,Programma!$F$3:$K$1101,6,0),"")</f>
        <v/>
      </c>
      <c r="BQ314" s="448" t="str">
        <f>_xlfn.IFNA(VLOOKUP($BK314,Programma!$F$3:$L$1101,7,0),"")</f>
        <v/>
      </c>
      <c r="BR314" s="448" t="str">
        <f>_xlfn.IFNA(VLOOKUP($BK314,Programma!$F$3:$M$1101,8,0),"")</f>
        <v/>
      </c>
      <c r="BS314" s="448" t="str">
        <f>_xlfn.IFNA(VLOOKUP($BK314,Programma!$F$3:$N$1101,9,0),"")</f>
        <v/>
      </c>
      <c r="BT314" s="448" t="str">
        <f>_xlfn.IFNA(VLOOKUP($BK314,Programma!$F$3:$O$1101,10,0),"")</f>
        <v/>
      </c>
      <c r="BU314" s="448" t="str">
        <f>_xlfn.IFNA(VLOOKUP($BK314,Programma!$F$3:$P$1101,11,0),"")</f>
        <v/>
      </c>
      <c r="BV314" s="448" t="str">
        <f>_xlfn.IFNA(VLOOKUP($BK314,Programma!$F$3:$Q$1101,12,0),"")</f>
        <v/>
      </c>
      <c r="BW314" s="448" t="str">
        <f>_xlfn.IFNA(VLOOKUP($BK314,Programma!$F$3:$R$1101,13,0),"")</f>
        <v/>
      </c>
      <c r="BX314" s="448" t="str">
        <f>_xlfn.IFNA(VLOOKUP($BK314,Programma!$F$3:$S$1101,14,0),"")</f>
        <v/>
      </c>
      <c r="BY314" s="448" t="str">
        <f>_xlfn.IFNA(VLOOKUP($BK314,Programma!$F$3:$T$1101,15,0),"")</f>
        <v/>
      </c>
      <c r="BZ314" s="448" t="str">
        <f>_xlfn.IFNA(VLOOKUP($BK314,Programma!$F$3:$U$1101,16,0),"")</f>
        <v/>
      </c>
      <c r="CA314" s="448" t="str">
        <f>_xlfn.IFNA(VLOOKUP($BK314,Programma!$F$3:$V$1101,17,0),"")</f>
        <v/>
      </c>
      <c r="CB314" s="448" t="str">
        <f>_xlfn.IFNA(VLOOKUP($BK314,Programma!$F$3:$W$1101,18,0),"")</f>
        <v/>
      </c>
      <c r="CC314" s="448" t="str">
        <f>_xlfn.IFNA(VLOOKUP($BK314,Programma!$F$3:$X$1101,19,0),"")</f>
        <v/>
      </c>
      <c r="CD314" s="448" t="str">
        <f>_xlfn.IFNA(VLOOKUP($BK314,Programma!$F$3:$Y$1101,20,0),"")</f>
        <v/>
      </c>
      <c r="CE314" s="327"/>
      <c r="CF314" s="327"/>
      <c r="CG314" s="327"/>
      <c r="CH314" s="327"/>
      <c r="CI314" s="327"/>
      <c r="CJ314" s="327"/>
      <c r="CK314" s="327"/>
      <c r="CL314" s="327"/>
      <c r="CM314" s="327"/>
      <c r="CN314" s="327"/>
      <c r="CO314" s="327"/>
      <c r="CP314" s="327"/>
      <c r="CQ314" s="327"/>
      <c r="CR314" s="327"/>
      <c r="CS314" s="327"/>
      <c r="CT314" s="327"/>
      <c r="CU314" s="327"/>
      <c r="CV314" s="327"/>
      <c r="CW314" s="327"/>
      <c r="CX314" s="327"/>
      <c r="CY314" s="327"/>
      <c r="CZ314" s="327"/>
      <c r="DA314" s="327"/>
      <c r="DB314" s="327"/>
      <c r="DC314" s="327"/>
      <c r="DD314" s="327"/>
      <c r="DE314" s="327"/>
      <c r="DF314" s="327"/>
      <c r="DG314" s="327"/>
      <c r="DH314" s="327"/>
      <c r="DI314" s="327"/>
      <c r="DJ314" s="327"/>
      <c r="DK314" s="327"/>
      <c r="DL314" s="327"/>
      <c r="DM314" s="327"/>
      <c r="DN314" s="327"/>
      <c r="DO314" s="327"/>
      <c r="DP314" s="327"/>
      <c r="DQ314" s="327"/>
      <c r="DR314" s="327"/>
      <c r="DS314" s="327"/>
      <c r="DT314" s="327"/>
      <c r="DU314" s="327"/>
      <c r="DV314" s="327"/>
      <c r="DW314" s="327"/>
      <c r="DX314" s="327"/>
      <c r="DY314" s="327"/>
      <c r="DZ314" s="327"/>
      <c r="EA314" s="327"/>
      <c r="EB314" s="327"/>
      <c r="EC314" s="327"/>
      <c r="ED314" s="327"/>
      <c r="EE314" s="327"/>
      <c r="EF314" s="327"/>
      <c r="EG314" s="327"/>
      <c r="EH314" s="327"/>
      <c r="EI314" s="327"/>
      <c r="EJ314" s="327"/>
      <c r="EK314" s="327"/>
      <c r="EL314" s="327"/>
      <c r="EM314" s="327"/>
      <c r="EN314" s="327"/>
      <c r="EO314" s="327"/>
      <c r="EP314" s="327"/>
      <c r="EQ314" s="327"/>
      <c r="ER314" s="327"/>
      <c r="ES314" s="327"/>
      <c r="ET314" s="327"/>
      <c r="EU314" s="327"/>
      <c r="EV314" s="327"/>
      <c r="EW314" s="327"/>
      <c r="EX314" s="327"/>
      <c r="EY314" s="327"/>
      <c r="EZ314" s="327"/>
      <c r="FA314" s="327"/>
      <c r="FB314" s="327"/>
      <c r="FC314" s="327"/>
      <c r="FD314" s="327"/>
      <c r="FE314" s="327"/>
      <c r="FF314" s="327"/>
      <c r="FG314" s="327"/>
      <c r="FH314" s="327"/>
      <c r="FI314" s="327"/>
      <c r="FJ314" s="327"/>
      <c r="FK314" s="327"/>
      <c r="FL314" s="327"/>
      <c r="FM314" s="327"/>
      <c r="FN314" s="327"/>
      <c r="FO314" s="327"/>
      <c r="FP314" s="327"/>
      <c r="FQ314" s="327"/>
      <c r="FR314" s="327"/>
      <c r="FS314" s="327"/>
      <c r="FT314" s="327"/>
      <c r="FU314" s="327"/>
      <c r="FV314" s="327"/>
      <c r="FW314" s="327"/>
      <c r="FX314" s="327"/>
      <c r="FY314" s="327"/>
      <c r="FZ314" s="327"/>
      <c r="GA314" s="327"/>
      <c r="GB314" s="327"/>
      <c r="GC314" s="327"/>
      <c r="GD314" s="327"/>
      <c r="GE314" s="327"/>
      <c r="GF314" s="327"/>
      <c r="GG314" s="327"/>
      <c r="GH314" s="327"/>
      <c r="GI314" s="327"/>
      <c r="GJ314" s="327"/>
      <c r="GK314" s="327"/>
      <c r="GL314" s="327"/>
      <c r="GM314" s="327"/>
      <c r="GN314" s="327"/>
      <c r="GO314" s="327"/>
      <c r="GP314" s="327"/>
      <c r="GQ314" s="327"/>
      <c r="GR314" s="327"/>
      <c r="GS314" s="327"/>
      <c r="GT314" s="327"/>
      <c r="GU314" s="327"/>
      <c r="GV314" s="327"/>
      <c r="GW314" s="327"/>
      <c r="GX314" s="327"/>
      <c r="GY314" s="327"/>
      <c r="GZ314" s="327"/>
      <c r="HA314" s="327"/>
      <c r="HB314" s="327"/>
      <c r="HC314" s="327"/>
      <c r="HD314" s="327"/>
      <c r="HE314" s="327"/>
      <c r="HF314" s="327"/>
      <c r="HG314" s="327"/>
      <c r="HH314" s="327"/>
      <c r="HI314" s="327"/>
      <c r="HJ314" s="327"/>
      <c r="HK314" s="327"/>
      <c r="HL314" s="327"/>
      <c r="HM314" s="327"/>
      <c r="HN314" s="327"/>
      <c r="HO314" s="327"/>
      <c r="HP314" s="327"/>
      <c r="HQ314" s="327"/>
      <c r="HR314" s="327"/>
      <c r="HS314" s="327"/>
    </row>
    <row r="315" spans="1:227" ht="15" customHeight="1">
      <c r="A315" s="330">
        <v>14</v>
      </c>
      <c r="B315" s="435" t="str">
        <f>VLOOKUP(Ruimtestaat[[#This Row],[Code]],Locaties[[Code]:[Locatie]],2,FALSE)</f>
        <v>IKC De Vuurtoren</v>
      </c>
      <c r="C315" s="435" t="str">
        <f>VLOOKUP(Ruimtestaat[[#This Row],[Code]],Locaties[[#All],[Code]:[Adres]],4,FALSE)</f>
        <v>Spitsbergen 15</v>
      </c>
      <c r="D315" s="435" t="str">
        <f>VLOOKUP(Ruimtestaat[[#This Row],[Code]],Locaties[[#All],[Code]:[Postcode]],5,FALSE)</f>
        <v>2721 GP</v>
      </c>
      <c r="E315" s="435" t="str">
        <f>VLOOKUP(Ruimtestaat[[#This Row],[Code]],Locaties[#All],6,FALSE)</f>
        <v>Zoetermeer</v>
      </c>
      <c r="F315" s="450"/>
      <c r="G315" s="330" t="s">
        <v>1678</v>
      </c>
      <c r="H315" s="330" t="s">
        <v>1662</v>
      </c>
      <c r="I315" s="450" t="s">
        <v>1832</v>
      </c>
      <c r="J315" s="330">
        <v>6</v>
      </c>
      <c r="K315" s="450" t="str">
        <f>VLOOKUP(Ruimtestaat[[#This Row],[Ruimte code]],Ruimtegroepen[[#All],[Code]:[Ruimte omschrijving]],2,FALSE)</f>
        <v>Gangen/hallen</v>
      </c>
      <c r="L315" s="434" t="s">
        <v>100</v>
      </c>
      <c r="M315" s="437" t="s">
        <v>1759</v>
      </c>
      <c r="N315" s="439">
        <v>15</v>
      </c>
      <c r="O315" s="439"/>
      <c r="P315" s="439"/>
      <c r="Q315" s="439"/>
      <c r="R315" s="440" t="str">
        <f>VLOOKUP(Ruimtestaat[[#This Row],[Ruimte code]],Ruimtegroepen[],4,FALSE)</f>
        <v>Ve</v>
      </c>
      <c r="S315" s="434">
        <v>41</v>
      </c>
      <c r="T315" s="434" t="s">
        <v>2</v>
      </c>
      <c r="U315" s="434">
        <f>IF(S315&gt;0,IF(RIGHT(Ruimtestaat[[#This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15" s="434">
        <f>IF(U315&gt;0,VLOOKUP($J315,Ruimtegroepen[],3,FALSE)*VLOOKUP($L315,Vloersoorten[],3,FALSE)*VLOOKUP($T315,Frequenties[],3,FALSE)*VLOOKUP($A315,Locaties[],3,FALSE),0)</f>
        <v>0</v>
      </c>
      <c r="W315" s="434">
        <f>Ruimtestaat[[#This Row],[Uitvoeringen werkdagen]]*Ruimtestaat[[#This Row],[Oppervlak (netto)]]</f>
        <v>3075</v>
      </c>
      <c r="X315" s="441">
        <f>IF(V315&gt;0,Ruimtestaat[[#This Row],[Prest. (m2 /jaar) werkdagen]]/Ruimtestaat[[#This Row],[Norm (m2/uur) werkdagen]],0)</f>
        <v>0</v>
      </c>
      <c r="Y315" s="442">
        <f>Ruimtestaat[[#This Row],[Uitvoeringen werkdagen]]*Ruimtestaat[[#This Row],[Gedeeltelijk]]</f>
        <v>0</v>
      </c>
      <c r="Z315" s="443" t="e">
        <f>IF(U315&gt;0,Ruimtestaat[[#This Row],[Prest. (m2 / jaar) werkdagen gedeeld]]/Ruimtestaat[[#This Row],[Norm (m2/uur) werkdagen]],0)</f>
        <v>#DIV/0!</v>
      </c>
      <c r="AA315" s="441" t="e">
        <f>Ruimtestaat[[#This Row],[uren / jaar werkdagen gedeeld]]*Tariefsopbouw!$E$35</f>
        <v>#DIV/0!</v>
      </c>
      <c r="AB315" s="441">
        <f>Ruimtestaat[[#This Row],[Uitvoeringen werkdagen]]*Ruimtestaat[[#This Row],[BSO]]</f>
        <v>0</v>
      </c>
      <c r="AC315" s="443" t="e">
        <f>IF(U315&gt;0,Ruimtestaat[[#This Row],[Prest. (m2 / jaar) werkdagen BSO]]/Ruimtestaat[[#This Row],[Norm (m2/uur) werkdagen]],0)</f>
        <v>#DIV/0!</v>
      </c>
      <c r="AD315" s="443" t="e">
        <f>Ruimtestaat[[#This Row],[uren / jaar werkdagen BSO]]*Tariefsopbouw!$E$35</f>
        <v>#DIV/0!</v>
      </c>
      <c r="AE315" s="444">
        <f>Ruimtestaat[[#This Row],[uren / jaar werkdagen]]*Tariefsopbouw!$E$35</f>
        <v>0</v>
      </c>
      <c r="AF315" s="434"/>
      <c r="AG315" s="434">
        <f>IF(Ruimtestaat[[#This Row],[Frequentie weekend]]&gt;0,VALUE(LEFT(AF315,1))*S315,0)</f>
        <v>0</v>
      </c>
      <c r="AH315" s="445">
        <f>IF($AG315&gt;0,VLOOKUP($J315,Ruimtegroepen[],3,FALSE)*VLOOKUP($L315,Vloersoorten[],3,FALSE)*VLOOKUP($AF315,Frequenties[],3,FALSE)*VLOOKUP(Ruimtestaat[[#This Row],[Code]],Locaties[],3,FALSE),0)</f>
        <v>0</v>
      </c>
      <c r="AI315" s="445">
        <f>Ruimtestaat[[#This Row],[Uitvoeringen weekend]]*Ruimtestaat[[#This Row],[Oppervlak (netto)]]</f>
        <v>0</v>
      </c>
      <c r="AJ315" s="445">
        <f>IF(AH315&gt;0,Ruimtestaat[[#This Row],[Prest. (m2 /jaar) weekend]]/Ruimtestaat[[#This Row],[Norm (m2/uur) weekend]],0)</f>
        <v>0</v>
      </c>
      <c r="AK315" s="444">
        <f>Ruimtestaat[[#This Row],[uren / jaar weekend]]*Tariefsopbouw!$D$40</f>
        <v>0</v>
      </c>
      <c r="AL315" s="441">
        <f>Ruimtestaat[[#This Row],[Prest. (m2 /jaar) weekend]]+Ruimtestaat[[#This Row],[Prest. (m2 /jaar) werkdagen]]</f>
        <v>3075</v>
      </c>
      <c r="AM315" s="441">
        <f>Ruimtestaat[[#This Row],[uren / jaar weekend]]+Ruimtestaat[[#This Row],[uren / jaar werkdagen]]</f>
        <v>0</v>
      </c>
      <c r="AN315" s="446">
        <f>Ruimtestaat[[#This Row],[kosten / jaar weekend]]+Ruimtestaat[[#This Row],[kosten / jaar werkdagen]]</f>
        <v>0</v>
      </c>
      <c r="AO315" s="446"/>
      <c r="AP315" s="447" t="str">
        <f>IF(Ruimtestaat[[#This Row],[Frequentie werkdagen]]="","",_xlfn.CONCAT(Ruimtestaat[[#This Row],[Ruimte code]],"-",Ruimtestaat[[#This Row],[Frequentie werkdagen]]," ",Ruimtestaat[[#This Row],[Vloer code]]))</f>
        <v>6-5w L</v>
      </c>
      <c r="AQ315" s="448" t="str">
        <f>_xlfn.IFNA(VLOOKUP($AP315,Programma!$F$3:$G$1101,2,0),"")</f>
        <v>_</v>
      </c>
      <c r="AR315" s="448" t="str">
        <f>_xlfn.IFNA(VLOOKUP($AP315,Programma!$F$3:$H$1101,3,0),"")</f>
        <v>_</v>
      </c>
      <c r="AS315" s="448" t="str">
        <f>_xlfn.IFNA(VLOOKUP($AP315,Programma!$F$3:$I$1101,4,0),"")</f>
        <v>_</v>
      </c>
      <c r="AT315" s="448" t="str">
        <f>_xlfn.IFNA(VLOOKUP($AP315,Programma!$F$3:$J$1101,5,0),"")</f>
        <v>5w</v>
      </c>
      <c r="AU315" s="448" t="str">
        <f>_xlfn.IFNA(VLOOKUP($AP315,Programma!$F$3:$K$1101,6,0),"")</f>
        <v>_</v>
      </c>
      <c r="AV315" s="448" t="str">
        <f>_xlfn.IFNA(VLOOKUP($AP315,Programma!$F$3:$L$1101,7,0),"")</f>
        <v>_</v>
      </c>
      <c r="AW315" s="448" t="str">
        <f>_xlfn.IFNA(VLOOKUP($AP315,Programma!$F$3:$M$1101,8,0),"")</f>
        <v>_</v>
      </c>
      <c r="AX315" s="448" t="str">
        <f>_xlfn.IFNA(VLOOKUP($AP315,Programma!$F$3:$N$1101,9,0),"")</f>
        <v>_</v>
      </c>
      <c r="AY315" s="448" t="str">
        <f>_xlfn.IFNA(VLOOKUP($AP315,Programma!$F$3:$O$1101,10,0),"")</f>
        <v>5w</v>
      </c>
      <c r="AZ315" s="448" t="str">
        <f>_xlfn.IFNA(VLOOKUP($AP315,Programma!$F$3:$P$1101,11,0),"")</f>
        <v>5w</v>
      </c>
      <c r="BA315" s="448" t="str">
        <f>_xlfn.IFNA(VLOOKUP($AP315,Programma!$F$3:$Q$1101,12,0),"")</f>
        <v>1w</v>
      </c>
      <c r="BB315" s="448" t="str">
        <f>_xlfn.IFNA(VLOOKUP($AP315,Programma!$F$3:$R$1101,13,0),"")</f>
        <v>1w</v>
      </c>
      <c r="BC315" s="448" t="str">
        <f>_xlfn.IFNA(VLOOKUP($AP315,Programma!$F$3:$S$1101,14,0),"")</f>
        <v>1m</v>
      </c>
      <c r="BD315" s="448" t="str">
        <f>_xlfn.IFNA(VLOOKUP($AP315,Programma!$F$3:$T$1101,15,0),"")</f>
        <v>2j</v>
      </c>
      <c r="BE315" s="448" t="str">
        <f>_xlfn.IFNA(VLOOKUP($AP315,Programma!$F$3:$U$1101,16,0),"")</f>
        <v>1j</v>
      </c>
      <c r="BF315" s="448" t="str">
        <f>_xlfn.IFNA(VLOOKUP($AP315,Programma!$F$3:$V$1101,17,0),"")</f>
        <v>_</v>
      </c>
      <c r="BG315" s="448" t="str">
        <f>_xlfn.IFNA(VLOOKUP($AP315,Programma!$F$3:$W$1101,18,0),"")</f>
        <v>_</v>
      </c>
      <c r="BH315" s="448" t="str">
        <f>_xlfn.IFNA(VLOOKUP($AP315,Programma!$F$3:$X$1101,19,0),"")</f>
        <v>_</v>
      </c>
      <c r="BI315" s="448" t="str">
        <f>_xlfn.IFNA(VLOOKUP($AP315,Programma!$F$3:$Y$1101,20,0),"")</f>
        <v>_</v>
      </c>
      <c r="BJ315" s="449"/>
      <c r="BK315" s="447" t="str">
        <f>IF(Ruimtestaat[[#This Row],[Frequentie weekend]]="","",_xlfn.CONCAT(Ruimtestaat[[#This Row],[Ruimte code]],"-",Ruimtestaat[[#This Row],[Frequentie weekend]]," ",Ruimtestaat[[#This Row],[Vloer code]]))</f>
        <v/>
      </c>
      <c r="BL315" s="448" t="str">
        <f>_xlfn.IFNA(VLOOKUP($BK315,Programma!$F$3:$G$1101,2,0),"")</f>
        <v/>
      </c>
      <c r="BM315" s="448" t="str">
        <f>_xlfn.IFNA(VLOOKUP($BK315,Programma!$F$3:$H$1101,3,0),"")</f>
        <v/>
      </c>
      <c r="BN315" s="448" t="str">
        <f>_xlfn.IFNA(VLOOKUP($BK315,Programma!$F$3:$I$1101,4,0),"")</f>
        <v/>
      </c>
      <c r="BO315" s="448" t="str">
        <f>_xlfn.IFNA(VLOOKUP($BK315,Programma!$F$3:$J$1101,5,0),"")</f>
        <v/>
      </c>
      <c r="BP315" s="448" t="str">
        <f>_xlfn.IFNA(VLOOKUP($BK315,Programma!$F$3:$K$1101,6,0),"")</f>
        <v/>
      </c>
      <c r="BQ315" s="448" t="str">
        <f>_xlfn.IFNA(VLOOKUP($BK315,Programma!$F$3:$L$1101,7,0),"")</f>
        <v/>
      </c>
      <c r="BR315" s="448" t="str">
        <f>_xlfn.IFNA(VLOOKUP($BK315,Programma!$F$3:$M$1101,8,0),"")</f>
        <v/>
      </c>
      <c r="BS315" s="448" t="str">
        <f>_xlfn.IFNA(VLOOKUP($BK315,Programma!$F$3:$N$1101,9,0),"")</f>
        <v/>
      </c>
      <c r="BT315" s="448" t="str">
        <f>_xlfn.IFNA(VLOOKUP($BK315,Programma!$F$3:$O$1101,10,0),"")</f>
        <v/>
      </c>
      <c r="BU315" s="448" t="str">
        <f>_xlfn.IFNA(VLOOKUP($BK315,Programma!$F$3:$P$1101,11,0),"")</f>
        <v/>
      </c>
      <c r="BV315" s="448" t="str">
        <f>_xlfn.IFNA(VLOOKUP($BK315,Programma!$F$3:$Q$1101,12,0),"")</f>
        <v/>
      </c>
      <c r="BW315" s="448" t="str">
        <f>_xlfn.IFNA(VLOOKUP($BK315,Programma!$F$3:$R$1101,13,0),"")</f>
        <v/>
      </c>
      <c r="BX315" s="448" t="str">
        <f>_xlfn.IFNA(VLOOKUP($BK315,Programma!$F$3:$S$1101,14,0),"")</f>
        <v/>
      </c>
      <c r="BY315" s="448" t="str">
        <f>_xlfn.IFNA(VLOOKUP($BK315,Programma!$F$3:$T$1101,15,0),"")</f>
        <v/>
      </c>
      <c r="BZ315" s="448" t="str">
        <f>_xlfn.IFNA(VLOOKUP($BK315,Programma!$F$3:$U$1101,16,0),"")</f>
        <v/>
      </c>
      <c r="CA315" s="448" t="str">
        <f>_xlfn.IFNA(VLOOKUP($BK315,Programma!$F$3:$V$1101,17,0),"")</f>
        <v/>
      </c>
      <c r="CB315" s="448" t="str">
        <f>_xlfn.IFNA(VLOOKUP($BK315,Programma!$F$3:$W$1101,18,0),"")</f>
        <v/>
      </c>
      <c r="CC315" s="448" t="str">
        <f>_xlfn.IFNA(VLOOKUP($BK315,Programma!$F$3:$X$1101,19,0),"")</f>
        <v/>
      </c>
      <c r="CD315" s="448" t="str">
        <f>_xlfn.IFNA(VLOOKUP($BK315,Programma!$F$3:$Y$1101,20,0),"")</f>
        <v/>
      </c>
      <c r="CE315" s="327"/>
      <c r="CF315" s="327"/>
      <c r="CG315" s="327"/>
      <c r="CH315" s="327"/>
      <c r="CI315" s="327"/>
      <c r="CJ315" s="327"/>
      <c r="CK315" s="327"/>
      <c r="CL315" s="327"/>
      <c r="CM315" s="327"/>
      <c r="CN315" s="327"/>
      <c r="CO315" s="327"/>
      <c r="CP315" s="327"/>
      <c r="CQ315" s="327"/>
      <c r="CR315" s="327"/>
      <c r="CS315" s="327"/>
      <c r="CT315" s="327"/>
      <c r="CU315" s="327"/>
      <c r="CV315" s="327"/>
      <c r="CW315" s="327"/>
      <c r="CX315" s="327"/>
      <c r="CY315" s="327"/>
      <c r="CZ315" s="327"/>
      <c r="DA315" s="327"/>
      <c r="DB315" s="327"/>
      <c r="DC315" s="327"/>
      <c r="DD315" s="327"/>
      <c r="DE315" s="327"/>
      <c r="DF315" s="327"/>
      <c r="DG315" s="327"/>
      <c r="DH315" s="327"/>
      <c r="DI315" s="327"/>
      <c r="DJ315" s="327"/>
      <c r="DK315" s="327"/>
      <c r="DL315" s="327"/>
      <c r="DM315" s="327"/>
      <c r="DN315" s="327"/>
      <c r="DO315" s="327"/>
      <c r="DP315" s="327"/>
      <c r="DQ315" s="327"/>
      <c r="DR315" s="327"/>
      <c r="DS315" s="327"/>
      <c r="DT315" s="327"/>
      <c r="DU315" s="327"/>
      <c r="DV315" s="327"/>
      <c r="DW315" s="327"/>
      <c r="DX315" s="327"/>
      <c r="DY315" s="327"/>
      <c r="DZ315" s="327"/>
      <c r="EA315" s="327"/>
      <c r="EB315" s="327"/>
      <c r="EC315" s="327"/>
      <c r="ED315" s="327"/>
      <c r="EE315" s="327"/>
      <c r="EF315" s="327"/>
      <c r="EG315" s="327"/>
      <c r="EH315" s="327"/>
      <c r="EI315" s="327"/>
      <c r="EJ315" s="327"/>
      <c r="EK315" s="327"/>
      <c r="EL315" s="327"/>
      <c r="EM315" s="327"/>
      <c r="EN315" s="327"/>
      <c r="EO315" s="327"/>
      <c r="EP315" s="327"/>
      <c r="EQ315" s="327"/>
      <c r="ER315" s="327"/>
      <c r="ES315" s="327"/>
      <c r="ET315" s="327"/>
      <c r="EU315" s="327"/>
      <c r="EV315" s="327"/>
      <c r="EW315" s="327"/>
      <c r="EX315" s="327"/>
      <c r="EY315" s="327"/>
      <c r="EZ315" s="327"/>
      <c r="FA315" s="327"/>
      <c r="FB315" s="327"/>
      <c r="FC315" s="327"/>
      <c r="FD315" s="327"/>
      <c r="FE315" s="327"/>
      <c r="FF315" s="327"/>
      <c r="FG315" s="327"/>
      <c r="FH315" s="327"/>
      <c r="FI315" s="327"/>
      <c r="FJ315" s="327"/>
      <c r="FK315" s="327"/>
      <c r="FL315" s="327"/>
      <c r="FM315" s="327"/>
      <c r="FN315" s="327"/>
      <c r="FO315" s="327"/>
      <c r="FP315" s="327"/>
      <c r="FQ315" s="327"/>
      <c r="FR315" s="327"/>
      <c r="FS315" s="327"/>
      <c r="FT315" s="327"/>
      <c r="FU315" s="327"/>
      <c r="FV315" s="327"/>
      <c r="FW315" s="327"/>
      <c r="FX315" s="327"/>
      <c r="FY315" s="327"/>
      <c r="FZ315" s="327"/>
      <c r="GA315" s="327"/>
      <c r="GB315" s="327"/>
      <c r="GC315" s="327"/>
      <c r="GD315" s="327"/>
      <c r="GE315" s="327"/>
      <c r="GF315" s="327"/>
      <c r="GG315" s="327"/>
      <c r="GH315" s="327"/>
      <c r="GI315" s="327"/>
      <c r="GJ315" s="327"/>
      <c r="GK315" s="327"/>
      <c r="GL315" s="327"/>
      <c r="GM315" s="327"/>
      <c r="GN315" s="327"/>
      <c r="GO315" s="327"/>
      <c r="GP315" s="327"/>
      <c r="GQ315" s="327"/>
      <c r="GR315" s="327"/>
      <c r="GS315" s="327"/>
      <c r="GT315" s="327"/>
      <c r="GU315" s="327"/>
      <c r="GV315" s="327"/>
      <c r="GW315" s="327"/>
      <c r="GX315" s="327"/>
      <c r="GY315" s="327"/>
      <c r="GZ315" s="327"/>
      <c r="HA315" s="327"/>
      <c r="HB315" s="327"/>
      <c r="HC315" s="327"/>
      <c r="HD315" s="327"/>
      <c r="HE315" s="327"/>
      <c r="HF315" s="327"/>
      <c r="HG315" s="327"/>
      <c r="HH315" s="327"/>
      <c r="HI315" s="327"/>
      <c r="HJ315" s="327"/>
      <c r="HK315" s="327"/>
      <c r="HL315" s="327"/>
      <c r="HM315" s="327"/>
      <c r="HN315" s="327"/>
      <c r="HO315" s="327"/>
      <c r="HP315" s="327"/>
      <c r="HQ315" s="327"/>
      <c r="HR315" s="327"/>
      <c r="HS315" s="327"/>
    </row>
    <row r="316" spans="1:227" ht="15" customHeight="1">
      <c r="A316" s="330">
        <v>14</v>
      </c>
      <c r="B316" s="435" t="str">
        <f>VLOOKUP(Ruimtestaat[[#This Row],[Code]],Locaties[[Code]:[Locatie]],2,FALSE)</f>
        <v>IKC De Vuurtoren</v>
      </c>
      <c r="C316" s="435" t="str">
        <f>VLOOKUP(Ruimtestaat[[#This Row],[Code]],Locaties[[#All],[Code]:[Adres]],4,FALSE)</f>
        <v>Spitsbergen 15</v>
      </c>
      <c r="D316" s="435" t="str">
        <f>VLOOKUP(Ruimtestaat[[#This Row],[Code]],Locaties[[#All],[Code]:[Postcode]],5,FALSE)</f>
        <v>2721 GP</v>
      </c>
      <c r="E316" s="435" t="str">
        <f>VLOOKUP(Ruimtestaat[[#This Row],[Code]],Locaties[#All],6,FALSE)</f>
        <v>Zoetermeer</v>
      </c>
      <c r="F316" s="450"/>
      <c r="G316" s="330" t="s">
        <v>1678</v>
      </c>
      <c r="H316" s="330" t="s">
        <v>1662</v>
      </c>
      <c r="I316" s="450" t="s">
        <v>1832</v>
      </c>
      <c r="J316" s="330">
        <v>6</v>
      </c>
      <c r="K316" s="450" t="str">
        <f>VLOOKUP(Ruimtestaat[[#This Row],[Ruimte code]],Ruimtegroepen[[#All],[Code]:[Ruimte omschrijving]],2,FALSE)</f>
        <v>Gangen/hallen</v>
      </c>
      <c r="L316" s="330" t="s">
        <v>99</v>
      </c>
      <c r="M316" s="437" t="s">
        <v>1758</v>
      </c>
      <c r="N316" s="439">
        <v>13</v>
      </c>
      <c r="O316" s="439"/>
      <c r="P316" s="439"/>
      <c r="Q316" s="439"/>
      <c r="R316" s="440" t="str">
        <f>VLOOKUP(Ruimtestaat[[#This Row],[Ruimte code]],Ruimtegroepen[],4,FALSE)</f>
        <v>Ve</v>
      </c>
      <c r="S316" s="434">
        <v>41</v>
      </c>
      <c r="T316" s="434" t="s">
        <v>2</v>
      </c>
      <c r="U316" s="434">
        <f>IF(S316&gt;0,IF(RIGHT(Ruimtestaat[[#This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16" s="434">
        <f>IF(U316&gt;0,VLOOKUP($J316,Ruimtegroepen[],3,FALSE)*VLOOKUP($L316,Vloersoorten[],3,FALSE)*VLOOKUP($T316,Frequenties[],3,FALSE)*VLOOKUP($A316,Locaties[],3,FALSE),0)</f>
        <v>0</v>
      </c>
      <c r="W316" s="434">
        <f>Ruimtestaat[[#This Row],[Uitvoeringen werkdagen]]*Ruimtestaat[[#This Row],[Oppervlak (netto)]]</f>
        <v>2665</v>
      </c>
      <c r="X316" s="441">
        <f>IF(V316&gt;0,Ruimtestaat[[#This Row],[Prest. (m2 /jaar) werkdagen]]/Ruimtestaat[[#This Row],[Norm (m2/uur) werkdagen]],0)</f>
        <v>0</v>
      </c>
      <c r="Y316" s="442">
        <f>Ruimtestaat[[#This Row],[Uitvoeringen werkdagen]]*Ruimtestaat[[#This Row],[Gedeeltelijk]]</f>
        <v>0</v>
      </c>
      <c r="Z316" s="443" t="e">
        <f>IF(U316&gt;0,Ruimtestaat[[#This Row],[Prest. (m2 / jaar) werkdagen gedeeld]]/Ruimtestaat[[#This Row],[Norm (m2/uur) werkdagen]],0)</f>
        <v>#DIV/0!</v>
      </c>
      <c r="AA316" s="441" t="e">
        <f>Ruimtestaat[[#This Row],[uren / jaar werkdagen gedeeld]]*Tariefsopbouw!$E$35</f>
        <v>#DIV/0!</v>
      </c>
      <c r="AB316" s="441">
        <f>Ruimtestaat[[#This Row],[Uitvoeringen werkdagen]]*Ruimtestaat[[#This Row],[BSO]]</f>
        <v>0</v>
      </c>
      <c r="AC316" s="443" t="e">
        <f>IF(U316&gt;0,Ruimtestaat[[#This Row],[Prest. (m2 / jaar) werkdagen BSO]]/Ruimtestaat[[#This Row],[Norm (m2/uur) werkdagen]],0)</f>
        <v>#DIV/0!</v>
      </c>
      <c r="AD316" s="443" t="e">
        <f>Ruimtestaat[[#This Row],[uren / jaar werkdagen BSO]]*Tariefsopbouw!$E$35</f>
        <v>#DIV/0!</v>
      </c>
      <c r="AE316" s="444">
        <f>Ruimtestaat[[#This Row],[uren / jaar werkdagen]]*Tariefsopbouw!$E$35</f>
        <v>0</v>
      </c>
      <c r="AF316" s="434"/>
      <c r="AG316" s="434">
        <f>IF(Ruimtestaat[[#This Row],[Frequentie weekend]]&gt;0,VALUE(LEFT(AF316,1))*S316,0)</f>
        <v>0</v>
      </c>
      <c r="AH316" s="445">
        <f>IF($AG316&gt;0,VLOOKUP($J316,Ruimtegroepen[],3,FALSE)*VLOOKUP($L316,Vloersoorten[],3,FALSE)*VLOOKUP($AF316,Frequenties[],3,FALSE)*VLOOKUP(Ruimtestaat[[#This Row],[Code]],Locaties[],3,FALSE),0)</f>
        <v>0</v>
      </c>
      <c r="AI316" s="445">
        <f>Ruimtestaat[[#This Row],[Uitvoeringen weekend]]*Ruimtestaat[[#This Row],[Oppervlak (netto)]]</f>
        <v>0</v>
      </c>
      <c r="AJ316" s="445">
        <f>IF(AH316&gt;0,Ruimtestaat[[#This Row],[Prest. (m2 /jaar) weekend]]/Ruimtestaat[[#This Row],[Norm (m2/uur) weekend]],0)</f>
        <v>0</v>
      </c>
      <c r="AK316" s="444">
        <f>Ruimtestaat[[#This Row],[uren / jaar weekend]]*Tariefsopbouw!$D$40</f>
        <v>0</v>
      </c>
      <c r="AL316" s="441">
        <f>Ruimtestaat[[#This Row],[Prest. (m2 /jaar) weekend]]+Ruimtestaat[[#This Row],[Prest. (m2 /jaar) werkdagen]]</f>
        <v>2665</v>
      </c>
      <c r="AM316" s="441">
        <f>Ruimtestaat[[#This Row],[uren / jaar weekend]]+Ruimtestaat[[#This Row],[uren / jaar werkdagen]]</f>
        <v>0</v>
      </c>
      <c r="AN316" s="446">
        <f>Ruimtestaat[[#This Row],[kosten / jaar weekend]]+Ruimtestaat[[#This Row],[kosten / jaar werkdagen]]</f>
        <v>0</v>
      </c>
      <c r="AO316" s="446"/>
      <c r="AP316" s="447" t="str">
        <f>IF(Ruimtestaat[[#This Row],[Frequentie werkdagen]]="","",_xlfn.CONCAT(Ruimtestaat[[#This Row],[Ruimte code]],"-",Ruimtestaat[[#This Row],[Frequentie werkdagen]]," ",Ruimtestaat[[#This Row],[Vloer code]]))</f>
        <v>6-5w T</v>
      </c>
      <c r="AQ316" s="448" t="str">
        <f>_xlfn.IFNA(VLOOKUP($AP316,Programma!$F$3:$G$1101,2,0),"")</f>
        <v>_</v>
      </c>
      <c r="AR316" s="448" t="str">
        <f>_xlfn.IFNA(VLOOKUP($AP316,Programma!$F$3:$H$1101,3,0),"")</f>
        <v>5w</v>
      </c>
      <c r="AS316" s="448" t="str">
        <f>_xlfn.IFNA(VLOOKUP($AP316,Programma!$F$3:$I$1101,4,0),"")</f>
        <v>_</v>
      </c>
      <c r="AT316" s="448" t="str">
        <f>_xlfn.IFNA(VLOOKUP($AP316,Programma!$F$3:$J$1101,5,0),"")</f>
        <v>_</v>
      </c>
      <c r="AU316" s="448" t="str">
        <f>_xlfn.IFNA(VLOOKUP($AP316,Programma!$F$3:$K$1101,6,0),"")</f>
        <v>_</v>
      </c>
      <c r="AV316" s="448" t="str">
        <f>_xlfn.IFNA(VLOOKUP($AP316,Programma!$F$3:$L$1101,7,0),"")</f>
        <v>_</v>
      </c>
      <c r="AW316" s="448" t="str">
        <f>_xlfn.IFNA(VLOOKUP($AP316,Programma!$F$3:$M$1101,8,0),"")</f>
        <v>_</v>
      </c>
      <c r="AX316" s="448" t="str">
        <f>_xlfn.IFNA(VLOOKUP($AP316,Programma!$F$3:$N$1101,9,0),"")</f>
        <v>_</v>
      </c>
      <c r="AY316" s="448" t="str">
        <f>_xlfn.IFNA(VLOOKUP($AP316,Programma!$F$3:$O$1101,10,0),"")</f>
        <v>5w</v>
      </c>
      <c r="AZ316" s="448" t="str">
        <f>_xlfn.IFNA(VLOOKUP($AP316,Programma!$F$3:$P$1101,11,0),"")</f>
        <v>5w</v>
      </c>
      <c r="BA316" s="448" t="str">
        <f>_xlfn.IFNA(VLOOKUP($AP316,Programma!$F$3:$Q$1101,12,0),"")</f>
        <v>1w</v>
      </c>
      <c r="BB316" s="448" t="str">
        <f>_xlfn.IFNA(VLOOKUP($AP316,Programma!$F$3:$R$1101,13,0),"")</f>
        <v>1w</v>
      </c>
      <c r="BC316" s="448" t="str">
        <f>_xlfn.IFNA(VLOOKUP($AP316,Programma!$F$3:$S$1101,14,0),"")</f>
        <v>1m</v>
      </c>
      <c r="BD316" s="448" t="str">
        <f>_xlfn.IFNA(VLOOKUP($AP316,Programma!$F$3:$T$1101,15,0),"")</f>
        <v>2j</v>
      </c>
      <c r="BE316" s="448" t="str">
        <f>_xlfn.IFNA(VLOOKUP($AP316,Programma!$F$3:$U$1101,16,0),"")</f>
        <v>1j</v>
      </c>
      <c r="BF316" s="448" t="str">
        <f>_xlfn.IFNA(VLOOKUP($AP316,Programma!$F$3:$V$1101,17,0),"")</f>
        <v>_</v>
      </c>
      <c r="BG316" s="448" t="str">
        <f>_xlfn.IFNA(VLOOKUP($AP316,Programma!$F$3:$W$1101,18,0),"")</f>
        <v>_</v>
      </c>
      <c r="BH316" s="448" t="str">
        <f>_xlfn.IFNA(VLOOKUP($AP316,Programma!$F$3:$X$1101,19,0),"")</f>
        <v>_</v>
      </c>
      <c r="BI316" s="448" t="str">
        <f>_xlfn.IFNA(VLOOKUP($AP316,Programma!$F$3:$Y$1101,20,0),"")</f>
        <v>_</v>
      </c>
      <c r="BJ316" s="449"/>
      <c r="BK316" s="447" t="str">
        <f>IF(Ruimtestaat[[#This Row],[Frequentie weekend]]="","",_xlfn.CONCAT(Ruimtestaat[[#This Row],[Ruimte code]],"-",Ruimtestaat[[#This Row],[Frequentie weekend]]," ",Ruimtestaat[[#This Row],[Vloer code]]))</f>
        <v/>
      </c>
      <c r="BL316" s="448" t="str">
        <f>_xlfn.IFNA(VLOOKUP($BK316,Programma!$F$3:$G$1101,2,0),"")</f>
        <v/>
      </c>
      <c r="BM316" s="448" t="str">
        <f>_xlfn.IFNA(VLOOKUP($BK316,Programma!$F$3:$H$1101,3,0),"")</f>
        <v/>
      </c>
      <c r="BN316" s="448" t="str">
        <f>_xlfn.IFNA(VLOOKUP($BK316,Programma!$F$3:$I$1101,4,0),"")</f>
        <v/>
      </c>
      <c r="BO316" s="448" t="str">
        <f>_xlfn.IFNA(VLOOKUP($BK316,Programma!$F$3:$J$1101,5,0),"")</f>
        <v/>
      </c>
      <c r="BP316" s="448" t="str">
        <f>_xlfn.IFNA(VLOOKUP($BK316,Programma!$F$3:$K$1101,6,0),"")</f>
        <v/>
      </c>
      <c r="BQ316" s="448" t="str">
        <f>_xlfn.IFNA(VLOOKUP($BK316,Programma!$F$3:$L$1101,7,0),"")</f>
        <v/>
      </c>
      <c r="BR316" s="448" t="str">
        <f>_xlfn.IFNA(VLOOKUP($BK316,Programma!$F$3:$M$1101,8,0),"")</f>
        <v/>
      </c>
      <c r="BS316" s="448" t="str">
        <f>_xlfn.IFNA(VLOOKUP($BK316,Programma!$F$3:$N$1101,9,0),"")</f>
        <v/>
      </c>
      <c r="BT316" s="448" t="str">
        <f>_xlfn.IFNA(VLOOKUP($BK316,Programma!$F$3:$O$1101,10,0),"")</f>
        <v/>
      </c>
      <c r="BU316" s="448" t="str">
        <f>_xlfn.IFNA(VLOOKUP($BK316,Programma!$F$3:$P$1101,11,0),"")</f>
        <v/>
      </c>
      <c r="BV316" s="448" t="str">
        <f>_xlfn.IFNA(VLOOKUP($BK316,Programma!$F$3:$Q$1101,12,0),"")</f>
        <v/>
      </c>
      <c r="BW316" s="448" t="str">
        <f>_xlfn.IFNA(VLOOKUP($BK316,Programma!$F$3:$R$1101,13,0),"")</f>
        <v/>
      </c>
      <c r="BX316" s="448" t="str">
        <f>_xlfn.IFNA(VLOOKUP($BK316,Programma!$F$3:$S$1101,14,0),"")</f>
        <v/>
      </c>
      <c r="BY316" s="448" t="str">
        <f>_xlfn.IFNA(VLOOKUP($BK316,Programma!$F$3:$T$1101,15,0),"")</f>
        <v/>
      </c>
      <c r="BZ316" s="448" t="str">
        <f>_xlfn.IFNA(VLOOKUP($BK316,Programma!$F$3:$U$1101,16,0),"")</f>
        <v/>
      </c>
      <c r="CA316" s="448" t="str">
        <f>_xlfn.IFNA(VLOOKUP($BK316,Programma!$F$3:$V$1101,17,0),"")</f>
        <v/>
      </c>
      <c r="CB316" s="448" t="str">
        <f>_xlfn.IFNA(VLOOKUP($BK316,Programma!$F$3:$W$1101,18,0),"")</f>
        <v/>
      </c>
      <c r="CC316" s="448" t="str">
        <f>_xlfn.IFNA(VLOOKUP($BK316,Programma!$F$3:$X$1101,19,0),"")</f>
        <v/>
      </c>
      <c r="CD316" s="448" t="str">
        <f>_xlfn.IFNA(VLOOKUP($BK316,Programma!$F$3:$Y$1101,20,0),"")</f>
        <v/>
      </c>
      <c r="CE316" s="327"/>
      <c r="CF316" s="327"/>
      <c r="CG316" s="327"/>
      <c r="CH316" s="327"/>
      <c r="CI316" s="327"/>
      <c r="CJ316" s="327"/>
      <c r="CK316" s="327"/>
      <c r="CL316" s="327"/>
      <c r="CM316" s="327"/>
      <c r="CN316" s="327"/>
      <c r="CO316" s="327"/>
      <c r="CP316" s="327"/>
      <c r="CQ316" s="327"/>
      <c r="CR316" s="327"/>
      <c r="CS316" s="327"/>
      <c r="CT316" s="327"/>
      <c r="CU316" s="327"/>
      <c r="CV316" s="327"/>
      <c r="CW316" s="327"/>
      <c r="CX316" s="327"/>
      <c r="CY316" s="327"/>
      <c r="CZ316" s="327"/>
      <c r="DA316" s="327"/>
      <c r="DB316" s="327"/>
      <c r="DC316" s="327"/>
      <c r="DD316" s="327"/>
      <c r="DE316" s="327"/>
      <c r="DF316" s="327"/>
      <c r="DG316" s="327"/>
      <c r="DH316" s="327"/>
      <c r="DI316" s="327"/>
      <c r="DJ316" s="327"/>
      <c r="DK316" s="327"/>
      <c r="DL316" s="327"/>
      <c r="DM316" s="327"/>
      <c r="DN316" s="327"/>
      <c r="DO316" s="327"/>
      <c r="DP316" s="327"/>
      <c r="DQ316" s="327"/>
      <c r="DR316" s="327"/>
      <c r="DS316" s="327"/>
      <c r="DT316" s="327"/>
      <c r="DU316" s="327"/>
      <c r="DV316" s="327"/>
      <c r="DW316" s="327"/>
      <c r="DX316" s="327"/>
      <c r="DY316" s="327"/>
      <c r="DZ316" s="327"/>
      <c r="EA316" s="327"/>
      <c r="EB316" s="327"/>
      <c r="EC316" s="327"/>
      <c r="ED316" s="327"/>
      <c r="EE316" s="327"/>
      <c r="EF316" s="327"/>
      <c r="EG316" s="327"/>
      <c r="EH316" s="327"/>
      <c r="EI316" s="327"/>
      <c r="EJ316" s="327"/>
      <c r="EK316" s="327"/>
      <c r="EL316" s="327"/>
      <c r="EM316" s="327"/>
      <c r="EN316" s="327"/>
      <c r="EO316" s="327"/>
      <c r="EP316" s="327"/>
      <c r="EQ316" s="327"/>
      <c r="ER316" s="327"/>
      <c r="ES316" s="327"/>
      <c r="ET316" s="327"/>
      <c r="EU316" s="327"/>
      <c r="EV316" s="327"/>
      <c r="EW316" s="327"/>
      <c r="EX316" s="327"/>
      <c r="EY316" s="327"/>
      <c r="EZ316" s="327"/>
      <c r="FA316" s="327"/>
      <c r="FB316" s="327"/>
      <c r="FC316" s="327"/>
      <c r="FD316" s="327"/>
      <c r="FE316" s="327"/>
      <c r="FF316" s="327"/>
      <c r="FG316" s="327"/>
      <c r="FH316" s="327"/>
      <c r="FI316" s="327"/>
      <c r="FJ316" s="327"/>
      <c r="FK316" s="327"/>
      <c r="FL316" s="327"/>
      <c r="FM316" s="327"/>
      <c r="FN316" s="327"/>
      <c r="FO316" s="327"/>
      <c r="FP316" s="327"/>
      <c r="FQ316" s="327"/>
      <c r="FR316" s="327"/>
      <c r="FS316" s="327"/>
      <c r="FT316" s="327"/>
      <c r="FU316" s="327"/>
      <c r="FV316" s="327"/>
      <c r="FW316" s="327"/>
      <c r="FX316" s="327"/>
      <c r="FY316" s="327"/>
      <c r="FZ316" s="327"/>
      <c r="GA316" s="327"/>
      <c r="GB316" s="327"/>
      <c r="GC316" s="327"/>
      <c r="GD316" s="327"/>
      <c r="GE316" s="327"/>
      <c r="GF316" s="327"/>
      <c r="GG316" s="327"/>
      <c r="GH316" s="327"/>
      <c r="GI316" s="327"/>
      <c r="GJ316" s="327"/>
      <c r="GK316" s="327"/>
      <c r="GL316" s="327"/>
      <c r="GM316" s="327"/>
      <c r="GN316" s="327"/>
      <c r="GO316" s="327"/>
      <c r="GP316" s="327"/>
      <c r="GQ316" s="327"/>
      <c r="GR316" s="327"/>
      <c r="GS316" s="327"/>
      <c r="GT316" s="327"/>
      <c r="GU316" s="327"/>
      <c r="GV316" s="327"/>
      <c r="GW316" s="327"/>
      <c r="GX316" s="327"/>
      <c r="GY316" s="327"/>
      <c r="GZ316" s="327"/>
      <c r="HA316" s="327"/>
      <c r="HB316" s="327"/>
      <c r="HC316" s="327"/>
      <c r="HD316" s="327"/>
      <c r="HE316" s="327"/>
      <c r="HF316" s="327"/>
      <c r="HG316" s="327"/>
      <c r="HH316" s="327"/>
      <c r="HI316" s="327"/>
      <c r="HJ316" s="327"/>
      <c r="HK316" s="327"/>
      <c r="HL316" s="327"/>
      <c r="HM316" s="327"/>
      <c r="HN316" s="327"/>
      <c r="HO316" s="327"/>
      <c r="HP316" s="327"/>
      <c r="HQ316" s="327"/>
      <c r="HR316" s="327"/>
      <c r="HS316" s="327"/>
    </row>
    <row r="317" spans="1:227" ht="15" customHeight="1">
      <c r="A317" s="330">
        <v>14</v>
      </c>
      <c r="B317" s="435" t="str">
        <f>VLOOKUP(Ruimtestaat[[#This Row],[Code]],Locaties[[Code]:[Locatie]],2,FALSE)</f>
        <v>IKC De Vuurtoren</v>
      </c>
      <c r="C317" s="435" t="str">
        <f>VLOOKUP(Ruimtestaat[[#This Row],[Code]],Locaties[[#All],[Code]:[Adres]],4,FALSE)</f>
        <v>Spitsbergen 15</v>
      </c>
      <c r="D317" s="435" t="str">
        <f>VLOOKUP(Ruimtestaat[[#This Row],[Code]],Locaties[[#All],[Code]:[Postcode]],5,FALSE)</f>
        <v>2721 GP</v>
      </c>
      <c r="E317" s="435" t="str">
        <f>VLOOKUP(Ruimtestaat[[#This Row],[Code]],Locaties[#All],6,FALSE)</f>
        <v>Zoetermeer</v>
      </c>
      <c r="F317" s="450"/>
      <c r="G317" s="330" t="s">
        <v>1678</v>
      </c>
      <c r="H317" s="330" t="s">
        <v>1665</v>
      </c>
      <c r="I317" s="450" t="s">
        <v>1690</v>
      </c>
      <c r="J317" s="330">
        <v>16</v>
      </c>
      <c r="K317" s="450" t="str">
        <f>VLOOKUP(Ruimtestaat[[#This Row],[Ruimte code]],Ruimtegroepen[[#All],[Code]:[Ruimte omschrijving]],2,FALSE)</f>
        <v>Leslokalen</v>
      </c>
      <c r="L317" s="434" t="s">
        <v>100</v>
      </c>
      <c r="M317" s="437" t="s">
        <v>1759</v>
      </c>
      <c r="N317" s="439">
        <v>54</v>
      </c>
      <c r="O317" s="439"/>
      <c r="P317" s="439"/>
      <c r="Q317" s="439"/>
      <c r="R317" s="440" t="str">
        <f>VLOOKUP(Ruimtestaat[[#This Row],[Ruimte code]],Ruimtegroepen[],4,FALSE)</f>
        <v>Le</v>
      </c>
      <c r="S317" s="434">
        <v>40</v>
      </c>
      <c r="T317" s="434" t="s">
        <v>2</v>
      </c>
      <c r="U317" s="434">
        <f>IF(S317&gt;0,IF(RIGHT(Ruimtestaat[[#This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7" s="434">
        <f>IF(U317&gt;0,VLOOKUP($J317,Ruimtegroepen[],3,FALSE)*VLOOKUP($L317,Vloersoorten[],3,FALSE)*VLOOKUP($T317,Frequenties[],3,FALSE)*VLOOKUP($A317,Locaties[],3,FALSE),0)</f>
        <v>0</v>
      </c>
      <c r="W317" s="434">
        <f>Ruimtestaat[[#This Row],[Uitvoeringen werkdagen]]*Ruimtestaat[[#This Row],[Oppervlak (netto)]]</f>
        <v>10800</v>
      </c>
      <c r="X317" s="441">
        <f>IF(V317&gt;0,Ruimtestaat[[#This Row],[Prest. (m2 /jaar) werkdagen]]/Ruimtestaat[[#This Row],[Norm (m2/uur) werkdagen]],0)</f>
        <v>0</v>
      </c>
      <c r="Y317" s="442">
        <f>Ruimtestaat[[#This Row],[Uitvoeringen werkdagen]]*Ruimtestaat[[#This Row],[Gedeeltelijk]]</f>
        <v>0</v>
      </c>
      <c r="Z317" s="443" t="e">
        <f>IF(U317&gt;0,Ruimtestaat[[#This Row],[Prest. (m2 / jaar) werkdagen gedeeld]]/Ruimtestaat[[#This Row],[Norm (m2/uur) werkdagen]],0)</f>
        <v>#DIV/0!</v>
      </c>
      <c r="AA317" s="441" t="e">
        <f>Ruimtestaat[[#This Row],[uren / jaar werkdagen gedeeld]]*Tariefsopbouw!$E$35</f>
        <v>#DIV/0!</v>
      </c>
      <c r="AB317" s="441">
        <f>Ruimtestaat[[#This Row],[Uitvoeringen werkdagen]]*Ruimtestaat[[#This Row],[BSO]]</f>
        <v>0</v>
      </c>
      <c r="AC317" s="443" t="e">
        <f>IF(U317&gt;0,Ruimtestaat[[#This Row],[Prest. (m2 / jaar) werkdagen BSO]]/Ruimtestaat[[#This Row],[Norm (m2/uur) werkdagen]],0)</f>
        <v>#DIV/0!</v>
      </c>
      <c r="AD317" s="443" t="e">
        <f>Ruimtestaat[[#This Row],[uren / jaar werkdagen BSO]]*Tariefsopbouw!$E$35</f>
        <v>#DIV/0!</v>
      </c>
      <c r="AE317" s="444">
        <f>Ruimtestaat[[#This Row],[uren / jaar werkdagen]]*Tariefsopbouw!$E$35</f>
        <v>0</v>
      </c>
      <c r="AF317" s="434"/>
      <c r="AG317" s="434">
        <f>IF(Ruimtestaat[[#This Row],[Frequentie weekend]]&gt;0,VALUE(LEFT(AF317,1))*S317,0)</f>
        <v>0</v>
      </c>
      <c r="AH317" s="445">
        <f>IF($AG317&gt;0,VLOOKUP($J317,Ruimtegroepen[],3,FALSE)*VLOOKUP($L317,Vloersoorten[],3,FALSE)*VLOOKUP($AF317,Frequenties[],3,FALSE)*VLOOKUP(Ruimtestaat[[#This Row],[Code]],Locaties[],3,FALSE),0)</f>
        <v>0</v>
      </c>
      <c r="AI317" s="445">
        <f>Ruimtestaat[[#This Row],[Uitvoeringen weekend]]*Ruimtestaat[[#This Row],[Oppervlak (netto)]]</f>
        <v>0</v>
      </c>
      <c r="AJ317" s="445">
        <f>IF(AH317&gt;0,Ruimtestaat[[#This Row],[Prest. (m2 /jaar) weekend]]/Ruimtestaat[[#This Row],[Norm (m2/uur) weekend]],0)</f>
        <v>0</v>
      </c>
      <c r="AK317" s="444">
        <f>Ruimtestaat[[#This Row],[uren / jaar weekend]]*Tariefsopbouw!$D$40</f>
        <v>0</v>
      </c>
      <c r="AL317" s="441">
        <f>Ruimtestaat[[#This Row],[Prest. (m2 /jaar) weekend]]+Ruimtestaat[[#This Row],[Prest. (m2 /jaar) werkdagen]]</f>
        <v>10800</v>
      </c>
      <c r="AM317" s="441">
        <f>Ruimtestaat[[#This Row],[uren / jaar weekend]]+Ruimtestaat[[#This Row],[uren / jaar werkdagen]]</f>
        <v>0</v>
      </c>
      <c r="AN317" s="446">
        <f>Ruimtestaat[[#This Row],[kosten / jaar weekend]]+Ruimtestaat[[#This Row],[kosten / jaar werkdagen]]</f>
        <v>0</v>
      </c>
      <c r="AO317" s="446"/>
      <c r="AP317" s="447" t="str">
        <f>IF(Ruimtestaat[[#This Row],[Frequentie werkdagen]]="","",_xlfn.CONCAT(Ruimtestaat[[#This Row],[Ruimte code]],"-",Ruimtestaat[[#This Row],[Frequentie werkdagen]]," ",Ruimtestaat[[#This Row],[Vloer code]]))</f>
        <v>16-5w L</v>
      </c>
      <c r="AQ317" s="448" t="str">
        <f>_xlfn.IFNA(VLOOKUP($AP317,Programma!$F$3:$G$1101,2,0),"")</f>
        <v>_</v>
      </c>
      <c r="AR317" s="448" t="str">
        <f>_xlfn.IFNA(VLOOKUP($AP317,Programma!$F$3:$H$1101,3,0),"")</f>
        <v>_</v>
      </c>
      <c r="AS317" s="448" t="str">
        <f>_xlfn.IFNA(VLOOKUP($AP317,Programma!$F$3:$I$1101,4,0),"")</f>
        <v>4w</v>
      </c>
      <c r="AT317" s="448" t="str">
        <f>_xlfn.IFNA(VLOOKUP($AP317,Programma!$F$3:$J$1101,5,0),"")</f>
        <v>1w</v>
      </c>
      <c r="AU317" s="448" t="str">
        <f>_xlfn.IFNA(VLOOKUP($AP317,Programma!$F$3:$K$1101,6,0),"")</f>
        <v>_</v>
      </c>
      <c r="AV317" s="448" t="str">
        <f>_xlfn.IFNA(VLOOKUP($AP317,Programma!$F$3:$L$1101,7,0),"")</f>
        <v>_</v>
      </c>
      <c r="AW317" s="448" t="str">
        <f>_xlfn.IFNA(VLOOKUP($AP317,Programma!$F$3:$M$1101,8,0),"")</f>
        <v>_</v>
      </c>
      <c r="AX317" s="448" t="str">
        <f>_xlfn.IFNA(VLOOKUP($AP317,Programma!$F$3:$N$1101,9,0),"")</f>
        <v>_</v>
      </c>
      <c r="AY317" s="448" t="str">
        <f>_xlfn.IFNA(VLOOKUP($AP317,Programma!$F$3:$O$1101,10,0),"")</f>
        <v>5w</v>
      </c>
      <c r="AZ317" s="448" t="str">
        <f>_xlfn.IFNA(VLOOKUP($AP317,Programma!$F$3:$P$1101,11,0),"")</f>
        <v>5w</v>
      </c>
      <c r="BA317" s="448" t="str">
        <f>_xlfn.IFNA(VLOOKUP($AP317,Programma!$F$3:$Q$1101,12,0),"")</f>
        <v>1w</v>
      </c>
      <c r="BB317" s="448" t="str">
        <f>_xlfn.IFNA(VLOOKUP($AP317,Programma!$F$3:$R$1101,13,0),"")</f>
        <v>1w</v>
      </c>
      <c r="BC317" s="448" t="str">
        <f>_xlfn.IFNA(VLOOKUP($AP317,Programma!$F$3:$S$1101,14,0),"")</f>
        <v>1m</v>
      </c>
      <c r="BD317" s="448" t="str">
        <f>_xlfn.IFNA(VLOOKUP($AP317,Programma!$F$3:$T$1101,15,0),"")</f>
        <v>2j</v>
      </c>
      <c r="BE317" s="448" t="str">
        <f>_xlfn.IFNA(VLOOKUP($AP317,Programma!$F$3:$U$1101,16,0),"")</f>
        <v>1j</v>
      </c>
      <c r="BF317" s="448" t="str">
        <f>_xlfn.IFNA(VLOOKUP($AP317,Programma!$F$3:$V$1101,17,0),"")</f>
        <v>_</v>
      </c>
      <c r="BG317" s="448" t="str">
        <f>_xlfn.IFNA(VLOOKUP($AP317,Programma!$F$3:$W$1101,18,0),"")</f>
        <v>_</v>
      </c>
      <c r="BH317" s="448" t="str">
        <f>_xlfn.IFNA(VLOOKUP($AP317,Programma!$F$3:$X$1101,19,0),"")</f>
        <v>_</v>
      </c>
      <c r="BI317" s="448" t="str">
        <f>_xlfn.IFNA(VLOOKUP($AP317,Programma!$F$3:$Y$1101,20,0),"")</f>
        <v>_</v>
      </c>
      <c r="BJ317" s="449"/>
      <c r="BK317" s="447" t="str">
        <f>IF(Ruimtestaat[[#This Row],[Frequentie weekend]]="","",_xlfn.CONCAT(Ruimtestaat[[#This Row],[Ruimte code]],"-",Ruimtestaat[[#This Row],[Frequentie weekend]]," ",Ruimtestaat[[#This Row],[Vloer code]]))</f>
        <v/>
      </c>
      <c r="BL317" s="448" t="str">
        <f>_xlfn.IFNA(VLOOKUP($BK317,Programma!$F$3:$G$1101,2,0),"")</f>
        <v/>
      </c>
      <c r="BM317" s="448" t="str">
        <f>_xlfn.IFNA(VLOOKUP($BK317,Programma!$F$3:$H$1101,3,0),"")</f>
        <v/>
      </c>
      <c r="BN317" s="448" t="str">
        <f>_xlfn.IFNA(VLOOKUP($BK317,Programma!$F$3:$I$1101,4,0),"")</f>
        <v/>
      </c>
      <c r="BO317" s="448" t="str">
        <f>_xlfn.IFNA(VLOOKUP($BK317,Programma!$F$3:$J$1101,5,0),"")</f>
        <v/>
      </c>
      <c r="BP317" s="448" t="str">
        <f>_xlfn.IFNA(VLOOKUP($BK317,Programma!$F$3:$K$1101,6,0),"")</f>
        <v/>
      </c>
      <c r="BQ317" s="448" t="str">
        <f>_xlfn.IFNA(VLOOKUP($BK317,Programma!$F$3:$L$1101,7,0),"")</f>
        <v/>
      </c>
      <c r="BR317" s="448" t="str">
        <f>_xlfn.IFNA(VLOOKUP($BK317,Programma!$F$3:$M$1101,8,0),"")</f>
        <v/>
      </c>
      <c r="BS317" s="448" t="str">
        <f>_xlfn.IFNA(VLOOKUP($BK317,Programma!$F$3:$N$1101,9,0),"")</f>
        <v/>
      </c>
      <c r="BT317" s="448" t="str">
        <f>_xlfn.IFNA(VLOOKUP($BK317,Programma!$F$3:$O$1101,10,0),"")</f>
        <v/>
      </c>
      <c r="BU317" s="448" t="str">
        <f>_xlfn.IFNA(VLOOKUP($BK317,Programma!$F$3:$P$1101,11,0),"")</f>
        <v/>
      </c>
      <c r="BV317" s="448" t="str">
        <f>_xlfn.IFNA(VLOOKUP($BK317,Programma!$F$3:$Q$1101,12,0),"")</f>
        <v/>
      </c>
      <c r="BW317" s="448" t="str">
        <f>_xlfn.IFNA(VLOOKUP($BK317,Programma!$F$3:$R$1101,13,0),"")</f>
        <v/>
      </c>
      <c r="BX317" s="448" t="str">
        <f>_xlfn.IFNA(VLOOKUP($BK317,Programma!$F$3:$S$1101,14,0),"")</f>
        <v/>
      </c>
      <c r="BY317" s="448" t="str">
        <f>_xlfn.IFNA(VLOOKUP($BK317,Programma!$F$3:$T$1101,15,0),"")</f>
        <v/>
      </c>
      <c r="BZ317" s="448" t="str">
        <f>_xlfn.IFNA(VLOOKUP($BK317,Programma!$F$3:$U$1101,16,0),"")</f>
        <v/>
      </c>
      <c r="CA317" s="448" t="str">
        <f>_xlfn.IFNA(VLOOKUP($BK317,Programma!$F$3:$V$1101,17,0),"")</f>
        <v/>
      </c>
      <c r="CB317" s="448" t="str">
        <f>_xlfn.IFNA(VLOOKUP($BK317,Programma!$F$3:$W$1101,18,0),"")</f>
        <v/>
      </c>
      <c r="CC317" s="448" t="str">
        <f>_xlfn.IFNA(VLOOKUP($BK317,Programma!$F$3:$X$1101,19,0),"")</f>
        <v/>
      </c>
      <c r="CD317" s="448" t="str">
        <f>_xlfn.IFNA(VLOOKUP($BK317,Programma!$F$3:$Y$1101,20,0),"")</f>
        <v/>
      </c>
      <c r="CE317" s="327"/>
      <c r="CF317" s="327"/>
      <c r="CG317" s="327"/>
      <c r="CH317" s="327"/>
      <c r="CI317" s="327"/>
      <c r="CJ317" s="327"/>
      <c r="CK317" s="327"/>
      <c r="CL317" s="327"/>
      <c r="CM317" s="327"/>
      <c r="CN317" s="327"/>
      <c r="CO317" s="327"/>
      <c r="CP317" s="327"/>
      <c r="CQ317" s="327"/>
      <c r="CR317" s="327"/>
      <c r="CS317" s="327"/>
      <c r="CT317" s="327"/>
      <c r="CU317" s="327"/>
      <c r="CV317" s="327"/>
      <c r="CW317" s="327"/>
      <c r="CX317" s="327"/>
      <c r="CY317" s="327"/>
      <c r="CZ317" s="327"/>
      <c r="DA317" s="327"/>
      <c r="DB317" s="327"/>
      <c r="DC317" s="327"/>
      <c r="DD317" s="327"/>
      <c r="DE317" s="327"/>
      <c r="DF317" s="327"/>
      <c r="DG317" s="327"/>
      <c r="DH317" s="327"/>
      <c r="DI317" s="327"/>
      <c r="DJ317" s="327"/>
      <c r="DK317" s="327"/>
      <c r="DL317" s="327"/>
      <c r="DM317" s="327"/>
      <c r="DN317" s="327"/>
      <c r="DO317" s="327"/>
      <c r="DP317" s="327"/>
      <c r="DQ317" s="327"/>
      <c r="DR317" s="327"/>
      <c r="DS317" s="327"/>
      <c r="DT317" s="327"/>
      <c r="DU317" s="327"/>
      <c r="DV317" s="327"/>
      <c r="DW317" s="327"/>
      <c r="DX317" s="327"/>
      <c r="DY317" s="327"/>
      <c r="DZ317" s="327"/>
      <c r="EA317" s="327"/>
      <c r="EB317" s="327"/>
      <c r="EC317" s="327"/>
      <c r="ED317" s="327"/>
      <c r="EE317" s="327"/>
      <c r="EF317" s="327"/>
      <c r="EG317" s="327"/>
      <c r="EH317" s="327"/>
      <c r="EI317" s="327"/>
      <c r="EJ317" s="327"/>
      <c r="EK317" s="327"/>
      <c r="EL317" s="327"/>
      <c r="EM317" s="327"/>
      <c r="EN317" s="327"/>
      <c r="EO317" s="327"/>
      <c r="EP317" s="327"/>
      <c r="EQ317" s="327"/>
      <c r="ER317" s="327"/>
      <c r="ES317" s="327"/>
      <c r="ET317" s="327"/>
      <c r="EU317" s="327"/>
      <c r="EV317" s="327"/>
      <c r="EW317" s="327"/>
      <c r="EX317" s="327"/>
      <c r="EY317" s="327"/>
      <c r="EZ317" s="327"/>
      <c r="FA317" s="327"/>
      <c r="FB317" s="327"/>
      <c r="FC317" s="327"/>
      <c r="FD317" s="327"/>
      <c r="FE317" s="327"/>
      <c r="FF317" s="327"/>
      <c r="FG317" s="327"/>
      <c r="FH317" s="327"/>
      <c r="FI317" s="327"/>
      <c r="FJ317" s="327"/>
      <c r="FK317" s="327"/>
      <c r="FL317" s="327"/>
      <c r="FM317" s="327"/>
      <c r="FN317" s="327"/>
      <c r="FO317" s="327"/>
      <c r="FP317" s="327"/>
      <c r="FQ317" s="327"/>
      <c r="FR317" s="327"/>
      <c r="FS317" s="327"/>
      <c r="FT317" s="327"/>
      <c r="FU317" s="327"/>
      <c r="FV317" s="327"/>
      <c r="FW317" s="327"/>
      <c r="FX317" s="327"/>
      <c r="FY317" s="327"/>
      <c r="FZ317" s="327"/>
      <c r="GA317" s="327"/>
      <c r="GB317" s="327"/>
      <c r="GC317" s="327"/>
      <c r="GD317" s="327"/>
      <c r="GE317" s="327"/>
      <c r="GF317" s="327"/>
      <c r="GG317" s="327"/>
      <c r="GH317" s="327"/>
      <c r="GI317" s="327"/>
      <c r="GJ317" s="327"/>
      <c r="GK317" s="327"/>
      <c r="GL317" s="327"/>
      <c r="GM317" s="327"/>
      <c r="GN317" s="327"/>
      <c r="GO317" s="327"/>
      <c r="GP317" s="327"/>
      <c r="GQ317" s="327"/>
      <c r="GR317" s="327"/>
      <c r="GS317" s="327"/>
      <c r="GT317" s="327"/>
      <c r="GU317" s="327"/>
      <c r="GV317" s="327"/>
      <c r="GW317" s="327"/>
      <c r="GX317" s="327"/>
      <c r="GY317" s="327"/>
      <c r="GZ317" s="327"/>
      <c r="HA317" s="327"/>
      <c r="HB317" s="327"/>
      <c r="HC317" s="327"/>
      <c r="HD317" s="327"/>
      <c r="HE317" s="327"/>
      <c r="HF317" s="327"/>
      <c r="HG317" s="327"/>
      <c r="HH317" s="327"/>
      <c r="HI317" s="327"/>
      <c r="HJ317" s="327"/>
      <c r="HK317" s="327"/>
      <c r="HL317" s="327"/>
      <c r="HM317" s="327"/>
      <c r="HN317" s="327"/>
      <c r="HO317" s="327"/>
      <c r="HP317" s="327"/>
      <c r="HQ317" s="327"/>
      <c r="HR317" s="327"/>
      <c r="HS317" s="327"/>
    </row>
    <row r="318" spans="1:227" ht="15" customHeight="1">
      <c r="A318" s="330">
        <v>14</v>
      </c>
      <c r="B318" s="435" t="str">
        <f>VLOOKUP(Ruimtestaat[[#This Row],[Code]],Locaties[[Code]:[Locatie]],2,FALSE)</f>
        <v>IKC De Vuurtoren</v>
      </c>
      <c r="C318" s="435" t="str">
        <f>VLOOKUP(Ruimtestaat[[#This Row],[Code]],Locaties[[#All],[Code]:[Adres]],4,FALSE)</f>
        <v>Spitsbergen 15</v>
      </c>
      <c r="D318" s="435" t="str">
        <f>VLOOKUP(Ruimtestaat[[#This Row],[Code]],Locaties[[#All],[Code]:[Postcode]],5,FALSE)</f>
        <v>2721 GP</v>
      </c>
      <c r="E318" s="435" t="str">
        <f>VLOOKUP(Ruimtestaat[[#This Row],[Code]],Locaties[#All],6,FALSE)</f>
        <v>Zoetermeer</v>
      </c>
      <c r="F318" s="450"/>
      <c r="G318" s="330" t="s">
        <v>1678</v>
      </c>
      <c r="H318" s="330" t="s">
        <v>1667</v>
      </c>
      <c r="I318" s="450" t="s">
        <v>1833</v>
      </c>
      <c r="J318" s="330">
        <v>6</v>
      </c>
      <c r="K318" s="450" t="str">
        <f>VLOOKUP(Ruimtestaat[[#This Row],[Ruimte code]],Ruimtegroepen[[#All],[Code]:[Ruimte omschrijving]],2,FALSE)</f>
        <v>Gangen/hallen</v>
      </c>
      <c r="L318" s="434" t="s">
        <v>100</v>
      </c>
      <c r="M318" s="437" t="s">
        <v>1759</v>
      </c>
      <c r="N318" s="439">
        <v>156</v>
      </c>
      <c r="O318" s="439"/>
      <c r="P318" s="439"/>
      <c r="Q318" s="439"/>
      <c r="R318" s="440" t="str">
        <f>VLOOKUP(Ruimtestaat[[#This Row],[Ruimte code]],Ruimtegroepen[],4,FALSE)</f>
        <v>Ve</v>
      </c>
      <c r="S318" s="434">
        <v>41</v>
      </c>
      <c r="T318" s="434" t="s">
        <v>2</v>
      </c>
      <c r="U318" s="434">
        <f>IF(S318&gt;0,IF(RIGHT(Ruimtestaat[[#This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18" s="434">
        <f>IF(U318&gt;0,VLOOKUP($J318,Ruimtegroepen[],3,FALSE)*VLOOKUP($L318,Vloersoorten[],3,FALSE)*VLOOKUP($T318,Frequenties[],3,FALSE)*VLOOKUP($A318,Locaties[],3,FALSE),0)</f>
        <v>0</v>
      </c>
      <c r="W318" s="434">
        <f>Ruimtestaat[[#This Row],[Uitvoeringen werkdagen]]*Ruimtestaat[[#This Row],[Oppervlak (netto)]]</f>
        <v>31980</v>
      </c>
      <c r="X318" s="441">
        <f>IF(V318&gt;0,Ruimtestaat[[#This Row],[Prest. (m2 /jaar) werkdagen]]/Ruimtestaat[[#This Row],[Norm (m2/uur) werkdagen]],0)</f>
        <v>0</v>
      </c>
      <c r="Y318" s="442">
        <f>Ruimtestaat[[#This Row],[Uitvoeringen werkdagen]]*Ruimtestaat[[#This Row],[Gedeeltelijk]]</f>
        <v>0</v>
      </c>
      <c r="Z318" s="443" t="e">
        <f>IF(U318&gt;0,Ruimtestaat[[#This Row],[Prest. (m2 / jaar) werkdagen gedeeld]]/Ruimtestaat[[#This Row],[Norm (m2/uur) werkdagen]],0)</f>
        <v>#DIV/0!</v>
      </c>
      <c r="AA318" s="441" t="e">
        <f>Ruimtestaat[[#This Row],[uren / jaar werkdagen gedeeld]]*Tariefsopbouw!$E$35</f>
        <v>#DIV/0!</v>
      </c>
      <c r="AB318" s="441">
        <f>Ruimtestaat[[#This Row],[Uitvoeringen werkdagen]]*Ruimtestaat[[#This Row],[BSO]]</f>
        <v>0</v>
      </c>
      <c r="AC318" s="443" t="e">
        <f>IF(U318&gt;0,Ruimtestaat[[#This Row],[Prest. (m2 / jaar) werkdagen BSO]]/Ruimtestaat[[#This Row],[Norm (m2/uur) werkdagen]],0)</f>
        <v>#DIV/0!</v>
      </c>
      <c r="AD318" s="443" t="e">
        <f>Ruimtestaat[[#This Row],[uren / jaar werkdagen BSO]]*Tariefsopbouw!$E$35</f>
        <v>#DIV/0!</v>
      </c>
      <c r="AE318" s="444">
        <f>Ruimtestaat[[#This Row],[uren / jaar werkdagen]]*Tariefsopbouw!$E$35</f>
        <v>0</v>
      </c>
      <c r="AF318" s="434"/>
      <c r="AG318" s="434">
        <f>IF(Ruimtestaat[[#This Row],[Frequentie weekend]]&gt;0,VALUE(LEFT(AF318,1))*S318,0)</f>
        <v>0</v>
      </c>
      <c r="AH318" s="445">
        <f>IF($AG318&gt;0,VLOOKUP($J318,Ruimtegroepen[],3,FALSE)*VLOOKUP($L318,Vloersoorten[],3,FALSE)*VLOOKUP($AF318,Frequenties[],3,FALSE)*VLOOKUP(Ruimtestaat[[#This Row],[Code]],Locaties[],3,FALSE),0)</f>
        <v>0</v>
      </c>
      <c r="AI318" s="445">
        <f>Ruimtestaat[[#This Row],[Uitvoeringen weekend]]*Ruimtestaat[[#This Row],[Oppervlak (netto)]]</f>
        <v>0</v>
      </c>
      <c r="AJ318" s="445">
        <f>IF(AH318&gt;0,Ruimtestaat[[#This Row],[Prest. (m2 /jaar) weekend]]/Ruimtestaat[[#This Row],[Norm (m2/uur) weekend]],0)</f>
        <v>0</v>
      </c>
      <c r="AK318" s="444">
        <f>Ruimtestaat[[#This Row],[uren / jaar weekend]]*Tariefsopbouw!$D$40</f>
        <v>0</v>
      </c>
      <c r="AL318" s="441">
        <f>Ruimtestaat[[#This Row],[Prest. (m2 /jaar) weekend]]+Ruimtestaat[[#This Row],[Prest. (m2 /jaar) werkdagen]]</f>
        <v>31980</v>
      </c>
      <c r="AM318" s="441">
        <f>Ruimtestaat[[#This Row],[uren / jaar weekend]]+Ruimtestaat[[#This Row],[uren / jaar werkdagen]]</f>
        <v>0</v>
      </c>
      <c r="AN318" s="446">
        <f>Ruimtestaat[[#This Row],[kosten / jaar weekend]]+Ruimtestaat[[#This Row],[kosten / jaar werkdagen]]</f>
        <v>0</v>
      </c>
      <c r="AO318" s="446"/>
      <c r="AP318" s="447" t="str">
        <f>IF(Ruimtestaat[[#This Row],[Frequentie werkdagen]]="","",_xlfn.CONCAT(Ruimtestaat[[#This Row],[Ruimte code]],"-",Ruimtestaat[[#This Row],[Frequentie werkdagen]]," ",Ruimtestaat[[#This Row],[Vloer code]]))</f>
        <v>6-5w L</v>
      </c>
      <c r="AQ318" s="448" t="str">
        <f>_xlfn.IFNA(VLOOKUP($AP318,Programma!$F$3:$G$1101,2,0),"")</f>
        <v>_</v>
      </c>
      <c r="AR318" s="448" t="str">
        <f>_xlfn.IFNA(VLOOKUP($AP318,Programma!$F$3:$H$1101,3,0),"")</f>
        <v>_</v>
      </c>
      <c r="AS318" s="448" t="str">
        <f>_xlfn.IFNA(VLOOKUP($AP318,Programma!$F$3:$I$1101,4,0),"")</f>
        <v>_</v>
      </c>
      <c r="AT318" s="448" t="str">
        <f>_xlfn.IFNA(VLOOKUP($AP318,Programma!$F$3:$J$1101,5,0),"")</f>
        <v>5w</v>
      </c>
      <c r="AU318" s="448" t="str">
        <f>_xlfn.IFNA(VLOOKUP($AP318,Programma!$F$3:$K$1101,6,0),"")</f>
        <v>_</v>
      </c>
      <c r="AV318" s="448" t="str">
        <f>_xlfn.IFNA(VLOOKUP($AP318,Programma!$F$3:$L$1101,7,0),"")</f>
        <v>_</v>
      </c>
      <c r="AW318" s="448" t="str">
        <f>_xlfn.IFNA(VLOOKUP($AP318,Programma!$F$3:$M$1101,8,0),"")</f>
        <v>_</v>
      </c>
      <c r="AX318" s="448" t="str">
        <f>_xlfn.IFNA(VLOOKUP($AP318,Programma!$F$3:$N$1101,9,0),"")</f>
        <v>_</v>
      </c>
      <c r="AY318" s="448" t="str">
        <f>_xlfn.IFNA(VLOOKUP($AP318,Programma!$F$3:$O$1101,10,0),"")</f>
        <v>5w</v>
      </c>
      <c r="AZ318" s="448" t="str">
        <f>_xlfn.IFNA(VLOOKUP($AP318,Programma!$F$3:$P$1101,11,0),"")</f>
        <v>5w</v>
      </c>
      <c r="BA318" s="448" t="str">
        <f>_xlfn.IFNA(VLOOKUP($AP318,Programma!$F$3:$Q$1101,12,0),"")</f>
        <v>1w</v>
      </c>
      <c r="BB318" s="448" t="str">
        <f>_xlfn.IFNA(VLOOKUP($AP318,Programma!$F$3:$R$1101,13,0),"")</f>
        <v>1w</v>
      </c>
      <c r="BC318" s="448" t="str">
        <f>_xlfn.IFNA(VLOOKUP($AP318,Programma!$F$3:$S$1101,14,0),"")</f>
        <v>1m</v>
      </c>
      <c r="BD318" s="448" t="str">
        <f>_xlfn.IFNA(VLOOKUP($AP318,Programma!$F$3:$T$1101,15,0),"")</f>
        <v>2j</v>
      </c>
      <c r="BE318" s="448" t="str">
        <f>_xlfn.IFNA(VLOOKUP($AP318,Programma!$F$3:$U$1101,16,0),"")</f>
        <v>1j</v>
      </c>
      <c r="BF318" s="448" t="str">
        <f>_xlfn.IFNA(VLOOKUP($AP318,Programma!$F$3:$V$1101,17,0),"")</f>
        <v>_</v>
      </c>
      <c r="BG318" s="448" t="str">
        <f>_xlfn.IFNA(VLOOKUP($AP318,Programma!$F$3:$W$1101,18,0),"")</f>
        <v>_</v>
      </c>
      <c r="BH318" s="448" t="str">
        <f>_xlfn.IFNA(VLOOKUP($AP318,Programma!$F$3:$X$1101,19,0),"")</f>
        <v>_</v>
      </c>
      <c r="BI318" s="448" t="str">
        <f>_xlfn.IFNA(VLOOKUP($AP318,Programma!$F$3:$Y$1101,20,0),"")</f>
        <v>_</v>
      </c>
      <c r="BJ318" s="449"/>
      <c r="BK318" s="447" t="str">
        <f>IF(Ruimtestaat[[#This Row],[Frequentie weekend]]="","",_xlfn.CONCAT(Ruimtestaat[[#This Row],[Ruimte code]],"-",Ruimtestaat[[#This Row],[Frequentie weekend]]," ",Ruimtestaat[[#This Row],[Vloer code]]))</f>
        <v/>
      </c>
      <c r="BL318" s="448" t="str">
        <f>_xlfn.IFNA(VLOOKUP($BK318,Programma!$F$3:$G$1101,2,0),"")</f>
        <v/>
      </c>
      <c r="BM318" s="448" t="str">
        <f>_xlfn.IFNA(VLOOKUP($BK318,Programma!$F$3:$H$1101,3,0),"")</f>
        <v/>
      </c>
      <c r="BN318" s="448" t="str">
        <f>_xlfn.IFNA(VLOOKUP($BK318,Programma!$F$3:$I$1101,4,0),"")</f>
        <v/>
      </c>
      <c r="BO318" s="448" t="str">
        <f>_xlfn.IFNA(VLOOKUP($BK318,Programma!$F$3:$J$1101,5,0),"")</f>
        <v/>
      </c>
      <c r="BP318" s="448" t="str">
        <f>_xlfn.IFNA(VLOOKUP($BK318,Programma!$F$3:$K$1101,6,0),"")</f>
        <v/>
      </c>
      <c r="BQ318" s="448" t="str">
        <f>_xlfn.IFNA(VLOOKUP($BK318,Programma!$F$3:$L$1101,7,0),"")</f>
        <v/>
      </c>
      <c r="BR318" s="448" t="str">
        <f>_xlfn.IFNA(VLOOKUP($BK318,Programma!$F$3:$M$1101,8,0),"")</f>
        <v/>
      </c>
      <c r="BS318" s="448" t="str">
        <f>_xlfn.IFNA(VLOOKUP($BK318,Programma!$F$3:$N$1101,9,0),"")</f>
        <v/>
      </c>
      <c r="BT318" s="448" t="str">
        <f>_xlfn.IFNA(VLOOKUP($BK318,Programma!$F$3:$O$1101,10,0),"")</f>
        <v/>
      </c>
      <c r="BU318" s="448" t="str">
        <f>_xlfn.IFNA(VLOOKUP($BK318,Programma!$F$3:$P$1101,11,0),"")</f>
        <v/>
      </c>
      <c r="BV318" s="448" t="str">
        <f>_xlfn.IFNA(VLOOKUP($BK318,Programma!$F$3:$Q$1101,12,0),"")</f>
        <v/>
      </c>
      <c r="BW318" s="448" t="str">
        <f>_xlfn.IFNA(VLOOKUP($BK318,Programma!$F$3:$R$1101,13,0),"")</f>
        <v/>
      </c>
      <c r="BX318" s="448" t="str">
        <f>_xlfn.IFNA(VLOOKUP($BK318,Programma!$F$3:$S$1101,14,0),"")</f>
        <v/>
      </c>
      <c r="BY318" s="448" t="str">
        <f>_xlfn.IFNA(VLOOKUP($BK318,Programma!$F$3:$T$1101,15,0),"")</f>
        <v/>
      </c>
      <c r="BZ318" s="448" t="str">
        <f>_xlfn.IFNA(VLOOKUP($BK318,Programma!$F$3:$U$1101,16,0),"")</f>
        <v/>
      </c>
      <c r="CA318" s="448" t="str">
        <f>_xlfn.IFNA(VLOOKUP($BK318,Programma!$F$3:$V$1101,17,0),"")</f>
        <v/>
      </c>
      <c r="CB318" s="448" t="str">
        <f>_xlfn.IFNA(VLOOKUP($BK318,Programma!$F$3:$W$1101,18,0),"")</f>
        <v/>
      </c>
      <c r="CC318" s="448" t="str">
        <f>_xlfn.IFNA(VLOOKUP($BK318,Programma!$F$3:$X$1101,19,0),"")</f>
        <v/>
      </c>
      <c r="CD318" s="448" t="str">
        <f>_xlfn.IFNA(VLOOKUP($BK318,Programma!$F$3:$Y$1101,20,0),"")</f>
        <v/>
      </c>
      <c r="CE318" s="327"/>
      <c r="CF318" s="327"/>
      <c r="CG318" s="327"/>
      <c r="CH318" s="327"/>
      <c r="CI318" s="327"/>
      <c r="CJ318" s="327"/>
      <c r="CK318" s="327"/>
      <c r="CL318" s="327"/>
      <c r="CM318" s="327"/>
      <c r="CN318" s="327"/>
      <c r="CO318" s="327"/>
      <c r="CP318" s="327"/>
      <c r="CQ318" s="327"/>
      <c r="CR318" s="327"/>
      <c r="CS318" s="327"/>
      <c r="CT318" s="327"/>
      <c r="CU318" s="327"/>
      <c r="CV318" s="327"/>
      <c r="CW318" s="327"/>
      <c r="CX318" s="327"/>
      <c r="CY318" s="327"/>
      <c r="CZ318" s="327"/>
      <c r="DA318" s="327"/>
      <c r="DB318" s="327"/>
      <c r="DC318" s="327"/>
      <c r="DD318" s="327"/>
      <c r="DE318" s="327"/>
      <c r="DF318" s="327"/>
      <c r="DG318" s="327"/>
      <c r="DH318" s="327"/>
      <c r="DI318" s="327"/>
      <c r="DJ318" s="327"/>
      <c r="DK318" s="327"/>
      <c r="DL318" s="327"/>
      <c r="DM318" s="327"/>
      <c r="DN318" s="327"/>
      <c r="DO318" s="327"/>
      <c r="DP318" s="327"/>
      <c r="DQ318" s="327"/>
      <c r="DR318" s="327"/>
      <c r="DS318" s="327"/>
      <c r="DT318" s="327"/>
      <c r="DU318" s="327"/>
      <c r="DV318" s="327"/>
      <c r="DW318" s="327"/>
      <c r="DX318" s="327"/>
      <c r="DY318" s="327"/>
      <c r="DZ318" s="327"/>
      <c r="EA318" s="327"/>
      <c r="EB318" s="327"/>
      <c r="EC318" s="327"/>
      <c r="ED318" s="327"/>
      <c r="EE318" s="327"/>
      <c r="EF318" s="327"/>
      <c r="EG318" s="327"/>
      <c r="EH318" s="327"/>
      <c r="EI318" s="327"/>
      <c r="EJ318" s="327"/>
      <c r="EK318" s="327"/>
      <c r="EL318" s="327"/>
      <c r="EM318" s="327"/>
      <c r="EN318" s="327"/>
      <c r="EO318" s="327"/>
      <c r="EP318" s="327"/>
      <c r="EQ318" s="327"/>
      <c r="ER318" s="327"/>
      <c r="ES318" s="327"/>
      <c r="ET318" s="327"/>
      <c r="EU318" s="327"/>
      <c r="EV318" s="327"/>
      <c r="EW318" s="327"/>
      <c r="EX318" s="327"/>
      <c r="EY318" s="327"/>
      <c r="EZ318" s="327"/>
      <c r="FA318" s="327"/>
      <c r="FB318" s="327"/>
      <c r="FC318" s="327"/>
      <c r="FD318" s="327"/>
      <c r="FE318" s="327"/>
      <c r="FF318" s="327"/>
      <c r="FG318" s="327"/>
      <c r="FH318" s="327"/>
      <c r="FI318" s="327"/>
      <c r="FJ318" s="327"/>
      <c r="FK318" s="327"/>
      <c r="FL318" s="327"/>
      <c r="FM318" s="327"/>
      <c r="FN318" s="327"/>
      <c r="FO318" s="327"/>
      <c r="FP318" s="327"/>
      <c r="FQ318" s="327"/>
      <c r="FR318" s="327"/>
      <c r="FS318" s="327"/>
      <c r="FT318" s="327"/>
      <c r="FU318" s="327"/>
      <c r="FV318" s="327"/>
      <c r="FW318" s="327"/>
      <c r="FX318" s="327"/>
      <c r="FY318" s="327"/>
      <c r="FZ318" s="327"/>
      <c r="GA318" s="327"/>
      <c r="GB318" s="327"/>
      <c r="GC318" s="327"/>
      <c r="GD318" s="327"/>
      <c r="GE318" s="327"/>
      <c r="GF318" s="327"/>
      <c r="GG318" s="327"/>
      <c r="GH318" s="327"/>
      <c r="GI318" s="327"/>
      <c r="GJ318" s="327"/>
      <c r="GK318" s="327"/>
      <c r="GL318" s="327"/>
      <c r="GM318" s="327"/>
      <c r="GN318" s="327"/>
      <c r="GO318" s="327"/>
      <c r="GP318" s="327"/>
      <c r="GQ318" s="327"/>
      <c r="GR318" s="327"/>
      <c r="GS318" s="327"/>
      <c r="GT318" s="327"/>
      <c r="GU318" s="327"/>
      <c r="GV318" s="327"/>
      <c r="GW318" s="327"/>
      <c r="GX318" s="327"/>
      <c r="GY318" s="327"/>
      <c r="GZ318" s="327"/>
      <c r="HA318" s="327"/>
      <c r="HB318" s="327"/>
      <c r="HC318" s="327"/>
      <c r="HD318" s="327"/>
      <c r="HE318" s="327"/>
      <c r="HF318" s="327"/>
      <c r="HG318" s="327"/>
      <c r="HH318" s="327"/>
      <c r="HI318" s="327"/>
      <c r="HJ318" s="327"/>
      <c r="HK318" s="327"/>
      <c r="HL318" s="327"/>
      <c r="HM318" s="327"/>
      <c r="HN318" s="327"/>
      <c r="HO318" s="327"/>
      <c r="HP318" s="327"/>
      <c r="HQ318" s="327"/>
      <c r="HR318" s="327"/>
      <c r="HS318" s="327"/>
    </row>
    <row r="319" spans="1:227" ht="15" customHeight="1">
      <c r="A319" s="330">
        <v>14</v>
      </c>
      <c r="B319" s="435" t="str">
        <f>VLOOKUP(Ruimtestaat[[#This Row],[Code]],Locaties[[Code]:[Locatie]],2,FALSE)</f>
        <v>IKC De Vuurtoren</v>
      </c>
      <c r="C319" s="435" t="str">
        <f>VLOOKUP(Ruimtestaat[[#This Row],[Code]],Locaties[[#All],[Code]:[Adres]],4,FALSE)</f>
        <v>Spitsbergen 15</v>
      </c>
      <c r="D319" s="435" t="str">
        <f>VLOOKUP(Ruimtestaat[[#This Row],[Code]],Locaties[[#All],[Code]:[Postcode]],5,FALSE)</f>
        <v>2721 GP</v>
      </c>
      <c r="E319" s="435" t="str">
        <f>VLOOKUP(Ruimtestaat[[#This Row],[Code]],Locaties[#All],6,FALSE)</f>
        <v>Zoetermeer</v>
      </c>
      <c r="F319" s="450"/>
      <c r="G319" s="330" t="s">
        <v>1678</v>
      </c>
      <c r="H319" s="330" t="s">
        <v>1668</v>
      </c>
      <c r="I319" s="450" t="s">
        <v>1690</v>
      </c>
      <c r="J319" s="330">
        <v>16</v>
      </c>
      <c r="K319" s="450" t="str">
        <f>VLOOKUP(Ruimtestaat[[#This Row],[Ruimte code]],Ruimtegroepen[[#All],[Code]:[Ruimte omschrijving]],2,FALSE)</f>
        <v>Leslokalen</v>
      </c>
      <c r="L319" s="434" t="s">
        <v>100</v>
      </c>
      <c r="M319" s="437" t="s">
        <v>1759</v>
      </c>
      <c r="N319" s="439">
        <v>51</v>
      </c>
      <c r="O319" s="439"/>
      <c r="P319" s="439"/>
      <c r="Q319" s="439"/>
      <c r="R319" s="440" t="str">
        <f>VLOOKUP(Ruimtestaat[[#This Row],[Ruimte code]],Ruimtegroepen[],4,FALSE)</f>
        <v>Le</v>
      </c>
      <c r="S319" s="434">
        <v>40</v>
      </c>
      <c r="T319" s="434" t="s">
        <v>2</v>
      </c>
      <c r="U319" s="434">
        <f>IF(S319&gt;0,IF(RIGHT(Ruimtestaat[[#This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9" s="434">
        <f>IF(U319&gt;0,VLOOKUP($J319,Ruimtegroepen[],3,FALSE)*VLOOKUP($L319,Vloersoorten[],3,FALSE)*VLOOKUP($T319,Frequenties[],3,FALSE)*VLOOKUP($A319,Locaties[],3,FALSE),0)</f>
        <v>0</v>
      </c>
      <c r="W319" s="434">
        <f>Ruimtestaat[[#This Row],[Uitvoeringen werkdagen]]*Ruimtestaat[[#This Row],[Oppervlak (netto)]]</f>
        <v>10200</v>
      </c>
      <c r="X319" s="441">
        <f>IF(V319&gt;0,Ruimtestaat[[#This Row],[Prest. (m2 /jaar) werkdagen]]/Ruimtestaat[[#This Row],[Norm (m2/uur) werkdagen]],0)</f>
        <v>0</v>
      </c>
      <c r="Y319" s="442">
        <f>Ruimtestaat[[#This Row],[Uitvoeringen werkdagen]]*Ruimtestaat[[#This Row],[Gedeeltelijk]]</f>
        <v>0</v>
      </c>
      <c r="Z319" s="443" t="e">
        <f>IF(U319&gt;0,Ruimtestaat[[#This Row],[Prest. (m2 / jaar) werkdagen gedeeld]]/Ruimtestaat[[#This Row],[Norm (m2/uur) werkdagen]],0)</f>
        <v>#DIV/0!</v>
      </c>
      <c r="AA319" s="441" t="e">
        <f>Ruimtestaat[[#This Row],[uren / jaar werkdagen gedeeld]]*Tariefsopbouw!$E$35</f>
        <v>#DIV/0!</v>
      </c>
      <c r="AB319" s="441">
        <f>Ruimtestaat[[#This Row],[Uitvoeringen werkdagen]]*Ruimtestaat[[#This Row],[BSO]]</f>
        <v>0</v>
      </c>
      <c r="AC319" s="443" t="e">
        <f>IF(U319&gt;0,Ruimtestaat[[#This Row],[Prest. (m2 / jaar) werkdagen BSO]]/Ruimtestaat[[#This Row],[Norm (m2/uur) werkdagen]],0)</f>
        <v>#DIV/0!</v>
      </c>
      <c r="AD319" s="443" t="e">
        <f>Ruimtestaat[[#This Row],[uren / jaar werkdagen BSO]]*Tariefsopbouw!$E$35</f>
        <v>#DIV/0!</v>
      </c>
      <c r="AE319" s="444">
        <f>Ruimtestaat[[#This Row],[uren / jaar werkdagen]]*Tariefsopbouw!$E$35</f>
        <v>0</v>
      </c>
      <c r="AF319" s="434"/>
      <c r="AG319" s="434">
        <f>IF(Ruimtestaat[[#This Row],[Frequentie weekend]]&gt;0,VALUE(LEFT(AF319,1))*S319,0)</f>
        <v>0</v>
      </c>
      <c r="AH319" s="445">
        <f>IF($AG319&gt;0,VLOOKUP($J319,Ruimtegroepen[],3,FALSE)*VLOOKUP($L319,Vloersoorten[],3,FALSE)*VLOOKUP($AF319,Frequenties[],3,FALSE)*VLOOKUP(Ruimtestaat[[#This Row],[Code]],Locaties[],3,FALSE),0)</f>
        <v>0</v>
      </c>
      <c r="AI319" s="445">
        <f>Ruimtestaat[[#This Row],[Uitvoeringen weekend]]*Ruimtestaat[[#This Row],[Oppervlak (netto)]]</f>
        <v>0</v>
      </c>
      <c r="AJ319" s="445">
        <f>IF(AH319&gt;0,Ruimtestaat[[#This Row],[Prest. (m2 /jaar) weekend]]/Ruimtestaat[[#This Row],[Norm (m2/uur) weekend]],0)</f>
        <v>0</v>
      </c>
      <c r="AK319" s="444">
        <f>Ruimtestaat[[#This Row],[uren / jaar weekend]]*Tariefsopbouw!$D$40</f>
        <v>0</v>
      </c>
      <c r="AL319" s="441">
        <f>Ruimtestaat[[#This Row],[Prest. (m2 /jaar) weekend]]+Ruimtestaat[[#This Row],[Prest. (m2 /jaar) werkdagen]]</f>
        <v>10200</v>
      </c>
      <c r="AM319" s="441">
        <f>Ruimtestaat[[#This Row],[uren / jaar weekend]]+Ruimtestaat[[#This Row],[uren / jaar werkdagen]]</f>
        <v>0</v>
      </c>
      <c r="AN319" s="446">
        <f>Ruimtestaat[[#This Row],[kosten / jaar weekend]]+Ruimtestaat[[#This Row],[kosten / jaar werkdagen]]</f>
        <v>0</v>
      </c>
      <c r="AO319" s="446"/>
      <c r="AP319" s="447" t="str">
        <f>IF(Ruimtestaat[[#This Row],[Frequentie werkdagen]]="","",_xlfn.CONCAT(Ruimtestaat[[#This Row],[Ruimte code]],"-",Ruimtestaat[[#This Row],[Frequentie werkdagen]]," ",Ruimtestaat[[#This Row],[Vloer code]]))</f>
        <v>16-5w L</v>
      </c>
      <c r="AQ319" s="448" t="str">
        <f>_xlfn.IFNA(VLOOKUP($AP319,Programma!$F$3:$G$1101,2,0),"")</f>
        <v>_</v>
      </c>
      <c r="AR319" s="448" t="str">
        <f>_xlfn.IFNA(VLOOKUP($AP319,Programma!$F$3:$H$1101,3,0),"")</f>
        <v>_</v>
      </c>
      <c r="AS319" s="448" t="str">
        <f>_xlfn.IFNA(VLOOKUP($AP319,Programma!$F$3:$I$1101,4,0),"")</f>
        <v>4w</v>
      </c>
      <c r="AT319" s="448" t="str">
        <f>_xlfn.IFNA(VLOOKUP($AP319,Programma!$F$3:$J$1101,5,0),"")</f>
        <v>1w</v>
      </c>
      <c r="AU319" s="448" t="str">
        <f>_xlfn.IFNA(VLOOKUP($AP319,Programma!$F$3:$K$1101,6,0),"")</f>
        <v>_</v>
      </c>
      <c r="AV319" s="448" t="str">
        <f>_xlfn.IFNA(VLOOKUP($AP319,Programma!$F$3:$L$1101,7,0),"")</f>
        <v>_</v>
      </c>
      <c r="AW319" s="448" t="str">
        <f>_xlfn.IFNA(VLOOKUP($AP319,Programma!$F$3:$M$1101,8,0),"")</f>
        <v>_</v>
      </c>
      <c r="AX319" s="448" t="str">
        <f>_xlfn.IFNA(VLOOKUP($AP319,Programma!$F$3:$N$1101,9,0),"")</f>
        <v>_</v>
      </c>
      <c r="AY319" s="448" t="str">
        <f>_xlfn.IFNA(VLOOKUP($AP319,Programma!$F$3:$O$1101,10,0),"")</f>
        <v>5w</v>
      </c>
      <c r="AZ319" s="448" t="str">
        <f>_xlfn.IFNA(VLOOKUP($AP319,Programma!$F$3:$P$1101,11,0),"")</f>
        <v>5w</v>
      </c>
      <c r="BA319" s="448" t="str">
        <f>_xlfn.IFNA(VLOOKUP($AP319,Programma!$F$3:$Q$1101,12,0),"")</f>
        <v>1w</v>
      </c>
      <c r="BB319" s="448" t="str">
        <f>_xlfn.IFNA(VLOOKUP($AP319,Programma!$F$3:$R$1101,13,0),"")</f>
        <v>1w</v>
      </c>
      <c r="BC319" s="448" t="str">
        <f>_xlfn.IFNA(VLOOKUP($AP319,Programma!$F$3:$S$1101,14,0),"")</f>
        <v>1m</v>
      </c>
      <c r="BD319" s="448" t="str">
        <f>_xlfn.IFNA(VLOOKUP($AP319,Programma!$F$3:$T$1101,15,0),"")</f>
        <v>2j</v>
      </c>
      <c r="BE319" s="448" t="str">
        <f>_xlfn.IFNA(VLOOKUP($AP319,Programma!$F$3:$U$1101,16,0),"")</f>
        <v>1j</v>
      </c>
      <c r="BF319" s="448" t="str">
        <f>_xlfn.IFNA(VLOOKUP($AP319,Programma!$F$3:$V$1101,17,0),"")</f>
        <v>_</v>
      </c>
      <c r="BG319" s="448" t="str">
        <f>_xlfn.IFNA(VLOOKUP($AP319,Programma!$F$3:$W$1101,18,0),"")</f>
        <v>_</v>
      </c>
      <c r="BH319" s="448" t="str">
        <f>_xlfn.IFNA(VLOOKUP($AP319,Programma!$F$3:$X$1101,19,0),"")</f>
        <v>_</v>
      </c>
      <c r="BI319" s="448" t="str">
        <f>_xlfn.IFNA(VLOOKUP($AP319,Programma!$F$3:$Y$1101,20,0),"")</f>
        <v>_</v>
      </c>
      <c r="BJ319" s="449"/>
      <c r="BK319" s="447" t="str">
        <f>IF(Ruimtestaat[[#This Row],[Frequentie weekend]]="","",_xlfn.CONCAT(Ruimtestaat[[#This Row],[Ruimte code]],"-",Ruimtestaat[[#This Row],[Frequentie weekend]]," ",Ruimtestaat[[#This Row],[Vloer code]]))</f>
        <v/>
      </c>
      <c r="BL319" s="448" t="str">
        <f>_xlfn.IFNA(VLOOKUP($BK319,Programma!$F$3:$G$1101,2,0),"")</f>
        <v/>
      </c>
      <c r="BM319" s="448" t="str">
        <f>_xlfn.IFNA(VLOOKUP($BK319,Programma!$F$3:$H$1101,3,0),"")</f>
        <v/>
      </c>
      <c r="BN319" s="448" t="str">
        <f>_xlfn.IFNA(VLOOKUP($BK319,Programma!$F$3:$I$1101,4,0),"")</f>
        <v/>
      </c>
      <c r="BO319" s="448" t="str">
        <f>_xlfn.IFNA(VLOOKUP($BK319,Programma!$F$3:$J$1101,5,0),"")</f>
        <v/>
      </c>
      <c r="BP319" s="448" t="str">
        <f>_xlfn.IFNA(VLOOKUP($BK319,Programma!$F$3:$K$1101,6,0),"")</f>
        <v/>
      </c>
      <c r="BQ319" s="448" t="str">
        <f>_xlfn.IFNA(VLOOKUP($BK319,Programma!$F$3:$L$1101,7,0),"")</f>
        <v/>
      </c>
      <c r="BR319" s="448" t="str">
        <f>_xlfn.IFNA(VLOOKUP($BK319,Programma!$F$3:$M$1101,8,0),"")</f>
        <v/>
      </c>
      <c r="BS319" s="448" t="str">
        <f>_xlfn.IFNA(VLOOKUP($BK319,Programma!$F$3:$N$1101,9,0),"")</f>
        <v/>
      </c>
      <c r="BT319" s="448" t="str">
        <f>_xlfn.IFNA(VLOOKUP($BK319,Programma!$F$3:$O$1101,10,0),"")</f>
        <v/>
      </c>
      <c r="BU319" s="448" t="str">
        <f>_xlfn.IFNA(VLOOKUP($BK319,Programma!$F$3:$P$1101,11,0),"")</f>
        <v/>
      </c>
      <c r="BV319" s="448" t="str">
        <f>_xlfn.IFNA(VLOOKUP($BK319,Programma!$F$3:$Q$1101,12,0),"")</f>
        <v/>
      </c>
      <c r="BW319" s="448" t="str">
        <f>_xlfn.IFNA(VLOOKUP($BK319,Programma!$F$3:$R$1101,13,0),"")</f>
        <v/>
      </c>
      <c r="BX319" s="448" t="str">
        <f>_xlfn.IFNA(VLOOKUP($BK319,Programma!$F$3:$S$1101,14,0),"")</f>
        <v/>
      </c>
      <c r="BY319" s="448" t="str">
        <f>_xlfn.IFNA(VLOOKUP($BK319,Programma!$F$3:$T$1101,15,0),"")</f>
        <v/>
      </c>
      <c r="BZ319" s="448" t="str">
        <f>_xlfn.IFNA(VLOOKUP($BK319,Programma!$F$3:$U$1101,16,0),"")</f>
        <v/>
      </c>
      <c r="CA319" s="448" t="str">
        <f>_xlfn.IFNA(VLOOKUP($BK319,Programma!$F$3:$V$1101,17,0),"")</f>
        <v/>
      </c>
      <c r="CB319" s="448" t="str">
        <f>_xlfn.IFNA(VLOOKUP($BK319,Programma!$F$3:$W$1101,18,0),"")</f>
        <v/>
      </c>
      <c r="CC319" s="448" t="str">
        <f>_xlfn.IFNA(VLOOKUP($BK319,Programma!$F$3:$X$1101,19,0),"")</f>
        <v/>
      </c>
      <c r="CD319" s="448" t="str">
        <f>_xlfn.IFNA(VLOOKUP($BK319,Programma!$F$3:$Y$1101,20,0),"")</f>
        <v/>
      </c>
      <c r="CE319" s="327"/>
      <c r="CF319" s="327"/>
      <c r="CG319" s="327"/>
      <c r="CH319" s="327"/>
      <c r="CI319" s="327"/>
      <c r="CJ319" s="327"/>
      <c r="CK319" s="327"/>
      <c r="CL319" s="327"/>
      <c r="CM319" s="327"/>
      <c r="CN319" s="327"/>
      <c r="CO319" s="327"/>
      <c r="CP319" s="327"/>
      <c r="CQ319" s="327"/>
      <c r="CR319" s="327"/>
      <c r="CS319" s="327"/>
      <c r="CT319" s="327"/>
      <c r="CU319" s="327"/>
      <c r="CV319" s="327"/>
      <c r="CW319" s="327"/>
      <c r="CX319" s="327"/>
      <c r="CY319" s="327"/>
      <c r="CZ319" s="327"/>
      <c r="DA319" s="327"/>
      <c r="DB319" s="327"/>
      <c r="DC319" s="327"/>
      <c r="DD319" s="327"/>
      <c r="DE319" s="327"/>
      <c r="DF319" s="327"/>
      <c r="DG319" s="327"/>
      <c r="DH319" s="327"/>
      <c r="DI319" s="327"/>
      <c r="DJ319" s="327"/>
      <c r="DK319" s="327"/>
      <c r="DL319" s="327"/>
      <c r="DM319" s="327"/>
      <c r="DN319" s="327"/>
      <c r="DO319" s="327"/>
      <c r="DP319" s="327"/>
      <c r="DQ319" s="327"/>
      <c r="DR319" s="327"/>
      <c r="DS319" s="327"/>
      <c r="DT319" s="327"/>
      <c r="DU319" s="327"/>
      <c r="DV319" s="327"/>
      <c r="DW319" s="327"/>
      <c r="DX319" s="327"/>
      <c r="DY319" s="327"/>
      <c r="DZ319" s="327"/>
      <c r="EA319" s="327"/>
      <c r="EB319" s="327"/>
      <c r="EC319" s="327"/>
      <c r="ED319" s="327"/>
      <c r="EE319" s="327"/>
      <c r="EF319" s="327"/>
      <c r="EG319" s="327"/>
      <c r="EH319" s="327"/>
      <c r="EI319" s="327"/>
      <c r="EJ319" s="327"/>
      <c r="EK319" s="327"/>
      <c r="EL319" s="327"/>
      <c r="EM319" s="327"/>
      <c r="EN319" s="327"/>
      <c r="EO319" s="327"/>
      <c r="EP319" s="327"/>
      <c r="EQ319" s="327"/>
      <c r="ER319" s="327"/>
      <c r="ES319" s="327"/>
      <c r="ET319" s="327"/>
      <c r="EU319" s="327"/>
      <c r="EV319" s="327"/>
      <c r="EW319" s="327"/>
      <c r="EX319" s="327"/>
      <c r="EY319" s="327"/>
      <c r="EZ319" s="327"/>
      <c r="FA319" s="327"/>
      <c r="FB319" s="327"/>
      <c r="FC319" s="327"/>
      <c r="FD319" s="327"/>
      <c r="FE319" s="327"/>
      <c r="FF319" s="327"/>
      <c r="FG319" s="327"/>
      <c r="FH319" s="327"/>
      <c r="FI319" s="327"/>
      <c r="FJ319" s="327"/>
      <c r="FK319" s="327"/>
      <c r="FL319" s="327"/>
      <c r="FM319" s="327"/>
      <c r="FN319" s="327"/>
      <c r="FO319" s="327"/>
      <c r="FP319" s="327"/>
      <c r="FQ319" s="327"/>
      <c r="FR319" s="327"/>
      <c r="FS319" s="327"/>
      <c r="FT319" s="327"/>
      <c r="FU319" s="327"/>
      <c r="FV319" s="327"/>
      <c r="FW319" s="327"/>
      <c r="FX319" s="327"/>
      <c r="FY319" s="327"/>
      <c r="FZ319" s="327"/>
      <c r="GA319" s="327"/>
      <c r="GB319" s="327"/>
      <c r="GC319" s="327"/>
      <c r="GD319" s="327"/>
      <c r="GE319" s="327"/>
      <c r="GF319" s="327"/>
      <c r="GG319" s="327"/>
      <c r="GH319" s="327"/>
      <c r="GI319" s="327"/>
      <c r="GJ319" s="327"/>
      <c r="GK319" s="327"/>
      <c r="GL319" s="327"/>
      <c r="GM319" s="327"/>
      <c r="GN319" s="327"/>
      <c r="GO319" s="327"/>
      <c r="GP319" s="327"/>
      <c r="GQ319" s="327"/>
      <c r="GR319" s="327"/>
      <c r="GS319" s="327"/>
      <c r="GT319" s="327"/>
      <c r="GU319" s="327"/>
      <c r="GV319" s="327"/>
      <c r="GW319" s="327"/>
      <c r="GX319" s="327"/>
      <c r="GY319" s="327"/>
      <c r="GZ319" s="327"/>
      <c r="HA319" s="327"/>
      <c r="HB319" s="327"/>
      <c r="HC319" s="327"/>
      <c r="HD319" s="327"/>
      <c r="HE319" s="327"/>
      <c r="HF319" s="327"/>
      <c r="HG319" s="327"/>
      <c r="HH319" s="327"/>
      <c r="HI319" s="327"/>
      <c r="HJ319" s="327"/>
      <c r="HK319" s="327"/>
      <c r="HL319" s="327"/>
      <c r="HM319" s="327"/>
      <c r="HN319" s="327"/>
      <c r="HO319" s="327"/>
      <c r="HP319" s="327"/>
      <c r="HQ319" s="327"/>
      <c r="HR319" s="327"/>
      <c r="HS319" s="327"/>
    </row>
    <row r="320" spans="1:227" ht="15" customHeight="1">
      <c r="A320" s="330">
        <v>14</v>
      </c>
      <c r="B320" s="435" t="str">
        <f>VLOOKUP(Ruimtestaat[[#This Row],[Code]],Locaties[[Code]:[Locatie]],2,FALSE)</f>
        <v>IKC De Vuurtoren</v>
      </c>
      <c r="C320" s="435" t="str">
        <f>VLOOKUP(Ruimtestaat[[#This Row],[Code]],Locaties[[#All],[Code]:[Adres]],4,FALSE)</f>
        <v>Spitsbergen 15</v>
      </c>
      <c r="D320" s="435" t="str">
        <f>VLOOKUP(Ruimtestaat[[#This Row],[Code]],Locaties[[#All],[Code]:[Postcode]],5,FALSE)</f>
        <v>2721 GP</v>
      </c>
      <c r="E320" s="435" t="str">
        <f>VLOOKUP(Ruimtestaat[[#This Row],[Code]],Locaties[#All],6,FALSE)</f>
        <v>Zoetermeer</v>
      </c>
      <c r="F320" s="450"/>
      <c r="G320" s="330" t="s">
        <v>1678</v>
      </c>
      <c r="H320" s="330" t="s">
        <v>1669</v>
      </c>
      <c r="I320" s="450" t="s">
        <v>1774</v>
      </c>
      <c r="J320" s="330">
        <v>12</v>
      </c>
      <c r="K320" s="450" t="str">
        <f>VLOOKUP(Ruimtestaat[[#This Row],[Ruimte code]],Ruimtegroepen[[#All],[Code]:[Ruimte omschrijving]],2,FALSE)</f>
        <v>Kantine/Aula</v>
      </c>
      <c r="L320" s="330" t="s">
        <v>101</v>
      </c>
      <c r="M320" s="437" t="s">
        <v>1816</v>
      </c>
      <c r="N320" s="439">
        <v>95</v>
      </c>
      <c r="O320" s="439"/>
      <c r="P320" s="439"/>
      <c r="Q320" s="439"/>
      <c r="R320" s="440" t="str">
        <f>VLOOKUP(Ruimtestaat[[#This Row],[Ruimte code]],Ruimtegroepen[],4,FALSE)</f>
        <v>Ve</v>
      </c>
      <c r="S320" s="434">
        <v>41</v>
      </c>
      <c r="T320" s="434" t="s">
        <v>2</v>
      </c>
      <c r="U320" s="434">
        <f>IF(S320&gt;0,IF(RIGHT(Ruimtestaat[[#This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20" s="434">
        <f>IF(U320&gt;0,VLOOKUP($J320,Ruimtegroepen[],3,FALSE)*VLOOKUP($L320,Vloersoorten[],3,FALSE)*VLOOKUP($T320,Frequenties[],3,FALSE)*VLOOKUP($A320,Locaties[],3,FALSE),0)</f>
        <v>0</v>
      </c>
      <c r="W320" s="434">
        <f>Ruimtestaat[[#This Row],[Uitvoeringen werkdagen]]*Ruimtestaat[[#This Row],[Oppervlak (netto)]]</f>
        <v>19475</v>
      </c>
      <c r="X320" s="441">
        <f>IF(V320&gt;0,Ruimtestaat[[#This Row],[Prest. (m2 /jaar) werkdagen]]/Ruimtestaat[[#This Row],[Norm (m2/uur) werkdagen]],0)</f>
        <v>0</v>
      </c>
      <c r="Y320" s="442">
        <f>Ruimtestaat[[#This Row],[Uitvoeringen werkdagen]]*Ruimtestaat[[#This Row],[Gedeeltelijk]]</f>
        <v>0</v>
      </c>
      <c r="Z320" s="443" t="e">
        <f>IF(U320&gt;0,Ruimtestaat[[#This Row],[Prest. (m2 / jaar) werkdagen gedeeld]]/Ruimtestaat[[#This Row],[Norm (m2/uur) werkdagen]],0)</f>
        <v>#DIV/0!</v>
      </c>
      <c r="AA320" s="441" t="e">
        <f>Ruimtestaat[[#This Row],[uren / jaar werkdagen gedeeld]]*Tariefsopbouw!$E$35</f>
        <v>#DIV/0!</v>
      </c>
      <c r="AB320" s="441">
        <f>Ruimtestaat[[#This Row],[Uitvoeringen werkdagen]]*Ruimtestaat[[#This Row],[BSO]]</f>
        <v>0</v>
      </c>
      <c r="AC320" s="443" t="e">
        <f>IF(U320&gt;0,Ruimtestaat[[#This Row],[Prest. (m2 / jaar) werkdagen BSO]]/Ruimtestaat[[#This Row],[Norm (m2/uur) werkdagen]],0)</f>
        <v>#DIV/0!</v>
      </c>
      <c r="AD320" s="443" t="e">
        <f>Ruimtestaat[[#This Row],[uren / jaar werkdagen BSO]]*Tariefsopbouw!$E$35</f>
        <v>#DIV/0!</v>
      </c>
      <c r="AE320" s="444">
        <f>Ruimtestaat[[#This Row],[uren / jaar werkdagen]]*Tariefsopbouw!$E$35</f>
        <v>0</v>
      </c>
      <c r="AF320" s="434"/>
      <c r="AG320" s="434">
        <f>IF(Ruimtestaat[[#This Row],[Frequentie weekend]]&gt;0,VALUE(LEFT(AF320,1))*S320,0)</f>
        <v>0</v>
      </c>
      <c r="AH320" s="445">
        <f>IF($AG320&gt;0,VLOOKUP($J320,Ruimtegroepen[],3,FALSE)*VLOOKUP($L320,Vloersoorten[],3,FALSE)*VLOOKUP($AF320,Frequenties[],3,FALSE)*VLOOKUP(Ruimtestaat[[#This Row],[Code]],Locaties[],3,FALSE),0)</f>
        <v>0</v>
      </c>
      <c r="AI320" s="445">
        <f>Ruimtestaat[[#This Row],[Uitvoeringen weekend]]*Ruimtestaat[[#This Row],[Oppervlak (netto)]]</f>
        <v>0</v>
      </c>
      <c r="AJ320" s="445">
        <f>IF(AH320&gt;0,Ruimtestaat[[#This Row],[Prest. (m2 /jaar) weekend]]/Ruimtestaat[[#This Row],[Norm (m2/uur) weekend]],0)</f>
        <v>0</v>
      </c>
      <c r="AK320" s="444">
        <f>Ruimtestaat[[#This Row],[uren / jaar weekend]]*Tariefsopbouw!$D$40</f>
        <v>0</v>
      </c>
      <c r="AL320" s="441">
        <f>Ruimtestaat[[#This Row],[Prest. (m2 /jaar) weekend]]+Ruimtestaat[[#This Row],[Prest. (m2 /jaar) werkdagen]]</f>
        <v>19475</v>
      </c>
      <c r="AM320" s="441">
        <f>Ruimtestaat[[#This Row],[uren / jaar weekend]]+Ruimtestaat[[#This Row],[uren / jaar werkdagen]]</f>
        <v>0</v>
      </c>
      <c r="AN320" s="446">
        <f>Ruimtestaat[[#This Row],[kosten / jaar weekend]]+Ruimtestaat[[#This Row],[kosten / jaar werkdagen]]</f>
        <v>0</v>
      </c>
      <c r="AO320" s="446"/>
      <c r="AP320" s="447" t="str">
        <f>IF(Ruimtestaat[[#This Row],[Frequentie werkdagen]]="","",_xlfn.CONCAT(Ruimtestaat[[#This Row],[Ruimte code]],"-",Ruimtestaat[[#This Row],[Frequentie werkdagen]]," ",Ruimtestaat[[#This Row],[Vloer code]]))</f>
        <v>12-5w S</v>
      </c>
      <c r="AQ320" s="448" t="str">
        <f>_xlfn.IFNA(VLOOKUP($AP320,Programma!$F$3:$G$1101,2,0),"")</f>
        <v>_</v>
      </c>
      <c r="AR320" s="448" t="str">
        <f>_xlfn.IFNA(VLOOKUP($AP320,Programma!$F$3:$H$1101,3,0),"")</f>
        <v>_</v>
      </c>
      <c r="AS320" s="448" t="str">
        <f>_xlfn.IFNA(VLOOKUP($AP320,Programma!$F$3:$I$1101,4,0),"")</f>
        <v>5w</v>
      </c>
      <c r="AT320" s="448" t="str">
        <f>_xlfn.IFNA(VLOOKUP($AP320,Programma!$F$3:$J$1101,5,0),"")</f>
        <v>_</v>
      </c>
      <c r="AU320" s="448" t="str">
        <f>_xlfn.IFNA(VLOOKUP($AP320,Programma!$F$3:$K$1101,6,0),"")</f>
        <v>5w</v>
      </c>
      <c r="AV320" s="448" t="str">
        <f>_xlfn.IFNA(VLOOKUP($AP320,Programma!$F$3:$L$1101,7,0),"")</f>
        <v>_</v>
      </c>
      <c r="AW320" s="448" t="str">
        <f>_xlfn.IFNA(VLOOKUP($AP320,Programma!$F$3:$M$1101,8,0),"")</f>
        <v>_</v>
      </c>
      <c r="AX320" s="448" t="str">
        <f>_xlfn.IFNA(VLOOKUP($AP320,Programma!$F$3:$N$1101,9,0),"")</f>
        <v>_</v>
      </c>
      <c r="AY320" s="448" t="str">
        <f>_xlfn.IFNA(VLOOKUP($AP320,Programma!$F$3:$O$1101,10,0),"")</f>
        <v>5w</v>
      </c>
      <c r="AZ320" s="448" t="str">
        <f>_xlfn.IFNA(VLOOKUP($AP320,Programma!$F$3:$P$1101,11,0),"")</f>
        <v>5w</v>
      </c>
      <c r="BA320" s="448" t="str">
        <f>_xlfn.IFNA(VLOOKUP($AP320,Programma!$F$3:$Q$1101,12,0),"")</f>
        <v>1w</v>
      </c>
      <c r="BB320" s="448" t="str">
        <f>_xlfn.IFNA(VLOOKUP($AP320,Programma!$F$3:$R$1101,13,0),"")</f>
        <v>1w</v>
      </c>
      <c r="BC320" s="448" t="str">
        <f>_xlfn.IFNA(VLOOKUP($AP320,Programma!$F$3:$S$1101,14,0),"")</f>
        <v>1m</v>
      </c>
      <c r="BD320" s="448" t="str">
        <f>_xlfn.IFNA(VLOOKUP($AP320,Programma!$F$3:$T$1101,15,0),"")</f>
        <v>2j</v>
      </c>
      <c r="BE320" s="448" t="str">
        <f>_xlfn.IFNA(VLOOKUP($AP320,Programma!$F$3:$U$1101,16,0),"")</f>
        <v>1j</v>
      </c>
      <c r="BF320" s="448" t="str">
        <f>_xlfn.IFNA(VLOOKUP($AP320,Programma!$F$3:$V$1101,17,0),"")</f>
        <v>_</v>
      </c>
      <c r="BG320" s="448" t="str">
        <f>_xlfn.IFNA(VLOOKUP($AP320,Programma!$F$3:$W$1101,18,0),"")</f>
        <v>_</v>
      </c>
      <c r="BH320" s="448" t="str">
        <f>_xlfn.IFNA(VLOOKUP($AP320,Programma!$F$3:$X$1101,19,0),"")</f>
        <v>_</v>
      </c>
      <c r="BI320" s="448" t="str">
        <f>_xlfn.IFNA(VLOOKUP($AP320,Programma!$F$3:$Y$1101,20,0),"")</f>
        <v>_</v>
      </c>
      <c r="BJ320" s="449"/>
      <c r="BK320" s="447" t="str">
        <f>IF(Ruimtestaat[[#This Row],[Frequentie weekend]]="","",_xlfn.CONCAT(Ruimtestaat[[#This Row],[Ruimte code]],"-",Ruimtestaat[[#This Row],[Frequentie weekend]]," ",Ruimtestaat[[#This Row],[Vloer code]]))</f>
        <v/>
      </c>
      <c r="BL320" s="448" t="str">
        <f>_xlfn.IFNA(VLOOKUP($BK320,Programma!$F$3:$G$1101,2,0),"")</f>
        <v/>
      </c>
      <c r="BM320" s="448" t="str">
        <f>_xlfn.IFNA(VLOOKUP($BK320,Programma!$F$3:$H$1101,3,0),"")</f>
        <v/>
      </c>
      <c r="BN320" s="448" t="str">
        <f>_xlfn.IFNA(VLOOKUP($BK320,Programma!$F$3:$I$1101,4,0),"")</f>
        <v/>
      </c>
      <c r="BO320" s="448" t="str">
        <f>_xlfn.IFNA(VLOOKUP($BK320,Programma!$F$3:$J$1101,5,0),"")</f>
        <v/>
      </c>
      <c r="BP320" s="448" t="str">
        <f>_xlfn.IFNA(VLOOKUP($BK320,Programma!$F$3:$K$1101,6,0),"")</f>
        <v/>
      </c>
      <c r="BQ320" s="448" t="str">
        <f>_xlfn.IFNA(VLOOKUP($BK320,Programma!$F$3:$L$1101,7,0),"")</f>
        <v/>
      </c>
      <c r="BR320" s="448" t="str">
        <f>_xlfn.IFNA(VLOOKUP($BK320,Programma!$F$3:$M$1101,8,0),"")</f>
        <v/>
      </c>
      <c r="BS320" s="448" t="str">
        <f>_xlfn.IFNA(VLOOKUP($BK320,Programma!$F$3:$N$1101,9,0),"")</f>
        <v/>
      </c>
      <c r="BT320" s="448" t="str">
        <f>_xlfn.IFNA(VLOOKUP($BK320,Programma!$F$3:$O$1101,10,0),"")</f>
        <v/>
      </c>
      <c r="BU320" s="448" t="str">
        <f>_xlfn.IFNA(VLOOKUP($BK320,Programma!$F$3:$P$1101,11,0),"")</f>
        <v/>
      </c>
      <c r="BV320" s="448" t="str">
        <f>_xlfn.IFNA(VLOOKUP($BK320,Programma!$F$3:$Q$1101,12,0),"")</f>
        <v/>
      </c>
      <c r="BW320" s="448" t="str">
        <f>_xlfn.IFNA(VLOOKUP($BK320,Programma!$F$3:$R$1101,13,0),"")</f>
        <v/>
      </c>
      <c r="BX320" s="448" t="str">
        <f>_xlfn.IFNA(VLOOKUP($BK320,Programma!$F$3:$S$1101,14,0),"")</f>
        <v/>
      </c>
      <c r="BY320" s="448" t="str">
        <f>_xlfn.IFNA(VLOOKUP($BK320,Programma!$F$3:$T$1101,15,0),"")</f>
        <v/>
      </c>
      <c r="BZ320" s="448" t="str">
        <f>_xlfn.IFNA(VLOOKUP($BK320,Programma!$F$3:$U$1101,16,0),"")</f>
        <v/>
      </c>
      <c r="CA320" s="448" t="str">
        <f>_xlfn.IFNA(VLOOKUP($BK320,Programma!$F$3:$V$1101,17,0),"")</f>
        <v/>
      </c>
      <c r="CB320" s="448" t="str">
        <f>_xlfn.IFNA(VLOOKUP($BK320,Programma!$F$3:$W$1101,18,0),"")</f>
        <v/>
      </c>
      <c r="CC320" s="448" t="str">
        <f>_xlfn.IFNA(VLOOKUP($BK320,Programma!$F$3:$X$1101,19,0),"")</f>
        <v/>
      </c>
      <c r="CD320" s="448" t="str">
        <f>_xlfn.IFNA(VLOOKUP($BK320,Programma!$F$3:$Y$1101,20,0),"")</f>
        <v/>
      </c>
      <c r="CE320" s="327"/>
      <c r="CF320" s="327"/>
      <c r="CG320" s="327"/>
      <c r="CH320" s="327"/>
      <c r="CI320" s="327"/>
      <c r="CJ320" s="327"/>
      <c r="CK320" s="327"/>
      <c r="CL320" s="327"/>
      <c r="CM320" s="327"/>
      <c r="CN320" s="327"/>
      <c r="CO320" s="327"/>
      <c r="CP320" s="327"/>
      <c r="CQ320" s="327"/>
      <c r="CR320" s="327"/>
      <c r="CS320" s="327"/>
      <c r="CT320" s="327"/>
      <c r="CU320" s="327"/>
      <c r="CV320" s="327"/>
      <c r="CW320" s="327"/>
      <c r="CX320" s="327"/>
      <c r="CY320" s="327"/>
      <c r="CZ320" s="327"/>
      <c r="DA320" s="327"/>
      <c r="DB320" s="327"/>
      <c r="DC320" s="327"/>
      <c r="DD320" s="327"/>
      <c r="DE320" s="327"/>
      <c r="DF320" s="327"/>
      <c r="DG320" s="327"/>
      <c r="DH320" s="327"/>
      <c r="DI320" s="327"/>
      <c r="DJ320" s="327"/>
      <c r="DK320" s="327"/>
      <c r="DL320" s="327"/>
      <c r="DM320" s="327"/>
      <c r="DN320" s="327"/>
      <c r="DO320" s="327"/>
      <c r="DP320" s="327"/>
      <c r="DQ320" s="327"/>
      <c r="DR320" s="327"/>
      <c r="DS320" s="327"/>
      <c r="DT320" s="327"/>
      <c r="DU320" s="327"/>
      <c r="DV320" s="327"/>
      <c r="DW320" s="327"/>
      <c r="DX320" s="327"/>
      <c r="DY320" s="327"/>
      <c r="DZ320" s="327"/>
      <c r="EA320" s="327"/>
      <c r="EB320" s="327"/>
      <c r="EC320" s="327"/>
      <c r="ED320" s="327"/>
      <c r="EE320" s="327"/>
      <c r="EF320" s="327"/>
      <c r="EG320" s="327"/>
      <c r="EH320" s="327"/>
      <c r="EI320" s="327"/>
      <c r="EJ320" s="327"/>
      <c r="EK320" s="327"/>
      <c r="EL320" s="327"/>
      <c r="EM320" s="327"/>
      <c r="EN320" s="327"/>
      <c r="EO320" s="327"/>
      <c r="EP320" s="327"/>
      <c r="EQ320" s="327"/>
      <c r="ER320" s="327"/>
      <c r="ES320" s="327"/>
      <c r="ET320" s="327"/>
      <c r="EU320" s="327"/>
      <c r="EV320" s="327"/>
      <c r="EW320" s="327"/>
      <c r="EX320" s="327"/>
      <c r="EY320" s="327"/>
      <c r="EZ320" s="327"/>
      <c r="FA320" s="327"/>
      <c r="FB320" s="327"/>
      <c r="FC320" s="327"/>
      <c r="FD320" s="327"/>
      <c r="FE320" s="327"/>
      <c r="FF320" s="327"/>
      <c r="FG320" s="327"/>
      <c r="FH320" s="327"/>
      <c r="FI320" s="327"/>
      <c r="FJ320" s="327"/>
      <c r="FK320" s="327"/>
      <c r="FL320" s="327"/>
      <c r="FM320" s="327"/>
      <c r="FN320" s="327"/>
      <c r="FO320" s="327"/>
      <c r="FP320" s="327"/>
      <c r="FQ320" s="327"/>
      <c r="FR320" s="327"/>
      <c r="FS320" s="327"/>
      <c r="FT320" s="327"/>
      <c r="FU320" s="327"/>
      <c r="FV320" s="327"/>
      <c r="FW320" s="327"/>
      <c r="FX320" s="327"/>
      <c r="FY320" s="327"/>
      <c r="FZ320" s="327"/>
      <c r="GA320" s="327"/>
      <c r="GB320" s="327"/>
      <c r="GC320" s="327"/>
      <c r="GD320" s="327"/>
      <c r="GE320" s="327"/>
      <c r="GF320" s="327"/>
      <c r="GG320" s="327"/>
      <c r="GH320" s="327"/>
      <c r="GI320" s="327"/>
      <c r="GJ320" s="327"/>
      <c r="GK320" s="327"/>
      <c r="GL320" s="327"/>
      <c r="GM320" s="327"/>
      <c r="GN320" s="327"/>
      <c r="GO320" s="327"/>
      <c r="GP320" s="327"/>
      <c r="GQ320" s="327"/>
      <c r="GR320" s="327"/>
      <c r="GS320" s="327"/>
      <c r="GT320" s="327"/>
      <c r="GU320" s="327"/>
      <c r="GV320" s="327"/>
      <c r="GW320" s="327"/>
      <c r="GX320" s="327"/>
      <c r="GY320" s="327"/>
      <c r="GZ320" s="327"/>
      <c r="HA320" s="327"/>
      <c r="HB320" s="327"/>
      <c r="HC320" s="327"/>
      <c r="HD320" s="327"/>
      <c r="HE320" s="327"/>
      <c r="HF320" s="327"/>
      <c r="HG320" s="327"/>
      <c r="HH320" s="327"/>
      <c r="HI320" s="327"/>
      <c r="HJ320" s="327"/>
      <c r="HK320" s="327"/>
      <c r="HL320" s="327"/>
      <c r="HM320" s="327"/>
      <c r="HN320" s="327"/>
      <c r="HO320" s="327"/>
      <c r="HP320" s="327"/>
      <c r="HQ320" s="327"/>
      <c r="HR320" s="327"/>
      <c r="HS320" s="327"/>
    </row>
    <row r="321" spans="1:227" ht="15" customHeight="1">
      <c r="A321" s="330">
        <v>14</v>
      </c>
      <c r="B321" s="435" t="str">
        <f>VLOOKUP(Ruimtestaat[[#This Row],[Code]],Locaties[[Code]:[Locatie]],2,FALSE)</f>
        <v>IKC De Vuurtoren</v>
      </c>
      <c r="C321" s="435" t="str">
        <f>VLOOKUP(Ruimtestaat[[#This Row],[Code]],Locaties[[#All],[Code]:[Adres]],4,FALSE)</f>
        <v>Spitsbergen 15</v>
      </c>
      <c r="D321" s="435" t="str">
        <f>VLOOKUP(Ruimtestaat[[#This Row],[Code]],Locaties[[#All],[Code]:[Postcode]],5,FALSE)</f>
        <v>2721 GP</v>
      </c>
      <c r="E321" s="435" t="str">
        <f>VLOOKUP(Ruimtestaat[[#This Row],[Code]],Locaties[#All],6,FALSE)</f>
        <v>Zoetermeer</v>
      </c>
      <c r="F321" s="450"/>
      <c r="G321" s="330" t="s">
        <v>1678</v>
      </c>
      <c r="H321" s="330" t="s">
        <v>1670</v>
      </c>
      <c r="I321" s="450" t="s">
        <v>1834</v>
      </c>
      <c r="J321" s="330">
        <v>14</v>
      </c>
      <c r="K321" s="450" t="str">
        <f>VLOOKUP(Ruimtestaat[[#This Row],[Ruimte code]],Ruimtegroepen[[#All],[Code]:[Ruimte omschrijving]],2,FALSE)</f>
        <v>Praktijklokalen</v>
      </c>
      <c r="L321" s="330" t="s">
        <v>101</v>
      </c>
      <c r="M321" s="437" t="s">
        <v>1816</v>
      </c>
      <c r="N321" s="439">
        <v>63</v>
      </c>
      <c r="O321" s="439"/>
      <c r="P321" s="439"/>
      <c r="Q321" s="439"/>
      <c r="R321" s="440" t="str">
        <f>VLOOKUP(Ruimtestaat[[#This Row],[Ruimte code]],Ruimtegroepen[],4,FALSE)</f>
        <v>Le</v>
      </c>
      <c r="S321" s="434">
        <v>40</v>
      </c>
      <c r="T321" s="434" t="s">
        <v>2</v>
      </c>
      <c r="U321" s="434">
        <f>IF(S321&gt;0,IF(RIGHT(Ruimtestaat[[#This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1" s="434">
        <f>IF(U321&gt;0,VLOOKUP($J321,Ruimtegroepen[],3,FALSE)*VLOOKUP($L321,Vloersoorten[],3,FALSE)*VLOOKUP($T321,Frequenties[],3,FALSE)*VLOOKUP($A321,Locaties[],3,FALSE),0)</f>
        <v>0</v>
      </c>
      <c r="W321" s="434">
        <f>Ruimtestaat[[#This Row],[Uitvoeringen werkdagen]]*Ruimtestaat[[#This Row],[Oppervlak (netto)]]</f>
        <v>12600</v>
      </c>
      <c r="X321" s="441">
        <f>IF(V321&gt;0,Ruimtestaat[[#This Row],[Prest. (m2 /jaar) werkdagen]]/Ruimtestaat[[#This Row],[Norm (m2/uur) werkdagen]],0)</f>
        <v>0</v>
      </c>
      <c r="Y321" s="442">
        <f>Ruimtestaat[[#This Row],[Uitvoeringen werkdagen]]*Ruimtestaat[[#This Row],[Gedeeltelijk]]</f>
        <v>0</v>
      </c>
      <c r="Z321" s="443" t="e">
        <f>IF(U321&gt;0,Ruimtestaat[[#This Row],[Prest. (m2 / jaar) werkdagen gedeeld]]/Ruimtestaat[[#This Row],[Norm (m2/uur) werkdagen]],0)</f>
        <v>#DIV/0!</v>
      </c>
      <c r="AA321" s="441" t="e">
        <f>Ruimtestaat[[#This Row],[uren / jaar werkdagen gedeeld]]*Tariefsopbouw!$E$35</f>
        <v>#DIV/0!</v>
      </c>
      <c r="AB321" s="441">
        <f>Ruimtestaat[[#This Row],[Uitvoeringen werkdagen]]*Ruimtestaat[[#This Row],[BSO]]</f>
        <v>0</v>
      </c>
      <c r="AC321" s="443" t="e">
        <f>IF(U321&gt;0,Ruimtestaat[[#This Row],[Prest. (m2 / jaar) werkdagen BSO]]/Ruimtestaat[[#This Row],[Norm (m2/uur) werkdagen]],0)</f>
        <v>#DIV/0!</v>
      </c>
      <c r="AD321" s="443" t="e">
        <f>Ruimtestaat[[#This Row],[uren / jaar werkdagen BSO]]*Tariefsopbouw!$E$35</f>
        <v>#DIV/0!</v>
      </c>
      <c r="AE321" s="444">
        <f>Ruimtestaat[[#This Row],[uren / jaar werkdagen]]*Tariefsopbouw!$E$35</f>
        <v>0</v>
      </c>
      <c r="AF321" s="434"/>
      <c r="AG321" s="434">
        <f>IF(Ruimtestaat[[#This Row],[Frequentie weekend]]&gt;0,VALUE(LEFT(AF321,1))*S321,0)</f>
        <v>0</v>
      </c>
      <c r="AH321" s="445">
        <f>IF($AG321&gt;0,VLOOKUP($J321,Ruimtegroepen[],3,FALSE)*VLOOKUP($L321,Vloersoorten[],3,FALSE)*VLOOKUP($AF321,Frequenties[],3,FALSE)*VLOOKUP(Ruimtestaat[[#This Row],[Code]],Locaties[],3,FALSE),0)</f>
        <v>0</v>
      </c>
      <c r="AI321" s="445">
        <f>Ruimtestaat[[#This Row],[Uitvoeringen weekend]]*Ruimtestaat[[#This Row],[Oppervlak (netto)]]</f>
        <v>0</v>
      </c>
      <c r="AJ321" s="445">
        <f>IF(AH321&gt;0,Ruimtestaat[[#This Row],[Prest. (m2 /jaar) weekend]]/Ruimtestaat[[#This Row],[Norm (m2/uur) weekend]],0)</f>
        <v>0</v>
      </c>
      <c r="AK321" s="444">
        <f>Ruimtestaat[[#This Row],[uren / jaar weekend]]*Tariefsopbouw!$D$40</f>
        <v>0</v>
      </c>
      <c r="AL321" s="441">
        <f>Ruimtestaat[[#This Row],[Prest. (m2 /jaar) weekend]]+Ruimtestaat[[#This Row],[Prest. (m2 /jaar) werkdagen]]</f>
        <v>12600</v>
      </c>
      <c r="AM321" s="441">
        <f>Ruimtestaat[[#This Row],[uren / jaar weekend]]+Ruimtestaat[[#This Row],[uren / jaar werkdagen]]</f>
        <v>0</v>
      </c>
      <c r="AN321" s="446">
        <f>Ruimtestaat[[#This Row],[kosten / jaar weekend]]+Ruimtestaat[[#This Row],[kosten / jaar werkdagen]]</f>
        <v>0</v>
      </c>
      <c r="AO321" s="446"/>
      <c r="AP321" s="447" t="str">
        <f>IF(Ruimtestaat[[#This Row],[Frequentie werkdagen]]="","",_xlfn.CONCAT(Ruimtestaat[[#This Row],[Ruimte code]],"-",Ruimtestaat[[#This Row],[Frequentie werkdagen]]," ",Ruimtestaat[[#This Row],[Vloer code]]))</f>
        <v>14-5w S</v>
      </c>
      <c r="AQ321" s="448" t="str">
        <f>_xlfn.IFNA(VLOOKUP($AP321,Programma!$F$3:$G$1101,2,0),"")</f>
        <v>_</v>
      </c>
      <c r="AR321" s="448" t="str">
        <f>_xlfn.IFNA(VLOOKUP($AP321,Programma!$F$3:$H$1101,3,0),"")</f>
        <v>_</v>
      </c>
      <c r="AS321" s="448" t="str">
        <f>_xlfn.IFNA(VLOOKUP($AP321,Programma!$F$3:$I$1101,4,0),"")</f>
        <v>4w</v>
      </c>
      <c r="AT321" s="448" t="str">
        <f>_xlfn.IFNA(VLOOKUP($AP321,Programma!$F$3:$J$1101,5,0),"")</f>
        <v>1w</v>
      </c>
      <c r="AU321" s="448" t="str">
        <f>_xlfn.IFNA(VLOOKUP($AP321,Programma!$F$3:$K$1101,6,0),"")</f>
        <v>1m</v>
      </c>
      <c r="AV321" s="448" t="str">
        <f>_xlfn.IFNA(VLOOKUP($AP321,Programma!$F$3:$L$1101,7,0),"")</f>
        <v>_</v>
      </c>
      <c r="AW321" s="448" t="str">
        <f>_xlfn.IFNA(VLOOKUP($AP321,Programma!$F$3:$M$1101,8,0),"")</f>
        <v>_</v>
      </c>
      <c r="AX321" s="448" t="str">
        <f>_xlfn.IFNA(VLOOKUP($AP321,Programma!$F$3:$N$1101,9,0),"")</f>
        <v>_</v>
      </c>
      <c r="AY321" s="448" t="str">
        <f>_xlfn.IFNA(VLOOKUP($AP321,Programma!$F$3:$O$1101,10,0),"")</f>
        <v>5w</v>
      </c>
      <c r="AZ321" s="448" t="str">
        <f>_xlfn.IFNA(VLOOKUP($AP321,Programma!$F$3:$P$1101,11,0),"")</f>
        <v>5w</v>
      </c>
      <c r="BA321" s="448" t="str">
        <f>_xlfn.IFNA(VLOOKUP($AP321,Programma!$F$3:$Q$1101,12,0),"")</f>
        <v>1w</v>
      </c>
      <c r="BB321" s="448" t="str">
        <f>_xlfn.IFNA(VLOOKUP($AP321,Programma!$F$3:$R$1101,13,0),"")</f>
        <v>1w</v>
      </c>
      <c r="BC321" s="448" t="str">
        <f>_xlfn.IFNA(VLOOKUP($AP321,Programma!$F$3:$S$1101,14,0),"")</f>
        <v>1m</v>
      </c>
      <c r="BD321" s="448" t="str">
        <f>_xlfn.IFNA(VLOOKUP($AP321,Programma!$F$3:$T$1101,15,0),"")</f>
        <v>2j</v>
      </c>
      <c r="BE321" s="448" t="str">
        <f>_xlfn.IFNA(VLOOKUP($AP321,Programma!$F$3:$U$1101,16,0),"")</f>
        <v>1j</v>
      </c>
      <c r="BF321" s="448" t="str">
        <f>_xlfn.IFNA(VLOOKUP($AP321,Programma!$F$3:$V$1101,17,0),"")</f>
        <v>_</v>
      </c>
      <c r="BG321" s="448" t="str">
        <f>_xlfn.IFNA(VLOOKUP($AP321,Programma!$F$3:$W$1101,18,0),"")</f>
        <v>_</v>
      </c>
      <c r="BH321" s="448" t="str">
        <f>_xlfn.IFNA(VLOOKUP($AP321,Programma!$F$3:$X$1101,19,0),"")</f>
        <v>_</v>
      </c>
      <c r="BI321" s="448" t="str">
        <f>_xlfn.IFNA(VLOOKUP($AP321,Programma!$F$3:$Y$1101,20,0),"")</f>
        <v>_</v>
      </c>
      <c r="BJ321" s="449"/>
      <c r="BK321" s="447" t="str">
        <f>IF(Ruimtestaat[[#This Row],[Frequentie weekend]]="","",_xlfn.CONCAT(Ruimtestaat[[#This Row],[Ruimte code]],"-",Ruimtestaat[[#This Row],[Frequentie weekend]]," ",Ruimtestaat[[#This Row],[Vloer code]]))</f>
        <v/>
      </c>
      <c r="BL321" s="448" t="str">
        <f>_xlfn.IFNA(VLOOKUP($BK321,Programma!$F$3:$G$1101,2,0),"")</f>
        <v/>
      </c>
      <c r="BM321" s="448" t="str">
        <f>_xlfn.IFNA(VLOOKUP($BK321,Programma!$F$3:$H$1101,3,0),"")</f>
        <v/>
      </c>
      <c r="BN321" s="448" t="str">
        <f>_xlfn.IFNA(VLOOKUP($BK321,Programma!$F$3:$I$1101,4,0),"")</f>
        <v/>
      </c>
      <c r="BO321" s="448" t="str">
        <f>_xlfn.IFNA(VLOOKUP($BK321,Programma!$F$3:$J$1101,5,0),"")</f>
        <v/>
      </c>
      <c r="BP321" s="448" t="str">
        <f>_xlfn.IFNA(VLOOKUP($BK321,Programma!$F$3:$K$1101,6,0),"")</f>
        <v/>
      </c>
      <c r="BQ321" s="448" t="str">
        <f>_xlfn.IFNA(VLOOKUP($BK321,Programma!$F$3:$L$1101,7,0),"")</f>
        <v/>
      </c>
      <c r="BR321" s="448" t="str">
        <f>_xlfn.IFNA(VLOOKUP($BK321,Programma!$F$3:$M$1101,8,0),"")</f>
        <v/>
      </c>
      <c r="BS321" s="448" t="str">
        <f>_xlfn.IFNA(VLOOKUP($BK321,Programma!$F$3:$N$1101,9,0),"")</f>
        <v/>
      </c>
      <c r="BT321" s="448" t="str">
        <f>_xlfn.IFNA(VLOOKUP($BK321,Programma!$F$3:$O$1101,10,0),"")</f>
        <v/>
      </c>
      <c r="BU321" s="448" t="str">
        <f>_xlfn.IFNA(VLOOKUP($BK321,Programma!$F$3:$P$1101,11,0),"")</f>
        <v/>
      </c>
      <c r="BV321" s="448" t="str">
        <f>_xlfn.IFNA(VLOOKUP($BK321,Programma!$F$3:$Q$1101,12,0),"")</f>
        <v/>
      </c>
      <c r="BW321" s="448" t="str">
        <f>_xlfn.IFNA(VLOOKUP($BK321,Programma!$F$3:$R$1101,13,0),"")</f>
        <v/>
      </c>
      <c r="BX321" s="448" t="str">
        <f>_xlfn.IFNA(VLOOKUP($BK321,Programma!$F$3:$S$1101,14,0),"")</f>
        <v/>
      </c>
      <c r="BY321" s="448" t="str">
        <f>_xlfn.IFNA(VLOOKUP($BK321,Programma!$F$3:$T$1101,15,0),"")</f>
        <v/>
      </c>
      <c r="BZ321" s="448" t="str">
        <f>_xlfn.IFNA(VLOOKUP($BK321,Programma!$F$3:$U$1101,16,0),"")</f>
        <v/>
      </c>
      <c r="CA321" s="448" t="str">
        <f>_xlfn.IFNA(VLOOKUP($BK321,Programma!$F$3:$V$1101,17,0),"")</f>
        <v/>
      </c>
      <c r="CB321" s="448" t="str">
        <f>_xlfn.IFNA(VLOOKUP($BK321,Programma!$F$3:$W$1101,18,0),"")</f>
        <v/>
      </c>
      <c r="CC321" s="448" t="str">
        <f>_xlfn.IFNA(VLOOKUP($BK321,Programma!$F$3:$X$1101,19,0),"")</f>
        <v/>
      </c>
      <c r="CD321" s="448" t="str">
        <f>_xlfn.IFNA(VLOOKUP($BK321,Programma!$F$3:$Y$1101,20,0),"")</f>
        <v/>
      </c>
      <c r="CE321" s="327"/>
      <c r="CF321" s="327"/>
      <c r="CG321" s="327"/>
      <c r="CH321" s="327"/>
      <c r="CI321" s="327"/>
      <c r="CJ321" s="327"/>
      <c r="CK321" s="327"/>
      <c r="CL321" s="327"/>
      <c r="CM321" s="327"/>
      <c r="CN321" s="327"/>
      <c r="CO321" s="327"/>
      <c r="CP321" s="327"/>
      <c r="CQ321" s="327"/>
      <c r="CR321" s="327"/>
      <c r="CS321" s="327"/>
      <c r="CT321" s="327"/>
      <c r="CU321" s="327"/>
      <c r="CV321" s="327"/>
      <c r="CW321" s="327"/>
      <c r="CX321" s="327"/>
      <c r="CY321" s="327"/>
      <c r="CZ321" s="327"/>
      <c r="DA321" s="327"/>
      <c r="DB321" s="327"/>
      <c r="DC321" s="327"/>
      <c r="DD321" s="327"/>
      <c r="DE321" s="327"/>
      <c r="DF321" s="327"/>
      <c r="DG321" s="327"/>
      <c r="DH321" s="327"/>
      <c r="DI321" s="327"/>
      <c r="DJ321" s="327"/>
      <c r="DK321" s="327"/>
      <c r="DL321" s="327"/>
      <c r="DM321" s="327"/>
      <c r="DN321" s="327"/>
      <c r="DO321" s="327"/>
      <c r="DP321" s="327"/>
      <c r="DQ321" s="327"/>
      <c r="DR321" s="327"/>
      <c r="DS321" s="327"/>
      <c r="DT321" s="327"/>
      <c r="DU321" s="327"/>
      <c r="DV321" s="327"/>
      <c r="DW321" s="327"/>
      <c r="DX321" s="327"/>
      <c r="DY321" s="327"/>
      <c r="DZ321" s="327"/>
      <c r="EA321" s="327"/>
      <c r="EB321" s="327"/>
      <c r="EC321" s="327"/>
      <c r="ED321" s="327"/>
      <c r="EE321" s="327"/>
      <c r="EF321" s="327"/>
      <c r="EG321" s="327"/>
      <c r="EH321" s="327"/>
      <c r="EI321" s="327"/>
      <c r="EJ321" s="327"/>
      <c r="EK321" s="327"/>
      <c r="EL321" s="327"/>
      <c r="EM321" s="327"/>
      <c r="EN321" s="327"/>
      <c r="EO321" s="327"/>
      <c r="EP321" s="327"/>
      <c r="EQ321" s="327"/>
      <c r="ER321" s="327"/>
      <c r="ES321" s="327"/>
      <c r="ET321" s="327"/>
      <c r="EU321" s="327"/>
      <c r="EV321" s="327"/>
      <c r="EW321" s="327"/>
      <c r="EX321" s="327"/>
      <c r="EY321" s="327"/>
      <c r="EZ321" s="327"/>
      <c r="FA321" s="327"/>
      <c r="FB321" s="327"/>
      <c r="FC321" s="327"/>
      <c r="FD321" s="327"/>
      <c r="FE321" s="327"/>
      <c r="FF321" s="327"/>
      <c r="FG321" s="327"/>
      <c r="FH321" s="327"/>
      <c r="FI321" s="327"/>
      <c r="FJ321" s="327"/>
      <c r="FK321" s="327"/>
      <c r="FL321" s="327"/>
      <c r="FM321" s="327"/>
      <c r="FN321" s="327"/>
      <c r="FO321" s="327"/>
      <c r="FP321" s="327"/>
      <c r="FQ321" s="327"/>
      <c r="FR321" s="327"/>
      <c r="FS321" s="327"/>
      <c r="FT321" s="327"/>
      <c r="FU321" s="327"/>
      <c r="FV321" s="327"/>
      <c r="FW321" s="327"/>
      <c r="FX321" s="327"/>
      <c r="FY321" s="327"/>
      <c r="FZ321" s="327"/>
      <c r="GA321" s="327"/>
      <c r="GB321" s="327"/>
      <c r="GC321" s="327"/>
      <c r="GD321" s="327"/>
      <c r="GE321" s="327"/>
      <c r="GF321" s="327"/>
      <c r="GG321" s="327"/>
      <c r="GH321" s="327"/>
      <c r="GI321" s="327"/>
      <c r="GJ321" s="327"/>
      <c r="GK321" s="327"/>
      <c r="GL321" s="327"/>
      <c r="GM321" s="327"/>
      <c r="GN321" s="327"/>
      <c r="GO321" s="327"/>
      <c r="GP321" s="327"/>
      <c r="GQ321" s="327"/>
      <c r="GR321" s="327"/>
      <c r="GS321" s="327"/>
      <c r="GT321" s="327"/>
      <c r="GU321" s="327"/>
      <c r="GV321" s="327"/>
      <c r="GW321" s="327"/>
      <c r="GX321" s="327"/>
      <c r="GY321" s="327"/>
      <c r="GZ321" s="327"/>
      <c r="HA321" s="327"/>
      <c r="HB321" s="327"/>
      <c r="HC321" s="327"/>
      <c r="HD321" s="327"/>
      <c r="HE321" s="327"/>
      <c r="HF321" s="327"/>
      <c r="HG321" s="327"/>
      <c r="HH321" s="327"/>
      <c r="HI321" s="327"/>
      <c r="HJ321" s="327"/>
      <c r="HK321" s="327"/>
      <c r="HL321" s="327"/>
      <c r="HM321" s="327"/>
      <c r="HN321" s="327"/>
      <c r="HO321" s="327"/>
      <c r="HP321" s="327"/>
      <c r="HQ321" s="327"/>
      <c r="HR321" s="327"/>
      <c r="HS321" s="327"/>
    </row>
    <row r="322" spans="1:227" ht="15" customHeight="1">
      <c r="A322" s="330">
        <v>14</v>
      </c>
      <c r="B322" s="435" t="str">
        <f>VLOOKUP(Ruimtestaat[[#This Row],[Code]],Locaties[[Code]:[Locatie]],2,FALSE)</f>
        <v>IKC De Vuurtoren</v>
      </c>
      <c r="C322" s="435" t="str">
        <f>VLOOKUP(Ruimtestaat[[#This Row],[Code]],Locaties[[#All],[Code]:[Adres]],4,FALSE)</f>
        <v>Spitsbergen 15</v>
      </c>
      <c r="D322" s="435" t="str">
        <f>VLOOKUP(Ruimtestaat[[#This Row],[Code]],Locaties[[#All],[Code]:[Postcode]],5,FALSE)</f>
        <v>2721 GP</v>
      </c>
      <c r="E322" s="435" t="str">
        <f>VLOOKUP(Ruimtestaat[[#This Row],[Code]],Locaties[#All],6,FALSE)</f>
        <v>Zoetermeer</v>
      </c>
      <c r="F322" s="450"/>
      <c r="G322" s="330" t="s">
        <v>1678</v>
      </c>
      <c r="H322" s="330" t="s">
        <v>1672</v>
      </c>
      <c r="I322" s="450" t="s">
        <v>1690</v>
      </c>
      <c r="J322" s="330">
        <v>16</v>
      </c>
      <c r="K322" s="450" t="str">
        <f>VLOOKUP(Ruimtestaat[[#This Row],[Ruimte code]],Ruimtegroepen[[#All],[Code]:[Ruimte omschrijving]],2,FALSE)</f>
        <v>Leslokalen</v>
      </c>
      <c r="L322" s="434" t="s">
        <v>100</v>
      </c>
      <c r="M322" s="437" t="s">
        <v>1759</v>
      </c>
      <c r="N322" s="439">
        <v>40</v>
      </c>
      <c r="O322" s="439"/>
      <c r="P322" s="439"/>
      <c r="Q322" s="439"/>
      <c r="R322" s="440" t="str">
        <f>VLOOKUP(Ruimtestaat[[#This Row],[Ruimte code]],Ruimtegroepen[],4,FALSE)</f>
        <v>Le</v>
      </c>
      <c r="S322" s="434">
        <v>40</v>
      </c>
      <c r="T322" s="434" t="s">
        <v>2</v>
      </c>
      <c r="U322" s="434">
        <f>IF(S322&gt;0,IF(RIGHT(Ruimtestaat[[#This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2" s="434">
        <f>IF(U322&gt;0,VLOOKUP($J322,Ruimtegroepen[],3,FALSE)*VLOOKUP($L322,Vloersoorten[],3,FALSE)*VLOOKUP($T322,Frequenties[],3,FALSE)*VLOOKUP($A322,Locaties[],3,FALSE),0)</f>
        <v>0</v>
      </c>
      <c r="W322" s="434">
        <f>Ruimtestaat[[#This Row],[Uitvoeringen werkdagen]]*Ruimtestaat[[#This Row],[Oppervlak (netto)]]</f>
        <v>8000</v>
      </c>
      <c r="X322" s="441">
        <f>IF(V322&gt;0,Ruimtestaat[[#This Row],[Prest. (m2 /jaar) werkdagen]]/Ruimtestaat[[#This Row],[Norm (m2/uur) werkdagen]],0)</f>
        <v>0</v>
      </c>
      <c r="Y322" s="442">
        <f>Ruimtestaat[[#This Row],[Uitvoeringen werkdagen]]*Ruimtestaat[[#This Row],[Gedeeltelijk]]</f>
        <v>0</v>
      </c>
      <c r="Z322" s="443" t="e">
        <f>IF(U322&gt;0,Ruimtestaat[[#This Row],[Prest. (m2 / jaar) werkdagen gedeeld]]/Ruimtestaat[[#This Row],[Norm (m2/uur) werkdagen]],0)</f>
        <v>#DIV/0!</v>
      </c>
      <c r="AA322" s="441" t="e">
        <f>Ruimtestaat[[#This Row],[uren / jaar werkdagen gedeeld]]*Tariefsopbouw!$E$35</f>
        <v>#DIV/0!</v>
      </c>
      <c r="AB322" s="441">
        <f>Ruimtestaat[[#This Row],[Uitvoeringen werkdagen]]*Ruimtestaat[[#This Row],[BSO]]</f>
        <v>0</v>
      </c>
      <c r="AC322" s="443" t="e">
        <f>IF(U322&gt;0,Ruimtestaat[[#This Row],[Prest. (m2 / jaar) werkdagen BSO]]/Ruimtestaat[[#This Row],[Norm (m2/uur) werkdagen]],0)</f>
        <v>#DIV/0!</v>
      </c>
      <c r="AD322" s="443" t="e">
        <f>Ruimtestaat[[#This Row],[uren / jaar werkdagen BSO]]*Tariefsopbouw!$E$35</f>
        <v>#DIV/0!</v>
      </c>
      <c r="AE322" s="444">
        <f>Ruimtestaat[[#This Row],[uren / jaar werkdagen]]*Tariefsopbouw!$E$35</f>
        <v>0</v>
      </c>
      <c r="AF322" s="434"/>
      <c r="AG322" s="434">
        <f>IF(Ruimtestaat[[#This Row],[Frequentie weekend]]&gt;0,VALUE(LEFT(AF322,1))*S322,0)</f>
        <v>0</v>
      </c>
      <c r="AH322" s="445">
        <f>IF($AG322&gt;0,VLOOKUP($J322,Ruimtegroepen[],3,FALSE)*VLOOKUP($L322,Vloersoorten[],3,FALSE)*VLOOKUP($AF322,Frequenties[],3,FALSE)*VLOOKUP(Ruimtestaat[[#This Row],[Code]],Locaties[],3,FALSE),0)</f>
        <v>0</v>
      </c>
      <c r="AI322" s="445">
        <f>Ruimtestaat[[#This Row],[Uitvoeringen weekend]]*Ruimtestaat[[#This Row],[Oppervlak (netto)]]</f>
        <v>0</v>
      </c>
      <c r="AJ322" s="445">
        <f>IF(AH322&gt;0,Ruimtestaat[[#This Row],[Prest. (m2 /jaar) weekend]]/Ruimtestaat[[#This Row],[Norm (m2/uur) weekend]],0)</f>
        <v>0</v>
      </c>
      <c r="AK322" s="444">
        <f>Ruimtestaat[[#This Row],[uren / jaar weekend]]*Tariefsopbouw!$D$40</f>
        <v>0</v>
      </c>
      <c r="AL322" s="441">
        <f>Ruimtestaat[[#This Row],[Prest. (m2 /jaar) weekend]]+Ruimtestaat[[#This Row],[Prest. (m2 /jaar) werkdagen]]</f>
        <v>8000</v>
      </c>
      <c r="AM322" s="441">
        <f>Ruimtestaat[[#This Row],[uren / jaar weekend]]+Ruimtestaat[[#This Row],[uren / jaar werkdagen]]</f>
        <v>0</v>
      </c>
      <c r="AN322" s="446">
        <f>Ruimtestaat[[#This Row],[kosten / jaar weekend]]+Ruimtestaat[[#This Row],[kosten / jaar werkdagen]]</f>
        <v>0</v>
      </c>
      <c r="AO322" s="446"/>
      <c r="AP322" s="447" t="str">
        <f>IF(Ruimtestaat[[#This Row],[Frequentie werkdagen]]="","",_xlfn.CONCAT(Ruimtestaat[[#This Row],[Ruimte code]],"-",Ruimtestaat[[#This Row],[Frequentie werkdagen]]," ",Ruimtestaat[[#This Row],[Vloer code]]))</f>
        <v>16-5w L</v>
      </c>
      <c r="AQ322" s="448" t="str">
        <f>_xlfn.IFNA(VLOOKUP($AP322,Programma!$F$3:$G$1101,2,0),"")</f>
        <v>_</v>
      </c>
      <c r="AR322" s="448" t="str">
        <f>_xlfn.IFNA(VLOOKUP($AP322,Programma!$F$3:$H$1101,3,0),"")</f>
        <v>_</v>
      </c>
      <c r="AS322" s="448" t="str">
        <f>_xlfn.IFNA(VLOOKUP($AP322,Programma!$F$3:$I$1101,4,0),"")</f>
        <v>4w</v>
      </c>
      <c r="AT322" s="448" t="str">
        <f>_xlfn.IFNA(VLOOKUP($AP322,Programma!$F$3:$J$1101,5,0),"")</f>
        <v>1w</v>
      </c>
      <c r="AU322" s="448" t="str">
        <f>_xlfn.IFNA(VLOOKUP($AP322,Programma!$F$3:$K$1101,6,0),"")</f>
        <v>_</v>
      </c>
      <c r="AV322" s="448" t="str">
        <f>_xlfn.IFNA(VLOOKUP($AP322,Programma!$F$3:$L$1101,7,0),"")</f>
        <v>_</v>
      </c>
      <c r="AW322" s="448" t="str">
        <f>_xlfn.IFNA(VLOOKUP($AP322,Programma!$F$3:$M$1101,8,0),"")</f>
        <v>_</v>
      </c>
      <c r="AX322" s="448" t="str">
        <f>_xlfn.IFNA(VLOOKUP($AP322,Programma!$F$3:$N$1101,9,0),"")</f>
        <v>_</v>
      </c>
      <c r="AY322" s="448" t="str">
        <f>_xlfn.IFNA(VLOOKUP($AP322,Programma!$F$3:$O$1101,10,0),"")</f>
        <v>5w</v>
      </c>
      <c r="AZ322" s="448" t="str">
        <f>_xlfn.IFNA(VLOOKUP($AP322,Programma!$F$3:$P$1101,11,0),"")</f>
        <v>5w</v>
      </c>
      <c r="BA322" s="448" t="str">
        <f>_xlfn.IFNA(VLOOKUP($AP322,Programma!$F$3:$Q$1101,12,0),"")</f>
        <v>1w</v>
      </c>
      <c r="BB322" s="448" t="str">
        <f>_xlfn.IFNA(VLOOKUP($AP322,Programma!$F$3:$R$1101,13,0),"")</f>
        <v>1w</v>
      </c>
      <c r="BC322" s="448" t="str">
        <f>_xlfn.IFNA(VLOOKUP($AP322,Programma!$F$3:$S$1101,14,0),"")</f>
        <v>1m</v>
      </c>
      <c r="BD322" s="448" t="str">
        <f>_xlfn.IFNA(VLOOKUP($AP322,Programma!$F$3:$T$1101,15,0),"")</f>
        <v>2j</v>
      </c>
      <c r="BE322" s="448" t="str">
        <f>_xlfn.IFNA(VLOOKUP($AP322,Programma!$F$3:$U$1101,16,0),"")</f>
        <v>1j</v>
      </c>
      <c r="BF322" s="448" t="str">
        <f>_xlfn.IFNA(VLOOKUP($AP322,Programma!$F$3:$V$1101,17,0),"")</f>
        <v>_</v>
      </c>
      <c r="BG322" s="448" t="str">
        <f>_xlfn.IFNA(VLOOKUP($AP322,Programma!$F$3:$W$1101,18,0),"")</f>
        <v>_</v>
      </c>
      <c r="BH322" s="448" t="str">
        <f>_xlfn.IFNA(VLOOKUP($AP322,Programma!$F$3:$X$1101,19,0),"")</f>
        <v>_</v>
      </c>
      <c r="BI322" s="448" t="str">
        <f>_xlfn.IFNA(VLOOKUP($AP322,Programma!$F$3:$Y$1101,20,0),"")</f>
        <v>_</v>
      </c>
      <c r="BJ322" s="449"/>
      <c r="BK322" s="447" t="str">
        <f>IF(Ruimtestaat[[#This Row],[Frequentie weekend]]="","",_xlfn.CONCAT(Ruimtestaat[[#This Row],[Ruimte code]],"-",Ruimtestaat[[#This Row],[Frequentie weekend]]," ",Ruimtestaat[[#This Row],[Vloer code]]))</f>
        <v/>
      </c>
      <c r="BL322" s="448" t="str">
        <f>_xlfn.IFNA(VLOOKUP($BK322,Programma!$F$3:$G$1101,2,0),"")</f>
        <v/>
      </c>
      <c r="BM322" s="448" t="str">
        <f>_xlfn.IFNA(VLOOKUP($BK322,Programma!$F$3:$H$1101,3,0),"")</f>
        <v/>
      </c>
      <c r="BN322" s="448" t="str">
        <f>_xlfn.IFNA(VLOOKUP($BK322,Programma!$F$3:$I$1101,4,0),"")</f>
        <v/>
      </c>
      <c r="BO322" s="448" t="str">
        <f>_xlfn.IFNA(VLOOKUP($BK322,Programma!$F$3:$J$1101,5,0),"")</f>
        <v/>
      </c>
      <c r="BP322" s="448" t="str">
        <f>_xlfn.IFNA(VLOOKUP($BK322,Programma!$F$3:$K$1101,6,0),"")</f>
        <v/>
      </c>
      <c r="BQ322" s="448" t="str">
        <f>_xlfn.IFNA(VLOOKUP($BK322,Programma!$F$3:$L$1101,7,0),"")</f>
        <v/>
      </c>
      <c r="BR322" s="448" t="str">
        <f>_xlfn.IFNA(VLOOKUP($BK322,Programma!$F$3:$M$1101,8,0),"")</f>
        <v/>
      </c>
      <c r="BS322" s="448" t="str">
        <f>_xlfn.IFNA(VLOOKUP($BK322,Programma!$F$3:$N$1101,9,0),"")</f>
        <v/>
      </c>
      <c r="BT322" s="448" t="str">
        <f>_xlfn.IFNA(VLOOKUP($BK322,Programma!$F$3:$O$1101,10,0),"")</f>
        <v/>
      </c>
      <c r="BU322" s="448" t="str">
        <f>_xlfn.IFNA(VLOOKUP($BK322,Programma!$F$3:$P$1101,11,0),"")</f>
        <v/>
      </c>
      <c r="BV322" s="448" t="str">
        <f>_xlfn.IFNA(VLOOKUP($BK322,Programma!$F$3:$Q$1101,12,0),"")</f>
        <v/>
      </c>
      <c r="BW322" s="448" t="str">
        <f>_xlfn.IFNA(VLOOKUP($BK322,Programma!$F$3:$R$1101,13,0),"")</f>
        <v/>
      </c>
      <c r="BX322" s="448" t="str">
        <f>_xlfn.IFNA(VLOOKUP($BK322,Programma!$F$3:$S$1101,14,0),"")</f>
        <v/>
      </c>
      <c r="BY322" s="448" t="str">
        <f>_xlfn.IFNA(VLOOKUP($BK322,Programma!$F$3:$T$1101,15,0),"")</f>
        <v/>
      </c>
      <c r="BZ322" s="448" t="str">
        <f>_xlfn.IFNA(VLOOKUP($BK322,Programma!$F$3:$U$1101,16,0),"")</f>
        <v/>
      </c>
      <c r="CA322" s="448" t="str">
        <f>_xlfn.IFNA(VLOOKUP($BK322,Programma!$F$3:$V$1101,17,0),"")</f>
        <v/>
      </c>
      <c r="CB322" s="448" t="str">
        <f>_xlfn.IFNA(VLOOKUP($BK322,Programma!$F$3:$W$1101,18,0),"")</f>
        <v/>
      </c>
      <c r="CC322" s="448" t="str">
        <f>_xlfn.IFNA(VLOOKUP($BK322,Programma!$F$3:$X$1101,19,0),"")</f>
        <v/>
      </c>
      <c r="CD322" s="448" t="str">
        <f>_xlfn.IFNA(VLOOKUP($BK322,Programma!$F$3:$Y$1101,20,0),"")</f>
        <v/>
      </c>
      <c r="CE322" s="327"/>
      <c r="CF322" s="327"/>
      <c r="CG322" s="327"/>
      <c r="CH322" s="327"/>
      <c r="CI322" s="327"/>
      <c r="CJ322" s="327"/>
      <c r="CK322" s="327"/>
      <c r="CL322" s="327"/>
      <c r="CM322" s="327"/>
      <c r="CN322" s="327"/>
      <c r="CO322" s="327"/>
      <c r="CP322" s="327"/>
      <c r="CQ322" s="327"/>
      <c r="CR322" s="327"/>
      <c r="CS322" s="327"/>
      <c r="CT322" s="327"/>
      <c r="CU322" s="327"/>
      <c r="CV322" s="327"/>
      <c r="CW322" s="327"/>
      <c r="CX322" s="327"/>
      <c r="CY322" s="327"/>
      <c r="CZ322" s="327"/>
      <c r="DA322" s="327"/>
      <c r="DB322" s="327"/>
      <c r="DC322" s="327"/>
      <c r="DD322" s="327"/>
      <c r="DE322" s="327"/>
      <c r="DF322" s="327"/>
      <c r="DG322" s="327"/>
      <c r="DH322" s="327"/>
      <c r="DI322" s="327"/>
      <c r="DJ322" s="327"/>
      <c r="DK322" s="327"/>
      <c r="DL322" s="327"/>
      <c r="DM322" s="327"/>
      <c r="DN322" s="327"/>
      <c r="DO322" s="327"/>
      <c r="DP322" s="327"/>
      <c r="DQ322" s="327"/>
      <c r="DR322" s="327"/>
      <c r="DS322" s="327"/>
      <c r="DT322" s="327"/>
      <c r="DU322" s="327"/>
      <c r="DV322" s="327"/>
      <c r="DW322" s="327"/>
      <c r="DX322" s="327"/>
      <c r="DY322" s="327"/>
      <c r="DZ322" s="327"/>
      <c r="EA322" s="327"/>
      <c r="EB322" s="327"/>
      <c r="EC322" s="327"/>
      <c r="ED322" s="327"/>
      <c r="EE322" s="327"/>
      <c r="EF322" s="327"/>
      <c r="EG322" s="327"/>
      <c r="EH322" s="327"/>
      <c r="EI322" s="327"/>
      <c r="EJ322" s="327"/>
      <c r="EK322" s="327"/>
      <c r="EL322" s="327"/>
      <c r="EM322" s="327"/>
      <c r="EN322" s="327"/>
      <c r="EO322" s="327"/>
      <c r="EP322" s="327"/>
      <c r="EQ322" s="327"/>
      <c r="ER322" s="327"/>
      <c r="ES322" s="327"/>
      <c r="ET322" s="327"/>
      <c r="EU322" s="327"/>
      <c r="EV322" s="327"/>
      <c r="EW322" s="327"/>
      <c r="EX322" s="327"/>
      <c r="EY322" s="327"/>
      <c r="EZ322" s="327"/>
      <c r="FA322" s="327"/>
      <c r="FB322" s="327"/>
      <c r="FC322" s="327"/>
      <c r="FD322" s="327"/>
      <c r="FE322" s="327"/>
      <c r="FF322" s="327"/>
      <c r="FG322" s="327"/>
      <c r="FH322" s="327"/>
      <c r="FI322" s="327"/>
      <c r="FJ322" s="327"/>
      <c r="FK322" s="327"/>
      <c r="FL322" s="327"/>
      <c r="FM322" s="327"/>
      <c r="FN322" s="327"/>
      <c r="FO322" s="327"/>
      <c r="FP322" s="327"/>
      <c r="FQ322" s="327"/>
      <c r="FR322" s="327"/>
      <c r="FS322" s="327"/>
      <c r="FT322" s="327"/>
      <c r="FU322" s="327"/>
      <c r="FV322" s="327"/>
      <c r="FW322" s="327"/>
      <c r="FX322" s="327"/>
      <c r="FY322" s="327"/>
      <c r="FZ322" s="327"/>
      <c r="GA322" s="327"/>
      <c r="GB322" s="327"/>
      <c r="GC322" s="327"/>
      <c r="GD322" s="327"/>
      <c r="GE322" s="327"/>
      <c r="GF322" s="327"/>
      <c r="GG322" s="327"/>
      <c r="GH322" s="327"/>
      <c r="GI322" s="327"/>
      <c r="GJ322" s="327"/>
      <c r="GK322" s="327"/>
      <c r="GL322" s="327"/>
      <c r="GM322" s="327"/>
      <c r="GN322" s="327"/>
      <c r="GO322" s="327"/>
      <c r="GP322" s="327"/>
      <c r="GQ322" s="327"/>
      <c r="GR322" s="327"/>
      <c r="GS322" s="327"/>
      <c r="GT322" s="327"/>
      <c r="GU322" s="327"/>
      <c r="GV322" s="327"/>
      <c r="GW322" s="327"/>
      <c r="GX322" s="327"/>
      <c r="GY322" s="327"/>
      <c r="GZ322" s="327"/>
      <c r="HA322" s="327"/>
      <c r="HB322" s="327"/>
      <c r="HC322" s="327"/>
      <c r="HD322" s="327"/>
      <c r="HE322" s="327"/>
      <c r="HF322" s="327"/>
      <c r="HG322" s="327"/>
      <c r="HH322" s="327"/>
      <c r="HI322" s="327"/>
      <c r="HJ322" s="327"/>
      <c r="HK322" s="327"/>
      <c r="HL322" s="327"/>
      <c r="HM322" s="327"/>
      <c r="HN322" s="327"/>
      <c r="HO322" s="327"/>
      <c r="HP322" s="327"/>
      <c r="HQ322" s="327"/>
      <c r="HR322" s="327"/>
      <c r="HS322" s="327"/>
    </row>
    <row r="323" spans="1:227" ht="15" customHeight="1">
      <c r="A323" s="330">
        <v>14</v>
      </c>
      <c r="B323" s="435" t="str">
        <f>VLOOKUP(Ruimtestaat[[#This Row],[Code]],Locaties[[Code]:[Locatie]],2,FALSE)</f>
        <v>IKC De Vuurtoren</v>
      </c>
      <c r="C323" s="435" t="str">
        <f>VLOOKUP(Ruimtestaat[[#This Row],[Code]],Locaties[[#All],[Code]:[Adres]],4,FALSE)</f>
        <v>Spitsbergen 15</v>
      </c>
      <c r="D323" s="435" t="str">
        <f>VLOOKUP(Ruimtestaat[[#This Row],[Code]],Locaties[[#All],[Code]:[Postcode]],5,FALSE)</f>
        <v>2721 GP</v>
      </c>
      <c r="E323" s="435" t="str">
        <f>VLOOKUP(Ruimtestaat[[#This Row],[Code]],Locaties[#All],6,FALSE)</f>
        <v>Zoetermeer</v>
      </c>
      <c r="F323" s="450"/>
      <c r="G323" s="330" t="s">
        <v>1678</v>
      </c>
      <c r="H323" s="330" t="s">
        <v>1674</v>
      </c>
      <c r="I323" s="450" t="s">
        <v>1666</v>
      </c>
      <c r="J323" s="330">
        <v>2</v>
      </c>
      <c r="K323" s="450" t="str">
        <f>VLOOKUP(Ruimtestaat[[#This Row],[Ruimte code]],Ruimtegroepen[[#All],[Code]:[Ruimte omschrijving]],2,FALSE)</f>
        <v>Kantoren</v>
      </c>
      <c r="L323" s="434" t="s">
        <v>100</v>
      </c>
      <c r="M323" s="437" t="s">
        <v>1759</v>
      </c>
      <c r="N323" s="439">
        <v>18</v>
      </c>
      <c r="O323" s="439"/>
      <c r="P323" s="439"/>
      <c r="Q323" s="439"/>
      <c r="R323" s="440" t="str">
        <f>VLOOKUP(Ruimtestaat[[#This Row],[Ruimte code]],Ruimtegroepen[],4,FALSE)</f>
        <v>Bu</v>
      </c>
      <c r="S323" s="434">
        <v>41</v>
      </c>
      <c r="T323" s="434" t="s">
        <v>17</v>
      </c>
      <c r="U323" s="434">
        <f>IF(S323&gt;0,IF(RIGHT(Ruimtestaat[[#This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23" s="434">
        <f>IF(U323&gt;0,VLOOKUP($J323,Ruimtegroepen[],3,FALSE)*VLOOKUP($L323,Vloersoorten[],3,FALSE)*VLOOKUP($T323,Frequenties[],3,FALSE)*VLOOKUP($A323,Locaties[],3,FALSE),0)</f>
        <v>0</v>
      </c>
      <c r="W323" s="434">
        <f>Ruimtestaat[[#This Row],[Uitvoeringen werkdagen]]*Ruimtestaat[[#This Row],[Oppervlak (netto)]]</f>
        <v>1476</v>
      </c>
      <c r="X323" s="441">
        <f>IF(V323&gt;0,Ruimtestaat[[#This Row],[Prest. (m2 /jaar) werkdagen]]/Ruimtestaat[[#This Row],[Norm (m2/uur) werkdagen]],0)</f>
        <v>0</v>
      </c>
      <c r="Y323" s="442">
        <f>Ruimtestaat[[#This Row],[Uitvoeringen werkdagen]]*Ruimtestaat[[#This Row],[Gedeeltelijk]]</f>
        <v>0</v>
      </c>
      <c r="Z323" s="443" t="e">
        <f>IF(U323&gt;0,Ruimtestaat[[#This Row],[Prest. (m2 / jaar) werkdagen gedeeld]]/Ruimtestaat[[#This Row],[Norm (m2/uur) werkdagen]],0)</f>
        <v>#DIV/0!</v>
      </c>
      <c r="AA323" s="441" t="e">
        <f>Ruimtestaat[[#This Row],[uren / jaar werkdagen gedeeld]]*Tariefsopbouw!$E$35</f>
        <v>#DIV/0!</v>
      </c>
      <c r="AB323" s="441">
        <f>Ruimtestaat[[#This Row],[Uitvoeringen werkdagen]]*Ruimtestaat[[#This Row],[BSO]]</f>
        <v>0</v>
      </c>
      <c r="AC323" s="443" t="e">
        <f>IF(U323&gt;0,Ruimtestaat[[#This Row],[Prest. (m2 / jaar) werkdagen BSO]]/Ruimtestaat[[#This Row],[Norm (m2/uur) werkdagen]],0)</f>
        <v>#DIV/0!</v>
      </c>
      <c r="AD323" s="443" t="e">
        <f>Ruimtestaat[[#This Row],[uren / jaar werkdagen BSO]]*Tariefsopbouw!$E$35</f>
        <v>#DIV/0!</v>
      </c>
      <c r="AE323" s="444">
        <f>Ruimtestaat[[#This Row],[uren / jaar werkdagen]]*Tariefsopbouw!$E$35</f>
        <v>0</v>
      </c>
      <c r="AF323" s="434"/>
      <c r="AG323" s="434">
        <f>IF(Ruimtestaat[[#This Row],[Frequentie weekend]]&gt;0,VALUE(LEFT(AF323,1))*S323,0)</f>
        <v>0</v>
      </c>
      <c r="AH323" s="445">
        <f>IF($AG323&gt;0,VLOOKUP($J323,Ruimtegroepen[],3,FALSE)*VLOOKUP($L323,Vloersoorten[],3,FALSE)*VLOOKUP($AF323,Frequenties[],3,FALSE)*VLOOKUP(Ruimtestaat[[#This Row],[Code]],Locaties[],3,FALSE),0)</f>
        <v>0</v>
      </c>
      <c r="AI323" s="445">
        <f>Ruimtestaat[[#This Row],[Uitvoeringen weekend]]*Ruimtestaat[[#This Row],[Oppervlak (netto)]]</f>
        <v>0</v>
      </c>
      <c r="AJ323" s="445">
        <f>IF(AH323&gt;0,Ruimtestaat[[#This Row],[Prest. (m2 /jaar) weekend]]/Ruimtestaat[[#This Row],[Norm (m2/uur) weekend]],0)</f>
        <v>0</v>
      </c>
      <c r="AK323" s="444">
        <f>Ruimtestaat[[#This Row],[uren / jaar weekend]]*Tariefsopbouw!$D$40</f>
        <v>0</v>
      </c>
      <c r="AL323" s="441">
        <f>Ruimtestaat[[#This Row],[Prest. (m2 /jaar) weekend]]+Ruimtestaat[[#This Row],[Prest. (m2 /jaar) werkdagen]]</f>
        <v>1476</v>
      </c>
      <c r="AM323" s="441">
        <f>Ruimtestaat[[#This Row],[uren / jaar weekend]]+Ruimtestaat[[#This Row],[uren / jaar werkdagen]]</f>
        <v>0</v>
      </c>
      <c r="AN323" s="446">
        <f>Ruimtestaat[[#This Row],[kosten / jaar weekend]]+Ruimtestaat[[#This Row],[kosten / jaar werkdagen]]</f>
        <v>0</v>
      </c>
      <c r="AO323" s="446"/>
      <c r="AP323" s="447" t="str">
        <f>IF(Ruimtestaat[[#This Row],[Frequentie werkdagen]]="","",_xlfn.CONCAT(Ruimtestaat[[#This Row],[Ruimte code]],"-",Ruimtestaat[[#This Row],[Frequentie werkdagen]]," ",Ruimtestaat[[#This Row],[Vloer code]]))</f>
        <v>2-2w L</v>
      </c>
      <c r="AQ323" s="448" t="str">
        <f>_xlfn.IFNA(VLOOKUP($AP323,Programma!$F$3:$G$1101,2,0),"")</f>
        <v>_</v>
      </c>
      <c r="AR323" s="448" t="str">
        <f>_xlfn.IFNA(VLOOKUP($AP323,Programma!$F$3:$H$1101,3,0),"")</f>
        <v>_</v>
      </c>
      <c r="AS323" s="448" t="str">
        <f>_xlfn.IFNA(VLOOKUP($AP323,Programma!$F$3:$I$1101,4,0),"")</f>
        <v>1w</v>
      </c>
      <c r="AT323" s="448" t="str">
        <f>_xlfn.IFNA(VLOOKUP($AP323,Programma!$F$3:$J$1101,5,0),"")</f>
        <v>1w</v>
      </c>
      <c r="AU323" s="448" t="str">
        <f>_xlfn.IFNA(VLOOKUP($AP323,Programma!$F$3:$K$1101,6,0),"")</f>
        <v>_</v>
      </c>
      <c r="AV323" s="448" t="str">
        <f>_xlfn.IFNA(VLOOKUP($AP323,Programma!$F$3:$L$1101,7,0),"")</f>
        <v>_</v>
      </c>
      <c r="AW323" s="448" t="str">
        <f>_xlfn.IFNA(VLOOKUP($AP323,Programma!$F$3:$M$1101,8,0),"")</f>
        <v>_</v>
      </c>
      <c r="AX323" s="448" t="str">
        <f>_xlfn.IFNA(VLOOKUP($AP323,Programma!$F$3:$N$1101,9,0),"")</f>
        <v>_</v>
      </c>
      <c r="AY323" s="448" t="str">
        <f>_xlfn.IFNA(VLOOKUP($AP323,Programma!$F$3:$O$1101,10,0),"")</f>
        <v>2w</v>
      </c>
      <c r="AZ323" s="448" t="str">
        <f>_xlfn.IFNA(VLOOKUP($AP323,Programma!$F$3:$P$1101,11,0),"")</f>
        <v>2w</v>
      </c>
      <c r="BA323" s="448" t="str">
        <f>_xlfn.IFNA(VLOOKUP($AP323,Programma!$F$3:$Q$1101,12,0),"")</f>
        <v>1w</v>
      </c>
      <c r="BB323" s="448" t="str">
        <f>_xlfn.IFNA(VLOOKUP($AP323,Programma!$F$3:$R$1101,13,0),"")</f>
        <v>1w</v>
      </c>
      <c r="BC323" s="448" t="str">
        <f>_xlfn.IFNA(VLOOKUP($AP323,Programma!$F$3:$S$1101,14,0),"")</f>
        <v>1m</v>
      </c>
      <c r="BD323" s="448" t="str">
        <f>_xlfn.IFNA(VLOOKUP($AP323,Programma!$F$3:$T$1101,15,0),"")</f>
        <v>2j</v>
      </c>
      <c r="BE323" s="448" t="str">
        <f>_xlfn.IFNA(VLOOKUP($AP323,Programma!$F$3:$U$1101,16,0),"")</f>
        <v>1j</v>
      </c>
      <c r="BF323" s="448" t="str">
        <f>_xlfn.IFNA(VLOOKUP($AP323,Programma!$F$3:$V$1101,17,0),"")</f>
        <v>_</v>
      </c>
      <c r="BG323" s="448" t="str">
        <f>_xlfn.IFNA(VLOOKUP($AP323,Programma!$F$3:$W$1101,18,0),"")</f>
        <v>_</v>
      </c>
      <c r="BH323" s="448" t="str">
        <f>_xlfn.IFNA(VLOOKUP($AP323,Programma!$F$3:$X$1101,19,0),"")</f>
        <v>_</v>
      </c>
      <c r="BI323" s="448" t="str">
        <f>_xlfn.IFNA(VLOOKUP($AP323,Programma!$F$3:$Y$1101,20,0),"")</f>
        <v>_</v>
      </c>
      <c r="BJ323" s="449"/>
      <c r="BK323" s="447" t="str">
        <f>IF(Ruimtestaat[[#This Row],[Frequentie weekend]]="","",_xlfn.CONCAT(Ruimtestaat[[#This Row],[Ruimte code]],"-",Ruimtestaat[[#This Row],[Frequentie weekend]]," ",Ruimtestaat[[#This Row],[Vloer code]]))</f>
        <v/>
      </c>
      <c r="BL323" s="448" t="str">
        <f>_xlfn.IFNA(VLOOKUP($BK323,Programma!$F$3:$G$1101,2,0),"")</f>
        <v/>
      </c>
      <c r="BM323" s="448" t="str">
        <f>_xlfn.IFNA(VLOOKUP($BK323,Programma!$F$3:$H$1101,3,0),"")</f>
        <v/>
      </c>
      <c r="BN323" s="448" t="str">
        <f>_xlfn.IFNA(VLOOKUP($BK323,Programma!$F$3:$I$1101,4,0),"")</f>
        <v/>
      </c>
      <c r="BO323" s="448" t="str">
        <f>_xlfn.IFNA(VLOOKUP($BK323,Programma!$F$3:$J$1101,5,0),"")</f>
        <v/>
      </c>
      <c r="BP323" s="448" t="str">
        <f>_xlfn.IFNA(VLOOKUP($BK323,Programma!$F$3:$K$1101,6,0),"")</f>
        <v/>
      </c>
      <c r="BQ323" s="448" t="str">
        <f>_xlfn.IFNA(VLOOKUP($BK323,Programma!$F$3:$L$1101,7,0),"")</f>
        <v/>
      </c>
      <c r="BR323" s="448" t="str">
        <f>_xlfn.IFNA(VLOOKUP($BK323,Programma!$F$3:$M$1101,8,0),"")</f>
        <v/>
      </c>
      <c r="BS323" s="448" t="str">
        <f>_xlfn.IFNA(VLOOKUP($BK323,Programma!$F$3:$N$1101,9,0),"")</f>
        <v/>
      </c>
      <c r="BT323" s="448" t="str">
        <f>_xlfn.IFNA(VLOOKUP($BK323,Programma!$F$3:$O$1101,10,0),"")</f>
        <v/>
      </c>
      <c r="BU323" s="448" t="str">
        <f>_xlfn.IFNA(VLOOKUP($BK323,Programma!$F$3:$P$1101,11,0),"")</f>
        <v/>
      </c>
      <c r="BV323" s="448" t="str">
        <f>_xlfn.IFNA(VLOOKUP($BK323,Programma!$F$3:$Q$1101,12,0),"")</f>
        <v/>
      </c>
      <c r="BW323" s="448" t="str">
        <f>_xlfn.IFNA(VLOOKUP($BK323,Programma!$F$3:$R$1101,13,0),"")</f>
        <v/>
      </c>
      <c r="BX323" s="448" t="str">
        <f>_xlfn.IFNA(VLOOKUP($BK323,Programma!$F$3:$S$1101,14,0),"")</f>
        <v/>
      </c>
      <c r="BY323" s="448" t="str">
        <f>_xlfn.IFNA(VLOOKUP($BK323,Programma!$F$3:$T$1101,15,0),"")</f>
        <v/>
      </c>
      <c r="BZ323" s="448" t="str">
        <f>_xlfn.IFNA(VLOOKUP($BK323,Programma!$F$3:$U$1101,16,0),"")</f>
        <v/>
      </c>
      <c r="CA323" s="448" t="str">
        <f>_xlfn.IFNA(VLOOKUP($BK323,Programma!$F$3:$V$1101,17,0),"")</f>
        <v/>
      </c>
      <c r="CB323" s="448" t="str">
        <f>_xlfn.IFNA(VLOOKUP($BK323,Programma!$F$3:$W$1101,18,0),"")</f>
        <v/>
      </c>
      <c r="CC323" s="448" t="str">
        <f>_xlfn.IFNA(VLOOKUP($BK323,Programma!$F$3:$X$1101,19,0),"")</f>
        <v/>
      </c>
      <c r="CD323" s="448" t="str">
        <f>_xlfn.IFNA(VLOOKUP($BK323,Programma!$F$3:$Y$1101,20,0),"")</f>
        <v/>
      </c>
      <c r="CE323" s="327"/>
      <c r="CF323" s="327"/>
      <c r="CG323" s="327"/>
      <c r="CH323" s="327"/>
      <c r="CI323" s="327"/>
      <c r="CJ323" s="327"/>
      <c r="CK323" s="327"/>
      <c r="CL323" s="327"/>
      <c r="CM323" s="327"/>
      <c r="CN323" s="327"/>
      <c r="CO323" s="327"/>
      <c r="CP323" s="327"/>
      <c r="CQ323" s="327"/>
      <c r="CR323" s="327"/>
      <c r="CS323" s="327"/>
      <c r="CT323" s="327"/>
      <c r="CU323" s="327"/>
      <c r="CV323" s="327"/>
      <c r="CW323" s="327"/>
      <c r="CX323" s="327"/>
      <c r="CY323" s="327"/>
      <c r="CZ323" s="327"/>
      <c r="DA323" s="327"/>
      <c r="DB323" s="327"/>
      <c r="DC323" s="327"/>
      <c r="DD323" s="327"/>
      <c r="DE323" s="327"/>
      <c r="DF323" s="327"/>
      <c r="DG323" s="327"/>
      <c r="DH323" s="327"/>
      <c r="DI323" s="327"/>
      <c r="DJ323" s="327"/>
      <c r="DK323" s="327"/>
      <c r="DL323" s="327"/>
      <c r="DM323" s="327"/>
      <c r="DN323" s="327"/>
      <c r="DO323" s="327"/>
      <c r="DP323" s="327"/>
      <c r="DQ323" s="327"/>
      <c r="DR323" s="327"/>
      <c r="DS323" s="327"/>
      <c r="DT323" s="327"/>
      <c r="DU323" s="327"/>
      <c r="DV323" s="327"/>
      <c r="DW323" s="327"/>
      <c r="DX323" s="327"/>
      <c r="DY323" s="327"/>
      <c r="DZ323" s="327"/>
      <c r="EA323" s="327"/>
      <c r="EB323" s="327"/>
      <c r="EC323" s="327"/>
      <c r="ED323" s="327"/>
      <c r="EE323" s="327"/>
      <c r="EF323" s="327"/>
      <c r="EG323" s="327"/>
      <c r="EH323" s="327"/>
      <c r="EI323" s="327"/>
      <c r="EJ323" s="327"/>
      <c r="EK323" s="327"/>
      <c r="EL323" s="327"/>
      <c r="EM323" s="327"/>
      <c r="EN323" s="327"/>
      <c r="EO323" s="327"/>
      <c r="EP323" s="327"/>
      <c r="EQ323" s="327"/>
      <c r="ER323" s="327"/>
      <c r="ES323" s="327"/>
      <c r="ET323" s="327"/>
      <c r="EU323" s="327"/>
      <c r="EV323" s="327"/>
      <c r="EW323" s="327"/>
      <c r="EX323" s="327"/>
      <c r="EY323" s="327"/>
      <c r="EZ323" s="327"/>
      <c r="FA323" s="327"/>
      <c r="FB323" s="327"/>
      <c r="FC323" s="327"/>
      <c r="FD323" s="327"/>
      <c r="FE323" s="327"/>
      <c r="FF323" s="327"/>
      <c r="FG323" s="327"/>
      <c r="FH323" s="327"/>
      <c r="FI323" s="327"/>
      <c r="FJ323" s="327"/>
      <c r="FK323" s="327"/>
      <c r="FL323" s="327"/>
      <c r="FM323" s="327"/>
      <c r="FN323" s="327"/>
      <c r="FO323" s="327"/>
      <c r="FP323" s="327"/>
      <c r="FQ323" s="327"/>
      <c r="FR323" s="327"/>
      <c r="FS323" s="327"/>
      <c r="FT323" s="327"/>
      <c r="FU323" s="327"/>
      <c r="FV323" s="327"/>
      <c r="FW323" s="327"/>
      <c r="FX323" s="327"/>
      <c r="FY323" s="327"/>
      <c r="FZ323" s="327"/>
      <c r="GA323" s="327"/>
      <c r="GB323" s="327"/>
      <c r="GC323" s="327"/>
      <c r="GD323" s="327"/>
      <c r="GE323" s="327"/>
      <c r="GF323" s="327"/>
      <c r="GG323" s="327"/>
      <c r="GH323" s="327"/>
      <c r="GI323" s="327"/>
      <c r="GJ323" s="327"/>
      <c r="GK323" s="327"/>
      <c r="GL323" s="327"/>
      <c r="GM323" s="327"/>
      <c r="GN323" s="327"/>
      <c r="GO323" s="327"/>
      <c r="GP323" s="327"/>
      <c r="GQ323" s="327"/>
      <c r="GR323" s="327"/>
      <c r="GS323" s="327"/>
      <c r="GT323" s="327"/>
      <c r="GU323" s="327"/>
      <c r="GV323" s="327"/>
      <c r="GW323" s="327"/>
      <c r="GX323" s="327"/>
      <c r="GY323" s="327"/>
      <c r="GZ323" s="327"/>
      <c r="HA323" s="327"/>
      <c r="HB323" s="327"/>
      <c r="HC323" s="327"/>
      <c r="HD323" s="327"/>
      <c r="HE323" s="327"/>
      <c r="HF323" s="327"/>
      <c r="HG323" s="327"/>
      <c r="HH323" s="327"/>
      <c r="HI323" s="327"/>
      <c r="HJ323" s="327"/>
      <c r="HK323" s="327"/>
      <c r="HL323" s="327"/>
      <c r="HM323" s="327"/>
      <c r="HN323" s="327"/>
      <c r="HO323" s="327"/>
      <c r="HP323" s="327"/>
      <c r="HQ323" s="327"/>
      <c r="HR323" s="327"/>
      <c r="HS323" s="327"/>
    </row>
    <row r="324" spans="1:227" ht="15" customHeight="1">
      <c r="A324" s="330">
        <v>14</v>
      </c>
      <c r="B324" s="435" t="str">
        <f>VLOOKUP(Ruimtestaat[[#This Row],[Code]],Locaties[[Code]:[Locatie]],2,FALSE)</f>
        <v>IKC De Vuurtoren</v>
      </c>
      <c r="C324" s="435" t="str">
        <f>VLOOKUP(Ruimtestaat[[#This Row],[Code]],Locaties[[#All],[Code]:[Adres]],4,FALSE)</f>
        <v>Spitsbergen 15</v>
      </c>
      <c r="D324" s="435" t="str">
        <f>VLOOKUP(Ruimtestaat[[#This Row],[Code]],Locaties[[#All],[Code]:[Postcode]],5,FALSE)</f>
        <v>2721 GP</v>
      </c>
      <c r="E324" s="435" t="str">
        <f>VLOOKUP(Ruimtestaat[[#This Row],[Code]],Locaties[#All],6,FALSE)</f>
        <v>Zoetermeer</v>
      </c>
      <c r="F324" s="450"/>
      <c r="G324" s="330" t="s">
        <v>1678</v>
      </c>
      <c r="H324" s="330" t="s">
        <v>1680</v>
      </c>
      <c r="I324" s="450" t="s">
        <v>1690</v>
      </c>
      <c r="J324" s="330">
        <v>16</v>
      </c>
      <c r="K324" s="450" t="str">
        <f>VLOOKUP(Ruimtestaat[[#This Row],[Ruimte code]],Ruimtegroepen[[#All],[Code]:[Ruimte omschrijving]],2,FALSE)</f>
        <v>Leslokalen</v>
      </c>
      <c r="L324" s="434" t="s">
        <v>100</v>
      </c>
      <c r="M324" s="437" t="s">
        <v>1759</v>
      </c>
      <c r="N324" s="439">
        <v>43</v>
      </c>
      <c r="O324" s="439"/>
      <c r="P324" s="439"/>
      <c r="Q324" s="439"/>
      <c r="R324" s="440" t="str">
        <f>VLOOKUP(Ruimtestaat[[#This Row],[Ruimte code]],Ruimtegroepen[],4,FALSE)</f>
        <v>Le</v>
      </c>
      <c r="S324" s="434">
        <v>40</v>
      </c>
      <c r="T324" s="434" t="s">
        <v>2</v>
      </c>
      <c r="U324" s="434">
        <f>IF(S324&gt;0,IF(RIGHT(Ruimtestaat[[#This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4" s="434">
        <f>IF(U324&gt;0,VLOOKUP($J324,Ruimtegroepen[],3,FALSE)*VLOOKUP($L324,Vloersoorten[],3,FALSE)*VLOOKUP($T324,Frequenties[],3,FALSE)*VLOOKUP($A324,Locaties[],3,FALSE),0)</f>
        <v>0</v>
      </c>
      <c r="W324" s="434">
        <f>Ruimtestaat[[#This Row],[Uitvoeringen werkdagen]]*Ruimtestaat[[#This Row],[Oppervlak (netto)]]</f>
        <v>8600</v>
      </c>
      <c r="X324" s="441">
        <f>IF(V324&gt;0,Ruimtestaat[[#This Row],[Prest. (m2 /jaar) werkdagen]]/Ruimtestaat[[#This Row],[Norm (m2/uur) werkdagen]],0)</f>
        <v>0</v>
      </c>
      <c r="Y324" s="442">
        <f>Ruimtestaat[[#This Row],[Uitvoeringen werkdagen]]*Ruimtestaat[[#This Row],[Gedeeltelijk]]</f>
        <v>0</v>
      </c>
      <c r="Z324" s="443" t="e">
        <f>IF(U324&gt;0,Ruimtestaat[[#This Row],[Prest. (m2 / jaar) werkdagen gedeeld]]/Ruimtestaat[[#This Row],[Norm (m2/uur) werkdagen]],0)</f>
        <v>#DIV/0!</v>
      </c>
      <c r="AA324" s="441" t="e">
        <f>Ruimtestaat[[#This Row],[uren / jaar werkdagen gedeeld]]*Tariefsopbouw!$E$35</f>
        <v>#DIV/0!</v>
      </c>
      <c r="AB324" s="441">
        <f>Ruimtestaat[[#This Row],[Uitvoeringen werkdagen]]*Ruimtestaat[[#This Row],[BSO]]</f>
        <v>0</v>
      </c>
      <c r="AC324" s="443" t="e">
        <f>IF(U324&gt;0,Ruimtestaat[[#This Row],[Prest. (m2 / jaar) werkdagen BSO]]/Ruimtestaat[[#This Row],[Norm (m2/uur) werkdagen]],0)</f>
        <v>#DIV/0!</v>
      </c>
      <c r="AD324" s="443" t="e">
        <f>Ruimtestaat[[#This Row],[uren / jaar werkdagen BSO]]*Tariefsopbouw!$E$35</f>
        <v>#DIV/0!</v>
      </c>
      <c r="AE324" s="444">
        <f>Ruimtestaat[[#This Row],[uren / jaar werkdagen]]*Tariefsopbouw!$E$35</f>
        <v>0</v>
      </c>
      <c r="AF324" s="434"/>
      <c r="AG324" s="434">
        <f>IF(Ruimtestaat[[#This Row],[Frequentie weekend]]&gt;0,VALUE(LEFT(AF324,1))*S324,0)</f>
        <v>0</v>
      </c>
      <c r="AH324" s="445">
        <f>IF($AG324&gt;0,VLOOKUP($J324,Ruimtegroepen[],3,FALSE)*VLOOKUP($L324,Vloersoorten[],3,FALSE)*VLOOKUP($AF324,Frequenties[],3,FALSE)*VLOOKUP(Ruimtestaat[[#This Row],[Code]],Locaties[],3,FALSE),0)</f>
        <v>0</v>
      </c>
      <c r="AI324" s="445">
        <f>Ruimtestaat[[#This Row],[Uitvoeringen weekend]]*Ruimtestaat[[#This Row],[Oppervlak (netto)]]</f>
        <v>0</v>
      </c>
      <c r="AJ324" s="445">
        <f>IF(AH324&gt;0,Ruimtestaat[[#This Row],[Prest. (m2 /jaar) weekend]]/Ruimtestaat[[#This Row],[Norm (m2/uur) weekend]],0)</f>
        <v>0</v>
      </c>
      <c r="AK324" s="444">
        <f>Ruimtestaat[[#This Row],[uren / jaar weekend]]*Tariefsopbouw!$D$40</f>
        <v>0</v>
      </c>
      <c r="AL324" s="441">
        <f>Ruimtestaat[[#This Row],[Prest. (m2 /jaar) weekend]]+Ruimtestaat[[#This Row],[Prest. (m2 /jaar) werkdagen]]</f>
        <v>8600</v>
      </c>
      <c r="AM324" s="441">
        <f>Ruimtestaat[[#This Row],[uren / jaar weekend]]+Ruimtestaat[[#This Row],[uren / jaar werkdagen]]</f>
        <v>0</v>
      </c>
      <c r="AN324" s="446">
        <f>Ruimtestaat[[#This Row],[kosten / jaar weekend]]+Ruimtestaat[[#This Row],[kosten / jaar werkdagen]]</f>
        <v>0</v>
      </c>
      <c r="AO324" s="446"/>
      <c r="AP324" s="447" t="str">
        <f>IF(Ruimtestaat[[#This Row],[Frequentie werkdagen]]="","",_xlfn.CONCAT(Ruimtestaat[[#This Row],[Ruimte code]],"-",Ruimtestaat[[#This Row],[Frequentie werkdagen]]," ",Ruimtestaat[[#This Row],[Vloer code]]))</f>
        <v>16-5w L</v>
      </c>
      <c r="AQ324" s="448" t="str">
        <f>_xlfn.IFNA(VLOOKUP($AP324,Programma!$F$3:$G$1101,2,0),"")</f>
        <v>_</v>
      </c>
      <c r="AR324" s="448" t="str">
        <f>_xlfn.IFNA(VLOOKUP($AP324,Programma!$F$3:$H$1101,3,0),"")</f>
        <v>_</v>
      </c>
      <c r="AS324" s="448" t="str">
        <f>_xlfn.IFNA(VLOOKUP($AP324,Programma!$F$3:$I$1101,4,0),"")</f>
        <v>4w</v>
      </c>
      <c r="AT324" s="448" t="str">
        <f>_xlfn.IFNA(VLOOKUP($AP324,Programma!$F$3:$J$1101,5,0),"")</f>
        <v>1w</v>
      </c>
      <c r="AU324" s="448" t="str">
        <f>_xlfn.IFNA(VLOOKUP($AP324,Programma!$F$3:$K$1101,6,0),"")</f>
        <v>_</v>
      </c>
      <c r="AV324" s="448" t="str">
        <f>_xlfn.IFNA(VLOOKUP($AP324,Programma!$F$3:$L$1101,7,0),"")</f>
        <v>_</v>
      </c>
      <c r="AW324" s="448" t="str">
        <f>_xlfn.IFNA(VLOOKUP($AP324,Programma!$F$3:$M$1101,8,0),"")</f>
        <v>_</v>
      </c>
      <c r="AX324" s="448" t="str">
        <f>_xlfn.IFNA(VLOOKUP($AP324,Programma!$F$3:$N$1101,9,0),"")</f>
        <v>_</v>
      </c>
      <c r="AY324" s="448" t="str">
        <f>_xlfn.IFNA(VLOOKUP($AP324,Programma!$F$3:$O$1101,10,0),"")</f>
        <v>5w</v>
      </c>
      <c r="AZ324" s="448" t="str">
        <f>_xlfn.IFNA(VLOOKUP($AP324,Programma!$F$3:$P$1101,11,0),"")</f>
        <v>5w</v>
      </c>
      <c r="BA324" s="448" t="str">
        <f>_xlfn.IFNA(VLOOKUP($AP324,Programma!$F$3:$Q$1101,12,0),"")</f>
        <v>1w</v>
      </c>
      <c r="BB324" s="448" t="str">
        <f>_xlfn.IFNA(VLOOKUP($AP324,Programma!$F$3:$R$1101,13,0),"")</f>
        <v>1w</v>
      </c>
      <c r="BC324" s="448" t="str">
        <f>_xlfn.IFNA(VLOOKUP($AP324,Programma!$F$3:$S$1101,14,0),"")</f>
        <v>1m</v>
      </c>
      <c r="BD324" s="448" t="str">
        <f>_xlfn.IFNA(VLOOKUP($AP324,Programma!$F$3:$T$1101,15,0),"")</f>
        <v>2j</v>
      </c>
      <c r="BE324" s="448" t="str">
        <f>_xlfn.IFNA(VLOOKUP($AP324,Programma!$F$3:$U$1101,16,0),"")</f>
        <v>1j</v>
      </c>
      <c r="BF324" s="448" t="str">
        <f>_xlfn.IFNA(VLOOKUP($AP324,Programma!$F$3:$V$1101,17,0),"")</f>
        <v>_</v>
      </c>
      <c r="BG324" s="448" t="str">
        <f>_xlfn.IFNA(VLOOKUP($AP324,Programma!$F$3:$W$1101,18,0),"")</f>
        <v>_</v>
      </c>
      <c r="BH324" s="448" t="str">
        <f>_xlfn.IFNA(VLOOKUP($AP324,Programma!$F$3:$X$1101,19,0),"")</f>
        <v>_</v>
      </c>
      <c r="BI324" s="448" t="str">
        <f>_xlfn.IFNA(VLOOKUP($AP324,Programma!$F$3:$Y$1101,20,0),"")</f>
        <v>_</v>
      </c>
      <c r="BJ324" s="449"/>
      <c r="BK324" s="447" t="str">
        <f>IF(Ruimtestaat[[#This Row],[Frequentie weekend]]="","",_xlfn.CONCAT(Ruimtestaat[[#This Row],[Ruimte code]],"-",Ruimtestaat[[#This Row],[Frequentie weekend]]," ",Ruimtestaat[[#This Row],[Vloer code]]))</f>
        <v/>
      </c>
      <c r="BL324" s="448" t="str">
        <f>_xlfn.IFNA(VLOOKUP($BK324,Programma!$F$3:$G$1101,2,0),"")</f>
        <v/>
      </c>
      <c r="BM324" s="448" t="str">
        <f>_xlfn.IFNA(VLOOKUP($BK324,Programma!$F$3:$H$1101,3,0),"")</f>
        <v/>
      </c>
      <c r="BN324" s="448" t="str">
        <f>_xlfn.IFNA(VLOOKUP($BK324,Programma!$F$3:$I$1101,4,0),"")</f>
        <v/>
      </c>
      <c r="BO324" s="448" t="str">
        <f>_xlfn.IFNA(VLOOKUP($BK324,Programma!$F$3:$J$1101,5,0),"")</f>
        <v/>
      </c>
      <c r="BP324" s="448" t="str">
        <f>_xlfn.IFNA(VLOOKUP($BK324,Programma!$F$3:$K$1101,6,0),"")</f>
        <v/>
      </c>
      <c r="BQ324" s="448" t="str">
        <f>_xlfn.IFNA(VLOOKUP($BK324,Programma!$F$3:$L$1101,7,0),"")</f>
        <v/>
      </c>
      <c r="BR324" s="448" t="str">
        <f>_xlfn.IFNA(VLOOKUP($BK324,Programma!$F$3:$M$1101,8,0),"")</f>
        <v/>
      </c>
      <c r="BS324" s="448" t="str">
        <f>_xlfn.IFNA(VLOOKUP($BK324,Programma!$F$3:$N$1101,9,0),"")</f>
        <v/>
      </c>
      <c r="BT324" s="448" t="str">
        <f>_xlfn.IFNA(VLOOKUP($BK324,Programma!$F$3:$O$1101,10,0),"")</f>
        <v/>
      </c>
      <c r="BU324" s="448" t="str">
        <f>_xlfn.IFNA(VLOOKUP($BK324,Programma!$F$3:$P$1101,11,0),"")</f>
        <v/>
      </c>
      <c r="BV324" s="448" t="str">
        <f>_xlfn.IFNA(VLOOKUP($BK324,Programma!$F$3:$Q$1101,12,0),"")</f>
        <v/>
      </c>
      <c r="BW324" s="448" t="str">
        <f>_xlfn.IFNA(VLOOKUP($BK324,Programma!$F$3:$R$1101,13,0),"")</f>
        <v/>
      </c>
      <c r="BX324" s="448" t="str">
        <f>_xlfn.IFNA(VLOOKUP($BK324,Programma!$F$3:$S$1101,14,0),"")</f>
        <v/>
      </c>
      <c r="BY324" s="448" t="str">
        <f>_xlfn.IFNA(VLOOKUP($BK324,Programma!$F$3:$T$1101,15,0),"")</f>
        <v/>
      </c>
      <c r="BZ324" s="448" t="str">
        <f>_xlfn.IFNA(VLOOKUP($BK324,Programma!$F$3:$U$1101,16,0),"")</f>
        <v/>
      </c>
      <c r="CA324" s="448" t="str">
        <f>_xlfn.IFNA(VLOOKUP($BK324,Programma!$F$3:$V$1101,17,0),"")</f>
        <v/>
      </c>
      <c r="CB324" s="448" t="str">
        <f>_xlfn.IFNA(VLOOKUP($BK324,Programma!$F$3:$W$1101,18,0),"")</f>
        <v/>
      </c>
      <c r="CC324" s="448" t="str">
        <f>_xlfn.IFNA(VLOOKUP($BK324,Programma!$F$3:$X$1101,19,0),"")</f>
        <v/>
      </c>
      <c r="CD324" s="448" t="str">
        <f>_xlfn.IFNA(VLOOKUP($BK324,Programma!$F$3:$Y$1101,20,0),"")</f>
        <v/>
      </c>
      <c r="CE324" s="327"/>
      <c r="CF324" s="327"/>
      <c r="CG324" s="327"/>
      <c r="CH324" s="327"/>
      <c r="CI324" s="327"/>
      <c r="CJ324" s="327"/>
      <c r="CK324" s="327"/>
      <c r="CL324" s="327"/>
      <c r="CM324" s="327"/>
      <c r="CN324" s="327"/>
      <c r="CO324" s="327"/>
      <c r="CP324" s="327"/>
      <c r="CQ324" s="327"/>
      <c r="CR324" s="327"/>
      <c r="CS324" s="327"/>
      <c r="CT324" s="327"/>
      <c r="CU324" s="327"/>
      <c r="CV324" s="327"/>
      <c r="CW324" s="327"/>
      <c r="CX324" s="327"/>
      <c r="CY324" s="327"/>
      <c r="CZ324" s="327"/>
      <c r="DA324" s="327"/>
      <c r="DB324" s="327"/>
      <c r="DC324" s="327"/>
      <c r="DD324" s="327"/>
      <c r="DE324" s="327"/>
      <c r="DF324" s="327"/>
      <c r="DG324" s="327"/>
      <c r="DH324" s="327"/>
      <c r="DI324" s="327"/>
      <c r="DJ324" s="327"/>
      <c r="DK324" s="327"/>
      <c r="DL324" s="327"/>
      <c r="DM324" s="327"/>
      <c r="DN324" s="327"/>
      <c r="DO324" s="327"/>
      <c r="DP324" s="327"/>
      <c r="DQ324" s="327"/>
      <c r="DR324" s="327"/>
      <c r="DS324" s="327"/>
      <c r="DT324" s="327"/>
      <c r="DU324" s="327"/>
      <c r="DV324" s="327"/>
      <c r="DW324" s="327"/>
      <c r="DX324" s="327"/>
      <c r="DY324" s="327"/>
      <c r="DZ324" s="327"/>
      <c r="EA324" s="327"/>
      <c r="EB324" s="327"/>
      <c r="EC324" s="327"/>
      <c r="ED324" s="327"/>
      <c r="EE324" s="327"/>
      <c r="EF324" s="327"/>
      <c r="EG324" s="327"/>
      <c r="EH324" s="327"/>
      <c r="EI324" s="327"/>
      <c r="EJ324" s="327"/>
      <c r="EK324" s="327"/>
      <c r="EL324" s="327"/>
      <c r="EM324" s="327"/>
      <c r="EN324" s="327"/>
      <c r="EO324" s="327"/>
      <c r="EP324" s="327"/>
      <c r="EQ324" s="327"/>
      <c r="ER324" s="327"/>
      <c r="ES324" s="327"/>
      <c r="ET324" s="327"/>
      <c r="EU324" s="327"/>
      <c r="EV324" s="327"/>
      <c r="EW324" s="327"/>
      <c r="EX324" s="327"/>
      <c r="EY324" s="327"/>
      <c r="EZ324" s="327"/>
      <c r="FA324" s="327"/>
      <c r="FB324" s="327"/>
      <c r="FC324" s="327"/>
      <c r="FD324" s="327"/>
      <c r="FE324" s="327"/>
      <c r="FF324" s="327"/>
      <c r="FG324" s="327"/>
      <c r="FH324" s="327"/>
      <c r="FI324" s="327"/>
      <c r="FJ324" s="327"/>
      <c r="FK324" s="327"/>
      <c r="FL324" s="327"/>
      <c r="FM324" s="327"/>
      <c r="FN324" s="327"/>
      <c r="FO324" s="327"/>
      <c r="FP324" s="327"/>
      <c r="FQ324" s="327"/>
      <c r="FR324" s="327"/>
      <c r="FS324" s="327"/>
      <c r="FT324" s="327"/>
      <c r="FU324" s="327"/>
      <c r="FV324" s="327"/>
      <c r="FW324" s="327"/>
      <c r="FX324" s="327"/>
      <c r="FY324" s="327"/>
      <c r="FZ324" s="327"/>
      <c r="GA324" s="327"/>
      <c r="GB324" s="327"/>
      <c r="GC324" s="327"/>
      <c r="GD324" s="327"/>
      <c r="GE324" s="327"/>
      <c r="GF324" s="327"/>
      <c r="GG324" s="327"/>
      <c r="GH324" s="327"/>
      <c r="GI324" s="327"/>
      <c r="GJ324" s="327"/>
      <c r="GK324" s="327"/>
      <c r="GL324" s="327"/>
      <c r="GM324" s="327"/>
      <c r="GN324" s="327"/>
      <c r="GO324" s="327"/>
      <c r="GP324" s="327"/>
      <c r="GQ324" s="327"/>
      <c r="GR324" s="327"/>
      <c r="GS324" s="327"/>
      <c r="GT324" s="327"/>
      <c r="GU324" s="327"/>
      <c r="GV324" s="327"/>
      <c r="GW324" s="327"/>
      <c r="GX324" s="327"/>
      <c r="GY324" s="327"/>
      <c r="GZ324" s="327"/>
      <c r="HA324" s="327"/>
      <c r="HB324" s="327"/>
      <c r="HC324" s="327"/>
      <c r="HD324" s="327"/>
      <c r="HE324" s="327"/>
      <c r="HF324" s="327"/>
      <c r="HG324" s="327"/>
      <c r="HH324" s="327"/>
      <c r="HI324" s="327"/>
      <c r="HJ324" s="327"/>
      <c r="HK324" s="327"/>
      <c r="HL324" s="327"/>
      <c r="HM324" s="327"/>
      <c r="HN324" s="327"/>
      <c r="HO324" s="327"/>
      <c r="HP324" s="327"/>
      <c r="HQ324" s="327"/>
      <c r="HR324" s="327"/>
      <c r="HS324" s="327"/>
    </row>
    <row r="325" spans="1:227" ht="15" customHeight="1">
      <c r="A325" s="330">
        <v>14</v>
      </c>
      <c r="B325" s="435" t="str">
        <f>VLOOKUP(Ruimtestaat[[#This Row],[Code]],Locaties[[Code]:[Locatie]],2,FALSE)</f>
        <v>IKC De Vuurtoren</v>
      </c>
      <c r="C325" s="435" t="str">
        <f>VLOOKUP(Ruimtestaat[[#This Row],[Code]],Locaties[[#All],[Code]:[Adres]],4,FALSE)</f>
        <v>Spitsbergen 15</v>
      </c>
      <c r="D325" s="435" t="str">
        <f>VLOOKUP(Ruimtestaat[[#This Row],[Code]],Locaties[[#All],[Code]:[Postcode]],5,FALSE)</f>
        <v>2721 GP</v>
      </c>
      <c r="E325" s="435" t="str">
        <f>VLOOKUP(Ruimtestaat[[#This Row],[Code]],Locaties[#All],6,FALSE)</f>
        <v>Zoetermeer</v>
      </c>
      <c r="F325" s="450"/>
      <c r="G325" s="330" t="s">
        <v>1678</v>
      </c>
      <c r="H325" s="330" t="s">
        <v>1681</v>
      </c>
      <c r="I325" s="450" t="s">
        <v>1833</v>
      </c>
      <c r="J325" s="330">
        <v>6</v>
      </c>
      <c r="K325" s="450" t="str">
        <f>VLOOKUP(Ruimtestaat[[#This Row],[Ruimte code]],Ruimtegroepen[[#All],[Code]:[Ruimte omschrijving]],2,FALSE)</f>
        <v>Gangen/hallen</v>
      </c>
      <c r="L325" s="434" t="s">
        <v>100</v>
      </c>
      <c r="M325" s="437" t="s">
        <v>1759</v>
      </c>
      <c r="N325" s="439">
        <v>7</v>
      </c>
      <c r="O325" s="439"/>
      <c r="P325" s="439"/>
      <c r="Q325" s="439"/>
      <c r="R325" s="440" t="str">
        <f>VLOOKUP(Ruimtestaat[[#This Row],[Ruimte code]],Ruimtegroepen[],4,FALSE)</f>
        <v>Ve</v>
      </c>
      <c r="S325" s="434">
        <v>41</v>
      </c>
      <c r="T325" s="434" t="s">
        <v>2</v>
      </c>
      <c r="U325" s="434">
        <f>IF(S325&gt;0,IF(RIGHT(Ruimtestaat[[#This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25" s="434">
        <f>IF(U325&gt;0,VLOOKUP($J325,Ruimtegroepen[],3,FALSE)*VLOOKUP($L325,Vloersoorten[],3,FALSE)*VLOOKUP($T325,Frequenties[],3,FALSE)*VLOOKUP($A325,Locaties[],3,FALSE),0)</f>
        <v>0</v>
      </c>
      <c r="W325" s="434">
        <f>Ruimtestaat[[#This Row],[Uitvoeringen werkdagen]]*Ruimtestaat[[#This Row],[Oppervlak (netto)]]</f>
        <v>1435</v>
      </c>
      <c r="X325" s="441">
        <f>IF(V325&gt;0,Ruimtestaat[[#This Row],[Prest. (m2 /jaar) werkdagen]]/Ruimtestaat[[#This Row],[Norm (m2/uur) werkdagen]],0)</f>
        <v>0</v>
      </c>
      <c r="Y325" s="442">
        <f>Ruimtestaat[[#This Row],[Uitvoeringen werkdagen]]*Ruimtestaat[[#This Row],[Gedeeltelijk]]</f>
        <v>0</v>
      </c>
      <c r="Z325" s="443" t="e">
        <f>IF(U325&gt;0,Ruimtestaat[[#This Row],[Prest. (m2 / jaar) werkdagen gedeeld]]/Ruimtestaat[[#This Row],[Norm (m2/uur) werkdagen]],0)</f>
        <v>#DIV/0!</v>
      </c>
      <c r="AA325" s="441" t="e">
        <f>Ruimtestaat[[#This Row],[uren / jaar werkdagen gedeeld]]*Tariefsopbouw!$E$35</f>
        <v>#DIV/0!</v>
      </c>
      <c r="AB325" s="441">
        <f>Ruimtestaat[[#This Row],[Uitvoeringen werkdagen]]*Ruimtestaat[[#This Row],[BSO]]</f>
        <v>0</v>
      </c>
      <c r="AC325" s="443" t="e">
        <f>IF(U325&gt;0,Ruimtestaat[[#This Row],[Prest. (m2 / jaar) werkdagen BSO]]/Ruimtestaat[[#This Row],[Norm (m2/uur) werkdagen]],0)</f>
        <v>#DIV/0!</v>
      </c>
      <c r="AD325" s="443" t="e">
        <f>Ruimtestaat[[#This Row],[uren / jaar werkdagen BSO]]*Tariefsopbouw!$E$35</f>
        <v>#DIV/0!</v>
      </c>
      <c r="AE325" s="444">
        <f>Ruimtestaat[[#This Row],[uren / jaar werkdagen]]*Tariefsopbouw!$E$35</f>
        <v>0</v>
      </c>
      <c r="AF325" s="434"/>
      <c r="AG325" s="434">
        <f>IF(Ruimtestaat[[#This Row],[Frequentie weekend]]&gt;0,VALUE(LEFT(AF325,1))*S325,0)</f>
        <v>0</v>
      </c>
      <c r="AH325" s="445">
        <f>IF($AG325&gt;0,VLOOKUP($J325,Ruimtegroepen[],3,FALSE)*VLOOKUP($L325,Vloersoorten[],3,FALSE)*VLOOKUP($AF325,Frequenties[],3,FALSE)*VLOOKUP(Ruimtestaat[[#This Row],[Code]],Locaties[],3,FALSE),0)</f>
        <v>0</v>
      </c>
      <c r="AI325" s="445">
        <f>Ruimtestaat[[#This Row],[Uitvoeringen weekend]]*Ruimtestaat[[#This Row],[Oppervlak (netto)]]</f>
        <v>0</v>
      </c>
      <c r="AJ325" s="445">
        <f>IF(AH325&gt;0,Ruimtestaat[[#This Row],[Prest. (m2 /jaar) weekend]]/Ruimtestaat[[#This Row],[Norm (m2/uur) weekend]],0)</f>
        <v>0</v>
      </c>
      <c r="AK325" s="444">
        <f>Ruimtestaat[[#This Row],[uren / jaar weekend]]*Tariefsopbouw!$D$40</f>
        <v>0</v>
      </c>
      <c r="AL325" s="441">
        <f>Ruimtestaat[[#This Row],[Prest. (m2 /jaar) weekend]]+Ruimtestaat[[#This Row],[Prest. (m2 /jaar) werkdagen]]</f>
        <v>1435</v>
      </c>
      <c r="AM325" s="441">
        <f>Ruimtestaat[[#This Row],[uren / jaar weekend]]+Ruimtestaat[[#This Row],[uren / jaar werkdagen]]</f>
        <v>0</v>
      </c>
      <c r="AN325" s="446">
        <f>Ruimtestaat[[#This Row],[kosten / jaar weekend]]+Ruimtestaat[[#This Row],[kosten / jaar werkdagen]]</f>
        <v>0</v>
      </c>
      <c r="AO325" s="446"/>
      <c r="AP325" s="447" t="str">
        <f>IF(Ruimtestaat[[#This Row],[Frequentie werkdagen]]="","",_xlfn.CONCAT(Ruimtestaat[[#This Row],[Ruimte code]],"-",Ruimtestaat[[#This Row],[Frequentie werkdagen]]," ",Ruimtestaat[[#This Row],[Vloer code]]))</f>
        <v>6-5w L</v>
      </c>
      <c r="AQ325" s="448" t="str">
        <f>_xlfn.IFNA(VLOOKUP($AP325,Programma!$F$3:$G$1101,2,0),"")</f>
        <v>_</v>
      </c>
      <c r="AR325" s="448" t="str">
        <f>_xlfn.IFNA(VLOOKUP($AP325,Programma!$F$3:$H$1101,3,0),"")</f>
        <v>_</v>
      </c>
      <c r="AS325" s="448" t="str">
        <f>_xlfn.IFNA(VLOOKUP($AP325,Programma!$F$3:$I$1101,4,0),"")</f>
        <v>_</v>
      </c>
      <c r="AT325" s="448" t="str">
        <f>_xlfn.IFNA(VLOOKUP($AP325,Programma!$F$3:$J$1101,5,0),"")</f>
        <v>5w</v>
      </c>
      <c r="AU325" s="448" t="str">
        <f>_xlfn.IFNA(VLOOKUP($AP325,Programma!$F$3:$K$1101,6,0),"")</f>
        <v>_</v>
      </c>
      <c r="AV325" s="448" t="str">
        <f>_xlfn.IFNA(VLOOKUP($AP325,Programma!$F$3:$L$1101,7,0),"")</f>
        <v>_</v>
      </c>
      <c r="AW325" s="448" t="str">
        <f>_xlfn.IFNA(VLOOKUP($AP325,Programma!$F$3:$M$1101,8,0),"")</f>
        <v>_</v>
      </c>
      <c r="AX325" s="448" t="str">
        <f>_xlfn.IFNA(VLOOKUP($AP325,Programma!$F$3:$N$1101,9,0),"")</f>
        <v>_</v>
      </c>
      <c r="AY325" s="448" t="str">
        <f>_xlfn.IFNA(VLOOKUP($AP325,Programma!$F$3:$O$1101,10,0),"")</f>
        <v>5w</v>
      </c>
      <c r="AZ325" s="448" t="str">
        <f>_xlfn.IFNA(VLOOKUP($AP325,Programma!$F$3:$P$1101,11,0),"")</f>
        <v>5w</v>
      </c>
      <c r="BA325" s="448" t="str">
        <f>_xlfn.IFNA(VLOOKUP($AP325,Programma!$F$3:$Q$1101,12,0),"")</f>
        <v>1w</v>
      </c>
      <c r="BB325" s="448" t="str">
        <f>_xlfn.IFNA(VLOOKUP($AP325,Programma!$F$3:$R$1101,13,0),"")</f>
        <v>1w</v>
      </c>
      <c r="BC325" s="448" t="str">
        <f>_xlfn.IFNA(VLOOKUP($AP325,Programma!$F$3:$S$1101,14,0),"")</f>
        <v>1m</v>
      </c>
      <c r="BD325" s="448" t="str">
        <f>_xlfn.IFNA(VLOOKUP($AP325,Programma!$F$3:$T$1101,15,0),"")</f>
        <v>2j</v>
      </c>
      <c r="BE325" s="448" t="str">
        <f>_xlfn.IFNA(VLOOKUP($AP325,Programma!$F$3:$U$1101,16,0),"")</f>
        <v>1j</v>
      </c>
      <c r="BF325" s="448" t="str">
        <f>_xlfn.IFNA(VLOOKUP($AP325,Programma!$F$3:$V$1101,17,0),"")</f>
        <v>_</v>
      </c>
      <c r="BG325" s="448" t="str">
        <f>_xlfn.IFNA(VLOOKUP($AP325,Programma!$F$3:$W$1101,18,0),"")</f>
        <v>_</v>
      </c>
      <c r="BH325" s="448" t="str">
        <f>_xlfn.IFNA(VLOOKUP($AP325,Programma!$F$3:$X$1101,19,0),"")</f>
        <v>_</v>
      </c>
      <c r="BI325" s="448" t="str">
        <f>_xlfn.IFNA(VLOOKUP($AP325,Programma!$F$3:$Y$1101,20,0),"")</f>
        <v>_</v>
      </c>
      <c r="BJ325" s="449"/>
      <c r="BK325" s="447" t="str">
        <f>IF(Ruimtestaat[[#This Row],[Frequentie weekend]]="","",_xlfn.CONCAT(Ruimtestaat[[#This Row],[Ruimte code]],"-",Ruimtestaat[[#This Row],[Frequentie weekend]]," ",Ruimtestaat[[#This Row],[Vloer code]]))</f>
        <v/>
      </c>
      <c r="BL325" s="448" t="str">
        <f>_xlfn.IFNA(VLOOKUP($BK325,Programma!$F$3:$G$1101,2,0),"")</f>
        <v/>
      </c>
      <c r="BM325" s="448" t="str">
        <f>_xlfn.IFNA(VLOOKUP($BK325,Programma!$F$3:$H$1101,3,0),"")</f>
        <v/>
      </c>
      <c r="BN325" s="448" t="str">
        <f>_xlfn.IFNA(VLOOKUP($BK325,Programma!$F$3:$I$1101,4,0),"")</f>
        <v/>
      </c>
      <c r="BO325" s="448" t="str">
        <f>_xlfn.IFNA(VLOOKUP($BK325,Programma!$F$3:$J$1101,5,0),"")</f>
        <v/>
      </c>
      <c r="BP325" s="448" t="str">
        <f>_xlfn.IFNA(VLOOKUP($BK325,Programma!$F$3:$K$1101,6,0),"")</f>
        <v/>
      </c>
      <c r="BQ325" s="448" t="str">
        <f>_xlfn.IFNA(VLOOKUP($BK325,Programma!$F$3:$L$1101,7,0),"")</f>
        <v/>
      </c>
      <c r="BR325" s="448" t="str">
        <f>_xlfn.IFNA(VLOOKUP($BK325,Programma!$F$3:$M$1101,8,0),"")</f>
        <v/>
      </c>
      <c r="BS325" s="448" t="str">
        <f>_xlfn.IFNA(VLOOKUP($BK325,Programma!$F$3:$N$1101,9,0),"")</f>
        <v/>
      </c>
      <c r="BT325" s="448" t="str">
        <f>_xlfn.IFNA(VLOOKUP($BK325,Programma!$F$3:$O$1101,10,0),"")</f>
        <v/>
      </c>
      <c r="BU325" s="448" t="str">
        <f>_xlfn.IFNA(VLOOKUP($BK325,Programma!$F$3:$P$1101,11,0),"")</f>
        <v/>
      </c>
      <c r="BV325" s="448" t="str">
        <f>_xlfn.IFNA(VLOOKUP($BK325,Programma!$F$3:$Q$1101,12,0),"")</f>
        <v/>
      </c>
      <c r="BW325" s="448" t="str">
        <f>_xlfn.IFNA(VLOOKUP($BK325,Programma!$F$3:$R$1101,13,0),"")</f>
        <v/>
      </c>
      <c r="BX325" s="448" t="str">
        <f>_xlfn.IFNA(VLOOKUP($BK325,Programma!$F$3:$S$1101,14,0),"")</f>
        <v/>
      </c>
      <c r="BY325" s="448" t="str">
        <f>_xlfn.IFNA(VLOOKUP($BK325,Programma!$F$3:$T$1101,15,0),"")</f>
        <v/>
      </c>
      <c r="BZ325" s="448" t="str">
        <f>_xlfn.IFNA(VLOOKUP($BK325,Programma!$F$3:$U$1101,16,0),"")</f>
        <v/>
      </c>
      <c r="CA325" s="448" t="str">
        <f>_xlfn.IFNA(VLOOKUP($BK325,Programma!$F$3:$V$1101,17,0),"")</f>
        <v/>
      </c>
      <c r="CB325" s="448" t="str">
        <f>_xlfn.IFNA(VLOOKUP($BK325,Programma!$F$3:$W$1101,18,0),"")</f>
        <v/>
      </c>
      <c r="CC325" s="448" t="str">
        <f>_xlfn.IFNA(VLOOKUP($BK325,Programma!$F$3:$X$1101,19,0),"")</f>
        <v/>
      </c>
      <c r="CD325" s="448" t="str">
        <f>_xlfn.IFNA(VLOOKUP($BK325,Programma!$F$3:$Y$1101,20,0),"")</f>
        <v/>
      </c>
      <c r="CE325" s="327"/>
      <c r="CF325" s="327"/>
      <c r="CG325" s="327"/>
      <c r="CH325" s="327"/>
      <c r="CI325" s="327"/>
      <c r="CJ325" s="327"/>
      <c r="CK325" s="327"/>
      <c r="CL325" s="327"/>
      <c r="CM325" s="327"/>
      <c r="CN325" s="327"/>
      <c r="CO325" s="327"/>
      <c r="CP325" s="327"/>
      <c r="CQ325" s="327"/>
      <c r="CR325" s="327"/>
      <c r="CS325" s="327"/>
      <c r="CT325" s="327"/>
      <c r="CU325" s="327"/>
      <c r="CV325" s="327"/>
      <c r="CW325" s="327"/>
      <c r="CX325" s="327"/>
      <c r="CY325" s="327"/>
      <c r="CZ325" s="327"/>
      <c r="DA325" s="327"/>
      <c r="DB325" s="327"/>
      <c r="DC325" s="327"/>
      <c r="DD325" s="327"/>
      <c r="DE325" s="327"/>
      <c r="DF325" s="327"/>
      <c r="DG325" s="327"/>
      <c r="DH325" s="327"/>
      <c r="DI325" s="327"/>
      <c r="DJ325" s="327"/>
      <c r="DK325" s="327"/>
      <c r="DL325" s="327"/>
      <c r="DM325" s="327"/>
      <c r="DN325" s="327"/>
      <c r="DO325" s="327"/>
      <c r="DP325" s="327"/>
      <c r="DQ325" s="327"/>
      <c r="DR325" s="327"/>
      <c r="DS325" s="327"/>
      <c r="DT325" s="327"/>
      <c r="DU325" s="327"/>
      <c r="DV325" s="327"/>
      <c r="DW325" s="327"/>
      <c r="DX325" s="327"/>
      <c r="DY325" s="327"/>
      <c r="DZ325" s="327"/>
      <c r="EA325" s="327"/>
      <c r="EB325" s="327"/>
      <c r="EC325" s="327"/>
      <c r="ED325" s="327"/>
      <c r="EE325" s="327"/>
      <c r="EF325" s="327"/>
      <c r="EG325" s="327"/>
      <c r="EH325" s="327"/>
      <c r="EI325" s="327"/>
      <c r="EJ325" s="327"/>
      <c r="EK325" s="327"/>
      <c r="EL325" s="327"/>
      <c r="EM325" s="327"/>
      <c r="EN325" s="327"/>
      <c r="EO325" s="327"/>
      <c r="EP325" s="327"/>
      <c r="EQ325" s="327"/>
      <c r="ER325" s="327"/>
      <c r="ES325" s="327"/>
      <c r="ET325" s="327"/>
      <c r="EU325" s="327"/>
      <c r="EV325" s="327"/>
      <c r="EW325" s="327"/>
      <c r="EX325" s="327"/>
      <c r="EY325" s="327"/>
      <c r="EZ325" s="327"/>
      <c r="FA325" s="327"/>
      <c r="FB325" s="327"/>
      <c r="FC325" s="327"/>
      <c r="FD325" s="327"/>
      <c r="FE325" s="327"/>
      <c r="FF325" s="327"/>
      <c r="FG325" s="327"/>
      <c r="FH325" s="327"/>
      <c r="FI325" s="327"/>
      <c r="FJ325" s="327"/>
      <c r="FK325" s="327"/>
      <c r="FL325" s="327"/>
      <c r="FM325" s="327"/>
      <c r="FN325" s="327"/>
      <c r="FO325" s="327"/>
      <c r="FP325" s="327"/>
      <c r="FQ325" s="327"/>
      <c r="FR325" s="327"/>
      <c r="FS325" s="327"/>
      <c r="FT325" s="327"/>
      <c r="FU325" s="327"/>
      <c r="FV325" s="327"/>
      <c r="FW325" s="327"/>
      <c r="FX325" s="327"/>
      <c r="FY325" s="327"/>
      <c r="FZ325" s="327"/>
      <c r="GA325" s="327"/>
      <c r="GB325" s="327"/>
      <c r="GC325" s="327"/>
      <c r="GD325" s="327"/>
      <c r="GE325" s="327"/>
      <c r="GF325" s="327"/>
      <c r="GG325" s="327"/>
      <c r="GH325" s="327"/>
      <c r="GI325" s="327"/>
      <c r="GJ325" s="327"/>
      <c r="GK325" s="327"/>
      <c r="GL325" s="327"/>
      <c r="GM325" s="327"/>
      <c r="GN325" s="327"/>
      <c r="GO325" s="327"/>
      <c r="GP325" s="327"/>
      <c r="GQ325" s="327"/>
      <c r="GR325" s="327"/>
      <c r="GS325" s="327"/>
      <c r="GT325" s="327"/>
      <c r="GU325" s="327"/>
      <c r="GV325" s="327"/>
      <c r="GW325" s="327"/>
      <c r="GX325" s="327"/>
      <c r="GY325" s="327"/>
      <c r="GZ325" s="327"/>
      <c r="HA325" s="327"/>
      <c r="HB325" s="327"/>
      <c r="HC325" s="327"/>
      <c r="HD325" s="327"/>
      <c r="HE325" s="327"/>
      <c r="HF325" s="327"/>
      <c r="HG325" s="327"/>
      <c r="HH325" s="327"/>
      <c r="HI325" s="327"/>
      <c r="HJ325" s="327"/>
      <c r="HK325" s="327"/>
      <c r="HL325" s="327"/>
      <c r="HM325" s="327"/>
      <c r="HN325" s="327"/>
      <c r="HO325" s="327"/>
      <c r="HP325" s="327"/>
      <c r="HQ325" s="327"/>
      <c r="HR325" s="327"/>
      <c r="HS325" s="327"/>
    </row>
    <row r="326" spans="1:227" ht="15" customHeight="1">
      <c r="A326" s="330">
        <v>14</v>
      </c>
      <c r="B326" s="435" t="str">
        <f>VLOOKUP(Ruimtestaat[[#This Row],[Code]],Locaties[[Code]:[Locatie]],2,FALSE)</f>
        <v>IKC De Vuurtoren</v>
      </c>
      <c r="C326" s="435" t="str">
        <f>VLOOKUP(Ruimtestaat[[#This Row],[Code]],Locaties[[#All],[Code]:[Adres]],4,FALSE)</f>
        <v>Spitsbergen 15</v>
      </c>
      <c r="D326" s="435" t="str">
        <f>VLOOKUP(Ruimtestaat[[#This Row],[Code]],Locaties[[#All],[Code]:[Postcode]],5,FALSE)</f>
        <v>2721 GP</v>
      </c>
      <c r="E326" s="435" t="str">
        <f>VLOOKUP(Ruimtestaat[[#This Row],[Code]],Locaties[#All],6,FALSE)</f>
        <v>Zoetermeer</v>
      </c>
      <c r="F326" s="450"/>
      <c r="G326" s="330" t="s">
        <v>1678</v>
      </c>
      <c r="H326" s="330" t="s">
        <v>1682</v>
      </c>
      <c r="I326" s="450" t="s">
        <v>1666</v>
      </c>
      <c r="J326" s="330">
        <v>2</v>
      </c>
      <c r="K326" s="450" t="str">
        <f>VLOOKUP(Ruimtestaat[[#This Row],[Ruimte code]],Ruimtegroepen[[#All],[Code]:[Ruimte omschrijving]],2,FALSE)</f>
        <v>Kantoren</v>
      </c>
      <c r="L326" s="434" t="s">
        <v>99</v>
      </c>
      <c r="M326" s="437" t="s">
        <v>36</v>
      </c>
      <c r="N326" s="439">
        <v>13</v>
      </c>
      <c r="O326" s="439"/>
      <c r="P326" s="439"/>
      <c r="Q326" s="439"/>
      <c r="R326" s="440" t="str">
        <f>VLOOKUP(Ruimtestaat[[#This Row],[Ruimte code]],Ruimtegroepen[],4,FALSE)</f>
        <v>Bu</v>
      </c>
      <c r="S326" s="434">
        <v>41</v>
      </c>
      <c r="T326" s="434" t="s">
        <v>17</v>
      </c>
      <c r="U326" s="434">
        <f>IF(S326&gt;0,IF(RIGHT(Ruimtestaat[[#This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26" s="434">
        <f>IF(U326&gt;0,VLOOKUP($J326,Ruimtegroepen[],3,FALSE)*VLOOKUP($L326,Vloersoorten[],3,FALSE)*VLOOKUP($T326,Frequenties[],3,FALSE)*VLOOKUP($A326,Locaties[],3,FALSE),0)</f>
        <v>0</v>
      </c>
      <c r="W326" s="434">
        <f>Ruimtestaat[[#This Row],[Uitvoeringen werkdagen]]*Ruimtestaat[[#This Row],[Oppervlak (netto)]]</f>
        <v>1066</v>
      </c>
      <c r="X326" s="441">
        <f>IF(V326&gt;0,Ruimtestaat[[#This Row],[Prest. (m2 /jaar) werkdagen]]/Ruimtestaat[[#This Row],[Norm (m2/uur) werkdagen]],0)</f>
        <v>0</v>
      </c>
      <c r="Y326" s="442">
        <f>Ruimtestaat[[#This Row],[Uitvoeringen werkdagen]]*Ruimtestaat[[#This Row],[Gedeeltelijk]]</f>
        <v>0</v>
      </c>
      <c r="Z326" s="443" t="e">
        <f>IF(U326&gt;0,Ruimtestaat[[#This Row],[Prest. (m2 / jaar) werkdagen gedeeld]]/Ruimtestaat[[#This Row],[Norm (m2/uur) werkdagen]],0)</f>
        <v>#DIV/0!</v>
      </c>
      <c r="AA326" s="441" t="e">
        <f>Ruimtestaat[[#This Row],[uren / jaar werkdagen gedeeld]]*Tariefsopbouw!$E$35</f>
        <v>#DIV/0!</v>
      </c>
      <c r="AB326" s="441">
        <f>Ruimtestaat[[#This Row],[Uitvoeringen werkdagen]]*Ruimtestaat[[#This Row],[BSO]]</f>
        <v>0</v>
      </c>
      <c r="AC326" s="443" t="e">
        <f>IF(U326&gt;0,Ruimtestaat[[#This Row],[Prest. (m2 / jaar) werkdagen BSO]]/Ruimtestaat[[#This Row],[Norm (m2/uur) werkdagen]],0)</f>
        <v>#DIV/0!</v>
      </c>
      <c r="AD326" s="443" t="e">
        <f>Ruimtestaat[[#This Row],[uren / jaar werkdagen BSO]]*Tariefsopbouw!$E$35</f>
        <v>#DIV/0!</v>
      </c>
      <c r="AE326" s="444">
        <f>Ruimtestaat[[#This Row],[uren / jaar werkdagen]]*Tariefsopbouw!$E$35</f>
        <v>0</v>
      </c>
      <c r="AF326" s="434"/>
      <c r="AG326" s="434">
        <f>IF(Ruimtestaat[[#This Row],[Frequentie weekend]]&gt;0,VALUE(LEFT(AF326,1))*S326,0)</f>
        <v>0</v>
      </c>
      <c r="AH326" s="445">
        <f>IF($AG326&gt;0,VLOOKUP($J326,Ruimtegroepen[],3,FALSE)*VLOOKUP($L326,Vloersoorten[],3,FALSE)*VLOOKUP($AF326,Frequenties[],3,FALSE)*VLOOKUP(Ruimtestaat[[#This Row],[Code]],Locaties[],3,FALSE),0)</f>
        <v>0</v>
      </c>
      <c r="AI326" s="445">
        <f>Ruimtestaat[[#This Row],[Uitvoeringen weekend]]*Ruimtestaat[[#This Row],[Oppervlak (netto)]]</f>
        <v>0</v>
      </c>
      <c r="AJ326" s="445">
        <f>IF(AH326&gt;0,Ruimtestaat[[#This Row],[Prest. (m2 /jaar) weekend]]/Ruimtestaat[[#This Row],[Norm (m2/uur) weekend]],0)</f>
        <v>0</v>
      </c>
      <c r="AK326" s="444">
        <f>Ruimtestaat[[#This Row],[uren / jaar weekend]]*Tariefsopbouw!$D$40</f>
        <v>0</v>
      </c>
      <c r="AL326" s="441">
        <f>Ruimtestaat[[#This Row],[Prest. (m2 /jaar) weekend]]+Ruimtestaat[[#This Row],[Prest. (m2 /jaar) werkdagen]]</f>
        <v>1066</v>
      </c>
      <c r="AM326" s="441">
        <f>Ruimtestaat[[#This Row],[uren / jaar weekend]]+Ruimtestaat[[#This Row],[uren / jaar werkdagen]]</f>
        <v>0</v>
      </c>
      <c r="AN326" s="446">
        <f>Ruimtestaat[[#This Row],[kosten / jaar weekend]]+Ruimtestaat[[#This Row],[kosten / jaar werkdagen]]</f>
        <v>0</v>
      </c>
      <c r="AO326" s="446"/>
      <c r="AP326" s="447" t="str">
        <f>IF(Ruimtestaat[[#This Row],[Frequentie werkdagen]]="","",_xlfn.CONCAT(Ruimtestaat[[#This Row],[Ruimte code]],"-",Ruimtestaat[[#This Row],[Frequentie werkdagen]]," ",Ruimtestaat[[#This Row],[Vloer code]]))</f>
        <v>2-2w T</v>
      </c>
      <c r="AQ326" s="448" t="str">
        <f>_xlfn.IFNA(VLOOKUP($AP326,Programma!$F$3:$G$1101,2,0),"")</f>
        <v>1w</v>
      </c>
      <c r="AR326" s="448" t="str">
        <f>_xlfn.IFNA(VLOOKUP($AP326,Programma!$F$3:$H$1101,3,0),"")</f>
        <v>1w</v>
      </c>
      <c r="AS326" s="448" t="str">
        <f>_xlfn.IFNA(VLOOKUP($AP326,Programma!$F$3:$I$1101,4,0),"")</f>
        <v>_</v>
      </c>
      <c r="AT326" s="448" t="str">
        <f>_xlfn.IFNA(VLOOKUP($AP326,Programma!$F$3:$J$1101,5,0),"")</f>
        <v>_</v>
      </c>
      <c r="AU326" s="448" t="str">
        <f>_xlfn.IFNA(VLOOKUP($AP326,Programma!$F$3:$K$1101,6,0),"")</f>
        <v>_</v>
      </c>
      <c r="AV326" s="448" t="str">
        <f>_xlfn.IFNA(VLOOKUP($AP326,Programma!$F$3:$L$1101,7,0),"")</f>
        <v>_</v>
      </c>
      <c r="AW326" s="448" t="str">
        <f>_xlfn.IFNA(VLOOKUP($AP326,Programma!$F$3:$M$1101,8,0),"")</f>
        <v>_</v>
      </c>
      <c r="AX326" s="448" t="str">
        <f>_xlfn.IFNA(VLOOKUP($AP326,Programma!$F$3:$N$1101,9,0),"")</f>
        <v>_</v>
      </c>
      <c r="AY326" s="448" t="str">
        <f>_xlfn.IFNA(VLOOKUP($AP326,Programma!$F$3:$O$1101,10,0),"")</f>
        <v>2w</v>
      </c>
      <c r="AZ326" s="448" t="str">
        <f>_xlfn.IFNA(VLOOKUP($AP326,Programma!$F$3:$P$1101,11,0),"")</f>
        <v>2w</v>
      </c>
      <c r="BA326" s="448" t="str">
        <f>_xlfn.IFNA(VLOOKUP($AP326,Programma!$F$3:$Q$1101,12,0),"")</f>
        <v>1w</v>
      </c>
      <c r="BB326" s="448" t="str">
        <f>_xlfn.IFNA(VLOOKUP($AP326,Programma!$F$3:$R$1101,13,0),"")</f>
        <v>1w</v>
      </c>
      <c r="BC326" s="448" t="str">
        <f>_xlfn.IFNA(VLOOKUP($AP326,Programma!$F$3:$S$1101,14,0),"")</f>
        <v>1m</v>
      </c>
      <c r="BD326" s="448" t="str">
        <f>_xlfn.IFNA(VLOOKUP($AP326,Programma!$F$3:$T$1101,15,0),"")</f>
        <v>2j</v>
      </c>
      <c r="BE326" s="448" t="str">
        <f>_xlfn.IFNA(VLOOKUP($AP326,Programma!$F$3:$U$1101,16,0),"")</f>
        <v>1j</v>
      </c>
      <c r="BF326" s="448" t="str">
        <f>_xlfn.IFNA(VLOOKUP($AP326,Programma!$F$3:$V$1101,17,0),"")</f>
        <v>_</v>
      </c>
      <c r="BG326" s="448" t="str">
        <f>_xlfn.IFNA(VLOOKUP($AP326,Programma!$F$3:$W$1101,18,0),"")</f>
        <v>_</v>
      </c>
      <c r="BH326" s="448" t="str">
        <f>_xlfn.IFNA(VLOOKUP($AP326,Programma!$F$3:$X$1101,19,0),"")</f>
        <v>_</v>
      </c>
      <c r="BI326" s="448" t="str">
        <f>_xlfn.IFNA(VLOOKUP($AP326,Programma!$F$3:$Y$1101,20,0),"")</f>
        <v>_</v>
      </c>
      <c r="BJ326" s="449"/>
      <c r="BK326" s="447" t="str">
        <f>IF(Ruimtestaat[[#This Row],[Frequentie weekend]]="","",_xlfn.CONCAT(Ruimtestaat[[#This Row],[Ruimte code]],"-",Ruimtestaat[[#This Row],[Frequentie weekend]]," ",Ruimtestaat[[#This Row],[Vloer code]]))</f>
        <v/>
      </c>
      <c r="BL326" s="448" t="str">
        <f>_xlfn.IFNA(VLOOKUP($BK326,Programma!$F$3:$G$1101,2,0),"")</f>
        <v/>
      </c>
      <c r="BM326" s="448" t="str">
        <f>_xlfn.IFNA(VLOOKUP($BK326,Programma!$F$3:$H$1101,3,0),"")</f>
        <v/>
      </c>
      <c r="BN326" s="448" t="str">
        <f>_xlfn.IFNA(VLOOKUP($BK326,Programma!$F$3:$I$1101,4,0),"")</f>
        <v/>
      </c>
      <c r="BO326" s="448" t="str">
        <f>_xlfn.IFNA(VLOOKUP($BK326,Programma!$F$3:$J$1101,5,0),"")</f>
        <v/>
      </c>
      <c r="BP326" s="448" t="str">
        <f>_xlfn.IFNA(VLOOKUP($BK326,Programma!$F$3:$K$1101,6,0),"")</f>
        <v/>
      </c>
      <c r="BQ326" s="448" t="str">
        <f>_xlfn.IFNA(VLOOKUP($BK326,Programma!$F$3:$L$1101,7,0),"")</f>
        <v/>
      </c>
      <c r="BR326" s="448" t="str">
        <f>_xlfn.IFNA(VLOOKUP($BK326,Programma!$F$3:$M$1101,8,0),"")</f>
        <v/>
      </c>
      <c r="BS326" s="448" t="str">
        <f>_xlfn.IFNA(VLOOKUP($BK326,Programma!$F$3:$N$1101,9,0),"")</f>
        <v/>
      </c>
      <c r="BT326" s="448" t="str">
        <f>_xlfn.IFNA(VLOOKUP($BK326,Programma!$F$3:$O$1101,10,0),"")</f>
        <v/>
      </c>
      <c r="BU326" s="448" t="str">
        <f>_xlfn.IFNA(VLOOKUP($BK326,Programma!$F$3:$P$1101,11,0),"")</f>
        <v/>
      </c>
      <c r="BV326" s="448" t="str">
        <f>_xlfn.IFNA(VLOOKUP($BK326,Programma!$F$3:$Q$1101,12,0),"")</f>
        <v/>
      </c>
      <c r="BW326" s="448" t="str">
        <f>_xlfn.IFNA(VLOOKUP($BK326,Programma!$F$3:$R$1101,13,0),"")</f>
        <v/>
      </c>
      <c r="BX326" s="448" t="str">
        <f>_xlfn.IFNA(VLOOKUP($BK326,Programma!$F$3:$S$1101,14,0),"")</f>
        <v/>
      </c>
      <c r="BY326" s="448" t="str">
        <f>_xlfn.IFNA(VLOOKUP($BK326,Programma!$F$3:$T$1101,15,0),"")</f>
        <v/>
      </c>
      <c r="BZ326" s="448" t="str">
        <f>_xlfn.IFNA(VLOOKUP($BK326,Programma!$F$3:$U$1101,16,0),"")</f>
        <v/>
      </c>
      <c r="CA326" s="448" t="str">
        <f>_xlfn.IFNA(VLOOKUP($BK326,Programma!$F$3:$V$1101,17,0),"")</f>
        <v/>
      </c>
      <c r="CB326" s="448" t="str">
        <f>_xlfn.IFNA(VLOOKUP($BK326,Programma!$F$3:$W$1101,18,0),"")</f>
        <v/>
      </c>
      <c r="CC326" s="448" t="str">
        <f>_xlfn.IFNA(VLOOKUP($BK326,Programma!$F$3:$X$1101,19,0),"")</f>
        <v/>
      </c>
      <c r="CD326" s="448" t="str">
        <f>_xlfn.IFNA(VLOOKUP($BK326,Programma!$F$3:$Y$1101,20,0),"")</f>
        <v/>
      </c>
      <c r="CE326" s="327"/>
      <c r="CF326" s="327"/>
      <c r="CG326" s="327"/>
      <c r="CH326" s="327"/>
      <c r="CI326" s="327"/>
      <c r="CJ326" s="327"/>
      <c r="CK326" s="327"/>
      <c r="CL326" s="327"/>
      <c r="CM326" s="327"/>
      <c r="CN326" s="327"/>
      <c r="CO326" s="327"/>
      <c r="CP326" s="327"/>
      <c r="CQ326" s="327"/>
      <c r="CR326" s="327"/>
      <c r="CS326" s="327"/>
      <c r="CT326" s="327"/>
      <c r="CU326" s="327"/>
      <c r="CV326" s="327"/>
      <c r="CW326" s="327"/>
      <c r="CX326" s="327"/>
      <c r="CY326" s="327"/>
      <c r="CZ326" s="327"/>
      <c r="DA326" s="327"/>
      <c r="DB326" s="327"/>
      <c r="DC326" s="327"/>
      <c r="DD326" s="327"/>
      <c r="DE326" s="327"/>
      <c r="DF326" s="327"/>
      <c r="DG326" s="327"/>
      <c r="DH326" s="327"/>
      <c r="DI326" s="327"/>
      <c r="DJ326" s="327"/>
      <c r="DK326" s="327"/>
      <c r="DL326" s="327"/>
      <c r="DM326" s="327"/>
      <c r="DN326" s="327"/>
      <c r="DO326" s="327"/>
      <c r="DP326" s="327"/>
      <c r="DQ326" s="327"/>
      <c r="DR326" s="327"/>
      <c r="DS326" s="327"/>
      <c r="DT326" s="327"/>
      <c r="DU326" s="327"/>
      <c r="DV326" s="327"/>
      <c r="DW326" s="327"/>
      <c r="DX326" s="327"/>
      <c r="DY326" s="327"/>
      <c r="DZ326" s="327"/>
      <c r="EA326" s="327"/>
      <c r="EB326" s="327"/>
      <c r="EC326" s="327"/>
      <c r="ED326" s="327"/>
      <c r="EE326" s="327"/>
      <c r="EF326" s="327"/>
      <c r="EG326" s="327"/>
      <c r="EH326" s="327"/>
      <c r="EI326" s="327"/>
      <c r="EJ326" s="327"/>
      <c r="EK326" s="327"/>
      <c r="EL326" s="327"/>
      <c r="EM326" s="327"/>
      <c r="EN326" s="327"/>
      <c r="EO326" s="327"/>
      <c r="EP326" s="327"/>
      <c r="EQ326" s="327"/>
      <c r="ER326" s="327"/>
      <c r="ES326" s="327"/>
      <c r="ET326" s="327"/>
      <c r="EU326" s="327"/>
      <c r="EV326" s="327"/>
      <c r="EW326" s="327"/>
      <c r="EX326" s="327"/>
      <c r="EY326" s="327"/>
      <c r="EZ326" s="327"/>
      <c r="FA326" s="327"/>
      <c r="FB326" s="327"/>
      <c r="FC326" s="327"/>
      <c r="FD326" s="327"/>
      <c r="FE326" s="327"/>
      <c r="FF326" s="327"/>
      <c r="FG326" s="327"/>
      <c r="FH326" s="327"/>
      <c r="FI326" s="327"/>
      <c r="FJ326" s="327"/>
      <c r="FK326" s="327"/>
      <c r="FL326" s="327"/>
      <c r="FM326" s="327"/>
      <c r="FN326" s="327"/>
      <c r="FO326" s="327"/>
      <c r="FP326" s="327"/>
      <c r="FQ326" s="327"/>
      <c r="FR326" s="327"/>
      <c r="FS326" s="327"/>
      <c r="FT326" s="327"/>
      <c r="FU326" s="327"/>
      <c r="FV326" s="327"/>
      <c r="FW326" s="327"/>
      <c r="FX326" s="327"/>
      <c r="FY326" s="327"/>
      <c r="FZ326" s="327"/>
      <c r="GA326" s="327"/>
      <c r="GB326" s="327"/>
      <c r="GC326" s="327"/>
      <c r="GD326" s="327"/>
      <c r="GE326" s="327"/>
      <c r="GF326" s="327"/>
      <c r="GG326" s="327"/>
      <c r="GH326" s="327"/>
      <c r="GI326" s="327"/>
      <c r="GJ326" s="327"/>
      <c r="GK326" s="327"/>
      <c r="GL326" s="327"/>
      <c r="GM326" s="327"/>
      <c r="GN326" s="327"/>
      <c r="GO326" s="327"/>
      <c r="GP326" s="327"/>
      <c r="GQ326" s="327"/>
      <c r="GR326" s="327"/>
      <c r="GS326" s="327"/>
      <c r="GT326" s="327"/>
      <c r="GU326" s="327"/>
      <c r="GV326" s="327"/>
      <c r="GW326" s="327"/>
      <c r="GX326" s="327"/>
      <c r="GY326" s="327"/>
      <c r="GZ326" s="327"/>
      <c r="HA326" s="327"/>
      <c r="HB326" s="327"/>
      <c r="HC326" s="327"/>
      <c r="HD326" s="327"/>
      <c r="HE326" s="327"/>
      <c r="HF326" s="327"/>
      <c r="HG326" s="327"/>
      <c r="HH326" s="327"/>
      <c r="HI326" s="327"/>
      <c r="HJ326" s="327"/>
      <c r="HK326" s="327"/>
      <c r="HL326" s="327"/>
      <c r="HM326" s="327"/>
      <c r="HN326" s="327"/>
      <c r="HO326" s="327"/>
      <c r="HP326" s="327"/>
      <c r="HQ326" s="327"/>
      <c r="HR326" s="327"/>
      <c r="HS326" s="327"/>
    </row>
    <row r="327" spans="1:227" ht="15" customHeight="1">
      <c r="A327" s="330">
        <v>14</v>
      </c>
      <c r="B327" s="435" t="str">
        <f>VLOOKUP(Ruimtestaat[[#This Row],[Code]],Locaties[[Code]:[Locatie]],2,FALSE)</f>
        <v>IKC De Vuurtoren</v>
      </c>
      <c r="C327" s="435" t="str">
        <f>VLOOKUP(Ruimtestaat[[#This Row],[Code]],Locaties[[#All],[Code]:[Adres]],4,FALSE)</f>
        <v>Spitsbergen 15</v>
      </c>
      <c r="D327" s="435" t="str">
        <f>VLOOKUP(Ruimtestaat[[#This Row],[Code]],Locaties[[#All],[Code]:[Postcode]],5,FALSE)</f>
        <v>2721 GP</v>
      </c>
      <c r="E327" s="435" t="str">
        <f>VLOOKUP(Ruimtestaat[[#This Row],[Code]],Locaties[#All],6,FALSE)</f>
        <v>Zoetermeer</v>
      </c>
      <c r="F327" s="450"/>
      <c r="G327" s="330" t="s">
        <v>1678</v>
      </c>
      <c r="H327" s="330" t="s">
        <v>1683</v>
      </c>
      <c r="I327" s="450" t="s">
        <v>1666</v>
      </c>
      <c r="J327" s="330">
        <v>2</v>
      </c>
      <c r="K327" s="450" t="str">
        <f>VLOOKUP(Ruimtestaat[[#This Row],[Ruimte code]],Ruimtegroepen[[#All],[Code]:[Ruimte omschrijving]],2,FALSE)</f>
        <v>Kantoren</v>
      </c>
      <c r="L327" s="434" t="s">
        <v>99</v>
      </c>
      <c r="M327" s="437" t="s">
        <v>36</v>
      </c>
      <c r="N327" s="439">
        <v>13</v>
      </c>
      <c r="O327" s="439"/>
      <c r="P327" s="439"/>
      <c r="Q327" s="439"/>
      <c r="R327" s="440" t="str">
        <f>VLOOKUP(Ruimtestaat[[#This Row],[Ruimte code]],Ruimtegroepen[],4,FALSE)</f>
        <v>Bu</v>
      </c>
      <c r="S327" s="434">
        <v>41</v>
      </c>
      <c r="T327" s="434" t="s">
        <v>17</v>
      </c>
      <c r="U327" s="434">
        <f>IF(S327&gt;0,IF(RIGHT(Ruimtestaat[[#This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27" s="434">
        <f>IF(U327&gt;0,VLOOKUP($J327,Ruimtegroepen[],3,FALSE)*VLOOKUP($L327,Vloersoorten[],3,FALSE)*VLOOKUP($T327,Frequenties[],3,FALSE)*VLOOKUP($A327,Locaties[],3,FALSE),0)</f>
        <v>0</v>
      </c>
      <c r="W327" s="434">
        <f>Ruimtestaat[[#This Row],[Uitvoeringen werkdagen]]*Ruimtestaat[[#This Row],[Oppervlak (netto)]]</f>
        <v>1066</v>
      </c>
      <c r="X327" s="441">
        <f>IF(V327&gt;0,Ruimtestaat[[#This Row],[Prest. (m2 /jaar) werkdagen]]/Ruimtestaat[[#This Row],[Norm (m2/uur) werkdagen]],0)</f>
        <v>0</v>
      </c>
      <c r="Y327" s="442">
        <f>Ruimtestaat[[#This Row],[Uitvoeringen werkdagen]]*Ruimtestaat[[#This Row],[Gedeeltelijk]]</f>
        <v>0</v>
      </c>
      <c r="Z327" s="443" t="e">
        <f>IF(U327&gt;0,Ruimtestaat[[#This Row],[Prest. (m2 / jaar) werkdagen gedeeld]]/Ruimtestaat[[#This Row],[Norm (m2/uur) werkdagen]],0)</f>
        <v>#DIV/0!</v>
      </c>
      <c r="AA327" s="441" t="e">
        <f>Ruimtestaat[[#This Row],[uren / jaar werkdagen gedeeld]]*Tariefsopbouw!$E$35</f>
        <v>#DIV/0!</v>
      </c>
      <c r="AB327" s="441">
        <f>Ruimtestaat[[#This Row],[Uitvoeringen werkdagen]]*Ruimtestaat[[#This Row],[BSO]]</f>
        <v>0</v>
      </c>
      <c r="AC327" s="443" t="e">
        <f>IF(U327&gt;0,Ruimtestaat[[#This Row],[Prest. (m2 / jaar) werkdagen BSO]]/Ruimtestaat[[#This Row],[Norm (m2/uur) werkdagen]],0)</f>
        <v>#DIV/0!</v>
      </c>
      <c r="AD327" s="443" t="e">
        <f>Ruimtestaat[[#This Row],[uren / jaar werkdagen BSO]]*Tariefsopbouw!$E$35</f>
        <v>#DIV/0!</v>
      </c>
      <c r="AE327" s="444">
        <f>Ruimtestaat[[#This Row],[uren / jaar werkdagen]]*Tariefsopbouw!$E$35</f>
        <v>0</v>
      </c>
      <c r="AF327" s="434"/>
      <c r="AG327" s="434">
        <f>IF(Ruimtestaat[[#This Row],[Frequentie weekend]]&gt;0,VALUE(LEFT(AF327,1))*S327,0)</f>
        <v>0</v>
      </c>
      <c r="AH327" s="445">
        <f>IF($AG327&gt;0,VLOOKUP($J327,Ruimtegroepen[],3,FALSE)*VLOOKUP($L327,Vloersoorten[],3,FALSE)*VLOOKUP($AF327,Frequenties[],3,FALSE)*VLOOKUP(Ruimtestaat[[#This Row],[Code]],Locaties[],3,FALSE),0)</f>
        <v>0</v>
      </c>
      <c r="AI327" s="445">
        <f>Ruimtestaat[[#This Row],[Uitvoeringen weekend]]*Ruimtestaat[[#This Row],[Oppervlak (netto)]]</f>
        <v>0</v>
      </c>
      <c r="AJ327" s="445">
        <f>IF(AH327&gt;0,Ruimtestaat[[#This Row],[Prest. (m2 /jaar) weekend]]/Ruimtestaat[[#This Row],[Norm (m2/uur) weekend]],0)</f>
        <v>0</v>
      </c>
      <c r="AK327" s="444">
        <f>Ruimtestaat[[#This Row],[uren / jaar weekend]]*Tariefsopbouw!$D$40</f>
        <v>0</v>
      </c>
      <c r="AL327" s="441">
        <f>Ruimtestaat[[#This Row],[Prest. (m2 /jaar) weekend]]+Ruimtestaat[[#This Row],[Prest. (m2 /jaar) werkdagen]]</f>
        <v>1066</v>
      </c>
      <c r="AM327" s="441">
        <f>Ruimtestaat[[#This Row],[uren / jaar weekend]]+Ruimtestaat[[#This Row],[uren / jaar werkdagen]]</f>
        <v>0</v>
      </c>
      <c r="AN327" s="446">
        <f>Ruimtestaat[[#This Row],[kosten / jaar weekend]]+Ruimtestaat[[#This Row],[kosten / jaar werkdagen]]</f>
        <v>0</v>
      </c>
      <c r="AO327" s="446"/>
      <c r="AP327" s="447" t="str">
        <f>IF(Ruimtestaat[[#This Row],[Frequentie werkdagen]]="","",_xlfn.CONCAT(Ruimtestaat[[#This Row],[Ruimte code]],"-",Ruimtestaat[[#This Row],[Frequentie werkdagen]]," ",Ruimtestaat[[#This Row],[Vloer code]]))</f>
        <v>2-2w T</v>
      </c>
      <c r="AQ327" s="448" t="str">
        <f>_xlfn.IFNA(VLOOKUP($AP327,Programma!$F$3:$G$1101,2,0),"")</f>
        <v>1w</v>
      </c>
      <c r="AR327" s="448" t="str">
        <f>_xlfn.IFNA(VLOOKUP($AP327,Programma!$F$3:$H$1101,3,0),"")</f>
        <v>1w</v>
      </c>
      <c r="AS327" s="448" t="str">
        <f>_xlfn.IFNA(VLOOKUP($AP327,Programma!$F$3:$I$1101,4,0),"")</f>
        <v>_</v>
      </c>
      <c r="AT327" s="448" t="str">
        <f>_xlfn.IFNA(VLOOKUP($AP327,Programma!$F$3:$J$1101,5,0),"")</f>
        <v>_</v>
      </c>
      <c r="AU327" s="448" t="str">
        <f>_xlfn.IFNA(VLOOKUP($AP327,Programma!$F$3:$K$1101,6,0),"")</f>
        <v>_</v>
      </c>
      <c r="AV327" s="448" t="str">
        <f>_xlfn.IFNA(VLOOKUP($AP327,Programma!$F$3:$L$1101,7,0),"")</f>
        <v>_</v>
      </c>
      <c r="AW327" s="448" t="str">
        <f>_xlfn.IFNA(VLOOKUP($AP327,Programma!$F$3:$M$1101,8,0),"")</f>
        <v>_</v>
      </c>
      <c r="AX327" s="448" t="str">
        <f>_xlfn.IFNA(VLOOKUP($AP327,Programma!$F$3:$N$1101,9,0),"")</f>
        <v>_</v>
      </c>
      <c r="AY327" s="448" t="str">
        <f>_xlfn.IFNA(VLOOKUP($AP327,Programma!$F$3:$O$1101,10,0),"")</f>
        <v>2w</v>
      </c>
      <c r="AZ327" s="448" t="str">
        <f>_xlfn.IFNA(VLOOKUP($AP327,Programma!$F$3:$P$1101,11,0),"")</f>
        <v>2w</v>
      </c>
      <c r="BA327" s="448" t="str">
        <f>_xlfn.IFNA(VLOOKUP($AP327,Programma!$F$3:$Q$1101,12,0),"")</f>
        <v>1w</v>
      </c>
      <c r="BB327" s="448" t="str">
        <f>_xlfn.IFNA(VLOOKUP($AP327,Programma!$F$3:$R$1101,13,0),"")</f>
        <v>1w</v>
      </c>
      <c r="BC327" s="448" t="str">
        <f>_xlfn.IFNA(VLOOKUP($AP327,Programma!$F$3:$S$1101,14,0),"")</f>
        <v>1m</v>
      </c>
      <c r="BD327" s="448" t="str">
        <f>_xlfn.IFNA(VLOOKUP($AP327,Programma!$F$3:$T$1101,15,0),"")</f>
        <v>2j</v>
      </c>
      <c r="BE327" s="448" t="str">
        <f>_xlfn.IFNA(VLOOKUP($AP327,Programma!$F$3:$U$1101,16,0),"")</f>
        <v>1j</v>
      </c>
      <c r="BF327" s="448" t="str">
        <f>_xlfn.IFNA(VLOOKUP($AP327,Programma!$F$3:$V$1101,17,0),"")</f>
        <v>_</v>
      </c>
      <c r="BG327" s="448" t="str">
        <f>_xlfn.IFNA(VLOOKUP($AP327,Programma!$F$3:$W$1101,18,0),"")</f>
        <v>_</v>
      </c>
      <c r="BH327" s="448" t="str">
        <f>_xlfn.IFNA(VLOOKUP($AP327,Programma!$F$3:$X$1101,19,0),"")</f>
        <v>_</v>
      </c>
      <c r="BI327" s="448" t="str">
        <f>_xlfn.IFNA(VLOOKUP($AP327,Programma!$F$3:$Y$1101,20,0),"")</f>
        <v>_</v>
      </c>
      <c r="BJ327" s="449"/>
      <c r="BK327" s="447" t="str">
        <f>IF(Ruimtestaat[[#This Row],[Frequentie weekend]]="","",_xlfn.CONCAT(Ruimtestaat[[#This Row],[Ruimte code]],"-",Ruimtestaat[[#This Row],[Frequentie weekend]]," ",Ruimtestaat[[#This Row],[Vloer code]]))</f>
        <v/>
      </c>
      <c r="BL327" s="448" t="str">
        <f>_xlfn.IFNA(VLOOKUP($BK327,Programma!$F$3:$G$1101,2,0),"")</f>
        <v/>
      </c>
      <c r="BM327" s="448" t="str">
        <f>_xlfn.IFNA(VLOOKUP($BK327,Programma!$F$3:$H$1101,3,0),"")</f>
        <v/>
      </c>
      <c r="BN327" s="448" t="str">
        <f>_xlfn.IFNA(VLOOKUP($BK327,Programma!$F$3:$I$1101,4,0),"")</f>
        <v/>
      </c>
      <c r="BO327" s="448" t="str">
        <f>_xlfn.IFNA(VLOOKUP($BK327,Programma!$F$3:$J$1101,5,0),"")</f>
        <v/>
      </c>
      <c r="BP327" s="448" t="str">
        <f>_xlfn.IFNA(VLOOKUP($BK327,Programma!$F$3:$K$1101,6,0),"")</f>
        <v/>
      </c>
      <c r="BQ327" s="448" t="str">
        <f>_xlfn.IFNA(VLOOKUP($BK327,Programma!$F$3:$L$1101,7,0),"")</f>
        <v/>
      </c>
      <c r="BR327" s="448" t="str">
        <f>_xlfn.IFNA(VLOOKUP($BK327,Programma!$F$3:$M$1101,8,0),"")</f>
        <v/>
      </c>
      <c r="BS327" s="448" t="str">
        <f>_xlfn.IFNA(VLOOKUP($BK327,Programma!$F$3:$N$1101,9,0),"")</f>
        <v/>
      </c>
      <c r="BT327" s="448" t="str">
        <f>_xlfn.IFNA(VLOOKUP($BK327,Programma!$F$3:$O$1101,10,0),"")</f>
        <v/>
      </c>
      <c r="BU327" s="448" t="str">
        <f>_xlfn.IFNA(VLOOKUP($BK327,Programma!$F$3:$P$1101,11,0),"")</f>
        <v/>
      </c>
      <c r="BV327" s="448" t="str">
        <f>_xlfn.IFNA(VLOOKUP($BK327,Programma!$F$3:$Q$1101,12,0),"")</f>
        <v/>
      </c>
      <c r="BW327" s="448" t="str">
        <f>_xlfn.IFNA(VLOOKUP($BK327,Programma!$F$3:$R$1101,13,0),"")</f>
        <v/>
      </c>
      <c r="BX327" s="448" t="str">
        <f>_xlfn.IFNA(VLOOKUP($BK327,Programma!$F$3:$S$1101,14,0),"")</f>
        <v/>
      </c>
      <c r="BY327" s="448" t="str">
        <f>_xlfn.IFNA(VLOOKUP($BK327,Programma!$F$3:$T$1101,15,0),"")</f>
        <v/>
      </c>
      <c r="BZ327" s="448" t="str">
        <f>_xlfn.IFNA(VLOOKUP($BK327,Programma!$F$3:$U$1101,16,0),"")</f>
        <v/>
      </c>
      <c r="CA327" s="448" t="str">
        <f>_xlfn.IFNA(VLOOKUP($BK327,Programma!$F$3:$V$1101,17,0),"")</f>
        <v/>
      </c>
      <c r="CB327" s="448" t="str">
        <f>_xlfn.IFNA(VLOOKUP($BK327,Programma!$F$3:$W$1101,18,0),"")</f>
        <v/>
      </c>
      <c r="CC327" s="448" t="str">
        <f>_xlfn.IFNA(VLOOKUP($BK327,Programma!$F$3:$X$1101,19,0),"")</f>
        <v/>
      </c>
      <c r="CD327" s="448" t="str">
        <f>_xlfn.IFNA(VLOOKUP($BK327,Programma!$F$3:$Y$1101,20,0),"")</f>
        <v/>
      </c>
      <c r="CE327" s="327"/>
      <c r="CF327" s="327"/>
      <c r="CG327" s="327"/>
      <c r="CH327" s="327"/>
      <c r="CI327" s="327"/>
      <c r="CJ327" s="327"/>
      <c r="CK327" s="327"/>
      <c r="CL327" s="327"/>
      <c r="CM327" s="327"/>
      <c r="CN327" s="327"/>
      <c r="CO327" s="327"/>
      <c r="CP327" s="327"/>
      <c r="CQ327" s="327"/>
      <c r="CR327" s="327"/>
      <c r="CS327" s="327"/>
      <c r="CT327" s="327"/>
      <c r="CU327" s="327"/>
      <c r="CV327" s="327"/>
      <c r="CW327" s="327"/>
      <c r="CX327" s="327"/>
      <c r="CY327" s="327"/>
      <c r="CZ327" s="327"/>
      <c r="DA327" s="327"/>
      <c r="DB327" s="327"/>
      <c r="DC327" s="327"/>
      <c r="DD327" s="327"/>
      <c r="DE327" s="327"/>
      <c r="DF327" s="327"/>
      <c r="DG327" s="327"/>
      <c r="DH327" s="327"/>
      <c r="DI327" s="327"/>
      <c r="DJ327" s="327"/>
      <c r="DK327" s="327"/>
      <c r="DL327" s="327"/>
      <c r="DM327" s="327"/>
      <c r="DN327" s="327"/>
      <c r="DO327" s="327"/>
      <c r="DP327" s="327"/>
      <c r="DQ327" s="327"/>
      <c r="DR327" s="327"/>
      <c r="DS327" s="327"/>
      <c r="DT327" s="327"/>
      <c r="DU327" s="327"/>
      <c r="DV327" s="327"/>
      <c r="DW327" s="327"/>
      <c r="DX327" s="327"/>
      <c r="DY327" s="327"/>
      <c r="DZ327" s="327"/>
      <c r="EA327" s="327"/>
      <c r="EB327" s="327"/>
      <c r="EC327" s="327"/>
      <c r="ED327" s="327"/>
      <c r="EE327" s="327"/>
      <c r="EF327" s="327"/>
      <c r="EG327" s="327"/>
      <c r="EH327" s="327"/>
      <c r="EI327" s="327"/>
      <c r="EJ327" s="327"/>
      <c r="EK327" s="327"/>
      <c r="EL327" s="327"/>
      <c r="EM327" s="327"/>
      <c r="EN327" s="327"/>
      <c r="EO327" s="327"/>
      <c r="EP327" s="327"/>
      <c r="EQ327" s="327"/>
      <c r="ER327" s="327"/>
      <c r="ES327" s="327"/>
      <c r="ET327" s="327"/>
      <c r="EU327" s="327"/>
      <c r="EV327" s="327"/>
      <c r="EW327" s="327"/>
      <c r="EX327" s="327"/>
      <c r="EY327" s="327"/>
      <c r="EZ327" s="327"/>
      <c r="FA327" s="327"/>
      <c r="FB327" s="327"/>
      <c r="FC327" s="327"/>
      <c r="FD327" s="327"/>
      <c r="FE327" s="327"/>
      <c r="FF327" s="327"/>
      <c r="FG327" s="327"/>
      <c r="FH327" s="327"/>
      <c r="FI327" s="327"/>
      <c r="FJ327" s="327"/>
      <c r="FK327" s="327"/>
      <c r="FL327" s="327"/>
      <c r="FM327" s="327"/>
      <c r="FN327" s="327"/>
      <c r="FO327" s="327"/>
      <c r="FP327" s="327"/>
      <c r="FQ327" s="327"/>
      <c r="FR327" s="327"/>
      <c r="FS327" s="327"/>
      <c r="FT327" s="327"/>
      <c r="FU327" s="327"/>
      <c r="FV327" s="327"/>
      <c r="FW327" s="327"/>
      <c r="FX327" s="327"/>
      <c r="FY327" s="327"/>
      <c r="FZ327" s="327"/>
      <c r="GA327" s="327"/>
      <c r="GB327" s="327"/>
      <c r="GC327" s="327"/>
      <c r="GD327" s="327"/>
      <c r="GE327" s="327"/>
      <c r="GF327" s="327"/>
      <c r="GG327" s="327"/>
      <c r="GH327" s="327"/>
      <c r="GI327" s="327"/>
      <c r="GJ327" s="327"/>
      <c r="GK327" s="327"/>
      <c r="GL327" s="327"/>
      <c r="GM327" s="327"/>
      <c r="GN327" s="327"/>
      <c r="GO327" s="327"/>
      <c r="GP327" s="327"/>
      <c r="GQ327" s="327"/>
      <c r="GR327" s="327"/>
      <c r="GS327" s="327"/>
      <c r="GT327" s="327"/>
      <c r="GU327" s="327"/>
      <c r="GV327" s="327"/>
      <c r="GW327" s="327"/>
      <c r="GX327" s="327"/>
      <c r="GY327" s="327"/>
      <c r="GZ327" s="327"/>
      <c r="HA327" s="327"/>
      <c r="HB327" s="327"/>
      <c r="HC327" s="327"/>
      <c r="HD327" s="327"/>
      <c r="HE327" s="327"/>
      <c r="HF327" s="327"/>
      <c r="HG327" s="327"/>
      <c r="HH327" s="327"/>
      <c r="HI327" s="327"/>
      <c r="HJ327" s="327"/>
      <c r="HK327" s="327"/>
      <c r="HL327" s="327"/>
      <c r="HM327" s="327"/>
      <c r="HN327" s="327"/>
      <c r="HO327" s="327"/>
      <c r="HP327" s="327"/>
      <c r="HQ327" s="327"/>
      <c r="HR327" s="327"/>
      <c r="HS327" s="327"/>
    </row>
    <row r="328" spans="1:227" ht="15" customHeight="1">
      <c r="A328" s="330">
        <v>14</v>
      </c>
      <c r="B328" s="435" t="str">
        <f>VLOOKUP(Ruimtestaat[[#This Row],[Code]],Locaties[[Code]:[Locatie]],2,FALSE)</f>
        <v>IKC De Vuurtoren</v>
      </c>
      <c r="C328" s="435" t="str">
        <f>VLOOKUP(Ruimtestaat[[#This Row],[Code]],Locaties[[#All],[Code]:[Adres]],4,FALSE)</f>
        <v>Spitsbergen 15</v>
      </c>
      <c r="D328" s="435" t="str">
        <f>VLOOKUP(Ruimtestaat[[#This Row],[Code]],Locaties[[#All],[Code]:[Postcode]],5,FALSE)</f>
        <v>2721 GP</v>
      </c>
      <c r="E328" s="435" t="str">
        <f>VLOOKUP(Ruimtestaat[[#This Row],[Code]],Locaties[#All],6,FALSE)</f>
        <v>Zoetermeer</v>
      </c>
      <c r="F328" s="450"/>
      <c r="G328" s="330" t="s">
        <v>1678</v>
      </c>
      <c r="H328" s="330" t="s">
        <v>1761</v>
      </c>
      <c r="I328" s="450" t="s">
        <v>1835</v>
      </c>
      <c r="J328" s="330">
        <v>2</v>
      </c>
      <c r="K328" s="450" t="str">
        <f>VLOOKUP(Ruimtestaat[[#This Row],[Ruimte code]],Ruimtegroepen[[#All],[Code]:[Ruimte omschrijving]],2,FALSE)</f>
        <v>Kantoren</v>
      </c>
      <c r="L328" s="434" t="s">
        <v>99</v>
      </c>
      <c r="M328" s="437" t="s">
        <v>36</v>
      </c>
      <c r="N328" s="439">
        <v>18</v>
      </c>
      <c r="O328" s="439"/>
      <c r="P328" s="439"/>
      <c r="Q328" s="439"/>
      <c r="R328" s="440" t="str">
        <f>VLOOKUP(Ruimtestaat[[#This Row],[Ruimte code]],Ruimtegroepen[],4,FALSE)</f>
        <v>Bu</v>
      </c>
      <c r="S328" s="434">
        <v>41</v>
      </c>
      <c r="T328" s="434" t="s">
        <v>20</v>
      </c>
      <c r="U328" s="434">
        <f>IF(S328&gt;0,IF(RIGHT(Ruimtestaat[[#This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164</v>
      </c>
      <c r="V328" s="434">
        <f>IF(U328&gt;0,VLOOKUP($J328,Ruimtegroepen[],3,FALSE)*VLOOKUP($L328,Vloersoorten[],3,FALSE)*VLOOKUP($T328,Frequenties[],3,FALSE)*VLOOKUP($A328,Locaties[],3,FALSE),0)</f>
        <v>0</v>
      </c>
      <c r="W328" s="434">
        <f>Ruimtestaat[[#This Row],[Uitvoeringen werkdagen]]*Ruimtestaat[[#This Row],[Oppervlak (netto)]]</f>
        <v>2952</v>
      </c>
      <c r="X328" s="441">
        <f>IF(V328&gt;0,Ruimtestaat[[#This Row],[Prest. (m2 /jaar) werkdagen]]/Ruimtestaat[[#This Row],[Norm (m2/uur) werkdagen]],0)</f>
        <v>0</v>
      </c>
      <c r="Y328" s="442">
        <f>Ruimtestaat[[#This Row],[Uitvoeringen werkdagen]]*Ruimtestaat[[#This Row],[Gedeeltelijk]]</f>
        <v>0</v>
      </c>
      <c r="Z328" s="443" t="e">
        <f>IF(U328&gt;0,Ruimtestaat[[#This Row],[Prest. (m2 / jaar) werkdagen gedeeld]]/Ruimtestaat[[#This Row],[Norm (m2/uur) werkdagen]],0)</f>
        <v>#DIV/0!</v>
      </c>
      <c r="AA328" s="441" t="e">
        <f>Ruimtestaat[[#This Row],[uren / jaar werkdagen gedeeld]]*Tariefsopbouw!$E$35</f>
        <v>#DIV/0!</v>
      </c>
      <c r="AB328" s="441">
        <f>Ruimtestaat[[#This Row],[Uitvoeringen werkdagen]]*Ruimtestaat[[#This Row],[BSO]]</f>
        <v>0</v>
      </c>
      <c r="AC328" s="443" t="e">
        <f>IF(U328&gt;0,Ruimtestaat[[#This Row],[Prest. (m2 / jaar) werkdagen BSO]]/Ruimtestaat[[#This Row],[Norm (m2/uur) werkdagen]],0)</f>
        <v>#DIV/0!</v>
      </c>
      <c r="AD328" s="443" t="e">
        <f>Ruimtestaat[[#This Row],[uren / jaar werkdagen BSO]]*Tariefsopbouw!$E$35</f>
        <v>#DIV/0!</v>
      </c>
      <c r="AE328" s="444">
        <f>Ruimtestaat[[#This Row],[uren / jaar werkdagen]]*Tariefsopbouw!$E$35</f>
        <v>0</v>
      </c>
      <c r="AF328" s="434"/>
      <c r="AG328" s="434">
        <f>IF(Ruimtestaat[[#This Row],[Frequentie weekend]]&gt;0,VALUE(LEFT(AF328,1))*S328,0)</f>
        <v>0</v>
      </c>
      <c r="AH328" s="445">
        <f>IF($AG328&gt;0,VLOOKUP($J328,Ruimtegroepen[],3,FALSE)*VLOOKUP($L328,Vloersoorten[],3,FALSE)*VLOOKUP($AF328,Frequenties[],3,FALSE)*VLOOKUP(Ruimtestaat[[#This Row],[Code]],Locaties[],3,FALSE),0)</f>
        <v>0</v>
      </c>
      <c r="AI328" s="445">
        <f>Ruimtestaat[[#This Row],[Uitvoeringen weekend]]*Ruimtestaat[[#This Row],[Oppervlak (netto)]]</f>
        <v>0</v>
      </c>
      <c r="AJ328" s="445">
        <f>IF(AH328&gt;0,Ruimtestaat[[#This Row],[Prest. (m2 /jaar) weekend]]/Ruimtestaat[[#This Row],[Norm (m2/uur) weekend]],0)</f>
        <v>0</v>
      </c>
      <c r="AK328" s="444">
        <f>Ruimtestaat[[#This Row],[uren / jaar weekend]]*Tariefsopbouw!$D$40</f>
        <v>0</v>
      </c>
      <c r="AL328" s="441">
        <f>Ruimtestaat[[#This Row],[Prest. (m2 /jaar) weekend]]+Ruimtestaat[[#This Row],[Prest. (m2 /jaar) werkdagen]]</f>
        <v>2952</v>
      </c>
      <c r="AM328" s="441">
        <f>Ruimtestaat[[#This Row],[uren / jaar weekend]]+Ruimtestaat[[#This Row],[uren / jaar werkdagen]]</f>
        <v>0</v>
      </c>
      <c r="AN328" s="446">
        <f>Ruimtestaat[[#This Row],[kosten / jaar weekend]]+Ruimtestaat[[#This Row],[kosten / jaar werkdagen]]</f>
        <v>0</v>
      </c>
      <c r="AO328" s="446"/>
      <c r="AP328" s="447" t="str">
        <f>IF(Ruimtestaat[[#This Row],[Frequentie werkdagen]]="","",_xlfn.CONCAT(Ruimtestaat[[#This Row],[Ruimte code]],"-",Ruimtestaat[[#This Row],[Frequentie werkdagen]]," ",Ruimtestaat[[#This Row],[Vloer code]]))</f>
        <v>2-4w T</v>
      </c>
      <c r="AQ328" s="448" t="str">
        <f>_xlfn.IFNA(VLOOKUP($AP328,Programma!$F$3:$G$1101,2,0),"")</f>
        <v>3w</v>
      </c>
      <c r="AR328" s="448" t="str">
        <f>_xlfn.IFNA(VLOOKUP($AP328,Programma!$F$3:$H$1101,3,0),"")</f>
        <v>1w</v>
      </c>
      <c r="AS328" s="448" t="str">
        <f>_xlfn.IFNA(VLOOKUP($AP328,Programma!$F$3:$I$1101,4,0),"")</f>
        <v>_</v>
      </c>
      <c r="AT328" s="448" t="str">
        <f>_xlfn.IFNA(VLOOKUP($AP328,Programma!$F$3:$J$1101,5,0),"")</f>
        <v>_</v>
      </c>
      <c r="AU328" s="448" t="str">
        <f>_xlfn.IFNA(VLOOKUP($AP328,Programma!$F$3:$K$1101,6,0),"")</f>
        <v>_</v>
      </c>
      <c r="AV328" s="448" t="str">
        <f>_xlfn.IFNA(VLOOKUP($AP328,Programma!$F$3:$L$1101,7,0),"")</f>
        <v>_</v>
      </c>
      <c r="AW328" s="448" t="str">
        <f>_xlfn.IFNA(VLOOKUP($AP328,Programma!$F$3:$M$1101,8,0),"")</f>
        <v>_</v>
      </c>
      <c r="AX328" s="448" t="str">
        <f>_xlfn.IFNA(VLOOKUP($AP328,Programma!$F$3:$N$1101,9,0),"")</f>
        <v>_</v>
      </c>
      <c r="AY328" s="448" t="str">
        <f>_xlfn.IFNA(VLOOKUP($AP328,Programma!$F$3:$O$1101,10,0),"")</f>
        <v>4w</v>
      </c>
      <c r="AZ328" s="448" t="str">
        <f>_xlfn.IFNA(VLOOKUP($AP328,Programma!$F$3:$P$1101,11,0),"")</f>
        <v>4w</v>
      </c>
      <c r="BA328" s="448" t="str">
        <f>_xlfn.IFNA(VLOOKUP($AP328,Programma!$F$3:$Q$1101,12,0),"")</f>
        <v>1w</v>
      </c>
      <c r="BB328" s="448" t="str">
        <f>_xlfn.IFNA(VLOOKUP($AP328,Programma!$F$3:$R$1101,13,0),"")</f>
        <v>1w</v>
      </c>
      <c r="BC328" s="448" t="str">
        <f>_xlfn.IFNA(VLOOKUP($AP328,Programma!$F$3:$S$1101,14,0),"")</f>
        <v>1m</v>
      </c>
      <c r="BD328" s="448" t="str">
        <f>_xlfn.IFNA(VLOOKUP($AP328,Programma!$F$3:$T$1101,15,0),"")</f>
        <v>2j</v>
      </c>
      <c r="BE328" s="448" t="str">
        <f>_xlfn.IFNA(VLOOKUP($AP328,Programma!$F$3:$U$1101,16,0),"")</f>
        <v>1j</v>
      </c>
      <c r="BF328" s="448" t="str">
        <f>_xlfn.IFNA(VLOOKUP($AP328,Programma!$F$3:$V$1101,17,0),"")</f>
        <v>_</v>
      </c>
      <c r="BG328" s="448" t="str">
        <f>_xlfn.IFNA(VLOOKUP($AP328,Programma!$F$3:$W$1101,18,0),"")</f>
        <v>_</v>
      </c>
      <c r="BH328" s="448" t="str">
        <f>_xlfn.IFNA(VLOOKUP($AP328,Programma!$F$3:$X$1101,19,0),"")</f>
        <v>_</v>
      </c>
      <c r="BI328" s="448" t="str">
        <f>_xlfn.IFNA(VLOOKUP($AP328,Programma!$F$3:$Y$1101,20,0),"")</f>
        <v>_</v>
      </c>
      <c r="BJ328" s="449"/>
      <c r="BK328" s="447" t="str">
        <f>IF(Ruimtestaat[[#This Row],[Frequentie weekend]]="","",_xlfn.CONCAT(Ruimtestaat[[#This Row],[Ruimte code]],"-",Ruimtestaat[[#This Row],[Frequentie weekend]]," ",Ruimtestaat[[#This Row],[Vloer code]]))</f>
        <v/>
      </c>
      <c r="BL328" s="448" t="str">
        <f>_xlfn.IFNA(VLOOKUP($BK328,Programma!$F$3:$G$1101,2,0),"")</f>
        <v/>
      </c>
      <c r="BM328" s="448" t="str">
        <f>_xlfn.IFNA(VLOOKUP($BK328,Programma!$F$3:$H$1101,3,0),"")</f>
        <v/>
      </c>
      <c r="BN328" s="448" t="str">
        <f>_xlfn.IFNA(VLOOKUP($BK328,Programma!$F$3:$I$1101,4,0),"")</f>
        <v/>
      </c>
      <c r="BO328" s="448" t="str">
        <f>_xlfn.IFNA(VLOOKUP($BK328,Programma!$F$3:$J$1101,5,0),"")</f>
        <v/>
      </c>
      <c r="BP328" s="448" t="str">
        <f>_xlfn.IFNA(VLOOKUP($BK328,Programma!$F$3:$K$1101,6,0),"")</f>
        <v/>
      </c>
      <c r="BQ328" s="448" t="str">
        <f>_xlfn.IFNA(VLOOKUP($BK328,Programma!$F$3:$L$1101,7,0),"")</f>
        <v/>
      </c>
      <c r="BR328" s="448" t="str">
        <f>_xlfn.IFNA(VLOOKUP($BK328,Programma!$F$3:$M$1101,8,0),"")</f>
        <v/>
      </c>
      <c r="BS328" s="448" t="str">
        <f>_xlfn.IFNA(VLOOKUP($BK328,Programma!$F$3:$N$1101,9,0),"")</f>
        <v/>
      </c>
      <c r="BT328" s="448" t="str">
        <f>_xlfn.IFNA(VLOOKUP($BK328,Programma!$F$3:$O$1101,10,0),"")</f>
        <v/>
      </c>
      <c r="BU328" s="448" t="str">
        <f>_xlfn.IFNA(VLOOKUP($BK328,Programma!$F$3:$P$1101,11,0),"")</f>
        <v/>
      </c>
      <c r="BV328" s="448" t="str">
        <f>_xlfn.IFNA(VLOOKUP($BK328,Programma!$F$3:$Q$1101,12,0),"")</f>
        <v/>
      </c>
      <c r="BW328" s="448" t="str">
        <f>_xlfn.IFNA(VLOOKUP($BK328,Programma!$F$3:$R$1101,13,0),"")</f>
        <v/>
      </c>
      <c r="BX328" s="448" t="str">
        <f>_xlfn.IFNA(VLOOKUP($BK328,Programma!$F$3:$S$1101,14,0),"")</f>
        <v/>
      </c>
      <c r="BY328" s="448" t="str">
        <f>_xlfn.IFNA(VLOOKUP($BK328,Programma!$F$3:$T$1101,15,0),"")</f>
        <v/>
      </c>
      <c r="BZ328" s="448" t="str">
        <f>_xlfn.IFNA(VLOOKUP($BK328,Programma!$F$3:$U$1101,16,0),"")</f>
        <v/>
      </c>
      <c r="CA328" s="448" t="str">
        <f>_xlfn.IFNA(VLOOKUP($BK328,Programma!$F$3:$V$1101,17,0),"")</f>
        <v/>
      </c>
      <c r="CB328" s="448" t="str">
        <f>_xlfn.IFNA(VLOOKUP($BK328,Programma!$F$3:$W$1101,18,0),"")</f>
        <v/>
      </c>
      <c r="CC328" s="448" t="str">
        <f>_xlfn.IFNA(VLOOKUP($BK328,Programma!$F$3:$X$1101,19,0),"")</f>
        <v/>
      </c>
      <c r="CD328" s="448" t="str">
        <f>_xlfn.IFNA(VLOOKUP($BK328,Programma!$F$3:$Y$1101,20,0),"")</f>
        <v/>
      </c>
      <c r="CE328" s="327"/>
      <c r="CF328" s="327"/>
      <c r="CG328" s="327"/>
      <c r="CH328" s="327"/>
      <c r="CI328" s="327"/>
      <c r="CJ328" s="327"/>
      <c r="CK328" s="327"/>
      <c r="CL328" s="327"/>
      <c r="CM328" s="327"/>
      <c r="CN328" s="327"/>
      <c r="CO328" s="327"/>
      <c r="CP328" s="327"/>
      <c r="CQ328" s="327"/>
      <c r="CR328" s="327"/>
      <c r="CS328" s="327"/>
      <c r="CT328" s="327"/>
      <c r="CU328" s="327"/>
      <c r="CV328" s="327"/>
      <c r="CW328" s="327"/>
      <c r="CX328" s="327"/>
      <c r="CY328" s="327"/>
      <c r="CZ328" s="327"/>
      <c r="DA328" s="327"/>
      <c r="DB328" s="327"/>
      <c r="DC328" s="327"/>
      <c r="DD328" s="327"/>
      <c r="DE328" s="327"/>
      <c r="DF328" s="327"/>
      <c r="DG328" s="327"/>
      <c r="DH328" s="327"/>
      <c r="DI328" s="327"/>
      <c r="DJ328" s="327"/>
      <c r="DK328" s="327"/>
      <c r="DL328" s="327"/>
      <c r="DM328" s="327"/>
      <c r="DN328" s="327"/>
      <c r="DO328" s="327"/>
      <c r="DP328" s="327"/>
      <c r="DQ328" s="327"/>
      <c r="DR328" s="327"/>
      <c r="DS328" s="327"/>
      <c r="DT328" s="327"/>
      <c r="DU328" s="327"/>
      <c r="DV328" s="327"/>
      <c r="DW328" s="327"/>
      <c r="DX328" s="327"/>
      <c r="DY328" s="327"/>
      <c r="DZ328" s="327"/>
      <c r="EA328" s="327"/>
      <c r="EB328" s="327"/>
      <c r="EC328" s="327"/>
      <c r="ED328" s="327"/>
      <c r="EE328" s="327"/>
      <c r="EF328" s="327"/>
      <c r="EG328" s="327"/>
      <c r="EH328" s="327"/>
      <c r="EI328" s="327"/>
      <c r="EJ328" s="327"/>
      <c r="EK328" s="327"/>
      <c r="EL328" s="327"/>
      <c r="EM328" s="327"/>
      <c r="EN328" s="327"/>
      <c r="EO328" s="327"/>
      <c r="EP328" s="327"/>
      <c r="EQ328" s="327"/>
      <c r="ER328" s="327"/>
      <c r="ES328" s="327"/>
      <c r="ET328" s="327"/>
      <c r="EU328" s="327"/>
      <c r="EV328" s="327"/>
      <c r="EW328" s="327"/>
      <c r="EX328" s="327"/>
      <c r="EY328" s="327"/>
      <c r="EZ328" s="327"/>
      <c r="FA328" s="327"/>
      <c r="FB328" s="327"/>
      <c r="FC328" s="327"/>
      <c r="FD328" s="327"/>
      <c r="FE328" s="327"/>
      <c r="FF328" s="327"/>
      <c r="FG328" s="327"/>
      <c r="FH328" s="327"/>
      <c r="FI328" s="327"/>
      <c r="FJ328" s="327"/>
      <c r="FK328" s="327"/>
      <c r="FL328" s="327"/>
      <c r="FM328" s="327"/>
      <c r="FN328" s="327"/>
      <c r="FO328" s="327"/>
      <c r="FP328" s="327"/>
      <c r="FQ328" s="327"/>
      <c r="FR328" s="327"/>
      <c r="FS328" s="327"/>
      <c r="FT328" s="327"/>
      <c r="FU328" s="327"/>
      <c r="FV328" s="327"/>
      <c r="FW328" s="327"/>
      <c r="FX328" s="327"/>
      <c r="FY328" s="327"/>
      <c r="FZ328" s="327"/>
      <c r="GA328" s="327"/>
      <c r="GB328" s="327"/>
      <c r="GC328" s="327"/>
      <c r="GD328" s="327"/>
      <c r="GE328" s="327"/>
      <c r="GF328" s="327"/>
      <c r="GG328" s="327"/>
      <c r="GH328" s="327"/>
      <c r="GI328" s="327"/>
      <c r="GJ328" s="327"/>
      <c r="GK328" s="327"/>
      <c r="GL328" s="327"/>
      <c r="GM328" s="327"/>
      <c r="GN328" s="327"/>
      <c r="GO328" s="327"/>
      <c r="GP328" s="327"/>
      <c r="GQ328" s="327"/>
      <c r="GR328" s="327"/>
      <c r="GS328" s="327"/>
      <c r="GT328" s="327"/>
      <c r="GU328" s="327"/>
      <c r="GV328" s="327"/>
      <c r="GW328" s="327"/>
      <c r="GX328" s="327"/>
      <c r="GY328" s="327"/>
      <c r="GZ328" s="327"/>
      <c r="HA328" s="327"/>
      <c r="HB328" s="327"/>
      <c r="HC328" s="327"/>
      <c r="HD328" s="327"/>
      <c r="HE328" s="327"/>
      <c r="HF328" s="327"/>
      <c r="HG328" s="327"/>
      <c r="HH328" s="327"/>
      <c r="HI328" s="327"/>
      <c r="HJ328" s="327"/>
      <c r="HK328" s="327"/>
      <c r="HL328" s="327"/>
      <c r="HM328" s="327"/>
      <c r="HN328" s="327"/>
      <c r="HO328" s="327"/>
      <c r="HP328" s="327"/>
      <c r="HQ328" s="327"/>
      <c r="HR328" s="327"/>
      <c r="HS328" s="327"/>
    </row>
    <row r="329" spans="1:227" ht="15" customHeight="1">
      <c r="A329" s="330">
        <v>14</v>
      </c>
      <c r="B329" s="435" t="str">
        <f>VLOOKUP(Ruimtestaat[[#This Row],[Code]],Locaties[[Code]:[Locatie]],2,FALSE)</f>
        <v>IKC De Vuurtoren</v>
      </c>
      <c r="C329" s="435" t="str">
        <f>VLOOKUP(Ruimtestaat[[#This Row],[Code]],Locaties[[#All],[Code]:[Adres]],4,FALSE)</f>
        <v>Spitsbergen 15</v>
      </c>
      <c r="D329" s="435" t="str">
        <f>VLOOKUP(Ruimtestaat[[#This Row],[Code]],Locaties[[#All],[Code]:[Postcode]],5,FALSE)</f>
        <v>2721 GP</v>
      </c>
      <c r="E329" s="435" t="str">
        <f>VLOOKUP(Ruimtestaat[[#This Row],[Code]],Locaties[#All],6,FALSE)</f>
        <v>Zoetermeer</v>
      </c>
      <c r="F329" s="450"/>
      <c r="G329" s="330" t="s">
        <v>1678</v>
      </c>
      <c r="H329" s="330" t="s">
        <v>1689</v>
      </c>
      <c r="I329" s="450" t="s">
        <v>1690</v>
      </c>
      <c r="J329" s="330">
        <v>16</v>
      </c>
      <c r="K329" s="450" t="str">
        <f>VLOOKUP(Ruimtestaat[[#This Row],[Ruimte code]],Ruimtegroepen[[#All],[Code]:[Ruimte omschrijving]],2,FALSE)</f>
        <v>Leslokalen</v>
      </c>
      <c r="L329" s="434" t="s">
        <v>100</v>
      </c>
      <c r="M329" s="437" t="s">
        <v>1759</v>
      </c>
      <c r="N329" s="439">
        <v>53</v>
      </c>
      <c r="O329" s="439"/>
      <c r="P329" s="439"/>
      <c r="Q329" s="439"/>
      <c r="R329" s="440" t="str">
        <f>VLOOKUP(Ruimtestaat[[#This Row],[Ruimte code]],Ruimtegroepen[],4,FALSE)</f>
        <v>Le</v>
      </c>
      <c r="S329" s="434">
        <v>40</v>
      </c>
      <c r="T329" s="434" t="s">
        <v>2</v>
      </c>
      <c r="U329" s="434">
        <f>IF(S329&gt;0,IF(RIGHT(Ruimtestaat[[#This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9" s="434">
        <f>IF(U329&gt;0,VLOOKUP($J329,Ruimtegroepen[],3,FALSE)*VLOOKUP($L329,Vloersoorten[],3,FALSE)*VLOOKUP($T329,Frequenties[],3,FALSE)*VLOOKUP($A329,Locaties[],3,FALSE),0)</f>
        <v>0</v>
      </c>
      <c r="W329" s="434">
        <f>Ruimtestaat[[#This Row],[Uitvoeringen werkdagen]]*Ruimtestaat[[#This Row],[Oppervlak (netto)]]</f>
        <v>10600</v>
      </c>
      <c r="X329" s="441">
        <f>IF(V329&gt;0,Ruimtestaat[[#This Row],[Prest. (m2 /jaar) werkdagen]]/Ruimtestaat[[#This Row],[Norm (m2/uur) werkdagen]],0)</f>
        <v>0</v>
      </c>
      <c r="Y329" s="442">
        <f>Ruimtestaat[[#This Row],[Uitvoeringen werkdagen]]*Ruimtestaat[[#This Row],[Gedeeltelijk]]</f>
        <v>0</v>
      </c>
      <c r="Z329" s="443" t="e">
        <f>IF(U329&gt;0,Ruimtestaat[[#This Row],[Prest. (m2 / jaar) werkdagen gedeeld]]/Ruimtestaat[[#This Row],[Norm (m2/uur) werkdagen]],0)</f>
        <v>#DIV/0!</v>
      </c>
      <c r="AA329" s="441" t="e">
        <f>Ruimtestaat[[#This Row],[uren / jaar werkdagen gedeeld]]*Tariefsopbouw!$E$35</f>
        <v>#DIV/0!</v>
      </c>
      <c r="AB329" s="441">
        <f>Ruimtestaat[[#This Row],[Uitvoeringen werkdagen]]*Ruimtestaat[[#This Row],[BSO]]</f>
        <v>0</v>
      </c>
      <c r="AC329" s="443" t="e">
        <f>IF(U329&gt;0,Ruimtestaat[[#This Row],[Prest. (m2 / jaar) werkdagen BSO]]/Ruimtestaat[[#This Row],[Norm (m2/uur) werkdagen]],0)</f>
        <v>#DIV/0!</v>
      </c>
      <c r="AD329" s="443" t="e">
        <f>Ruimtestaat[[#This Row],[uren / jaar werkdagen BSO]]*Tariefsopbouw!$E$35</f>
        <v>#DIV/0!</v>
      </c>
      <c r="AE329" s="444">
        <f>Ruimtestaat[[#This Row],[uren / jaar werkdagen]]*Tariefsopbouw!$E$35</f>
        <v>0</v>
      </c>
      <c r="AF329" s="434"/>
      <c r="AG329" s="434">
        <f>IF(Ruimtestaat[[#This Row],[Frequentie weekend]]&gt;0,VALUE(LEFT(AF329,1))*S329,0)</f>
        <v>0</v>
      </c>
      <c r="AH329" s="445">
        <f>IF($AG329&gt;0,VLOOKUP($J329,Ruimtegroepen[],3,FALSE)*VLOOKUP($L329,Vloersoorten[],3,FALSE)*VLOOKUP($AF329,Frequenties[],3,FALSE)*VLOOKUP(Ruimtestaat[[#This Row],[Code]],Locaties[],3,FALSE),0)</f>
        <v>0</v>
      </c>
      <c r="AI329" s="445">
        <f>Ruimtestaat[[#This Row],[Uitvoeringen weekend]]*Ruimtestaat[[#This Row],[Oppervlak (netto)]]</f>
        <v>0</v>
      </c>
      <c r="AJ329" s="445">
        <f>IF(AH329&gt;0,Ruimtestaat[[#This Row],[Prest. (m2 /jaar) weekend]]/Ruimtestaat[[#This Row],[Norm (m2/uur) weekend]],0)</f>
        <v>0</v>
      </c>
      <c r="AK329" s="444">
        <f>Ruimtestaat[[#This Row],[uren / jaar weekend]]*Tariefsopbouw!$D$40</f>
        <v>0</v>
      </c>
      <c r="AL329" s="441">
        <f>Ruimtestaat[[#This Row],[Prest. (m2 /jaar) weekend]]+Ruimtestaat[[#This Row],[Prest. (m2 /jaar) werkdagen]]</f>
        <v>10600</v>
      </c>
      <c r="AM329" s="441">
        <f>Ruimtestaat[[#This Row],[uren / jaar weekend]]+Ruimtestaat[[#This Row],[uren / jaar werkdagen]]</f>
        <v>0</v>
      </c>
      <c r="AN329" s="446">
        <f>Ruimtestaat[[#This Row],[kosten / jaar weekend]]+Ruimtestaat[[#This Row],[kosten / jaar werkdagen]]</f>
        <v>0</v>
      </c>
      <c r="AO329" s="446"/>
      <c r="AP329" s="447" t="str">
        <f>IF(Ruimtestaat[[#This Row],[Frequentie werkdagen]]="","",_xlfn.CONCAT(Ruimtestaat[[#This Row],[Ruimte code]],"-",Ruimtestaat[[#This Row],[Frequentie werkdagen]]," ",Ruimtestaat[[#This Row],[Vloer code]]))</f>
        <v>16-5w L</v>
      </c>
      <c r="AQ329" s="448" t="str">
        <f>_xlfn.IFNA(VLOOKUP($AP329,Programma!$F$3:$G$1101,2,0),"")</f>
        <v>_</v>
      </c>
      <c r="AR329" s="448" t="str">
        <f>_xlfn.IFNA(VLOOKUP($AP329,Programma!$F$3:$H$1101,3,0),"")</f>
        <v>_</v>
      </c>
      <c r="AS329" s="448" t="str">
        <f>_xlfn.IFNA(VLOOKUP($AP329,Programma!$F$3:$I$1101,4,0),"")</f>
        <v>4w</v>
      </c>
      <c r="AT329" s="448" t="str">
        <f>_xlfn.IFNA(VLOOKUP($AP329,Programma!$F$3:$J$1101,5,0),"")</f>
        <v>1w</v>
      </c>
      <c r="AU329" s="448" t="str">
        <f>_xlfn.IFNA(VLOOKUP($AP329,Programma!$F$3:$K$1101,6,0),"")</f>
        <v>_</v>
      </c>
      <c r="AV329" s="448" t="str">
        <f>_xlfn.IFNA(VLOOKUP($AP329,Programma!$F$3:$L$1101,7,0),"")</f>
        <v>_</v>
      </c>
      <c r="AW329" s="448" t="str">
        <f>_xlfn.IFNA(VLOOKUP($AP329,Programma!$F$3:$M$1101,8,0),"")</f>
        <v>_</v>
      </c>
      <c r="AX329" s="448" t="str">
        <f>_xlfn.IFNA(VLOOKUP($AP329,Programma!$F$3:$N$1101,9,0),"")</f>
        <v>_</v>
      </c>
      <c r="AY329" s="448" t="str">
        <f>_xlfn.IFNA(VLOOKUP($AP329,Programma!$F$3:$O$1101,10,0),"")</f>
        <v>5w</v>
      </c>
      <c r="AZ329" s="448" t="str">
        <f>_xlfn.IFNA(VLOOKUP($AP329,Programma!$F$3:$P$1101,11,0),"")</f>
        <v>5w</v>
      </c>
      <c r="BA329" s="448" t="str">
        <f>_xlfn.IFNA(VLOOKUP($AP329,Programma!$F$3:$Q$1101,12,0),"")</f>
        <v>1w</v>
      </c>
      <c r="BB329" s="448" t="str">
        <f>_xlfn.IFNA(VLOOKUP($AP329,Programma!$F$3:$R$1101,13,0),"")</f>
        <v>1w</v>
      </c>
      <c r="BC329" s="448" t="str">
        <f>_xlfn.IFNA(VLOOKUP($AP329,Programma!$F$3:$S$1101,14,0),"")</f>
        <v>1m</v>
      </c>
      <c r="BD329" s="448" t="str">
        <f>_xlfn.IFNA(VLOOKUP($AP329,Programma!$F$3:$T$1101,15,0),"")</f>
        <v>2j</v>
      </c>
      <c r="BE329" s="448" t="str">
        <f>_xlfn.IFNA(VLOOKUP($AP329,Programma!$F$3:$U$1101,16,0),"")</f>
        <v>1j</v>
      </c>
      <c r="BF329" s="448" t="str">
        <f>_xlfn.IFNA(VLOOKUP($AP329,Programma!$F$3:$V$1101,17,0),"")</f>
        <v>_</v>
      </c>
      <c r="BG329" s="448" t="str">
        <f>_xlfn.IFNA(VLOOKUP($AP329,Programma!$F$3:$W$1101,18,0),"")</f>
        <v>_</v>
      </c>
      <c r="BH329" s="448" t="str">
        <f>_xlfn.IFNA(VLOOKUP($AP329,Programma!$F$3:$X$1101,19,0),"")</f>
        <v>_</v>
      </c>
      <c r="BI329" s="448" t="str">
        <f>_xlfn.IFNA(VLOOKUP($AP329,Programma!$F$3:$Y$1101,20,0),"")</f>
        <v>_</v>
      </c>
      <c r="BJ329" s="449"/>
      <c r="BK329" s="447" t="str">
        <f>IF(Ruimtestaat[[#This Row],[Frequentie weekend]]="","",_xlfn.CONCAT(Ruimtestaat[[#This Row],[Ruimte code]],"-",Ruimtestaat[[#This Row],[Frequentie weekend]]," ",Ruimtestaat[[#This Row],[Vloer code]]))</f>
        <v/>
      </c>
      <c r="BL329" s="448" t="str">
        <f>_xlfn.IFNA(VLOOKUP($BK329,Programma!$F$3:$G$1101,2,0),"")</f>
        <v/>
      </c>
      <c r="BM329" s="448" t="str">
        <f>_xlfn.IFNA(VLOOKUP($BK329,Programma!$F$3:$H$1101,3,0),"")</f>
        <v/>
      </c>
      <c r="BN329" s="448" t="str">
        <f>_xlfn.IFNA(VLOOKUP($BK329,Programma!$F$3:$I$1101,4,0),"")</f>
        <v/>
      </c>
      <c r="BO329" s="448" t="str">
        <f>_xlfn.IFNA(VLOOKUP($BK329,Programma!$F$3:$J$1101,5,0),"")</f>
        <v/>
      </c>
      <c r="BP329" s="448" t="str">
        <f>_xlfn.IFNA(VLOOKUP($BK329,Programma!$F$3:$K$1101,6,0),"")</f>
        <v/>
      </c>
      <c r="BQ329" s="448" t="str">
        <f>_xlfn.IFNA(VLOOKUP($BK329,Programma!$F$3:$L$1101,7,0),"")</f>
        <v/>
      </c>
      <c r="BR329" s="448" t="str">
        <f>_xlfn.IFNA(VLOOKUP($BK329,Programma!$F$3:$M$1101,8,0),"")</f>
        <v/>
      </c>
      <c r="BS329" s="448" t="str">
        <f>_xlfn.IFNA(VLOOKUP($BK329,Programma!$F$3:$N$1101,9,0),"")</f>
        <v/>
      </c>
      <c r="BT329" s="448" t="str">
        <f>_xlfn.IFNA(VLOOKUP($BK329,Programma!$F$3:$O$1101,10,0),"")</f>
        <v/>
      </c>
      <c r="BU329" s="448" t="str">
        <f>_xlfn.IFNA(VLOOKUP($BK329,Programma!$F$3:$P$1101,11,0),"")</f>
        <v/>
      </c>
      <c r="BV329" s="448" t="str">
        <f>_xlfn.IFNA(VLOOKUP($BK329,Programma!$F$3:$Q$1101,12,0),"")</f>
        <v/>
      </c>
      <c r="BW329" s="448" t="str">
        <f>_xlfn.IFNA(VLOOKUP($BK329,Programma!$F$3:$R$1101,13,0),"")</f>
        <v/>
      </c>
      <c r="BX329" s="448" t="str">
        <f>_xlfn.IFNA(VLOOKUP($BK329,Programma!$F$3:$S$1101,14,0),"")</f>
        <v/>
      </c>
      <c r="BY329" s="448" t="str">
        <f>_xlfn.IFNA(VLOOKUP($BK329,Programma!$F$3:$T$1101,15,0),"")</f>
        <v/>
      </c>
      <c r="BZ329" s="448" t="str">
        <f>_xlfn.IFNA(VLOOKUP($BK329,Programma!$F$3:$U$1101,16,0),"")</f>
        <v/>
      </c>
      <c r="CA329" s="448" t="str">
        <f>_xlfn.IFNA(VLOOKUP($BK329,Programma!$F$3:$V$1101,17,0),"")</f>
        <v/>
      </c>
      <c r="CB329" s="448" t="str">
        <f>_xlfn.IFNA(VLOOKUP($BK329,Programma!$F$3:$W$1101,18,0),"")</f>
        <v/>
      </c>
      <c r="CC329" s="448" t="str">
        <f>_xlfn.IFNA(VLOOKUP($BK329,Programma!$F$3:$X$1101,19,0),"")</f>
        <v/>
      </c>
      <c r="CD329" s="448" t="str">
        <f>_xlfn.IFNA(VLOOKUP($BK329,Programma!$F$3:$Y$1101,20,0),"")</f>
        <v/>
      </c>
      <c r="CE329" s="327"/>
      <c r="CF329" s="327"/>
      <c r="CG329" s="327"/>
      <c r="CH329" s="327"/>
      <c r="CI329" s="327"/>
      <c r="CJ329" s="327"/>
      <c r="CK329" s="327"/>
      <c r="CL329" s="327"/>
      <c r="CM329" s="327"/>
      <c r="CN329" s="327"/>
      <c r="CO329" s="327"/>
      <c r="CP329" s="327"/>
      <c r="CQ329" s="327"/>
      <c r="CR329" s="327"/>
      <c r="CS329" s="327"/>
      <c r="CT329" s="327"/>
      <c r="CU329" s="327"/>
      <c r="CV329" s="327"/>
      <c r="CW329" s="327"/>
      <c r="CX329" s="327"/>
      <c r="CY329" s="327"/>
      <c r="CZ329" s="327"/>
      <c r="DA329" s="327"/>
      <c r="DB329" s="327"/>
      <c r="DC329" s="327"/>
      <c r="DD329" s="327"/>
      <c r="DE329" s="327"/>
      <c r="DF329" s="327"/>
      <c r="DG329" s="327"/>
      <c r="DH329" s="327"/>
      <c r="DI329" s="327"/>
      <c r="DJ329" s="327"/>
      <c r="DK329" s="327"/>
      <c r="DL329" s="327"/>
      <c r="DM329" s="327"/>
      <c r="DN329" s="327"/>
      <c r="DO329" s="327"/>
      <c r="DP329" s="327"/>
      <c r="DQ329" s="327"/>
      <c r="DR329" s="327"/>
      <c r="DS329" s="327"/>
      <c r="DT329" s="327"/>
      <c r="DU329" s="327"/>
      <c r="DV329" s="327"/>
      <c r="DW329" s="327"/>
      <c r="DX329" s="327"/>
      <c r="DY329" s="327"/>
      <c r="DZ329" s="327"/>
      <c r="EA329" s="327"/>
      <c r="EB329" s="327"/>
      <c r="EC329" s="327"/>
      <c r="ED329" s="327"/>
      <c r="EE329" s="327"/>
      <c r="EF329" s="327"/>
      <c r="EG329" s="327"/>
      <c r="EH329" s="327"/>
      <c r="EI329" s="327"/>
      <c r="EJ329" s="327"/>
      <c r="EK329" s="327"/>
      <c r="EL329" s="327"/>
      <c r="EM329" s="327"/>
      <c r="EN329" s="327"/>
      <c r="EO329" s="327"/>
      <c r="EP329" s="327"/>
      <c r="EQ329" s="327"/>
      <c r="ER329" s="327"/>
      <c r="ES329" s="327"/>
      <c r="ET329" s="327"/>
      <c r="EU329" s="327"/>
      <c r="EV329" s="327"/>
      <c r="EW329" s="327"/>
      <c r="EX329" s="327"/>
      <c r="EY329" s="327"/>
      <c r="EZ329" s="327"/>
      <c r="FA329" s="327"/>
      <c r="FB329" s="327"/>
      <c r="FC329" s="327"/>
      <c r="FD329" s="327"/>
      <c r="FE329" s="327"/>
      <c r="FF329" s="327"/>
      <c r="FG329" s="327"/>
      <c r="FH329" s="327"/>
      <c r="FI329" s="327"/>
      <c r="FJ329" s="327"/>
      <c r="FK329" s="327"/>
      <c r="FL329" s="327"/>
      <c r="FM329" s="327"/>
      <c r="FN329" s="327"/>
      <c r="FO329" s="327"/>
      <c r="FP329" s="327"/>
      <c r="FQ329" s="327"/>
      <c r="FR329" s="327"/>
      <c r="FS329" s="327"/>
      <c r="FT329" s="327"/>
      <c r="FU329" s="327"/>
      <c r="FV329" s="327"/>
      <c r="FW329" s="327"/>
      <c r="FX329" s="327"/>
      <c r="FY329" s="327"/>
      <c r="FZ329" s="327"/>
      <c r="GA329" s="327"/>
      <c r="GB329" s="327"/>
      <c r="GC329" s="327"/>
      <c r="GD329" s="327"/>
      <c r="GE329" s="327"/>
      <c r="GF329" s="327"/>
      <c r="GG329" s="327"/>
      <c r="GH329" s="327"/>
      <c r="GI329" s="327"/>
      <c r="GJ329" s="327"/>
      <c r="GK329" s="327"/>
      <c r="GL329" s="327"/>
      <c r="GM329" s="327"/>
      <c r="GN329" s="327"/>
      <c r="GO329" s="327"/>
      <c r="GP329" s="327"/>
      <c r="GQ329" s="327"/>
      <c r="GR329" s="327"/>
      <c r="GS329" s="327"/>
      <c r="GT329" s="327"/>
      <c r="GU329" s="327"/>
      <c r="GV329" s="327"/>
      <c r="GW329" s="327"/>
      <c r="GX329" s="327"/>
      <c r="GY329" s="327"/>
      <c r="GZ329" s="327"/>
      <c r="HA329" s="327"/>
      <c r="HB329" s="327"/>
      <c r="HC329" s="327"/>
      <c r="HD329" s="327"/>
      <c r="HE329" s="327"/>
      <c r="HF329" s="327"/>
      <c r="HG329" s="327"/>
      <c r="HH329" s="327"/>
      <c r="HI329" s="327"/>
      <c r="HJ329" s="327"/>
      <c r="HK329" s="327"/>
      <c r="HL329" s="327"/>
      <c r="HM329" s="327"/>
      <c r="HN329" s="327"/>
      <c r="HO329" s="327"/>
      <c r="HP329" s="327"/>
      <c r="HQ329" s="327"/>
      <c r="HR329" s="327"/>
      <c r="HS329" s="327"/>
    </row>
    <row r="330" spans="1:227" ht="15" customHeight="1">
      <c r="A330" s="330">
        <v>14</v>
      </c>
      <c r="B330" s="435" t="str">
        <f>VLOOKUP(Ruimtestaat[[#This Row],[Code]],Locaties[[Code]:[Locatie]],2,FALSE)</f>
        <v>IKC De Vuurtoren</v>
      </c>
      <c r="C330" s="435" t="str">
        <f>VLOOKUP(Ruimtestaat[[#This Row],[Code]],Locaties[[#All],[Code]:[Adres]],4,FALSE)</f>
        <v>Spitsbergen 15</v>
      </c>
      <c r="D330" s="435" t="str">
        <f>VLOOKUP(Ruimtestaat[[#This Row],[Code]],Locaties[[#All],[Code]:[Postcode]],5,FALSE)</f>
        <v>2721 GP</v>
      </c>
      <c r="E330" s="435" t="str">
        <f>VLOOKUP(Ruimtestaat[[#This Row],[Code]],Locaties[#All],6,FALSE)</f>
        <v>Zoetermeer</v>
      </c>
      <c r="F330" s="450"/>
      <c r="G330" s="330" t="s">
        <v>1678</v>
      </c>
      <c r="H330" s="330" t="s">
        <v>1691</v>
      </c>
      <c r="I330" s="450" t="s">
        <v>1690</v>
      </c>
      <c r="J330" s="330">
        <v>16</v>
      </c>
      <c r="K330" s="450" t="str">
        <f>VLOOKUP(Ruimtestaat[[#This Row],[Ruimte code]],Ruimtegroepen[[#All],[Code]:[Ruimte omschrijving]],2,FALSE)</f>
        <v>Leslokalen</v>
      </c>
      <c r="L330" s="434" t="s">
        <v>100</v>
      </c>
      <c r="M330" s="437" t="s">
        <v>1759</v>
      </c>
      <c r="N330" s="439">
        <v>53</v>
      </c>
      <c r="O330" s="439"/>
      <c r="P330" s="439"/>
      <c r="Q330" s="439"/>
      <c r="R330" s="440" t="str">
        <f>VLOOKUP(Ruimtestaat[[#This Row],[Ruimte code]],Ruimtegroepen[],4,FALSE)</f>
        <v>Le</v>
      </c>
      <c r="S330" s="434">
        <v>40</v>
      </c>
      <c r="T330" s="434" t="s">
        <v>2</v>
      </c>
      <c r="U330" s="434">
        <f>IF(S330&gt;0,IF(RIGHT(Ruimtestaat[[#This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0" s="434">
        <f>IF(U330&gt;0,VLOOKUP($J330,Ruimtegroepen[],3,FALSE)*VLOOKUP($L330,Vloersoorten[],3,FALSE)*VLOOKUP($T330,Frequenties[],3,FALSE)*VLOOKUP($A330,Locaties[],3,FALSE),0)</f>
        <v>0</v>
      </c>
      <c r="W330" s="434">
        <f>Ruimtestaat[[#This Row],[Uitvoeringen werkdagen]]*Ruimtestaat[[#This Row],[Oppervlak (netto)]]</f>
        <v>10600</v>
      </c>
      <c r="X330" s="441">
        <f>IF(V330&gt;0,Ruimtestaat[[#This Row],[Prest. (m2 /jaar) werkdagen]]/Ruimtestaat[[#This Row],[Norm (m2/uur) werkdagen]],0)</f>
        <v>0</v>
      </c>
      <c r="Y330" s="442">
        <f>Ruimtestaat[[#This Row],[Uitvoeringen werkdagen]]*Ruimtestaat[[#This Row],[Gedeeltelijk]]</f>
        <v>0</v>
      </c>
      <c r="Z330" s="443" t="e">
        <f>IF(U330&gt;0,Ruimtestaat[[#This Row],[Prest. (m2 / jaar) werkdagen gedeeld]]/Ruimtestaat[[#This Row],[Norm (m2/uur) werkdagen]],0)</f>
        <v>#DIV/0!</v>
      </c>
      <c r="AA330" s="441" t="e">
        <f>Ruimtestaat[[#This Row],[uren / jaar werkdagen gedeeld]]*Tariefsopbouw!$E$35</f>
        <v>#DIV/0!</v>
      </c>
      <c r="AB330" s="441">
        <f>Ruimtestaat[[#This Row],[Uitvoeringen werkdagen]]*Ruimtestaat[[#This Row],[BSO]]</f>
        <v>0</v>
      </c>
      <c r="AC330" s="443" t="e">
        <f>IF(U330&gt;0,Ruimtestaat[[#This Row],[Prest. (m2 / jaar) werkdagen BSO]]/Ruimtestaat[[#This Row],[Norm (m2/uur) werkdagen]],0)</f>
        <v>#DIV/0!</v>
      </c>
      <c r="AD330" s="443" t="e">
        <f>Ruimtestaat[[#This Row],[uren / jaar werkdagen BSO]]*Tariefsopbouw!$E$35</f>
        <v>#DIV/0!</v>
      </c>
      <c r="AE330" s="444">
        <f>Ruimtestaat[[#This Row],[uren / jaar werkdagen]]*Tariefsopbouw!$E$35</f>
        <v>0</v>
      </c>
      <c r="AF330" s="434"/>
      <c r="AG330" s="434">
        <f>IF(Ruimtestaat[[#This Row],[Frequentie weekend]]&gt;0,VALUE(LEFT(AF330,1))*S330,0)</f>
        <v>0</v>
      </c>
      <c r="AH330" s="445">
        <f>IF($AG330&gt;0,VLOOKUP($J330,Ruimtegroepen[],3,FALSE)*VLOOKUP($L330,Vloersoorten[],3,FALSE)*VLOOKUP($AF330,Frequenties[],3,FALSE)*VLOOKUP(Ruimtestaat[[#This Row],[Code]],Locaties[],3,FALSE),0)</f>
        <v>0</v>
      </c>
      <c r="AI330" s="445">
        <f>Ruimtestaat[[#This Row],[Uitvoeringen weekend]]*Ruimtestaat[[#This Row],[Oppervlak (netto)]]</f>
        <v>0</v>
      </c>
      <c r="AJ330" s="445">
        <f>IF(AH330&gt;0,Ruimtestaat[[#This Row],[Prest. (m2 /jaar) weekend]]/Ruimtestaat[[#This Row],[Norm (m2/uur) weekend]],0)</f>
        <v>0</v>
      </c>
      <c r="AK330" s="444">
        <f>Ruimtestaat[[#This Row],[uren / jaar weekend]]*Tariefsopbouw!$D$40</f>
        <v>0</v>
      </c>
      <c r="AL330" s="441">
        <f>Ruimtestaat[[#This Row],[Prest. (m2 /jaar) weekend]]+Ruimtestaat[[#This Row],[Prest. (m2 /jaar) werkdagen]]</f>
        <v>10600</v>
      </c>
      <c r="AM330" s="441">
        <f>Ruimtestaat[[#This Row],[uren / jaar weekend]]+Ruimtestaat[[#This Row],[uren / jaar werkdagen]]</f>
        <v>0</v>
      </c>
      <c r="AN330" s="446">
        <f>Ruimtestaat[[#This Row],[kosten / jaar weekend]]+Ruimtestaat[[#This Row],[kosten / jaar werkdagen]]</f>
        <v>0</v>
      </c>
      <c r="AO330" s="446"/>
      <c r="AP330" s="447" t="str">
        <f>IF(Ruimtestaat[[#This Row],[Frequentie werkdagen]]="","",_xlfn.CONCAT(Ruimtestaat[[#This Row],[Ruimte code]],"-",Ruimtestaat[[#This Row],[Frequentie werkdagen]]," ",Ruimtestaat[[#This Row],[Vloer code]]))</f>
        <v>16-5w L</v>
      </c>
      <c r="AQ330" s="448" t="str">
        <f>_xlfn.IFNA(VLOOKUP($AP330,Programma!$F$3:$G$1101,2,0),"")</f>
        <v>_</v>
      </c>
      <c r="AR330" s="448" t="str">
        <f>_xlfn.IFNA(VLOOKUP($AP330,Programma!$F$3:$H$1101,3,0),"")</f>
        <v>_</v>
      </c>
      <c r="AS330" s="448" t="str">
        <f>_xlfn.IFNA(VLOOKUP($AP330,Programma!$F$3:$I$1101,4,0),"")</f>
        <v>4w</v>
      </c>
      <c r="AT330" s="448" t="str">
        <f>_xlfn.IFNA(VLOOKUP($AP330,Programma!$F$3:$J$1101,5,0),"")</f>
        <v>1w</v>
      </c>
      <c r="AU330" s="448" t="str">
        <f>_xlfn.IFNA(VLOOKUP($AP330,Programma!$F$3:$K$1101,6,0),"")</f>
        <v>_</v>
      </c>
      <c r="AV330" s="448" t="str">
        <f>_xlfn.IFNA(VLOOKUP($AP330,Programma!$F$3:$L$1101,7,0),"")</f>
        <v>_</v>
      </c>
      <c r="AW330" s="448" t="str">
        <f>_xlfn.IFNA(VLOOKUP($AP330,Programma!$F$3:$M$1101,8,0),"")</f>
        <v>_</v>
      </c>
      <c r="AX330" s="448" t="str">
        <f>_xlfn.IFNA(VLOOKUP($AP330,Programma!$F$3:$N$1101,9,0),"")</f>
        <v>_</v>
      </c>
      <c r="AY330" s="448" t="str">
        <f>_xlfn.IFNA(VLOOKUP($AP330,Programma!$F$3:$O$1101,10,0),"")</f>
        <v>5w</v>
      </c>
      <c r="AZ330" s="448" t="str">
        <f>_xlfn.IFNA(VLOOKUP($AP330,Programma!$F$3:$P$1101,11,0),"")</f>
        <v>5w</v>
      </c>
      <c r="BA330" s="448" t="str">
        <f>_xlfn.IFNA(VLOOKUP($AP330,Programma!$F$3:$Q$1101,12,0),"")</f>
        <v>1w</v>
      </c>
      <c r="BB330" s="448" t="str">
        <f>_xlfn.IFNA(VLOOKUP($AP330,Programma!$F$3:$R$1101,13,0),"")</f>
        <v>1w</v>
      </c>
      <c r="BC330" s="448" t="str">
        <f>_xlfn.IFNA(VLOOKUP($AP330,Programma!$F$3:$S$1101,14,0),"")</f>
        <v>1m</v>
      </c>
      <c r="BD330" s="448" t="str">
        <f>_xlfn.IFNA(VLOOKUP($AP330,Programma!$F$3:$T$1101,15,0),"")</f>
        <v>2j</v>
      </c>
      <c r="BE330" s="448" t="str">
        <f>_xlfn.IFNA(VLOOKUP($AP330,Programma!$F$3:$U$1101,16,0),"")</f>
        <v>1j</v>
      </c>
      <c r="BF330" s="448" t="str">
        <f>_xlfn.IFNA(VLOOKUP($AP330,Programma!$F$3:$V$1101,17,0),"")</f>
        <v>_</v>
      </c>
      <c r="BG330" s="448" t="str">
        <f>_xlfn.IFNA(VLOOKUP($AP330,Programma!$F$3:$W$1101,18,0),"")</f>
        <v>_</v>
      </c>
      <c r="BH330" s="448" t="str">
        <f>_xlfn.IFNA(VLOOKUP($AP330,Programma!$F$3:$X$1101,19,0),"")</f>
        <v>_</v>
      </c>
      <c r="BI330" s="448" t="str">
        <f>_xlfn.IFNA(VLOOKUP($AP330,Programma!$F$3:$Y$1101,20,0),"")</f>
        <v>_</v>
      </c>
      <c r="BJ330" s="449"/>
      <c r="BK330" s="447" t="str">
        <f>IF(Ruimtestaat[[#This Row],[Frequentie weekend]]="","",_xlfn.CONCAT(Ruimtestaat[[#This Row],[Ruimte code]],"-",Ruimtestaat[[#This Row],[Frequentie weekend]]," ",Ruimtestaat[[#This Row],[Vloer code]]))</f>
        <v/>
      </c>
      <c r="BL330" s="448" t="str">
        <f>_xlfn.IFNA(VLOOKUP($BK330,Programma!$F$3:$G$1101,2,0),"")</f>
        <v/>
      </c>
      <c r="BM330" s="448" t="str">
        <f>_xlfn.IFNA(VLOOKUP($BK330,Programma!$F$3:$H$1101,3,0),"")</f>
        <v/>
      </c>
      <c r="BN330" s="448" t="str">
        <f>_xlfn.IFNA(VLOOKUP($BK330,Programma!$F$3:$I$1101,4,0),"")</f>
        <v/>
      </c>
      <c r="BO330" s="448" t="str">
        <f>_xlfn.IFNA(VLOOKUP($BK330,Programma!$F$3:$J$1101,5,0),"")</f>
        <v/>
      </c>
      <c r="BP330" s="448" t="str">
        <f>_xlfn.IFNA(VLOOKUP($BK330,Programma!$F$3:$K$1101,6,0),"")</f>
        <v/>
      </c>
      <c r="BQ330" s="448" t="str">
        <f>_xlfn.IFNA(VLOOKUP($BK330,Programma!$F$3:$L$1101,7,0),"")</f>
        <v/>
      </c>
      <c r="BR330" s="448" t="str">
        <f>_xlfn.IFNA(VLOOKUP($BK330,Programma!$F$3:$M$1101,8,0),"")</f>
        <v/>
      </c>
      <c r="BS330" s="448" t="str">
        <f>_xlfn.IFNA(VLOOKUP($BK330,Programma!$F$3:$N$1101,9,0),"")</f>
        <v/>
      </c>
      <c r="BT330" s="448" t="str">
        <f>_xlfn.IFNA(VLOOKUP($BK330,Programma!$F$3:$O$1101,10,0),"")</f>
        <v/>
      </c>
      <c r="BU330" s="448" t="str">
        <f>_xlfn.IFNA(VLOOKUP($BK330,Programma!$F$3:$P$1101,11,0),"")</f>
        <v/>
      </c>
      <c r="BV330" s="448" t="str">
        <f>_xlfn.IFNA(VLOOKUP($BK330,Programma!$F$3:$Q$1101,12,0),"")</f>
        <v/>
      </c>
      <c r="BW330" s="448" t="str">
        <f>_xlfn.IFNA(VLOOKUP($BK330,Programma!$F$3:$R$1101,13,0),"")</f>
        <v/>
      </c>
      <c r="BX330" s="448" t="str">
        <f>_xlfn.IFNA(VLOOKUP($BK330,Programma!$F$3:$S$1101,14,0),"")</f>
        <v/>
      </c>
      <c r="BY330" s="448" t="str">
        <f>_xlfn.IFNA(VLOOKUP($BK330,Programma!$F$3:$T$1101,15,0),"")</f>
        <v/>
      </c>
      <c r="BZ330" s="448" t="str">
        <f>_xlfn.IFNA(VLOOKUP($BK330,Programma!$F$3:$U$1101,16,0),"")</f>
        <v/>
      </c>
      <c r="CA330" s="448" t="str">
        <f>_xlfn.IFNA(VLOOKUP($BK330,Programma!$F$3:$V$1101,17,0),"")</f>
        <v/>
      </c>
      <c r="CB330" s="448" t="str">
        <f>_xlfn.IFNA(VLOOKUP($BK330,Programma!$F$3:$W$1101,18,0),"")</f>
        <v/>
      </c>
      <c r="CC330" s="448" t="str">
        <f>_xlfn.IFNA(VLOOKUP($BK330,Programma!$F$3:$X$1101,19,0),"")</f>
        <v/>
      </c>
      <c r="CD330" s="448" t="str">
        <f>_xlfn.IFNA(VLOOKUP($BK330,Programma!$F$3:$Y$1101,20,0),"")</f>
        <v/>
      </c>
      <c r="CE330" s="327"/>
      <c r="CF330" s="327"/>
      <c r="CG330" s="327"/>
      <c r="CH330" s="327"/>
      <c r="CI330" s="327"/>
      <c r="CJ330" s="327"/>
      <c r="CK330" s="327"/>
      <c r="CL330" s="327"/>
      <c r="CM330" s="327"/>
      <c r="CN330" s="327"/>
      <c r="CO330" s="327"/>
      <c r="CP330" s="327"/>
      <c r="CQ330" s="327"/>
      <c r="CR330" s="327"/>
      <c r="CS330" s="327"/>
      <c r="CT330" s="327"/>
      <c r="CU330" s="327"/>
      <c r="CV330" s="327"/>
      <c r="CW330" s="327"/>
      <c r="CX330" s="327"/>
      <c r="CY330" s="327"/>
      <c r="CZ330" s="327"/>
      <c r="DA330" s="327"/>
      <c r="DB330" s="327"/>
      <c r="DC330" s="327"/>
      <c r="DD330" s="327"/>
      <c r="DE330" s="327"/>
      <c r="DF330" s="327"/>
      <c r="DG330" s="327"/>
      <c r="DH330" s="327"/>
      <c r="DI330" s="327"/>
      <c r="DJ330" s="327"/>
      <c r="DK330" s="327"/>
      <c r="DL330" s="327"/>
      <c r="DM330" s="327"/>
      <c r="DN330" s="327"/>
      <c r="DO330" s="327"/>
      <c r="DP330" s="327"/>
      <c r="DQ330" s="327"/>
      <c r="DR330" s="327"/>
      <c r="DS330" s="327"/>
      <c r="DT330" s="327"/>
      <c r="DU330" s="327"/>
      <c r="DV330" s="327"/>
      <c r="DW330" s="327"/>
      <c r="DX330" s="327"/>
      <c r="DY330" s="327"/>
      <c r="DZ330" s="327"/>
      <c r="EA330" s="327"/>
      <c r="EB330" s="327"/>
      <c r="EC330" s="327"/>
      <c r="ED330" s="327"/>
      <c r="EE330" s="327"/>
      <c r="EF330" s="327"/>
      <c r="EG330" s="327"/>
      <c r="EH330" s="327"/>
      <c r="EI330" s="327"/>
      <c r="EJ330" s="327"/>
      <c r="EK330" s="327"/>
      <c r="EL330" s="327"/>
      <c r="EM330" s="327"/>
      <c r="EN330" s="327"/>
      <c r="EO330" s="327"/>
      <c r="EP330" s="327"/>
      <c r="EQ330" s="327"/>
      <c r="ER330" s="327"/>
      <c r="ES330" s="327"/>
      <c r="ET330" s="327"/>
      <c r="EU330" s="327"/>
      <c r="EV330" s="327"/>
      <c r="EW330" s="327"/>
      <c r="EX330" s="327"/>
      <c r="EY330" s="327"/>
      <c r="EZ330" s="327"/>
      <c r="FA330" s="327"/>
      <c r="FB330" s="327"/>
      <c r="FC330" s="327"/>
      <c r="FD330" s="327"/>
      <c r="FE330" s="327"/>
      <c r="FF330" s="327"/>
      <c r="FG330" s="327"/>
      <c r="FH330" s="327"/>
      <c r="FI330" s="327"/>
      <c r="FJ330" s="327"/>
      <c r="FK330" s="327"/>
      <c r="FL330" s="327"/>
      <c r="FM330" s="327"/>
      <c r="FN330" s="327"/>
      <c r="FO330" s="327"/>
      <c r="FP330" s="327"/>
      <c r="FQ330" s="327"/>
      <c r="FR330" s="327"/>
      <c r="FS330" s="327"/>
      <c r="FT330" s="327"/>
      <c r="FU330" s="327"/>
      <c r="FV330" s="327"/>
      <c r="FW330" s="327"/>
      <c r="FX330" s="327"/>
      <c r="FY330" s="327"/>
      <c r="FZ330" s="327"/>
      <c r="GA330" s="327"/>
      <c r="GB330" s="327"/>
      <c r="GC330" s="327"/>
      <c r="GD330" s="327"/>
      <c r="GE330" s="327"/>
      <c r="GF330" s="327"/>
      <c r="GG330" s="327"/>
      <c r="GH330" s="327"/>
      <c r="GI330" s="327"/>
      <c r="GJ330" s="327"/>
      <c r="GK330" s="327"/>
      <c r="GL330" s="327"/>
      <c r="GM330" s="327"/>
      <c r="GN330" s="327"/>
      <c r="GO330" s="327"/>
      <c r="GP330" s="327"/>
      <c r="GQ330" s="327"/>
      <c r="GR330" s="327"/>
      <c r="GS330" s="327"/>
      <c r="GT330" s="327"/>
      <c r="GU330" s="327"/>
      <c r="GV330" s="327"/>
      <c r="GW330" s="327"/>
      <c r="GX330" s="327"/>
      <c r="GY330" s="327"/>
      <c r="GZ330" s="327"/>
      <c r="HA330" s="327"/>
      <c r="HB330" s="327"/>
      <c r="HC330" s="327"/>
      <c r="HD330" s="327"/>
      <c r="HE330" s="327"/>
      <c r="HF330" s="327"/>
      <c r="HG330" s="327"/>
      <c r="HH330" s="327"/>
      <c r="HI330" s="327"/>
      <c r="HJ330" s="327"/>
      <c r="HK330" s="327"/>
      <c r="HL330" s="327"/>
      <c r="HM330" s="327"/>
      <c r="HN330" s="327"/>
      <c r="HO330" s="327"/>
      <c r="HP330" s="327"/>
      <c r="HQ330" s="327"/>
      <c r="HR330" s="327"/>
      <c r="HS330" s="327"/>
    </row>
    <row r="331" spans="1:227" ht="15" customHeight="1">
      <c r="A331" s="330">
        <v>14</v>
      </c>
      <c r="B331" s="435" t="str">
        <f>VLOOKUP(Ruimtestaat[[#This Row],[Code]],Locaties[[Code]:[Locatie]],2,FALSE)</f>
        <v>IKC De Vuurtoren</v>
      </c>
      <c r="C331" s="435" t="str">
        <f>VLOOKUP(Ruimtestaat[[#This Row],[Code]],Locaties[[#All],[Code]:[Adres]],4,FALSE)</f>
        <v>Spitsbergen 15</v>
      </c>
      <c r="D331" s="435" t="str">
        <f>VLOOKUP(Ruimtestaat[[#This Row],[Code]],Locaties[[#All],[Code]:[Postcode]],5,FALSE)</f>
        <v>2721 GP</v>
      </c>
      <c r="E331" s="435" t="str">
        <f>VLOOKUP(Ruimtestaat[[#This Row],[Code]],Locaties[#All],6,FALSE)</f>
        <v>Zoetermeer</v>
      </c>
      <c r="F331" s="450"/>
      <c r="G331" s="330" t="s">
        <v>1678</v>
      </c>
      <c r="H331" s="330" t="s">
        <v>1692</v>
      </c>
      <c r="I331" s="450" t="s">
        <v>1767</v>
      </c>
      <c r="J331" s="330">
        <v>2</v>
      </c>
      <c r="K331" s="450" t="str">
        <f>VLOOKUP(Ruimtestaat[[#This Row],[Ruimte code]],Ruimtegroepen[[#All],[Code]:[Ruimte omschrijving]],2,FALSE)</f>
        <v>Kantoren</v>
      </c>
      <c r="L331" s="434" t="s">
        <v>99</v>
      </c>
      <c r="M331" s="437" t="s">
        <v>36</v>
      </c>
      <c r="N331" s="439">
        <v>15</v>
      </c>
      <c r="O331" s="439"/>
      <c r="P331" s="439"/>
      <c r="Q331" s="439"/>
      <c r="R331" s="440" t="str">
        <f>VLOOKUP(Ruimtestaat[[#This Row],[Ruimte code]],Ruimtegroepen[],4,FALSE)</f>
        <v>Bu</v>
      </c>
      <c r="S331" s="434">
        <v>41</v>
      </c>
      <c r="T331" s="434" t="s">
        <v>17</v>
      </c>
      <c r="U331" s="434">
        <f>IF(S331&gt;0,IF(RIGHT(Ruimtestaat[[#This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31" s="434">
        <f>IF(U331&gt;0,VLOOKUP($J331,Ruimtegroepen[],3,FALSE)*VLOOKUP($L331,Vloersoorten[],3,FALSE)*VLOOKUP($T331,Frequenties[],3,FALSE)*VLOOKUP($A331,Locaties[],3,FALSE),0)</f>
        <v>0</v>
      </c>
      <c r="W331" s="434">
        <f>Ruimtestaat[[#This Row],[Uitvoeringen werkdagen]]*Ruimtestaat[[#This Row],[Oppervlak (netto)]]</f>
        <v>1230</v>
      </c>
      <c r="X331" s="441">
        <f>IF(V331&gt;0,Ruimtestaat[[#This Row],[Prest. (m2 /jaar) werkdagen]]/Ruimtestaat[[#This Row],[Norm (m2/uur) werkdagen]],0)</f>
        <v>0</v>
      </c>
      <c r="Y331" s="442">
        <f>Ruimtestaat[[#This Row],[Uitvoeringen werkdagen]]*Ruimtestaat[[#This Row],[Gedeeltelijk]]</f>
        <v>0</v>
      </c>
      <c r="Z331" s="443" t="e">
        <f>IF(U331&gt;0,Ruimtestaat[[#This Row],[Prest. (m2 / jaar) werkdagen gedeeld]]/Ruimtestaat[[#This Row],[Norm (m2/uur) werkdagen]],0)</f>
        <v>#DIV/0!</v>
      </c>
      <c r="AA331" s="441" t="e">
        <f>Ruimtestaat[[#This Row],[uren / jaar werkdagen gedeeld]]*Tariefsopbouw!$E$35</f>
        <v>#DIV/0!</v>
      </c>
      <c r="AB331" s="441">
        <f>Ruimtestaat[[#This Row],[Uitvoeringen werkdagen]]*Ruimtestaat[[#This Row],[BSO]]</f>
        <v>0</v>
      </c>
      <c r="AC331" s="443" t="e">
        <f>IF(U331&gt;0,Ruimtestaat[[#This Row],[Prest. (m2 / jaar) werkdagen BSO]]/Ruimtestaat[[#This Row],[Norm (m2/uur) werkdagen]],0)</f>
        <v>#DIV/0!</v>
      </c>
      <c r="AD331" s="443" t="e">
        <f>Ruimtestaat[[#This Row],[uren / jaar werkdagen BSO]]*Tariefsopbouw!$E$35</f>
        <v>#DIV/0!</v>
      </c>
      <c r="AE331" s="444">
        <f>Ruimtestaat[[#This Row],[uren / jaar werkdagen]]*Tariefsopbouw!$E$35</f>
        <v>0</v>
      </c>
      <c r="AF331" s="434"/>
      <c r="AG331" s="434">
        <f>IF(Ruimtestaat[[#This Row],[Frequentie weekend]]&gt;0,VALUE(LEFT(AF331,1))*S331,0)</f>
        <v>0</v>
      </c>
      <c r="AH331" s="445">
        <f>IF($AG331&gt;0,VLOOKUP($J331,Ruimtegroepen[],3,FALSE)*VLOOKUP($L331,Vloersoorten[],3,FALSE)*VLOOKUP($AF331,Frequenties[],3,FALSE)*VLOOKUP(Ruimtestaat[[#This Row],[Code]],Locaties[],3,FALSE),0)</f>
        <v>0</v>
      </c>
      <c r="AI331" s="445">
        <f>Ruimtestaat[[#This Row],[Uitvoeringen weekend]]*Ruimtestaat[[#This Row],[Oppervlak (netto)]]</f>
        <v>0</v>
      </c>
      <c r="AJ331" s="445">
        <f>IF(AH331&gt;0,Ruimtestaat[[#This Row],[Prest. (m2 /jaar) weekend]]/Ruimtestaat[[#This Row],[Norm (m2/uur) weekend]],0)</f>
        <v>0</v>
      </c>
      <c r="AK331" s="444">
        <f>Ruimtestaat[[#This Row],[uren / jaar weekend]]*Tariefsopbouw!$D$40</f>
        <v>0</v>
      </c>
      <c r="AL331" s="441">
        <f>Ruimtestaat[[#This Row],[Prest. (m2 /jaar) weekend]]+Ruimtestaat[[#This Row],[Prest. (m2 /jaar) werkdagen]]</f>
        <v>1230</v>
      </c>
      <c r="AM331" s="441">
        <f>Ruimtestaat[[#This Row],[uren / jaar weekend]]+Ruimtestaat[[#This Row],[uren / jaar werkdagen]]</f>
        <v>0</v>
      </c>
      <c r="AN331" s="446">
        <f>Ruimtestaat[[#This Row],[kosten / jaar weekend]]+Ruimtestaat[[#This Row],[kosten / jaar werkdagen]]</f>
        <v>0</v>
      </c>
      <c r="AO331" s="446"/>
      <c r="AP331" s="447" t="str">
        <f>IF(Ruimtestaat[[#This Row],[Frequentie werkdagen]]="","",_xlfn.CONCAT(Ruimtestaat[[#This Row],[Ruimte code]],"-",Ruimtestaat[[#This Row],[Frequentie werkdagen]]," ",Ruimtestaat[[#This Row],[Vloer code]]))</f>
        <v>2-2w T</v>
      </c>
      <c r="AQ331" s="448" t="str">
        <f>_xlfn.IFNA(VLOOKUP($AP331,Programma!$F$3:$G$1101,2,0),"")</f>
        <v>1w</v>
      </c>
      <c r="AR331" s="448" t="str">
        <f>_xlfn.IFNA(VLOOKUP($AP331,Programma!$F$3:$H$1101,3,0),"")</f>
        <v>1w</v>
      </c>
      <c r="AS331" s="448" t="str">
        <f>_xlfn.IFNA(VLOOKUP($AP331,Programma!$F$3:$I$1101,4,0),"")</f>
        <v>_</v>
      </c>
      <c r="AT331" s="448" t="str">
        <f>_xlfn.IFNA(VLOOKUP($AP331,Programma!$F$3:$J$1101,5,0),"")</f>
        <v>_</v>
      </c>
      <c r="AU331" s="448" t="str">
        <f>_xlfn.IFNA(VLOOKUP($AP331,Programma!$F$3:$K$1101,6,0),"")</f>
        <v>_</v>
      </c>
      <c r="AV331" s="448" t="str">
        <f>_xlfn.IFNA(VLOOKUP($AP331,Programma!$F$3:$L$1101,7,0),"")</f>
        <v>_</v>
      </c>
      <c r="AW331" s="448" t="str">
        <f>_xlfn.IFNA(VLOOKUP($AP331,Programma!$F$3:$M$1101,8,0),"")</f>
        <v>_</v>
      </c>
      <c r="AX331" s="448" t="str">
        <f>_xlfn.IFNA(VLOOKUP($AP331,Programma!$F$3:$N$1101,9,0),"")</f>
        <v>_</v>
      </c>
      <c r="AY331" s="448" t="str">
        <f>_xlfn.IFNA(VLOOKUP($AP331,Programma!$F$3:$O$1101,10,0),"")</f>
        <v>2w</v>
      </c>
      <c r="AZ331" s="448" t="str">
        <f>_xlfn.IFNA(VLOOKUP($AP331,Programma!$F$3:$P$1101,11,0),"")</f>
        <v>2w</v>
      </c>
      <c r="BA331" s="448" t="str">
        <f>_xlfn.IFNA(VLOOKUP($AP331,Programma!$F$3:$Q$1101,12,0),"")</f>
        <v>1w</v>
      </c>
      <c r="BB331" s="448" t="str">
        <f>_xlfn.IFNA(VLOOKUP($AP331,Programma!$F$3:$R$1101,13,0),"")</f>
        <v>1w</v>
      </c>
      <c r="BC331" s="448" t="str">
        <f>_xlfn.IFNA(VLOOKUP($AP331,Programma!$F$3:$S$1101,14,0),"")</f>
        <v>1m</v>
      </c>
      <c r="BD331" s="448" t="str">
        <f>_xlfn.IFNA(VLOOKUP($AP331,Programma!$F$3:$T$1101,15,0),"")</f>
        <v>2j</v>
      </c>
      <c r="BE331" s="448" t="str">
        <f>_xlfn.IFNA(VLOOKUP($AP331,Programma!$F$3:$U$1101,16,0),"")</f>
        <v>1j</v>
      </c>
      <c r="BF331" s="448" t="str">
        <f>_xlfn.IFNA(VLOOKUP($AP331,Programma!$F$3:$V$1101,17,0),"")</f>
        <v>_</v>
      </c>
      <c r="BG331" s="448" t="str">
        <f>_xlfn.IFNA(VLOOKUP($AP331,Programma!$F$3:$W$1101,18,0),"")</f>
        <v>_</v>
      </c>
      <c r="BH331" s="448" t="str">
        <f>_xlfn.IFNA(VLOOKUP($AP331,Programma!$F$3:$X$1101,19,0),"")</f>
        <v>_</v>
      </c>
      <c r="BI331" s="448" t="str">
        <f>_xlfn.IFNA(VLOOKUP($AP331,Programma!$F$3:$Y$1101,20,0),"")</f>
        <v>_</v>
      </c>
      <c r="BJ331" s="449"/>
      <c r="BK331" s="447" t="str">
        <f>IF(Ruimtestaat[[#This Row],[Frequentie weekend]]="","",_xlfn.CONCAT(Ruimtestaat[[#This Row],[Ruimte code]],"-",Ruimtestaat[[#This Row],[Frequentie weekend]]," ",Ruimtestaat[[#This Row],[Vloer code]]))</f>
        <v/>
      </c>
      <c r="BL331" s="448" t="str">
        <f>_xlfn.IFNA(VLOOKUP($BK331,Programma!$F$3:$G$1101,2,0),"")</f>
        <v/>
      </c>
      <c r="BM331" s="448" t="str">
        <f>_xlfn.IFNA(VLOOKUP($BK331,Programma!$F$3:$H$1101,3,0),"")</f>
        <v/>
      </c>
      <c r="BN331" s="448" t="str">
        <f>_xlfn.IFNA(VLOOKUP($BK331,Programma!$F$3:$I$1101,4,0),"")</f>
        <v/>
      </c>
      <c r="BO331" s="448" t="str">
        <f>_xlfn.IFNA(VLOOKUP($BK331,Programma!$F$3:$J$1101,5,0),"")</f>
        <v/>
      </c>
      <c r="BP331" s="448" t="str">
        <f>_xlfn.IFNA(VLOOKUP($BK331,Programma!$F$3:$K$1101,6,0),"")</f>
        <v/>
      </c>
      <c r="BQ331" s="448" t="str">
        <f>_xlfn.IFNA(VLOOKUP($BK331,Programma!$F$3:$L$1101,7,0),"")</f>
        <v/>
      </c>
      <c r="BR331" s="448" t="str">
        <f>_xlfn.IFNA(VLOOKUP($BK331,Programma!$F$3:$M$1101,8,0),"")</f>
        <v/>
      </c>
      <c r="BS331" s="448" t="str">
        <f>_xlfn.IFNA(VLOOKUP($BK331,Programma!$F$3:$N$1101,9,0),"")</f>
        <v/>
      </c>
      <c r="BT331" s="448" t="str">
        <f>_xlfn.IFNA(VLOOKUP($BK331,Programma!$F$3:$O$1101,10,0),"")</f>
        <v/>
      </c>
      <c r="BU331" s="448" t="str">
        <f>_xlfn.IFNA(VLOOKUP($BK331,Programma!$F$3:$P$1101,11,0),"")</f>
        <v/>
      </c>
      <c r="BV331" s="448" t="str">
        <f>_xlfn.IFNA(VLOOKUP($BK331,Programma!$F$3:$Q$1101,12,0),"")</f>
        <v/>
      </c>
      <c r="BW331" s="448" t="str">
        <f>_xlfn.IFNA(VLOOKUP($BK331,Programma!$F$3:$R$1101,13,0),"")</f>
        <v/>
      </c>
      <c r="BX331" s="448" t="str">
        <f>_xlfn.IFNA(VLOOKUP($BK331,Programma!$F$3:$S$1101,14,0),"")</f>
        <v/>
      </c>
      <c r="BY331" s="448" t="str">
        <f>_xlfn.IFNA(VLOOKUP($BK331,Programma!$F$3:$T$1101,15,0),"")</f>
        <v/>
      </c>
      <c r="BZ331" s="448" t="str">
        <f>_xlfn.IFNA(VLOOKUP($BK331,Programma!$F$3:$U$1101,16,0),"")</f>
        <v/>
      </c>
      <c r="CA331" s="448" t="str">
        <f>_xlfn.IFNA(VLOOKUP($BK331,Programma!$F$3:$V$1101,17,0),"")</f>
        <v/>
      </c>
      <c r="CB331" s="448" t="str">
        <f>_xlfn.IFNA(VLOOKUP($BK331,Programma!$F$3:$W$1101,18,0),"")</f>
        <v/>
      </c>
      <c r="CC331" s="448" t="str">
        <f>_xlfn.IFNA(VLOOKUP($BK331,Programma!$F$3:$X$1101,19,0),"")</f>
        <v/>
      </c>
      <c r="CD331" s="448" t="str">
        <f>_xlfn.IFNA(VLOOKUP($BK331,Programma!$F$3:$Y$1101,20,0),"")</f>
        <v/>
      </c>
      <c r="CE331" s="327"/>
      <c r="CF331" s="327"/>
      <c r="CG331" s="327"/>
      <c r="CH331" s="327"/>
      <c r="CI331" s="327"/>
      <c r="CJ331" s="327"/>
      <c r="CK331" s="327"/>
      <c r="CL331" s="327"/>
      <c r="CM331" s="327"/>
      <c r="CN331" s="327"/>
      <c r="CO331" s="327"/>
      <c r="CP331" s="327"/>
      <c r="CQ331" s="327"/>
      <c r="CR331" s="327"/>
      <c r="CS331" s="327"/>
      <c r="CT331" s="327"/>
      <c r="CU331" s="327"/>
      <c r="CV331" s="327"/>
      <c r="CW331" s="327"/>
      <c r="CX331" s="327"/>
      <c r="CY331" s="327"/>
      <c r="CZ331" s="327"/>
      <c r="DA331" s="327"/>
      <c r="DB331" s="327"/>
      <c r="DC331" s="327"/>
      <c r="DD331" s="327"/>
      <c r="DE331" s="327"/>
      <c r="DF331" s="327"/>
      <c r="DG331" s="327"/>
      <c r="DH331" s="327"/>
      <c r="DI331" s="327"/>
      <c r="DJ331" s="327"/>
      <c r="DK331" s="327"/>
      <c r="DL331" s="327"/>
      <c r="DM331" s="327"/>
      <c r="DN331" s="327"/>
      <c r="DO331" s="327"/>
      <c r="DP331" s="327"/>
      <c r="DQ331" s="327"/>
      <c r="DR331" s="327"/>
      <c r="DS331" s="327"/>
      <c r="DT331" s="327"/>
      <c r="DU331" s="327"/>
      <c r="DV331" s="327"/>
      <c r="DW331" s="327"/>
      <c r="DX331" s="327"/>
      <c r="DY331" s="327"/>
      <c r="DZ331" s="327"/>
      <c r="EA331" s="327"/>
      <c r="EB331" s="327"/>
      <c r="EC331" s="327"/>
      <c r="ED331" s="327"/>
      <c r="EE331" s="327"/>
      <c r="EF331" s="327"/>
      <c r="EG331" s="327"/>
      <c r="EH331" s="327"/>
      <c r="EI331" s="327"/>
      <c r="EJ331" s="327"/>
      <c r="EK331" s="327"/>
      <c r="EL331" s="327"/>
      <c r="EM331" s="327"/>
      <c r="EN331" s="327"/>
      <c r="EO331" s="327"/>
      <c r="EP331" s="327"/>
      <c r="EQ331" s="327"/>
      <c r="ER331" s="327"/>
      <c r="ES331" s="327"/>
      <c r="ET331" s="327"/>
      <c r="EU331" s="327"/>
      <c r="EV331" s="327"/>
      <c r="EW331" s="327"/>
      <c r="EX331" s="327"/>
      <c r="EY331" s="327"/>
      <c r="EZ331" s="327"/>
      <c r="FA331" s="327"/>
      <c r="FB331" s="327"/>
      <c r="FC331" s="327"/>
      <c r="FD331" s="327"/>
      <c r="FE331" s="327"/>
      <c r="FF331" s="327"/>
      <c r="FG331" s="327"/>
      <c r="FH331" s="327"/>
      <c r="FI331" s="327"/>
      <c r="FJ331" s="327"/>
      <c r="FK331" s="327"/>
      <c r="FL331" s="327"/>
      <c r="FM331" s="327"/>
      <c r="FN331" s="327"/>
      <c r="FO331" s="327"/>
      <c r="FP331" s="327"/>
      <c r="FQ331" s="327"/>
      <c r="FR331" s="327"/>
      <c r="FS331" s="327"/>
      <c r="FT331" s="327"/>
      <c r="FU331" s="327"/>
      <c r="FV331" s="327"/>
      <c r="FW331" s="327"/>
      <c r="FX331" s="327"/>
      <c r="FY331" s="327"/>
      <c r="FZ331" s="327"/>
      <c r="GA331" s="327"/>
      <c r="GB331" s="327"/>
      <c r="GC331" s="327"/>
      <c r="GD331" s="327"/>
      <c r="GE331" s="327"/>
      <c r="GF331" s="327"/>
      <c r="GG331" s="327"/>
      <c r="GH331" s="327"/>
      <c r="GI331" s="327"/>
      <c r="GJ331" s="327"/>
      <c r="GK331" s="327"/>
      <c r="GL331" s="327"/>
      <c r="GM331" s="327"/>
      <c r="GN331" s="327"/>
      <c r="GO331" s="327"/>
      <c r="GP331" s="327"/>
      <c r="GQ331" s="327"/>
      <c r="GR331" s="327"/>
      <c r="GS331" s="327"/>
      <c r="GT331" s="327"/>
      <c r="GU331" s="327"/>
      <c r="GV331" s="327"/>
      <c r="GW331" s="327"/>
      <c r="GX331" s="327"/>
      <c r="GY331" s="327"/>
      <c r="GZ331" s="327"/>
      <c r="HA331" s="327"/>
      <c r="HB331" s="327"/>
      <c r="HC331" s="327"/>
      <c r="HD331" s="327"/>
      <c r="HE331" s="327"/>
      <c r="HF331" s="327"/>
      <c r="HG331" s="327"/>
      <c r="HH331" s="327"/>
      <c r="HI331" s="327"/>
      <c r="HJ331" s="327"/>
      <c r="HK331" s="327"/>
      <c r="HL331" s="327"/>
      <c r="HM331" s="327"/>
      <c r="HN331" s="327"/>
      <c r="HO331" s="327"/>
      <c r="HP331" s="327"/>
      <c r="HQ331" s="327"/>
      <c r="HR331" s="327"/>
      <c r="HS331" s="327"/>
    </row>
    <row r="332" spans="1:227" ht="15" customHeight="1">
      <c r="A332" s="330">
        <v>14</v>
      </c>
      <c r="B332" s="435" t="str">
        <f>VLOOKUP(Ruimtestaat[[#This Row],[Code]],Locaties[[Code]:[Locatie]],2,FALSE)</f>
        <v>IKC De Vuurtoren</v>
      </c>
      <c r="C332" s="435" t="str">
        <f>VLOOKUP(Ruimtestaat[[#This Row],[Code]],Locaties[[#All],[Code]:[Adres]],4,FALSE)</f>
        <v>Spitsbergen 15</v>
      </c>
      <c r="D332" s="435" t="str">
        <f>VLOOKUP(Ruimtestaat[[#This Row],[Code]],Locaties[[#All],[Code]:[Postcode]],5,FALSE)</f>
        <v>2721 GP</v>
      </c>
      <c r="E332" s="435" t="str">
        <f>VLOOKUP(Ruimtestaat[[#This Row],[Code]],Locaties[#All],6,FALSE)</f>
        <v>Zoetermeer</v>
      </c>
      <c r="F332" s="450"/>
      <c r="G332" s="330" t="s">
        <v>1678</v>
      </c>
      <c r="H332" s="330" t="s">
        <v>1693</v>
      </c>
      <c r="I332" s="450" t="s">
        <v>1673</v>
      </c>
      <c r="J332" s="330">
        <v>5</v>
      </c>
      <c r="K332" s="450" t="str">
        <f>VLOOKUP(Ruimtestaat[[#This Row],[Ruimte code]],Ruimtegroepen[[#All],[Code]:[Ruimte omschrijving]],2,FALSE)</f>
        <v>Sanitair</v>
      </c>
      <c r="L332" s="330" t="s">
        <v>101</v>
      </c>
      <c r="M332" s="437" t="s">
        <v>1816</v>
      </c>
      <c r="N332" s="439">
        <v>19</v>
      </c>
      <c r="O332" s="439"/>
      <c r="P332" s="439"/>
      <c r="Q332" s="439"/>
      <c r="R332" s="440" t="str">
        <f>VLOOKUP(Ruimtestaat[[#This Row],[Ruimte code]],Ruimtegroepen[],4,FALSE)</f>
        <v>Sa</v>
      </c>
      <c r="S332" s="434">
        <v>41</v>
      </c>
      <c r="T332" s="434" t="s">
        <v>2</v>
      </c>
      <c r="U332" s="434">
        <f>IF(S332&gt;0,IF(RIGHT(Ruimtestaat[[#This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32" s="434">
        <f>IF(U332&gt;0,VLOOKUP($J332,Ruimtegroepen[],3,FALSE)*VLOOKUP($L332,Vloersoorten[],3,FALSE)*VLOOKUP($T332,Frequenties[],3,FALSE)*VLOOKUP($A332,Locaties[],3,FALSE),0)</f>
        <v>0</v>
      </c>
      <c r="W332" s="434">
        <f>Ruimtestaat[[#This Row],[Uitvoeringen werkdagen]]*Ruimtestaat[[#This Row],[Oppervlak (netto)]]</f>
        <v>3895</v>
      </c>
      <c r="X332" s="441">
        <f>IF(V332&gt;0,Ruimtestaat[[#This Row],[Prest. (m2 /jaar) werkdagen]]/Ruimtestaat[[#This Row],[Norm (m2/uur) werkdagen]],0)</f>
        <v>0</v>
      </c>
      <c r="Y332" s="442">
        <f>Ruimtestaat[[#This Row],[Uitvoeringen werkdagen]]*Ruimtestaat[[#This Row],[Gedeeltelijk]]</f>
        <v>0</v>
      </c>
      <c r="Z332" s="443" t="e">
        <f>IF(U332&gt;0,Ruimtestaat[[#This Row],[Prest. (m2 / jaar) werkdagen gedeeld]]/Ruimtestaat[[#This Row],[Norm (m2/uur) werkdagen]],0)</f>
        <v>#DIV/0!</v>
      </c>
      <c r="AA332" s="441" t="e">
        <f>Ruimtestaat[[#This Row],[uren / jaar werkdagen gedeeld]]*Tariefsopbouw!$E$35</f>
        <v>#DIV/0!</v>
      </c>
      <c r="AB332" s="441">
        <f>Ruimtestaat[[#This Row],[Uitvoeringen werkdagen]]*Ruimtestaat[[#This Row],[BSO]]</f>
        <v>0</v>
      </c>
      <c r="AC332" s="443" t="e">
        <f>IF(U332&gt;0,Ruimtestaat[[#This Row],[Prest. (m2 / jaar) werkdagen BSO]]/Ruimtestaat[[#This Row],[Norm (m2/uur) werkdagen]],0)</f>
        <v>#DIV/0!</v>
      </c>
      <c r="AD332" s="443" t="e">
        <f>Ruimtestaat[[#This Row],[uren / jaar werkdagen BSO]]*Tariefsopbouw!$E$35</f>
        <v>#DIV/0!</v>
      </c>
      <c r="AE332" s="444">
        <f>Ruimtestaat[[#This Row],[uren / jaar werkdagen]]*Tariefsopbouw!$E$35</f>
        <v>0</v>
      </c>
      <c r="AF332" s="434"/>
      <c r="AG332" s="434">
        <f>IF(Ruimtestaat[[#This Row],[Frequentie weekend]]&gt;0,VALUE(LEFT(AF332,1))*S332,0)</f>
        <v>0</v>
      </c>
      <c r="AH332" s="445">
        <f>IF($AG332&gt;0,VLOOKUP($J332,Ruimtegroepen[],3,FALSE)*VLOOKUP($L332,Vloersoorten[],3,FALSE)*VLOOKUP($AF332,Frequenties[],3,FALSE)*VLOOKUP(Ruimtestaat[[#This Row],[Code]],Locaties[],3,FALSE),0)</f>
        <v>0</v>
      </c>
      <c r="AI332" s="445">
        <f>Ruimtestaat[[#This Row],[Uitvoeringen weekend]]*Ruimtestaat[[#This Row],[Oppervlak (netto)]]</f>
        <v>0</v>
      </c>
      <c r="AJ332" s="445">
        <f>IF(AH332&gt;0,Ruimtestaat[[#This Row],[Prest. (m2 /jaar) weekend]]/Ruimtestaat[[#This Row],[Norm (m2/uur) weekend]],0)</f>
        <v>0</v>
      </c>
      <c r="AK332" s="444">
        <f>Ruimtestaat[[#This Row],[uren / jaar weekend]]*Tariefsopbouw!$D$40</f>
        <v>0</v>
      </c>
      <c r="AL332" s="441">
        <f>Ruimtestaat[[#This Row],[Prest. (m2 /jaar) weekend]]+Ruimtestaat[[#This Row],[Prest. (m2 /jaar) werkdagen]]</f>
        <v>3895</v>
      </c>
      <c r="AM332" s="441">
        <f>Ruimtestaat[[#This Row],[uren / jaar weekend]]+Ruimtestaat[[#This Row],[uren / jaar werkdagen]]</f>
        <v>0</v>
      </c>
      <c r="AN332" s="446">
        <f>Ruimtestaat[[#This Row],[kosten / jaar weekend]]+Ruimtestaat[[#This Row],[kosten / jaar werkdagen]]</f>
        <v>0</v>
      </c>
      <c r="AO332" s="446"/>
      <c r="AP332" s="447" t="str">
        <f>IF(Ruimtestaat[[#This Row],[Frequentie werkdagen]]="","",_xlfn.CONCAT(Ruimtestaat[[#This Row],[Ruimte code]],"-",Ruimtestaat[[#This Row],[Frequentie werkdagen]]," ",Ruimtestaat[[#This Row],[Vloer code]]))</f>
        <v>5-5w S</v>
      </c>
      <c r="AQ332" s="448" t="str">
        <f>_xlfn.IFNA(VLOOKUP($AP332,Programma!$F$3:$G$1101,2,0),"")</f>
        <v>_</v>
      </c>
      <c r="AR332" s="448" t="str">
        <f>_xlfn.IFNA(VLOOKUP($AP332,Programma!$F$3:$H$1101,3,0),"")</f>
        <v>_</v>
      </c>
      <c r="AS332" s="448" t="str">
        <f>_xlfn.IFNA(VLOOKUP($AP332,Programma!$F$3:$I$1101,4,0),"")</f>
        <v>_</v>
      </c>
      <c r="AT332" s="448" t="str">
        <f>_xlfn.IFNA(VLOOKUP($AP332,Programma!$F$3:$J$1101,5,0),"")</f>
        <v>4w</v>
      </c>
      <c r="AU332" s="448" t="str">
        <f>_xlfn.IFNA(VLOOKUP($AP332,Programma!$F$3:$K$1101,6,0),"")</f>
        <v>1w</v>
      </c>
      <c r="AV332" s="448" t="str">
        <f>_xlfn.IFNA(VLOOKUP($AP332,Programma!$F$3:$L$1101,7,0),"")</f>
        <v>_</v>
      </c>
      <c r="AW332" s="448" t="str">
        <f>_xlfn.IFNA(VLOOKUP($AP332,Programma!$F$3:$M$1101,8,0),"")</f>
        <v>_</v>
      </c>
      <c r="AX332" s="448" t="str">
        <f>_xlfn.IFNA(VLOOKUP($AP332,Programma!$F$3:$N$1101,9,0),"")</f>
        <v>_</v>
      </c>
      <c r="AY332" s="448" t="str">
        <f>_xlfn.IFNA(VLOOKUP($AP332,Programma!$F$3:$O$1101,10,0),"")</f>
        <v>_</v>
      </c>
      <c r="AZ332" s="448" t="str">
        <f>_xlfn.IFNA(VLOOKUP($AP332,Programma!$F$3:$P$1101,11,0),"")</f>
        <v>_</v>
      </c>
      <c r="BA332" s="448" t="str">
        <f>_xlfn.IFNA(VLOOKUP($AP332,Programma!$F$3:$Q$1101,12,0),"")</f>
        <v>_</v>
      </c>
      <c r="BB332" s="448" t="str">
        <f>_xlfn.IFNA(VLOOKUP($AP332,Programma!$F$3:$R$1101,13,0),"")</f>
        <v>_</v>
      </c>
      <c r="BC332" s="448" t="str">
        <f>_xlfn.IFNA(VLOOKUP($AP332,Programma!$F$3:$S$1101,14,0),"")</f>
        <v>_</v>
      </c>
      <c r="BD332" s="448" t="str">
        <f>_xlfn.IFNA(VLOOKUP($AP332,Programma!$F$3:$T$1101,15,0),"")</f>
        <v>_</v>
      </c>
      <c r="BE332" s="448" t="str">
        <f>_xlfn.IFNA(VLOOKUP($AP332,Programma!$F$3:$U$1101,16,0),"")</f>
        <v>_</v>
      </c>
      <c r="BF332" s="448" t="str">
        <f>_xlfn.IFNA(VLOOKUP($AP332,Programma!$F$3:$V$1101,17,0),"")</f>
        <v>_</v>
      </c>
      <c r="BG332" s="448" t="str">
        <f>_xlfn.IFNA(VLOOKUP($AP332,Programma!$F$3:$W$1101,18,0),"")</f>
        <v>4w</v>
      </c>
      <c r="BH332" s="448" t="str">
        <f>_xlfn.IFNA(VLOOKUP($AP332,Programma!$F$3:$X$1101,19,0),"")</f>
        <v>1w</v>
      </c>
      <c r="BI332" s="448" t="str">
        <f>_xlfn.IFNA(VLOOKUP($AP332,Programma!$F$3:$Y$1101,20,0),"")</f>
        <v>_</v>
      </c>
      <c r="BJ332" s="449"/>
      <c r="BK332" s="447" t="str">
        <f>IF(Ruimtestaat[[#This Row],[Frequentie weekend]]="","",_xlfn.CONCAT(Ruimtestaat[[#This Row],[Ruimte code]],"-",Ruimtestaat[[#This Row],[Frequentie weekend]]," ",Ruimtestaat[[#This Row],[Vloer code]]))</f>
        <v/>
      </c>
      <c r="BL332" s="448" t="str">
        <f>_xlfn.IFNA(VLOOKUP($BK332,Programma!$F$3:$G$1101,2,0),"")</f>
        <v/>
      </c>
      <c r="BM332" s="448" t="str">
        <f>_xlfn.IFNA(VLOOKUP($BK332,Programma!$F$3:$H$1101,3,0),"")</f>
        <v/>
      </c>
      <c r="BN332" s="448" t="str">
        <f>_xlfn.IFNA(VLOOKUP($BK332,Programma!$F$3:$I$1101,4,0),"")</f>
        <v/>
      </c>
      <c r="BO332" s="448" t="str">
        <f>_xlfn.IFNA(VLOOKUP($BK332,Programma!$F$3:$J$1101,5,0),"")</f>
        <v/>
      </c>
      <c r="BP332" s="448" t="str">
        <f>_xlfn.IFNA(VLOOKUP($BK332,Programma!$F$3:$K$1101,6,0),"")</f>
        <v/>
      </c>
      <c r="BQ332" s="448" t="str">
        <f>_xlfn.IFNA(VLOOKUP($BK332,Programma!$F$3:$L$1101,7,0),"")</f>
        <v/>
      </c>
      <c r="BR332" s="448" t="str">
        <f>_xlfn.IFNA(VLOOKUP($BK332,Programma!$F$3:$M$1101,8,0),"")</f>
        <v/>
      </c>
      <c r="BS332" s="448" t="str">
        <f>_xlfn.IFNA(VLOOKUP($BK332,Programma!$F$3:$N$1101,9,0),"")</f>
        <v/>
      </c>
      <c r="BT332" s="448" t="str">
        <f>_xlfn.IFNA(VLOOKUP($BK332,Programma!$F$3:$O$1101,10,0),"")</f>
        <v/>
      </c>
      <c r="BU332" s="448" t="str">
        <f>_xlfn.IFNA(VLOOKUP($BK332,Programma!$F$3:$P$1101,11,0),"")</f>
        <v/>
      </c>
      <c r="BV332" s="448" t="str">
        <f>_xlfn.IFNA(VLOOKUP($BK332,Programma!$F$3:$Q$1101,12,0),"")</f>
        <v/>
      </c>
      <c r="BW332" s="448" t="str">
        <f>_xlfn.IFNA(VLOOKUP($BK332,Programma!$F$3:$R$1101,13,0),"")</f>
        <v/>
      </c>
      <c r="BX332" s="448" t="str">
        <f>_xlfn.IFNA(VLOOKUP($BK332,Programma!$F$3:$S$1101,14,0),"")</f>
        <v/>
      </c>
      <c r="BY332" s="448" t="str">
        <f>_xlfn.IFNA(VLOOKUP($BK332,Programma!$F$3:$T$1101,15,0),"")</f>
        <v/>
      </c>
      <c r="BZ332" s="448" t="str">
        <f>_xlfn.IFNA(VLOOKUP($BK332,Programma!$F$3:$U$1101,16,0),"")</f>
        <v/>
      </c>
      <c r="CA332" s="448" t="str">
        <f>_xlfn.IFNA(VLOOKUP($BK332,Programma!$F$3:$V$1101,17,0),"")</f>
        <v/>
      </c>
      <c r="CB332" s="448" t="str">
        <f>_xlfn.IFNA(VLOOKUP($BK332,Programma!$F$3:$W$1101,18,0),"")</f>
        <v/>
      </c>
      <c r="CC332" s="448" t="str">
        <f>_xlfn.IFNA(VLOOKUP($BK332,Programma!$F$3:$X$1101,19,0),"")</f>
        <v/>
      </c>
      <c r="CD332" s="448" t="str">
        <f>_xlfn.IFNA(VLOOKUP($BK332,Programma!$F$3:$Y$1101,20,0),"")</f>
        <v/>
      </c>
      <c r="CE332" s="327"/>
      <c r="CF332" s="327"/>
      <c r="CG332" s="327"/>
      <c r="CH332" s="327"/>
      <c r="CI332" s="327"/>
      <c r="CJ332" s="327"/>
      <c r="CK332" s="327"/>
      <c r="CL332" s="327"/>
      <c r="CM332" s="327"/>
      <c r="CN332" s="327"/>
      <c r="CO332" s="327"/>
      <c r="CP332" s="327"/>
      <c r="CQ332" s="327"/>
      <c r="CR332" s="327"/>
      <c r="CS332" s="327"/>
      <c r="CT332" s="327"/>
      <c r="CU332" s="327"/>
      <c r="CV332" s="327"/>
      <c r="CW332" s="327"/>
      <c r="CX332" s="327"/>
      <c r="CY332" s="327"/>
      <c r="CZ332" s="327"/>
      <c r="DA332" s="327"/>
      <c r="DB332" s="327"/>
      <c r="DC332" s="327"/>
      <c r="DD332" s="327"/>
      <c r="DE332" s="327"/>
      <c r="DF332" s="327"/>
      <c r="DG332" s="327"/>
      <c r="DH332" s="327"/>
      <c r="DI332" s="327"/>
      <c r="DJ332" s="327"/>
      <c r="DK332" s="327"/>
      <c r="DL332" s="327"/>
      <c r="DM332" s="327"/>
      <c r="DN332" s="327"/>
      <c r="DO332" s="327"/>
      <c r="DP332" s="327"/>
      <c r="DQ332" s="327"/>
      <c r="DR332" s="327"/>
      <c r="DS332" s="327"/>
      <c r="DT332" s="327"/>
      <c r="DU332" s="327"/>
      <c r="DV332" s="327"/>
      <c r="DW332" s="327"/>
      <c r="DX332" s="327"/>
      <c r="DY332" s="327"/>
      <c r="DZ332" s="327"/>
      <c r="EA332" s="327"/>
      <c r="EB332" s="327"/>
      <c r="EC332" s="327"/>
      <c r="ED332" s="327"/>
      <c r="EE332" s="327"/>
      <c r="EF332" s="327"/>
      <c r="EG332" s="327"/>
      <c r="EH332" s="327"/>
      <c r="EI332" s="327"/>
      <c r="EJ332" s="327"/>
      <c r="EK332" s="327"/>
      <c r="EL332" s="327"/>
      <c r="EM332" s="327"/>
      <c r="EN332" s="327"/>
      <c r="EO332" s="327"/>
      <c r="EP332" s="327"/>
      <c r="EQ332" s="327"/>
      <c r="ER332" s="327"/>
      <c r="ES332" s="327"/>
      <c r="ET332" s="327"/>
      <c r="EU332" s="327"/>
      <c r="EV332" s="327"/>
      <c r="EW332" s="327"/>
      <c r="EX332" s="327"/>
      <c r="EY332" s="327"/>
      <c r="EZ332" s="327"/>
      <c r="FA332" s="327"/>
      <c r="FB332" s="327"/>
      <c r="FC332" s="327"/>
      <c r="FD332" s="327"/>
      <c r="FE332" s="327"/>
      <c r="FF332" s="327"/>
      <c r="FG332" s="327"/>
      <c r="FH332" s="327"/>
      <c r="FI332" s="327"/>
      <c r="FJ332" s="327"/>
      <c r="FK332" s="327"/>
      <c r="FL332" s="327"/>
      <c r="FM332" s="327"/>
      <c r="FN332" s="327"/>
      <c r="FO332" s="327"/>
      <c r="FP332" s="327"/>
      <c r="FQ332" s="327"/>
      <c r="FR332" s="327"/>
      <c r="FS332" s="327"/>
      <c r="FT332" s="327"/>
      <c r="FU332" s="327"/>
      <c r="FV332" s="327"/>
      <c r="FW332" s="327"/>
      <c r="FX332" s="327"/>
      <c r="FY332" s="327"/>
      <c r="FZ332" s="327"/>
      <c r="GA332" s="327"/>
      <c r="GB332" s="327"/>
      <c r="GC332" s="327"/>
      <c r="GD332" s="327"/>
      <c r="GE332" s="327"/>
      <c r="GF332" s="327"/>
      <c r="GG332" s="327"/>
      <c r="GH332" s="327"/>
      <c r="GI332" s="327"/>
      <c r="GJ332" s="327"/>
      <c r="GK332" s="327"/>
      <c r="GL332" s="327"/>
      <c r="GM332" s="327"/>
      <c r="GN332" s="327"/>
      <c r="GO332" s="327"/>
      <c r="GP332" s="327"/>
      <c r="GQ332" s="327"/>
      <c r="GR332" s="327"/>
      <c r="GS332" s="327"/>
      <c r="GT332" s="327"/>
      <c r="GU332" s="327"/>
      <c r="GV332" s="327"/>
      <c r="GW332" s="327"/>
      <c r="GX332" s="327"/>
      <c r="GY332" s="327"/>
      <c r="GZ332" s="327"/>
      <c r="HA332" s="327"/>
      <c r="HB332" s="327"/>
      <c r="HC332" s="327"/>
      <c r="HD332" s="327"/>
      <c r="HE332" s="327"/>
      <c r="HF332" s="327"/>
      <c r="HG332" s="327"/>
      <c r="HH332" s="327"/>
      <c r="HI332" s="327"/>
      <c r="HJ332" s="327"/>
      <c r="HK332" s="327"/>
      <c r="HL332" s="327"/>
      <c r="HM332" s="327"/>
      <c r="HN332" s="327"/>
      <c r="HO332" s="327"/>
      <c r="HP332" s="327"/>
      <c r="HQ332" s="327"/>
      <c r="HR332" s="327"/>
      <c r="HS332" s="327"/>
    </row>
    <row r="333" spans="1:227" ht="15" customHeight="1">
      <c r="A333" s="330">
        <v>14</v>
      </c>
      <c r="B333" s="435" t="str">
        <f>VLOOKUP(Ruimtestaat[[#This Row],[Code]],Locaties[[Code]:[Locatie]],2,FALSE)</f>
        <v>IKC De Vuurtoren</v>
      </c>
      <c r="C333" s="435" t="str">
        <f>VLOOKUP(Ruimtestaat[[#This Row],[Code]],Locaties[[#All],[Code]:[Adres]],4,FALSE)</f>
        <v>Spitsbergen 15</v>
      </c>
      <c r="D333" s="435" t="str">
        <f>VLOOKUP(Ruimtestaat[[#This Row],[Code]],Locaties[[#All],[Code]:[Postcode]],5,FALSE)</f>
        <v>2721 GP</v>
      </c>
      <c r="E333" s="435" t="str">
        <f>VLOOKUP(Ruimtestaat[[#This Row],[Code]],Locaties[#All],6,FALSE)</f>
        <v>Zoetermeer</v>
      </c>
      <c r="F333" s="450"/>
      <c r="G333" s="330" t="s">
        <v>1678</v>
      </c>
      <c r="H333" s="330" t="s">
        <v>1699</v>
      </c>
      <c r="I333" s="450" t="s">
        <v>1836</v>
      </c>
      <c r="J333" s="330">
        <v>10</v>
      </c>
      <c r="K333" s="450" t="str">
        <f>VLOOKUP(Ruimtestaat[[#This Row],[Ruimte code]],Ruimtegroepen[[#All],[Code]:[Ruimte omschrijving]],2,FALSE)</f>
        <v>Trappenhuizen/lift</v>
      </c>
      <c r="L333" s="434" t="s">
        <v>100</v>
      </c>
      <c r="M333" s="437" t="s">
        <v>1759</v>
      </c>
      <c r="N333" s="439">
        <v>3</v>
      </c>
      <c r="O333" s="439"/>
      <c r="P333" s="439"/>
      <c r="Q333" s="439"/>
      <c r="R333" s="440" t="str">
        <f>VLOOKUP(Ruimtestaat[[#This Row],[Ruimte code]],Ruimtegroepen[],4,FALSE)</f>
        <v>Ve</v>
      </c>
      <c r="S333" s="434">
        <v>41</v>
      </c>
      <c r="T333" s="434" t="s">
        <v>2</v>
      </c>
      <c r="U333" s="434">
        <f>IF(S333&gt;0,IF(RIGHT(Ruimtestaat[[#This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33" s="434">
        <f>IF(U333&gt;0,VLOOKUP($J333,Ruimtegroepen[],3,FALSE)*VLOOKUP($L333,Vloersoorten[],3,FALSE)*VLOOKUP($T333,Frequenties[],3,FALSE)*VLOOKUP($A333,Locaties[],3,FALSE),0)</f>
        <v>0</v>
      </c>
      <c r="W333" s="434">
        <f>Ruimtestaat[[#This Row],[Uitvoeringen werkdagen]]*Ruimtestaat[[#This Row],[Oppervlak (netto)]]</f>
        <v>615</v>
      </c>
      <c r="X333" s="441">
        <f>IF(V333&gt;0,Ruimtestaat[[#This Row],[Prest. (m2 /jaar) werkdagen]]/Ruimtestaat[[#This Row],[Norm (m2/uur) werkdagen]],0)</f>
        <v>0</v>
      </c>
      <c r="Y333" s="442">
        <f>Ruimtestaat[[#This Row],[Uitvoeringen werkdagen]]*Ruimtestaat[[#This Row],[Gedeeltelijk]]</f>
        <v>0</v>
      </c>
      <c r="Z333" s="443" t="e">
        <f>IF(U333&gt;0,Ruimtestaat[[#This Row],[Prest. (m2 / jaar) werkdagen gedeeld]]/Ruimtestaat[[#This Row],[Norm (m2/uur) werkdagen]],0)</f>
        <v>#DIV/0!</v>
      </c>
      <c r="AA333" s="441" t="e">
        <f>Ruimtestaat[[#This Row],[uren / jaar werkdagen gedeeld]]*Tariefsopbouw!$E$35</f>
        <v>#DIV/0!</v>
      </c>
      <c r="AB333" s="441">
        <f>Ruimtestaat[[#This Row],[Uitvoeringen werkdagen]]*Ruimtestaat[[#This Row],[BSO]]</f>
        <v>0</v>
      </c>
      <c r="AC333" s="443" t="e">
        <f>IF(U333&gt;0,Ruimtestaat[[#This Row],[Prest. (m2 / jaar) werkdagen BSO]]/Ruimtestaat[[#This Row],[Norm (m2/uur) werkdagen]],0)</f>
        <v>#DIV/0!</v>
      </c>
      <c r="AD333" s="443" t="e">
        <f>Ruimtestaat[[#This Row],[uren / jaar werkdagen BSO]]*Tariefsopbouw!$E$35</f>
        <v>#DIV/0!</v>
      </c>
      <c r="AE333" s="444">
        <f>Ruimtestaat[[#This Row],[uren / jaar werkdagen]]*Tariefsopbouw!$E$35</f>
        <v>0</v>
      </c>
      <c r="AF333" s="434"/>
      <c r="AG333" s="434">
        <f>IF(Ruimtestaat[[#This Row],[Frequentie weekend]]&gt;0,VALUE(LEFT(AF333,1))*S333,0)</f>
        <v>0</v>
      </c>
      <c r="AH333" s="445">
        <f>IF($AG333&gt;0,VLOOKUP($J333,Ruimtegroepen[],3,FALSE)*VLOOKUP($L333,Vloersoorten[],3,FALSE)*VLOOKUP($AF333,Frequenties[],3,FALSE)*VLOOKUP(Ruimtestaat[[#This Row],[Code]],Locaties[],3,FALSE),0)</f>
        <v>0</v>
      </c>
      <c r="AI333" s="445">
        <f>Ruimtestaat[[#This Row],[Uitvoeringen weekend]]*Ruimtestaat[[#This Row],[Oppervlak (netto)]]</f>
        <v>0</v>
      </c>
      <c r="AJ333" s="445">
        <f>IF(AH333&gt;0,Ruimtestaat[[#This Row],[Prest. (m2 /jaar) weekend]]/Ruimtestaat[[#This Row],[Norm (m2/uur) weekend]],0)</f>
        <v>0</v>
      </c>
      <c r="AK333" s="444">
        <f>Ruimtestaat[[#This Row],[uren / jaar weekend]]*Tariefsopbouw!$D$40</f>
        <v>0</v>
      </c>
      <c r="AL333" s="441">
        <f>Ruimtestaat[[#This Row],[Prest. (m2 /jaar) weekend]]+Ruimtestaat[[#This Row],[Prest. (m2 /jaar) werkdagen]]</f>
        <v>615</v>
      </c>
      <c r="AM333" s="441">
        <f>Ruimtestaat[[#This Row],[uren / jaar weekend]]+Ruimtestaat[[#This Row],[uren / jaar werkdagen]]</f>
        <v>0</v>
      </c>
      <c r="AN333" s="446">
        <f>Ruimtestaat[[#This Row],[kosten / jaar weekend]]+Ruimtestaat[[#This Row],[kosten / jaar werkdagen]]</f>
        <v>0</v>
      </c>
      <c r="AO333" s="446"/>
      <c r="AP333" s="447" t="str">
        <f>IF(Ruimtestaat[[#This Row],[Frequentie werkdagen]]="","",_xlfn.CONCAT(Ruimtestaat[[#This Row],[Ruimte code]],"-",Ruimtestaat[[#This Row],[Frequentie werkdagen]]," ",Ruimtestaat[[#This Row],[Vloer code]]))</f>
        <v>10-5w L</v>
      </c>
      <c r="AQ333" s="448" t="str">
        <f>_xlfn.IFNA(VLOOKUP($AP333,Programma!$F$3:$G$1101,2,0),"")</f>
        <v>_</v>
      </c>
      <c r="AR333" s="448" t="str">
        <f>_xlfn.IFNA(VLOOKUP($AP333,Programma!$F$3:$H$1101,3,0),"")</f>
        <v>_</v>
      </c>
      <c r="AS333" s="448" t="str">
        <f>_xlfn.IFNA(VLOOKUP($AP333,Programma!$F$3:$I$1101,4,0),"")</f>
        <v>4w</v>
      </c>
      <c r="AT333" s="448" t="str">
        <f>_xlfn.IFNA(VLOOKUP($AP333,Programma!$F$3:$J$1101,5,0),"")</f>
        <v>1w</v>
      </c>
      <c r="AU333" s="448" t="str">
        <f>_xlfn.IFNA(VLOOKUP($AP333,Programma!$F$3:$K$1101,6,0),"")</f>
        <v>_</v>
      </c>
      <c r="AV333" s="448" t="str">
        <f>_xlfn.IFNA(VLOOKUP($AP333,Programma!$F$3:$L$1101,7,0),"")</f>
        <v>_</v>
      </c>
      <c r="AW333" s="448" t="str">
        <f>_xlfn.IFNA(VLOOKUP($AP333,Programma!$F$3:$M$1101,8,0),"")</f>
        <v>_</v>
      </c>
      <c r="AX333" s="448" t="str">
        <f>_xlfn.IFNA(VLOOKUP($AP333,Programma!$F$3:$N$1101,9,0),"")</f>
        <v>_</v>
      </c>
      <c r="AY333" s="448" t="str">
        <f>_xlfn.IFNA(VLOOKUP($AP333,Programma!$F$3:$O$1101,10,0),"")</f>
        <v>5w</v>
      </c>
      <c r="AZ333" s="448" t="str">
        <f>_xlfn.IFNA(VLOOKUP($AP333,Programma!$F$3:$P$1101,11,0),"")</f>
        <v>5w</v>
      </c>
      <c r="BA333" s="448" t="str">
        <f>_xlfn.IFNA(VLOOKUP($AP333,Programma!$F$3:$Q$1101,12,0),"")</f>
        <v>1w</v>
      </c>
      <c r="BB333" s="448" t="str">
        <f>_xlfn.IFNA(VLOOKUP($AP333,Programma!$F$3:$R$1101,13,0),"")</f>
        <v>1w</v>
      </c>
      <c r="BC333" s="448" t="str">
        <f>_xlfn.IFNA(VLOOKUP($AP333,Programma!$F$3:$S$1101,14,0),"")</f>
        <v>1m</v>
      </c>
      <c r="BD333" s="448" t="str">
        <f>_xlfn.IFNA(VLOOKUP($AP333,Programma!$F$3:$T$1101,15,0),"")</f>
        <v>2j</v>
      </c>
      <c r="BE333" s="448" t="str">
        <f>_xlfn.IFNA(VLOOKUP($AP333,Programma!$F$3:$U$1101,16,0),"")</f>
        <v>1j</v>
      </c>
      <c r="BF333" s="448" t="str">
        <f>_xlfn.IFNA(VLOOKUP($AP333,Programma!$F$3:$V$1101,17,0),"")</f>
        <v>_</v>
      </c>
      <c r="BG333" s="448" t="str">
        <f>_xlfn.IFNA(VLOOKUP($AP333,Programma!$F$3:$W$1101,18,0),"")</f>
        <v>_</v>
      </c>
      <c r="BH333" s="448" t="str">
        <f>_xlfn.IFNA(VLOOKUP($AP333,Programma!$F$3:$X$1101,19,0),"")</f>
        <v>_</v>
      </c>
      <c r="BI333" s="448" t="str">
        <f>_xlfn.IFNA(VLOOKUP($AP333,Programma!$F$3:$Y$1101,20,0),"")</f>
        <v>_</v>
      </c>
      <c r="BJ333" s="449"/>
      <c r="BK333" s="447" t="str">
        <f>IF(Ruimtestaat[[#This Row],[Frequentie weekend]]="","",_xlfn.CONCAT(Ruimtestaat[[#This Row],[Ruimte code]],"-",Ruimtestaat[[#This Row],[Frequentie weekend]]," ",Ruimtestaat[[#This Row],[Vloer code]]))</f>
        <v/>
      </c>
      <c r="BL333" s="448" t="str">
        <f>_xlfn.IFNA(VLOOKUP($BK333,Programma!$F$3:$G$1101,2,0),"")</f>
        <v/>
      </c>
      <c r="BM333" s="448" t="str">
        <f>_xlfn.IFNA(VLOOKUP($BK333,Programma!$F$3:$H$1101,3,0),"")</f>
        <v/>
      </c>
      <c r="BN333" s="448" t="str">
        <f>_xlfn.IFNA(VLOOKUP($BK333,Programma!$F$3:$I$1101,4,0),"")</f>
        <v/>
      </c>
      <c r="BO333" s="448" t="str">
        <f>_xlfn.IFNA(VLOOKUP($BK333,Programma!$F$3:$J$1101,5,0),"")</f>
        <v/>
      </c>
      <c r="BP333" s="448" t="str">
        <f>_xlfn.IFNA(VLOOKUP($BK333,Programma!$F$3:$K$1101,6,0),"")</f>
        <v/>
      </c>
      <c r="BQ333" s="448" t="str">
        <f>_xlfn.IFNA(VLOOKUP($BK333,Programma!$F$3:$L$1101,7,0),"")</f>
        <v/>
      </c>
      <c r="BR333" s="448" t="str">
        <f>_xlfn.IFNA(VLOOKUP($BK333,Programma!$F$3:$M$1101,8,0),"")</f>
        <v/>
      </c>
      <c r="BS333" s="448" t="str">
        <f>_xlfn.IFNA(VLOOKUP($BK333,Programma!$F$3:$N$1101,9,0),"")</f>
        <v/>
      </c>
      <c r="BT333" s="448" t="str">
        <f>_xlfn.IFNA(VLOOKUP($BK333,Programma!$F$3:$O$1101,10,0),"")</f>
        <v/>
      </c>
      <c r="BU333" s="448" t="str">
        <f>_xlfn.IFNA(VLOOKUP($BK333,Programma!$F$3:$P$1101,11,0),"")</f>
        <v/>
      </c>
      <c r="BV333" s="448" t="str">
        <f>_xlfn.IFNA(VLOOKUP($BK333,Programma!$F$3:$Q$1101,12,0),"")</f>
        <v/>
      </c>
      <c r="BW333" s="448" t="str">
        <f>_xlfn.IFNA(VLOOKUP($BK333,Programma!$F$3:$R$1101,13,0),"")</f>
        <v/>
      </c>
      <c r="BX333" s="448" t="str">
        <f>_xlfn.IFNA(VLOOKUP($BK333,Programma!$F$3:$S$1101,14,0),"")</f>
        <v/>
      </c>
      <c r="BY333" s="448" t="str">
        <f>_xlfn.IFNA(VLOOKUP($BK333,Programma!$F$3:$T$1101,15,0),"")</f>
        <v/>
      </c>
      <c r="BZ333" s="448" t="str">
        <f>_xlfn.IFNA(VLOOKUP($BK333,Programma!$F$3:$U$1101,16,0),"")</f>
        <v/>
      </c>
      <c r="CA333" s="448" t="str">
        <f>_xlfn.IFNA(VLOOKUP($BK333,Programma!$F$3:$V$1101,17,0),"")</f>
        <v/>
      </c>
      <c r="CB333" s="448" t="str">
        <f>_xlfn.IFNA(VLOOKUP($BK333,Programma!$F$3:$W$1101,18,0),"")</f>
        <v/>
      </c>
      <c r="CC333" s="448" t="str">
        <f>_xlfn.IFNA(VLOOKUP($BK333,Programma!$F$3:$X$1101,19,0),"")</f>
        <v/>
      </c>
      <c r="CD333" s="448" t="str">
        <f>_xlfn.IFNA(VLOOKUP($BK333,Programma!$F$3:$Y$1101,20,0),"")</f>
        <v/>
      </c>
      <c r="CE333" s="327"/>
      <c r="CF333" s="327"/>
      <c r="CG333" s="327"/>
      <c r="CH333" s="327"/>
      <c r="CI333" s="327"/>
      <c r="CJ333" s="327"/>
      <c r="CK333" s="327"/>
      <c r="CL333" s="327"/>
      <c r="CM333" s="327"/>
      <c r="CN333" s="327"/>
      <c r="CO333" s="327"/>
      <c r="CP333" s="327"/>
      <c r="CQ333" s="327"/>
      <c r="CR333" s="327"/>
      <c r="CS333" s="327"/>
      <c r="CT333" s="327"/>
      <c r="CU333" s="327"/>
      <c r="CV333" s="327"/>
      <c r="CW333" s="327"/>
      <c r="CX333" s="327"/>
      <c r="CY333" s="327"/>
      <c r="CZ333" s="327"/>
      <c r="DA333" s="327"/>
      <c r="DB333" s="327"/>
      <c r="DC333" s="327"/>
      <c r="DD333" s="327"/>
      <c r="DE333" s="327"/>
      <c r="DF333" s="327"/>
      <c r="DG333" s="327"/>
      <c r="DH333" s="327"/>
      <c r="DI333" s="327"/>
      <c r="DJ333" s="327"/>
      <c r="DK333" s="327"/>
      <c r="DL333" s="327"/>
      <c r="DM333" s="327"/>
      <c r="DN333" s="327"/>
      <c r="DO333" s="327"/>
      <c r="DP333" s="327"/>
      <c r="DQ333" s="327"/>
      <c r="DR333" s="327"/>
      <c r="DS333" s="327"/>
      <c r="DT333" s="327"/>
      <c r="DU333" s="327"/>
      <c r="DV333" s="327"/>
      <c r="DW333" s="327"/>
      <c r="DX333" s="327"/>
      <c r="DY333" s="327"/>
      <c r="DZ333" s="327"/>
      <c r="EA333" s="327"/>
      <c r="EB333" s="327"/>
      <c r="EC333" s="327"/>
      <c r="ED333" s="327"/>
      <c r="EE333" s="327"/>
      <c r="EF333" s="327"/>
      <c r="EG333" s="327"/>
      <c r="EH333" s="327"/>
      <c r="EI333" s="327"/>
      <c r="EJ333" s="327"/>
      <c r="EK333" s="327"/>
      <c r="EL333" s="327"/>
      <c r="EM333" s="327"/>
      <c r="EN333" s="327"/>
      <c r="EO333" s="327"/>
      <c r="EP333" s="327"/>
      <c r="EQ333" s="327"/>
      <c r="ER333" s="327"/>
      <c r="ES333" s="327"/>
      <c r="ET333" s="327"/>
      <c r="EU333" s="327"/>
      <c r="EV333" s="327"/>
      <c r="EW333" s="327"/>
      <c r="EX333" s="327"/>
      <c r="EY333" s="327"/>
      <c r="EZ333" s="327"/>
      <c r="FA333" s="327"/>
      <c r="FB333" s="327"/>
      <c r="FC333" s="327"/>
      <c r="FD333" s="327"/>
      <c r="FE333" s="327"/>
      <c r="FF333" s="327"/>
      <c r="FG333" s="327"/>
      <c r="FH333" s="327"/>
      <c r="FI333" s="327"/>
      <c r="FJ333" s="327"/>
      <c r="FK333" s="327"/>
      <c r="FL333" s="327"/>
      <c r="FM333" s="327"/>
      <c r="FN333" s="327"/>
      <c r="FO333" s="327"/>
      <c r="FP333" s="327"/>
      <c r="FQ333" s="327"/>
      <c r="FR333" s="327"/>
      <c r="FS333" s="327"/>
      <c r="FT333" s="327"/>
      <c r="FU333" s="327"/>
      <c r="FV333" s="327"/>
      <c r="FW333" s="327"/>
      <c r="FX333" s="327"/>
      <c r="FY333" s="327"/>
      <c r="FZ333" s="327"/>
      <c r="GA333" s="327"/>
      <c r="GB333" s="327"/>
      <c r="GC333" s="327"/>
      <c r="GD333" s="327"/>
      <c r="GE333" s="327"/>
      <c r="GF333" s="327"/>
      <c r="GG333" s="327"/>
      <c r="GH333" s="327"/>
      <c r="GI333" s="327"/>
      <c r="GJ333" s="327"/>
      <c r="GK333" s="327"/>
      <c r="GL333" s="327"/>
      <c r="GM333" s="327"/>
      <c r="GN333" s="327"/>
      <c r="GO333" s="327"/>
      <c r="GP333" s="327"/>
      <c r="GQ333" s="327"/>
      <c r="GR333" s="327"/>
      <c r="GS333" s="327"/>
      <c r="GT333" s="327"/>
      <c r="GU333" s="327"/>
      <c r="GV333" s="327"/>
      <c r="GW333" s="327"/>
      <c r="GX333" s="327"/>
      <c r="GY333" s="327"/>
      <c r="GZ333" s="327"/>
      <c r="HA333" s="327"/>
      <c r="HB333" s="327"/>
      <c r="HC333" s="327"/>
      <c r="HD333" s="327"/>
      <c r="HE333" s="327"/>
      <c r="HF333" s="327"/>
      <c r="HG333" s="327"/>
      <c r="HH333" s="327"/>
      <c r="HI333" s="327"/>
      <c r="HJ333" s="327"/>
      <c r="HK333" s="327"/>
      <c r="HL333" s="327"/>
      <c r="HM333" s="327"/>
      <c r="HN333" s="327"/>
      <c r="HO333" s="327"/>
      <c r="HP333" s="327"/>
      <c r="HQ333" s="327"/>
      <c r="HR333" s="327"/>
      <c r="HS333" s="327"/>
    </row>
    <row r="334" spans="1:227" ht="15" customHeight="1">
      <c r="A334" s="330">
        <v>14</v>
      </c>
      <c r="B334" s="435" t="str">
        <f>VLOOKUP(Ruimtestaat[[#This Row],[Code]],Locaties[[Code]:[Locatie]],2,FALSE)</f>
        <v>IKC De Vuurtoren</v>
      </c>
      <c r="C334" s="435" t="str">
        <f>VLOOKUP(Ruimtestaat[[#This Row],[Code]],Locaties[[#All],[Code]:[Adres]],4,FALSE)</f>
        <v>Spitsbergen 15</v>
      </c>
      <c r="D334" s="435" t="str">
        <f>VLOOKUP(Ruimtestaat[[#This Row],[Code]],Locaties[[#All],[Code]:[Postcode]],5,FALSE)</f>
        <v>2721 GP</v>
      </c>
      <c r="E334" s="435" t="str">
        <f>VLOOKUP(Ruimtestaat[[#This Row],[Code]],Locaties[#All],6,FALSE)</f>
        <v>Zoetermeer</v>
      </c>
      <c r="F334" s="450"/>
      <c r="G334" s="330" t="s">
        <v>1678</v>
      </c>
      <c r="H334" s="330" t="s">
        <v>1762</v>
      </c>
      <c r="I334" s="450" t="s">
        <v>1837</v>
      </c>
      <c r="J334" s="330">
        <v>10</v>
      </c>
      <c r="K334" s="450" t="str">
        <f>VLOOKUP(Ruimtestaat[[#This Row],[Ruimte code]],Ruimtegroepen[[#All],[Code]:[Ruimte omschrijving]],2,FALSE)</f>
        <v>Trappenhuizen/lift</v>
      </c>
      <c r="L334" s="434" t="s">
        <v>100</v>
      </c>
      <c r="M334" s="437" t="s">
        <v>1759</v>
      </c>
      <c r="N334" s="439">
        <v>9</v>
      </c>
      <c r="O334" s="439"/>
      <c r="P334" s="439"/>
      <c r="Q334" s="439"/>
      <c r="R334" s="440" t="str">
        <f>VLOOKUP(Ruimtestaat[[#This Row],[Ruimte code]],Ruimtegroepen[],4,FALSE)</f>
        <v>Ve</v>
      </c>
      <c r="S334" s="434">
        <v>41</v>
      </c>
      <c r="T334" s="434" t="s">
        <v>2</v>
      </c>
      <c r="U334" s="434">
        <f>IF(S334&gt;0,IF(RIGHT(Ruimtestaat[[#This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34" s="434">
        <f>IF(U334&gt;0,VLOOKUP($J334,Ruimtegroepen[],3,FALSE)*VLOOKUP($L334,Vloersoorten[],3,FALSE)*VLOOKUP($T334,Frequenties[],3,FALSE)*VLOOKUP($A334,Locaties[],3,FALSE),0)</f>
        <v>0</v>
      </c>
      <c r="W334" s="434">
        <f>Ruimtestaat[[#This Row],[Uitvoeringen werkdagen]]*Ruimtestaat[[#This Row],[Oppervlak (netto)]]</f>
        <v>1845</v>
      </c>
      <c r="X334" s="441">
        <f>IF(V334&gt;0,Ruimtestaat[[#This Row],[Prest. (m2 /jaar) werkdagen]]/Ruimtestaat[[#This Row],[Norm (m2/uur) werkdagen]],0)</f>
        <v>0</v>
      </c>
      <c r="Y334" s="442">
        <f>Ruimtestaat[[#This Row],[Uitvoeringen werkdagen]]*Ruimtestaat[[#This Row],[Gedeeltelijk]]</f>
        <v>0</v>
      </c>
      <c r="Z334" s="443" t="e">
        <f>IF(U334&gt;0,Ruimtestaat[[#This Row],[Prest. (m2 / jaar) werkdagen gedeeld]]/Ruimtestaat[[#This Row],[Norm (m2/uur) werkdagen]],0)</f>
        <v>#DIV/0!</v>
      </c>
      <c r="AA334" s="441" t="e">
        <f>Ruimtestaat[[#This Row],[uren / jaar werkdagen gedeeld]]*Tariefsopbouw!$E$35</f>
        <v>#DIV/0!</v>
      </c>
      <c r="AB334" s="441">
        <f>Ruimtestaat[[#This Row],[Uitvoeringen werkdagen]]*Ruimtestaat[[#This Row],[BSO]]</f>
        <v>0</v>
      </c>
      <c r="AC334" s="443" t="e">
        <f>IF(U334&gt;0,Ruimtestaat[[#This Row],[Prest. (m2 / jaar) werkdagen BSO]]/Ruimtestaat[[#This Row],[Norm (m2/uur) werkdagen]],0)</f>
        <v>#DIV/0!</v>
      </c>
      <c r="AD334" s="443" t="e">
        <f>Ruimtestaat[[#This Row],[uren / jaar werkdagen BSO]]*Tariefsopbouw!$E$35</f>
        <v>#DIV/0!</v>
      </c>
      <c r="AE334" s="444">
        <f>Ruimtestaat[[#This Row],[uren / jaar werkdagen]]*Tariefsopbouw!$E$35</f>
        <v>0</v>
      </c>
      <c r="AF334" s="434"/>
      <c r="AG334" s="434">
        <f>IF(Ruimtestaat[[#This Row],[Frequentie weekend]]&gt;0,VALUE(LEFT(AF334,1))*S334,0)</f>
        <v>0</v>
      </c>
      <c r="AH334" s="445">
        <f>IF($AG334&gt;0,VLOOKUP($J334,Ruimtegroepen[],3,FALSE)*VLOOKUP($L334,Vloersoorten[],3,FALSE)*VLOOKUP($AF334,Frequenties[],3,FALSE)*VLOOKUP(Ruimtestaat[[#This Row],[Code]],Locaties[],3,FALSE),0)</f>
        <v>0</v>
      </c>
      <c r="AI334" s="445">
        <f>Ruimtestaat[[#This Row],[Uitvoeringen weekend]]*Ruimtestaat[[#This Row],[Oppervlak (netto)]]</f>
        <v>0</v>
      </c>
      <c r="AJ334" s="445">
        <f>IF(AH334&gt;0,Ruimtestaat[[#This Row],[Prest. (m2 /jaar) weekend]]/Ruimtestaat[[#This Row],[Norm (m2/uur) weekend]],0)</f>
        <v>0</v>
      </c>
      <c r="AK334" s="444">
        <f>Ruimtestaat[[#This Row],[uren / jaar weekend]]*Tariefsopbouw!$D$40</f>
        <v>0</v>
      </c>
      <c r="AL334" s="441">
        <f>Ruimtestaat[[#This Row],[Prest. (m2 /jaar) weekend]]+Ruimtestaat[[#This Row],[Prest. (m2 /jaar) werkdagen]]</f>
        <v>1845</v>
      </c>
      <c r="AM334" s="441">
        <f>Ruimtestaat[[#This Row],[uren / jaar weekend]]+Ruimtestaat[[#This Row],[uren / jaar werkdagen]]</f>
        <v>0</v>
      </c>
      <c r="AN334" s="446">
        <f>Ruimtestaat[[#This Row],[kosten / jaar weekend]]+Ruimtestaat[[#This Row],[kosten / jaar werkdagen]]</f>
        <v>0</v>
      </c>
      <c r="AO334" s="446"/>
      <c r="AP334" s="447" t="str">
        <f>IF(Ruimtestaat[[#This Row],[Frequentie werkdagen]]="","",_xlfn.CONCAT(Ruimtestaat[[#This Row],[Ruimte code]],"-",Ruimtestaat[[#This Row],[Frequentie werkdagen]]," ",Ruimtestaat[[#This Row],[Vloer code]]))</f>
        <v>10-5w L</v>
      </c>
      <c r="AQ334" s="448" t="str">
        <f>_xlfn.IFNA(VLOOKUP($AP334,Programma!$F$3:$G$1101,2,0),"")</f>
        <v>_</v>
      </c>
      <c r="AR334" s="448" t="str">
        <f>_xlfn.IFNA(VLOOKUP($AP334,Programma!$F$3:$H$1101,3,0),"")</f>
        <v>_</v>
      </c>
      <c r="AS334" s="448" t="str">
        <f>_xlfn.IFNA(VLOOKUP($AP334,Programma!$F$3:$I$1101,4,0),"")</f>
        <v>4w</v>
      </c>
      <c r="AT334" s="448" t="str">
        <f>_xlfn.IFNA(VLOOKUP($AP334,Programma!$F$3:$J$1101,5,0),"")</f>
        <v>1w</v>
      </c>
      <c r="AU334" s="448" t="str">
        <f>_xlfn.IFNA(VLOOKUP($AP334,Programma!$F$3:$K$1101,6,0),"")</f>
        <v>_</v>
      </c>
      <c r="AV334" s="448" t="str">
        <f>_xlfn.IFNA(VLOOKUP($AP334,Programma!$F$3:$L$1101,7,0),"")</f>
        <v>_</v>
      </c>
      <c r="AW334" s="448" t="str">
        <f>_xlfn.IFNA(VLOOKUP($AP334,Programma!$F$3:$M$1101,8,0),"")</f>
        <v>_</v>
      </c>
      <c r="AX334" s="448" t="str">
        <f>_xlfn.IFNA(VLOOKUP($AP334,Programma!$F$3:$N$1101,9,0),"")</f>
        <v>_</v>
      </c>
      <c r="AY334" s="448" t="str">
        <f>_xlfn.IFNA(VLOOKUP($AP334,Programma!$F$3:$O$1101,10,0),"")</f>
        <v>5w</v>
      </c>
      <c r="AZ334" s="448" t="str">
        <f>_xlfn.IFNA(VLOOKUP($AP334,Programma!$F$3:$P$1101,11,0),"")</f>
        <v>5w</v>
      </c>
      <c r="BA334" s="448" t="str">
        <f>_xlfn.IFNA(VLOOKUP($AP334,Programma!$F$3:$Q$1101,12,0),"")</f>
        <v>1w</v>
      </c>
      <c r="BB334" s="448" t="str">
        <f>_xlfn.IFNA(VLOOKUP($AP334,Programma!$F$3:$R$1101,13,0),"")</f>
        <v>1w</v>
      </c>
      <c r="BC334" s="448" t="str">
        <f>_xlfn.IFNA(VLOOKUP($AP334,Programma!$F$3:$S$1101,14,0),"")</f>
        <v>1m</v>
      </c>
      <c r="BD334" s="448" t="str">
        <f>_xlfn.IFNA(VLOOKUP($AP334,Programma!$F$3:$T$1101,15,0),"")</f>
        <v>2j</v>
      </c>
      <c r="BE334" s="448" t="str">
        <f>_xlfn.IFNA(VLOOKUP($AP334,Programma!$F$3:$U$1101,16,0),"")</f>
        <v>1j</v>
      </c>
      <c r="BF334" s="448" t="str">
        <f>_xlfn.IFNA(VLOOKUP($AP334,Programma!$F$3:$V$1101,17,0),"")</f>
        <v>_</v>
      </c>
      <c r="BG334" s="448" t="str">
        <f>_xlfn.IFNA(VLOOKUP($AP334,Programma!$F$3:$W$1101,18,0),"")</f>
        <v>_</v>
      </c>
      <c r="BH334" s="448" t="str">
        <f>_xlfn.IFNA(VLOOKUP($AP334,Programma!$F$3:$X$1101,19,0),"")</f>
        <v>_</v>
      </c>
      <c r="BI334" s="448" t="str">
        <f>_xlfn.IFNA(VLOOKUP($AP334,Programma!$F$3:$Y$1101,20,0),"")</f>
        <v>_</v>
      </c>
      <c r="BJ334" s="449"/>
      <c r="BK334" s="447" t="str">
        <f>IF(Ruimtestaat[[#This Row],[Frequentie weekend]]="","",_xlfn.CONCAT(Ruimtestaat[[#This Row],[Ruimte code]],"-",Ruimtestaat[[#This Row],[Frequentie weekend]]," ",Ruimtestaat[[#This Row],[Vloer code]]))</f>
        <v/>
      </c>
      <c r="BL334" s="448" t="str">
        <f>_xlfn.IFNA(VLOOKUP($BK334,Programma!$F$3:$G$1101,2,0),"")</f>
        <v/>
      </c>
      <c r="BM334" s="448" t="str">
        <f>_xlfn.IFNA(VLOOKUP($BK334,Programma!$F$3:$H$1101,3,0),"")</f>
        <v/>
      </c>
      <c r="BN334" s="448" t="str">
        <f>_xlfn.IFNA(VLOOKUP($BK334,Programma!$F$3:$I$1101,4,0),"")</f>
        <v/>
      </c>
      <c r="BO334" s="448" t="str">
        <f>_xlfn.IFNA(VLOOKUP($BK334,Programma!$F$3:$J$1101,5,0),"")</f>
        <v/>
      </c>
      <c r="BP334" s="448" t="str">
        <f>_xlfn.IFNA(VLOOKUP($BK334,Programma!$F$3:$K$1101,6,0),"")</f>
        <v/>
      </c>
      <c r="BQ334" s="448" t="str">
        <f>_xlfn.IFNA(VLOOKUP($BK334,Programma!$F$3:$L$1101,7,0),"")</f>
        <v/>
      </c>
      <c r="BR334" s="448" t="str">
        <f>_xlfn.IFNA(VLOOKUP($BK334,Programma!$F$3:$M$1101,8,0),"")</f>
        <v/>
      </c>
      <c r="BS334" s="448" t="str">
        <f>_xlfn.IFNA(VLOOKUP($BK334,Programma!$F$3:$N$1101,9,0),"")</f>
        <v/>
      </c>
      <c r="BT334" s="448" t="str">
        <f>_xlfn.IFNA(VLOOKUP($BK334,Programma!$F$3:$O$1101,10,0),"")</f>
        <v/>
      </c>
      <c r="BU334" s="448" t="str">
        <f>_xlfn.IFNA(VLOOKUP($BK334,Programma!$F$3:$P$1101,11,0),"")</f>
        <v/>
      </c>
      <c r="BV334" s="448" t="str">
        <f>_xlfn.IFNA(VLOOKUP($BK334,Programma!$F$3:$Q$1101,12,0),"")</f>
        <v/>
      </c>
      <c r="BW334" s="448" t="str">
        <f>_xlfn.IFNA(VLOOKUP($BK334,Programma!$F$3:$R$1101,13,0),"")</f>
        <v/>
      </c>
      <c r="BX334" s="448" t="str">
        <f>_xlfn.IFNA(VLOOKUP($BK334,Programma!$F$3:$S$1101,14,0),"")</f>
        <v/>
      </c>
      <c r="BY334" s="448" t="str">
        <f>_xlfn.IFNA(VLOOKUP($BK334,Programma!$F$3:$T$1101,15,0),"")</f>
        <v/>
      </c>
      <c r="BZ334" s="448" t="str">
        <f>_xlfn.IFNA(VLOOKUP($BK334,Programma!$F$3:$U$1101,16,0),"")</f>
        <v/>
      </c>
      <c r="CA334" s="448" t="str">
        <f>_xlfn.IFNA(VLOOKUP($BK334,Programma!$F$3:$V$1101,17,0),"")</f>
        <v/>
      </c>
      <c r="CB334" s="448" t="str">
        <f>_xlfn.IFNA(VLOOKUP($BK334,Programma!$F$3:$W$1101,18,0),"")</f>
        <v/>
      </c>
      <c r="CC334" s="448" t="str">
        <f>_xlfn.IFNA(VLOOKUP($BK334,Programma!$F$3:$X$1101,19,0),"")</f>
        <v/>
      </c>
      <c r="CD334" s="448" t="str">
        <f>_xlfn.IFNA(VLOOKUP($BK334,Programma!$F$3:$Y$1101,20,0),"")</f>
        <v/>
      </c>
      <c r="CE334" s="327"/>
      <c r="CF334" s="327"/>
      <c r="CG334" s="327"/>
      <c r="CH334" s="327"/>
      <c r="CI334" s="327"/>
      <c r="CJ334" s="327"/>
      <c r="CK334" s="327"/>
      <c r="CL334" s="327"/>
      <c r="CM334" s="327"/>
      <c r="CN334" s="327"/>
      <c r="CO334" s="327"/>
      <c r="CP334" s="327"/>
      <c r="CQ334" s="327"/>
      <c r="CR334" s="327"/>
      <c r="CS334" s="327"/>
      <c r="CT334" s="327"/>
      <c r="CU334" s="327"/>
      <c r="CV334" s="327"/>
      <c r="CW334" s="327"/>
      <c r="CX334" s="327"/>
      <c r="CY334" s="327"/>
      <c r="CZ334" s="327"/>
      <c r="DA334" s="327"/>
      <c r="DB334" s="327"/>
      <c r="DC334" s="327"/>
      <c r="DD334" s="327"/>
      <c r="DE334" s="327"/>
      <c r="DF334" s="327"/>
      <c r="DG334" s="327"/>
      <c r="DH334" s="327"/>
      <c r="DI334" s="327"/>
      <c r="DJ334" s="327"/>
      <c r="DK334" s="327"/>
      <c r="DL334" s="327"/>
      <c r="DM334" s="327"/>
      <c r="DN334" s="327"/>
      <c r="DO334" s="327"/>
      <c r="DP334" s="327"/>
      <c r="DQ334" s="327"/>
      <c r="DR334" s="327"/>
      <c r="DS334" s="327"/>
      <c r="DT334" s="327"/>
      <c r="DU334" s="327"/>
      <c r="DV334" s="327"/>
      <c r="DW334" s="327"/>
      <c r="DX334" s="327"/>
      <c r="DY334" s="327"/>
      <c r="DZ334" s="327"/>
      <c r="EA334" s="327"/>
      <c r="EB334" s="327"/>
      <c r="EC334" s="327"/>
      <c r="ED334" s="327"/>
      <c r="EE334" s="327"/>
      <c r="EF334" s="327"/>
      <c r="EG334" s="327"/>
      <c r="EH334" s="327"/>
      <c r="EI334" s="327"/>
      <c r="EJ334" s="327"/>
      <c r="EK334" s="327"/>
      <c r="EL334" s="327"/>
      <c r="EM334" s="327"/>
      <c r="EN334" s="327"/>
      <c r="EO334" s="327"/>
      <c r="EP334" s="327"/>
      <c r="EQ334" s="327"/>
      <c r="ER334" s="327"/>
      <c r="ES334" s="327"/>
      <c r="ET334" s="327"/>
      <c r="EU334" s="327"/>
      <c r="EV334" s="327"/>
      <c r="EW334" s="327"/>
      <c r="EX334" s="327"/>
      <c r="EY334" s="327"/>
      <c r="EZ334" s="327"/>
      <c r="FA334" s="327"/>
      <c r="FB334" s="327"/>
      <c r="FC334" s="327"/>
      <c r="FD334" s="327"/>
      <c r="FE334" s="327"/>
      <c r="FF334" s="327"/>
      <c r="FG334" s="327"/>
      <c r="FH334" s="327"/>
      <c r="FI334" s="327"/>
      <c r="FJ334" s="327"/>
      <c r="FK334" s="327"/>
      <c r="FL334" s="327"/>
      <c r="FM334" s="327"/>
      <c r="FN334" s="327"/>
      <c r="FO334" s="327"/>
      <c r="FP334" s="327"/>
      <c r="FQ334" s="327"/>
      <c r="FR334" s="327"/>
      <c r="FS334" s="327"/>
      <c r="FT334" s="327"/>
      <c r="FU334" s="327"/>
      <c r="FV334" s="327"/>
      <c r="FW334" s="327"/>
      <c r="FX334" s="327"/>
      <c r="FY334" s="327"/>
      <c r="FZ334" s="327"/>
      <c r="GA334" s="327"/>
      <c r="GB334" s="327"/>
      <c r="GC334" s="327"/>
      <c r="GD334" s="327"/>
      <c r="GE334" s="327"/>
      <c r="GF334" s="327"/>
      <c r="GG334" s="327"/>
      <c r="GH334" s="327"/>
      <c r="GI334" s="327"/>
      <c r="GJ334" s="327"/>
      <c r="GK334" s="327"/>
      <c r="GL334" s="327"/>
      <c r="GM334" s="327"/>
      <c r="GN334" s="327"/>
      <c r="GO334" s="327"/>
      <c r="GP334" s="327"/>
      <c r="GQ334" s="327"/>
      <c r="GR334" s="327"/>
      <c r="GS334" s="327"/>
      <c r="GT334" s="327"/>
      <c r="GU334" s="327"/>
      <c r="GV334" s="327"/>
      <c r="GW334" s="327"/>
      <c r="GX334" s="327"/>
      <c r="GY334" s="327"/>
      <c r="GZ334" s="327"/>
      <c r="HA334" s="327"/>
      <c r="HB334" s="327"/>
      <c r="HC334" s="327"/>
      <c r="HD334" s="327"/>
      <c r="HE334" s="327"/>
      <c r="HF334" s="327"/>
      <c r="HG334" s="327"/>
      <c r="HH334" s="327"/>
      <c r="HI334" s="327"/>
      <c r="HJ334" s="327"/>
      <c r="HK334" s="327"/>
      <c r="HL334" s="327"/>
      <c r="HM334" s="327"/>
      <c r="HN334" s="327"/>
      <c r="HO334" s="327"/>
      <c r="HP334" s="327"/>
      <c r="HQ334" s="327"/>
      <c r="HR334" s="327"/>
      <c r="HS334" s="327"/>
    </row>
    <row r="335" spans="1:227" ht="15" customHeight="1">
      <c r="A335" s="330">
        <v>14</v>
      </c>
      <c r="B335" s="435" t="str">
        <f>VLOOKUP(Ruimtestaat[[#This Row],[Code]],Locaties[[Code]:[Locatie]],2,FALSE)</f>
        <v>IKC De Vuurtoren</v>
      </c>
      <c r="C335" s="435" t="str">
        <f>VLOOKUP(Ruimtestaat[[#This Row],[Code]],Locaties[[#All],[Code]:[Adres]],4,FALSE)</f>
        <v>Spitsbergen 15</v>
      </c>
      <c r="D335" s="435" t="str">
        <f>VLOOKUP(Ruimtestaat[[#This Row],[Code]],Locaties[[#All],[Code]:[Postcode]],5,FALSE)</f>
        <v>2721 GP</v>
      </c>
      <c r="E335" s="435" t="str">
        <f>VLOOKUP(Ruimtestaat[[#This Row],[Code]],Locaties[#All],6,FALSE)</f>
        <v>Zoetermeer</v>
      </c>
      <c r="F335" s="450"/>
      <c r="G335" s="330" t="s">
        <v>1769</v>
      </c>
      <c r="H335" s="330" t="s">
        <v>1709</v>
      </c>
      <c r="I335" s="450" t="s">
        <v>1838</v>
      </c>
      <c r="J335" s="330">
        <v>6</v>
      </c>
      <c r="K335" s="450" t="str">
        <f>VLOOKUP(Ruimtestaat[[#This Row],[Ruimte code]],Ruimtegroepen[[#All],[Code]:[Ruimte omschrijving]],2,FALSE)</f>
        <v>Gangen/hallen</v>
      </c>
      <c r="L335" s="434" t="s">
        <v>100</v>
      </c>
      <c r="M335" s="437" t="s">
        <v>1759</v>
      </c>
      <c r="N335" s="439">
        <v>150</v>
      </c>
      <c r="O335" s="439"/>
      <c r="P335" s="439"/>
      <c r="Q335" s="439"/>
      <c r="R335" s="440" t="str">
        <f>VLOOKUP(Ruimtestaat[[#This Row],[Ruimte code]],Ruimtegroepen[],4,FALSE)</f>
        <v>Ve</v>
      </c>
      <c r="S335" s="434">
        <v>41</v>
      </c>
      <c r="T335" s="434" t="s">
        <v>2</v>
      </c>
      <c r="U335" s="434">
        <f>IF(S335&gt;0,IF(RIGHT(Ruimtestaat[[#This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35" s="434">
        <f>IF(U335&gt;0,VLOOKUP($J335,Ruimtegroepen[],3,FALSE)*VLOOKUP($L335,Vloersoorten[],3,FALSE)*VLOOKUP($T335,Frequenties[],3,FALSE)*VLOOKUP($A335,Locaties[],3,FALSE),0)</f>
        <v>0</v>
      </c>
      <c r="W335" s="434">
        <f>Ruimtestaat[[#This Row],[Uitvoeringen werkdagen]]*Ruimtestaat[[#This Row],[Oppervlak (netto)]]</f>
        <v>30750</v>
      </c>
      <c r="X335" s="441">
        <f>IF(V335&gt;0,Ruimtestaat[[#This Row],[Prest. (m2 /jaar) werkdagen]]/Ruimtestaat[[#This Row],[Norm (m2/uur) werkdagen]],0)</f>
        <v>0</v>
      </c>
      <c r="Y335" s="442">
        <f>Ruimtestaat[[#This Row],[Uitvoeringen werkdagen]]*Ruimtestaat[[#This Row],[Gedeeltelijk]]</f>
        <v>0</v>
      </c>
      <c r="Z335" s="443" t="e">
        <f>IF(U335&gt;0,Ruimtestaat[[#This Row],[Prest. (m2 / jaar) werkdagen gedeeld]]/Ruimtestaat[[#This Row],[Norm (m2/uur) werkdagen]],0)</f>
        <v>#DIV/0!</v>
      </c>
      <c r="AA335" s="441" t="e">
        <f>Ruimtestaat[[#This Row],[uren / jaar werkdagen gedeeld]]*Tariefsopbouw!$E$35</f>
        <v>#DIV/0!</v>
      </c>
      <c r="AB335" s="441">
        <f>Ruimtestaat[[#This Row],[Uitvoeringen werkdagen]]*Ruimtestaat[[#This Row],[BSO]]</f>
        <v>0</v>
      </c>
      <c r="AC335" s="443" t="e">
        <f>IF(U335&gt;0,Ruimtestaat[[#This Row],[Prest. (m2 / jaar) werkdagen BSO]]/Ruimtestaat[[#This Row],[Norm (m2/uur) werkdagen]],0)</f>
        <v>#DIV/0!</v>
      </c>
      <c r="AD335" s="443" t="e">
        <f>Ruimtestaat[[#This Row],[uren / jaar werkdagen BSO]]*Tariefsopbouw!$E$35</f>
        <v>#DIV/0!</v>
      </c>
      <c r="AE335" s="444">
        <f>Ruimtestaat[[#This Row],[uren / jaar werkdagen]]*Tariefsopbouw!$E$35</f>
        <v>0</v>
      </c>
      <c r="AF335" s="434"/>
      <c r="AG335" s="434">
        <f>IF(Ruimtestaat[[#This Row],[Frequentie weekend]]&gt;0,VALUE(LEFT(AF335,1))*S335,0)</f>
        <v>0</v>
      </c>
      <c r="AH335" s="445">
        <f>IF($AG335&gt;0,VLOOKUP($J335,Ruimtegroepen[],3,FALSE)*VLOOKUP($L335,Vloersoorten[],3,FALSE)*VLOOKUP($AF335,Frequenties[],3,FALSE)*VLOOKUP(Ruimtestaat[[#This Row],[Code]],Locaties[],3,FALSE),0)</f>
        <v>0</v>
      </c>
      <c r="AI335" s="445">
        <f>Ruimtestaat[[#This Row],[Uitvoeringen weekend]]*Ruimtestaat[[#This Row],[Oppervlak (netto)]]</f>
        <v>0</v>
      </c>
      <c r="AJ335" s="445">
        <f>IF(AH335&gt;0,Ruimtestaat[[#This Row],[Prest. (m2 /jaar) weekend]]/Ruimtestaat[[#This Row],[Norm (m2/uur) weekend]],0)</f>
        <v>0</v>
      </c>
      <c r="AK335" s="444">
        <f>Ruimtestaat[[#This Row],[uren / jaar weekend]]*Tariefsopbouw!$D$40</f>
        <v>0</v>
      </c>
      <c r="AL335" s="441">
        <f>Ruimtestaat[[#This Row],[Prest. (m2 /jaar) weekend]]+Ruimtestaat[[#This Row],[Prest. (m2 /jaar) werkdagen]]</f>
        <v>30750</v>
      </c>
      <c r="AM335" s="441">
        <f>Ruimtestaat[[#This Row],[uren / jaar weekend]]+Ruimtestaat[[#This Row],[uren / jaar werkdagen]]</f>
        <v>0</v>
      </c>
      <c r="AN335" s="446">
        <f>Ruimtestaat[[#This Row],[kosten / jaar weekend]]+Ruimtestaat[[#This Row],[kosten / jaar werkdagen]]</f>
        <v>0</v>
      </c>
      <c r="AO335" s="446"/>
      <c r="AP335" s="447" t="str">
        <f>IF(Ruimtestaat[[#This Row],[Frequentie werkdagen]]="","",_xlfn.CONCAT(Ruimtestaat[[#This Row],[Ruimte code]],"-",Ruimtestaat[[#This Row],[Frequentie werkdagen]]," ",Ruimtestaat[[#This Row],[Vloer code]]))</f>
        <v>6-5w L</v>
      </c>
      <c r="AQ335" s="448" t="str">
        <f>_xlfn.IFNA(VLOOKUP($AP335,Programma!$F$3:$G$1101,2,0),"")</f>
        <v>_</v>
      </c>
      <c r="AR335" s="448" t="str">
        <f>_xlfn.IFNA(VLOOKUP($AP335,Programma!$F$3:$H$1101,3,0),"")</f>
        <v>_</v>
      </c>
      <c r="AS335" s="448" t="str">
        <f>_xlfn.IFNA(VLOOKUP($AP335,Programma!$F$3:$I$1101,4,0),"")</f>
        <v>_</v>
      </c>
      <c r="AT335" s="448" t="str">
        <f>_xlfn.IFNA(VLOOKUP($AP335,Programma!$F$3:$J$1101,5,0),"")</f>
        <v>5w</v>
      </c>
      <c r="AU335" s="448" t="str">
        <f>_xlfn.IFNA(VLOOKUP($AP335,Programma!$F$3:$K$1101,6,0),"")</f>
        <v>_</v>
      </c>
      <c r="AV335" s="448" t="str">
        <f>_xlfn.IFNA(VLOOKUP($AP335,Programma!$F$3:$L$1101,7,0),"")</f>
        <v>_</v>
      </c>
      <c r="AW335" s="448" t="str">
        <f>_xlfn.IFNA(VLOOKUP($AP335,Programma!$F$3:$M$1101,8,0),"")</f>
        <v>_</v>
      </c>
      <c r="AX335" s="448" t="str">
        <f>_xlfn.IFNA(VLOOKUP($AP335,Programma!$F$3:$N$1101,9,0),"")</f>
        <v>_</v>
      </c>
      <c r="AY335" s="448" t="str">
        <f>_xlfn.IFNA(VLOOKUP($AP335,Programma!$F$3:$O$1101,10,0),"")</f>
        <v>5w</v>
      </c>
      <c r="AZ335" s="448" t="str">
        <f>_xlfn.IFNA(VLOOKUP($AP335,Programma!$F$3:$P$1101,11,0),"")</f>
        <v>5w</v>
      </c>
      <c r="BA335" s="448" t="str">
        <f>_xlfn.IFNA(VLOOKUP($AP335,Programma!$F$3:$Q$1101,12,0),"")</f>
        <v>1w</v>
      </c>
      <c r="BB335" s="448" t="str">
        <f>_xlfn.IFNA(VLOOKUP($AP335,Programma!$F$3:$R$1101,13,0),"")</f>
        <v>1w</v>
      </c>
      <c r="BC335" s="448" t="str">
        <f>_xlfn.IFNA(VLOOKUP($AP335,Programma!$F$3:$S$1101,14,0),"")</f>
        <v>1m</v>
      </c>
      <c r="BD335" s="448" t="str">
        <f>_xlfn.IFNA(VLOOKUP($AP335,Programma!$F$3:$T$1101,15,0),"")</f>
        <v>2j</v>
      </c>
      <c r="BE335" s="448" t="str">
        <f>_xlfn.IFNA(VLOOKUP($AP335,Programma!$F$3:$U$1101,16,0),"")</f>
        <v>1j</v>
      </c>
      <c r="BF335" s="448" t="str">
        <f>_xlfn.IFNA(VLOOKUP($AP335,Programma!$F$3:$V$1101,17,0),"")</f>
        <v>_</v>
      </c>
      <c r="BG335" s="448" t="str">
        <f>_xlfn.IFNA(VLOOKUP($AP335,Programma!$F$3:$W$1101,18,0),"")</f>
        <v>_</v>
      </c>
      <c r="BH335" s="448" t="str">
        <f>_xlfn.IFNA(VLOOKUP($AP335,Programma!$F$3:$X$1101,19,0),"")</f>
        <v>_</v>
      </c>
      <c r="BI335" s="448" t="str">
        <f>_xlfn.IFNA(VLOOKUP($AP335,Programma!$F$3:$Y$1101,20,0),"")</f>
        <v>_</v>
      </c>
      <c r="BJ335" s="449"/>
      <c r="BK335" s="447" t="str">
        <f>IF(Ruimtestaat[[#This Row],[Frequentie weekend]]="","",_xlfn.CONCAT(Ruimtestaat[[#This Row],[Ruimte code]],"-",Ruimtestaat[[#This Row],[Frequentie weekend]]," ",Ruimtestaat[[#This Row],[Vloer code]]))</f>
        <v/>
      </c>
      <c r="BL335" s="448" t="str">
        <f>_xlfn.IFNA(VLOOKUP($BK335,Programma!$F$3:$G$1101,2,0),"")</f>
        <v/>
      </c>
      <c r="BM335" s="448" t="str">
        <f>_xlfn.IFNA(VLOOKUP($BK335,Programma!$F$3:$H$1101,3,0),"")</f>
        <v/>
      </c>
      <c r="BN335" s="448" t="str">
        <f>_xlfn.IFNA(VLOOKUP($BK335,Programma!$F$3:$I$1101,4,0),"")</f>
        <v/>
      </c>
      <c r="BO335" s="448" t="str">
        <f>_xlfn.IFNA(VLOOKUP($BK335,Programma!$F$3:$J$1101,5,0),"")</f>
        <v/>
      </c>
      <c r="BP335" s="448" t="str">
        <f>_xlfn.IFNA(VLOOKUP($BK335,Programma!$F$3:$K$1101,6,0),"")</f>
        <v/>
      </c>
      <c r="BQ335" s="448" t="str">
        <f>_xlfn.IFNA(VLOOKUP($BK335,Programma!$F$3:$L$1101,7,0),"")</f>
        <v/>
      </c>
      <c r="BR335" s="448" t="str">
        <f>_xlfn.IFNA(VLOOKUP($BK335,Programma!$F$3:$M$1101,8,0),"")</f>
        <v/>
      </c>
      <c r="BS335" s="448" t="str">
        <f>_xlfn.IFNA(VLOOKUP($BK335,Programma!$F$3:$N$1101,9,0),"")</f>
        <v/>
      </c>
      <c r="BT335" s="448" t="str">
        <f>_xlfn.IFNA(VLOOKUP($BK335,Programma!$F$3:$O$1101,10,0),"")</f>
        <v/>
      </c>
      <c r="BU335" s="448" t="str">
        <f>_xlfn.IFNA(VLOOKUP($BK335,Programma!$F$3:$P$1101,11,0),"")</f>
        <v/>
      </c>
      <c r="BV335" s="448" t="str">
        <f>_xlfn.IFNA(VLOOKUP($BK335,Programma!$F$3:$Q$1101,12,0),"")</f>
        <v/>
      </c>
      <c r="BW335" s="448" t="str">
        <f>_xlfn.IFNA(VLOOKUP($BK335,Programma!$F$3:$R$1101,13,0),"")</f>
        <v/>
      </c>
      <c r="BX335" s="448" t="str">
        <f>_xlfn.IFNA(VLOOKUP($BK335,Programma!$F$3:$S$1101,14,0),"")</f>
        <v/>
      </c>
      <c r="BY335" s="448" t="str">
        <f>_xlfn.IFNA(VLOOKUP($BK335,Programma!$F$3:$T$1101,15,0),"")</f>
        <v/>
      </c>
      <c r="BZ335" s="448" t="str">
        <f>_xlfn.IFNA(VLOOKUP($BK335,Programma!$F$3:$U$1101,16,0),"")</f>
        <v/>
      </c>
      <c r="CA335" s="448" t="str">
        <f>_xlfn.IFNA(VLOOKUP($BK335,Programma!$F$3:$V$1101,17,0),"")</f>
        <v/>
      </c>
      <c r="CB335" s="448" t="str">
        <f>_xlfn.IFNA(VLOOKUP($BK335,Programma!$F$3:$W$1101,18,0),"")</f>
        <v/>
      </c>
      <c r="CC335" s="448" t="str">
        <f>_xlfn.IFNA(VLOOKUP($BK335,Programma!$F$3:$X$1101,19,0),"")</f>
        <v/>
      </c>
      <c r="CD335" s="448" t="str">
        <f>_xlfn.IFNA(VLOOKUP($BK335,Programma!$F$3:$Y$1101,20,0),"")</f>
        <v/>
      </c>
      <c r="CE335" s="327"/>
      <c r="CF335" s="327"/>
      <c r="CG335" s="327"/>
      <c r="CH335" s="327"/>
      <c r="CI335" s="327"/>
      <c r="CJ335" s="327"/>
      <c r="CK335" s="327"/>
      <c r="CL335" s="327"/>
      <c r="CM335" s="327"/>
      <c r="CN335" s="327"/>
      <c r="CO335" s="327"/>
      <c r="CP335" s="327"/>
      <c r="CQ335" s="327"/>
      <c r="CR335" s="327"/>
      <c r="CS335" s="327"/>
      <c r="CT335" s="327"/>
      <c r="CU335" s="327"/>
      <c r="CV335" s="327"/>
      <c r="CW335" s="327"/>
      <c r="CX335" s="327"/>
      <c r="CY335" s="327"/>
      <c r="CZ335" s="327"/>
      <c r="DA335" s="327"/>
      <c r="DB335" s="327"/>
      <c r="DC335" s="327"/>
      <c r="DD335" s="327"/>
      <c r="DE335" s="327"/>
      <c r="DF335" s="327"/>
      <c r="DG335" s="327"/>
      <c r="DH335" s="327"/>
      <c r="DI335" s="327"/>
      <c r="DJ335" s="327"/>
      <c r="DK335" s="327"/>
      <c r="DL335" s="327"/>
      <c r="DM335" s="327"/>
      <c r="DN335" s="327"/>
      <c r="DO335" s="327"/>
      <c r="DP335" s="327"/>
      <c r="DQ335" s="327"/>
      <c r="DR335" s="327"/>
      <c r="DS335" s="327"/>
      <c r="DT335" s="327"/>
      <c r="DU335" s="327"/>
      <c r="DV335" s="327"/>
      <c r="DW335" s="327"/>
      <c r="DX335" s="327"/>
      <c r="DY335" s="327"/>
      <c r="DZ335" s="327"/>
      <c r="EA335" s="327"/>
      <c r="EB335" s="327"/>
      <c r="EC335" s="327"/>
      <c r="ED335" s="327"/>
      <c r="EE335" s="327"/>
      <c r="EF335" s="327"/>
      <c r="EG335" s="327"/>
      <c r="EH335" s="327"/>
      <c r="EI335" s="327"/>
      <c r="EJ335" s="327"/>
      <c r="EK335" s="327"/>
      <c r="EL335" s="327"/>
      <c r="EM335" s="327"/>
      <c r="EN335" s="327"/>
      <c r="EO335" s="327"/>
      <c r="EP335" s="327"/>
      <c r="EQ335" s="327"/>
      <c r="ER335" s="327"/>
      <c r="ES335" s="327"/>
      <c r="ET335" s="327"/>
      <c r="EU335" s="327"/>
      <c r="EV335" s="327"/>
      <c r="EW335" s="327"/>
      <c r="EX335" s="327"/>
      <c r="EY335" s="327"/>
      <c r="EZ335" s="327"/>
      <c r="FA335" s="327"/>
      <c r="FB335" s="327"/>
      <c r="FC335" s="327"/>
      <c r="FD335" s="327"/>
      <c r="FE335" s="327"/>
      <c r="FF335" s="327"/>
      <c r="FG335" s="327"/>
      <c r="FH335" s="327"/>
      <c r="FI335" s="327"/>
      <c r="FJ335" s="327"/>
      <c r="FK335" s="327"/>
      <c r="FL335" s="327"/>
      <c r="FM335" s="327"/>
      <c r="FN335" s="327"/>
      <c r="FO335" s="327"/>
      <c r="FP335" s="327"/>
      <c r="FQ335" s="327"/>
      <c r="FR335" s="327"/>
      <c r="FS335" s="327"/>
      <c r="FT335" s="327"/>
      <c r="FU335" s="327"/>
      <c r="FV335" s="327"/>
      <c r="FW335" s="327"/>
      <c r="FX335" s="327"/>
      <c r="FY335" s="327"/>
      <c r="FZ335" s="327"/>
      <c r="GA335" s="327"/>
      <c r="GB335" s="327"/>
      <c r="GC335" s="327"/>
      <c r="GD335" s="327"/>
      <c r="GE335" s="327"/>
      <c r="GF335" s="327"/>
      <c r="GG335" s="327"/>
      <c r="GH335" s="327"/>
      <c r="GI335" s="327"/>
      <c r="GJ335" s="327"/>
      <c r="GK335" s="327"/>
      <c r="GL335" s="327"/>
      <c r="GM335" s="327"/>
      <c r="GN335" s="327"/>
      <c r="GO335" s="327"/>
      <c r="GP335" s="327"/>
      <c r="GQ335" s="327"/>
      <c r="GR335" s="327"/>
      <c r="GS335" s="327"/>
      <c r="GT335" s="327"/>
      <c r="GU335" s="327"/>
      <c r="GV335" s="327"/>
      <c r="GW335" s="327"/>
      <c r="GX335" s="327"/>
      <c r="GY335" s="327"/>
      <c r="GZ335" s="327"/>
      <c r="HA335" s="327"/>
      <c r="HB335" s="327"/>
      <c r="HC335" s="327"/>
      <c r="HD335" s="327"/>
      <c r="HE335" s="327"/>
      <c r="HF335" s="327"/>
      <c r="HG335" s="327"/>
      <c r="HH335" s="327"/>
      <c r="HI335" s="327"/>
      <c r="HJ335" s="327"/>
      <c r="HK335" s="327"/>
      <c r="HL335" s="327"/>
      <c r="HM335" s="327"/>
      <c r="HN335" s="327"/>
      <c r="HO335" s="327"/>
      <c r="HP335" s="327"/>
      <c r="HQ335" s="327"/>
      <c r="HR335" s="327"/>
      <c r="HS335" s="327"/>
    </row>
    <row r="336" spans="1:227" ht="15" customHeight="1">
      <c r="A336" s="330">
        <v>14</v>
      </c>
      <c r="B336" s="435" t="str">
        <f>VLOOKUP(Ruimtestaat[[#This Row],[Code]],Locaties[[Code]:[Locatie]],2,FALSE)</f>
        <v>IKC De Vuurtoren</v>
      </c>
      <c r="C336" s="435" t="str">
        <f>VLOOKUP(Ruimtestaat[[#This Row],[Code]],Locaties[[#All],[Code]:[Adres]],4,FALSE)</f>
        <v>Spitsbergen 15</v>
      </c>
      <c r="D336" s="435" t="str">
        <f>VLOOKUP(Ruimtestaat[[#This Row],[Code]],Locaties[[#All],[Code]:[Postcode]],5,FALSE)</f>
        <v>2721 GP</v>
      </c>
      <c r="E336" s="435" t="str">
        <f>VLOOKUP(Ruimtestaat[[#This Row],[Code]],Locaties[#All],6,FALSE)</f>
        <v>Zoetermeer</v>
      </c>
      <c r="F336" s="450"/>
      <c r="G336" s="330" t="s">
        <v>1769</v>
      </c>
      <c r="H336" s="330" t="s">
        <v>1711</v>
      </c>
      <c r="I336" s="450" t="s">
        <v>1666</v>
      </c>
      <c r="J336" s="330">
        <v>2</v>
      </c>
      <c r="K336" s="450" t="str">
        <f>VLOOKUP(Ruimtestaat[[#This Row],[Ruimte code]],Ruimtegroepen[[#All],[Code]:[Ruimte omschrijving]],2,FALSE)</f>
        <v>Kantoren</v>
      </c>
      <c r="L336" s="434" t="s">
        <v>100</v>
      </c>
      <c r="M336" s="437" t="s">
        <v>1759</v>
      </c>
      <c r="N336" s="439">
        <v>25</v>
      </c>
      <c r="O336" s="439"/>
      <c r="P336" s="439"/>
      <c r="Q336" s="439"/>
      <c r="R336" s="440" t="str">
        <f>VLOOKUP(Ruimtestaat[[#This Row],[Ruimte code]],Ruimtegroepen[],4,FALSE)</f>
        <v>Bu</v>
      </c>
      <c r="S336" s="434">
        <v>41</v>
      </c>
      <c r="T336" s="434" t="s">
        <v>17</v>
      </c>
      <c r="U336" s="434">
        <f>IF(S336&gt;0,IF(RIGHT(Ruimtestaat[[#This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36" s="434">
        <f>IF(U336&gt;0,VLOOKUP($J336,Ruimtegroepen[],3,FALSE)*VLOOKUP($L336,Vloersoorten[],3,FALSE)*VLOOKUP($T336,Frequenties[],3,FALSE)*VLOOKUP($A336,Locaties[],3,FALSE),0)</f>
        <v>0</v>
      </c>
      <c r="W336" s="434">
        <f>Ruimtestaat[[#This Row],[Uitvoeringen werkdagen]]*Ruimtestaat[[#This Row],[Oppervlak (netto)]]</f>
        <v>2050</v>
      </c>
      <c r="X336" s="441">
        <f>IF(V336&gt;0,Ruimtestaat[[#This Row],[Prest. (m2 /jaar) werkdagen]]/Ruimtestaat[[#This Row],[Norm (m2/uur) werkdagen]],0)</f>
        <v>0</v>
      </c>
      <c r="Y336" s="442">
        <f>Ruimtestaat[[#This Row],[Uitvoeringen werkdagen]]*Ruimtestaat[[#This Row],[Gedeeltelijk]]</f>
        <v>0</v>
      </c>
      <c r="Z336" s="443" t="e">
        <f>IF(U336&gt;0,Ruimtestaat[[#This Row],[Prest. (m2 / jaar) werkdagen gedeeld]]/Ruimtestaat[[#This Row],[Norm (m2/uur) werkdagen]],0)</f>
        <v>#DIV/0!</v>
      </c>
      <c r="AA336" s="441" t="e">
        <f>Ruimtestaat[[#This Row],[uren / jaar werkdagen gedeeld]]*Tariefsopbouw!$E$35</f>
        <v>#DIV/0!</v>
      </c>
      <c r="AB336" s="441">
        <f>Ruimtestaat[[#This Row],[Uitvoeringen werkdagen]]*Ruimtestaat[[#This Row],[BSO]]</f>
        <v>0</v>
      </c>
      <c r="AC336" s="443" t="e">
        <f>IF(U336&gt;0,Ruimtestaat[[#This Row],[Prest. (m2 / jaar) werkdagen BSO]]/Ruimtestaat[[#This Row],[Norm (m2/uur) werkdagen]],0)</f>
        <v>#DIV/0!</v>
      </c>
      <c r="AD336" s="443" t="e">
        <f>Ruimtestaat[[#This Row],[uren / jaar werkdagen BSO]]*Tariefsopbouw!$E$35</f>
        <v>#DIV/0!</v>
      </c>
      <c r="AE336" s="444">
        <f>Ruimtestaat[[#This Row],[uren / jaar werkdagen]]*Tariefsopbouw!$E$35</f>
        <v>0</v>
      </c>
      <c r="AF336" s="434"/>
      <c r="AG336" s="434">
        <f>IF(Ruimtestaat[[#This Row],[Frequentie weekend]]&gt;0,VALUE(LEFT(AF336,1))*S336,0)</f>
        <v>0</v>
      </c>
      <c r="AH336" s="445">
        <f>IF($AG336&gt;0,VLOOKUP($J336,Ruimtegroepen[],3,FALSE)*VLOOKUP($L336,Vloersoorten[],3,FALSE)*VLOOKUP($AF336,Frequenties[],3,FALSE)*VLOOKUP(Ruimtestaat[[#This Row],[Code]],Locaties[],3,FALSE),0)</f>
        <v>0</v>
      </c>
      <c r="AI336" s="445">
        <f>Ruimtestaat[[#This Row],[Uitvoeringen weekend]]*Ruimtestaat[[#This Row],[Oppervlak (netto)]]</f>
        <v>0</v>
      </c>
      <c r="AJ336" s="445">
        <f>IF(AH336&gt;0,Ruimtestaat[[#This Row],[Prest. (m2 /jaar) weekend]]/Ruimtestaat[[#This Row],[Norm (m2/uur) weekend]],0)</f>
        <v>0</v>
      </c>
      <c r="AK336" s="444">
        <f>Ruimtestaat[[#This Row],[uren / jaar weekend]]*Tariefsopbouw!$D$40</f>
        <v>0</v>
      </c>
      <c r="AL336" s="441">
        <f>Ruimtestaat[[#This Row],[Prest. (m2 /jaar) weekend]]+Ruimtestaat[[#This Row],[Prest. (m2 /jaar) werkdagen]]</f>
        <v>2050</v>
      </c>
      <c r="AM336" s="441">
        <f>Ruimtestaat[[#This Row],[uren / jaar weekend]]+Ruimtestaat[[#This Row],[uren / jaar werkdagen]]</f>
        <v>0</v>
      </c>
      <c r="AN336" s="446">
        <f>Ruimtestaat[[#This Row],[kosten / jaar weekend]]+Ruimtestaat[[#This Row],[kosten / jaar werkdagen]]</f>
        <v>0</v>
      </c>
      <c r="AO336" s="446"/>
      <c r="AP336" s="447" t="str">
        <f>IF(Ruimtestaat[[#This Row],[Frequentie werkdagen]]="","",_xlfn.CONCAT(Ruimtestaat[[#This Row],[Ruimte code]],"-",Ruimtestaat[[#This Row],[Frequentie werkdagen]]," ",Ruimtestaat[[#This Row],[Vloer code]]))</f>
        <v>2-2w L</v>
      </c>
      <c r="AQ336" s="448" t="str">
        <f>_xlfn.IFNA(VLOOKUP($AP336,Programma!$F$3:$G$1101,2,0),"")</f>
        <v>_</v>
      </c>
      <c r="AR336" s="448" t="str">
        <f>_xlfn.IFNA(VLOOKUP($AP336,Programma!$F$3:$H$1101,3,0),"")</f>
        <v>_</v>
      </c>
      <c r="AS336" s="448" t="str">
        <f>_xlfn.IFNA(VLOOKUP($AP336,Programma!$F$3:$I$1101,4,0),"")</f>
        <v>1w</v>
      </c>
      <c r="AT336" s="448" t="str">
        <f>_xlfn.IFNA(VLOOKUP($AP336,Programma!$F$3:$J$1101,5,0),"")</f>
        <v>1w</v>
      </c>
      <c r="AU336" s="448" t="str">
        <f>_xlfn.IFNA(VLOOKUP($AP336,Programma!$F$3:$K$1101,6,0),"")</f>
        <v>_</v>
      </c>
      <c r="AV336" s="448" t="str">
        <f>_xlfn.IFNA(VLOOKUP($AP336,Programma!$F$3:$L$1101,7,0),"")</f>
        <v>_</v>
      </c>
      <c r="AW336" s="448" t="str">
        <f>_xlfn.IFNA(VLOOKUP($AP336,Programma!$F$3:$M$1101,8,0),"")</f>
        <v>_</v>
      </c>
      <c r="AX336" s="448" t="str">
        <f>_xlfn.IFNA(VLOOKUP($AP336,Programma!$F$3:$N$1101,9,0),"")</f>
        <v>_</v>
      </c>
      <c r="AY336" s="448" t="str">
        <f>_xlfn.IFNA(VLOOKUP($AP336,Programma!$F$3:$O$1101,10,0),"")</f>
        <v>2w</v>
      </c>
      <c r="AZ336" s="448" t="str">
        <f>_xlfn.IFNA(VLOOKUP($AP336,Programma!$F$3:$P$1101,11,0),"")</f>
        <v>2w</v>
      </c>
      <c r="BA336" s="448" t="str">
        <f>_xlfn.IFNA(VLOOKUP($AP336,Programma!$F$3:$Q$1101,12,0),"")</f>
        <v>1w</v>
      </c>
      <c r="BB336" s="448" t="str">
        <f>_xlfn.IFNA(VLOOKUP($AP336,Programma!$F$3:$R$1101,13,0),"")</f>
        <v>1w</v>
      </c>
      <c r="BC336" s="448" t="str">
        <f>_xlfn.IFNA(VLOOKUP($AP336,Programma!$F$3:$S$1101,14,0),"")</f>
        <v>1m</v>
      </c>
      <c r="BD336" s="448" t="str">
        <f>_xlfn.IFNA(VLOOKUP($AP336,Programma!$F$3:$T$1101,15,0),"")</f>
        <v>2j</v>
      </c>
      <c r="BE336" s="448" t="str">
        <f>_xlfn.IFNA(VLOOKUP($AP336,Programma!$F$3:$U$1101,16,0),"")</f>
        <v>1j</v>
      </c>
      <c r="BF336" s="448" t="str">
        <f>_xlfn.IFNA(VLOOKUP($AP336,Programma!$F$3:$V$1101,17,0),"")</f>
        <v>_</v>
      </c>
      <c r="BG336" s="448" t="str">
        <f>_xlfn.IFNA(VLOOKUP($AP336,Programma!$F$3:$W$1101,18,0),"")</f>
        <v>_</v>
      </c>
      <c r="BH336" s="448" t="str">
        <f>_xlfn.IFNA(VLOOKUP($AP336,Programma!$F$3:$X$1101,19,0),"")</f>
        <v>_</v>
      </c>
      <c r="BI336" s="448" t="str">
        <f>_xlfn.IFNA(VLOOKUP($AP336,Programma!$F$3:$Y$1101,20,0),"")</f>
        <v>_</v>
      </c>
      <c r="BJ336" s="449"/>
      <c r="BK336" s="447" t="str">
        <f>IF(Ruimtestaat[[#This Row],[Frequentie weekend]]="","",_xlfn.CONCAT(Ruimtestaat[[#This Row],[Ruimte code]],"-",Ruimtestaat[[#This Row],[Frequentie weekend]]," ",Ruimtestaat[[#This Row],[Vloer code]]))</f>
        <v/>
      </c>
      <c r="BL336" s="448" t="str">
        <f>_xlfn.IFNA(VLOOKUP($BK336,Programma!$F$3:$G$1101,2,0),"")</f>
        <v/>
      </c>
      <c r="BM336" s="448" t="str">
        <f>_xlfn.IFNA(VLOOKUP($BK336,Programma!$F$3:$H$1101,3,0),"")</f>
        <v/>
      </c>
      <c r="BN336" s="448" t="str">
        <f>_xlfn.IFNA(VLOOKUP($BK336,Programma!$F$3:$I$1101,4,0),"")</f>
        <v/>
      </c>
      <c r="BO336" s="448" t="str">
        <f>_xlfn.IFNA(VLOOKUP($BK336,Programma!$F$3:$J$1101,5,0),"")</f>
        <v/>
      </c>
      <c r="BP336" s="448" t="str">
        <f>_xlfn.IFNA(VLOOKUP($BK336,Programma!$F$3:$K$1101,6,0),"")</f>
        <v/>
      </c>
      <c r="BQ336" s="448" t="str">
        <f>_xlfn.IFNA(VLOOKUP($BK336,Programma!$F$3:$L$1101,7,0),"")</f>
        <v/>
      </c>
      <c r="BR336" s="448" t="str">
        <f>_xlfn.IFNA(VLOOKUP($BK336,Programma!$F$3:$M$1101,8,0),"")</f>
        <v/>
      </c>
      <c r="BS336" s="448" t="str">
        <f>_xlfn.IFNA(VLOOKUP($BK336,Programma!$F$3:$N$1101,9,0),"")</f>
        <v/>
      </c>
      <c r="BT336" s="448" t="str">
        <f>_xlfn.IFNA(VLOOKUP($BK336,Programma!$F$3:$O$1101,10,0),"")</f>
        <v/>
      </c>
      <c r="BU336" s="448" t="str">
        <f>_xlfn.IFNA(VLOOKUP($BK336,Programma!$F$3:$P$1101,11,0),"")</f>
        <v/>
      </c>
      <c r="BV336" s="448" t="str">
        <f>_xlfn.IFNA(VLOOKUP($BK336,Programma!$F$3:$Q$1101,12,0),"")</f>
        <v/>
      </c>
      <c r="BW336" s="448" t="str">
        <f>_xlfn.IFNA(VLOOKUP($BK336,Programma!$F$3:$R$1101,13,0),"")</f>
        <v/>
      </c>
      <c r="BX336" s="448" t="str">
        <f>_xlfn.IFNA(VLOOKUP($BK336,Programma!$F$3:$S$1101,14,0),"")</f>
        <v/>
      </c>
      <c r="BY336" s="448" t="str">
        <f>_xlfn.IFNA(VLOOKUP($BK336,Programma!$F$3:$T$1101,15,0),"")</f>
        <v/>
      </c>
      <c r="BZ336" s="448" t="str">
        <f>_xlfn.IFNA(VLOOKUP($BK336,Programma!$F$3:$U$1101,16,0),"")</f>
        <v/>
      </c>
      <c r="CA336" s="448" t="str">
        <f>_xlfn.IFNA(VLOOKUP($BK336,Programma!$F$3:$V$1101,17,0),"")</f>
        <v/>
      </c>
      <c r="CB336" s="448" t="str">
        <f>_xlfn.IFNA(VLOOKUP($BK336,Programma!$F$3:$W$1101,18,0),"")</f>
        <v/>
      </c>
      <c r="CC336" s="448" t="str">
        <f>_xlfn.IFNA(VLOOKUP($BK336,Programma!$F$3:$X$1101,19,0),"")</f>
        <v/>
      </c>
      <c r="CD336" s="448" t="str">
        <f>_xlfn.IFNA(VLOOKUP($BK336,Programma!$F$3:$Y$1101,20,0),"")</f>
        <v/>
      </c>
      <c r="CE336" s="327"/>
      <c r="CF336" s="327"/>
      <c r="CG336" s="327"/>
      <c r="CH336" s="327"/>
      <c r="CI336" s="327"/>
      <c r="CJ336" s="327"/>
      <c r="CK336" s="327"/>
      <c r="CL336" s="327"/>
      <c r="CM336" s="327"/>
      <c r="CN336" s="327"/>
      <c r="CO336" s="327"/>
      <c r="CP336" s="327"/>
      <c r="CQ336" s="327"/>
      <c r="CR336" s="327"/>
      <c r="CS336" s="327"/>
      <c r="CT336" s="327"/>
      <c r="CU336" s="327"/>
      <c r="CV336" s="327"/>
      <c r="CW336" s="327"/>
      <c r="CX336" s="327"/>
      <c r="CY336" s="327"/>
      <c r="CZ336" s="327"/>
      <c r="DA336" s="327"/>
      <c r="DB336" s="327"/>
      <c r="DC336" s="327"/>
      <c r="DD336" s="327"/>
      <c r="DE336" s="327"/>
      <c r="DF336" s="327"/>
      <c r="DG336" s="327"/>
      <c r="DH336" s="327"/>
      <c r="DI336" s="327"/>
      <c r="DJ336" s="327"/>
      <c r="DK336" s="327"/>
      <c r="DL336" s="327"/>
      <c r="DM336" s="327"/>
      <c r="DN336" s="327"/>
      <c r="DO336" s="327"/>
      <c r="DP336" s="327"/>
      <c r="DQ336" s="327"/>
      <c r="DR336" s="327"/>
      <c r="DS336" s="327"/>
      <c r="DT336" s="327"/>
      <c r="DU336" s="327"/>
      <c r="DV336" s="327"/>
      <c r="DW336" s="327"/>
      <c r="DX336" s="327"/>
      <c r="DY336" s="327"/>
      <c r="DZ336" s="327"/>
      <c r="EA336" s="327"/>
      <c r="EB336" s="327"/>
      <c r="EC336" s="327"/>
      <c r="ED336" s="327"/>
      <c r="EE336" s="327"/>
      <c r="EF336" s="327"/>
      <c r="EG336" s="327"/>
      <c r="EH336" s="327"/>
      <c r="EI336" s="327"/>
      <c r="EJ336" s="327"/>
      <c r="EK336" s="327"/>
      <c r="EL336" s="327"/>
      <c r="EM336" s="327"/>
      <c r="EN336" s="327"/>
      <c r="EO336" s="327"/>
      <c r="EP336" s="327"/>
      <c r="EQ336" s="327"/>
      <c r="ER336" s="327"/>
      <c r="ES336" s="327"/>
      <c r="ET336" s="327"/>
      <c r="EU336" s="327"/>
      <c r="EV336" s="327"/>
      <c r="EW336" s="327"/>
      <c r="EX336" s="327"/>
      <c r="EY336" s="327"/>
      <c r="EZ336" s="327"/>
      <c r="FA336" s="327"/>
      <c r="FB336" s="327"/>
      <c r="FC336" s="327"/>
      <c r="FD336" s="327"/>
      <c r="FE336" s="327"/>
      <c r="FF336" s="327"/>
      <c r="FG336" s="327"/>
      <c r="FH336" s="327"/>
      <c r="FI336" s="327"/>
      <c r="FJ336" s="327"/>
      <c r="FK336" s="327"/>
      <c r="FL336" s="327"/>
      <c r="FM336" s="327"/>
      <c r="FN336" s="327"/>
      <c r="FO336" s="327"/>
      <c r="FP336" s="327"/>
      <c r="FQ336" s="327"/>
      <c r="FR336" s="327"/>
      <c r="FS336" s="327"/>
      <c r="FT336" s="327"/>
      <c r="FU336" s="327"/>
      <c r="FV336" s="327"/>
      <c r="FW336" s="327"/>
      <c r="FX336" s="327"/>
      <c r="FY336" s="327"/>
      <c r="FZ336" s="327"/>
      <c r="GA336" s="327"/>
      <c r="GB336" s="327"/>
      <c r="GC336" s="327"/>
      <c r="GD336" s="327"/>
      <c r="GE336" s="327"/>
      <c r="GF336" s="327"/>
      <c r="GG336" s="327"/>
      <c r="GH336" s="327"/>
      <c r="GI336" s="327"/>
      <c r="GJ336" s="327"/>
      <c r="GK336" s="327"/>
      <c r="GL336" s="327"/>
      <c r="GM336" s="327"/>
      <c r="GN336" s="327"/>
      <c r="GO336" s="327"/>
      <c r="GP336" s="327"/>
      <c r="GQ336" s="327"/>
      <c r="GR336" s="327"/>
      <c r="GS336" s="327"/>
      <c r="GT336" s="327"/>
      <c r="GU336" s="327"/>
      <c r="GV336" s="327"/>
      <c r="GW336" s="327"/>
      <c r="GX336" s="327"/>
      <c r="GY336" s="327"/>
      <c r="GZ336" s="327"/>
      <c r="HA336" s="327"/>
      <c r="HB336" s="327"/>
      <c r="HC336" s="327"/>
      <c r="HD336" s="327"/>
      <c r="HE336" s="327"/>
      <c r="HF336" s="327"/>
      <c r="HG336" s="327"/>
      <c r="HH336" s="327"/>
      <c r="HI336" s="327"/>
      <c r="HJ336" s="327"/>
      <c r="HK336" s="327"/>
      <c r="HL336" s="327"/>
      <c r="HM336" s="327"/>
      <c r="HN336" s="327"/>
      <c r="HO336" s="327"/>
      <c r="HP336" s="327"/>
      <c r="HQ336" s="327"/>
      <c r="HR336" s="327"/>
      <c r="HS336" s="327"/>
    </row>
    <row r="337" spans="1:227" ht="15" customHeight="1">
      <c r="A337" s="330">
        <v>14</v>
      </c>
      <c r="B337" s="435" t="str">
        <f>VLOOKUP(Ruimtestaat[[#This Row],[Code]],Locaties[[Code]:[Locatie]],2,FALSE)</f>
        <v>IKC De Vuurtoren</v>
      </c>
      <c r="C337" s="435" t="str">
        <f>VLOOKUP(Ruimtestaat[[#This Row],[Code]],Locaties[[#All],[Code]:[Adres]],4,FALSE)</f>
        <v>Spitsbergen 15</v>
      </c>
      <c r="D337" s="435" t="str">
        <f>VLOOKUP(Ruimtestaat[[#This Row],[Code]],Locaties[[#All],[Code]:[Postcode]],5,FALSE)</f>
        <v>2721 GP</v>
      </c>
      <c r="E337" s="435" t="str">
        <f>VLOOKUP(Ruimtestaat[[#This Row],[Code]],Locaties[#All],6,FALSE)</f>
        <v>Zoetermeer</v>
      </c>
      <c r="F337" s="450"/>
      <c r="G337" s="330" t="s">
        <v>1769</v>
      </c>
      <c r="H337" s="330" t="s">
        <v>1713</v>
      </c>
      <c r="I337" s="450" t="s">
        <v>1666</v>
      </c>
      <c r="J337" s="330">
        <v>2</v>
      </c>
      <c r="K337" s="450" t="str">
        <f>VLOOKUP(Ruimtestaat[[#This Row],[Ruimte code]],Ruimtegroepen[[#All],[Code]:[Ruimte omschrijving]],2,FALSE)</f>
        <v>Kantoren</v>
      </c>
      <c r="L337" s="434" t="s">
        <v>100</v>
      </c>
      <c r="M337" s="437" t="s">
        <v>1759</v>
      </c>
      <c r="N337" s="439">
        <v>11</v>
      </c>
      <c r="O337" s="439"/>
      <c r="P337" s="439"/>
      <c r="Q337" s="439"/>
      <c r="R337" s="440" t="str">
        <f>VLOOKUP(Ruimtestaat[[#This Row],[Ruimte code]],Ruimtegroepen[],4,FALSE)</f>
        <v>Bu</v>
      </c>
      <c r="S337" s="434">
        <v>41</v>
      </c>
      <c r="T337" s="434" t="s">
        <v>17</v>
      </c>
      <c r="U337" s="434">
        <f>IF(S337&gt;0,IF(RIGHT(Ruimtestaat[[#This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37" s="434">
        <f>IF(U337&gt;0,VLOOKUP($J337,Ruimtegroepen[],3,FALSE)*VLOOKUP($L337,Vloersoorten[],3,FALSE)*VLOOKUP($T337,Frequenties[],3,FALSE)*VLOOKUP($A337,Locaties[],3,FALSE),0)</f>
        <v>0</v>
      </c>
      <c r="W337" s="434">
        <f>Ruimtestaat[[#This Row],[Uitvoeringen werkdagen]]*Ruimtestaat[[#This Row],[Oppervlak (netto)]]</f>
        <v>902</v>
      </c>
      <c r="X337" s="441">
        <f>IF(V337&gt;0,Ruimtestaat[[#This Row],[Prest. (m2 /jaar) werkdagen]]/Ruimtestaat[[#This Row],[Norm (m2/uur) werkdagen]],0)</f>
        <v>0</v>
      </c>
      <c r="Y337" s="442">
        <f>Ruimtestaat[[#This Row],[Uitvoeringen werkdagen]]*Ruimtestaat[[#This Row],[Gedeeltelijk]]</f>
        <v>0</v>
      </c>
      <c r="Z337" s="443" t="e">
        <f>IF(U337&gt;0,Ruimtestaat[[#This Row],[Prest. (m2 / jaar) werkdagen gedeeld]]/Ruimtestaat[[#This Row],[Norm (m2/uur) werkdagen]],0)</f>
        <v>#DIV/0!</v>
      </c>
      <c r="AA337" s="441" t="e">
        <f>Ruimtestaat[[#This Row],[uren / jaar werkdagen gedeeld]]*Tariefsopbouw!$E$35</f>
        <v>#DIV/0!</v>
      </c>
      <c r="AB337" s="441">
        <f>Ruimtestaat[[#This Row],[Uitvoeringen werkdagen]]*Ruimtestaat[[#This Row],[BSO]]</f>
        <v>0</v>
      </c>
      <c r="AC337" s="443" t="e">
        <f>IF(U337&gt;0,Ruimtestaat[[#This Row],[Prest. (m2 / jaar) werkdagen BSO]]/Ruimtestaat[[#This Row],[Norm (m2/uur) werkdagen]],0)</f>
        <v>#DIV/0!</v>
      </c>
      <c r="AD337" s="443" t="e">
        <f>Ruimtestaat[[#This Row],[uren / jaar werkdagen BSO]]*Tariefsopbouw!$E$35</f>
        <v>#DIV/0!</v>
      </c>
      <c r="AE337" s="444">
        <f>Ruimtestaat[[#This Row],[uren / jaar werkdagen]]*Tariefsopbouw!$E$35</f>
        <v>0</v>
      </c>
      <c r="AF337" s="434"/>
      <c r="AG337" s="434">
        <f>IF(Ruimtestaat[[#This Row],[Frequentie weekend]]&gt;0,VALUE(LEFT(AF337,1))*S337,0)</f>
        <v>0</v>
      </c>
      <c r="AH337" s="445">
        <f>IF($AG337&gt;0,VLOOKUP($J337,Ruimtegroepen[],3,FALSE)*VLOOKUP($L337,Vloersoorten[],3,FALSE)*VLOOKUP($AF337,Frequenties[],3,FALSE)*VLOOKUP(Ruimtestaat[[#This Row],[Code]],Locaties[],3,FALSE),0)</f>
        <v>0</v>
      </c>
      <c r="AI337" s="445">
        <f>Ruimtestaat[[#This Row],[Uitvoeringen weekend]]*Ruimtestaat[[#This Row],[Oppervlak (netto)]]</f>
        <v>0</v>
      </c>
      <c r="AJ337" s="445">
        <f>IF(AH337&gt;0,Ruimtestaat[[#This Row],[Prest. (m2 /jaar) weekend]]/Ruimtestaat[[#This Row],[Norm (m2/uur) weekend]],0)</f>
        <v>0</v>
      </c>
      <c r="AK337" s="444">
        <f>Ruimtestaat[[#This Row],[uren / jaar weekend]]*Tariefsopbouw!$D$40</f>
        <v>0</v>
      </c>
      <c r="AL337" s="441">
        <f>Ruimtestaat[[#This Row],[Prest. (m2 /jaar) weekend]]+Ruimtestaat[[#This Row],[Prest. (m2 /jaar) werkdagen]]</f>
        <v>902</v>
      </c>
      <c r="AM337" s="441">
        <f>Ruimtestaat[[#This Row],[uren / jaar weekend]]+Ruimtestaat[[#This Row],[uren / jaar werkdagen]]</f>
        <v>0</v>
      </c>
      <c r="AN337" s="446">
        <f>Ruimtestaat[[#This Row],[kosten / jaar weekend]]+Ruimtestaat[[#This Row],[kosten / jaar werkdagen]]</f>
        <v>0</v>
      </c>
      <c r="AO337" s="446"/>
      <c r="AP337" s="447" t="str">
        <f>IF(Ruimtestaat[[#This Row],[Frequentie werkdagen]]="","",_xlfn.CONCAT(Ruimtestaat[[#This Row],[Ruimte code]],"-",Ruimtestaat[[#This Row],[Frequentie werkdagen]]," ",Ruimtestaat[[#This Row],[Vloer code]]))</f>
        <v>2-2w L</v>
      </c>
      <c r="AQ337" s="448" t="str">
        <f>_xlfn.IFNA(VLOOKUP($AP337,Programma!$F$3:$G$1101,2,0),"")</f>
        <v>_</v>
      </c>
      <c r="AR337" s="448" t="str">
        <f>_xlfn.IFNA(VLOOKUP($AP337,Programma!$F$3:$H$1101,3,0),"")</f>
        <v>_</v>
      </c>
      <c r="AS337" s="448" t="str">
        <f>_xlfn.IFNA(VLOOKUP($AP337,Programma!$F$3:$I$1101,4,0),"")</f>
        <v>1w</v>
      </c>
      <c r="AT337" s="448" t="str">
        <f>_xlfn.IFNA(VLOOKUP($AP337,Programma!$F$3:$J$1101,5,0),"")</f>
        <v>1w</v>
      </c>
      <c r="AU337" s="448" t="str">
        <f>_xlfn.IFNA(VLOOKUP($AP337,Programma!$F$3:$K$1101,6,0),"")</f>
        <v>_</v>
      </c>
      <c r="AV337" s="448" t="str">
        <f>_xlfn.IFNA(VLOOKUP($AP337,Programma!$F$3:$L$1101,7,0),"")</f>
        <v>_</v>
      </c>
      <c r="AW337" s="448" t="str">
        <f>_xlfn.IFNA(VLOOKUP($AP337,Programma!$F$3:$M$1101,8,0),"")</f>
        <v>_</v>
      </c>
      <c r="AX337" s="448" t="str">
        <f>_xlfn.IFNA(VLOOKUP($AP337,Programma!$F$3:$N$1101,9,0),"")</f>
        <v>_</v>
      </c>
      <c r="AY337" s="448" t="str">
        <f>_xlfn.IFNA(VLOOKUP($AP337,Programma!$F$3:$O$1101,10,0),"")</f>
        <v>2w</v>
      </c>
      <c r="AZ337" s="448" t="str">
        <f>_xlfn.IFNA(VLOOKUP($AP337,Programma!$F$3:$P$1101,11,0),"")</f>
        <v>2w</v>
      </c>
      <c r="BA337" s="448" t="str">
        <f>_xlfn.IFNA(VLOOKUP($AP337,Programma!$F$3:$Q$1101,12,0),"")</f>
        <v>1w</v>
      </c>
      <c r="BB337" s="448" t="str">
        <f>_xlfn.IFNA(VLOOKUP($AP337,Programma!$F$3:$R$1101,13,0),"")</f>
        <v>1w</v>
      </c>
      <c r="BC337" s="448" t="str">
        <f>_xlfn.IFNA(VLOOKUP($AP337,Programma!$F$3:$S$1101,14,0),"")</f>
        <v>1m</v>
      </c>
      <c r="BD337" s="448" t="str">
        <f>_xlfn.IFNA(VLOOKUP($AP337,Programma!$F$3:$T$1101,15,0),"")</f>
        <v>2j</v>
      </c>
      <c r="BE337" s="448" t="str">
        <f>_xlfn.IFNA(VLOOKUP($AP337,Programma!$F$3:$U$1101,16,0),"")</f>
        <v>1j</v>
      </c>
      <c r="BF337" s="448" t="str">
        <f>_xlfn.IFNA(VLOOKUP($AP337,Programma!$F$3:$V$1101,17,0),"")</f>
        <v>_</v>
      </c>
      <c r="BG337" s="448" t="str">
        <f>_xlfn.IFNA(VLOOKUP($AP337,Programma!$F$3:$W$1101,18,0),"")</f>
        <v>_</v>
      </c>
      <c r="BH337" s="448" t="str">
        <f>_xlfn.IFNA(VLOOKUP($AP337,Programma!$F$3:$X$1101,19,0),"")</f>
        <v>_</v>
      </c>
      <c r="BI337" s="448" t="str">
        <f>_xlfn.IFNA(VLOOKUP($AP337,Programma!$F$3:$Y$1101,20,0),"")</f>
        <v>_</v>
      </c>
      <c r="BJ337" s="449"/>
      <c r="BK337" s="447" t="str">
        <f>IF(Ruimtestaat[[#This Row],[Frequentie weekend]]="","",_xlfn.CONCAT(Ruimtestaat[[#This Row],[Ruimte code]],"-",Ruimtestaat[[#This Row],[Frequentie weekend]]," ",Ruimtestaat[[#This Row],[Vloer code]]))</f>
        <v/>
      </c>
      <c r="BL337" s="448" t="str">
        <f>_xlfn.IFNA(VLOOKUP($BK337,Programma!$F$3:$G$1101,2,0),"")</f>
        <v/>
      </c>
      <c r="BM337" s="448" t="str">
        <f>_xlfn.IFNA(VLOOKUP($BK337,Programma!$F$3:$H$1101,3,0),"")</f>
        <v/>
      </c>
      <c r="BN337" s="448" t="str">
        <f>_xlfn.IFNA(VLOOKUP($BK337,Programma!$F$3:$I$1101,4,0),"")</f>
        <v/>
      </c>
      <c r="BO337" s="448" t="str">
        <f>_xlfn.IFNA(VLOOKUP($BK337,Programma!$F$3:$J$1101,5,0),"")</f>
        <v/>
      </c>
      <c r="BP337" s="448" t="str">
        <f>_xlfn.IFNA(VLOOKUP($BK337,Programma!$F$3:$K$1101,6,0),"")</f>
        <v/>
      </c>
      <c r="BQ337" s="448" t="str">
        <f>_xlfn.IFNA(VLOOKUP($BK337,Programma!$F$3:$L$1101,7,0),"")</f>
        <v/>
      </c>
      <c r="BR337" s="448" t="str">
        <f>_xlfn.IFNA(VLOOKUP($BK337,Programma!$F$3:$M$1101,8,0),"")</f>
        <v/>
      </c>
      <c r="BS337" s="448" t="str">
        <f>_xlfn.IFNA(VLOOKUP($BK337,Programma!$F$3:$N$1101,9,0),"")</f>
        <v/>
      </c>
      <c r="BT337" s="448" t="str">
        <f>_xlfn.IFNA(VLOOKUP($BK337,Programma!$F$3:$O$1101,10,0),"")</f>
        <v/>
      </c>
      <c r="BU337" s="448" t="str">
        <f>_xlfn.IFNA(VLOOKUP($BK337,Programma!$F$3:$P$1101,11,0),"")</f>
        <v/>
      </c>
      <c r="BV337" s="448" t="str">
        <f>_xlfn.IFNA(VLOOKUP($BK337,Programma!$F$3:$Q$1101,12,0),"")</f>
        <v/>
      </c>
      <c r="BW337" s="448" t="str">
        <f>_xlfn.IFNA(VLOOKUP($BK337,Programma!$F$3:$R$1101,13,0),"")</f>
        <v/>
      </c>
      <c r="BX337" s="448" t="str">
        <f>_xlfn.IFNA(VLOOKUP($BK337,Programma!$F$3:$S$1101,14,0),"")</f>
        <v/>
      </c>
      <c r="BY337" s="448" t="str">
        <f>_xlfn.IFNA(VLOOKUP($BK337,Programma!$F$3:$T$1101,15,0),"")</f>
        <v/>
      </c>
      <c r="BZ337" s="448" t="str">
        <f>_xlfn.IFNA(VLOOKUP($BK337,Programma!$F$3:$U$1101,16,0),"")</f>
        <v/>
      </c>
      <c r="CA337" s="448" t="str">
        <f>_xlfn.IFNA(VLOOKUP($BK337,Programma!$F$3:$V$1101,17,0),"")</f>
        <v/>
      </c>
      <c r="CB337" s="448" t="str">
        <f>_xlfn.IFNA(VLOOKUP($BK337,Programma!$F$3:$W$1101,18,0),"")</f>
        <v/>
      </c>
      <c r="CC337" s="448" t="str">
        <f>_xlfn.IFNA(VLOOKUP($BK337,Programma!$F$3:$X$1101,19,0),"")</f>
        <v/>
      </c>
      <c r="CD337" s="448" t="str">
        <f>_xlfn.IFNA(VLOOKUP($BK337,Programma!$F$3:$Y$1101,20,0),"")</f>
        <v/>
      </c>
      <c r="CE337" s="327"/>
      <c r="CF337" s="327"/>
      <c r="CG337" s="327"/>
      <c r="CH337" s="327"/>
      <c r="CI337" s="327"/>
      <c r="CJ337" s="327"/>
      <c r="CK337" s="327"/>
      <c r="CL337" s="327"/>
      <c r="CM337" s="327"/>
      <c r="CN337" s="327"/>
      <c r="CO337" s="327"/>
      <c r="CP337" s="327"/>
      <c r="CQ337" s="327"/>
      <c r="CR337" s="327"/>
      <c r="CS337" s="327"/>
      <c r="CT337" s="327"/>
      <c r="CU337" s="327"/>
      <c r="CV337" s="327"/>
      <c r="CW337" s="327"/>
      <c r="CX337" s="327"/>
      <c r="CY337" s="327"/>
      <c r="CZ337" s="327"/>
      <c r="DA337" s="327"/>
      <c r="DB337" s="327"/>
      <c r="DC337" s="327"/>
      <c r="DD337" s="327"/>
      <c r="DE337" s="327"/>
      <c r="DF337" s="327"/>
      <c r="DG337" s="327"/>
      <c r="DH337" s="327"/>
      <c r="DI337" s="327"/>
      <c r="DJ337" s="327"/>
      <c r="DK337" s="327"/>
      <c r="DL337" s="327"/>
      <c r="DM337" s="327"/>
      <c r="DN337" s="327"/>
      <c r="DO337" s="327"/>
      <c r="DP337" s="327"/>
      <c r="DQ337" s="327"/>
      <c r="DR337" s="327"/>
      <c r="DS337" s="327"/>
      <c r="DT337" s="327"/>
      <c r="DU337" s="327"/>
      <c r="DV337" s="327"/>
      <c r="DW337" s="327"/>
      <c r="DX337" s="327"/>
      <c r="DY337" s="327"/>
      <c r="DZ337" s="327"/>
      <c r="EA337" s="327"/>
      <c r="EB337" s="327"/>
      <c r="EC337" s="327"/>
      <c r="ED337" s="327"/>
      <c r="EE337" s="327"/>
      <c r="EF337" s="327"/>
      <c r="EG337" s="327"/>
      <c r="EH337" s="327"/>
      <c r="EI337" s="327"/>
      <c r="EJ337" s="327"/>
      <c r="EK337" s="327"/>
      <c r="EL337" s="327"/>
      <c r="EM337" s="327"/>
      <c r="EN337" s="327"/>
      <c r="EO337" s="327"/>
      <c r="EP337" s="327"/>
      <c r="EQ337" s="327"/>
      <c r="ER337" s="327"/>
      <c r="ES337" s="327"/>
      <c r="ET337" s="327"/>
      <c r="EU337" s="327"/>
      <c r="EV337" s="327"/>
      <c r="EW337" s="327"/>
      <c r="EX337" s="327"/>
      <c r="EY337" s="327"/>
      <c r="EZ337" s="327"/>
      <c r="FA337" s="327"/>
      <c r="FB337" s="327"/>
      <c r="FC337" s="327"/>
      <c r="FD337" s="327"/>
      <c r="FE337" s="327"/>
      <c r="FF337" s="327"/>
      <c r="FG337" s="327"/>
      <c r="FH337" s="327"/>
      <c r="FI337" s="327"/>
      <c r="FJ337" s="327"/>
      <c r="FK337" s="327"/>
      <c r="FL337" s="327"/>
      <c r="FM337" s="327"/>
      <c r="FN337" s="327"/>
      <c r="FO337" s="327"/>
      <c r="FP337" s="327"/>
      <c r="FQ337" s="327"/>
      <c r="FR337" s="327"/>
      <c r="FS337" s="327"/>
      <c r="FT337" s="327"/>
      <c r="FU337" s="327"/>
      <c r="FV337" s="327"/>
      <c r="FW337" s="327"/>
      <c r="FX337" s="327"/>
      <c r="FY337" s="327"/>
      <c r="FZ337" s="327"/>
      <c r="GA337" s="327"/>
      <c r="GB337" s="327"/>
      <c r="GC337" s="327"/>
      <c r="GD337" s="327"/>
      <c r="GE337" s="327"/>
      <c r="GF337" s="327"/>
      <c r="GG337" s="327"/>
      <c r="GH337" s="327"/>
      <c r="GI337" s="327"/>
      <c r="GJ337" s="327"/>
      <c r="GK337" s="327"/>
      <c r="GL337" s="327"/>
      <c r="GM337" s="327"/>
      <c r="GN337" s="327"/>
      <c r="GO337" s="327"/>
      <c r="GP337" s="327"/>
      <c r="GQ337" s="327"/>
      <c r="GR337" s="327"/>
      <c r="GS337" s="327"/>
      <c r="GT337" s="327"/>
      <c r="GU337" s="327"/>
      <c r="GV337" s="327"/>
      <c r="GW337" s="327"/>
      <c r="GX337" s="327"/>
      <c r="GY337" s="327"/>
      <c r="GZ337" s="327"/>
      <c r="HA337" s="327"/>
      <c r="HB337" s="327"/>
      <c r="HC337" s="327"/>
      <c r="HD337" s="327"/>
      <c r="HE337" s="327"/>
      <c r="HF337" s="327"/>
      <c r="HG337" s="327"/>
      <c r="HH337" s="327"/>
      <c r="HI337" s="327"/>
      <c r="HJ337" s="327"/>
      <c r="HK337" s="327"/>
      <c r="HL337" s="327"/>
      <c r="HM337" s="327"/>
      <c r="HN337" s="327"/>
      <c r="HO337" s="327"/>
      <c r="HP337" s="327"/>
      <c r="HQ337" s="327"/>
      <c r="HR337" s="327"/>
      <c r="HS337" s="327"/>
    </row>
    <row r="338" spans="1:227" ht="15" customHeight="1">
      <c r="A338" s="330">
        <v>14</v>
      </c>
      <c r="B338" s="435" t="str">
        <f>VLOOKUP(Ruimtestaat[[#This Row],[Code]],Locaties[[Code]:[Locatie]],2,FALSE)</f>
        <v>IKC De Vuurtoren</v>
      </c>
      <c r="C338" s="435" t="str">
        <f>VLOOKUP(Ruimtestaat[[#This Row],[Code]],Locaties[[#All],[Code]:[Adres]],4,FALSE)</f>
        <v>Spitsbergen 15</v>
      </c>
      <c r="D338" s="435" t="str">
        <f>VLOOKUP(Ruimtestaat[[#This Row],[Code]],Locaties[[#All],[Code]:[Postcode]],5,FALSE)</f>
        <v>2721 GP</v>
      </c>
      <c r="E338" s="435" t="str">
        <f>VLOOKUP(Ruimtestaat[[#This Row],[Code]],Locaties[#All],6,FALSE)</f>
        <v>Zoetermeer</v>
      </c>
      <c r="F338" s="450"/>
      <c r="G338" s="330" t="s">
        <v>1769</v>
      </c>
      <c r="H338" s="330" t="s">
        <v>1715</v>
      </c>
      <c r="I338" s="450" t="s">
        <v>1666</v>
      </c>
      <c r="J338" s="330">
        <v>2</v>
      </c>
      <c r="K338" s="450" t="str">
        <f>VLOOKUP(Ruimtestaat[[#This Row],[Ruimte code]],Ruimtegroepen[[#All],[Code]:[Ruimte omschrijving]],2,FALSE)</f>
        <v>Kantoren</v>
      </c>
      <c r="L338" s="434" t="s">
        <v>99</v>
      </c>
      <c r="M338" s="437" t="s">
        <v>36</v>
      </c>
      <c r="N338" s="439">
        <v>15</v>
      </c>
      <c r="O338" s="439"/>
      <c r="P338" s="439"/>
      <c r="Q338" s="439"/>
      <c r="R338" s="440" t="str">
        <f>VLOOKUP(Ruimtestaat[[#This Row],[Ruimte code]],Ruimtegroepen[],4,FALSE)</f>
        <v>Bu</v>
      </c>
      <c r="S338" s="434">
        <v>41</v>
      </c>
      <c r="T338" s="434" t="s">
        <v>17</v>
      </c>
      <c r="U338" s="434">
        <f>IF(S338&gt;0,IF(RIGHT(Ruimtestaat[[#This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38" s="434">
        <f>IF(U338&gt;0,VLOOKUP($J338,Ruimtegroepen[],3,FALSE)*VLOOKUP($L338,Vloersoorten[],3,FALSE)*VLOOKUP($T338,Frequenties[],3,FALSE)*VLOOKUP($A338,Locaties[],3,FALSE),0)</f>
        <v>0</v>
      </c>
      <c r="W338" s="434">
        <f>Ruimtestaat[[#This Row],[Uitvoeringen werkdagen]]*Ruimtestaat[[#This Row],[Oppervlak (netto)]]</f>
        <v>1230</v>
      </c>
      <c r="X338" s="441">
        <f>IF(V338&gt;0,Ruimtestaat[[#This Row],[Prest. (m2 /jaar) werkdagen]]/Ruimtestaat[[#This Row],[Norm (m2/uur) werkdagen]],0)</f>
        <v>0</v>
      </c>
      <c r="Y338" s="442">
        <f>Ruimtestaat[[#This Row],[Uitvoeringen werkdagen]]*Ruimtestaat[[#This Row],[Gedeeltelijk]]</f>
        <v>0</v>
      </c>
      <c r="Z338" s="443" t="e">
        <f>IF(U338&gt;0,Ruimtestaat[[#This Row],[Prest. (m2 / jaar) werkdagen gedeeld]]/Ruimtestaat[[#This Row],[Norm (m2/uur) werkdagen]],0)</f>
        <v>#DIV/0!</v>
      </c>
      <c r="AA338" s="441" t="e">
        <f>Ruimtestaat[[#This Row],[uren / jaar werkdagen gedeeld]]*Tariefsopbouw!$E$35</f>
        <v>#DIV/0!</v>
      </c>
      <c r="AB338" s="441">
        <f>Ruimtestaat[[#This Row],[Uitvoeringen werkdagen]]*Ruimtestaat[[#This Row],[BSO]]</f>
        <v>0</v>
      </c>
      <c r="AC338" s="443" t="e">
        <f>IF(U338&gt;0,Ruimtestaat[[#This Row],[Prest. (m2 / jaar) werkdagen BSO]]/Ruimtestaat[[#This Row],[Norm (m2/uur) werkdagen]],0)</f>
        <v>#DIV/0!</v>
      </c>
      <c r="AD338" s="443" t="e">
        <f>Ruimtestaat[[#This Row],[uren / jaar werkdagen BSO]]*Tariefsopbouw!$E$35</f>
        <v>#DIV/0!</v>
      </c>
      <c r="AE338" s="444">
        <f>Ruimtestaat[[#This Row],[uren / jaar werkdagen]]*Tariefsopbouw!$E$35</f>
        <v>0</v>
      </c>
      <c r="AF338" s="434"/>
      <c r="AG338" s="434">
        <f>IF(Ruimtestaat[[#This Row],[Frequentie weekend]]&gt;0,VALUE(LEFT(AF338,1))*S338,0)</f>
        <v>0</v>
      </c>
      <c r="AH338" s="445">
        <f>IF($AG338&gt;0,VLOOKUP($J338,Ruimtegroepen[],3,FALSE)*VLOOKUP($L338,Vloersoorten[],3,FALSE)*VLOOKUP($AF338,Frequenties[],3,FALSE)*VLOOKUP(Ruimtestaat[[#This Row],[Code]],Locaties[],3,FALSE),0)</f>
        <v>0</v>
      </c>
      <c r="AI338" s="445">
        <f>Ruimtestaat[[#This Row],[Uitvoeringen weekend]]*Ruimtestaat[[#This Row],[Oppervlak (netto)]]</f>
        <v>0</v>
      </c>
      <c r="AJ338" s="445">
        <f>IF(AH338&gt;0,Ruimtestaat[[#This Row],[Prest. (m2 /jaar) weekend]]/Ruimtestaat[[#This Row],[Norm (m2/uur) weekend]],0)</f>
        <v>0</v>
      </c>
      <c r="AK338" s="444">
        <f>Ruimtestaat[[#This Row],[uren / jaar weekend]]*Tariefsopbouw!$D$40</f>
        <v>0</v>
      </c>
      <c r="AL338" s="441">
        <f>Ruimtestaat[[#This Row],[Prest. (m2 /jaar) weekend]]+Ruimtestaat[[#This Row],[Prest. (m2 /jaar) werkdagen]]</f>
        <v>1230</v>
      </c>
      <c r="AM338" s="441">
        <f>Ruimtestaat[[#This Row],[uren / jaar weekend]]+Ruimtestaat[[#This Row],[uren / jaar werkdagen]]</f>
        <v>0</v>
      </c>
      <c r="AN338" s="446">
        <f>Ruimtestaat[[#This Row],[kosten / jaar weekend]]+Ruimtestaat[[#This Row],[kosten / jaar werkdagen]]</f>
        <v>0</v>
      </c>
      <c r="AO338" s="446"/>
      <c r="AP338" s="447" t="str">
        <f>IF(Ruimtestaat[[#This Row],[Frequentie werkdagen]]="","",_xlfn.CONCAT(Ruimtestaat[[#This Row],[Ruimte code]],"-",Ruimtestaat[[#This Row],[Frequentie werkdagen]]," ",Ruimtestaat[[#This Row],[Vloer code]]))</f>
        <v>2-2w T</v>
      </c>
      <c r="AQ338" s="448" t="str">
        <f>_xlfn.IFNA(VLOOKUP($AP338,Programma!$F$3:$G$1101,2,0),"")</f>
        <v>1w</v>
      </c>
      <c r="AR338" s="448" t="str">
        <f>_xlfn.IFNA(VLOOKUP($AP338,Programma!$F$3:$H$1101,3,0),"")</f>
        <v>1w</v>
      </c>
      <c r="AS338" s="448" t="str">
        <f>_xlfn.IFNA(VLOOKUP($AP338,Programma!$F$3:$I$1101,4,0),"")</f>
        <v>_</v>
      </c>
      <c r="AT338" s="448" t="str">
        <f>_xlfn.IFNA(VLOOKUP($AP338,Programma!$F$3:$J$1101,5,0),"")</f>
        <v>_</v>
      </c>
      <c r="AU338" s="448" t="str">
        <f>_xlfn.IFNA(VLOOKUP($AP338,Programma!$F$3:$K$1101,6,0),"")</f>
        <v>_</v>
      </c>
      <c r="AV338" s="448" t="str">
        <f>_xlfn.IFNA(VLOOKUP($AP338,Programma!$F$3:$L$1101,7,0),"")</f>
        <v>_</v>
      </c>
      <c r="AW338" s="448" t="str">
        <f>_xlfn.IFNA(VLOOKUP($AP338,Programma!$F$3:$M$1101,8,0),"")</f>
        <v>_</v>
      </c>
      <c r="AX338" s="448" t="str">
        <f>_xlfn.IFNA(VLOOKUP($AP338,Programma!$F$3:$N$1101,9,0),"")</f>
        <v>_</v>
      </c>
      <c r="AY338" s="448" t="str">
        <f>_xlfn.IFNA(VLOOKUP($AP338,Programma!$F$3:$O$1101,10,0),"")</f>
        <v>2w</v>
      </c>
      <c r="AZ338" s="448" t="str">
        <f>_xlfn.IFNA(VLOOKUP($AP338,Programma!$F$3:$P$1101,11,0),"")</f>
        <v>2w</v>
      </c>
      <c r="BA338" s="448" t="str">
        <f>_xlfn.IFNA(VLOOKUP($AP338,Programma!$F$3:$Q$1101,12,0),"")</f>
        <v>1w</v>
      </c>
      <c r="BB338" s="448" t="str">
        <f>_xlfn.IFNA(VLOOKUP($AP338,Programma!$F$3:$R$1101,13,0),"")</f>
        <v>1w</v>
      </c>
      <c r="BC338" s="448" t="str">
        <f>_xlfn.IFNA(VLOOKUP($AP338,Programma!$F$3:$S$1101,14,0),"")</f>
        <v>1m</v>
      </c>
      <c r="BD338" s="448" t="str">
        <f>_xlfn.IFNA(VLOOKUP($AP338,Programma!$F$3:$T$1101,15,0),"")</f>
        <v>2j</v>
      </c>
      <c r="BE338" s="448" t="str">
        <f>_xlfn.IFNA(VLOOKUP($AP338,Programma!$F$3:$U$1101,16,0),"")</f>
        <v>1j</v>
      </c>
      <c r="BF338" s="448" t="str">
        <f>_xlfn.IFNA(VLOOKUP($AP338,Programma!$F$3:$V$1101,17,0),"")</f>
        <v>_</v>
      </c>
      <c r="BG338" s="448" t="str">
        <f>_xlfn.IFNA(VLOOKUP($AP338,Programma!$F$3:$W$1101,18,0),"")</f>
        <v>_</v>
      </c>
      <c r="BH338" s="448" t="str">
        <f>_xlfn.IFNA(VLOOKUP($AP338,Programma!$F$3:$X$1101,19,0),"")</f>
        <v>_</v>
      </c>
      <c r="BI338" s="448" t="str">
        <f>_xlfn.IFNA(VLOOKUP($AP338,Programma!$F$3:$Y$1101,20,0),"")</f>
        <v>_</v>
      </c>
      <c r="BJ338" s="449"/>
      <c r="BK338" s="447" t="str">
        <f>IF(Ruimtestaat[[#This Row],[Frequentie weekend]]="","",_xlfn.CONCAT(Ruimtestaat[[#This Row],[Ruimte code]],"-",Ruimtestaat[[#This Row],[Frequentie weekend]]," ",Ruimtestaat[[#This Row],[Vloer code]]))</f>
        <v/>
      </c>
      <c r="BL338" s="448" t="str">
        <f>_xlfn.IFNA(VLOOKUP($BK338,Programma!$F$3:$G$1101,2,0),"")</f>
        <v/>
      </c>
      <c r="BM338" s="448" t="str">
        <f>_xlfn.IFNA(VLOOKUP($BK338,Programma!$F$3:$H$1101,3,0),"")</f>
        <v/>
      </c>
      <c r="BN338" s="448" t="str">
        <f>_xlfn.IFNA(VLOOKUP($BK338,Programma!$F$3:$I$1101,4,0),"")</f>
        <v/>
      </c>
      <c r="BO338" s="448" t="str">
        <f>_xlfn.IFNA(VLOOKUP($BK338,Programma!$F$3:$J$1101,5,0),"")</f>
        <v/>
      </c>
      <c r="BP338" s="448" t="str">
        <f>_xlfn.IFNA(VLOOKUP($BK338,Programma!$F$3:$K$1101,6,0),"")</f>
        <v/>
      </c>
      <c r="BQ338" s="448" t="str">
        <f>_xlfn.IFNA(VLOOKUP($BK338,Programma!$F$3:$L$1101,7,0),"")</f>
        <v/>
      </c>
      <c r="BR338" s="448" t="str">
        <f>_xlfn.IFNA(VLOOKUP($BK338,Programma!$F$3:$M$1101,8,0),"")</f>
        <v/>
      </c>
      <c r="BS338" s="448" t="str">
        <f>_xlfn.IFNA(VLOOKUP($BK338,Programma!$F$3:$N$1101,9,0),"")</f>
        <v/>
      </c>
      <c r="BT338" s="448" t="str">
        <f>_xlfn.IFNA(VLOOKUP($BK338,Programma!$F$3:$O$1101,10,0),"")</f>
        <v/>
      </c>
      <c r="BU338" s="448" t="str">
        <f>_xlfn.IFNA(VLOOKUP($BK338,Programma!$F$3:$P$1101,11,0),"")</f>
        <v/>
      </c>
      <c r="BV338" s="448" t="str">
        <f>_xlfn.IFNA(VLOOKUP($BK338,Programma!$F$3:$Q$1101,12,0),"")</f>
        <v/>
      </c>
      <c r="BW338" s="448" t="str">
        <f>_xlfn.IFNA(VLOOKUP($BK338,Programma!$F$3:$R$1101,13,0),"")</f>
        <v/>
      </c>
      <c r="BX338" s="448" t="str">
        <f>_xlfn.IFNA(VLOOKUP($BK338,Programma!$F$3:$S$1101,14,0),"")</f>
        <v/>
      </c>
      <c r="BY338" s="448" t="str">
        <f>_xlfn.IFNA(VLOOKUP($BK338,Programma!$F$3:$T$1101,15,0),"")</f>
        <v/>
      </c>
      <c r="BZ338" s="448" t="str">
        <f>_xlfn.IFNA(VLOOKUP($BK338,Programma!$F$3:$U$1101,16,0),"")</f>
        <v/>
      </c>
      <c r="CA338" s="448" t="str">
        <f>_xlfn.IFNA(VLOOKUP($BK338,Programma!$F$3:$V$1101,17,0),"")</f>
        <v/>
      </c>
      <c r="CB338" s="448" t="str">
        <f>_xlfn.IFNA(VLOOKUP($BK338,Programma!$F$3:$W$1101,18,0),"")</f>
        <v/>
      </c>
      <c r="CC338" s="448" t="str">
        <f>_xlfn.IFNA(VLOOKUP($BK338,Programma!$F$3:$X$1101,19,0),"")</f>
        <v/>
      </c>
      <c r="CD338" s="448" t="str">
        <f>_xlfn.IFNA(VLOOKUP($BK338,Programma!$F$3:$Y$1101,20,0),"")</f>
        <v/>
      </c>
      <c r="CE338" s="327"/>
      <c r="CF338" s="327"/>
      <c r="CG338" s="327"/>
      <c r="CH338" s="327"/>
      <c r="CI338" s="327"/>
      <c r="CJ338" s="327"/>
      <c r="CK338" s="327"/>
      <c r="CL338" s="327"/>
      <c r="CM338" s="327"/>
      <c r="CN338" s="327"/>
      <c r="CO338" s="327"/>
      <c r="CP338" s="327"/>
      <c r="CQ338" s="327"/>
      <c r="CR338" s="327"/>
      <c r="CS338" s="327"/>
      <c r="CT338" s="327"/>
      <c r="CU338" s="327"/>
      <c r="CV338" s="327"/>
      <c r="CW338" s="327"/>
      <c r="CX338" s="327"/>
      <c r="CY338" s="327"/>
      <c r="CZ338" s="327"/>
      <c r="DA338" s="327"/>
      <c r="DB338" s="327"/>
      <c r="DC338" s="327"/>
      <c r="DD338" s="327"/>
      <c r="DE338" s="327"/>
      <c r="DF338" s="327"/>
      <c r="DG338" s="327"/>
      <c r="DH338" s="327"/>
      <c r="DI338" s="327"/>
      <c r="DJ338" s="327"/>
      <c r="DK338" s="327"/>
      <c r="DL338" s="327"/>
      <c r="DM338" s="327"/>
      <c r="DN338" s="327"/>
      <c r="DO338" s="327"/>
      <c r="DP338" s="327"/>
      <c r="DQ338" s="327"/>
      <c r="DR338" s="327"/>
      <c r="DS338" s="327"/>
      <c r="DT338" s="327"/>
      <c r="DU338" s="327"/>
      <c r="DV338" s="327"/>
      <c r="DW338" s="327"/>
      <c r="DX338" s="327"/>
      <c r="DY338" s="327"/>
      <c r="DZ338" s="327"/>
      <c r="EA338" s="327"/>
      <c r="EB338" s="327"/>
      <c r="EC338" s="327"/>
      <c r="ED338" s="327"/>
      <c r="EE338" s="327"/>
      <c r="EF338" s="327"/>
      <c r="EG338" s="327"/>
      <c r="EH338" s="327"/>
      <c r="EI338" s="327"/>
      <c r="EJ338" s="327"/>
      <c r="EK338" s="327"/>
      <c r="EL338" s="327"/>
      <c r="EM338" s="327"/>
      <c r="EN338" s="327"/>
      <c r="EO338" s="327"/>
      <c r="EP338" s="327"/>
      <c r="EQ338" s="327"/>
      <c r="ER338" s="327"/>
      <c r="ES338" s="327"/>
      <c r="ET338" s="327"/>
      <c r="EU338" s="327"/>
      <c r="EV338" s="327"/>
      <c r="EW338" s="327"/>
      <c r="EX338" s="327"/>
      <c r="EY338" s="327"/>
      <c r="EZ338" s="327"/>
      <c r="FA338" s="327"/>
      <c r="FB338" s="327"/>
      <c r="FC338" s="327"/>
      <c r="FD338" s="327"/>
      <c r="FE338" s="327"/>
      <c r="FF338" s="327"/>
      <c r="FG338" s="327"/>
      <c r="FH338" s="327"/>
      <c r="FI338" s="327"/>
      <c r="FJ338" s="327"/>
      <c r="FK338" s="327"/>
      <c r="FL338" s="327"/>
      <c r="FM338" s="327"/>
      <c r="FN338" s="327"/>
      <c r="FO338" s="327"/>
      <c r="FP338" s="327"/>
      <c r="FQ338" s="327"/>
      <c r="FR338" s="327"/>
      <c r="FS338" s="327"/>
      <c r="FT338" s="327"/>
      <c r="FU338" s="327"/>
      <c r="FV338" s="327"/>
      <c r="FW338" s="327"/>
      <c r="FX338" s="327"/>
      <c r="FY338" s="327"/>
      <c r="FZ338" s="327"/>
      <c r="GA338" s="327"/>
      <c r="GB338" s="327"/>
      <c r="GC338" s="327"/>
      <c r="GD338" s="327"/>
      <c r="GE338" s="327"/>
      <c r="GF338" s="327"/>
      <c r="GG338" s="327"/>
      <c r="GH338" s="327"/>
      <c r="GI338" s="327"/>
      <c r="GJ338" s="327"/>
      <c r="GK338" s="327"/>
      <c r="GL338" s="327"/>
      <c r="GM338" s="327"/>
      <c r="GN338" s="327"/>
      <c r="GO338" s="327"/>
      <c r="GP338" s="327"/>
      <c r="GQ338" s="327"/>
      <c r="GR338" s="327"/>
      <c r="GS338" s="327"/>
      <c r="GT338" s="327"/>
      <c r="GU338" s="327"/>
      <c r="GV338" s="327"/>
      <c r="GW338" s="327"/>
      <c r="GX338" s="327"/>
      <c r="GY338" s="327"/>
      <c r="GZ338" s="327"/>
      <c r="HA338" s="327"/>
      <c r="HB338" s="327"/>
      <c r="HC338" s="327"/>
      <c r="HD338" s="327"/>
      <c r="HE338" s="327"/>
      <c r="HF338" s="327"/>
      <c r="HG338" s="327"/>
      <c r="HH338" s="327"/>
      <c r="HI338" s="327"/>
      <c r="HJ338" s="327"/>
      <c r="HK338" s="327"/>
      <c r="HL338" s="327"/>
      <c r="HM338" s="327"/>
      <c r="HN338" s="327"/>
      <c r="HO338" s="327"/>
      <c r="HP338" s="327"/>
      <c r="HQ338" s="327"/>
      <c r="HR338" s="327"/>
      <c r="HS338" s="327"/>
    </row>
    <row r="339" spans="1:227" ht="15" customHeight="1">
      <c r="A339" s="330">
        <v>14</v>
      </c>
      <c r="B339" s="435" t="str">
        <f>VLOOKUP(Ruimtestaat[[#This Row],[Code]],Locaties[[Code]:[Locatie]],2,FALSE)</f>
        <v>IKC De Vuurtoren</v>
      </c>
      <c r="C339" s="435" t="str">
        <f>VLOOKUP(Ruimtestaat[[#This Row],[Code]],Locaties[[#All],[Code]:[Adres]],4,FALSE)</f>
        <v>Spitsbergen 15</v>
      </c>
      <c r="D339" s="435" t="str">
        <f>VLOOKUP(Ruimtestaat[[#This Row],[Code]],Locaties[[#All],[Code]:[Postcode]],5,FALSE)</f>
        <v>2721 GP</v>
      </c>
      <c r="E339" s="435" t="str">
        <f>VLOOKUP(Ruimtestaat[[#This Row],[Code]],Locaties[#All],6,FALSE)</f>
        <v>Zoetermeer</v>
      </c>
      <c r="F339" s="450"/>
      <c r="G339" s="330" t="s">
        <v>1769</v>
      </c>
      <c r="H339" s="330" t="s">
        <v>1728</v>
      </c>
      <c r="I339" s="450" t="s">
        <v>1666</v>
      </c>
      <c r="J339" s="330">
        <v>2</v>
      </c>
      <c r="K339" s="450" t="str">
        <f>VLOOKUP(Ruimtestaat[[#This Row],[Ruimte code]],Ruimtegroepen[[#All],[Code]:[Ruimte omschrijving]],2,FALSE)</f>
        <v>Kantoren</v>
      </c>
      <c r="L339" s="434" t="s">
        <v>100</v>
      </c>
      <c r="M339" s="437" t="s">
        <v>1759</v>
      </c>
      <c r="N339" s="439">
        <v>30</v>
      </c>
      <c r="O339" s="439"/>
      <c r="P339" s="439"/>
      <c r="Q339" s="439"/>
      <c r="R339" s="440" t="str">
        <f>VLOOKUP(Ruimtestaat[[#This Row],[Ruimte code]],Ruimtegroepen[],4,FALSE)</f>
        <v>Bu</v>
      </c>
      <c r="S339" s="434">
        <v>41</v>
      </c>
      <c r="T339" s="434" t="s">
        <v>17</v>
      </c>
      <c r="U339" s="434">
        <f>IF(S339&gt;0,IF(RIGHT(Ruimtestaat[[#This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39" s="434">
        <f>IF(U339&gt;0,VLOOKUP($J339,Ruimtegroepen[],3,FALSE)*VLOOKUP($L339,Vloersoorten[],3,FALSE)*VLOOKUP($T339,Frequenties[],3,FALSE)*VLOOKUP($A339,Locaties[],3,FALSE),0)</f>
        <v>0</v>
      </c>
      <c r="W339" s="434">
        <f>Ruimtestaat[[#This Row],[Uitvoeringen werkdagen]]*Ruimtestaat[[#This Row],[Oppervlak (netto)]]</f>
        <v>2460</v>
      </c>
      <c r="X339" s="441">
        <f>IF(V339&gt;0,Ruimtestaat[[#This Row],[Prest. (m2 /jaar) werkdagen]]/Ruimtestaat[[#This Row],[Norm (m2/uur) werkdagen]],0)</f>
        <v>0</v>
      </c>
      <c r="Y339" s="442">
        <f>Ruimtestaat[[#This Row],[Uitvoeringen werkdagen]]*Ruimtestaat[[#This Row],[Gedeeltelijk]]</f>
        <v>0</v>
      </c>
      <c r="Z339" s="443" t="e">
        <f>IF(U339&gt;0,Ruimtestaat[[#This Row],[Prest. (m2 / jaar) werkdagen gedeeld]]/Ruimtestaat[[#This Row],[Norm (m2/uur) werkdagen]],0)</f>
        <v>#DIV/0!</v>
      </c>
      <c r="AA339" s="441" t="e">
        <f>Ruimtestaat[[#This Row],[uren / jaar werkdagen gedeeld]]*Tariefsopbouw!$E$35</f>
        <v>#DIV/0!</v>
      </c>
      <c r="AB339" s="441">
        <f>Ruimtestaat[[#This Row],[Uitvoeringen werkdagen]]*Ruimtestaat[[#This Row],[BSO]]</f>
        <v>0</v>
      </c>
      <c r="AC339" s="443" t="e">
        <f>IF(U339&gt;0,Ruimtestaat[[#This Row],[Prest. (m2 / jaar) werkdagen BSO]]/Ruimtestaat[[#This Row],[Norm (m2/uur) werkdagen]],0)</f>
        <v>#DIV/0!</v>
      </c>
      <c r="AD339" s="443" t="e">
        <f>Ruimtestaat[[#This Row],[uren / jaar werkdagen BSO]]*Tariefsopbouw!$E$35</f>
        <v>#DIV/0!</v>
      </c>
      <c r="AE339" s="444">
        <f>Ruimtestaat[[#This Row],[uren / jaar werkdagen]]*Tariefsopbouw!$E$35</f>
        <v>0</v>
      </c>
      <c r="AF339" s="434"/>
      <c r="AG339" s="434">
        <f>IF(Ruimtestaat[[#This Row],[Frequentie weekend]]&gt;0,VALUE(LEFT(AF339,1))*S339,0)</f>
        <v>0</v>
      </c>
      <c r="AH339" s="445">
        <f>IF($AG339&gt;0,VLOOKUP($J339,Ruimtegroepen[],3,FALSE)*VLOOKUP($L339,Vloersoorten[],3,FALSE)*VLOOKUP($AF339,Frequenties[],3,FALSE)*VLOOKUP(Ruimtestaat[[#This Row],[Code]],Locaties[],3,FALSE),0)</f>
        <v>0</v>
      </c>
      <c r="AI339" s="445">
        <f>Ruimtestaat[[#This Row],[Uitvoeringen weekend]]*Ruimtestaat[[#This Row],[Oppervlak (netto)]]</f>
        <v>0</v>
      </c>
      <c r="AJ339" s="445">
        <f>IF(AH339&gt;0,Ruimtestaat[[#This Row],[Prest. (m2 /jaar) weekend]]/Ruimtestaat[[#This Row],[Norm (m2/uur) weekend]],0)</f>
        <v>0</v>
      </c>
      <c r="AK339" s="444">
        <f>Ruimtestaat[[#This Row],[uren / jaar weekend]]*Tariefsopbouw!$D$40</f>
        <v>0</v>
      </c>
      <c r="AL339" s="441">
        <f>Ruimtestaat[[#This Row],[Prest. (m2 /jaar) weekend]]+Ruimtestaat[[#This Row],[Prest. (m2 /jaar) werkdagen]]</f>
        <v>2460</v>
      </c>
      <c r="AM339" s="441">
        <f>Ruimtestaat[[#This Row],[uren / jaar weekend]]+Ruimtestaat[[#This Row],[uren / jaar werkdagen]]</f>
        <v>0</v>
      </c>
      <c r="AN339" s="446">
        <f>Ruimtestaat[[#This Row],[kosten / jaar weekend]]+Ruimtestaat[[#This Row],[kosten / jaar werkdagen]]</f>
        <v>0</v>
      </c>
      <c r="AO339" s="446"/>
      <c r="AP339" s="447" t="str">
        <f>IF(Ruimtestaat[[#This Row],[Frequentie werkdagen]]="","",_xlfn.CONCAT(Ruimtestaat[[#This Row],[Ruimte code]],"-",Ruimtestaat[[#This Row],[Frequentie werkdagen]]," ",Ruimtestaat[[#This Row],[Vloer code]]))</f>
        <v>2-2w L</v>
      </c>
      <c r="AQ339" s="448" t="str">
        <f>_xlfn.IFNA(VLOOKUP($AP339,Programma!$F$3:$G$1101,2,0),"")</f>
        <v>_</v>
      </c>
      <c r="AR339" s="448" t="str">
        <f>_xlfn.IFNA(VLOOKUP($AP339,Programma!$F$3:$H$1101,3,0),"")</f>
        <v>_</v>
      </c>
      <c r="AS339" s="448" t="str">
        <f>_xlfn.IFNA(VLOOKUP($AP339,Programma!$F$3:$I$1101,4,0),"")</f>
        <v>1w</v>
      </c>
      <c r="AT339" s="448" t="str">
        <f>_xlfn.IFNA(VLOOKUP($AP339,Programma!$F$3:$J$1101,5,0),"")</f>
        <v>1w</v>
      </c>
      <c r="AU339" s="448" t="str">
        <f>_xlfn.IFNA(VLOOKUP($AP339,Programma!$F$3:$K$1101,6,0),"")</f>
        <v>_</v>
      </c>
      <c r="AV339" s="448" t="str">
        <f>_xlfn.IFNA(VLOOKUP($AP339,Programma!$F$3:$L$1101,7,0),"")</f>
        <v>_</v>
      </c>
      <c r="AW339" s="448" t="str">
        <f>_xlfn.IFNA(VLOOKUP($AP339,Programma!$F$3:$M$1101,8,0),"")</f>
        <v>_</v>
      </c>
      <c r="AX339" s="448" t="str">
        <f>_xlfn.IFNA(VLOOKUP($AP339,Programma!$F$3:$N$1101,9,0),"")</f>
        <v>_</v>
      </c>
      <c r="AY339" s="448" t="str">
        <f>_xlfn.IFNA(VLOOKUP($AP339,Programma!$F$3:$O$1101,10,0),"")</f>
        <v>2w</v>
      </c>
      <c r="AZ339" s="448" t="str">
        <f>_xlfn.IFNA(VLOOKUP($AP339,Programma!$F$3:$P$1101,11,0),"")</f>
        <v>2w</v>
      </c>
      <c r="BA339" s="448" t="str">
        <f>_xlfn.IFNA(VLOOKUP($AP339,Programma!$F$3:$Q$1101,12,0),"")</f>
        <v>1w</v>
      </c>
      <c r="BB339" s="448" t="str">
        <f>_xlfn.IFNA(VLOOKUP($AP339,Programma!$F$3:$R$1101,13,0),"")</f>
        <v>1w</v>
      </c>
      <c r="BC339" s="448" t="str">
        <f>_xlfn.IFNA(VLOOKUP($AP339,Programma!$F$3:$S$1101,14,0),"")</f>
        <v>1m</v>
      </c>
      <c r="BD339" s="448" t="str">
        <f>_xlfn.IFNA(VLOOKUP($AP339,Programma!$F$3:$T$1101,15,0),"")</f>
        <v>2j</v>
      </c>
      <c r="BE339" s="448" t="str">
        <f>_xlfn.IFNA(VLOOKUP($AP339,Programma!$F$3:$U$1101,16,0),"")</f>
        <v>1j</v>
      </c>
      <c r="BF339" s="448" t="str">
        <f>_xlfn.IFNA(VLOOKUP($AP339,Programma!$F$3:$V$1101,17,0),"")</f>
        <v>_</v>
      </c>
      <c r="BG339" s="448" t="str">
        <f>_xlfn.IFNA(VLOOKUP($AP339,Programma!$F$3:$W$1101,18,0),"")</f>
        <v>_</v>
      </c>
      <c r="BH339" s="448" t="str">
        <f>_xlfn.IFNA(VLOOKUP($AP339,Programma!$F$3:$X$1101,19,0),"")</f>
        <v>_</v>
      </c>
      <c r="BI339" s="448" t="str">
        <f>_xlfn.IFNA(VLOOKUP($AP339,Programma!$F$3:$Y$1101,20,0),"")</f>
        <v>_</v>
      </c>
      <c r="BJ339" s="449"/>
      <c r="BK339" s="447" t="str">
        <f>IF(Ruimtestaat[[#This Row],[Frequentie weekend]]="","",_xlfn.CONCAT(Ruimtestaat[[#This Row],[Ruimte code]],"-",Ruimtestaat[[#This Row],[Frequentie weekend]]," ",Ruimtestaat[[#This Row],[Vloer code]]))</f>
        <v/>
      </c>
      <c r="BL339" s="448" t="str">
        <f>_xlfn.IFNA(VLOOKUP($BK339,Programma!$F$3:$G$1101,2,0),"")</f>
        <v/>
      </c>
      <c r="BM339" s="448" t="str">
        <f>_xlfn.IFNA(VLOOKUP($BK339,Programma!$F$3:$H$1101,3,0),"")</f>
        <v/>
      </c>
      <c r="BN339" s="448" t="str">
        <f>_xlfn.IFNA(VLOOKUP($BK339,Programma!$F$3:$I$1101,4,0),"")</f>
        <v/>
      </c>
      <c r="BO339" s="448" t="str">
        <f>_xlfn.IFNA(VLOOKUP($BK339,Programma!$F$3:$J$1101,5,0),"")</f>
        <v/>
      </c>
      <c r="BP339" s="448" t="str">
        <f>_xlfn.IFNA(VLOOKUP($BK339,Programma!$F$3:$K$1101,6,0),"")</f>
        <v/>
      </c>
      <c r="BQ339" s="448" t="str">
        <f>_xlfn.IFNA(VLOOKUP($BK339,Programma!$F$3:$L$1101,7,0),"")</f>
        <v/>
      </c>
      <c r="BR339" s="448" t="str">
        <f>_xlfn.IFNA(VLOOKUP($BK339,Programma!$F$3:$M$1101,8,0),"")</f>
        <v/>
      </c>
      <c r="BS339" s="448" t="str">
        <f>_xlfn.IFNA(VLOOKUP($BK339,Programma!$F$3:$N$1101,9,0),"")</f>
        <v/>
      </c>
      <c r="BT339" s="448" t="str">
        <f>_xlfn.IFNA(VLOOKUP($BK339,Programma!$F$3:$O$1101,10,0),"")</f>
        <v/>
      </c>
      <c r="BU339" s="448" t="str">
        <f>_xlfn.IFNA(VLOOKUP($BK339,Programma!$F$3:$P$1101,11,0),"")</f>
        <v/>
      </c>
      <c r="BV339" s="448" t="str">
        <f>_xlfn.IFNA(VLOOKUP($BK339,Programma!$F$3:$Q$1101,12,0),"")</f>
        <v/>
      </c>
      <c r="BW339" s="448" t="str">
        <f>_xlfn.IFNA(VLOOKUP($BK339,Programma!$F$3:$R$1101,13,0),"")</f>
        <v/>
      </c>
      <c r="BX339" s="448" t="str">
        <f>_xlfn.IFNA(VLOOKUP($BK339,Programma!$F$3:$S$1101,14,0),"")</f>
        <v/>
      </c>
      <c r="BY339" s="448" t="str">
        <f>_xlfn.IFNA(VLOOKUP($BK339,Programma!$F$3:$T$1101,15,0),"")</f>
        <v/>
      </c>
      <c r="BZ339" s="448" t="str">
        <f>_xlfn.IFNA(VLOOKUP($BK339,Programma!$F$3:$U$1101,16,0),"")</f>
        <v/>
      </c>
      <c r="CA339" s="448" t="str">
        <f>_xlfn.IFNA(VLOOKUP($BK339,Programma!$F$3:$V$1101,17,0),"")</f>
        <v/>
      </c>
      <c r="CB339" s="448" t="str">
        <f>_xlfn.IFNA(VLOOKUP($BK339,Programma!$F$3:$W$1101,18,0),"")</f>
        <v/>
      </c>
      <c r="CC339" s="448" t="str">
        <f>_xlfn.IFNA(VLOOKUP($BK339,Programma!$F$3:$X$1101,19,0),"")</f>
        <v/>
      </c>
      <c r="CD339" s="448" t="str">
        <f>_xlfn.IFNA(VLOOKUP($BK339,Programma!$F$3:$Y$1101,20,0),"")</f>
        <v/>
      </c>
      <c r="CE339" s="327"/>
      <c r="CF339" s="327"/>
      <c r="CG339" s="327"/>
      <c r="CH339" s="327"/>
      <c r="CI339" s="327"/>
      <c r="CJ339" s="327"/>
      <c r="CK339" s="327"/>
      <c r="CL339" s="327"/>
      <c r="CM339" s="327"/>
      <c r="CN339" s="327"/>
      <c r="CO339" s="327"/>
      <c r="CP339" s="327"/>
      <c r="CQ339" s="327"/>
      <c r="CR339" s="327"/>
      <c r="CS339" s="327"/>
      <c r="CT339" s="327"/>
      <c r="CU339" s="327"/>
      <c r="CV339" s="327"/>
      <c r="CW339" s="327"/>
      <c r="CX339" s="327"/>
      <c r="CY339" s="327"/>
      <c r="CZ339" s="327"/>
      <c r="DA339" s="327"/>
      <c r="DB339" s="327"/>
      <c r="DC339" s="327"/>
      <c r="DD339" s="327"/>
      <c r="DE339" s="327"/>
      <c r="DF339" s="327"/>
      <c r="DG339" s="327"/>
      <c r="DH339" s="327"/>
      <c r="DI339" s="327"/>
      <c r="DJ339" s="327"/>
      <c r="DK339" s="327"/>
      <c r="DL339" s="327"/>
      <c r="DM339" s="327"/>
      <c r="DN339" s="327"/>
      <c r="DO339" s="327"/>
      <c r="DP339" s="327"/>
      <c r="DQ339" s="327"/>
      <c r="DR339" s="327"/>
      <c r="DS339" s="327"/>
      <c r="DT339" s="327"/>
      <c r="DU339" s="327"/>
      <c r="DV339" s="327"/>
      <c r="DW339" s="327"/>
      <c r="DX339" s="327"/>
      <c r="DY339" s="327"/>
      <c r="DZ339" s="327"/>
      <c r="EA339" s="327"/>
      <c r="EB339" s="327"/>
      <c r="EC339" s="327"/>
      <c r="ED339" s="327"/>
      <c r="EE339" s="327"/>
      <c r="EF339" s="327"/>
      <c r="EG339" s="327"/>
      <c r="EH339" s="327"/>
      <c r="EI339" s="327"/>
      <c r="EJ339" s="327"/>
      <c r="EK339" s="327"/>
      <c r="EL339" s="327"/>
      <c r="EM339" s="327"/>
      <c r="EN339" s="327"/>
      <c r="EO339" s="327"/>
      <c r="EP339" s="327"/>
      <c r="EQ339" s="327"/>
      <c r="ER339" s="327"/>
      <c r="ES339" s="327"/>
      <c r="ET339" s="327"/>
      <c r="EU339" s="327"/>
      <c r="EV339" s="327"/>
      <c r="EW339" s="327"/>
      <c r="EX339" s="327"/>
      <c r="EY339" s="327"/>
      <c r="EZ339" s="327"/>
      <c r="FA339" s="327"/>
      <c r="FB339" s="327"/>
      <c r="FC339" s="327"/>
      <c r="FD339" s="327"/>
      <c r="FE339" s="327"/>
      <c r="FF339" s="327"/>
      <c r="FG339" s="327"/>
      <c r="FH339" s="327"/>
      <c r="FI339" s="327"/>
      <c r="FJ339" s="327"/>
      <c r="FK339" s="327"/>
      <c r="FL339" s="327"/>
      <c r="FM339" s="327"/>
      <c r="FN339" s="327"/>
      <c r="FO339" s="327"/>
      <c r="FP339" s="327"/>
      <c r="FQ339" s="327"/>
      <c r="FR339" s="327"/>
      <c r="FS339" s="327"/>
      <c r="FT339" s="327"/>
      <c r="FU339" s="327"/>
      <c r="FV339" s="327"/>
      <c r="FW339" s="327"/>
      <c r="FX339" s="327"/>
      <c r="FY339" s="327"/>
      <c r="FZ339" s="327"/>
      <c r="GA339" s="327"/>
      <c r="GB339" s="327"/>
      <c r="GC339" s="327"/>
      <c r="GD339" s="327"/>
      <c r="GE339" s="327"/>
      <c r="GF339" s="327"/>
      <c r="GG339" s="327"/>
      <c r="GH339" s="327"/>
      <c r="GI339" s="327"/>
      <c r="GJ339" s="327"/>
      <c r="GK339" s="327"/>
      <c r="GL339" s="327"/>
      <c r="GM339" s="327"/>
      <c r="GN339" s="327"/>
      <c r="GO339" s="327"/>
      <c r="GP339" s="327"/>
      <c r="GQ339" s="327"/>
      <c r="GR339" s="327"/>
      <c r="GS339" s="327"/>
      <c r="GT339" s="327"/>
      <c r="GU339" s="327"/>
      <c r="GV339" s="327"/>
      <c r="GW339" s="327"/>
      <c r="GX339" s="327"/>
      <c r="GY339" s="327"/>
      <c r="GZ339" s="327"/>
      <c r="HA339" s="327"/>
      <c r="HB339" s="327"/>
      <c r="HC339" s="327"/>
      <c r="HD339" s="327"/>
      <c r="HE339" s="327"/>
      <c r="HF339" s="327"/>
      <c r="HG339" s="327"/>
      <c r="HH339" s="327"/>
      <c r="HI339" s="327"/>
      <c r="HJ339" s="327"/>
      <c r="HK339" s="327"/>
      <c r="HL339" s="327"/>
      <c r="HM339" s="327"/>
      <c r="HN339" s="327"/>
      <c r="HO339" s="327"/>
      <c r="HP339" s="327"/>
      <c r="HQ339" s="327"/>
      <c r="HR339" s="327"/>
      <c r="HS339" s="327"/>
    </row>
    <row r="340" spans="1:227" ht="15" customHeight="1">
      <c r="A340" s="330">
        <v>14</v>
      </c>
      <c r="B340" s="435" t="str">
        <f>VLOOKUP(Ruimtestaat[[#This Row],[Code]],Locaties[[Code]:[Locatie]],2,FALSE)</f>
        <v>IKC De Vuurtoren</v>
      </c>
      <c r="C340" s="435" t="str">
        <f>VLOOKUP(Ruimtestaat[[#This Row],[Code]],Locaties[[#All],[Code]:[Adres]],4,FALSE)</f>
        <v>Spitsbergen 15</v>
      </c>
      <c r="D340" s="435" t="str">
        <f>VLOOKUP(Ruimtestaat[[#This Row],[Code]],Locaties[[#All],[Code]:[Postcode]],5,FALSE)</f>
        <v>2721 GP</v>
      </c>
      <c r="E340" s="435" t="str">
        <f>VLOOKUP(Ruimtestaat[[#This Row],[Code]],Locaties[#All],6,FALSE)</f>
        <v>Zoetermeer</v>
      </c>
      <c r="F340" s="450"/>
      <c r="G340" s="330" t="s">
        <v>1769</v>
      </c>
      <c r="H340" s="330" t="s">
        <v>1730</v>
      </c>
      <c r="I340" s="450" t="s">
        <v>1690</v>
      </c>
      <c r="J340" s="330">
        <v>16</v>
      </c>
      <c r="K340" s="450" t="str">
        <f>VLOOKUP(Ruimtestaat[[#This Row],[Ruimte code]],Ruimtegroepen[[#All],[Code]:[Ruimte omschrijving]],2,FALSE)</f>
        <v>Leslokalen</v>
      </c>
      <c r="L340" s="434" t="s">
        <v>100</v>
      </c>
      <c r="M340" s="437" t="s">
        <v>1759</v>
      </c>
      <c r="N340" s="439">
        <v>47</v>
      </c>
      <c r="O340" s="439"/>
      <c r="P340" s="439"/>
      <c r="Q340" s="439"/>
      <c r="R340" s="440" t="str">
        <f>VLOOKUP(Ruimtestaat[[#This Row],[Ruimte code]],Ruimtegroepen[],4,FALSE)</f>
        <v>Le</v>
      </c>
      <c r="S340" s="434">
        <v>40</v>
      </c>
      <c r="T340" s="434" t="s">
        <v>2</v>
      </c>
      <c r="U340" s="434">
        <f>IF(S340&gt;0,IF(RIGHT(Ruimtestaat[[#This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0" s="434">
        <f>IF(U340&gt;0,VLOOKUP($J340,Ruimtegroepen[],3,FALSE)*VLOOKUP($L340,Vloersoorten[],3,FALSE)*VLOOKUP($T340,Frequenties[],3,FALSE)*VLOOKUP($A340,Locaties[],3,FALSE),0)</f>
        <v>0</v>
      </c>
      <c r="W340" s="434">
        <f>Ruimtestaat[[#This Row],[Uitvoeringen werkdagen]]*Ruimtestaat[[#This Row],[Oppervlak (netto)]]</f>
        <v>9400</v>
      </c>
      <c r="X340" s="441">
        <f>IF(V340&gt;0,Ruimtestaat[[#This Row],[Prest. (m2 /jaar) werkdagen]]/Ruimtestaat[[#This Row],[Norm (m2/uur) werkdagen]],0)</f>
        <v>0</v>
      </c>
      <c r="Y340" s="442">
        <f>Ruimtestaat[[#This Row],[Uitvoeringen werkdagen]]*Ruimtestaat[[#This Row],[Gedeeltelijk]]</f>
        <v>0</v>
      </c>
      <c r="Z340" s="443" t="e">
        <f>IF(U340&gt;0,Ruimtestaat[[#This Row],[Prest. (m2 / jaar) werkdagen gedeeld]]/Ruimtestaat[[#This Row],[Norm (m2/uur) werkdagen]],0)</f>
        <v>#DIV/0!</v>
      </c>
      <c r="AA340" s="441" t="e">
        <f>Ruimtestaat[[#This Row],[uren / jaar werkdagen gedeeld]]*Tariefsopbouw!$E$35</f>
        <v>#DIV/0!</v>
      </c>
      <c r="AB340" s="441">
        <f>Ruimtestaat[[#This Row],[Uitvoeringen werkdagen]]*Ruimtestaat[[#This Row],[BSO]]</f>
        <v>0</v>
      </c>
      <c r="AC340" s="443" t="e">
        <f>IF(U340&gt;0,Ruimtestaat[[#This Row],[Prest. (m2 / jaar) werkdagen BSO]]/Ruimtestaat[[#This Row],[Norm (m2/uur) werkdagen]],0)</f>
        <v>#DIV/0!</v>
      </c>
      <c r="AD340" s="443" t="e">
        <f>Ruimtestaat[[#This Row],[uren / jaar werkdagen BSO]]*Tariefsopbouw!$E$35</f>
        <v>#DIV/0!</v>
      </c>
      <c r="AE340" s="444">
        <f>Ruimtestaat[[#This Row],[uren / jaar werkdagen]]*Tariefsopbouw!$E$35</f>
        <v>0</v>
      </c>
      <c r="AF340" s="434"/>
      <c r="AG340" s="434">
        <f>IF(Ruimtestaat[[#This Row],[Frequentie weekend]]&gt;0,VALUE(LEFT(AF340,1))*S340,0)</f>
        <v>0</v>
      </c>
      <c r="AH340" s="445">
        <f>IF($AG340&gt;0,VLOOKUP($J340,Ruimtegroepen[],3,FALSE)*VLOOKUP($L340,Vloersoorten[],3,FALSE)*VLOOKUP($AF340,Frequenties[],3,FALSE)*VLOOKUP(Ruimtestaat[[#This Row],[Code]],Locaties[],3,FALSE),0)</f>
        <v>0</v>
      </c>
      <c r="AI340" s="445">
        <f>Ruimtestaat[[#This Row],[Uitvoeringen weekend]]*Ruimtestaat[[#This Row],[Oppervlak (netto)]]</f>
        <v>0</v>
      </c>
      <c r="AJ340" s="445">
        <f>IF(AH340&gt;0,Ruimtestaat[[#This Row],[Prest. (m2 /jaar) weekend]]/Ruimtestaat[[#This Row],[Norm (m2/uur) weekend]],0)</f>
        <v>0</v>
      </c>
      <c r="AK340" s="444">
        <f>Ruimtestaat[[#This Row],[uren / jaar weekend]]*Tariefsopbouw!$D$40</f>
        <v>0</v>
      </c>
      <c r="AL340" s="441">
        <f>Ruimtestaat[[#This Row],[Prest. (m2 /jaar) weekend]]+Ruimtestaat[[#This Row],[Prest. (m2 /jaar) werkdagen]]</f>
        <v>9400</v>
      </c>
      <c r="AM340" s="441">
        <f>Ruimtestaat[[#This Row],[uren / jaar weekend]]+Ruimtestaat[[#This Row],[uren / jaar werkdagen]]</f>
        <v>0</v>
      </c>
      <c r="AN340" s="446">
        <f>Ruimtestaat[[#This Row],[kosten / jaar weekend]]+Ruimtestaat[[#This Row],[kosten / jaar werkdagen]]</f>
        <v>0</v>
      </c>
      <c r="AO340" s="446"/>
      <c r="AP340" s="447" t="str">
        <f>IF(Ruimtestaat[[#This Row],[Frequentie werkdagen]]="","",_xlfn.CONCAT(Ruimtestaat[[#This Row],[Ruimte code]],"-",Ruimtestaat[[#This Row],[Frequentie werkdagen]]," ",Ruimtestaat[[#This Row],[Vloer code]]))</f>
        <v>16-5w L</v>
      </c>
      <c r="AQ340" s="448" t="str">
        <f>_xlfn.IFNA(VLOOKUP($AP340,Programma!$F$3:$G$1101,2,0),"")</f>
        <v>_</v>
      </c>
      <c r="AR340" s="448" t="str">
        <f>_xlfn.IFNA(VLOOKUP($AP340,Programma!$F$3:$H$1101,3,0),"")</f>
        <v>_</v>
      </c>
      <c r="AS340" s="448" t="str">
        <f>_xlfn.IFNA(VLOOKUP($AP340,Programma!$F$3:$I$1101,4,0),"")</f>
        <v>4w</v>
      </c>
      <c r="AT340" s="448" t="str">
        <f>_xlfn.IFNA(VLOOKUP($AP340,Programma!$F$3:$J$1101,5,0),"")</f>
        <v>1w</v>
      </c>
      <c r="AU340" s="448" t="str">
        <f>_xlfn.IFNA(VLOOKUP($AP340,Programma!$F$3:$K$1101,6,0),"")</f>
        <v>_</v>
      </c>
      <c r="AV340" s="448" t="str">
        <f>_xlfn.IFNA(VLOOKUP($AP340,Programma!$F$3:$L$1101,7,0),"")</f>
        <v>_</v>
      </c>
      <c r="AW340" s="448" t="str">
        <f>_xlfn.IFNA(VLOOKUP($AP340,Programma!$F$3:$M$1101,8,0),"")</f>
        <v>_</v>
      </c>
      <c r="AX340" s="448" t="str">
        <f>_xlfn.IFNA(VLOOKUP($AP340,Programma!$F$3:$N$1101,9,0),"")</f>
        <v>_</v>
      </c>
      <c r="AY340" s="448" t="str">
        <f>_xlfn.IFNA(VLOOKUP($AP340,Programma!$F$3:$O$1101,10,0),"")</f>
        <v>5w</v>
      </c>
      <c r="AZ340" s="448" t="str">
        <f>_xlfn.IFNA(VLOOKUP($AP340,Programma!$F$3:$P$1101,11,0),"")</f>
        <v>5w</v>
      </c>
      <c r="BA340" s="448" t="str">
        <f>_xlfn.IFNA(VLOOKUP($AP340,Programma!$F$3:$Q$1101,12,0),"")</f>
        <v>1w</v>
      </c>
      <c r="BB340" s="448" t="str">
        <f>_xlfn.IFNA(VLOOKUP($AP340,Programma!$F$3:$R$1101,13,0),"")</f>
        <v>1w</v>
      </c>
      <c r="BC340" s="448" t="str">
        <f>_xlfn.IFNA(VLOOKUP($AP340,Programma!$F$3:$S$1101,14,0),"")</f>
        <v>1m</v>
      </c>
      <c r="BD340" s="448" t="str">
        <f>_xlfn.IFNA(VLOOKUP($AP340,Programma!$F$3:$T$1101,15,0),"")</f>
        <v>2j</v>
      </c>
      <c r="BE340" s="448" t="str">
        <f>_xlfn.IFNA(VLOOKUP($AP340,Programma!$F$3:$U$1101,16,0),"")</f>
        <v>1j</v>
      </c>
      <c r="BF340" s="448" t="str">
        <f>_xlfn.IFNA(VLOOKUP($AP340,Programma!$F$3:$V$1101,17,0),"")</f>
        <v>_</v>
      </c>
      <c r="BG340" s="448" t="str">
        <f>_xlfn.IFNA(VLOOKUP($AP340,Programma!$F$3:$W$1101,18,0),"")</f>
        <v>_</v>
      </c>
      <c r="BH340" s="448" t="str">
        <f>_xlfn.IFNA(VLOOKUP($AP340,Programma!$F$3:$X$1101,19,0),"")</f>
        <v>_</v>
      </c>
      <c r="BI340" s="448" t="str">
        <f>_xlfn.IFNA(VLOOKUP($AP340,Programma!$F$3:$Y$1101,20,0),"")</f>
        <v>_</v>
      </c>
      <c r="BJ340" s="449"/>
      <c r="BK340" s="447" t="str">
        <f>IF(Ruimtestaat[[#This Row],[Frequentie weekend]]="","",_xlfn.CONCAT(Ruimtestaat[[#This Row],[Ruimte code]],"-",Ruimtestaat[[#This Row],[Frequentie weekend]]," ",Ruimtestaat[[#This Row],[Vloer code]]))</f>
        <v/>
      </c>
      <c r="BL340" s="448" t="str">
        <f>_xlfn.IFNA(VLOOKUP($BK340,Programma!$F$3:$G$1101,2,0),"")</f>
        <v/>
      </c>
      <c r="BM340" s="448" t="str">
        <f>_xlfn.IFNA(VLOOKUP($BK340,Programma!$F$3:$H$1101,3,0),"")</f>
        <v/>
      </c>
      <c r="BN340" s="448" t="str">
        <f>_xlfn.IFNA(VLOOKUP($BK340,Programma!$F$3:$I$1101,4,0),"")</f>
        <v/>
      </c>
      <c r="BO340" s="448" t="str">
        <f>_xlfn.IFNA(VLOOKUP($BK340,Programma!$F$3:$J$1101,5,0),"")</f>
        <v/>
      </c>
      <c r="BP340" s="448" t="str">
        <f>_xlfn.IFNA(VLOOKUP($BK340,Programma!$F$3:$K$1101,6,0),"")</f>
        <v/>
      </c>
      <c r="BQ340" s="448" t="str">
        <f>_xlfn.IFNA(VLOOKUP($BK340,Programma!$F$3:$L$1101,7,0),"")</f>
        <v/>
      </c>
      <c r="BR340" s="448" t="str">
        <f>_xlfn.IFNA(VLOOKUP($BK340,Programma!$F$3:$M$1101,8,0),"")</f>
        <v/>
      </c>
      <c r="BS340" s="448" t="str">
        <f>_xlfn.IFNA(VLOOKUP($BK340,Programma!$F$3:$N$1101,9,0),"")</f>
        <v/>
      </c>
      <c r="BT340" s="448" t="str">
        <f>_xlfn.IFNA(VLOOKUP($BK340,Programma!$F$3:$O$1101,10,0),"")</f>
        <v/>
      </c>
      <c r="BU340" s="448" t="str">
        <f>_xlfn.IFNA(VLOOKUP($BK340,Programma!$F$3:$P$1101,11,0),"")</f>
        <v/>
      </c>
      <c r="BV340" s="448" t="str">
        <f>_xlfn.IFNA(VLOOKUP($BK340,Programma!$F$3:$Q$1101,12,0),"")</f>
        <v/>
      </c>
      <c r="BW340" s="448" t="str">
        <f>_xlfn.IFNA(VLOOKUP($BK340,Programma!$F$3:$R$1101,13,0),"")</f>
        <v/>
      </c>
      <c r="BX340" s="448" t="str">
        <f>_xlfn.IFNA(VLOOKUP($BK340,Programma!$F$3:$S$1101,14,0),"")</f>
        <v/>
      </c>
      <c r="BY340" s="448" t="str">
        <f>_xlfn.IFNA(VLOOKUP($BK340,Programma!$F$3:$T$1101,15,0),"")</f>
        <v/>
      </c>
      <c r="BZ340" s="448" t="str">
        <f>_xlfn.IFNA(VLOOKUP($BK340,Programma!$F$3:$U$1101,16,0),"")</f>
        <v/>
      </c>
      <c r="CA340" s="448" t="str">
        <f>_xlfn.IFNA(VLOOKUP($BK340,Programma!$F$3:$V$1101,17,0),"")</f>
        <v/>
      </c>
      <c r="CB340" s="448" t="str">
        <f>_xlfn.IFNA(VLOOKUP($BK340,Programma!$F$3:$W$1101,18,0),"")</f>
        <v/>
      </c>
      <c r="CC340" s="448" t="str">
        <f>_xlfn.IFNA(VLOOKUP($BK340,Programma!$F$3:$X$1101,19,0),"")</f>
        <v/>
      </c>
      <c r="CD340" s="448" t="str">
        <f>_xlfn.IFNA(VLOOKUP($BK340,Programma!$F$3:$Y$1101,20,0),"")</f>
        <v/>
      </c>
      <c r="CE340" s="327"/>
      <c r="CF340" s="327"/>
      <c r="CG340" s="327"/>
      <c r="CH340" s="327"/>
      <c r="CI340" s="327"/>
      <c r="CJ340" s="327"/>
      <c r="CK340" s="327"/>
      <c r="CL340" s="327"/>
      <c r="CM340" s="327"/>
      <c r="CN340" s="327"/>
      <c r="CO340" s="327"/>
      <c r="CP340" s="327"/>
      <c r="CQ340" s="327"/>
      <c r="CR340" s="327"/>
      <c r="CS340" s="327"/>
      <c r="CT340" s="327"/>
      <c r="CU340" s="327"/>
      <c r="CV340" s="327"/>
      <c r="CW340" s="327"/>
      <c r="CX340" s="327"/>
      <c r="CY340" s="327"/>
      <c r="CZ340" s="327"/>
      <c r="DA340" s="327"/>
      <c r="DB340" s="327"/>
      <c r="DC340" s="327"/>
      <c r="DD340" s="327"/>
      <c r="DE340" s="327"/>
      <c r="DF340" s="327"/>
      <c r="DG340" s="327"/>
      <c r="DH340" s="327"/>
      <c r="DI340" s="327"/>
      <c r="DJ340" s="327"/>
      <c r="DK340" s="327"/>
      <c r="DL340" s="327"/>
      <c r="DM340" s="327"/>
      <c r="DN340" s="327"/>
      <c r="DO340" s="327"/>
      <c r="DP340" s="327"/>
      <c r="DQ340" s="327"/>
      <c r="DR340" s="327"/>
      <c r="DS340" s="327"/>
      <c r="DT340" s="327"/>
      <c r="DU340" s="327"/>
      <c r="DV340" s="327"/>
      <c r="DW340" s="327"/>
      <c r="DX340" s="327"/>
      <c r="DY340" s="327"/>
      <c r="DZ340" s="327"/>
      <c r="EA340" s="327"/>
      <c r="EB340" s="327"/>
      <c r="EC340" s="327"/>
      <c r="ED340" s="327"/>
      <c r="EE340" s="327"/>
      <c r="EF340" s="327"/>
      <c r="EG340" s="327"/>
      <c r="EH340" s="327"/>
      <c r="EI340" s="327"/>
      <c r="EJ340" s="327"/>
      <c r="EK340" s="327"/>
      <c r="EL340" s="327"/>
      <c r="EM340" s="327"/>
      <c r="EN340" s="327"/>
      <c r="EO340" s="327"/>
      <c r="EP340" s="327"/>
      <c r="EQ340" s="327"/>
      <c r="ER340" s="327"/>
      <c r="ES340" s="327"/>
      <c r="ET340" s="327"/>
      <c r="EU340" s="327"/>
      <c r="EV340" s="327"/>
      <c r="EW340" s="327"/>
      <c r="EX340" s="327"/>
      <c r="EY340" s="327"/>
      <c r="EZ340" s="327"/>
      <c r="FA340" s="327"/>
      <c r="FB340" s="327"/>
      <c r="FC340" s="327"/>
      <c r="FD340" s="327"/>
      <c r="FE340" s="327"/>
      <c r="FF340" s="327"/>
      <c r="FG340" s="327"/>
      <c r="FH340" s="327"/>
      <c r="FI340" s="327"/>
      <c r="FJ340" s="327"/>
      <c r="FK340" s="327"/>
      <c r="FL340" s="327"/>
      <c r="FM340" s="327"/>
      <c r="FN340" s="327"/>
      <c r="FO340" s="327"/>
      <c r="FP340" s="327"/>
      <c r="FQ340" s="327"/>
      <c r="FR340" s="327"/>
      <c r="FS340" s="327"/>
      <c r="FT340" s="327"/>
      <c r="FU340" s="327"/>
      <c r="FV340" s="327"/>
      <c r="FW340" s="327"/>
      <c r="FX340" s="327"/>
      <c r="FY340" s="327"/>
      <c r="FZ340" s="327"/>
      <c r="GA340" s="327"/>
      <c r="GB340" s="327"/>
      <c r="GC340" s="327"/>
      <c r="GD340" s="327"/>
      <c r="GE340" s="327"/>
      <c r="GF340" s="327"/>
      <c r="GG340" s="327"/>
      <c r="GH340" s="327"/>
      <c r="GI340" s="327"/>
      <c r="GJ340" s="327"/>
      <c r="GK340" s="327"/>
      <c r="GL340" s="327"/>
      <c r="GM340" s="327"/>
      <c r="GN340" s="327"/>
      <c r="GO340" s="327"/>
      <c r="GP340" s="327"/>
      <c r="GQ340" s="327"/>
      <c r="GR340" s="327"/>
      <c r="GS340" s="327"/>
      <c r="GT340" s="327"/>
      <c r="GU340" s="327"/>
      <c r="GV340" s="327"/>
      <c r="GW340" s="327"/>
      <c r="GX340" s="327"/>
      <c r="GY340" s="327"/>
      <c r="GZ340" s="327"/>
      <c r="HA340" s="327"/>
      <c r="HB340" s="327"/>
      <c r="HC340" s="327"/>
      <c r="HD340" s="327"/>
      <c r="HE340" s="327"/>
      <c r="HF340" s="327"/>
      <c r="HG340" s="327"/>
      <c r="HH340" s="327"/>
      <c r="HI340" s="327"/>
      <c r="HJ340" s="327"/>
      <c r="HK340" s="327"/>
      <c r="HL340" s="327"/>
      <c r="HM340" s="327"/>
      <c r="HN340" s="327"/>
      <c r="HO340" s="327"/>
      <c r="HP340" s="327"/>
      <c r="HQ340" s="327"/>
      <c r="HR340" s="327"/>
      <c r="HS340" s="327"/>
    </row>
    <row r="341" spans="1:227" ht="15" customHeight="1">
      <c r="A341" s="330">
        <v>14</v>
      </c>
      <c r="B341" s="435" t="str">
        <f>VLOOKUP(Ruimtestaat[[#This Row],[Code]],Locaties[[Code]:[Locatie]],2,FALSE)</f>
        <v>IKC De Vuurtoren</v>
      </c>
      <c r="C341" s="435" t="str">
        <f>VLOOKUP(Ruimtestaat[[#This Row],[Code]],Locaties[[#All],[Code]:[Adres]],4,FALSE)</f>
        <v>Spitsbergen 15</v>
      </c>
      <c r="D341" s="435" t="str">
        <f>VLOOKUP(Ruimtestaat[[#This Row],[Code]],Locaties[[#All],[Code]:[Postcode]],5,FALSE)</f>
        <v>2721 GP</v>
      </c>
      <c r="E341" s="435" t="str">
        <f>VLOOKUP(Ruimtestaat[[#This Row],[Code]],Locaties[#All],6,FALSE)</f>
        <v>Zoetermeer</v>
      </c>
      <c r="F341" s="450"/>
      <c r="G341" s="330" t="s">
        <v>1769</v>
      </c>
      <c r="H341" s="330" t="s">
        <v>1732</v>
      </c>
      <c r="I341" s="450" t="s">
        <v>1690</v>
      </c>
      <c r="J341" s="330">
        <v>16</v>
      </c>
      <c r="K341" s="450" t="str">
        <f>VLOOKUP(Ruimtestaat[[#This Row],[Ruimte code]],Ruimtegroepen[[#All],[Code]:[Ruimte omschrijving]],2,FALSE)</f>
        <v>Leslokalen</v>
      </c>
      <c r="L341" s="434" t="s">
        <v>100</v>
      </c>
      <c r="M341" s="437" t="s">
        <v>1759</v>
      </c>
      <c r="N341" s="439">
        <v>51</v>
      </c>
      <c r="O341" s="439"/>
      <c r="P341" s="439"/>
      <c r="Q341" s="439"/>
      <c r="R341" s="440" t="str">
        <f>VLOOKUP(Ruimtestaat[[#This Row],[Ruimte code]],Ruimtegroepen[],4,FALSE)</f>
        <v>Le</v>
      </c>
      <c r="S341" s="434">
        <v>40</v>
      </c>
      <c r="T341" s="434" t="s">
        <v>2</v>
      </c>
      <c r="U341" s="434">
        <f>IF(S341&gt;0,IF(RIGHT(Ruimtestaat[[#This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1" s="434">
        <f>IF(U341&gt;0,VLOOKUP($J341,Ruimtegroepen[],3,FALSE)*VLOOKUP($L341,Vloersoorten[],3,FALSE)*VLOOKUP($T341,Frequenties[],3,FALSE)*VLOOKUP($A341,Locaties[],3,FALSE),0)</f>
        <v>0</v>
      </c>
      <c r="W341" s="434">
        <f>Ruimtestaat[[#This Row],[Uitvoeringen werkdagen]]*Ruimtestaat[[#This Row],[Oppervlak (netto)]]</f>
        <v>10200</v>
      </c>
      <c r="X341" s="441">
        <f>IF(V341&gt;0,Ruimtestaat[[#This Row],[Prest. (m2 /jaar) werkdagen]]/Ruimtestaat[[#This Row],[Norm (m2/uur) werkdagen]],0)</f>
        <v>0</v>
      </c>
      <c r="Y341" s="442">
        <f>Ruimtestaat[[#This Row],[Uitvoeringen werkdagen]]*Ruimtestaat[[#This Row],[Gedeeltelijk]]</f>
        <v>0</v>
      </c>
      <c r="Z341" s="443" t="e">
        <f>IF(U341&gt;0,Ruimtestaat[[#This Row],[Prest. (m2 / jaar) werkdagen gedeeld]]/Ruimtestaat[[#This Row],[Norm (m2/uur) werkdagen]],0)</f>
        <v>#DIV/0!</v>
      </c>
      <c r="AA341" s="441" t="e">
        <f>Ruimtestaat[[#This Row],[uren / jaar werkdagen gedeeld]]*Tariefsopbouw!$E$35</f>
        <v>#DIV/0!</v>
      </c>
      <c r="AB341" s="441">
        <f>Ruimtestaat[[#This Row],[Uitvoeringen werkdagen]]*Ruimtestaat[[#This Row],[BSO]]</f>
        <v>0</v>
      </c>
      <c r="AC341" s="443" t="e">
        <f>IF(U341&gt;0,Ruimtestaat[[#This Row],[Prest. (m2 / jaar) werkdagen BSO]]/Ruimtestaat[[#This Row],[Norm (m2/uur) werkdagen]],0)</f>
        <v>#DIV/0!</v>
      </c>
      <c r="AD341" s="443" t="e">
        <f>Ruimtestaat[[#This Row],[uren / jaar werkdagen BSO]]*Tariefsopbouw!$E$35</f>
        <v>#DIV/0!</v>
      </c>
      <c r="AE341" s="444">
        <f>Ruimtestaat[[#This Row],[uren / jaar werkdagen]]*Tariefsopbouw!$E$35</f>
        <v>0</v>
      </c>
      <c r="AF341" s="434"/>
      <c r="AG341" s="434">
        <f>IF(Ruimtestaat[[#This Row],[Frequentie weekend]]&gt;0,VALUE(LEFT(AF341,1))*S341,0)</f>
        <v>0</v>
      </c>
      <c r="AH341" s="445">
        <f>IF($AG341&gt;0,VLOOKUP($J341,Ruimtegroepen[],3,FALSE)*VLOOKUP($L341,Vloersoorten[],3,FALSE)*VLOOKUP($AF341,Frequenties[],3,FALSE)*VLOOKUP(Ruimtestaat[[#This Row],[Code]],Locaties[],3,FALSE),0)</f>
        <v>0</v>
      </c>
      <c r="AI341" s="445">
        <f>Ruimtestaat[[#This Row],[Uitvoeringen weekend]]*Ruimtestaat[[#This Row],[Oppervlak (netto)]]</f>
        <v>0</v>
      </c>
      <c r="AJ341" s="445">
        <f>IF(AH341&gt;0,Ruimtestaat[[#This Row],[Prest. (m2 /jaar) weekend]]/Ruimtestaat[[#This Row],[Norm (m2/uur) weekend]],0)</f>
        <v>0</v>
      </c>
      <c r="AK341" s="444">
        <f>Ruimtestaat[[#This Row],[uren / jaar weekend]]*Tariefsopbouw!$D$40</f>
        <v>0</v>
      </c>
      <c r="AL341" s="441">
        <f>Ruimtestaat[[#This Row],[Prest. (m2 /jaar) weekend]]+Ruimtestaat[[#This Row],[Prest. (m2 /jaar) werkdagen]]</f>
        <v>10200</v>
      </c>
      <c r="AM341" s="441">
        <f>Ruimtestaat[[#This Row],[uren / jaar weekend]]+Ruimtestaat[[#This Row],[uren / jaar werkdagen]]</f>
        <v>0</v>
      </c>
      <c r="AN341" s="446">
        <f>Ruimtestaat[[#This Row],[kosten / jaar weekend]]+Ruimtestaat[[#This Row],[kosten / jaar werkdagen]]</f>
        <v>0</v>
      </c>
      <c r="AO341" s="446"/>
      <c r="AP341" s="447" t="str">
        <f>IF(Ruimtestaat[[#This Row],[Frequentie werkdagen]]="","",_xlfn.CONCAT(Ruimtestaat[[#This Row],[Ruimte code]],"-",Ruimtestaat[[#This Row],[Frequentie werkdagen]]," ",Ruimtestaat[[#This Row],[Vloer code]]))</f>
        <v>16-5w L</v>
      </c>
      <c r="AQ341" s="448" t="str">
        <f>_xlfn.IFNA(VLOOKUP($AP341,Programma!$F$3:$G$1101,2,0),"")</f>
        <v>_</v>
      </c>
      <c r="AR341" s="448" t="str">
        <f>_xlfn.IFNA(VLOOKUP($AP341,Programma!$F$3:$H$1101,3,0),"")</f>
        <v>_</v>
      </c>
      <c r="AS341" s="448" t="str">
        <f>_xlfn.IFNA(VLOOKUP($AP341,Programma!$F$3:$I$1101,4,0),"")</f>
        <v>4w</v>
      </c>
      <c r="AT341" s="448" t="str">
        <f>_xlfn.IFNA(VLOOKUP($AP341,Programma!$F$3:$J$1101,5,0),"")</f>
        <v>1w</v>
      </c>
      <c r="AU341" s="448" t="str">
        <f>_xlfn.IFNA(VLOOKUP($AP341,Programma!$F$3:$K$1101,6,0),"")</f>
        <v>_</v>
      </c>
      <c r="AV341" s="448" t="str">
        <f>_xlfn.IFNA(VLOOKUP($AP341,Programma!$F$3:$L$1101,7,0),"")</f>
        <v>_</v>
      </c>
      <c r="AW341" s="448" t="str">
        <f>_xlfn.IFNA(VLOOKUP($AP341,Programma!$F$3:$M$1101,8,0),"")</f>
        <v>_</v>
      </c>
      <c r="AX341" s="448" t="str">
        <f>_xlfn.IFNA(VLOOKUP($AP341,Programma!$F$3:$N$1101,9,0),"")</f>
        <v>_</v>
      </c>
      <c r="AY341" s="448" t="str">
        <f>_xlfn.IFNA(VLOOKUP($AP341,Programma!$F$3:$O$1101,10,0),"")</f>
        <v>5w</v>
      </c>
      <c r="AZ341" s="448" t="str">
        <f>_xlfn.IFNA(VLOOKUP($AP341,Programma!$F$3:$P$1101,11,0),"")</f>
        <v>5w</v>
      </c>
      <c r="BA341" s="448" t="str">
        <f>_xlfn.IFNA(VLOOKUP($AP341,Programma!$F$3:$Q$1101,12,0),"")</f>
        <v>1w</v>
      </c>
      <c r="BB341" s="448" t="str">
        <f>_xlfn.IFNA(VLOOKUP($AP341,Programma!$F$3:$R$1101,13,0),"")</f>
        <v>1w</v>
      </c>
      <c r="BC341" s="448" t="str">
        <f>_xlfn.IFNA(VLOOKUP($AP341,Programma!$F$3:$S$1101,14,0),"")</f>
        <v>1m</v>
      </c>
      <c r="BD341" s="448" t="str">
        <f>_xlfn.IFNA(VLOOKUP($AP341,Programma!$F$3:$T$1101,15,0),"")</f>
        <v>2j</v>
      </c>
      <c r="BE341" s="448" t="str">
        <f>_xlfn.IFNA(VLOOKUP($AP341,Programma!$F$3:$U$1101,16,0),"")</f>
        <v>1j</v>
      </c>
      <c r="BF341" s="448" t="str">
        <f>_xlfn.IFNA(VLOOKUP($AP341,Programma!$F$3:$V$1101,17,0),"")</f>
        <v>_</v>
      </c>
      <c r="BG341" s="448" t="str">
        <f>_xlfn.IFNA(VLOOKUP($AP341,Programma!$F$3:$W$1101,18,0),"")</f>
        <v>_</v>
      </c>
      <c r="BH341" s="448" t="str">
        <f>_xlfn.IFNA(VLOOKUP($AP341,Programma!$F$3:$X$1101,19,0),"")</f>
        <v>_</v>
      </c>
      <c r="BI341" s="448" t="str">
        <f>_xlfn.IFNA(VLOOKUP($AP341,Programma!$F$3:$Y$1101,20,0),"")</f>
        <v>_</v>
      </c>
      <c r="BJ341" s="449"/>
      <c r="BK341" s="447" t="str">
        <f>IF(Ruimtestaat[[#This Row],[Frequentie weekend]]="","",_xlfn.CONCAT(Ruimtestaat[[#This Row],[Ruimte code]],"-",Ruimtestaat[[#This Row],[Frequentie weekend]]," ",Ruimtestaat[[#This Row],[Vloer code]]))</f>
        <v/>
      </c>
      <c r="BL341" s="448" t="str">
        <f>_xlfn.IFNA(VLOOKUP($BK341,Programma!$F$3:$G$1101,2,0),"")</f>
        <v/>
      </c>
      <c r="BM341" s="448" t="str">
        <f>_xlfn.IFNA(VLOOKUP($BK341,Programma!$F$3:$H$1101,3,0),"")</f>
        <v/>
      </c>
      <c r="BN341" s="448" t="str">
        <f>_xlfn.IFNA(VLOOKUP($BK341,Programma!$F$3:$I$1101,4,0),"")</f>
        <v/>
      </c>
      <c r="BO341" s="448" t="str">
        <f>_xlfn.IFNA(VLOOKUP($BK341,Programma!$F$3:$J$1101,5,0),"")</f>
        <v/>
      </c>
      <c r="BP341" s="448" t="str">
        <f>_xlfn.IFNA(VLOOKUP($BK341,Programma!$F$3:$K$1101,6,0),"")</f>
        <v/>
      </c>
      <c r="BQ341" s="448" t="str">
        <f>_xlfn.IFNA(VLOOKUP($BK341,Programma!$F$3:$L$1101,7,0),"")</f>
        <v/>
      </c>
      <c r="BR341" s="448" t="str">
        <f>_xlfn.IFNA(VLOOKUP($BK341,Programma!$F$3:$M$1101,8,0),"")</f>
        <v/>
      </c>
      <c r="BS341" s="448" t="str">
        <f>_xlfn.IFNA(VLOOKUP($BK341,Programma!$F$3:$N$1101,9,0),"")</f>
        <v/>
      </c>
      <c r="BT341" s="448" t="str">
        <f>_xlfn.IFNA(VLOOKUP($BK341,Programma!$F$3:$O$1101,10,0),"")</f>
        <v/>
      </c>
      <c r="BU341" s="448" t="str">
        <f>_xlfn.IFNA(VLOOKUP($BK341,Programma!$F$3:$P$1101,11,0),"")</f>
        <v/>
      </c>
      <c r="BV341" s="448" t="str">
        <f>_xlfn.IFNA(VLOOKUP($BK341,Programma!$F$3:$Q$1101,12,0),"")</f>
        <v/>
      </c>
      <c r="BW341" s="448" t="str">
        <f>_xlfn.IFNA(VLOOKUP($BK341,Programma!$F$3:$R$1101,13,0),"")</f>
        <v/>
      </c>
      <c r="BX341" s="448" t="str">
        <f>_xlfn.IFNA(VLOOKUP($BK341,Programma!$F$3:$S$1101,14,0),"")</f>
        <v/>
      </c>
      <c r="BY341" s="448" t="str">
        <f>_xlfn.IFNA(VLOOKUP($BK341,Programma!$F$3:$T$1101,15,0),"")</f>
        <v/>
      </c>
      <c r="BZ341" s="448" t="str">
        <f>_xlfn.IFNA(VLOOKUP($BK341,Programma!$F$3:$U$1101,16,0),"")</f>
        <v/>
      </c>
      <c r="CA341" s="448" t="str">
        <f>_xlfn.IFNA(VLOOKUP($BK341,Programma!$F$3:$V$1101,17,0),"")</f>
        <v/>
      </c>
      <c r="CB341" s="448" t="str">
        <f>_xlfn.IFNA(VLOOKUP($BK341,Programma!$F$3:$W$1101,18,0),"")</f>
        <v/>
      </c>
      <c r="CC341" s="448" t="str">
        <f>_xlfn.IFNA(VLOOKUP($BK341,Programma!$F$3:$X$1101,19,0),"")</f>
        <v/>
      </c>
      <c r="CD341" s="448" t="str">
        <f>_xlfn.IFNA(VLOOKUP($BK341,Programma!$F$3:$Y$1101,20,0),"")</f>
        <v/>
      </c>
      <c r="CE341" s="327"/>
      <c r="CF341" s="327"/>
      <c r="CG341" s="327"/>
      <c r="CH341" s="327"/>
      <c r="CI341" s="327"/>
      <c r="CJ341" s="327"/>
      <c r="CK341" s="327"/>
      <c r="CL341" s="327"/>
      <c r="CM341" s="327"/>
      <c r="CN341" s="327"/>
      <c r="CO341" s="327"/>
      <c r="CP341" s="327"/>
      <c r="CQ341" s="327"/>
      <c r="CR341" s="327"/>
      <c r="CS341" s="327"/>
      <c r="CT341" s="327"/>
      <c r="CU341" s="327"/>
      <c r="CV341" s="327"/>
      <c r="CW341" s="327"/>
      <c r="CX341" s="327"/>
      <c r="CY341" s="327"/>
      <c r="CZ341" s="327"/>
      <c r="DA341" s="327"/>
      <c r="DB341" s="327"/>
      <c r="DC341" s="327"/>
      <c r="DD341" s="327"/>
      <c r="DE341" s="327"/>
      <c r="DF341" s="327"/>
      <c r="DG341" s="327"/>
      <c r="DH341" s="327"/>
      <c r="DI341" s="327"/>
      <c r="DJ341" s="327"/>
      <c r="DK341" s="327"/>
      <c r="DL341" s="327"/>
      <c r="DM341" s="327"/>
      <c r="DN341" s="327"/>
      <c r="DO341" s="327"/>
      <c r="DP341" s="327"/>
      <c r="DQ341" s="327"/>
      <c r="DR341" s="327"/>
      <c r="DS341" s="327"/>
      <c r="DT341" s="327"/>
      <c r="DU341" s="327"/>
      <c r="DV341" s="327"/>
      <c r="DW341" s="327"/>
      <c r="DX341" s="327"/>
      <c r="DY341" s="327"/>
      <c r="DZ341" s="327"/>
      <c r="EA341" s="327"/>
      <c r="EB341" s="327"/>
      <c r="EC341" s="327"/>
      <c r="ED341" s="327"/>
      <c r="EE341" s="327"/>
      <c r="EF341" s="327"/>
      <c r="EG341" s="327"/>
      <c r="EH341" s="327"/>
      <c r="EI341" s="327"/>
      <c r="EJ341" s="327"/>
      <c r="EK341" s="327"/>
      <c r="EL341" s="327"/>
      <c r="EM341" s="327"/>
      <c r="EN341" s="327"/>
      <c r="EO341" s="327"/>
      <c r="EP341" s="327"/>
      <c r="EQ341" s="327"/>
      <c r="ER341" s="327"/>
      <c r="ES341" s="327"/>
      <c r="ET341" s="327"/>
      <c r="EU341" s="327"/>
      <c r="EV341" s="327"/>
      <c r="EW341" s="327"/>
      <c r="EX341" s="327"/>
      <c r="EY341" s="327"/>
      <c r="EZ341" s="327"/>
      <c r="FA341" s="327"/>
      <c r="FB341" s="327"/>
      <c r="FC341" s="327"/>
      <c r="FD341" s="327"/>
      <c r="FE341" s="327"/>
      <c r="FF341" s="327"/>
      <c r="FG341" s="327"/>
      <c r="FH341" s="327"/>
      <c r="FI341" s="327"/>
      <c r="FJ341" s="327"/>
      <c r="FK341" s="327"/>
      <c r="FL341" s="327"/>
      <c r="FM341" s="327"/>
      <c r="FN341" s="327"/>
      <c r="FO341" s="327"/>
      <c r="FP341" s="327"/>
      <c r="FQ341" s="327"/>
      <c r="FR341" s="327"/>
      <c r="FS341" s="327"/>
      <c r="FT341" s="327"/>
      <c r="FU341" s="327"/>
      <c r="FV341" s="327"/>
      <c r="FW341" s="327"/>
      <c r="FX341" s="327"/>
      <c r="FY341" s="327"/>
      <c r="FZ341" s="327"/>
      <c r="GA341" s="327"/>
      <c r="GB341" s="327"/>
      <c r="GC341" s="327"/>
      <c r="GD341" s="327"/>
      <c r="GE341" s="327"/>
      <c r="GF341" s="327"/>
      <c r="GG341" s="327"/>
      <c r="GH341" s="327"/>
      <c r="GI341" s="327"/>
      <c r="GJ341" s="327"/>
      <c r="GK341" s="327"/>
      <c r="GL341" s="327"/>
      <c r="GM341" s="327"/>
      <c r="GN341" s="327"/>
      <c r="GO341" s="327"/>
      <c r="GP341" s="327"/>
      <c r="GQ341" s="327"/>
      <c r="GR341" s="327"/>
      <c r="GS341" s="327"/>
      <c r="GT341" s="327"/>
      <c r="GU341" s="327"/>
      <c r="GV341" s="327"/>
      <c r="GW341" s="327"/>
      <c r="GX341" s="327"/>
      <c r="GY341" s="327"/>
      <c r="GZ341" s="327"/>
      <c r="HA341" s="327"/>
      <c r="HB341" s="327"/>
      <c r="HC341" s="327"/>
      <c r="HD341" s="327"/>
      <c r="HE341" s="327"/>
      <c r="HF341" s="327"/>
      <c r="HG341" s="327"/>
      <c r="HH341" s="327"/>
      <c r="HI341" s="327"/>
      <c r="HJ341" s="327"/>
      <c r="HK341" s="327"/>
      <c r="HL341" s="327"/>
      <c r="HM341" s="327"/>
      <c r="HN341" s="327"/>
      <c r="HO341" s="327"/>
      <c r="HP341" s="327"/>
      <c r="HQ341" s="327"/>
      <c r="HR341" s="327"/>
      <c r="HS341" s="327"/>
    </row>
    <row r="342" spans="1:227" ht="15" customHeight="1">
      <c r="A342" s="330">
        <v>14</v>
      </c>
      <c r="B342" s="435" t="str">
        <f>VLOOKUP(Ruimtestaat[[#This Row],[Code]],Locaties[[Code]:[Locatie]],2,FALSE)</f>
        <v>IKC De Vuurtoren</v>
      </c>
      <c r="C342" s="435" t="str">
        <f>VLOOKUP(Ruimtestaat[[#This Row],[Code]],Locaties[[#All],[Code]:[Adres]],4,FALSE)</f>
        <v>Spitsbergen 15</v>
      </c>
      <c r="D342" s="435" t="str">
        <f>VLOOKUP(Ruimtestaat[[#This Row],[Code]],Locaties[[#All],[Code]:[Postcode]],5,FALSE)</f>
        <v>2721 GP</v>
      </c>
      <c r="E342" s="435" t="str">
        <f>VLOOKUP(Ruimtestaat[[#This Row],[Code]],Locaties[#All],6,FALSE)</f>
        <v>Zoetermeer</v>
      </c>
      <c r="F342" s="450"/>
      <c r="G342" s="330" t="s">
        <v>1769</v>
      </c>
      <c r="H342" s="330" t="s">
        <v>1734</v>
      </c>
      <c r="I342" s="450" t="s">
        <v>1767</v>
      </c>
      <c r="J342" s="330">
        <v>2</v>
      </c>
      <c r="K342" s="450" t="str">
        <f>VLOOKUP(Ruimtestaat[[#This Row],[Ruimte code]],Ruimtegroepen[[#All],[Code]:[Ruimte omschrijving]],2,FALSE)</f>
        <v>Kantoren</v>
      </c>
      <c r="L342" s="434" t="s">
        <v>100</v>
      </c>
      <c r="M342" s="437" t="s">
        <v>1759</v>
      </c>
      <c r="N342" s="439">
        <v>16</v>
      </c>
      <c r="O342" s="439"/>
      <c r="P342" s="439"/>
      <c r="Q342" s="439"/>
      <c r="R342" s="440" t="str">
        <f>VLOOKUP(Ruimtestaat[[#This Row],[Ruimte code]],Ruimtegroepen[],4,FALSE)</f>
        <v>Bu</v>
      </c>
      <c r="S342" s="434">
        <v>41</v>
      </c>
      <c r="T342" s="434" t="s">
        <v>17</v>
      </c>
      <c r="U342" s="434">
        <f>IF(S342&gt;0,IF(RIGHT(Ruimtestaat[[#This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42" s="434">
        <f>IF(U342&gt;0,VLOOKUP($J342,Ruimtegroepen[],3,FALSE)*VLOOKUP($L342,Vloersoorten[],3,FALSE)*VLOOKUP($T342,Frequenties[],3,FALSE)*VLOOKUP($A342,Locaties[],3,FALSE),0)</f>
        <v>0</v>
      </c>
      <c r="W342" s="434">
        <f>Ruimtestaat[[#This Row],[Uitvoeringen werkdagen]]*Ruimtestaat[[#This Row],[Oppervlak (netto)]]</f>
        <v>1312</v>
      </c>
      <c r="X342" s="441">
        <f>IF(V342&gt;0,Ruimtestaat[[#This Row],[Prest. (m2 /jaar) werkdagen]]/Ruimtestaat[[#This Row],[Norm (m2/uur) werkdagen]],0)</f>
        <v>0</v>
      </c>
      <c r="Y342" s="442">
        <f>Ruimtestaat[[#This Row],[Uitvoeringen werkdagen]]*Ruimtestaat[[#This Row],[Gedeeltelijk]]</f>
        <v>0</v>
      </c>
      <c r="Z342" s="443" t="e">
        <f>IF(U342&gt;0,Ruimtestaat[[#This Row],[Prest. (m2 / jaar) werkdagen gedeeld]]/Ruimtestaat[[#This Row],[Norm (m2/uur) werkdagen]],0)</f>
        <v>#DIV/0!</v>
      </c>
      <c r="AA342" s="441" t="e">
        <f>Ruimtestaat[[#This Row],[uren / jaar werkdagen gedeeld]]*Tariefsopbouw!$E$35</f>
        <v>#DIV/0!</v>
      </c>
      <c r="AB342" s="441">
        <f>Ruimtestaat[[#This Row],[Uitvoeringen werkdagen]]*Ruimtestaat[[#This Row],[BSO]]</f>
        <v>0</v>
      </c>
      <c r="AC342" s="443" t="e">
        <f>IF(U342&gt;0,Ruimtestaat[[#This Row],[Prest. (m2 / jaar) werkdagen BSO]]/Ruimtestaat[[#This Row],[Norm (m2/uur) werkdagen]],0)</f>
        <v>#DIV/0!</v>
      </c>
      <c r="AD342" s="443" t="e">
        <f>Ruimtestaat[[#This Row],[uren / jaar werkdagen BSO]]*Tariefsopbouw!$E$35</f>
        <v>#DIV/0!</v>
      </c>
      <c r="AE342" s="444">
        <f>Ruimtestaat[[#This Row],[uren / jaar werkdagen]]*Tariefsopbouw!$E$35</f>
        <v>0</v>
      </c>
      <c r="AF342" s="434"/>
      <c r="AG342" s="434">
        <f>IF(Ruimtestaat[[#This Row],[Frequentie weekend]]&gt;0,VALUE(LEFT(AF342,1))*S342,0)</f>
        <v>0</v>
      </c>
      <c r="AH342" s="445">
        <f>IF($AG342&gt;0,VLOOKUP($J342,Ruimtegroepen[],3,FALSE)*VLOOKUP($L342,Vloersoorten[],3,FALSE)*VLOOKUP($AF342,Frequenties[],3,FALSE)*VLOOKUP(Ruimtestaat[[#This Row],[Code]],Locaties[],3,FALSE),0)</f>
        <v>0</v>
      </c>
      <c r="AI342" s="445">
        <f>Ruimtestaat[[#This Row],[Uitvoeringen weekend]]*Ruimtestaat[[#This Row],[Oppervlak (netto)]]</f>
        <v>0</v>
      </c>
      <c r="AJ342" s="445">
        <f>IF(AH342&gt;0,Ruimtestaat[[#This Row],[Prest. (m2 /jaar) weekend]]/Ruimtestaat[[#This Row],[Norm (m2/uur) weekend]],0)</f>
        <v>0</v>
      </c>
      <c r="AK342" s="444">
        <f>Ruimtestaat[[#This Row],[uren / jaar weekend]]*Tariefsopbouw!$D$40</f>
        <v>0</v>
      </c>
      <c r="AL342" s="441">
        <f>Ruimtestaat[[#This Row],[Prest. (m2 /jaar) weekend]]+Ruimtestaat[[#This Row],[Prest. (m2 /jaar) werkdagen]]</f>
        <v>1312</v>
      </c>
      <c r="AM342" s="441">
        <f>Ruimtestaat[[#This Row],[uren / jaar weekend]]+Ruimtestaat[[#This Row],[uren / jaar werkdagen]]</f>
        <v>0</v>
      </c>
      <c r="AN342" s="446">
        <f>Ruimtestaat[[#This Row],[kosten / jaar weekend]]+Ruimtestaat[[#This Row],[kosten / jaar werkdagen]]</f>
        <v>0</v>
      </c>
      <c r="AO342" s="446"/>
      <c r="AP342" s="447" t="str">
        <f>IF(Ruimtestaat[[#This Row],[Frequentie werkdagen]]="","",_xlfn.CONCAT(Ruimtestaat[[#This Row],[Ruimte code]],"-",Ruimtestaat[[#This Row],[Frequentie werkdagen]]," ",Ruimtestaat[[#This Row],[Vloer code]]))</f>
        <v>2-2w L</v>
      </c>
      <c r="AQ342" s="448" t="str">
        <f>_xlfn.IFNA(VLOOKUP($AP342,Programma!$F$3:$G$1101,2,0),"")</f>
        <v>_</v>
      </c>
      <c r="AR342" s="448" t="str">
        <f>_xlfn.IFNA(VLOOKUP($AP342,Programma!$F$3:$H$1101,3,0),"")</f>
        <v>_</v>
      </c>
      <c r="AS342" s="448" t="str">
        <f>_xlfn.IFNA(VLOOKUP($AP342,Programma!$F$3:$I$1101,4,0),"")</f>
        <v>1w</v>
      </c>
      <c r="AT342" s="448" t="str">
        <f>_xlfn.IFNA(VLOOKUP($AP342,Programma!$F$3:$J$1101,5,0),"")</f>
        <v>1w</v>
      </c>
      <c r="AU342" s="448" t="str">
        <f>_xlfn.IFNA(VLOOKUP($AP342,Programma!$F$3:$K$1101,6,0),"")</f>
        <v>_</v>
      </c>
      <c r="AV342" s="448" t="str">
        <f>_xlfn.IFNA(VLOOKUP($AP342,Programma!$F$3:$L$1101,7,0),"")</f>
        <v>_</v>
      </c>
      <c r="AW342" s="448" t="str">
        <f>_xlfn.IFNA(VLOOKUP($AP342,Programma!$F$3:$M$1101,8,0),"")</f>
        <v>_</v>
      </c>
      <c r="AX342" s="448" t="str">
        <f>_xlfn.IFNA(VLOOKUP($AP342,Programma!$F$3:$N$1101,9,0),"")</f>
        <v>_</v>
      </c>
      <c r="AY342" s="448" t="str">
        <f>_xlfn.IFNA(VLOOKUP($AP342,Programma!$F$3:$O$1101,10,0),"")</f>
        <v>2w</v>
      </c>
      <c r="AZ342" s="448" t="str">
        <f>_xlfn.IFNA(VLOOKUP($AP342,Programma!$F$3:$P$1101,11,0),"")</f>
        <v>2w</v>
      </c>
      <c r="BA342" s="448" t="str">
        <f>_xlfn.IFNA(VLOOKUP($AP342,Programma!$F$3:$Q$1101,12,0),"")</f>
        <v>1w</v>
      </c>
      <c r="BB342" s="448" t="str">
        <f>_xlfn.IFNA(VLOOKUP($AP342,Programma!$F$3:$R$1101,13,0),"")</f>
        <v>1w</v>
      </c>
      <c r="BC342" s="448" t="str">
        <f>_xlfn.IFNA(VLOOKUP($AP342,Programma!$F$3:$S$1101,14,0),"")</f>
        <v>1m</v>
      </c>
      <c r="BD342" s="448" t="str">
        <f>_xlfn.IFNA(VLOOKUP($AP342,Programma!$F$3:$T$1101,15,0),"")</f>
        <v>2j</v>
      </c>
      <c r="BE342" s="448" t="str">
        <f>_xlfn.IFNA(VLOOKUP($AP342,Programma!$F$3:$U$1101,16,0),"")</f>
        <v>1j</v>
      </c>
      <c r="BF342" s="448" t="str">
        <f>_xlfn.IFNA(VLOOKUP($AP342,Programma!$F$3:$V$1101,17,0),"")</f>
        <v>_</v>
      </c>
      <c r="BG342" s="448" t="str">
        <f>_xlfn.IFNA(VLOOKUP($AP342,Programma!$F$3:$W$1101,18,0),"")</f>
        <v>_</v>
      </c>
      <c r="BH342" s="448" t="str">
        <f>_xlfn.IFNA(VLOOKUP($AP342,Programma!$F$3:$X$1101,19,0),"")</f>
        <v>_</v>
      </c>
      <c r="BI342" s="448" t="str">
        <f>_xlfn.IFNA(VLOOKUP($AP342,Programma!$F$3:$Y$1101,20,0),"")</f>
        <v>_</v>
      </c>
      <c r="BJ342" s="449"/>
      <c r="BK342" s="447" t="str">
        <f>IF(Ruimtestaat[[#This Row],[Frequentie weekend]]="","",_xlfn.CONCAT(Ruimtestaat[[#This Row],[Ruimte code]],"-",Ruimtestaat[[#This Row],[Frequentie weekend]]," ",Ruimtestaat[[#This Row],[Vloer code]]))</f>
        <v/>
      </c>
      <c r="BL342" s="448" t="str">
        <f>_xlfn.IFNA(VLOOKUP($BK342,Programma!$F$3:$G$1101,2,0),"")</f>
        <v/>
      </c>
      <c r="BM342" s="448" t="str">
        <f>_xlfn.IFNA(VLOOKUP($BK342,Programma!$F$3:$H$1101,3,0),"")</f>
        <v/>
      </c>
      <c r="BN342" s="448" t="str">
        <f>_xlfn.IFNA(VLOOKUP($BK342,Programma!$F$3:$I$1101,4,0),"")</f>
        <v/>
      </c>
      <c r="BO342" s="448" t="str">
        <f>_xlfn.IFNA(VLOOKUP($BK342,Programma!$F$3:$J$1101,5,0),"")</f>
        <v/>
      </c>
      <c r="BP342" s="448" t="str">
        <f>_xlfn.IFNA(VLOOKUP($BK342,Programma!$F$3:$K$1101,6,0),"")</f>
        <v/>
      </c>
      <c r="BQ342" s="448" t="str">
        <f>_xlfn.IFNA(VLOOKUP($BK342,Programma!$F$3:$L$1101,7,0),"")</f>
        <v/>
      </c>
      <c r="BR342" s="448" t="str">
        <f>_xlfn.IFNA(VLOOKUP($BK342,Programma!$F$3:$M$1101,8,0),"")</f>
        <v/>
      </c>
      <c r="BS342" s="448" t="str">
        <f>_xlfn.IFNA(VLOOKUP($BK342,Programma!$F$3:$N$1101,9,0),"")</f>
        <v/>
      </c>
      <c r="BT342" s="448" t="str">
        <f>_xlfn.IFNA(VLOOKUP($BK342,Programma!$F$3:$O$1101,10,0),"")</f>
        <v/>
      </c>
      <c r="BU342" s="448" t="str">
        <f>_xlfn.IFNA(VLOOKUP($BK342,Programma!$F$3:$P$1101,11,0),"")</f>
        <v/>
      </c>
      <c r="BV342" s="448" t="str">
        <f>_xlfn.IFNA(VLOOKUP($BK342,Programma!$F$3:$Q$1101,12,0),"")</f>
        <v/>
      </c>
      <c r="BW342" s="448" t="str">
        <f>_xlfn.IFNA(VLOOKUP($BK342,Programma!$F$3:$R$1101,13,0),"")</f>
        <v/>
      </c>
      <c r="BX342" s="448" t="str">
        <f>_xlfn.IFNA(VLOOKUP($BK342,Programma!$F$3:$S$1101,14,0),"")</f>
        <v/>
      </c>
      <c r="BY342" s="448" t="str">
        <f>_xlfn.IFNA(VLOOKUP($BK342,Programma!$F$3:$T$1101,15,0),"")</f>
        <v/>
      </c>
      <c r="BZ342" s="448" t="str">
        <f>_xlfn.IFNA(VLOOKUP($BK342,Programma!$F$3:$U$1101,16,0),"")</f>
        <v/>
      </c>
      <c r="CA342" s="448" t="str">
        <f>_xlfn.IFNA(VLOOKUP($BK342,Programma!$F$3:$V$1101,17,0),"")</f>
        <v/>
      </c>
      <c r="CB342" s="448" t="str">
        <f>_xlfn.IFNA(VLOOKUP($BK342,Programma!$F$3:$W$1101,18,0),"")</f>
        <v/>
      </c>
      <c r="CC342" s="448" t="str">
        <f>_xlfn.IFNA(VLOOKUP($BK342,Programma!$F$3:$X$1101,19,0),"")</f>
        <v/>
      </c>
      <c r="CD342" s="448" t="str">
        <f>_xlfn.IFNA(VLOOKUP($BK342,Programma!$F$3:$Y$1101,20,0),"")</f>
        <v/>
      </c>
      <c r="CE342" s="327"/>
      <c r="CF342" s="327"/>
      <c r="CG342" s="327"/>
      <c r="CH342" s="327"/>
      <c r="CI342" s="327"/>
      <c r="CJ342" s="327"/>
      <c r="CK342" s="327"/>
      <c r="CL342" s="327"/>
      <c r="CM342" s="327"/>
      <c r="CN342" s="327"/>
      <c r="CO342" s="327"/>
      <c r="CP342" s="327"/>
      <c r="CQ342" s="327"/>
      <c r="CR342" s="327"/>
      <c r="CS342" s="327"/>
      <c r="CT342" s="327"/>
      <c r="CU342" s="327"/>
      <c r="CV342" s="327"/>
      <c r="CW342" s="327"/>
      <c r="CX342" s="327"/>
      <c r="CY342" s="327"/>
      <c r="CZ342" s="327"/>
      <c r="DA342" s="327"/>
      <c r="DB342" s="327"/>
      <c r="DC342" s="327"/>
      <c r="DD342" s="327"/>
      <c r="DE342" s="327"/>
      <c r="DF342" s="327"/>
      <c r="DG342" s="327"/>
      <c r="DH342" s="327"/>
      <c r="DI342" s="327"/>
      <c r="DJ342" s="327"/>
      <c r="DK342" s="327"/>
      <c r="DL342" s="327"/>
      <c r="DM342" s="327"/>
      <c r="DN342" s="327"/>
      <c r="DO342" s="327"/>
      <c r="DP342" s="327"/>
      <c r="DQ342" s="327"/>
      <c r="DR342" s="327"/>
      <c r="DS342" s="327"/>
      <c r="DT342" s="327"/>
      <c r="DU342" s="327"/>
      <c r="DV342" s="327"/>
      <c r="DW342" s="327"/>
      <c r="DX342" s="327"/>
      <c r="DY342" s="327"/>
      <c r="DZ342" s="327"/>
      <c r="EA342" s="327"/>
      <c r="EB342" s="327"/>
      <c r="EC342" s="327"/>
      <c r="ED342" s="327"/>
      <c r="EE342" s="327"/>
      <c r="EF342" s="327"/>
      <c r="EG342" s="327"/>
      <c r="EH342" s="327"/>
      <c r="EI342" s="327"/>
      <c r="EJ342" s="327"/>
      <c r="EK342" s="327"/>
      <c r="EL342" s="327"/>
      <c r="EM342" s="327"/>
      <c r="EN342" s="327"/>
      <c r="EO342" s="327"/>
      <c r="EP342" s="327"/>
      <c r="EQ342" s="327"/>
      <c r="ER342" s="327"/>
      <c r="ES342" s="327"/>
      <c r="ET342" s="327"/>
      <c r="EU342" s="327"/>
      <c r="EV342" s="327"/>
      <c r="EW342" s="327"/>
      <c r="EX342" s="327"/>
      <c r="EY342" s="327"/>
      <c r="EZ342" s="327"/>
      <c r="FA342" s="327"/>
      <c r="FB342" s="327"/>
      <c r="FC342" s="327"/>
      <c r="FD342" s="327"/>
      <c r="FE342" s="327"/>
      <c r="FF342" s="327"/>
      <c r="FG342" s="327"/>
      <c r="FH342" s="327"/>
      <c r="FI342" s="327"/>
      <c r="FJ342" s="327"/>
      <c r="FK342" s="327"/>
      <c r="FL342" s="327"/>
      <c r="FM342" s="327"/>
      <c r="FN342" s="327"/>
      <c r="FO342" s="327"/>
      <c r="FP342" s="327"/>
      <c r="FQ342" s="327"/>
      <c r="FR342" s="327"/>
      <c r="FS342" s="327"/>
      <c r="FT342" s="327"/>
      <c r="FU342" s="327"/>
      <c r="FV342" s="327"/>
      <c r="FW342" s="327"/>
      <c r="FX342" s="327"/>
      <c r="FY342" s="327"/>
      <c r="FZ342" s="327"/>
      <c r="GA342" s="327"/>
      <c r="GB342" s="327"/>
      <c r="GC342" s="327"/>
      <c r="GD342" s="327"/>
      <c r="GE342" s="327"/>
      <c r="GF342" s="327"/>
      <c r="GG342" s="327"/>
      <c r="GH342" s="327"/>
      <c r="GI342" s="327"/>
      <c r="GJ342" s="327"/>
      <c r="GK342" s="327"/>
      <c r="GL342" s="327"/>
      <c r="GM342" s="327"/>
      <c r="GN342" s="327"/>
      <c r="GO342" s="327"/>
      <c r="GP342" s="327"/>
      <c r="GQ342" s="327"/>
      <c r="GR342" s="327"/>
      <c r="GS342" s="327"/>
      <c r="GT342" s="327"/>
      <c r="GU342" s="327"/>
      <c r="GV342" s="327"/>
      <c r="GW342" s="327"/>
      <c r="GX342" s="327"/>
      <c r="GY342" s="327"/>
      <c r="GZ342" s="327"/>
      <c r="HA342" s="327"/>
      <c r="HB342" s="327"/>
      <c r="HC342" s="327"/>
      <c r="HD342" s="327"/>
      <c r="HE342" s="327"/>
      <c r="HF342" s="327"/>
      <c r="HG342" s="327"/>
      <c r="HH342" s="327"/>
      <c r="HI342" s="327"/>
      <c r="HJ342" s="327"/>
      <c r="HK342" s="327"/>
      <c r="HL342" s="327"/>
      <c r="HM342" s="327"/>
      <c r="HN342" s="327"/>
      <c r="HO342" s="327"/>
      <c r="HP342" s="327"/>
      <c r="HQ342" s="327"/>
      <c r="HR342" s="327"/>
      <c r="HS342" s="327"/>
    </row>
    <row r="343" spans="1:227" ht="15" customHeight="1">
      <c r="A343" s="330">
        <v>14</v>
      </c>
      <c r="B343" s="435" t="str">
        <f>VLOOKUP(Ruimtestaat[[#This Row],[Code]],Locaties[[Code]:[Locatie]],2,FALSE)</f>
        <v>IKC De Vuurtoren</v>
      </c>
      <c r="C343" s="435" t="str">
        <f>VLOOKUP(Ruimtestaat[[#This Row],[Code]],Locaties[[#All],[Code]:[Adres]],4,FALSE)</f>
        <v>Spitsbergen 15</v>
      </c>
      <c r="D343" s="435" t="str">
        <f>VLOOKUP(Ruimtestaat[[#This Row],[Code]],Locaties[[#All],[Code]:[Postcode]],5,FALSE)</f>
        <v>2721 GP</v>
      </c>
      <c r="E343" s="435" t="str">
        <f>VLOOKUP(Ruimtestaat[[#This Row],[Code]],Locaties[#All],6,FALSE)</f>
        <v>Zoetermeer</v>
      </c>
      <c r="F343" s="450"/>
      <c r="G343" s="330" t="s">
        <v>1769</v>
      </c>
      <c r="H343" s="330" t="s">
        <v>1706</v>
      </c>
      <c r="I343" s="450" t="s">
        <v>1690</v>
      </c>
      <c r="J343" s="330">
        <v>16</v>
      </c>
      <c r="K343" s="450" t="str">
        <f>VLOOKUP(Ruimtestaat[[#This Row],[Ruimte code]],Ruimtegroepen[[#All],[Code]:[Ruimte omschrijving]],2,FALSE)</f>
        <v>Leslokalen</v>
      </c>
      <c r="L343" s="434" t="s">
        <v>100</v>
      </c>
      <c r="M343" s="437" t="s">
        <v>1759</v>
      </c>
      <c r="N343" s="439">
        <v>53</v>
      </c>
      <c r="O343" s="439"/>
      <c r="P343" s="439"/>
      <c r="Q343" s="439"/>
      <c r="R343" s="440" t="str">
        <f>VLOOKUP(Ruimtestaat[[#This Row],[Ruimte code]],Ruimtegroepen[],4,FALSE)</f>
        <v>Le</v>
      </c>
      <c r="S343" s="434">
        <v>40</v>
      </c>
      <c r="T343" s="434" t="s">
        <v>2</v>
      </c>
      <c r="U343" s="434">
        <f>IF(S343&gt;0,IF(RIGHT(Ruimtestaat[[#This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3" s="434">
        <f>IF(U343&gt;0,VLOOKUP($J343,Ruimtegroepen[],3,FALSE)*VLOOKUP($L343,Vloersoorten[],3,FALSE)*VLOOKUP($T343,Frequenties[],3,FALSE)*VLOOKUP($A343,Locaties[],3,FALSE),0)</f>
        <v>0</v>
      </c>
      <c r="W343" s="434">
        <f>Ruimtestaat[[#This Row],[Uitvoeringen werkdagen]]*Ruimtestaat[[#This Row],[Oppervlak (netto)]]</f>
        <v>10600</v>
      </c>
      <c r="X343" s="441">
        <f>IF(V343&gt;0,Ruimtestaat[[#This Row],[Prest. (m2 /jaar) werkdagen]]/Ruimtestaat[[#This Row],[Norm (m2/uur) werkdagen]],0)</f>
        <v>0</v>
      </c>
      <c r="Y343" s="442">
        <f>Ruimtestaat[[#This Row],[Uitvoeringen werkdagen]]*Ruimtestaat[[#This Row],[Gedeeltelijk]]</f>
        <v>0</v>
      </c>
      <c r="Z343" s="443" t="e">
        <f>IF(U343&gt;0,Ruimtestaat[[#This Row],[Prest. (m2 / jaar) werkdagen gedeeld]]/Ruimtestaat[[#This Row],[Norm (m2/uur) werkdagen]],0)</f>
        <v>#DIV/0!</v>
      </c>
      <c r="AA343" s="441" t="e">
        <f>Ruimtestaat[[#This Row],[uren / jaar werkdagen gedeeld]]*Tariefsopbouw!$E$35</f>
        <v>#DIV/0!</v>
      </c>
      <c r="AB343" s="441">
        <f>Ruimtestaat[[#This Row],[Uitvoeringen werkdagen]]*Ruimtestaat[[#This Row],[BSO]]</f>
        <v>0</v>
      </c>
      <c r="AC343" s="443" t="e">
        <f>IF(U343&gt;0,Ruimtestaat[[#This Row],[Prest. (m2 / jaar) werkdagen BSO]]/Ruimtestaat[[#This Row],[Norm (m2/uur) werkdagen]],0)</f>
        <v>#DIV/0!</v>
      </c>
      <c r="AD343" s="443" t="e">
        <f>Ruimtestaat[[#This Row],[uren / jaar werkdagen BSO]]*Tariefsopbouw!$E$35</f>
        <v>#DIV/0!</v>
      </c>
      <c r="AE343" s="444">
        <f>Ruimtestaat[[#This Row],[uren / jaar werkdagen]]*Tariefsopbouw!$E$35</f>
        <v>0</v>
      </c>
      <c r="AF343" s="434"/>
      <c r="AG343" s="434">
        <f>IF(Ruimtestaat[[#This Row],[Frequentie weekend]]&gt;0,VALUE(LEFT(AF343,1))*S343,0)</f>
        <v>0</v>
      </c>
      <c r="AH343" s="445">
        <f>IF($AG343&gt;0,VLOOKUP($J343,Ruimtegroepen[],3,FALSE)*VLOOKUP($L343,Vloersoorten[],3,FALSE)*VLOOKUP($AF343,Frequenties[],3,FALSE)*VLOOKUP(Ruimtestaat[[#This Row],[Code]],Locaties[],3,FALSE),0)</f>
        <v>0</v>
      </c>
      <c r="AI343" s="445">
        <f>Ruimtestaat[[#This Row],[Uitvoeringen weekend]]*Ruimtestaat[[#This Row],[Oppervlak (netto)]]</f>
        <v>0</v>
      </c>
      <c r="AJ343" s="445">
        <f>IF(AH343&gt;0,Ruimtestaat[[#This Row],[Prest. (m2 /jaar) weekend]]/Ruimtestaat[[#This Row],[Norm (m2/uur) weekend]],0)</f>
        <v>0</v>
      </c>
      <c r="AK343" s="444">
        <f>Ruimtestaat[[#This Row],[uren / jaar weekend]]*Tariefsopbouw!$D$40</f>
        <v>0</v>
      </c>
      <c r="AL343" s="441">
        <f>Ruimtestaat[[#This Row],[Prest. (m2 /jaar) weekend]]+Ruimtestaat[[#This Row],[Prest. (m2 /jaar) werkdagen]]</f>
        <v>10600</v>
      </c>
      <c r="AM343" s="441">
        <f>Ruimtestaat[[#This Row],[uren / jaar weekend]]+Ruimtestaat[[#This Row],[uren / jaar werkdagen]]</f>
        <v>0</v>
      </c>
      <c r="AN343" s="446">
        <f>Ruimtestaat[[#This Row],[kosten / jaar weekend]]+Ruimtestaat[[#This Row],[kosten / jaar werkdagen]]</f>
        <v>0</v>
      </c>
      <c r="AO343" s="446"/>
      <c r="AP343" s="447" t="str">
        <f>IF(Ruimtestaat[[#This Row],[Frequentie werkdagen]]="","",_xlfn.CONCAT(Ruimtestaat[[#This Row],[Ruimte code]],"-",Ruimtestaat[[#This Row],[Frequentie werkdagen]]," ",Ruimtestaat[[#This Row],[Vloer code]]))</f>
        <v>16-5w L</v>
      </c>
      <c r="AQ343" s="448" t="str">
        <f>_xlfn.IFNA(VLOOKUP($AP343,Programma!$F$3:$G$1101,2,0),"")</f>
        <v>_</v>
      </c>
      <c r="AR343" s="448" t="str">
        <f>_xlfn.IFNA(VLOOKUP($AP343,Programma!$F$3:$H$1101,3,0),"")</f>
        <v>_</v>
      </c>
      <c r="AS343" s="448" t="str">
        <f>_xlfn.IFNA(VLOOKUP($AP343,Programma!$F$3:$I$1101,4,0),"")</f>
        <v>4w</v>
      </c>
      <c r="AT343" s="448" t="str">
        <f>_xlfn.IFNA(VLOOKUP($AP343,Programma!$F$3:$J$1101,5,0),"")</f>
        <v>1w</v>
      </c>
      <c r="AU343" s="448" t="str">
        <f>_xlfn.IFNA(VLOOKUP($AP343,Programma!$F$3:$K$1101,6,0),"")</f>
        <v>_</v>
      </c>
      <c r="AV343" s="448" t="str">
        <f>_xlfn.IFNA(VLOOKUP($AP343,Programma!$F$3:$L$1101,7,0),"")</f>
        <v>_</v>
      </c>
      <c r="AW343" s="448" t="str">
        <f>_xlfn.IFNA(VLOOKUP($AP343,Programma!$F$3:$M$1101,8,0),"")</f>
        <v>_</v>
      </c>
      <c r="AX343" s="448" t="str">
        <f>_xlfn.IFNA(VLOOKUP($AP343,Programma!$F$3:$N$1101,9,0),"")</f>
        <v>_</v>
      </c>
      <c r="AY343" s="448" t="str">
        <f>_xlfn.IFNA(VLOOKUP($AP343,Programma!$F$3:$O$1101,10,0),"")</f>
        <v>5w</v>
      </c>
      <c r="AZ343" s="448" t="str">
        <f>_xlfn.IFNA(VLOOKUP($AP343,Programma!$F$3:$P$1101,11,0),"")</f>
        <v>5w</v>
      </c>
      <c r="BA343" s="448" t="str">
        <f>_xlfn.IFNA(VLOOKUP($AP343,Programma!$F$3:$Q$1101,12,0),"")</f>
        <v>1w</v>
      </c>
      <c r="BB343" s="448" t="str">
        <f>_xlfn.IFNA(VLOOKUP($AP343,Programma!$F$3:$R$1101,13,0),"")</f>
        <v>1w</v>
      </c>
      <c r="BC343" s="448" t="str">
        <f>_xlfn.IFNA(VLOOKUP($AP343,Programma!$F$3:$S$1101,14,0),"")</f>
        <v>1m</v>
      </c>
      <c r="BD343" s="448" t="str">
        <f>_xlfn.IFNA(VLOOKUP($AP343,Programma!$F$3:$T$1101,15,0),"")</f>
        <v>2j</v>
      </c>
      <c r="BE343" s="448" t="str">
        <f>_xlfn.IFNA(VLOOKUP($AP343,Programma!$F$3:$U$1101,16,0),"")</f>
        <v>1j</v>
      </c>
      <c r="BF343" s="448" t="str">
        <f>_xlfn.IFNA(VLOOKUP($AP343,Programma!$F$3:$V$1101,17,0),"")</f>
        <v>_</v>
      </c>
      <c r="BG343" s="448" t="str">
        <f>_xlfn.IFNA(VLOOKUP($AP343,Programma!$F$3:$W$1101,18,0),"")</f>
        <v>_</v>
      </c>
      <c r="BH343" s="448" t="str">
        <f>_xlfn.IFNA(VLOOKUP($AP343,Programma!$F$3:$X$1101,19,0),"")</f>
        <v>_</v>
      </c>
      <c r="BI343" s="448" t="str">
        <f>_xlfn.IFNA(VLOOKUP($AP343,Programma!$F$3:$Y$1101,20,0),"")</f>
        <v>_</v>
      </c>
      <c r="BJ343" s="449"/>
      <c r="BK343" s="447" t="str">
        <f>IF(Ruimtestaat[[#This Row],[Frequentie weekend]]="","",_xlfn.CONCAT(Ruimtestaat[[#This Row],[Ruimte code]],"-",Ruimtestaat[[#This Row],[Frequentie weekend]]," ",Ruimtestaat[[#This Row],[Vloer code]]))</f>
        <v/>
      </c>
      <c r="BL343" s="448" t="str">
        <f>_xlfn.IFNA(VLOOKUP($BK343,Programma!$F$3:$G$1101,2,0),"")</f>
        <v/>
      </c>
      <c r="BM343" s="448" t="str">
        <f>_xlfn.IFNA(VLOOKUP($BK343,Programma!$F$3:$H$1101,3,0),"")</f>
        <v/>
      </c>
      <c r="BN343" s="448" t="str">
        <f>_xlfn.IFNA(VLOOKUP($BK343,Programma!$F$3:$I$1101,4,0),"")</f>
        <v/>
      </c>
      <c r="BO343" s="448" t="str">
        <f>_xlfn.IFNA(VLOOKUP($BK343,Programma!$F$3:$J$1101,5,0),"")</f>
        <v/>
      </c>
      <c r="BP343" s="448" t="str">
        <f>_xlfn.IFNA(VLOOKUP($BK343,Programma!$F$3:$K$1101,6,0),"")</f>
        <v/>
      </c>
      <c r="BQ343" s="448" t="str">
        <f>_xlfn.IFNA(VLOOKUP($BK343,Programma!$F$3:$L$1101,7,0),"")</f>
        <v/>
      </c>
      <c r="BR343" s="448" t="str">
        <f>_xlfn.IFNA(VLOOKUP($BK343,Programma!$F$3:$M$1101,8,0),"")</f>
        <v/>
      </c>
      <c r="BS343" s="448" t="str">
        <f>_xlfn.IFNA(VLOOKUP($BK343,Programma!$F$3:$N$1101,9,0),"")</f>
        <v/>
      </c>
      <c r="BT343" s="448" t="str">
        <f>_xlfn.IFNA(VLOOKUP($BK343,Programma!$F$3:$O$1101,10,0),"")</f>
        <v/>
      </c>
      <c r="BU343" s="448" t="str">
        <f>_xlfn.IFNA(VLOOKUP($BK343,Programma!$F$3:$P$1101,11,0),"")</f>
        <v/>
      </c>
      <c r="BV343" s="448" t="str">
        <f>_xlfn.IFNA(VLOOKUP($BK343,Programma!$F$3:$Q$1101,12,0),"")</f>
        <v/>
      </c>
      <c r="BW343" s="448" t="str">
        <f>_xlfn.IFNA(VLOOKUP($BK343,Programma!$F$3:$R$1101,13,0),"")</f>
        <v/>
      </c>
      <c r="BX343" s="448" t="str">
        <f>_xlfn.IFNA(VLOOKUP($BK343,Programma!$F$3:$S$1101,14,0),"")</f>
        <v/>
      </c>
      <c r="BY343" s="448" t="str">
        <f>_xlfn.IFNA(VLOOKUP($BK343,Programma!$F$3:$T$1101,15,0),"")</f>
        <v/>
      </c>
      <c r="BZ343" s="448" t="str">
        <f>_xlfn.IFNA(VLOOKUP($BK343,Programma!$F$3:$U$1101,16,0),"")</f>
        <v/>
      </c>
      <c r="CA343" s="448" t="str">
        <f>_xlfn.IFNA(VLOOKUP($BK343,Programma!$F$3:$V$1101,17,0),"")</f>
        <v/>
      </c>
      <c r="CB343" s="448" t="str">
        <f>_xlfn.IFNA(VLOOKUP($BK343,Programma!$F$3:$W$1101,18,0),"")</f>
        <v/>
      </c>
      <c r="CC343" s="448" t="str">
        <f>_xlfn.IFNA(VLOOKUP($BK343,Programma!$F$3:$X$1101,19,0),"")</f>
        <v/>
      </c>
      <c r="CD343" s="448" t="str">
        <f>_xlfn.IFNA(VLOOKUP($BK343,Programma!$F$3:$Y$1101,20,0),"")</f>
        <v/>
      </c>
      <c r="CE343" s="327"/>
      <c r="CF343" s="327"/>
      <c r="CG343" s="327"/>
      <c r="CH343" s="327"/>
      <c r="CI343" s="327"/>
      <c r="CJ343" s="327"/>
      <c r="CK343" s="327"/>
      <c r="CL343" s="327"/>
      <c r="CM343" s="327"/>
      <c r="CN343" s="327"/>
      <c r="CO343" s="327"/>
      <c r="CP343" s="327"/>
      <c r="CQ343" s="327"/>
      <c r="CR343" s="327"/>
      <c r="CS343" s="327"/>
      <c r="CT343" s="327"/>
      <c r="CU343" s="327"/>
      <c r="CV343" s="327"/>
      <c r="CW343" s="327"/>
      <c r="CX343" s="327"/>
      <c r="CY343" s="327"/>
      <c r="CZ343" s="327"/>
      <c r="DA343" s="327"/>
      <c r="DB343" s="327"/>
      <c r="DC343" s="327"/>
      <c r="DD343" s="327"/>
      <c r="DE343" s="327"/>
      <c r="DF343" s="327"/>
      <c r="DG343" s="327"/>
      <c r="DH343" s="327"/>
      <c r="DI343" s="327"/>
      <c r="DJ343" s="327"/>
      <c r="DK343" s="327"/>
      <c r="DL343" s="327"/>
      <c r="DM343" s="327"/>
      <c r="DN343" s="327"/>
      <c r="DO343" s="327"/>
      <c r="DP343" s="327"/>
      <c r="DQ343" s="327"/>
      <c r="DR343" s="327"/>
      <c r="DS343" s="327"/>
      <c r="DT343" s="327"/>
      <c r="DU343" s="327"/>
      <c r="DV343" s="327"/>
      <c r="DW343" s="327"/>
      <c r="DX343" s="327"/>
      <c r="DY343" s="327"/>
      <c r="DZ343" s="327"/>
      <c r="EA343" s="327"/>
      <c r="EB343" s="327"/>
      <c r="EC343" s="327"/>
      <c r="ED343" s="327"/>
      <c r="EE343" s="327"/>
      <c r="EF343" s="327"/>
      <c r="EG343" s="327"/>
      <c r="EH343" s="327"/>
      <c r="EI343" s="327"/>
      <c r="EJ343" s="327"/>
      <c r="EK343" s="327"/>
      <c r="EL343" s="327"/>
      <c r="EM343" s="327"/>
      <c r="EN343" s="327"/>
      <c r="EO343" s="327"/>
      <c r="EP343" s="327"/>
      <c r="EQ343" s="327"/>
      <c r="ER343" s="327"/>
      <c r="ES343" s="327"/>
      <c r="ET343" s="327"/>
      <c r="EU343" s="327"/>
      <c r="EV343" s="327"/>
      <c r="EW343" s="327"/>
      <c r="EX343" s="327"/>
      <c r="EY343" s="327"/>
      <c r="EZ343" s="327"/>
      <c r="FA343" s="327"/>
      <c r="FB343" s="327"/>
      <c r="FC343" s="327"/>
      <c r="FD343" s="327"/>
      <c r="FE343" s="327"/>
      <c r="FF343" s="327"/>
      <c r="FG343" s="327"/>
      <c r="FH343" s="327"/>
      <c r="FI343" s="327"/>
      <c r="FJ343" s="327"/>
      <c r="FK343" s="327"/>
      <c r="FL343" s="327"/>
      <c r="FM343" s="327"/>
      <c r="FN343" s="327"/>
      <c r="FO343" s="327"/>
      <c r="FP343" s="327"/>
      <c r="FQ343" s="327"/>
      <c r="FR343" s="327"/>
      <c r="FS343" s="327"/>
      <c r="FT343" s="327"/>
      <c r="FU343" s="327"/>
      <c r="FV343" s="327"/>
      <c r="FW343" s="327"/>
      <c r="FX343" s="327"/>
      <c r="FY343" s="327"/>
      <c r="FZ343" s="327"/>
      <c r="GA343" s="327"/>
      <c r="GB343" s="327"/>
      <c r="GC343" s="327"/>
      <c r="GD343" s="327"/>
      <c r="GE343" s="327"/>
      <c r="GF343" s="327"/>
      <c r="GG343" s="327"/>
      <c r="GH343" s="327"/>
      <c r="GI343" s="327"/>
      <c r="GJ343" s="327"/>
      <c r="GK343" s="327"/>
      <c r="GL343" s="327"/>
      <c r="GM343" s="327"/>
      <c r="GN343" s="327"/>
      <c r="GO343" s="327"/>
      <c r="GP343" s="327"/>
      <c r="GQ343" s="327"/>
      <c r="GR343" s="327"/>
      <c r="GS343" s="327"/>
      <c r="GT343" s="327"/>
      <c r="GU343" s="327"/>
      <c r="GV343" s="327"/>
      <c r="GW343" s="327"/>
      <c r="GX343" s="327"/>
      <c r="GY343" s="327"/>
      <c r="GZ343" s="327"/>
      <c r="HA343" s="327"/>
      <c r="HB343" s="327"/>
      <c r="HC343" s="327"/>
      <c r="HD343" s="327"/>
      <c r="HE343" s="327"/>
      <c r="HF343" s="327"/>
      <c r="HG343" s="327"/>
      <c r="HH343" s="327"/>
      <c r="HI343" s="327"/>
      <c r="HJ343" s="327"/>
      <c r="HK343" s="327"/>
      <c r="HL343" s="327"/>
      <c r="HM343" s="327"/>
      <c r="HN343" s="327"/>
      <c r="HO343" s="327"/>
      <c r="HP343" s="327"/>
      <c r="HQ343" s="327"/>
      <c r="HR343" s="327"/>
      <c r="HS343" s="327"/>
    </row>
    <row r="344" spans="1:227" ht="15" customHeight="1">
      <c r="A344" s="330">
        <v>14</v>
      </c>
      <c r="B344" s="435" t="str">
        <f>VLOOKUP(Ruimtestaat[[#This Row],[Code]],Locaties[[Code]:[Locatie]],2,FALSE)</f>
        <v>IKC De Vuurtoren</v>
      </c>
      <c r="C344" s="435" t="str">
        <f>VLOOKUP(Ruimtestaat[[#This Row],[Code]],Locaties[[#All],[Code]:[Adres]],4,FALSE)</f>
        <v>Spitsbergen 15</v>
      </c>
      <c r="D344" s="435" t="str">
        <f>VLOOKUP(Ruimtestaat[[#This Row],[Code]],Locaties[[#All],[Code]:[Postcode]],5,FALSE)</f>
        <v>2721 GP</v>
      </c>
      <c r="E344" s="435" t="str">
        <f>VLOOKUP(Ruimtestaat[[#This Row],[Code]],Locaties[#All],6,FALSE)</f>
        <v>Zoetermeer</v>
      </c>
      <c r="F344" s="450"/>
      <c r="G344" s="330" t="s">
        <v>1769</v>
      </c>
      <c r="H344" s="330" t="s">
        <v>1748</v>
      </c>
      <c r="I344" s="450" t="s">
        <v>1690</v>
      </c>
      <c r="J344" s="330">
        <v>16</v>
      </c>
      <c r="K344" s="450" t="str">
        <f>VLOOKUP(Ruimtestaat[[#This Row],[Ruimte code]],Ruimtegroepen[[#All],[Code]:[Ruimte omschrijving]],2,FALSE)</f>
        <v>Leslokalen</v>
      </c>
      <c r="L344" s="434" t="s">
        <v>100</v>
      </c>
      <c r="M344" s="437" t="s">
        <v>1759</v>
      </c>
      <c r="N344" s="439">
        <v>54</v>
      </c>
      <c r="O344" s="439"/>
      <c r="P344" s="439"/>
      <c r="Q344" s="439"/>
      <c r="R344" s="440" t="str">
        <f>VLOOKUP(Ruimtestaat[[#This Row],[Ruimte code]],Ruimtegroepen[],4,FALSE)</f>
        <v>Le</v>
      </c>
      <c r="S344" s="434">
        <v>40</v>
      </c>
      <c r="T344" s="434" t="s">
        <v>2</v>
      </c>
      <c r="U344" s="434">
        <f>IF(S344&gt;0,IF(RIGHT(Ruimtestaat[[#This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4" s="434">
        <f>IF(U344&gt;0,VLOOKUP($J344,Ruimtegroepen[],3,FALSE)*VLOOKUP($L344,Vloersoorten[],3,FALSE)*VLOOKUP($T344,Frequenties[],3,FALSE)*VLOOKUP($A344,Locaties[],3,FALSE),0)</f>
        <v>0</v>
      </c>
      <c r="W344" s="434">
        <f>Ruimtestaat[[#This Row],[Uitvoeringen werkdagen]]*Ruimtestaat[[#This Row],[Oppervlak (netto)]]</f>
        <v>10800</v>
      </c>
      <c r="X344" s="441">
        <f>IF(V344&gt;0,Ruimtestaat[[#This Row],[Prest. (m2 /jaar) werkdagen]]/Ruimtestaat[[#This Row],[Norm (m2/uur) werkdagen]],0)</f>
        <v>0</v>
      </c>
      <c r="Y344" s="442">
        <f>Ruimtestaat[[#This Row],[Uitvoeringen werkdagen]]*Ruimtestaat[[#This Row],[Gedeeltelijk]]</f>
        <v>0</v>
      </c>
      <c r="Z344" s="443" t="e">
        <f>IF(U344&gt;0,Ruimtestaat[[#This Row],[Prest. (m2 / jaar) werkdagen gedeeld]]/Ruimtestaat[[#This Row],[Norm (m2/uur) werkdagen]],0)</f>
        <v>#DIV/0!</v>
      </c>
      <c r="AA344" s="441" t="e">
        <f>Ruimtestaat[[#This Row],[uren / jaar werkdagen gedeeld]]*Tariefsopbouw!$E$35</f>
        <v>#DIV/0!</v>
      </c>
      <c r="AB344" s="441">
        <f>Ruimtestaat[[#This Row],[Uitvoeringen werkdagen]]*Ruimtestaat[[#This Row],[BSO]]</f>
        <v>0</v>
      </c>
      <c r="AC344" s="443" t="e">
        <f>IF(U344&gt;0,Ruimtestaat[[#This Row],[Prest. (m2 / jaar) werkdagen BSO]]/Ruimtestaat[[#This Row],[Norm (m2/uur) werkdagen]],0)</f>
        <v>#DIV/0!</v>
      </c>
      <c r="AD344" s="443" t="e">
        <f>Ruimtestaat[[#This Row],[uren / jaar werkdagen BSO]]*Tariefsopbouw!$E$35</f>
        <v>#DIV/0!</v>
      </c>
      <c r="AE344" s="444">
        <f>Ruimtestaat[[#This Row],[uren / jaar werkdagen]]*Tariefsopbouw!$E$35</f>
        <v>0</v>
      </c>
      <c r="AF344" s="434"/>
      <c r="AG344" s="434">
        <f>IF(Ruimtestaat[[#This Row],[Frequentie weekend]]&gt;0,VALUE(LEFT(AF344,1))*S344,0)</f>
        <v>0</v>
      </c>
      <c r="AH344" s="445">
        <f>IF($AG344&gt;0,VLOOKUP($J344,Ruimtegroepen[],3,FALSE)*VLOOKUP($L344,Vloersoorten[],3,FALSE)*VLOOKUP($AF344,Frequenties[],3,FALSE)*VLOOKUP(Ruimtestaat[[#This Row],[Code]],Locaties[],3,FALSE),0)</f>
        <v>0</v>
      </c>
      <c r="AI344" s="445">
        <f>Ruimtestaat[[#This Row],[Uitvoeringen weekend]]*Ruimtestaat[[#This Row],[Oppervlak (netto)]]</f>
        <v>0</v>
      </c>
      <c r="AJ344" s="445">
        <f>IF(AH344&gt;0,Ruimtestaat[[#This Row],[Prest. (m2 /jaar) weekend]]/Ruimtestaat[[#This Row],[Norm (m2/uur) weekend]],0)</f>
        <v>0</v>
      </c>
      <c r="AK344" s="444">
        <f>Ruimtestaat[[#This Row],[uren / jaar weekend]]*Tariefsopbouw!$D$40</f>
        <v>0</v>
      </c>
      <c r="AL344" s="441">
        <f>Ruimtestaat[[#This Row],[Prest. (m2 /jaar) weekend]]+Ruimtestaat[[#This Row],[Prest. (m2 /jaar) werkdagen]]</f>
        <v>10800</v>
      </c>
      <c r="AM344" s="441">
        <f>Ruimtestaat[[#This Row],[uren / jaar weekend]]+Ruimtestaat[[#This Row],[uren / jaar werkdagen]]</f>
        <v>0</v>
      </c>
      <c r="AN344" s="446">
        <f>Ruimtestaat[[#This Row],[kosten / jaar weekend]]+Ruimtestaat[[#This Row],[kosten / jaar werkdagen]]</f>
        <v>0</v>
      </c>
      <c r="AO344" s="446"/>
      <c r="AP344" s="447" t="str">
        <f>IF(Ruimtestaat[[#This Row],[Frequentie werkdagen]]="","",_xlfn.CONCAT(Ruimtestaat[[#This Row],[Ruimte code]],"-",Ruimtestaat[[#This Row],[Frequentie werkdagen]]," ",Ruimtestaat[[#This Row],[Vloer code]]))</f>
        <v>16-5w L</v>
      </c>
      <c r="AQ344" s="448" t="str">
        <f>_xlfn.IFNA(VLOOKUP($AP344,Programma!$F$3:$G$1101,2,0),"")</f>
        <v>_</v>
      </c>
      <c r="AR344" s="448" t="str">
        <f>_xlfn.IFNA(VLOOKUP($AP344,Programma!$F$3:$H$1101,3,0),"")</f>
        <v>_</v>
      </c>
      <c r="AS344" s="448" t="str">
        <f>_xlfn.IFNA(VLOOKUP($AP344,Programma!$F$3:$I$1101,4,0),"")</f>
        <v>4w</v>
      </c>
      <c r="AT344" s="448" t="str">
        <f>_xlfn.IFNA(VLOOKUP($AP344,Programma!$F$3:$J$1101,5,0),"")</f>
        <v>1w</v>
      </c>
      <c r="AU344" s="448" t="str">
        <f>_xlfn.IFNA(VLOOKUP($AP344,Programma!$F$3:$K$1101,6,0),"")</f>
        <v>_</v>
      </c>
      <c r="AV344" s="448" t="str">
        <f>_xlfn.IFNA(VLOOKUP($AP344,Programma!$F$3:$L$1101,7,0),"")</f>
        <v>_</v>
      </c>
      <c r="AW344" s="448" t="str">
        <f>_xlfn.IFNA(VLOOKUP($AP344,Programma!$F$3:$M$1101,8,0),"")</f>
        <v>_</v>
      </c>
      <c r="AX344" s="448" t="str">
        <f>_xlfn.IFNA(VLOOKUP($AP344,Programma!$F$3:$N$1101,9,0),"")</f>
        <v>_</v>
      </c>
      <c r="AY344" s="448" t="str">
        <f>_xlfn.IFNA(VLOOKUP($AP344,Programma!$F$3:$O$1101,10,0),"")</f>
        <v>5w</v>
      </c>
      <c r="AZ344" s="448" t="str">
        <f>_xlfn.IFNA(VLOOKUP($AP344,Programma!$F$3:$P$1101,11,0),"")</f>
        <v>5w</v>
      </c>
      <c r="BA344" s="448" t="str">
        <f>_xlfn.IFNA(VLOOKUP($AP344,Programma!$F$3:$Q$1101,12,0),"")</f>
        <v>1w</v>
      </c>
      <c r="BB344" s="448" t="str">
        <f>_xlfn.IFNA(VLOOKUP($AP344,Programma!$F$3:$R$1101,13,0),"")</f>
        <v>1w</v>
      </c>
      <c r="BC344" s="448" t="str">
        <f>_xlfn.IFNA(VLOOKUP($AP344,Programma!$F$3:$S$1101,14,0),"")</f>
        <v>1m</v>
      </c>
      <c r="BD344" s="448" t="str">
        <f>_xlfn.IFNA(VLOOKUP($AP344,Programma!$F$3:$T$1101,15,0),"")</f>
        <v>2j</v>
      </c>
      <c r="BE344" s="448" t="str">
        <f>_xlfn.IFNA(VLOOKUP($AP344,Programma!$F$3:$U$1101,16,0),"")</f>
        <v>1j</v>
      </c>
      <c r="BF344" s="448" t="str">
        <f>_xlfn.IFNA(VLOOKUP($AP344,Programma!$F$3:$V$1101,17,0),"")</f>
        <v>_</v>
      </c>
      <c r="BG344" s="448" t="str">
        <f>_xlfn.IFNA(VLOOKUP($AP344,Programma!$F$3:$W$1101,18,0),"")</f>
        <v>_</v>
      </c>
      <c r="BH344" s="448" t="str">
        <f>_xlfn.IFNA(VLOOKUP($AP344,Programma!$F$3:$X$1101,19,0),"")</f>
        <v>_</v>
      </c>
      <c r="BI344" s="448" t="str">
        <f>_xlfn.IFNA(VLOOKUP($AP344,Programma!$F$3:$Y$1101,20,0),"")</f>
        <v>_</v>
      </c>
      <c r="BJ344" s="449"/>
      <c r="BK344" s="447" t="str">
        <f>IF(Ruimtestaat[[#This Row],[Frequentie weekend]]="","",_xlfn.CONCAT(Ruimtestaat[[#This Row],[Ruimte code]],"-",Ruimtestaat[[#This Row],[Frequentie weekend]]," ",Ruimtestaat[[#This Row],[Vloer code]]))</f>
        <v/>
      </c>
      <c r="BL344" s="448" t="str">
        <f>_xlfn.IFNA(VLOOKUP($BK344,Programma!$F$3:$G$1101,2,0),"")</f>
        <v/>
      </c>
      <c r="BM344" s="448" t="str">
        <f>_xlfn.IFNA(VLOOKUP($BK344,Programma!$F$3:$H$1101,3,0),"")</f>
        <v/>
      </c>
      <c r="BN344" s="448" t="str">
        <f>_xlfn.IFNA(VLOOKUP($BK344,Programma!$F$3:$I$1101,4,0),"")</f>
        <v/>
      </c>
      <c r="BO344" s="448" t="str">
        <f>_xlfn.IFNA(VLOOKUP($BK344,Programma!$F$3:$J$1101,5,0),"")</f>
        <v/>
      </c>
      <c r="BP344" s="448" t="str">
        <f>_xlfn.IFNA(VLOOKUP($BK344,Programma!$F$3:$K$1101,6,0),"")</f>
        <v/>
      </c>
      <c r="BQ344" s="448" t="str">
        <f>_xlfn.IFNA(VLOOKUP($BK344,Programma!$F$3:$L$1101,7,0),"")</f>
        <v/>
      </c>
      <c r="BR344" s="448" t="str">
        <f>_xlfn.IFNA(VLOOKUP($BK344,Programma!$F$3:$M$1101,8,0),"")</f>
        <v/>
      </c>
      <c r="BS344" s="448" t="str">
        <f>_xlfn.IFNA(VLOOKUP($BK344,Programma!$F$3:$N$1101,9,0),"")</f>
        <v/>
      </c>
      <c r="BT344" s="448" t="str">
        <f>_xlfn.IFNA(VLOOKUP($BK344,Programma!$F$3:$O$1101,10,0),"")</f>
        <v/>
      </c>
      <c r="BU344" s="448" t="str">
        <f>_xlfn.IFNA(VLOOKUP($BK344,Programma!$F$3:$P$1101,11,0),"")</f>
        <v/>
      </c>
      <c r="BV344" s="448" t="str">
        <f>_xlfn.IFNA(VLOOKUP($BK344,Programma!$F$3:$Q$1101,12,0),"")</f>
        <v/>
      </c>
      <c r="BW344" s="448" t="str">
        <f>_xlfn.IFNA(VLOOKUP($BK344,Programma!$F$3:$R$1101,13,0),"")</f>
        <v/>
      </c>
      <c r="BX344" s="448" t="str">
        <f>_xlfn.IFNA(VLOOKUP($BK344,Programma!$F$3:$S$1101,14,0),"")</f>
        <v/>
      </c>
      <c r="BY344" s="448" t="str">
        <f>_xlfn.IFNA(VLOOKUP($BK344,Programma!$F$3:$T$1101,15,0),"")</f>
        <v/>
      </c>
      <c r="BZ344" s="448" t="str">
        <f>_xlfn.IFNA(VLOOKUP($BK344,Programma!$F$3:$U$1101,16,0),"")</f>
        <v/>
      </c>
      <c r="CA344" s="448" t="str">
        <f>_xlfn.IFNA(VLOOKUP($BK344,Programma!$F$3:$V$1101,17,0),"")</f>
        <v/>
      </c>
      <c r="CB344" s="448" t="str">
        <f>_xlfn.IFNA(VLOOKUP($BK344,Programma!$F$3:$W$1101,18,0),"")</f>
        <v/>
      </c>
      <c r="CC344" s="448" t="str">
        <f>_xlfn.IFNA(VLOOKUP($BK344,Programma!$F$3:$X$1101,19,0),"")</f>
        <v/>
      </c>
      <c r="CD344" s="448" t="str">
        <f>_xlfn.IFNA(VLOOKUP($BK344,Programma!$F$3:$Y$1101,20,0),"")</f>
        <v/>
      </c>
      <c r="CE344" s="327"/>
      <c r="CF344" s="327"/>
      <c r="CG344" s="327"/>
      <c r="CH344" s="327"/>
      <c r="CI344" s="327"/>
      <c r="CJ344" s="327"/>
      <c r="CK344" s="327"/>
      <c r="CL344" s="327"/>
      <c r="CM344" s="327"/>
      <c r="CN344" s="327"/>
      <c r="CO344" s="327"/>
      <c r="CP344" s="327"/>
      <c r="CQ344" s="327"/>
      <c r="CR344" s="327"/>
      <c r="CS344" s="327"/>
      <c r="CT344" s="327"/>
      <c r="CU344" s="327"/>
      <c r="CV344" s="327"/>
      <c r="CW344" s="327"/>
      <c r="CX344" s="327"/>
      <c r="CY344" s="327"/>
      <c r="CZ344" s="327"/>
      <c r="DA344" s="327"/>
      <c r="DB344" s="327"/>
      <c r="DC344" s="327"/>
      <c r="DD344" s="327"/>
      <c r="DE344" s="327"/>
      <c r="DF344" s="327"/>
      <c r="DG344" s="327"/>
      <c r="DH344" s="327"/>
      <c r="DI344" s="327"/>
      <c r="DJ344" s="327"/>
      <c r="DK344" s="327"/>
      <c r="DL344" s="327"/>
      <c r="DM344" s="327"/>
      <c r="DN344" s="327"/>
      <c r="DO344" s="327"/>
      <c r="DP344" s="327"/>
      <c r="DQ344" s="327"/>
      <c r="DR344" s="327"/>
      <c r="DS344" s="327"/>
      <c r="DT344" s="327"/>
      <c r="DU344" s="327"/>
      <c r="DV344" s="327"/>
      <c r="DW344" s="327"/>
      <c r="DX344" s="327"/>
      <c r="DY344" s="327"/>
      <c r="DZ344" s="327"/>
      <c r="EA344" s="327"/>
      <c r="EB344" s="327"/>
      <c r="EC344" s="327"/>
      <c r="ED344" s="327"/>
      <c r="EE344" s="327"/>
      <c r="EF344" s="327"/>
      <c r="EG344" s="327"/>
      <c r="EH344" s="327"/>
      <c r="EI344" s="327"/>
      <c r="EJ344" s="327"/>
      <c r="EK344" s="327"/>
      <c r="EL344" s="327"/>
      <c r="EM344" s="327"/>
      <c r="EN344" s="327"/>
      <c r="EO344" s="327"/>
      <c r="EP344" s="327"/>
      <c r="EQ344" s="327"/>
      <c r="ER344" s="327"/>
      <c r="ES344" s="327"/>
      <c r="ET344" s="327"/>
      <c r="EU344" s="327"/>
      <c r="EV344" s="327"/>
      <c r="EW344" s="327"/>
      <c r="EX344" s="327"/>
      <c r="EY344" s="327"/>
      <c r="EZ344" s="327"/>
      <c r="FA344" s="327"/>
      <c r="FB344" s="327"/>
      <c r="FC344" s="327"/>
      <c r="FD344" s="327"/>
      <c r="FE344" s="327"/>
      <c r="FF344" s="327"/>
      <c r="FG344" s="327"/>
      <c r="FH344" s="327"/>
      <c r="FI344" s="327"/>
      <c r="FJ344" s="327"/>
      <c r="FK344" s="327"/>
      <c r="FL344" s="327"/>
      <c r="FM344" s="327"/>
      <c r="FN344" s="327"/>
      <c r="FO344" s="327"/>
      <c r="FP344" s="327"/>
      <c r="FQ344" s="327"/>
      <c r="FR344" s="327"/>
      <c r="FS344" s="327"/>
      <c r="FT344" s="327"/>
      <c r="FU344" s="327"/>
      <c r="FV344" s="327"/>
      <c r="FW344" s="327"/>
      <c r="FX344" s="327"/>
      <c r="FY344" s="327"/>
      <c r="FZ344" s="327"/>
      <c r="GA344" s="327"/>
      <c r="GB344" s="327"/>
      <c r="GC344" s="327"/>
      <c r="GD344" s="327"/>
      <c r="GE344" s="327"/>
      <c r="GF344" s="327"/>
      <c r="GG344" s="327"/>
      <c r="GH344" s="327"/>
      <c r="GI344" s="327"/>
      <c r="GJ344" s="327"/>
      <c r="GK344" s="327"/>
      <c r="GL344" s="327"/>
      <c r="GM344" s="327"/>
      <c r="GN344" s="327"/>
      <c r="GO344" s="327"/>
      <c r="GP344" s="327"/>
      <c r="GQ344" s="327"/>
      <c r="GR344" s="327"/>
      <c r="GS344" s="327"/>
      <c r="GT344" s="327"/>
      <c r="GU344" s="327"/>
      <c r="GV344" s="327"/>
      <c r="GW344" s="327"/>
      <c r="GX344" s="327"/>
      <c r="GY344" s="327"/>
      <c r="GZ344" s="327"/>
      <c r="HA344" s="327"/>
      <c r="HB344" s="327"/>
      <c r="HC344" s="327"/>
      <c r="HD344" s="327"/>
      <c r="HE344" s="327"/>
      <c r="HF344" s="327"/>
      <c r="HG344" s="327"/>
      <c r="HH344" s="327"/>
      <c r="HI344" s="327"/>
      <c r="HJ344" s="327"/>
      <c r="HK344" s="327"/>
      <c r="HL344" s="327"/>
      <c r="HM344" s="327"/>
      <c r="HN344" s="327"/>
      <c r="HO344" s="327"/>
      <c r="HP344" s="327"/>
      <c r="HQ344" s="327"/>
      <c r="HR344" s="327"/>
      <c r="HS344" s="327"/>
    </row>
    <row r="345" spans="1:227" ht="15" customHeight="1">
      <c r="A345" s="330">
        <v>14</v>
      </c>
      <c r="B345" s="435" t="str">
        <f>VLOOKUP(Ruimtestaat[[#This Row],[Code]],Locaties[[Code]:[Locatie]],2,FALSE)</f>
        <v>IKC De Vuurtoren</v>
      </c>
      <c r="C345" s="435" t="str">
        <f>VLOOKUP(Ruimtestaat[[#This Row],[Code]],Locaties[[#All],[Code]:[Adres]],4,FALSE)</f>
        <v>Spitsbergen 15</v>
      </c>
      <c r="D345" s="435" t="str">
        <f>VLOOKUP(Ruimtestaat[[#This Row],[Code]],Locaties[[#All],[Code]:[Postcode]],5,FALSE)</f>
        <v>2721 GP</v>
      </c>
      <c r="E345" s="435" t="str">
        <f>VLOOKUP(Ruimtestaat[[#This Row],[Code]],Locaties[#All],6,FALSE)</f>
        <v>Zoetermeer</v>
      </c>
      <c r="F345" s="450"/>
      <c r="G345" s="330" t="s">
        <v>1769</v>
      </c>
      <c r="H345" s="330" t="s">
        <v>1750</v>
      </c>
      <c r="I345" s="450" t="s">
        <v>1690</v>
      </c>
      <c r="J345" s="330">
        <v>16</v>
      </c>
      <c r="K345" s="450" t="str">
        <f>VLOOKUP(Ruimtestaat[[#This Row],[Ruimte code]],Ruimtegroepen[[#All],[Code]:[Ruimte omschrijving]],2,FALSE)</f>
        <v>Leslokalen</v>
      </c>
      <c r="L345" s="434" t="s">
        <v>100</v>
      </c>
      <c r="M345" s="437" t="s">
        <v>1759</v>
      </c>
      <c r="N345" s="439">
        <v>54</v>
      </c>
      <c r="O345" s="439"/>
      <c r="P345" s="439"/>
      <c r="Q345" s="439"/>
      <c r="R345" s="440" t="str">
        <f>VLOOKUP(Ruimtestaat[[#This Row],[Ruimte code]],Ruimtegroepen[],4,FALSE)</f>
        <v>Le</v>
      </c>
      <c r="S345" s="434">
        <v>40</v>
      </c>
      <c r="T345" s="434" t="s">
        <v>2</v>
      </c>
      <c r="U345" s="434">
        <f>IF(S345&gt;0,IF(RIGHT(Ruimtestaat[[#This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5" s="434">
        <f>IF(U345&gt;0,VLOOKUP($J345,Ruimtegroepen[],3,FALSE)*VLOOKUP($L345,Vloersoorten[],3,FALSE)*VLOOKUP($T345,Frequenties[],3,FALSE)*VLOOKUP($A345,Locaties[],3,FALSE),0)</f>
        <v>0</v>
      </c>
      <c r="W345" s="434">
        <f>Ruimtestaat[[#This Row],[Uitvoeringen werkdagen]]*Ruimtestaat[[#This Row],[Oppervlak (netto)]]</f>
        <v>10800</v>
      </c>
      <c r="X345" s="441">
        <f>IF(V345&gt;0,Ruimtestaat[[#This Row],[Prest. (m2 /jaar) werkdagen]]/Ruimtestaat[[#This Row],[Norm (m2/uur) werkdagen]],0)</f>
        <v>0</v>
      </c>
      <c r="Y345" s="442">
        <f>Ruimtestaat[[#This Row],[Uitvoeringen werkdagen]]*Ruimtestaat[[#This Row],[Gedeeltelijk]]</f>
        <v>0</v>
      </c>
      <c r="Z345" s="443" t="e">
        <f>IF(U345&gt;0,Ruimtestaat[[#This Row],[Prest. (m2 / jaar) werkdagen gedeeld]]/Ruimtestaat[[#This Row],[Norm (m2/uur) werkdagen]],0)</f>
        <v>#DIV/0!</v>
      </c>
      <c r="AA345" s="441" t="e">
        <f>Ruimtestaat[[#This Row],[uren / jaar werkdagen gedeeld]]*Tariefsopbouw!$E$35</f>
        <v>#DIV/0!</v>
      </c>
      <c r="AB345" s="441">
        <f>Ruimtestaat[[#This Row],[Uitvoeringen werkdagen]]*Ruimtestaat[[#This Row],[BSO]]</f>
        <v>0</v>
      </c>
      <c r="AC345" s="443" t="e">
        <f>IF(U345&gt;0,Ruimtestaat[[#This Row],[Prest. (m2 / jaar) werkdagen BSO]]/Ruimtestaat[[#This Row],[Norm (m2/uur) werkdagen]],0)</f>
        <v>#DIV/0!</v>
      </c>
      <c r="AD345" s="443" t="e">
        <f>Ruimtestaat[[#This Row],[uren / jaar werkdagen BSO]]*Tariefsopbouw!$E$35</f>
        <v>#DIV/0!</v>
      </c>
      <c r="AE345" s="444">
        <f>Ruimtestaat[[#This Row],[uren / jaar werkdagen]]*Tariefsopbouw!$E$35</f>
        <v>0</v>
      </c>
      <c r="AF345" s="434"/>
      <c r="AG345" s="434">
        <f>IF(Ruimtestaat[[#This Row],[Frequentie weekend]]&gt;0,VALUE(LEFT(AF345,1))*S345,0)</f>
        <v>0</v>
      </c>
      <c r="AH345" s="445">
        <f>IF($AG345&gt;0,VLOOKUP($J345,Ruimtegroepen[],3,FALSE)*VLOOKUP($L345,Vloersoorten[],3,FALSE)*VLOOKUP($AF345,Frequenties[],3,FALSE)*VLOOKUP(Ruimtestaat[[#This Row],[Code]],Locaties[],3,FALSE),0)</f>
        <v>0</v>
      </c>
      <c r="AI345" s="445">
        <f>Ruimtestaat[[#This Row],[Uitvoeringen weekend]]*Ruimtestaat[[#This Row],[Oppervlak (netto)]]</f>
        <v>0</v>
      </c>
      <c r="AJ345" s="445">
        <f>IF(AH345&gt;0,Ruimtestaat[[#This Row],[Prest. (m2 /jaar) weekend]]/Ruimtestaat[[#This Row],[Norm (m2/uur) weekend]],0)</f>
        <v>0</v>
      </c>
      <c r="AK345" s="444">
        <f>Ruimtestaat[[#This Row],[uren / jaar weekend]]*Tariefsopbouw!$D$40</f>
        <v>0</v>
      </c>
      <c r="AL345" s="441">
        <f>Ruimtestaat[[#This Row],[Prest. (m2 /jaar) weekend]]+Ruimtestaat[[#This Row],[Prest. (m2 /jaar) werkdagen]]</f>
        <v>10800</v>
      </c>
      <c r="AM345" s="441">
        <f>Ruimtestaat[[#This Row],[uren / jaar weekend]]+Ruimtestaat[[#This Row],[uren / jaar werkdagen]]</f>
        <v>0</v>
      </c>
      <c r="AN345" s="446">
        <f>Ruimtestaat[[#This Row],[kosten / jaar weekend]]+Ruimtestaat[[#This Row],[kosten / jaar werkdagen]]</f>
        <v>0</v>
      </c>
      <c r="AO345" s="446"/>
      <c r="AP345" s="447" t="str">
        <f>IF(Ruimtestaat[[#This Row],[Frequentie werkdagen]]="","",_xlfn.CONCAT(Ruimtestaat[[#This Row],[Ruimte code]],"-",Ruimtestaat[[#This Row],[Frequentie werkdagen]]," ",Ruimtestaat[[#This Row],[Vloer code]]))</f>
        <v>16-5w L</v>
      </c>
      <c r="AQ345" s="448" t="str">
        <f>_xlfn.IFNA(VLOOKUP($AP345,Programma!$F$3:$G$1101,2,0),"")</f>
        <v>_</v>
      </c>
      <c r="AR345" s="448" t="str">
        <f>_xlfn.IFNA(VLOOKUP($AP345,Programma!$F$3:$H$1101,3,0),"")</f>
        <v>_</v>
      </c>
      <c r="AS345" s="448" t="str">
        <f>_xlfn.IFNA(VLOOKUP($AP345,Programma!$F$3:$I$1101,4,0),"")</f>
        <v>4w</v>
      </c>
      <c r="AT345" s="448" t="str">
        <f>_xlfn.IFNA(VLOOKUP($AP345,Programma!$F$3:$J$1101,5,0),"")</f>
        <v>1w</v>
      </c>
      <c r="AU345" s="448" t="str">
        <f>_xlfn.IFNA(VLOOKUP($AP345,Programma!$F$3:$K$1101,6,0),"")</f>
        <v>_</v>
      </c>
      <c r="AV345" s="448" t="str">
        <f>_xlfn.IFNA(VLOOKUP($AP345,Programma!$F$3:$L$1101,7,0),"")</f>
        <v>_</v>
      </c>
      <c r="AW345" s="448" t="str">
        <f>_xlfn.IFNA(VLOOKUP($AP345,Programma!$F$3:$M$1101,8,0),"")</f>
        <v>_</v>
      </c>
      <c r="AX345" s="448" t="str">
        <f>_xlfn.IFNA(VLOOKUP($AP345,Programma!$F$3:$N$1101,9,0),"")</f>
        <v>_</v>
      </c>
      <c r="AY345" s="448" t="str">
        <f>_xlfn.IFNA(VLOOKUP($AP345,Programma!$F$3:$O$1101,10,0),"")</f>
        <v>5w</v>
      </c>
      <c r="AZ345" s="448" t="str">
        <f>_xlfn.IFNA(VLOOKUP($AP345,Programma!$F$3:$P$1101,11,0),"")</f>
        <v>5w</v>
      </c>
      <c r="BA345" s="448" t="str">
        <f>_xlfn.IFNA(VLOOKUP($AP345,Programma!$F$3:$Q$1101,12,0),"")</f>
        <v>1w</v>
      </c>
      <c r="BB345" s="448" t="str">
        <f>_xlfn.IFNA(VLOOKUP($AP345,Programma!$F$3:$R$1101,13,0),"")</f>
        <v>1w</v>
      </c>
      <c r="BC345" s="448" t="str">
        <f>_xlfn.IFNA(VLOOKUP($AP345,Programma!$F$3:$S$1101,14,0),"")</f>
        <v>1m</v>
      </c>
      <c r="BD345" s="448" t="str">
        <f>_xlfn.IFNA(VLOOKUP($AP345,Programma!$F$3:$T$1101,15,0),"")</f>
        <v>2j</v>
      </c>
      <c r="BE345" s="448" t="str">
        <f>_xlfn.IFNA(VLOOKUP($AP345,Programma!$F$3:$U$1101,16,0),"")</f>
        <v>1j</v>
      </c>
      <c r="BF345" s="448" t="str">
        <f>_xlfn.IFNA(VLOOKUP($AP345,Programma!$F$3:$V$1101,17,0),"")</f>
        <v>_</v>
      </c>
      <c r="BG345" s="448" t="str">
        <f>_xlfn.IFNA(VLOOKUP($AP345,Programma!$F$3:$W$1101,18,0),"")</f>
        <v>_</v>
      </c>
      <c r="BH345" s="448" t="str">
        <f>_xlfn.IFNA(VLOOKUP($AP345,Programma!$F$3:$X$1101,19,0),"")</f>
        <v>_</v>
      </c>
      <c r="BI345" s="448" t="str">
        <f>_xlfn.IFNA(VLOOKUP($AP345,Programma!$F$3:$Y$1101,20,0),"")</f>
        <v>_</v>
      </c>
      <c r="BJ345" s="449"/>
      <c r="BK345" s="447" t="str">
        <f>IF(Ruimtestaat[[#This Row],[Frequentie weekend]]="","",_xlfn.CONCAT(Ruimtestaat[[#This Row],[Ruimte code]],"-",Ruimtestaat[[#This Row],[Frequentie weekend]]," ",Ruimtestaat[[#This Row],[Vloer code]]))</f>
        <v/>
      </c>
      <c r="BL345" s="448" t="str">
        <f>_xlfn.IFNA(VLOOKUP($BK345,Programma!$F$3:$G$1101,2,0),"")</f>
        <v/>
      </c>
      <c r="BM345" s="448" t="str">
        <f>_xlfn.IFNA(VLOOKUP($BK345,Programma!$F$3:$H$1101,3,0),"")</f>
        <v/>
      </c>
      <c r="BN345" s="448" t="str">
        <f>_xlfn.IFNA(VLOOKUP($BK345,Programma!$F$3:$I$1101,4,0),"")</f>
        <v/>
      </c>
      <c r="BO345" s="448" t="str">
        <f>_xlfn.IFNA(VLOOKUP($BK345,Programma!$F$3:$J$1101,5,0),"")</f>
        <v/>
      </c>
      <c r="BP345" s="448" t="str">
        <f>_xlfn.IFNA(VLOOKUP($BK345,Programma!$F$3:$K$1101,6,0),"")</f>
        <v/>
      </c>
      <c r="BQ345" s="448" t="str">
        <f>_xlfn.IFNA(VLOOKUP($BK345,Programma!$F$3:$L$1101,7,0),"")</f>
        <v/>
      </c>
      <c r="BR345" s="448" t="str">
        <f>_xlfn.IFNA(VLOOKUP($BK345,Programma!$F$3:$M$1101,8,0),"")</f>
        <v/>
      </c>
      <c r="BS345" s="448" t="str">
        <f>_xlfn.IFNA(VLOOKUP($BK345,Programma!$F$3:$N$1101,9,0),"")</f>
        <v/>
      </c>
      <c r="BT345" s="448" t="str">
        <f>_xlfn.IFNA(VLOOKUP($BK345,Programma!$F$3:$O$1101,10,0),"")</f>
        <v/>
      </c>
      <c r="BU345" s="448" t="str">
        <f>_xlfn.IFNA(VLOOKUP($BK345,Programma!$F$3:$P$1101,11,0),"")</f>
        <v/>
      </c>
      <c r="BV345" s="448" t="str">
        <f>_xlfn.IFNA(VLOOKUP($BK345,Programma!$F$3:$Q$1101,12,0),"")</f>
        <v/>
      </c>
      <c r="BW345" s="448" t="str">
        <f>_xlfn.IFNA(VLOOKUP($BK345,Programma!$F$3:$R$1101,13,0),"")</f>
        <v/>
      </c>
      <c r="BX345" s="448" t="str">
        <f>_xlfn.IFNA(VLOOKUP($BK345,Programma!$F$3:$S$1101,14,0),"")</f>
        <v/>
      </c>
      <c r="BY345" s="448" t="str">
        <f>_xlfn.IFNA(VLOOKUP($BK345,Programma!$F$3:$T$1101,15,0),"")</f>
        <v/>
      </c>
      <c r="BZ345" s="448" t="str">
        <f>_xlfn.IFNA(VLOOKUP($BK345,Programma!$F$3:$U$1101,16,0),"")</f>
        <v/>
      </c>
      <c r="CA345" s="448" t="str">
        <f>_xlfn.IFNA(VLOOKUP($BK345,Programma!$F$3:$V$1101,17,0),"")</f>
        <v/>
      </c>
      <c r="CB345" s="448" t="str">
        <f>_xlfn.IFNA(VLOOKUP($BK345,Programma!$F$3:$W$1101,18,0),"")</f>
        <v/>
      </c>
      <c r="CC345" s="448" t="str">
        <f>_xlfn.IFNA(VLOOKUP($BK345,Programma!$F$3:$X$1101,19,0),"")</f>
        <v/>
      </c>
      <c r="CD345" s="448" t="str">
        <f>_xlfn.IFNA(VLOOKUP($BK345,Programma!$F$3:$Y$1101,20,0),"")</f>
        <v/>
      </c>
      <c r="CE345" s="327"/>
      <c r="CF345" s="327"/>
      <c r="CG345" s="327"/>
      <c r="CH345" s="327"/>
      <c r="CI345" s="327"/>
      <c r="CJ345" s="327"/>
      <c r="CK345" s="327"/>
      <c r="CL345" s="327"/>
      <c r="CM345" s="327"/>
      <c r="CN345" s="327"/>
      <c r="CO345" s="327"/>
      <c r="CP345" s="327"/>
      <c r="CQ345" s="327"/>
      <c r="CR345" s="327"/>
      <c r="CS345" s="327"/>
      <c r="CT345" s="327"/>
      <c r="CU345" s="327"/>
      <c r="CV345" s="327"/>
      <c r="CW345" s="327"/>
      <c r="CX345" s="327"/>
      <c r="CY345" s="327"/>
      <c r="CZ345" s="327"/>
      <c r="DA345" s="327"/>
      <c r="DB345" s="327"/>
      <c r="DC345" s="327"/>
      <c r="DD345" s="327"/>
      <c r="DE345" s="327"/>
      <c r="DF345" s="327"/>
      <c r="DG345" s="327"/>
      <c r="DH345" s="327"/>
      <c r="DI345" s="327"/>
      <c r="DJ345" s="327"/>
      <c r="DK345" s="327"/>
      <c r="DL345" s="327"/>
      <c r="DM345" s="327"/>
      <c r="DN345" s="327"/>
      <c r="DO345" s="327"/>
      <c r="DP345" s="327"/>
      <c r="DQ345" s="327"/>
      <c r="DR345" s="327"/>
      <c r="DS345" s="327"/>
      <c r="DT345" s="327"/>
      <c r="DU345" s="327"/>
      <c r="DV345" s="327"/>
      <c r="DW345" s="327"/>
      <c r="DX345" s="327"/>
      <c r="DY345" s="327"/>
      <c r="DZ345" s="327"/>
      <c r="EA345" s="327"/>
      <c r="EB345" s="327"/>
      <c r="EC345" s="327"/>
      <c r="ED345" s="327"/>
      <c r="EE345" s="327"/>
      <c r="EF345" s="327"/>
      <c r="EG345" s="327"/>
      <c r="EH345" s="327"/>
      <c r="EI345" s="327"/>
      <c r="EJ345" s="327"/>
      <c r="EK345" s="327"/>
      <c r="EL345" s="327"/>
      <c r="EM345" s="327"/>
      <c r="EN345" s="327"/>
      <c r="EO345" s="327"/>
      <c r="EP345" s="327"/>
      <c r="EQ345" s="327"/>
      <c r="ER345" s="327"/>
      <c r="ES345" s="327"/>
      <c r="ET345" s="327"/>
      <c r="EU345" s="327"/>
      <c r="EV345" s="327"/>
      <c r="EW345" s="327"/>
      <c r="EX345" s="327"/>
      <c r="EY345" s="327"/>
      <c r="EZ345" s="327"/>
      <c r="FA345" s="327"/>
      <c r="FB345" s="327"/>
      <c r="FC345" s="327"/>
      <c r="FD345" s="327"/>
      <c r="FE345" s="327"/>
      <c r="FF345" s="327"/>
      <c r="FG345" s="327"/>
      <c r="FH345" s="327"/>
      <c r="FI345" s="327"/>
      <c r="FJ345" s="327"/>
      <c r="FK345" s="327"/>
      <c r="FL345" s="327"/>
      <c r="FM345" s="327"/>
      <c r="FN345" s="327"/>
      <c r="FO345" s="327"/>
      <c r="FP345" s="327"/>
      <c r="FQ345" s="327"/>
      <c r="FR345" s="327"/>
      <c r="FS345" s="327"/>
      <c r="FT345" s="327"/>
      <c r="FU345" s="327"/>
      <c r="FV345" s="327"/>
      <c r="FW345" s="327"/>
      <c r="FX345" s="327"/>
      <c r="FY345" s="327"/>
      <c r="FZ345" s="327"/>
      <c r="GA345" s="327"/>
      <c r="GB345" s="327"/>
      <c r="GC345" s="327"/>
      <c r="GD345" s="327"/>
      <c r="GE345" s="327"/>
      <c r="GF345" s="327"/>
      <c r="GG345" s="327"/>
      <c r="GH345" s="327"/>
      <c r="GI345" s="327"/>
      <c r="GJ345" s="327"/>
      <c r="GK345" s="327"/>
      <c r="GL345" s="327"/>
      <c r="GM345" s="327"/>
      <c r="GN345" s="327"/>
      <c r="GO345" s="327"/>
      <c r="GP345" s="327"/>
      <c r="GQ345" s="327"/>
      <c r="GR345" s="327"/>
      <c r="GS345" s="327"/>
      <c r="GT345" s="327"/>
      <c r="GU345" s="327"/>
      <c r="GV345" s="327"/>
      <c r="GW345" s="327"/>
      <c r="GX345" s="327"/>
      <c r="GY345" s="327"/>
      <c r="GZ345" s="327"/>
      <c r="HA345" s="327"/>
      <c r="HB345" s="327"/>
      <c r="HC345" s="327"/>
      <c r="HD345" s="327"/>
      <c r="HE345" s="327"/>
      <c r="HF345" s="327"/>
      <c r="HG345" s="327"/>
      <c r="HH345" s="327"/>
      <c r="HI345" s="327"/>
      <c r="HJ345" s="327"/>
      <c r="HK345" s="327"/>
      <c r="HL345" s="327"/>
      <c r="HM345" s="327"/>
      <c r="HN345" s="327"/>
      <c r="HO345" s="327"/>
      <c r="HP345" s="327"/>
      <c r="HQ345" s="327"/>
      <c r="HR345" s="327"/>
      <c r="HS345" s="327"/>
    </row>
    <row r="346" spans="1:227" ht="15" customHeight="1">
      <c r="A346" s="330">
        <v>14</v>
      </c>
      <c r="B346" s="435" t="str">
        <f>VLOOKUP(Ruimtestaat[[#This Row],[Code]],Locaties[[Code]:[Locatie]],2,FALSE)</f>
        <v>IKC De Vuurtoren</v>
      </c>
      <c r="C346" s="435" t="str">
        <f>VLOOKUP(Ruimtestaat[[#This Row],[Code]],Locaties[[#All],[Code]:[Adres]],4,FALSE)</f>
        <v>Spitsbergen 15</v>
      </c>
      <c r="D346" s="435" t="str">
        <f>VLOOKUP(Ruimtestaat[[#This Row],[Code]],Locaties[[#All],[Code]:[Postcode]],5,FALSE)</f>
        <v>2721 GP</v>
      </c>
      <c r="E346" s="435" t="str">
        <f>VLOOKUP(Ruimtestaat[[#This Row],[Code]],Locaties[#All],6,FALSE)</f>
        <v>Zoetermeer</v>
      </c>
      <c r="F346" s="450"/>
      <c r="G346" s="330" t="s">
        <v>1769</v>
      </c>
      <c r="H346" s="330" t="s">
        <v>1752</v>
      </c>
      <c r="I346" s="450" t="s">
        <v>1690</v>
      </c>
      <c r="J346" s="330">
        <v>16</v>
      </c>
      <c r="K346" s="450" t="str">
        <f>VLOOKUP(Ruimtestaat[[#This Row],[Ruimte code]],Ruimtegroepen[[#All],[Code]:[Ruimte omschrijving]],2,FALSE)</f>
        <v>Leslokalen</v>
      </c>
      <c r="L346" s="434" t="s">
        <v>100</v>
      </c>
      <c r="M346" s="437" t="s">
        <v>1759</v>
      </c>
      <c r="N346" s="439">
        <v>53</v>
      </c>
      <c r="O346" s="439"/>
      <c r="P346" s="439"/>
      <c r="Q346" s="439"/>
      <c r="R346" s="440" t="str">
        <f>VLOOKUP(Ruimtestaat[[#This Row],[Ruimte code]],Ruimtegroepen[],4,FALSE)</f>
        <v>Le</v>
      </c>
      <c r="S346" s="434">
        <v>40</v>
      </c>
      <c r="T346" s="434" t="s">
        <v>2</v>
      </c>
      <c r="U346" s="434">
        <f>IF(S346&gt;0,IF(RIGHT(Ruimtestaat[[#This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6" s="434">
        <f>IF(U346&gt;0,VLOOKUP($J346,Ruimtegroepen[],3,FALSE)*VLOOKUP($L346,Vloersoorten[],3,FALSE)*VLOOKUP($T346,Frequenties[],3,FALSE)*VLOOKUP($A346,Locaties[],3,FALSE),0)</f>
        <v>0</v>
      </c>
      <c r="W346" s="434">
        <f>Ruimtestaat[[#This Row],[Uitvoeringen werkdagen]]*Ruimtestaat[[#This Row],[Oppervlak (netto)]]</f>
        <v>10600</v>
      </c>
      <c r="X346" s="441">
        <f>IF(V346&gt;0,Ruimtestaat[[#This Row],[Prest. (m2 /jaar) werkdagen]]/Ruimtestaat[[#This Row],[Norm (m2/uur) werkdagen]],0)</f>
        <v>0</v>
      </c>
      <c r="Y346" s="442">
        <f>Ruimtestaat[[#This Row],[Uitvoeringen werkdagen]]*Ruimtestaat[[#This Row],[Gedeeltelijk]]</f>
        <v>0</v>
      </c>
      <c r="Z346" s="443" t="e">
        <f>IF(U346&gt;0,Ruimtestaat[[#This Row],[Prest. (m2 / jaar) werkdagen gedeeld]]/Ruimtestaat[[#This Row],[Norm (m2/uur) werkdagen]],0)</f>
        <v>#DIV/0!</v>
      </c>
      <c r="AA346" s="441" t="e">
        <f>Ruimtestaat[[#This Row],[uren / jaar werkdagen gedeeld]]*Tariefsopbouw!$E$35</f>
        <v>#DIV/0!</v>
      </c>
      <c r="AB346" s="441">
        <f>Ruimtestaat[[#This Row],[Uitvoeringen werkdagen]]*Ruimtestaat[[#This Row],[BSO]]</f>
        <v>0</v>
      </c>
      <c r="AC346" s="443" t="e">
        <f>IF(U346&gt;0,Ruimtestaat[[#This Row],[Prest. (m2 / jaar) werkdagen BSO]]/Ruimtestaat[[#This Row],[Norm (m2/uur) werkdagen]],0)</f>
        <v>#DIV/0!</v>
      </c>
      <c r="AD346" s="443" t="e">
        <f>Ruimtestaat[[#This Row],[uren / jaar werkdagen BSO]]*Tariefsopbouw!$E$35</f>
        <v>#DIV/0!</v>
      </c>
      <c r="AE346" s="444">
        <f>Ruimtestaat[[#This Row],[uren / jaar werkdagen]]*Tariefsopbouw!$E$35</f>
        <v>0</v>
      </c>
      <c r="AF346" s="434"/>
      <c r="AG346" s="434">
        <f>IF(Ruimtestaat[[#This Row],[Frequentie weekend]]&gt;0,VALUE(LEFT(AF346,1))*S346,0)</f>
        <v>0</v>
      </c>
      <c r="AH346" s="445">
        <f>IF($AG346&gt;0,VLOOKUP($J346,Ruimtegroepen[],3,FALSE)*VLOOKUP($L346,Vloersoorten[],3,FALSE)*VLOOKUP($AF346,Frequenties[],3,FALSE)*VLOOKUP(Ruimtestaat[[#This Row],[Code]],Locaties[],3,FALSE),0)</f>
        <v>0</v>
      </c>
      <c r="AI346" s="445">
        <f>Ruimtestaat[[#This Row],[Uitvoeringen weekend]]*Ruimtestaat[[#This Row],[Oppervlak (netto)]]</f>
        <v>0</v>
      </c>
      <c r="AJ346" s="445">
        <f>IF(AH346&gt;0,Ruimtestaat[[#This Row],[Prest. (m2 /jaar) weekend]]/Ruimtestaat[[#This Row],[Norm (m2/uur) weekend]],0)</f>
        <v>0</v>
      </c>
      <c r="AK346" s="444">
        <f>Ruimtestaat[[#This Row],[uren / jaar weekend]]*Tariefsopbouw!$D$40</f>
        <v>0</v>
      </c>
      <c r="AL346" s="441">
        <f>Ruimtestaat[[#This Row],[Prest. (m2 /jaar) weekend]]+Ruimtestaat[[#This Row],[Prest. (m2 /jaar) werkdagen]]</f>
        <v>10600</v>
      </c>
      <c r="AM346" s="441">
        <f>Ruimtestaat[[#This Row],[uren / jaar weekend]]+Ruimtestaat[[#This Row],[uren / jaar werkdagen]]</f>
        <v>0</v>
      </c>
      <c r="AN346" s="446">
        <f>Ruimtestaat[[#This Row],[kosten / jaar weekend]]+Ruimtestaat[[#This Row],[kosten / jaar werkdagen]]</f>
        <v>0</v>
      </c>
      <c r="AO346" s="446"/>
      <c r="AP346" s="447" t="str">
        <f>IF(Ruimtestaat[[#This Row],[Frequentie werkdagen]]="","",_xlfn.CONCAT(Ruimtestaat[[#This Row],[Ruimte code]],"-",Ruimtestaat[[#This Row],[Frequentie werkdagen]]," ",Ruimtestaat[[#This Row],[Vloer code]]))</f>
        <v>16-5w L</v>
      </c>
      <c r="AQ346" s="448" t="str">
        <f>_xlfn.IFNA(VLOOKUP($AP346,Programma!$F$3:$G$1101,2,0),"")</f>
        <v>_</v>
      </c>
      <c r="AR346" s="448" t="str">
        <f>_xlfn.IFNA(VLOOKUP($AP346,Programma!$F$3:$H$1101,3,0),"")</f>
        <v>_</v>
      </c>
      <c r="AS346" s="448" t="str">
        <f>_xlfn.IFNA(VLOOKUP($AP346,Programma!$F$3:$I$1101,4,0),"")</f>
        <v>4w</v>
      </c>
      <c r="AT346" s="448" t="str">
        <f>_xlfn.IFNA(VLOOKUP($AP346,Programma!$F$3:$J$1101,5,0),"")</f>
        <v>1w</v>
      </c>
      <c r="AU346" s="448" t="str">
        <f>_xlfn.IFNA(VLOOKUP($AP346,Programma!$F$3:$K$1101,6,0),"")</f>
        <v>_</v>
      </c>
      <c r="AV346" s="448" t="str">
        <f>_xlfn.IFNA(VLOOKUP($AP346,Programma!$F$3:$L$1101,7,0),"")</f>
        <v>_</v>
      </c>
      <c r="AW346" s="448" t="str">
        <f>_xlfn.IFNA(VLOOKUP($AP346,Programma!$F$3:$M$1101,8,0),"")</f>
        <v>_</v>
      </c>
      <c r="AX346" s="448" t="str">
        <f>_xlfn.IFNA(VLOOKUP($AP346,Programma!$F$3:$N$1101,9,0),"")</f>
        <v>_</v>
      </c>
      <c r="AY346" s="448" t="str">
        <f>_xlfn.IFNA(VLOOKUP($AP346,Programma!$F$3:$O$1101,10,0),"")</f>
        <v>5w</v>
      </c>
      <c r="AZ346" s="448" t="str">
        <f>_xlfn.IFNA(VLOOKUP($AP346,Programma!$F$3:$P$1101,11,0),"")</f>
        <v>5w</v>
      </c>
      <c r="BA346" s="448" t="str">
        <f>_xlfn.IFNA(VLOOKUP($AP346,Programma!$F$3:$Q$1101,12,0),"")</f>
        <v>1w</v>
      </c>
      <c r="BB346" s="448" t="str">
        <f>_xlfn.IFNA(VLOOKUP($AP346,Programma!$F$3:$R$1101,13,0),"")</f>
        <v>1w</v>
      </c>
      <c r="BC346" s="448" t="str">
        <f>_xlfn.IFNA(VLOOKUP($AP346,Programma!$F$3:$S$1101,14,0),"")</f>
        <v>1m</v>
      </c>
      <c r="BD346" s="448" t="str">
        <f>_xlfn.IFNA(VLOOKUP($AP346,Programma!$F$3:$T$1101,15,0),"")</f>
        <v>2j</v>
      </c>
      <c r="BE346" s="448" t="str">
        <f>_xlfn.IFNA(VLOOKUP($AP346,Programma!$F$3:$U$1101,16,0),"")</f>
        <v>1j</v>
      </c>
      <c r="BF346" s="448" t="str">
        <f>_xlfn.IFNA(VLOOKUP($AP346,Programma!$F$3:$V$1101,17,0),"")</f>
        <v>_</v>
      </c>
      <c r="BG346" s="448" t="str">
        <f>_xlfn.IFNA(VLOOKUP($AP346,Programma!$F$3:$W$1101,18,0),"")</f>
        <v>_</v>
      </c>
      <c r="BH346" s="448" t="str">
        <f>_xlfn.IFNA(VLOOKUP($AP346,Programma!$F$3:$X$1101,19,0),"")</f>
        <v>_</v>
      </c>
      <c r="BI346" s="448" t="str">
        <f>_xlfn.IFNA(VLOOKUP($AP346,Programma!$F$3:$Y$1101,20,0),"")</f>
        <v>_</v>
      </c>
      <c r="BJ346" s="449"/>
      <c r="BK346" s="447" t="str">
        <f>IF(Ruimtestaat[[#This Row],[Frequentie weekend]]="","",_xlfn.CONCAT(Ruimtestaat[[#This Row],[Ruimte code]],"-",Ruimtestaat[[#This Row],[Frequentie weekend]]," ",Ruimtestaat[[#This Row],[Vloer code]]))</f>
        <v/>
      </c>
      <c r="BL346" s="448" t="str">
        <f>_xlfn.IFNA(VLOOKUP($BK346,Programma!$F$3:$G$1101,2,0),"")</f>
        <v/>
      </c>
      <c r="BM346" s="448" t="str">
        <f>_xlfn.IFNA(VLOOKUP($BK346,Programma!$F$3:$H$1101,3,0),"")</f>
        <v/>
      </c>
      <c r="BN346" s="448" t="str">
        <f>_xlfn.IFNA(VLOOKUP($BK346,Programma!$F$3:$I$1101,4,0),"")</f>
        <v/>
      </c>
      <c r="BO346" s="448" t="str">
        <f>_xlfn.IFNA(VLOOKUP($BK346,Programma!$F$3:$J$1101,5,0),"")</f>
        <v/>
      </c>
      <c r="BP346" s="448" t="str">
        <f>_xlfn.IFNA(VLOOKUP($BK346,Programma!$F$3:$K$1101,6,0),"")</f>
        <v/>
      </c>
      <c r="BQ346" s="448" t="str">
        <f>_xlfn.IFNA(VLOOKUP($BK346,Programma!$F$3:$L$1101,7,0),"")</f>
        <v/>
      </c>
      <c r="BR346" s="448" t="str">
        <f>_xlfn.IFNA(VLOOKUP($BK346,Programma!$F$3:$M$1101,8,0),"")</f>
        <v/>
      </c>
      <c r="BS346" s="448" t="str">
        <f>_xlfn.IFNA(VLOOKUP($BK346,Programma!$F$3:$N$1101,9,0),"")</f>
        <v/>
      </c>
      <c r="BT346" s="448" t="str">
        <f>_xlfn.IFNA(VLOOKUP($BK346,Programma!$F$3:$O$1101,10,0),"")</f>
        <v/>
      </c>
      <c r="BU346" s="448" t="str">
        <f>_xlfn.IFNA(VLOOKUP($BK346,Programma!$F$3:$P$1101,11,0),"")</f>
        <v/>
      </c>
      <c r="BV346" s="448" t="str">
        <f>_xlfn.IFNA(VLOOKUP($BK346,Programma!$F$3:$Q$1101,12,0),"")</f>
        <v/>
      </c>
      <c r="BW346" s="448" t="str">
        <f>_xlfn.IFNA(VLOOKUP($BK346,Programma!$F$3:$R$1101,13,0),"")</f>
        <v/>
      </c>
      <c r="BX346" s="448" t="str">
        <f>_xlfn.IFNA(VLOOKUP($BK346,Programma!$F$3:$S$1101,14,0),"")</f>
        <v/>
      </c>
      <c r="BY346" s="448" t="str">
        <f>_xlfn.IFNA(VLOOKUP($BK346,Programma!$F$3:$T$1101,15,0),"")</f>
        <v/>
      </c>
      <c r="BZ346" s="448" t="str">
        <f>_xlfn.IFNA(VLOOKUP($BK346,Programma!$F$3:$U$1101,16,0),"")</f>
        <v/>
      </c>
      <c r="CA346" s="448" t="str">
        <f>_xlfn.IFNA(VLOOKUP($BK346,Programma!$F$3:$V$1101,17,0),"")</f>
        <v/>
      </c>
      <c r="CB346" s="448" t="str">
        <f>_xlfn.IFNA(VLOOKUP($BK346,Programma!$F$3:$W$1101,18,0),"")</f>
        <v/>
      </c>
      <c r="CC346" s="448" t="str">
        <f>_xlfn.IFNA(VLOOKUP($BK346,Programma!$F$3:$X$1101,19,0),"")</f>
        <v/>
      </c>
      <c r="CD346" s="448" t="str">
        <f>_xlfn.IFNA(VLOOKUP($BK346,Programma!$F$3:$Y$1101,20,0),"")</f>
        <v/>
      </c>
      <c r="CE346" s="327"/>
      <c r="CF346" s="327"/>
      <c r="CG346" s="327"/>
      <c r="CH346" s="327"/>
      <c r="CI346" s="327"/>
      <c r="CJ346" s="327"/>
      <c r="CK346" s="327"/>
      <c r="CL346" s="327"/>
      <c r="CM346" s="327"/>
      <c r="CN346" s="327"/>
      <c r="CO346" s="327"/>
      <c r="CP346" s="327"/>
      <c r="CQ346" s="327"/>
      <c r="CR346" s="327"/>
      <c r="CS346" s="327"/>
      <c r="CT346" s="327"/>
      <c r="CU346" s="327"/>
      <c r="CV346" s="327"/>
      <c r="CW346" s="327"/>
      <c r="CX346" s="327"/>
      <c r="CY346" s="327"/>
      <c r="CZ346" s="327"/>
      <c r="DA346" s="327"/>
      <c r="DB346" s="327"/>
      <c r="DC346" s="327"/>
      <c r="DD346" s="327"/>
      <c r="DE346" s="327"/>
      <c r="DF346" s="327"/>
      <c r="DG346" s="327"/>
      <c r="DH346" s="327"/>
      <c r="DI346" s="327"/>
      <c r="DJ346" s="327"/>
      <c r="DK346" s="327"/>
      <c r="DL346" s="327"/>
      <c r="DM346" s="327"/>
      <c r="DN346" s="327"/>
      <c r="DO346" s="327"/>
      <c r="DP346" s="327"/>
      <c r="DQ346" s="327"/>
      <c r="DR346" s="327"/>
      <c r="DS346" s="327"/>
      <c r="DT346" s="327"/>
      <c r="DU346" s="327"/>
      <c r="DV346" s="327"/>
      <c r="DW346" s="327"/>
      <c r="DX346" s="327"/>
      <c r="DY346" s="327"/>
      <c r="DZ346" s="327"/>
      <c r="EA346" s="327"/>
      <c r="EB346" s="327"/>
      <c r="EC346" s="327"/>
      <c r="ED346" s="327"/>
      <c r="EE346" s="327"/>
      <c r="EF346" s="327"/>
      <c r="EG346" s="327"/>
      <c r="EH346" s="327"/>
      <c r="EI346" s="327"/>
      <c r="EJ346" s="327"/>
      <c r="EK346" s="327"/>
      <c r="EL346" s="327"/>
      <c r="EM346" s="327"/>
      <c r="EN346" s="327"/>
      <c r="EO346" s="327"/>
      <c r="EP346" s="327"/>
      <c r="EQ346" s="327"/>
      <c r="ER346" s="327"/>
      <c r="ES346" s="327"/>
      <c r="ET346" s="327"/>
      <c r="EU346" s="327"/>
      <c r="EV346" s="327"/>
      <c r="EW346" s="327"/>
      <c r="EX346" s="327"/>
      <c r="EY346" s="327"/>
      <c r="EZ346" s="327"/>
      <c r="FA346" s="327"/>
      <c r="FB346" s="327"/>
      <c r="FC346" s="327"/>
      <c r="FD346" s="327"/>
      <c r="FE346" s="327"/>
      <c r="FF346" s="327"/>
      <c r="FG346" s="327"/>
      <c r="FH346" s="327"/>
      <c r="FI346" s="327"/>
      <c r="FJ346" s="327"/>
      <c r="FK346" s="327"/>
      <c r="FL346" s="327"/>
      <c r="FM346" s="327"/>
      <c r="FN346" s="327"/>
      <c r="FO346" s="327"/>
      <c r="FP346" s="327"/>
      <c r="FQ346" s="327"/>
      <c r="FR346" s="327"/>
      <c r="FS346" s="327"/>
      <c r="FT346" s="327"/>
      <c r="FU346" s="327"/>
      <c r="FV346" s="327"/>
      <c r="FW346" s="327"/>
      <c r="FX346" s="327"/>
      <c r="FY346" s="327"/>
      <c r="FZ346" s="327"/>
      <c r="GA346" s="327"/>
      <c r="GB346" s="327"/>
      <c r="GC346" s="327"/>
      <c r="GD346" s="327"/>
      <c r="GE346" s="327"/>
      <c r="GF346" s="327"/>
      <c r="GG346" s="327"/>
      <c r="GH346" s="327"/>
      <c r="GI346" s="327"/>
      <c r="GJ346" s="327"/>
      <c r="GK346" s="327"/>
      <c r="GL346" s="327"/>
      <c r="GM346" s="327"/>
      <c r="GN346" s="327"/>
      <c r="GO346" s="327"/>
      <c r="GP346" s="327"/>
      <c r="GQ346" s="327"/>
      <c r="GR346" s="327"/>
      <c r="GS346" s="327"/>
      <c r="GT346" s="327"/>
      <c r="GU346" s="327"/>
      <c r="GV346" s="327"/>
      <c r="GW346" s="327"/>
      <c r="GX346" s="327"/>
      <c r="GY346" s="327"/>
      <c r="GZ346" s="327"/>
      <c r="HA346" s="327"/>
      <c r="HB346" s="327"/>
      <c r="HC346" s="327"/>
      <c r="HD346" s="327"/>
      <c r="HE346" s="327"/>
      <c r="HF346" s="327"/>
      <c r="HG346" s="327"/>
      <c r="HH346" s="327"/>
      <c r="HI346" s="327"/>
      <c r="HJ346" s="327"/>
      <c r="HK346" s="327"/>
      <c r="HL346" s="327"/>
      <c r="HM346" s="327"/>
      <c r="HN346" s="327"/>
      <c r="HO346" s="327"/>
      <c r="HP346" s="327"/>
      <c r="HQ346" s="327"/>
      <c r="HR346" s="327"/>
      <c r="HS346" s="327"/>
    </row>
    <row r="347" spans="1:227" ht="15" customHeight="1">
      <c r="A347" s="330">
        <v>14</v>
      </c>
      <c r="B347" s="435" t="str">
        <f>VLOOKUP(Ruimtestaat[[#This Row],[Code]],Locaties[[Code]:[Locatie]],2,FALSE)</f>
        <v>IKC De Vuurtoren</v>
      </c>
      <c r="C347" s="435" t="str">
        <f>VLOOKUP(Ruimtestaat[[#This Row],[Code]],Locaties[[#All],[Code]:[Adres]],4,FALSE)</f>
        <v>Spitsbergen 15</v>
      </c>
      <c r="D347" s="435" t="str">
        <f>VLOOKUP(Ruimtestaat[[#This Row],[Code]],Locaties[[#All],[Code]:[Postcode]],5,FALSE)</f>
        <v>2721 GP</v>
      </c>
      <c r="E347" s="435" t="str">
        <f>VLOOKUP(Ruimtestaat[[#This Row],[Code]],Locaties[#All],6,FALSE)</f>
        <v>Zoetermeer</v>
      </c>
      <c r="F347" s="450"/>
      <c r="G347" s="330" t="s">
        <v>1769</v>
      </c>
      <c r="H347" s="330" t="s">
        <v>1839</v>
      </c>
      <c r="I347" s="450" t="s">
        <v>1690</v>
      </c>
      <c r="J347" s="330">
        <v>16</v>
      </c>
      <c r="K347" s="450" t="str">
        <f>VLOOKUP(Ruimtestaat[[#This Row],[Ruimte code]],Ruimtegroepen[[#All],[Code]:[Ruimte omschrijving]],2,FALSE)</f>
        <v>Leslokalen</v>
      </c>
      <c r="L347" s="434" t="s">
        <v>100</v>
      </c>
      <c r="M347" s="437" t="s">
        <v>1759</v>
      </c>
      <c r="N347" s="439">
        <v>53</v>
      </c>
      <c r="O347" s="439"/>
      <c r="P347" s="439"/>
      <c r="Q347" s="439"/>
      <c r="R347" s="440" t="str">
        <f>VLOOKUP(Ruimtestaat[[#This Row],[Ruimte code]],Ruimtegroepen[],4,FALSE)</f>
        <v>Le</v>
      </c>
      <c r="S347" s="434">
        <v>40</v>
      </c>
      <c r="T347" s="434" t="s">
        <v>2</v>
      </c>
      <c r="U347" s="434">
        <f>IF(S347&gt;0,IF(RIGHT(Ruimtestaat[[#This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7" s="434">
        <f>IF(U347&gt;0,VLOOKUP($J347,Ruimtegroepen[],3,FALSE)*VLOOKUP($L347,Vloersoorten[],3,FALSE)*VLOOKUP($T347,Frequenties[],3,FALSE)*VLOOKUP($A347,Locaties[],3,FALSE),0)</f>
        <v>0</v>
      </c>
      <c r="W347" s="434">
        <f>Ruimtestaat[[#This Row],[Uitvoeringen werkdagen]]*Ruimtestaat[[#This Row],[Oppervlak (netto)]]</f>
        <v>10600</v>
      </c>
      <c r="X347" s="441">
        <f>IF(V347&gt;0,Ruimtestaat[[#This Row],[Prest. (m2 /jaar) werkdagen]]/Ruimtestaat[[#This Row],[Norm (m2/uur) werkdagen]],0)</f>
        <v>0</v>
      </c>
      <c r="Y347" s="442">
        <f>Ruimtestaat[[#This Row],[Uitvoeringen werkdagen]]*Ruimtestaat[[#This Row],[Gedeeltelijk]]</f>
        <v>0</v>
      </c>
      <c r="Z347" s="443" t="e">
        <f>IF(U347&gt;0,Ruimtestaat[[#This Row],[Prest. (m2 / jaar) werkdagen gedeeld]]/Ruimtestaat[[#This Row],[Norm (m2/uur) werkdagen]],0)</f>
        <v>#DIV/0!</v>
      </c>
      <c r="AA347" s="441" t="e">
        <f>Ruimtestaat[[#This Row],[uren / jaar werkdagen gedeeld]]*Tariefsopbouw!$E$35</f>
        <v>#DIV/0!</v>
      </c>
      <c r="AB347" s="441">
        <f>Ruimtestaat[[#This Row],[Uitvoeringen werkdagen]]*Ruimtestaat[[#This Row],[BSO]]</f>
        <v>0</v>
      </c>
      <c r="AC347" s="443" t="e">
        <f>IF(U347&gt;0,Ruimtestaat[[#This Row],[Prest. (m2 / jaar) werkdagen BSO]]/Ruimtestaat[[#This Row],[Norm (m2/uur) werkdagen]],0)</f>
        <v>#DIV/0!</v>
      </c>
      <c r="AD347" s="443" t="e">
        <f>Ruimtestaat[[#This Row],[uren / jaar werkdagen BSO]]*Tariefsopbouw!$E$35</f>
        <v>#DIV/0!</v>
      </c>
      <c r="AE347" s="444">
        <f>Ruimtestaat[[#This Row],[uren / jaar werkdagen]]*Tariefsopbouw!$E$35</f>
        <v>0</v>
      </c>
      <c r="AF347" s="434"/>
      <c r="AG347" s="434">
        <f>IF(Ruimtestaat[[#This Row],[Frequentie weekend]]&gt;0,VALUE(LEFT(AF347,1))*S347,0)</f>
        <v>0</v>
      </c>
      <c r="AH347" s="445">
        <f>IF($AG347&gt;0,VLOOKUP($J347,Ruimtegroepen[],3,FALSE)*VLOOKUP($L347,Vloersoorten[],3,FALSE)*VLOOKUP($AF347,Frequenties[],3,FALSE)*VLOOKUP(Ruimtestaat[[#This Row],[Code]],Locaties[],3,FALSE),0)</f>
        <v>0</v>
      </c>
      <c r="AI347" s="445">
        <f>Ruimtestaat[[#This Row],[Uitvoeringen weekend]]*Ruimtestaat[[#This Row],[Oppervlak (netto)]]</f>
        <v>0</v>
      </c>
      <c r="AJ347" s="445">
        <f>IF(AH347&gt;0,Ruimtestaat[[#This Row],[Prest. (m2 /jaar) weekend]]/Ruimtestaat[[#This Row],[Norm (m2/uur) weekend]],0)</f>
        <v>0</v>
      </c>
      <c r="AK347" s="444">
        <f>Ruimtestaat[[#This Row],[uren / jaar weekend]]*Tariefsopbouw!$D$40</f>
        <v>0</v>
      </c>
      <c r="AL347" s="441">
        <f>Ruimtestaat[[#This Row],[Prest. (m2 /jaar) weekend]]+Ruimtestaat[[#This Row],[Prest. (m2 /jaar) werkdagen]]</f>
        <v>10600</v>
      </c>
      <c r="AM347" s="441">
        <f>Ruimtestaat[[#This Row],[uren / jaar weekend]]+Ruimtestaat[[#This Row],[uren / jaar werkdagen]]</f>
        <v>0</v>
      </c>
      <c r="AN347" s="446">
        <f>Ruimtestaat[[#This Row],[kosten / jaar weekend]]+Ruimtestaat[[#This Row],[kosten / jaar werkdagen]]</f>
        <v>0</v>
      </c>
      <c r="AO347" s="446"/>
      <c r="AP347" s="447" t="str">
        <f>IF(Ruimtestaat[[#This Row],[Frequentie werkdagen]]="","",_xlfn.CONCAT(Ruimtestaat[[#This Row],[Ruimte code]],"-",Ruimtestaat[[#This Row],[Frequentie werkdagen]]," ",Ruimtestaat[[#This Row],[Vloer code]]))</f>
        <v>16-5w L</v>
      </c>
      <c r="AQ347" s="448" t="str">
        <f>_xlfn.IFNA(VLOOKUP($AP347,Programma!$F$3:$G$1101,2,0),"")</f>
        <v>_</v>
      </c>
      <c r="AR347" s="448" t="str">
        <f>_xlfn.IFNA(VLOOKUP($AP347,Programma!$F$3:$H$1101,3,0),"")</f>
        <v>_</v>
      </c>
      <c r="AS347" s="448" t="str">
        <f>_xlfn.IFNA(VLOOKUP($AP347,Programma!$F$3:$I$1101,4,0),"")</f>
        <v>4w</v>
      </c>
      <c r="AT347" s="448" t="str">
        <f>_xlfn.IFNA(VLOOKUP($AP347,Programma!$F$3:$J$1101,5,0),"")</f>
        <v>1w</v>
      </c>
      <c r="AU347" s="448" t="str">
        <f>_xlfn.IFNA(VLOOKUP($AP347,Programma!$F$3:$K$1101,6,0),"")</f>
        <v>_</v>
      </c>
      <c r="AV347" s="448" t="str">
        <f>_xlfn.IFNA(VLOOKUP($AP347,Programma!$F$3:$L$1101,7,0),"")</f>
        <v>_</v>
      </c>
      <c r="AW347" s="448" t="str">
        <f>_xlfn.IFNA(VLOOKUP($AP347,Programma!$F$3:$M$1101,8,0),"")</f>
        <v>_</v>
      </c>
      <c r="AX347" s="448" t="str">
        <f>_xlfn.IFNA(VLOOKUP($AP347,Programma!$F$3:$N$1101,9,0),"")</f>
        <v>_</v>
      </c>
      <c r="AY347" s="448" t="str">
        <f>_xlfn.IFNA(VLOOKUP($AP347,Programma!$F$3:$O$1101,10,0),"")</f>
        <v>5w</v>
      </c>
      <c r="AZ347" s="448" t="str">
        <f>_xlfn.IFNA(VLOOKUP($AP347,Programma!$F$3:$P$1101,11,0),"")</f>
        <v>5w</v>
      </c>
      <c r="BA347" s="448" t="str">
        <f>_xlfn.IFNA(VLOOKUP($AP347,Programma!$F$3:$Q$1101,12,0),"")</f>
        <v>1w</v>
      </c>
      <c r="BB347" s="448" t="str">
        <f>_xlfn.IFNA(VLOOKUP($AP347,Programma!$F$3:$R$1101,13,0),"")</f>
        <v>1w</v>
      </c>
      <c r="BC347" s="448" t="str">
        <f>_xlfn.IFNA(VLOOKUP($AP347,Programma!$F$3:$S$1101,14,0),"")</f>
        <v>1m</v>
      </c>
      <c r="BD347" s="448" t="str">
        <f>_xlfn.IFNA(VLOOKUP($AP347,Programma!$F$3:$T$1101,15,0),"")</f>
        <v>2j</v>
      </c>
      <c r="BE347" s="448" t="str">
        <f>_xlfn.IFNA(VLOOKUP($AP347,Programma!$F$3:$U$1101,16,0),"")</f>
        <v>1j</v>
      </c>
      <c r="BF347" s="448" t="str">
        <f>_xlfn.IFNA(VLOOKUP($AP347,Programma!$F$3:$V$1101,17,0),"")</f>
        <v>_</v>
      </c>
      <c r="BG347" s="448" t="str">
        <f>_xlfn.IFNA(VLOOKUP($AP347,Programma!$F$3:$W$1101,18,0),"")</f>
        <v>_</v>
      </c>
      <c r="BH347" s="448" t="str">
        <f>_xlfn.IFNA(VLOOKUP($AP347,Programma!$F$3:$X$1101,19,0),"")</f>
        <v>_</v>
      </c>
      <c r="BI347" s="448" t="str">
        <f>_xlfn.IFNA(VLOOKUP($AP347,Programma!$F$3:$Y$1101,20,0),"")</f>
        <v>_</v>
      </c>
      <c r="BJ347" s="449"/>
      <c r="BK347" s="447" t="str">
        <f>IF(Ruimtestaat[[#This Row],[Frequentie weekend]]="","",_xlfn.CONCAT(Ruimtestaat[[#This Row],[Ruimte code]],"-",Ruimtestaat[[#This Row],[Frequentie weekend]]," ",Ruimtestaat[[#This Row],[Vloer code]]))</f>
        <v/>
      </c>
      <c r="BL347" s="448" t="str">
        <f>_xlfn.IFNA(VLOOKUP($BK347,Programma!$F$3:$G$1101,2,0),"")</f>
        <v/>
      </c>
      <c r="BM347" s="448" t="str">
        <f>_xlfn.IFNA(VLOOKUP($BK347,Programma!$F$3:$H$1101,3,0),"")</f>
        <v/>
      </c>
      <c r="BN347" s="448" t="str">
        <f>_xlfn.IFNA(VLOOKUP($BK347,Programma!$F$3:$I$1101,4,0),"")</f>
        <v/>
      </c>
      <c r="BO347" s="448" t="str">
        <f>_xlfn.IFNA(VLOOKUP($BK347,Programma!$F$3:$J$1101,5,0),"")</f>
        <v/>
      </c>
      <c r="BP347" s="448" t="str">
        <f>_xlfn.IFNA(VLOOKUP($BK347,Programma!$F$3:$K$1101,6,0),"")</f>
        <v/>
      </c>
      <c r="BQ347" s="448" t="str">
        <f>_xlfn.IFNA(VLOOKUP($BK347,Programma!$F$3:$L$1101,7,0),"")</f>
        <v/>
      </c>
      <c r="BR347" s="448" t="str">
        <f>_xlfn.IFNA(VLOOKUP($BK347,Programma!$F$3:$M$1101,8,0),"")</f>
        <v/>
      </c>
      <c r="BS347" s="448" t="str">
        <f>_xlfn.IFNA(VLOOKUP($BK347,Programma!$F$3:$N$1101,9,0),"")</f>
        <v/>
      </c>
      <c r="BT347" s="448" t="str">
        <f>_xlfn.IFNA(VLOOKUP($BK347,Programma!$F$3:$O$1101,10,0),"")</f>
        <v/>
      </c>
      <c r="BU347" s="448" t="str">
        <f>_xlfn.IFNA(VLOOKUP($BK347,Programma!$F$3:$P$1101,11,0),"")</f>
        <v/>
      </c>
      <c r="BV347" s="448" t="str">
        <f>_xlfn.IFNA(VLOOKUP($BK347,Programma!$F$3:$Q$1101,12,0),"")</f>
        <v/>
      </c>
      <c r="BW347" s="448" t="str">
        <f>_xlfn.IFNA(VLOOKUP($BK347,Programma!$F$3:$R$1101,13,0),"")</f>
        <v/>
      </c>
      <c r="BX347" s="448" t="str">
        <f>_xlfn.IFNA(VLOOKUP($BK347,Programma!$F$3:$S$1101,14,0),"")</f>
        <v/>
      </c>
      <c r="BY347" s="448" t="str">
        <f>_xlfn.IFNA(VLOOKUP($BK347,Programma!$F$3:$T$1101,15,0),"")</f>
        <v/>
      </c>
      <c r="BZ347" s="448" t="str">
        <f>_xlfn.IFNA(VLOOKUP($BK347,Programma!$F$3:$U$1101,16,0),"")</f>
        <v/>
      </c>
      <c r="CA347" s="448" t="str">
        <f>_xlfn.IFNA(VLOOKUP($BK347,Programma!$F$3:$V$1101,17,0),"")</f>
        <v/>
      </c>
      <c r="CB347" s="448" t="str">
        <f>_xlfn.IFNA(VLOOKUP($BK347,Programma!$F$3:$W$1101,18,0),"")</f>
        <v/>
      </c>
      <c r="CC347" s="448" t="str">
        <f>_xlfn.IFNA(VLOOKUP($BK347,Programma!$F$3:$X$1101,19,0),"")</f>
        <v/>
      </c>
      <c r="CD347" s="448" t="str">
        <f>_xlfn.IFNA(VLOOKUP($BK347,Programma!$F$3:$Y$1101,20,0),"")</f>
        <v/>
      </c>
      <c r="CE347" s="327"/>
      <c r="CF347" s="327"/>
      <c r="CG347" s="327"/>
      <c r="CH347" s="327"/>
      <c r="CI347" s="327"/>
      <c r="CJ347" s="327"/>
      <c r="CK347" s="327"/>
      <c r="CL347" s="327"/>
      <c r="CM347" s="327"/>
      <c r="CN347" s="327"/>
      <c r="CO347" s="327"/>
      <c r="CP347" s="327"/>
      <c r="CQ347" s="327"/>
      <c r="CR347" s="327"/>
      <c r="CS347" s="327"/>
      <c r="CT347" s="327"/>
      <c r="CU347" s="327"/>
      <c r="CV347" s="327"/>
      <c r="CW347" s="327"/>
      <c r="CX347" s="327"/>
      <c r="CY347" s="327"/>
      <c r="CZ347" s="327"/>
      <c r="DA347" s="327"/>
      <c r="DB347" s="327"/>
      <c r="DC347" s="327"/>
      <c r="DD347" s="327"/>
      <c r="DE347" s="327"/>
      <c r="DF347" s="327"/>
      <c r="DG347" s="327"/>
      <c r="DH347" s="327"/>
      <c r="DI347" s="327"/>
      <c r="DJ347" s="327"/>
      <c r="DK347" s="327"/>
      <c r="DL347" s="327"/>
      <c r="DM347" s="327"/>
      <c r="DN347" s="327"/>
      <c r="DO347" s="327"/>
      <c r="DP347" s="327"/>
      <c r="DQ347" s="327"/>
      <c r="DR347" s="327"/>
      <c r="DS347" s="327"/>
      <c r="DT347" s="327"/>
      <c r="DU347" s="327"/>
      <c r="DV347" s="327"/>
      <c r="DW347" s="327"/>
      <c r="DX347" s="327"/>
      <c r="DY347" s="327"/>
      <c r="DZ347" s="327"/>
      <c r="EA347" s="327"/>
      <c r="EB347" s="327"/>
      <c r="EC347" s="327"/>
      <c r="ED347" s="327"/>
      <c r="EE347" s="327"/>
      <c r="EF347" s="327"/>
      <c r="EG347" s="327"/>
      <c r="EH347" s="327"/>
      <c r="EI347" s="327"/>
      <c r="EJ347" s="327"/>
      <c r="EK347" s="327"/>
      <c r="EL347" s="327"/>
      <c r="EM347" s="327"/>
      <c r="EN347" s="327"/>
      <c r="EO347" s="327"/>
      <c r="EP347" s="327"/>
      <c r="EQ347" s="327"/>
      <c r="ER347" s="327"/>
      <c r="ES347" s="327"/>
      <c r="ET347" s="327"/>
      <c r="EU347" s="327"/>
      <c r="EV347" s="327"/>
      <c r="EW347" s="327"/>
      <c r="EX347" s="327"/>
      <c r="EY347" s="327"/>
      <c r="EZ347" s="327"/>
      <c r="FA347" s="327"/>
      <c r="FB347" s="327"/>
      <c r="FC347" s="327"/>
      <c r="FD347" s="327"/>
      <c r="FE347" s="327"/>
      <c r="FF347" s="327"/>
      <c r="FG347" s="327"/>
      <c r="FH347" s="327"/>
      <c r="FI347" s="327"/>
      <c r="FJ347" s="327"/>
      <c r="FK347" s="327"/>
      <c r="FL347" s="327"/>
      <c r="FM347" s="327"/>
      <c r="FN347" s="327"/>
      <c r="FO347" s="327"/>
      <c r="FP347" s="327"/>
      <c r="FQ347" s="327"/>
      <c r="FR347" s="327"/>
      <c r="FS347" s="327"/>
      <c r="FT347" s="327"/>
      <c r="FU347" s="327"/>
      <c r="FV347" s="327"/>
      <c r="FW347" s="327"/>
      <c r="FX347" s="327"/>
      <c r="FY347" s="327"/>
      <c r="FZ347" s="327"/>
      <c r="GA347" s="327"/>
      <c r="GB347" s="327"/>
      <c r="GC347" s="327"/>
      <c r="GD347" s="327"/>
      <c r="GE347" s="327"/>
      <c r="GF347" s="327"/>
      <c r="GG347" s="327"/>
      <c r="GH347" s="327"/>
      <c r="GI347" s="327"/>
      <c r="GJ347" s="327"/>
      <c r="GK347" s="327"/>
      <c r="GL347" s="327"/>
      <c r="GM347" s="327"/>
      <c r="GN347" s="327"/>
      <c r="GO347" s="327"/>
      <c r="GP347" s="327"/>
      <c r="GQ347" s="327"/>
      <c r="GR347" s="327"/>
      <c r="GS347" s="327"/>
      <c r="GT347" s="327"/>
      <c r="GU347" s="327"/>
      <c r="GV347" s="327"/>
      <c r="GW347" s="327"/>
      <c r="GX347" s="327"/>
      <c r="GY347" s="327"/>
      <c r="GZ347" s="327"/>
      <c r="HA347" s="327"/>
      <c r="HB347" s="327"/>
      <c r="HC347" s="327"/>
      <c r="HD347" s="327"/>
      <c r="HE347" s="327"/>
      <c r="HF347" s="327"/>
      <c r="HG347" s="327"/>
      <c r="HH347" s="327"/>
      <c r="HI347" s="327"/>
      <c r="HJ347" s="327"/>
      <c r="HK347" s="327"/>
      <c r="HL347" s="327"/>
      <c r="HM347" s="327"/>
      <c r="HN347" s="327"/>
      <c r="HO347" s="327"/>
      <c r="HP347" s="327"/>
      <c r="HQ347" s="327"/>
      <c r="HR347" s="327"/>
      <c r="HS347" s="327"/>
    </row>
    <row r="348" spans="1:227" ht="15" customHeight="1">
      <c r="A348" s="330">
        <v>14</v>
      </c>
      <c r="B348" s="435" t="str">
        <f>VLOOKUP(Ruimtestaat[[#This Row],[Code]],Locaties[[Code]:[Locatie]],2,FALSE)</f>
        <v>IKC De Vuurtoren</v>
      </c>
      <c r="C348" s="435" t="str">
        <f>VLOOKUP(Ruimtestaat[[#This Row],[Code]],Locaties[[#All],[Code]:[Adres]],4,FALSE)</f>
        <v>Spitsbergen 15</v>
      </c>
      <c r="D348" s="435" t="str">
        <f>VLOOKUP(Ruimtestaat[[#This Row],[Code]],Locaties[[#All],[Code]:[Postcode]],5,FALSE)</f>
        <v>2721 GP</v>
      </c>
      <c r="E348" s="435" t="str">
        <f>VLOOKUP(Ruimtestaat[[#This Row],[Code]],Locaties[#All],6,FALSE)</f>
        <v>Zoetermeer</v>
      </c>
      <c r="F348" s="450"/>
      <c r="G348" s="330" t="s">
        <v>1769</v>
      </c>
      <c r="H348" s="330" t="s">
        <v>1753</v>
      </c>
      <c r="I348" s="450" t="s">
        <v>1690</v>
      </c>
      <c r="J348" s="330">
        <v>16</v>
      </c>
      <c r="K348" s="450" t="str">
        <f>VLOOKUP(Ruimtestaat[[#This Row],[Ruimte code]],Ruimtegroepen[[#All],[Code]:[Ruimte omschrijving]],2,FALSE)</f>
        <v>Leslokalen</v>
      </c>
      <c r="L348" s="434" t="s">
        <v>100</v>
      </c>
      <c r="M348" s="437" t="s">
        <v>1759</v>
      </c>
      <c r="N348" s="439">
        <v>53</v>
      </c>
      <c r="O348" s="439"/>
      <c r="P348" s="439"/>
      <c r="Q348" s="439"/>
      <c r="R348" s="440" t="str">
        <f>VLOOKUP(Ruimtestaat[[#This Row],[Ruimte code]],Ruimtegroepen[],4,FALSE)</f>
        <v>Le</v>
      </c>
      <c r="S348" s="434">
        <v>40</v>
      </c>
      <c r="T348" s="434" t="s">
        <v>2</v>
      </c>
      <c r="U348" s="434">
        <f>IF(S348&gt;0,IF(RIGHT(Ruimtestaat[[#This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8" s="434">
        <f>IF(U348&gt;0,VLOOKUP($J348,Ruimtegroepen[],3,FALSE)*VLOOKUP($L348,Vloersoorten[],3,FALSE)*VLOOKUP($T348,Frequenties[],3,FALSE)*VLOOKUP($A348,Locaties[],3,FALSE),0)</f>
        <v>0</v>
      </c>
      <c r="W348" s="434">
        <f>Ruimtestaat[[#This Row],[Uitvoeringen werkdagen]]*Ruimtestaat[[#This Row],[Oppervlak (netto)]]</f>
        <v>10600</v>
      </c>
      <c r="X348" s="441">
        <f>IF(V348&gt;0,Ruimtestaat[[#This Row],[Prest. (m2 /jaar) werkdagen]]/Ruimtestaat[[#This Row],[Norm (m2/uur) werkdagen]],0)</f>
        <v>0</v>
      </c>
      <c r="Y348" s="442">
        <f>Ruimtestaat[[#This Row],[Uitvoeringen werkdagen]]*Ruimtestaat[[#This Row],[Gedeeltelijk]]</f>
        <v>0</v>
      </c>
      <c r="Z348" s="443" t="e">
        <f>IF(U348&gt;0,Ruimtestaat[[#This Row],[Prest. (m2 / jaar) werkdagen gedeeld]]/Ruimtestaat[[#This Row],[Norm (m2/uur) werkdagen]],0)</f>
        <v>#DIV/0!</v>
      </c>
      <c r="AA348" s="441" t="e">
        <f>Ruimtestaat[[#This Row],[uren / jaar werkdagen gedeeld]]*Tariefsopbouw!$E$35</f>
        <v>#DIV/0!</v>
      </c>
      <c r="AB348" s="441">
        <f>Ruimtestaat[[#This Row],[Uitvoeringen werkdagen]]*Ruimtestaat[[#This Row],[BSO]]</f>
        <v>0</v>
      </c>
      <c r="AC348" s="443" t="e">
        <f>IF(U348&gt;0,Ruimtestaat[[#This Row],[Prest. (m2 / jaar) werkdagen BSO]]/Ruimtestaat[[#This Row],[Norm (m2/uur) werkdagen]],0)</f>
        <v>#DIV/0!</v>
      </c>
      <c r="AD348" s="443" t="e">
        <f>Ruimtestaat[[#This Row],[uren / jaar werkdagen BSO]]*Tariefsopbouw!$E$35</f>
        <v>#DIV/0!</v>
      </c>
      <c r="AE348" s="444">
        <f>Ruimtestaat[[#This Row],[uren / jaar werkdagen]]*Tariefsopbouw!$E$35</f>
        <v>0</v>
      </c>
      <c r="AF348" s="434"/>
      <c r="AG348" s="434">
        <f>IF(Ruimtestaat[[#This Row],[Frequentie weekend]]&gt;0,VALUE(LEFT(AF348,1))*S348,0)</f>
        <v>0</v>
      </c>
      <c r="AH348" s="445">
        <f>IF($AG348&gt;0,VLOOKUP($J348,Ruimtegroepen[],3,FALSE)*VLOOKUP($L348,Vloersoorten[],3,FALSE)*VLOOKUP($AF348,Frequenties[],3,FALSE)*VLOOKUP(Ruimtestaat[[#This Row],[Code]],Locaties[],3,FALSE),0)</f>
        <v>0</v>
      </c>
      <c r="AI348" s="445">
        <f>Ruimtestaat[[#This Row],[Uitvoeringen weekend]]*Ruimtestaat[[#This Row],[Oppervlak (netto)]]</f>
        <v>0</v>
      </c>
      <c r="AJ348" s="445">
        <f>IF(AH348&gt;0,Ruimtestaat[[#This Row],[Prest. (m2 /jaar) weekend]]/Ruimtestaat[[#This Row],[Norm (m2/uur) weekend]],0)</f>
        <v>0</v>
      </c>
      <c r="AK348" s="444">
        <f>Ruimtestaat[[#This Row],[uren / jaar weekend]]*Tariefsopbouw!$D$40</f>
        <v>0</v>
      </c>
      <c r="AL348" s="441">
        <f>Ruimtestaat[[#This Row],[Prest. (m2 /jaar) weekend]]+Ruimtestaat[[#This Row],[Prest. (m2 /jaar) werkdagen]]</f>
        <v>10600</v>
      </c>
      <c r="AM348" s="441">
        <f>Ruimtestaat[[#This Row],[uren / jaar weekend]]+Ruimtestaat[[#This Row],[uren / jaar werkdagen]]</f>
        <v>0</v>
      </c>
      <c r="AN348" s="446">
        <f>Ruimtestaat[[#This Row],[kosten / jaar weekend]]+Ruimtestaat[[#This Row],[kosten / jaar werkdagen]]</f>
        <v>0</v>
      </c>
      <c r="AO348" s="446"/>
      <c r="AP348" s="447" t="str">
        <f>IF(Ruimtestaat[[#This Row],[Frequentie werkdagen]]="","",_xlfn.CONCAT(Ruimtestaat[[#This Row],[Ruimte code]],"-",Ruimtestaat[[#This Row],[Frequentie werkdagen]]," ",Ruimtestaat[[#This Row],[Vloer code]]))</f>
        <v>16-5w L</v>
      </c>
      <c r="AQ348" s="448" t="str">
        <f>_xlfn.IFNA(VLOOKUP($AP348,Programma!$F$3:$G$1101,2,0),"")</f>
        <v>_</v>
      </c>
      <c r="AR348" s="448" t="str">
        <f>_xlfn.IFNA(VLOOKUP($AP348,Programma!$F$3:$H$1101,3,0),"")</f>
        <v>_</v>
      </c>
      <c r="AS348" s="448" t="str">
        <f>_xlfn.IFNA(VLOOKUP($AP348,Programma!$F$3:$I$1101,4,0),"")</f>
        <v>4w</v>
      </c>
      <c r="AT348" s="448" t="str">
        <f>_xlfn.IFNA(VLOOKUP($AP348,Programma!$F$3:$J$1101,5,0),"")</f>
        <v>1w</v>
      </c>
      <c r="AU348" s="448" t="str">
        <f>_xlfn.IFNA(VLOOKUP($AP348,Programma!$F$3:$K$1101,6,0),"")</f>
        <v>_</v>
      </c>
      <c r="AV348" s="448" t="str">
        <f>_xlfn.IFNA(VLOOKUP($AP348,Programma!$F$3:$L$1101,7,0),"")</f>
        <v>_</v>
      </c>
      <c r="AW348" s="448" t="str">
        <f>_xlfn.IFNA(VLOOKUP($AP348,Programma!$F$3:$M$1101,8,0),"")</f>
        <v>_</v>
      </c>
      <c r="AX348" s="448" t="str">
        <f>_xlfn.IFNA(VLOOKUP($AP348,Programma!$F$3:$N$1101,9,0),"")</f>
        <v>_</v>
      </c>
      <c r="AY348" s="448" t="str">
        <f>_xlfn.IFNA(VLOOKUP($AP348,Programma!$F$3:$O$1101,10,0),"")</f>
        <v>5w</v>
      </c>
      <c r="AZ348" s="448" t="str">
        <f>_xlfn.IFNA(VLOOKUP($AP348,Programma!$F$3:$P$1101,11,0),"")</f>
        <v>5w</v>
      </c>
      <c r="BA348" s="448" t="str">
        <f>_xlfn.IFNA(VLOOKUP($AP348,Programma!$F$3:$Q$1101,12,0),"")</f>
        <v>1w</v>
      </c>
      <c r="BB348" s="448" t="str">
        <f>_xlfn.IFNA(VLOOKUP($AP348,Programma!$F$3:$R$1101,13,0),"")</f>
        <v>1w</v>
      </c>
      <c r="BC348" s="448" t="str">
        <f>_xlfn.IFNA(VLOOKUP($AP348,Programma!$F$3:$S$1101,14,0),"")</f>
        <v>1m</v>
      </c>
      <c r="BD348" s="448" t="str">
        <f>_xlfn.IFNA(VLOOKUP($AP348,Programma!$F$3:$T$1101,15,0),"")</f>
        <v>2j</v>
      </c>
      <c r="BE348" s="448" t="str">
        <f>_xlfn.IFNA(VLOOKUP($AP348,Programma!$F$3:$U$1101,16,0),"")</f>
        <v>1j</v>
      </c>
      <c r="BF348" s="448" t="str">
        <f>_xlfn.IFNA(VLOOKUP($AP348,Programma!$F$3:$V$1101,17,0),"")</f>
        <v>_</v>
      </c>
      <c r="BG348" s="448" t="str">
        <f>_xlfn.IFNA(VLOOKUP($AP348,Programma!$F$3:$W$1101,18,0),"")</f>
        <v>_</v>
      </c>
      <c r="BH348" s="448" t="str">
        <f>_xlfn.IFNA(VLOOKUP($AP348,Programma!$F$3:$X$1101,19,0),"")</f>
        <v>_</v>
      </c>
      <c r="BI348" s="448" t="str">
        <f>_xlfn.IFNA(VLOOKUP($AP348,Programma!$F$3:$Y$1101,20,0),"")</f>
        <v>_</v>
      </c>
      <c r="BJ348" s="449"/>
      <c r="BK348" s="447" t="str">
        <f>IF(Ruimtestaat[[#This Row],[Frequentie weekend]]="","",_xlfn.CONCAT(Ruimtestaat[[#This Row],[Ruimte code]],"-",Ruimtestaat[[#This Row],[Frequentie weekend]]," ",Ruimtestaat[[#This Row],[Vloer code]]))</f>
        <v/>
      </c>
      <c r="BL348" s="448" t="str">
        <f>_xlfn.IFNA(VLOOKUP($BK348,Programma!$F$3:$G$1101,2,0),"")</f>
        <v/>
      </c>
      <c r="BM348" s="448" t="str">
        <f>_xlfn.IFNA(VLOOKUP($BK348,Programma!$F$3:$H$1101,3,0),"")</f>
        <v/>
      </c>
      <c r="BN348" s="448" t="str">
        <f>_xlfn.IFNA(VLOOKUP($BK348,Programma!$F$3:$I$1101,4,0),"")</f>
        <v/>
      </c>
      <c r="BO348" s="448" t="str">
        <f>_xlfn.IFNA(VLOOKUP($BK348,Programma!$F$3:$J$1101,5,0),"")</f>
        <v/>
      </c>
      <c r="BP348" s="448" t="str">
        <f>_xlfn.IFNA(VLOOKUP($BK348,Programma!$F$3:$K$1101,6,0),"")</f>
        <v/>
      </c>
      <c r="BQ348" s="448" t="str">
        <f>_xlfn.IFNA(VLOOKUP($BK348,Programma!$F$3:$L$1101,7,0),"")</f>
        <v/>
      </c>
      <c r="BR348" s="448" t="str">
        <f>_xlfn.IFNA(VLOOKUP($BK348,Programma!$F$3:$M$1101,8,0),"")</f>
        <v/>
      </c>
      <c r="BS348" s="448" t="str">
        <f>_xlfn.IFNA(VLOOKUP($BK348,Programma!$F$3:$N$1101,9,0),"")</f>
        <v/>
      </c>
      <c r="BT348" s="448" t="str">
        <f>_xlfn.IFNA(VLOOKUP($BK348,Programma!$F$3:$O$1101,10,0),"")</f>
        <v/>
      </c>
      <c r="BU348" s="448" t="str">
        <f>_xlfn.IFNA(VLOOKUP($BK348,Programma!$F$3:$P$1101,11,0),"")</f>
        <v/>
      </c>
      <c r="BV348" s="448" t="str">
        <f>_xlfn.IFNA(VLOOKUP($BK348,Programma!$F$3:$Q$1101,12,0),"")</f>
        <v/>
      </c>
      <c r="BW348" s="448" t="str">
        <f>_xlfn.IFNA(VLOOKUP($BK348,Programma!$F$3:$R$1101,13,0),"")</f>
        <v/>
      </c>
      <c r="BX348" s="448" t="str">
        <f>_xlfn.IFNA(VLOOKUP($BK348,Programma!$F$3:$S$1101,14,0),"")</f>
        <v/>
      </c>
      <c r="BY348" s="448" t="str">
        <f>_xlfn.IFNA(VLOOKUP($BK348,Programma!$F$3:$T$1101,15,0),"")</f>
        <v/>
      </c>
      <c r="BZ348" s="448" t="str">
        <f>_xlfn.IFNA(VLOOKUP($BK348,Programma!$F$3:$U$1101,16,0),"")</f>
        <v/>
      </c>
      <c r="CA348" s="448" t="str">
        <f>_xlfn.IFNA(VLOOKUP($BK348,Programma!$F$3:$V$1101,17,0),"")</f>
        <v/>
      </c>
      <c r="CB348" s="448" t="str">
        <f>_xlfn.IFNA(VLOOKUP($BK348,Programma!$F$3:$W$1101,18,0),"")</f>
        <v/>
      </c>
      <c r="CC348" s="448" t="str">
        <f>_xlfn.IFNA(VLOOKUP($BK348,Programma!$F$3:$X$1101,19,0),"")</f>
        <v/>
      </c>
      <c r="CD348" s="448" t="str">
        <f>_xlfn.IFNA(VLOOKUP($BK348,Programma!$F$3:$Y$1101,20,0),"")</f>
        <v/>
      </c>
      <c r="CE348" s="327"/>
      <c r="CF348" s="327"/>
      <c r="CG348" s="327"/>
      <c r="CH348" s="327"/>
      <c r="CI348" s="327"/>
      <c r="CJ348" s="327"/>
      <c r="CK348" s="327"/>
      <c r="CL348" s="327"/>
      <c r="CM348" s="327"/>
      <c r="CN348" s="327"/>
      <c r="CO348" s="327"/>
      <c r="CP348" s="327"/>
      <c r="CQ348" s="327"/>
      <c r="CR348" s="327"/>
      <c r="CS348" s="327"/>
      <c r="CT348" s="327"/>
      <c r="CU348" s="327"/>
      <c r="CV348" s="327"/>
      <c r="CW348" s="327"/>
      <c r="CX348" s="327"/>
      <c r="CY348" s="327"/>
      <c r="CZ348" s="327"/>
      <c r="DA348" s="327"/>
      <c r="DB348" s="327"/>
      <c r="DC348" s="327"/>
      <c r="DD348" s="327"/>
      <c r="DE348" s="327"/>
      <c r="DF348" s="327"/>
      <c r="DG348" s="327"/>
      <c r="DH348" s="327"/>
      <c r="DI348" s="327"/>
      <c r="DJ348" s="327"/>
      <c r="DK348" s="327"/>
      <c r="DL348" s="327"/>
      <c r="DM348" s="327"/>
      <c r="DN348" s="327"/>
      <c r="DO348" s="327"/>
      <c r="DP348" s="327"/>
      <c r="DQ348" s="327"/>
      <c r="DR348" s="327"/>
      <c r="DS348" s="327"/>
      <c r="DT348" s="327"/>
      <c r="DU348" s="327"/>
      <c r="DV348" s="327"/>
      <c r="DW348" s="327"/>
      <c r="DX348" s="327"/>
      <c r="DY348" s="327"/>
      <c r="DZ348" s="327"/>
      <c r="EA348" s="327"/>
      <c r="EB348" s="327"/>
      <c r="EC348" s="327"/>
      <c r="ED348" s="327"/>
      <c r="EE348" s="327"/>
      <c r="EF348" s="327"/>
      <c r="EG348" s="327"/>
      <c r="EH348" s="327"/>
      <c r="EI348" s="327"/>
      <c r="EJ348" s="327"/>
      <c r="EK348" s="327"/>
      <c r="EL348" s="327"/>
      <c r="EM348" s="327"/>
      <c r="EN348" s="327"/>
      <c r="EO348" s="327"/>
      <c r="EP348" s="327"/>
      <c r="EQ348" s="327"/>
      <c r="ER348" s="327"/>
      <c r="ES348" s="327"/>
      <c r="ET348" s="327"/>
      <c r="EU348" s="327"/>
      <c r="EV348" s="327"/>
      <c r="EW348" s="327"/>
      <c r="EX348" s="327"/>
      <c r="EY348" s="327"/>
      <c r="EZ348" s="327"/>
      <c r="FA348" s="327"/>
      <c r="FB348" s="327"/>
      <c r="FC348" s="327"/>
      <c r="FD348" s="327"/>
      <c r="FE348" s="327"/>
      <c r="FF348" s="327"/>
      <c r="FG348" s="327"/>
      <c r="FH348" s="327"/>
      <c r="FI348" s="327"/>
      <c r="FJ348" s="327"/>
      <c r="FK348" s="327"/>
      <c r="FL348" s="327"/>
      <c r="FM348" s="327"/>
      <c r="FN348" s="327"/>
      <c r="FO348" s="327"/>
      <c r="FP348" s="327"/>
      <c r="FQ348" s="327"/>
      <c r="FR348" s="327"/>
      <c r="FS348" s="327"/>
      <c r="FT348" s="327"/>
      <c r="FU348" s="327"/>
      <c r="FV348" s="327"/>
      <c r="FW348" s="327"/>
      <c r="FX348" s="327"/>
      <c r="FY348" s="327"/>
      <c r="FZ348" s="327"/>
      <c r="GA348" s="327"/>
      <c r="GB348" s="327"/>
      <c r="GC348" s="327"/>
      <c r="GD348" s="327"/>
      <c r="GE348" s="327"/>
      <c r="GF348" s="327"/>
      <c r="GG348" s="327"/>
      <c r="GH348" s="327"/>
      <c r="GI348" s="327"/>
      <c r="GJ348" s="327"/>
      <c r="GK348" s="327"/>
      <c r="GL348" s="327"/>
      <c r="GM348" s="327"/>
      <c r="GN348" s="327"/>
      <c r="GO348" s="327"/>
      <c r="GP348" s="327"/>
      <c r="GQ348" s="327"/>
      <c r="GR348" s="327"/>
      <c r="GS348" s="327"/>
      <c r="GT348" s="327"/>
      <c r="GU348" s="327"/>
      <c r="GV348" s="327"/>
      <c r="GW348" s="327"/>
      <c r="GX348" s="327"/>
      <c r="GY348" s="327"/>
      <c r="GZ348" s="327"/>
      <c r="HA348" s="327"/>
      <c r="HB348" s="327"/>
      <c r="HC348" s="327"/>
      <c r="HD348" s="327"/>
      <c r="HE348" s="327"/>
      <c r="HF348" s="327"/>
      <c r="HG348" s="327"/>
      <c r="HH348" s="327"/>
      <c r="HI348" s="327"/>
      <c r="HJ348" s="327"/>
      <c r="HK348" s="327"/>
      <c r="HL348" s="327"/>
      <c r="HM348" s="327"/>
      <c r="HN348" s="327"/>
      <c r="HO348" s="327"/>
      <c r="HP348" s="327"/>
      <c r="HQ348" s="327"/>
      <c r="HR348" s="327"/>
      <c r="HS348" s="327"/>
    </row>
    <row r="349" spans="1:227" ht="15" customHeight="1">
      <c r="A349" s="330">
        <v>14</v>
      </c>
      <c r="B349" s="435" t="str">
        <f>VLOOKUP(Ruimtestaat[[#This Row],[Code]],Locaties[[Code]:[Locatie]],2,FALSE)</f>
        <v>IKC De Vuurtoren</v>
      </c>
      <c r="C349" s="435" t="str">
        <f>VLOOKUP(Ruimtestaat[[#This Row],[Code]],Locaties[[#All],[Code]:[Adres]],4,FALSE)</f>
        <v>Spitsbergen 15</v>
      </c>
      <c r="D349" s="435" t="str">
        <f>VLOOKUP(Ruimtestaat[[#This Row],[Code]],Locaties[[#All],[Code]:[Postcode]],5,FALSE)</f>
        <v>2721 GP</v>
      </c>
      <c r="E349" s="435" t="str">
        <f>VLOOKUP(Ruimtestaat[[#This Row],[Code]],Locaties[#All],6,FALSE)</f>
        <v>Zoetermeer</v>
      </c>
      <c r="F349" s="450"/>
      <c r="G349" s="330" t="s">
        <v>1769</v>
      </c>
      <c r="H349" s="330" t="s">
        <v>1754</v>
      </c>
      <c r="I349" s="450" t="s">
        <v>1666</v>
      </c>
      <c r="J349" s="330">
        <v>2</v>
      </c>
      <c r="K349" s="450" t="str">
        <f>VLOOKUP(Ruimtestaat[[#This Row],[Ruimte code]],Ruimtegroepen[[#All],[Code]:[Ruimte omschrijving]],2,FALSE)</f>
        <v>Kantoren</v>
      </c>
      <c r="L349" s="434" t="s">
        <v>100</v>
      </c>
      <c r="M349" s="437" t="s">
        <v>1759</v>
      </c>
      <c r="N349" s="439">
        <v>11</v>
      </c>
      <c r="O349" s="439"/>
      <c r="P349" s="439"/>
      <c r="Q349" s="439"/>
      <c r="R349" s="440" t="str">
        <f>VLOOKUP(Ruimtestaat[[#This Row],[Ruimte code]],Ruimtegroepen[],4,FALSE)</f>
        <v>Bu</v>
      </c>
      <c r="S349" s="434">
        <v>41</v>
      </c>
      <c r="T349" s="434" t="s">
        <v>17</v>
      </c>
      <c r="U349" s="434">
        <f>IF(S349&gt;0,IF(RIGHT(Ruimtestaat[[#This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49" s="434">
        <f>IF(U349&gt;0,VLOOKUP($J349,Ruimtegroepen[],3,FALSE)*VLOOKUP($L349,Vloersoorten[],3,FALSE)*VLOOKUP($T349,Frequenties[],3,FALSE)*VLOOKUP($A349,Locaties[],3,FALSE),0)</f>
        <v>0</v>
      </c>
      <c r="W349" s="434">
        <f>Ruimtestaat[[#This Row],[Uitvoeringen werkdagen]]*Ruimtestaat[[#This Row],[Oppervlak (netto)]]</f>
        <v>902</v>
      </c>
      <c r="X349" s="441">
        <f>IF(V349&gt;0,Ruimtestaat[[#This Row],[Prest. (m2 /jaar) werkdagen]]/Ruimtestaat[[#This Row],[Norm (m2/uur) werkdagen]],0)</f>
        <v>0</v>
      </c>
      <c r="Y349" s="442">
        <f>Ruimtestaat[[#This Row],[Uitvoeringen werkdagen]]*Ruimtestaat[[#This Row],[Gedeeltelijk]]</f>
        <v>0</v>
      </c>
      <c r="Z349" s="443" t="e">
        <f>IF(U349&gt;0,Ruimtestaat[[#This Row],[Prest. (m2 / jaar) werkdagen gedeeld]]/Ruimtestaat[[#This Row],[Norm (m2/uur) werkdagen]],0)</f>
        <v>#DIV/0!</v>
      </c>
      <c r="AA349" s="441" t="e">
        <f>Ruimtestaat[[#This Row],[uren / jaar werkdagen gedeeld]]*Tariefsopbouw!$E$35</f>
        <v>#DIV/0!</v>
      </c>
      <c r="AB349" s="441">
        <f>Ruimtestaat[[#This Row],[Uitvoeringen werkdagen]]*Ruimtestaat[[#This Row],[BSO]]</f>
        <v>0</v>
      </c>
      <c r="AC349" s="443" t="e">
        <f>IF(U349&gt;0,Ruimtestaat[[#This Row],[Prest. (m2 / jaar) werkdagen BSO]]/Ruimtestaat[[#This Row],[Norm (m2/uur) werkdagen]],0)</f>
        <v>#DIV/0!</v>
      </c>
      <c r="AD349" s="443" t="e">
        <f>Ruimtestaat[[#This Row],[uren / jaar werkdagen BSO]]*Tariefsopbouw!$E$35</f>
        <v>#DIV/0!</v>
      </c>
      <c r="AE349" s="444">
        <f>Ruimtestaat[[#This Row],[uren / jaar werkdagen]]*Tariefsopbouw!$E$35</f>
        <v>0</v>
      </c>
      <c r="AF349" s="434"/>
      <c r="AG349" s="434">
        <f>IF(Ruimtestaat[[#This Row],[Frequentie weekend]]&gt;0,VALUE(LEFT(AF349,1))*S349,0)</f>
        <v>0</v>
      </c>
      <c r="AH349" s="445">
        <f>IF($AG349&gt;0,VLOOKUP($J349,Ruimtegroepen[],3,FALSE)*VLOOKUP($L349,Vloersoorten[],3,FALSE)*VLOOKUP($AF349,Frequenties[],3,FALSE)*VLOOKUP(Ruimtestaat[[#This Row],[Code]],Locaties[],3,FALSE),0)</f>
        <v>0</v>
      </c>
      <c r="AI349" s="445">
        <f>Ruimtestaat[[#This Row],[Uitvoeringen weekend]]*Ruimtestaat[[#This Row],[Oppervlak (netto)]]</f>
        <v>0</v>
      </c>
      <c r="AJ349" s="445">
        <f>IF(AH349&gt;0,Ruimtestaat[[#This Row],[Prest. (m2 /jaar) weekend]]/Ruimtestaat[[#This Row],[Norm (m2/uur) weekend]],0)</f>
        <v>0</v>
      </c>
      <c r="AK349" s="444">
        <f>Ruimtestaat[[#This Row],[uren / jaar weekend]]*Tariefsopbouw!$D$40</f>
        <v>0</v>
      </c>
      <c r="AL349" s="441">
        <f>Ruimtestaat[[#This Row],[Prest. (m2 /jaar) weekend]]+Ruimtestaat[[#This Row],[Prest. (m2 /jaar) werkdagen]]</f>
        <v>902</v>
      </c>
      <c r="AM349" s="441">
        <f>Ruimtestaat[[#This Row],[uren / jaar weekend]]+Ruimtestaat[[#This Row],[uren / jaar werkdagen]]</f>
        <v>0</v>
      </c>
      <c r="AN349" s="446">
        <f>Ruimtestaat[[#This Row],[kosten / jaar weekend]]+Ruimtestaat[[#This Row],[kosten / jaar werkdagen]]</f>
        <v>0</v>
      </c>
      <c r="AO349" s="446"/>
      <c r="AP349" s="447" t="str">
        <f>IF(Ruimtestaat[[#This Row],[Frequentie werkdagen]]="","",_xlfn.CONCAT(Ruimtestaat[[#This Row],[Ruimte code]],"-",Ruimtestaat[[#This Row],[Frequentie werkdagen]]," ",Ruimtestaat[[#This Row],[Vloer code]]))</f>
        <v>2-2w L</v>
      </c>
      <c r="AQ349" s="448" t="str">
        <f>_xlfn.IFNA(VLOOKUP($AP349,Programma!$F$3:$G$1101,2,0),"")</f>
        <v>_</v>
      </c>
      <c r="AR349" s="448" t="str">
        <f>_xlfn.IFNA(VLOOKUP($AP349,Programma!$F$3:$H$1101,3,0),"")</f>
        <v>_</v>
      </c>
      <c r="AS349" s="448" t="str">
        <f>_xlfn.IFNA(VLOOKUP($AP349,Programma!$F$3:$I$1101,4,0),"")</f>
        <v>1w</v>
      </c>
      <c r="AT349" s="448" t="str">
        <f>_xlfn.IFNA(VLOOKUP($AP349,Programma!$F$3:$J$1101,5,0),"")</f>
        <v>1w</v>
      </c>
      <c r="AU349" s="448" t="str">
        <f>_xlfn.IFNA(VLOOKUP($AP349,Programma!$F$3:$K$1101,6,0),"")</f>
        <v>_</v>
      </c>
      <c r="AV349" s="448" t="str">
        <f>_xlfn.IFNA(VLOOKUP($AP349,Programma!$F$3:$L$1101,7,0),"")</f>
        <v>_</v>
      </c>
      <c r="AW349" s="448" t="str">
        <f>_xlfn.IFNA(VLOOKUP($AP349,Programma!$F$3:$M$1101,8,0),"")</f>
        <v>_</v>
      </c>
      <c r="AX349" s="448" t="str">
        <f>_xlfn.IFNA(VLOOKUP($AP349,Programma!$F$3:$N$1101,9,0),"")</f>
        <v>_</v>
      </c>
      <c r="AY349" s="448" t="str">
        <f>_xlfn.IFNA(VLOOKUP($AP349,Programma!$F$3:$O$1101,10,0),"")</f>
        <v>2w</v>
      </c>
      <c r="AZ349" s="448" t="str">
        <f>_xlfn.IFNA(VLOOKUP($AP349,Programma!$F$3:$P$1101,11,0),"")</f>
        <v>2w</v>
      </c>
      <c r="BA349" s="448" t="str">
        <f>_xlfn.IFNA(VLOOKUP($AP349,Programma!$F$3:$Q$1101,12,0),"")</f>
        <v>1w</v>
      </c>
      <c r="BB349" s="448" t="str">
        <f>_xlfn.IFNA(VLOOKUP($AP349,Programma!$F$3:$R$1101,13,0),"")</f>
        <v>1w</v>
      </c>
      <c r="BC349" s="448" t="str">
        <f>_xlfn.IFNA(VLOOKUP($AP349,Programma!$F$3:$S$1101,14,0),"")</f>
        <v>1m</v>
      </c>
      <c r="BD349" s="448" t="str">
        <f>_xlfn.IFNA(VLOOKUP($AP349,Programma!$F$3:$T$1101,15,0),"")</f>
        <v>2j</v>
      </c>
      <c r="BE349" s="448" t="str">
        <f>_xlfn.IFNA(VLOOKUP($AP349,Programma!$F$3:$U$1101,16,0),"")</f>
        <v>1j</v>
      </c>
      <c r="BF349" s="448" t="str">
        <f>_xlfn.IFNA(VLOOKUP($AP349,Programma!$F$3:$V$1101,17,0),"")</f>
        <v>_</v>
      </c>
      <c r="BG349" s="448" t="str">
        <f>_xlfn.IFNA(VLOOKUP($AP349,Programma!$F$3:$W$1101,18,0),"")</f>
        <v>_</v>
      </c>
      <c r="BH349" s="448" t="str">
        <f>_xlfn.IFNA(VLOOKUP($AP349,Programma!$F$3:$X$1101,19,0),"")</f>
        <v>_</v>
      </c>
      <c r="BI349" s="448" t="str">
        <f>_xlfn.IFNA(VLOOKUP($AP349,Programma!$F$3:$Y$1101,20,0),"")</f>
        <v>_</v>
      </c>
      <c r="BJ349" s="449"/>
      <c r="BK349" s="447" t="str">
        <f>IF(Ruimtestaat[[#This Row],[Frequentie weekend]]="","",_xlfn.CONCAT(Ruimtestaat[[#This Row],[Ruimte code]],"-",Ruimtestaat[[#This Row],[Frequentie weekend]]," ",Ruimtestaat[[#This Row],[Vloer code]]))</f>
        <v/>
      </c>
      <c r="BL349" s="448" t="str">
        <f>_xlfn.IFNA(VLOOKUP($BK349,Programma!$F$3:$G$1101,2,0),"")</f>
        <v/>
      </c>
      <c r="BM349" s="448" t="str">
        <f>_xlfn.IFNA(VLOOKUP($BK349,Programma!$F$3:$H$1101,3,0),"")</f>
        <v/>
      </c>
      <c r="BN349" s="448" t="str">
        <f>_xlfn.IFNA(VLOOKUP($BK349,Programma!$F$3:$I$1101,4,0),"")</f>
        <v/>
      </c>
      <c r="BO349" s="448" t="str">
        <f>_xlfn.IFNA(VLOOKUP($BK349,Programma!$F$3:$J$1101,5,0),"")</f>
        <v/>
      </c>
      <c r="BP349" s="448" t="str">
        <f>_xlfn.IFNA(VLOOKUP($BK349,Programma!$F$3:$K$1101,6,0),"")</f>
        <v/>
      </c>
      <c r="BQ349" s="448" t="str">
        <f>_xlfn.IFNA(VLOOKUP($BK349,Programma!$F$3:$L$1101,7,0),"")</f>
        <v/>
      </c>
      <c r="BR349" s="448" t="str">
        <f>_xlfn.IFNA(VLOOKUP($BK349,Programma!$F$3:$M$1101,8,0),"")</f>
        <v/>
      </c>
      <c r="BS349" s="448" t="str">
        <f>_xlfn.IFNA(VLOOKUP($BK349,Programma!$F$3:$N$1101,9,0),"")</f>
        <v/>
      </c>
      <c r="BT349" s="448" t="str">
        <f>_xlfn.IFNA(VLOOKUP($BK349,Programma!$F$3:$O$1101,10,0),"")</f>
        <v/>
      </c>
      <c r="BU349" s="448" t="str">
        <f>_xlfn.IFNA(VLOOKUP($BK349,Programma!$F$3:$P$1101,11,0),"")</f>
        <v/>
      </c>
      <c r="BV349" s="448" t="str">
        <f>_xlfn.IFNA(VLOOKUP($BK349,Programma!$F$3:$Q$1101,12,0),"")</f>
        <v/>
      </c>
      <c r="BW349" s="448" t="str">
        <f>_xlfn.IFNA(VLOOKUP($BK349,Programma!$F$3:$R$1101,13,0),"")</f>
        <v/>
      </c>
      <c r="BX349" s="448" t="str">
        <f>_xlfn.IFNA(VLOOKUP($BK349,Programma!$F$3:$S$1101,14,0),"")</f>
        <v/>
      </c>
      <c r="BY349" s="448" t="str">
        <f>_xlfn.IFNA(VLOOKUP($BK349,Programma!$F$3:$T$1101,15,0),"")</f>
        <v/>
      </c>
      <c r="BZ349" s="448" t="str">
        <f>_xlfn.IFNA(VLOOKUP($BK349,Programma!$F$3:$U$1101,16,0),"")</f>
        <v/>
      </c>
      <c r="CA349" s="448" t="str">
        <f>_xlfn.IFNA(VLOOKUP($BK349,Programma!$F$3:$V$1101,17,0),"")</f>
        <v/>
      </c>
      <c r="CB349" s="448" t="str">
        <f>_xlfn.IFNA(VLOOKUP($BK349,Programma!$F$3:$W$1101,18,0),"")</f>
        <v/>
      </c>
      <c r="CC349" s="448" t="str">
        <f>_xlfn.IFNA(VLOOKUP($BK349,Programma!$F$3:$X$1101,19,0),"")</f>
        <v/>
      </c>
      <c r="CD349" s="448" t="str">
        <f>_xlfn.IFNA(VLOOKUP($BK349,Programma!$F$3:$Y$1101,20,0),"")</f>
        <v/>
      </c>
      <c r="CE349" s="327"/>
      <c r="CF349" s="327"/>
      <c r="CG349" s="327"/>
      <c r="CH349" s="327"/>
      <c r="CI349" s="327"/>
      <c r="CJ349" s="327"/>
      <c r="CK349" s="327"/>
      <c r="CL349" s="327"/>
      <c r="CM349" s="327"/>
      <c r="CN349" s="327"/>
      <c r="CO349" s="327"/>
      <c r="CP349" s="327"/>
      <c r="CQ349" s="327"/>
      <c r="CR349" s="327"/>
      <c r="CS349" s="327"/>
      <c r="CT349" s="327"/>
      <c r="CU349" s="327"/>
      <c r="CV349" s="327"/>
      <c r="CW349" s="327"/>
      <c r="CX349" s="327"/>
      <c r="CY349" s="327"/>
      <c r="CZ349" s="327"/>
      <c r="DA349" s="327"/>
      <c r="DB349" s="327"/>
      <c r="DC349" s="327"/>
      <c r="DD349" s="327"/>
      <c r="DE349" s="327"/>
      <c r="DF349" s="327"/>
      <c r="DG349" s="327"/>
      <c r="DH349" s="327"/>
      <c r="DI349" s="327"/>
      <c r="DJ349" s="327"/>
      <c r="DK349" s="327"/>
      <c r="DL349" s="327"/>
      <c r="DM349" s="327"/>
      <c r="DN349" s="327"/>
      <c r="DO349" s="327"/>
      <c r="DP349" s="327"/>
      <c r="DQ349" s="327"/>
      <c r="DR349" s="327"/>
      <c r="DS349" s="327"/>
      <c r="DT349" s="327"/>
      <c r="DU349" s="327"/>
      <c r="DV349" s="327"/>
      <c r="DW349" s="327"/>
      <c r="DX349" s="327"/>
      <c r="DY349" s="327"/>
      <c r="DZ349" s="327"/>
      <c r="EA349" s="327"/>
      <c r="EB349" s="327"/>
      <c r="EC349" s="327"/>
      <c r="ED349" s="327"/>
      <c r="EE349" s="327"/>
      <c r="EF349" s="327"/>
      <c r="EG349" s="327"/>
      <c r="EH349" s="327"/>
      <c r="EI349" s="327"/>
      <c r="EJ349" s="327"/>
      <c r="EK349" s="327"/>
      <c r="EL349" s="327"/>
      <c r="EM349" s="327"/>
      <c r="EN349" s="327"/>
      <c r="EO349" s="327"/>
      <c r="EP349" s="327"/>
      <c r="EQ349" s="327"/>
      <c r="ER349" s="327"/>
      <c r="ES349" s="327"/>
      <c r="ET349" s="327"/>
      <c r="EU349" s="327"/>
      <c r="EV349" s="327"/>
      <c r="EW349" s="327"/>
      <c r="EX349" s="327"/>
      <c r="EY349" s="327"/>
      <c r="EZ349" s="327"/>
      <c r="FA349" s="327"/>
      <c r="FB349" s="327"/>
      <c r="FC349" s="327"/>
      <c r="FD349" s="327"/>
      <c r="FE349" s="327"/>
      <c r="FF349" s="327"/>
      <c r="FG349" s="327"/>
      <c r="FH349" s="327"/>
      <c r="FI349" s="327"/>
      <c r="FJ349" s="327"/>
      <c r="FK349" s="327"/>
      <c r="FL349" s="327"/>
      <c r="FM349" s="327"/>
      <c r="FN349" s="327"/>
      <c r="FO349" s="327"/>
      <c r="FP349" s="327"/>
      <c r="FQ349" s="327"/>
      <c r="FR349" s="327"/>
      <c r="FS349" s="327"/>
      <c r="FT349" s="327"/>
      <c r="FU349" s="327"/>
      <c r="FV349" s="327"/>
      <c r="FW349" s="327"/>
      <c r="FX349" s="327"/>
      <c r="FY349" s="327"/>
      <c r="FZ349" s="327"/>
      <c r="GA349" s="327"/>
      <c r="GB349" s="327"/>
      <c r="GC349" s="327"/>
      <c r="GD349" s="327"/>
      <c r="GE349" s="327"/>
      <c r="GF349" s="327"/>
      <c r="GG349" s="327"/>
      <c r="GH349" s="327"/>
      <c r="GI349" s="327"/>
      <c r="GJ349" s="327"/>
      <c r="GK349" s="327"/>
      <c r="GL349" s="327"/>
      <c r="GM349" s="327"/>
      <c r="GN349" s="327"/>
      <c r="GO349" s="327"/>
      <c r="GP349" s="327"/>
      <c r="GQ349" s="327"/>
      <c r="GR349" s="327"/>
      <c r="GS349" s="327"/>
      <c r="GT349" s="327"/>
      <c r="GU349" s="327"/>
      <c r="GV349" s="327"/>
      <c r="GW349" s="327"/>
      <c r="GX349" s="327"/>
      <c r="GY349" s="327"/>
      <c r="GZ349" s="327"/>
      <c r="HA349" s="327"/>
      <c r="HB349" s="327"/>
      <c r="HC349" s="327"/>
      <c r="HD349" s="327"/>
      <c r="HE349" s="327"/>
      <c r="HF349" s="327"/>
      <c r="HG349" s="327"/>
      <c r="HH349" s="327"/>
      <c r="HI349" s="327"/>
      <c r="HJ349" s="327"/>
      <c r="HK349" s="327"/>
      <c r="HL349" s="327"/>
      <c r="HM349" s="327"/>
      <c r="HN349" s="327"/>
      <c r="HO349" s="327"/>
      <c r="HP349" s="327"/>
      <c r="HQ349" s="327"/>
      <c r="HR349" s="327"/>
      <c r="HS349" s="327"/>
    </row>
    <row r="350" spans="1:227" ht="15" customHeight="1">
      <c r="A350" s="330">
        <v>14</v>
      </c>
      <c r="B350" s="435" t="str">
        <f>VLOOKUP(Ruimtestaat[[#This Row],[Code]],Locaties[[Code]:[Locatie]],2,FALSE)</f>
        <v>IKC De Vuurtoren</v>
      </c>
      <c r="C350" s="435" t="str">
        <f>VLOOKUP(Ruimtestaat[[#This Row],[Code]],Locaties[[#All],[Code]:[Adres]],4,FALSE)</f>
        <v>Spitsbergen 15</v>
      </c>
      <c r="D350" s="435" t="str">
        <f>VLOOKUP(Ruimtestaat[[#This Row],[Code]],Locaties[[#All],[Code]:[Postcode]],5,FALSE)</f>
        <v>2721 GP</v>
      </c>
      <c r="E350" s="435" t="str">
        <f>VLOOKUP(Ruimtestaat[[#This Row],[Code]],Locaties[#All],6,FALSE)</f>
        <v>Zoetermeer</v>
      </c>
      <c r="F350" s="450"/>
      <c r="G350" s="330" t="s">
        <v>1769</v>
      </c>
      <c r="H350" s="330" t="s">
        <v>1757</v>
      </c>
      <c r="I350" s="450" t="s">
        <v>1673</v>
      </c>
      <c r="J350" s="330">
        <v>5</v>
      </c>
      <c r="K350" s="450" t="str">
        <f>VLOOKUP(Ruimtestaat[[#This Row],[Ruimte code]],Ruimtegroepen[[#All],[Code]:[Ruimte omschrijving]],2,FALSE)</f>
        <v>Sanitair</v>
      </c>
      <c r="L350" s="330" t="s">
        <v>101</v>
      </c>
      <c r="M350" s="437" t="s">
        <v>1816</v>
      </c>
      <c r="N350" s="439">
        <v>28</v>
      </c>
      <c r="O350" s="439"/>
      <c r="P350" s="439"/>
      <c r="Q350" s="439"/>
      <c r="R350" s="440" t="str">
        <f>VLOOKUP(Ruimtestaat[[#This Row],[Ruimte code]],Ruimtegroepen[],4,FALSE)</f>
        <v>Sa</v>
      </c>
      <c r="S350" s="434">
        <v>41</v>
      </c>
      <c r="T350" s="434" t="s">
        <v>2</v>
      </c>
      <c r="U350" s="434">
        <f>IF(S350&gt;0,IF(RIGHT(Ruimtestaat[[#This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50" s="434">
        <f>IF(U350&gt;0,VLOOKUP($J350,Ruimtegroepen[],3,FALSE)*VLOOKUP($L350,Vloersoorten[],3,FALSE)*VLOOKUP($T350,Frequenties[],3,FALSE)*VLOOKUP($A350,Locaties[],3,FALSE),0)</f>
        <v>0</v>
      </c>
      <c r="W350" s="434">
        <f>Ruimtestaat[[#This Row],[Uitvoeringen werkdagen]]*Ruimtestaat[[#This Row],[Oppervlak (netto)]]</f>
        <v>5740</v>
      </c>
      <c r="X350" s="441">
        <f>IF(V350&gt;0,Ruimtestaat[[#This Row],[Prest. (m2 /jaar) werkdagen]]/Ruimtestaat[[#This Row],[Norm (m2/uur) werkdagen]],0)</f>
        <v>0</v>
      </c>
      <c r="Y350" s="442">
        <f>Ruimtestaat[[#This Row],[Uitvoeringen werkdagen]]*Ruimtestaat[[#This Row],[Gedeeltelijk]]</f>
        <v>0</v>
      </c>
      <c r="Z350" s="443" t="e">
        <f>IF(U350&gt;0,Ruimtestaat[[#This Row],[Prest. (m2 / jaar) werkdagen gedeeld]]/Ruimtestaat[[#This Row],[Norm (m2/uur) werkdagen]],0)</f>
        <v>#DIV/0!</v>
      </c>
      <c r="AA350" s="441" t="e">
        <f>Ruimtestaat[[#This Row],[uren / jaar werkdagen gedeeld]]*Tariefsopbouw!$E$35</f>
        <v>#DIV/0!</v>
      </c>
      <c r="AB350" s="441">
        <f>Ruimtestaat[[#This Row],[Uitvoeringen werkdagen]]*Ruimtestaat[[#This Row],[BSO]]</f>
        <v>0</v>
      </c>
      <c r="AC350" s="443" t="e">
        <f>IF(U350&gt;0,Ruimtestaat[[#This Row],[Prest. (m2 / jaar) werkdagen BSO]]/Ruimtestaat[[#This Row],[Norm (m2/uur) werkdagen]],0)</f>
        <v>#DIV/0!</v>
      </c>
      <c r="AD350" s="443" t="e">
        <f>Ruimtestaat[[#This Row],[uren / jaar werkdagen BSO]]*Tariefsopbouw!$E$35</f>
        <v>#DIV/0!</v>
      </c>
      <c r="AE350" s="444">
        <f>Ruimtestaat[[#This Row],[uren / jaar werkdagen]]*Tariefsopbouw!$E$35</f>
        <v>0</v>
      </c>
      <c r="AF350" s="434"/>
      <c r="AG350" s="434">
        <f>IF(Ruimtestaat[[#This Row],[Frequentie weekend]]&gt;0,VALUE(LEFT(AF350,1))*S350,0)</f>
        <v>0</v>
      </c>
      <c r="AH350" s="445">
        <f>IF($AG350&gt;0,VLOOKUP($J350,Ruimtegroepen[],3,FALSE)*VLOOKUP($L350,Vloersoorten[],3,FALSE)*VLOOKUP($AF350,Frequenties[],3,FALSE)*VLOOKUP(Ruimtestaat[[#This Row],[Code]],Locaties[],3,FALSE),0)</f>
        <v>0</v>
      </c>
      <c r="AI350" s="445">
        <f>Ruimtestaat[[#This Row],[Uitvoeringen weekend]]*Ruimtestaat[[#This Row],[Oppervlak (netto)]]</f>
        <v>0</v>
      </c>
      <c r="AJ350" s="445">
        <f>IF(AH350&gt;0,Ruimtestaat[[#This Row],[Prest. (m2 /jaar) weekend]]/Ruimtestaat[[#This Row],[Norm (m2/uur) weekend]],0)</f>
        <v>0</v>
      </c>
      <c r="AK350" s="444">
        <f>Ruimtestaat[[#This Row],[uren / jaar weekend]]*Tariefsopbouw!$D$40</f>
        <v>0</v>
      </c>
      <c r="AL350" s="441">
        <f>Ruimtestaat[[#This Row],[Prest. (m2 /jaar) weekend]]+Ruimtestaat[[#This Row],[Prest. (m2 /jaar) werkdagen]]</f>
        <v>5740</v>
      </c>
      <c r="AM350" s="441">
        <f>Ruimtestaat[[#This Row],[uren / jaar weekend]]+Ruimtestaat[[#This Row],[uren / jaar werkdagen]]</f>
        <v>0</v>
      </c>
      <c r="AN350" s="446">
        <f>Ruimtestaat[[#This Row],[kosten / jaar weekend]]+Ruimtestaat[[#This Row],[kosten / jaar werkdagen]]</f>
        <v>0</v>
      </c>
      <c r="AO350" s="446"/>
      <c r="AP350" s="447" t="str">
        <f>IF(Ruimtestaat[[#This Row],[Frequentie werkdagen]]="","",_xlfn.CONCAT(Ruimtestaat[[#This Row],[Ruimte code]],"-",Ruimtestaat[[#This Row],[Frequentie werkdagen]]," ",Ruimtestaat[[#This Row],[Vloer code]]))</f>
        <v>5-5w S</v>
      </c>
      <c r="AQ350" s="448" t="str">
        <f>_xlfn.IFNA(VLOOKUP($AP350,Programma!$F$3:$G$1101,2,0),"")</f>
        <v>_</v>
      </c>
      <c r="AR350" s="448" t="str">
        <f>_xlfn.IFNA(VLOOKUP($AP350,Programma!$F$3:$H$1101,3,0),"")</f>
        <v>_</v>
      </c>
      <c r="AS350" s="448" t="str">
        <f>_xlfn.IFNA(VLOOKUP($AP350,Programma!$F$3:$I$1101,4,0),"")</f>
        <v>_</v>
      </c>
      <c r="AT350" s="448" t="str">
        <f>_xlfn.IFNA(VLOOKUP($AP350,Programma!$F$3:$J$1101,5,0),"")</f>
        <v>4w</v>
      </c>
      <c r="AU350" s="448" t="str">
        <f>_xlfn.IFNA(VLOOKUP($AP350,Programma!$F$3:$K$1101,6,0),"")</f>
        <v>1w</v>
      </c>
      <c r="AV350" s="448" t="str">
        <f>_xlfn.IFNA(VLOOKUP($AP350,Programma!$F$3:$L$1101,7,0),"")</f>
        <v>_</v>
      </c>
      <c r="AW350" s="448" t="str">
        <f>_xlfn.IFNA(VLOOKUP($AP350,Programma!$F$3:$M$1101,8,0),"")</f>
        <v>_</v>
      </c>
      <c r="AX350" s="448" t="str">
        <f>_xlfn.IFNA(VLOOKUP($AP350,Programma!$F$3:$N$1101,9,0),"")</f>
        <v>_</v>
      </c>
      <c r="AY350" s="448" t="str">
        <f>_xlfn.IFNA(VLOOKUP($AP350,Programma!$F$3:$O$1101,10,0),"")</f>
        <v>_</v>
      </c>
      <c r="AZ350" s="448" t="str">
        <f>_xlfn.IFNA(VLOOKUP($AP350,Programma!$F$3:$P$1101,11,0),"")</f>
        <v>_</v>
      </c>
      <c r="BA350" s="448" t="str">
        <f>_xlfn.IFNA(VLOOKUP($AP350,Programma!$F$3:$Q$1101,12,0),"")</f>
        <v>_</v>
      </c>
      <c r="BB350" s="448" t="str">
        <f>_xlfn.IFNA(VLOOKUP($AP350,Programma!$F$3:$R$1101,13,0),"")</f>
        <v>_</v>
      </c>
      <c r="BC350" s="448" t="str">
        <f>_xlfn.IFNA(VLOOKUP($AP350,Programma!$F$3:$S$1101,14,0),"")</f>
        <v>_</v>
      </c>
      <c r="BD350" s="448" t="str">
        <f>_xlfn.IFNA(VLOOKUP($AP350,Programma!$F$3:$T$1101,15,0),"")</f>
        <v>_</v>
      </c>
      <c r="BE350" s="448" t="str">
        <f>_xlfn.IFNA(VLOOKUP($AP350,Programma!$F$3:$U$1101,16,0),"")</f>
        <v>_</v>
      </c>
      <c r="BF350" s="448" t="str">
        <f>_xlfn.IFNA(VLOOKUP($AP350,Programma!$F$3:$V$1101,17,0),"")</f>
        <v>_</v>
      </c>
      <c r="BG350" s="448" t="str">
        <f>_xlfn.IFNA(VLOOKUP($AP350,Programma!$F$3:$W$1101,18,0),"")</f>
        <v>4w</v>
      </c>
      <c r="BH350" s="448" t="str">
        <f>_xlfn.IFNA(VLOOKUP($AP350,Programma!$F$3:$X$1101,19,0),"")</f>
        <v>1w</v>
      </c>
      <c r="BI350" s="448" t="str">
        <f>_xlfn.IFNA(VLOOKUP($AP350,Programma!$F$3:$Y$1101,20,0),"")</f>
        <v>_</v>
      </c>
      <c r="BJ350" s="449"/>
      <c r="BK350" s="447" t="str">
        <f>IF(Ruimtestaat[[#This Row],[Frequentie weekend]]="","",_xlfn.CONCAT(Ruimtestaat[[#This Row],[Ruimte code]],"-",Ruimtestaat[[#This Row],[Frequentie weekend]]," ",Ruimtestaat[[#This Row],[Vloer code]]))</f>
        <v/>
      </c>
      <c r="BL350" s="448" t="str">
        <f>_xlfn.IFNA(VLOOKUP($BK350,Programma!$F$3:$G$1101,2,0),"")</f>
        <v/>
      </c>
      <c r="BM350" s="448" t="str">
        <f>_xlfn.IFNA(VLOOKUP($BK350,Programma!$F$3:$H$1101,3,0),"")</f>
        <v/>
      </c>
      <c r="BN350" s="448" t="str">
        <f>_xlfn.IFNA(VLOOKUP($BK350,Programma!$F$3:$I$1101,4,0),"")</f>
        <v/>
      </c>
      <c r="BO350" s="448" t="str">
        <f>_xlfn.IFNA(VLOOKUP($BK350,Programma!$F$3:$J$1101,5,0),"")</f>
        <v/>
      </c>
      <c r="BP350" s="448" t="str">
        <f>_xlfn.IFNA(VLOOKUP($BK350,Programma!$F$3:$K$1101,6,0),"")</f>
        <v/>
      </c>
      <c r="BQ350" s="448" t="str">
        <f>_xlfn.IFNA(VLOOKUP($BK350,Programma!$F$3:$L$1101,7,0),"")</f>
        <v/>
      </c>
      <c r="BR350" s="448" t="str">
        <f>_xlfn.IFNA(VLOOKUP($BK350,Programma!$F$3:$M$1101,8,0),"")</f>
        <v/>
      </c>
      <c r="BS350" s="448" t="str">
        <f>_xlfn.IFNA(VLOOKUP($BK350,Programma!$F$3:$N$1101,9,0),"")</f>
        <v/>
      </c>
      <c r="BT350" s="448" t="str">
        <f>_xlfn.IFNA(VLOOKUP($BK350,Programma!$F$3:$O$1101,10,0),"")</f>
        <v/>
      </c>
      <c r="BU350" s="448" t="str">
        <f>_xlfn.IFNA(VLOOKUP($BK350,Programma!$F$3:$P$1101,11,0),"")</f>
        <v/>
      </c>
      <c r="BV350" s="448" t="str">
        <f>_xlfn.IFNA(VLOOKUP($BK350,Programma!$F$3:$Q$1101,12,0),"")</f>
        <v/>
      </c>
      <c r="BW350" s="448" t="str">
        <f>_xlfn.IFNA(VLOOKUP($BK350,Programma!$F$3:$R$1101,13,0),"")</f>
        <v/>
      </c>
      <c r="BX350" s="448" t="str">
        <f>_xlfn.IFNA(VLOOKUP($BK350,Programma!$F$3:$S$1101,14,0),"")</f>
        <v/>
      </c>
      <c r="BY350" s="448" t="str">
        <f>_xlfn.IFNA(VLOOKUP($BK350,Programma!$F$3:$T$1101,15,0),"")</f>
        <v/>
      </c>
      <c r="BZ350" s="448" t="str">
        <f>_xlfn.IFNA(VLOOKUP($BK350,Programma!$F$3:$U$1101,16,0),"")</f>
        <v/>
      </c>
      <c r="CA350" s="448" t="str">
        <f>_xlfn.IFNA(VLOOKUP($BK350,Programma!$F$3:$V$1101,17,0),"")</f>
        <v/>
      </c>
      <c r="CB350" s="448" t="str">
        <f>_xlfn.IFNA(VLOOKUP($BK350,Programma!$F$3:$W$1101,18,0),"")</f>
        <v/>
      </c>
      <c r="CC350" s="448" t="str">
        <f>_xlfn.IFNA(VLOOKUP($BK350,Programma!$F$3:$X$1101,19,0),"")</f>
        <v/>
      </c>
      <c r="CD350" s="448" t="str">
        <f>_xlfn.IFNA(VLOOKUP($BK350,Programma!$F$3:$Y$1101,20,0),"")</f>
        <v/>
      </c>
      <c r="CE350" s="327"/>
      <c r="CF350" s="327"/>
      <c r="CG350" s="327"/>
      <c r="CH350" s="327"/>
      <c r="CI350" s="327"/>
      <c r="CJ350" s="327"/>
      <c r="CK350" s="327"/>
      <c r="CL350" s="327"/>
      <c r="CM350" s="327"/>
      <c r="CN350" s="327"/>
      <c r="CO350" s="327"/>
      <c r="CP350" s="327"/>
      <c r="CQ350" s="327"/>
      <c r="CR350" s="327"/>
      <c r="CS350" s="327"/>
      <c r="CT350" s="327"/>
      <c r="CU350" s="327"/>
      <c r="CV350" s="327"/>
      <c r="CW350" s="327"/>
      <c r="CX350" s="327"/>
      <c r="CY350" s="327"/>
      <c r="CZ350" s="327"/>
      <c r="DA350" s="327"/>
      <c r="DB350" s="327"/>
      <c r="DC350" s="327"/>
      <c r="DD350" s="327"/>
      <c r="DE350" s="327"/>
      <c r="DF350" s="327"/>
      <c r="DG350" s="327"/>
      <c r="DH350" s="327"/>
      <c r="DI350" s="327"/>
      <c r="DJ350" s="327"/>
      <c r="DK350" s="327"/>
      <c r="DL350" s="327"/>
      <c r="DM350" s="327"/>
      <c r="DN350" s="327"/>
      <c r="DO350" s="327"/>
      <c r="DP350" s="327"/>
      <c r="DQ350" s="327"/>
      <c r="DR350" s="327"/>
      <c r="DS350" s="327"/>
      <c r="DT350" s="327"/>
      <c r="DU350" s="327"/>
      <c r="DV350" s="327"/>
      <c r="DW350" s="327"/>
      <c r="DX350" s="327"/>
      <c r="DY350" s="327"/>
      <c r="DZ350" s="327"/>
      <c r="EA350" s="327"/>
      <c r="EB350" s="327"/>
      <c r="EC350" s="327"/>
      <c r="ED350" s="327"/>
      <c r="EE350" s="327"/>
      <c r="EF350" s="327"/>
      <c r="EG350" s="327"/>
      <c r="EH350" s="327"/>
      <c r="EI350" s="327"/>
      <c r="EJ350" s="327"/>
      <c r="EK350" s="327"/>
      <c r="EL350" s="327"/>
      <c r="EM350" s="327"/>
      <c r="EN350" s="327"/>
      <c r="EO350" s="327"/>
      <c r="EP350" s="327"/>
      <c r="EQ350" s="327"/>
      <c r="ER350" s="327"/>
      <c r="ES350" s="327"/>
      <c r="ET350" s="327"/>
      <c r="EU350" s="327"/>
      <c r="EV350" s="327"/>
      <c r="EW350" s="327"/>
      <c r="EX350" s="327"/>
      <c r="EY350" s="327"/>
      <c r="EZ350" s="327"/>
      <c r="FA350" s="327"/>
      <c r="FB350" s="327"/>
      <c r="FC350" s="327"/>
      <c r="FD350" s="327"/>
      <c r="FE350" s="327"/>
      <c r="FF350" s="327"/>
      <c r="FG350" s="327"/>
      <c r="FH350" s="327"/>
      <c r="FI350" s="327"/>
      <c r="FJ350" s="327"/>
      <c r="FK350" s="327"/>
      <c r="FL350" s="327"/>
      <c r="FM350" s="327"/>
      <c r="FN350" s="327"/>
      <c r="FO350" s="327"/>
      <c r="FP350" s="327"/>
      <c r="FQ350" s="327"/>
      <c r="FR350" s="327"/>
      <c r="FS350" s="327"/>
      <c r="FT350" s="327"/>
      <c r="FU350" s="327"/>
      <c r="FV350" s="327"/>
      <c r="FW350" s="327"/>
      <c r="FX350" s="327"/>
      <c r="FY350" s="327"/>
      <c r="FZ350" s="327"/>
      <c r="GA350" s="327"/>
      <c r="GB350" s="327"/>
      <c r="GC350" s="327"/>
      <c r="GD350" s="327"/>
      <c r="GE350" s="327"/>
      <c r="GF350" s="327"/>
      <c r="GG350" s="327"/>
      <c r="GH350" s="327"/>
      <c r="GI350" s="327"/>
      <c r="GJ350" s="327"/>
      <c r="GK350" s="327"/>
      <c r="GL350" s="327"/>
      <c r="GM350" s="327"/>
      <c r="GN350" s="327"/>
      <c r="GO350" s="327"/>
      <c r="GP350" s="327"/>
      <c r="GQ350" s="327"/>
      <c r="GR350" s="327"/>
      <c r="GS350" s="327"/>
      <c r="GT350" s="327"/>
      <c r="GU350" s="327"/>
      <c r="GV350" s="327"/>
      <c r="GW350" s="327"/>
      <c r="GX350" s="327"/>
      <c r="GY350" s="327"/>
      <c r="GZ350" s="327"/>
      <c r="HA350" s="327"/>
      <c r="HB350" s="327"/>
      <c r="HC350" s="327"/>
      <c r="HD350" s="327"/>
      <c r="HE350" s="327"/>
      <c r="HF350" s="327"/>
      <c r="HG350" s="327"/>
      <c r="HH350" s="327"/>
      <c r="HI350" s="327"/>
      <c r="HJ350" s="327"/>
      <c r="HK350" s="327"/>
      <c r="HL350" s="327"/>
      <c r="HM350" s="327"/>
      <c r="HN350" s="327"/>
      <c r="HO350" s="327"/>
      <c r="HP350" s="327"/>
      <c r="HQ350" s="327"/>
      <c r="HR350" s="327"/>
      <c r="HS350" s="327"/>
    </row>
    <row r="351" spans="1:227" ht="15" customHeight="1">
      <c r="A351" s="330">
        <v>15</v>
      </c>
      <c r="B351" s="435" t="str">
        <f>VLOOKUP(Ruimtestaat[[#This Row],[Code]],Locaties[[Code]:[Locatie]],2,FALSE)</f>
        <v>IKC  Da Vinci</v>
      </c>
      <c r="C351" s="435" t="str">
        <f>VLOOKUP(Ruimtestaat[[#This Row],[Code]],Locaties[[#All],[Code]:[Adres]],4,FALSE)</f>
        <v>Spitsbergen 17</v>
      </c>
      <c r="D351" s="435" t="str">
        <f>VLOOKUP(Ruimtestaat[[#This Row],[Code]],Locaties[[#All],[Code]:[Postcode]],5,FALSE)</f>
        <v>2721 GP</v>
      </c>
      <c r="E351" s="435" t="str">
        <f>VLOOKUP(Ruimtestaat[[#This Row],[Code]],Locaties[#All],6,FALSE)</f>
        <v>Zoetermeer</v>
      </c>
      <c r="F351" s="450"/>
      <c r="G351" s="330" t="s">
        <v>1678</v>
      </c>
      <c r="H351" s="330" t="s">
        <v>1662</v>
      </c>
      <c r="I351" s="450" t="s">
        <v>1664</v>
      </c>
      <c r="J351" s="330">
        <v>7</v>
      </c>
      <c r="K351" s="450" t="str">
        <f>VLOOKUP(Ruimtestaat[[#This Row],[Ruimte code]],Ruimtegroepen[[#All],[Code]:[Ruimte omschrijving]],2,FALSE)</f>
        <v>Entree</v>
      </c>
      <c r="L351" s="434" t="s">
        <v>100</v>
      </c>
      <c r="M351" s="437" t="s">
        <v>1759</v>
      </c>
      <c r="N351" s="439">
        <v>15</v>
      </c>
      <c r="O351" s="439"/>
      <c r="P351" s="439"/>
      <c r="Q351" s="439"/>
      <c r="R351" s="440" t="str">
        <f>VLOOKUP(Ruimtestaat[[#This Row],[Ruimte code]],Ruimtegroepen[],4,FALSE)</f>
        <v>Ve</v>
      </c>
      <c r="S351" s="434">
        <v>41</v>
      </c>
      <c r="T351" s="434" t="s">
        <v>2</v>
      </c>
      <c r="U351" s="434">
        <f>IF(S351&gt;0,IF(RIGHT(Ruimtestaat[[#This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51" s="434">
        <f>IF(U351&gt;0,VLOOKUP($J351,Ruimtegroepen[],3,FALSE)*VLOOKUP($L351,Vloersoorten[],3,FALSE)*VLOOKUP($T351,Frequenties[],3,FALSE)*VLOOKUP($A351,Locaties[],3,FALSE),0)</f>
        <v>0</v>
      </c>
      <c r="W351" s="434">
        <f>Ruimtestaat[[#This Row],[Uitvoeringen werkdagen]]*Ruimtestaat[[#This Row],[Oppervlak (netto)]]</f>
        <v>3075</v>
      </c>
      <c r="X351" s="441">
        <f>IF(V351&gt;0,Ruimtestaat[[#This Row],[Prest. (m2 /jaar) werkdagen]]/Ruimtestaat[[#This Row],[Norm (m2/uur) werkdagen]],0)</f>
        <v>0</v>
      </c>
      <c r="Y351" s="442">
        <f>Ruimtestaat[[#This Row],[Uitvoeringen werkdagen]]*Ruimtestaat[[#This Row],[Gedeeltelijk]]</f>
        <v>0</v>
      </c>
      <c r="Z351" s="443" t="e">
        <f>IF(U351&gt;0,Ruimtestaat[[#This Row],[Prest. (m2 / jaar) werkdagen gedeeld]]/Ruimtestaat[[#This Row],[Norm (m2/uur) werkdagen]],0)</f>
        <v>#DIV/0!</v>
      </c>
      <c r="AA351" s="441" t="e">
        <f>Ruimtestaat[[#This Row],[uren / jaar werkdagen gedeeld]]*Tariefsopbouw!$E$35</f>
        <v>#DIV/0!</v>
      </c>
      <c r="AB351" s="441">
        <f>Ruimtestaat[[#This Row],[Uitvoeringen werkdagen]]*Ruimtestaat[[#This Row],[BSO]]</f>
        <v>0</v>
      </c>
      <c r="AC351" s="443" t="e">
        <f>IF(U351&gt;0,Ruimtestaat[[#This Row],[Prest. (m2 / jaar) werkdagen BSO]]/Ruimtestaat[[#This Row],[Norm (m2/uur) werkdagen]],0)</f>
        <v>#DIV/0!</v>
      </c>
      <c r="AD351" s="443" t="e">
        <f>Ruimtestaat[[#This Row],[uren / jaar werkdagen BSO]]*Tariefsopbouw!$E$35</f>
        <v>#DIV/0!</v>
      </c>
      <c r="AE351" s="444">
        <f>Ruimtestaat[[#This Row],[uren / jaar werkdagen]]*Tariefsopbouw!$E$35</f>
        <v>0</v>
      </c>
      <c r="AF351" s="434"/>
      <c r="AG351" s="434">
        <f>IF(Ruimtestaat[[#This Row],[Frequentie weekend]]&gt;0,VALUE(LEFT(AF351,1))*S351,0)</f>
        <v>0</v>
      </c>
      <c r="AH351" s="445">
        <f>IF($AG351&gt;0,VLOOKUP($J351,Ruimtegroepen[],3,FALSE)*VLOOKUP($L351,Vloersoorten[],3,FALSE)*VLOOKUP($AF351,Frequenties[],3,FALSE)*VLOOKUP(Ruimtestaat[[#This Row],[Code]],Locaties[],3,FALSE),0)</f>
        <v>0</v>
      </c>
      <c r="AI351" s="445">
        <f>Ruimtestaat[[#This Row],[Uitvoeringen weekend]]*Ruimtestaat[[#This Row],[Oppervlak (netto)]]</f>
        <v>0</v>
      </c>
      <c r="AJ351" s="445">
        <f>IF(AH351&gt;0,Ruimtestaat[[#This Row],[Prest. (m2 /jaar) weekend]]/Ruimtestaat[[#This Row],[Norm (m2/uur) weekend]],0)</f>
        <v>0</v>
      </c>
      <c r="AK351" s="444">
        <f>Ruimtestaat[[#This Row],[uren / jaar weekend]]*Tariefsopbouw!$D$40</f>
        <v>0</v>
      </c>
      <c r="AL351" s="441">
        <f>Ruimtestaat[[#This Row],[Prest. (m2 /jaar) weekend]]+Ruimtestaat[[#This Row],[Prest. (m2 /jaar) werkdagen]]</f>
        <v>3075</v>
      </c>
      <c r="AM351" s="441">
        <f>Ruimtestaat[[#This Row],[uren / jaar weekend]]+Ruimtestaat[[#This Row],[uren / jaar werkdagen]]</f>
        <v>0</v>
      </c>
      <c r="AN351" s="446">
        <f>Ruimtestaat[[#This Row],[kosten / jaar weekend]]+Ruimtestaat[[#This Row],[kosten / jaar werkdagen]]</f>
        <v>0</v>
      </c>
      <c r="AO351" s="446"/>
      <c r="AP351" s="447" t="str">
        <f>IF(Ruimtestaat[[#This Row],[Frequentie werkdagen]]="","",_xlfn.CONCAT(Ruimtestaat[[#This Row],[Ruimte code]],"-",Ruimtestaat[[#This Row],[Frequentie werkdagen]]," ",Ruimtestaat[[#This Row],[Vloer code]]))</f>
        <v>7-5w L</v>
      </c>
      <c r="AQ351" s="448" t="str">
        <f>_xlfn.IFNA(VLOOKUP($AP351,Programma!$F$3:$G$1101,2,0),"")</f>
        <v>_</v>
      </c>
      <c r="AR351" s="448" t="str">
        <f>_xlfn.IFNA(VLOOKUP($AP351,Programma!$F$3:$H$1101,3,0),"")</f>
        <v>_</v>
      </c>
      <c r="AS351" s="448" t="str">
        <f>_xlfn.IFNA(VLOOKUP($AP351,Programma!$F$3:$I$1101,4,0),"")</f>
        <v>_</v>
      </c>
      <c r="AT351" s="448" t="str">
        <f>_xlfn.IFNA(VLOOKUP($AP351,Programma!$F$3:$J$1101,5,0),"")</f>
        <v>5w</v>
      </c>
      <c r="AU351" s="448" t="str">
        <f>_xlfn.IFNA(VLOOKUP($AP351,Programma!$F$3:$K$1101,6,0),"")</f>
        <v>_</v>
      </c>
      <c r="AV351" s="448" t="str">
        <f>_xlfn.IFNA(VLOOKUP($AP351,Programma!$F$3:$L$1101,7,0),"")</f>
        <v>_</v>
      </c>
      <c r="AW351" s="448" t="str">
        <f>_xlfn.IFNA(VLOOKUP($AP351,Programma!$F$3:$M$1101,8,0),"")</f>
        <v>_</v>
      </c>
      <c r="AX351" s="448" t="str">
        <f>_xlfn.IFNA(VLOOKUP($AP351,Programma!$F$3:$N$1101,9,0),"")</f>
        <v>_</v>
      </c>
      <c r="AY351" s="448" t="str">
        <f>_xlfn.IFNA(VLOOKUP($AP351,Programma!$F$3:$O$1101,10,0),"")</f>
        <v>5w</v>
      </c>
      <c r="AZ351" s="448" t="str">
        <f>_xlfn.IFNA(VLOOKUP($AP351,Programma!$F$3:$P$1101,11,0),"")</f>
        <v>5w</v>
      </c>
      <c r="BA351" s="448" t="str">
        <f>_xlfn.IFNA(VLOOKUP($AP351,Programma!$F$3:$Q$1101,12,0),"")</f>
        <v>1w</v>
      </c>
      <c r="BB351" s="448" t="str">
        <f>_xlfn.IFNA(VLOOKUP($AP351,Programma!$F$3:$R$1101,13,0),"")</f>
        <v>1w</v>
      </c>
      <c r="BC351" s="448" t="str">
        <f>_xlfn.IFNA(VLOOKUP($AP351,Programma!$F$3:$S$1101,14,0),"")</f>
        <v>1m</v>
      </c>
      <c r="BD351" s="448" t="str">
        <f>_xlfn.IFNA(VLOOKUP($AP351,Programma!$F$3:$T$1101,15,0),"")</f>
        <v>2j</v>
      </c>
      <c r="BE351" s="448" t="str">
        <f>_xlfn.IFNA(VLOOKUP($AP351,Programma!$F$3:$U$1101,16,0),"")</f>
        <v>1j</v>
      </c>
      <c r="BF351" s="448" t="str">
        <f>_xlfn.IFNA(VLOOKUP($AP351,Programma!$F$3:$V$1101,17,0),"")</f>
        <v>_</v>
      </c>
      <c r="BG351" s="448" t="str">
        <f>_xlfn.IFNA(VLOOKUP($AP351,Programma!$F$3:$W$1101,18,0),"")</f>
        <v>_</v>
      </c>
      <c r="BH351" s="448" t="str">
        <f>_xlfn.IFNA(VLOOKUP($AP351,Programma!$F$3:$X$1101,19,0),"")</f>
        <v>_</v>
      </c>
      <c r="BI351" s="448" t="str">
        <f>_xlfn.IFNA(VLOOKUP($AP351,Programma!$F$3:$Y$1101,20,0),"")</f>
        <v>_</v>
      </c>
      <c r="BJ351" s="449"/>
      <c r="BK351" s="447" t="str">
        <f>IF(Ruimtestaat[[#This Row],[Frequentie weekend]]="","",_xlfn.CONCAT(Ruimtestaat[[#This Row],[Ruimte code]],"-",Ruimtestaat[[#This Row],[Frequentie weekend]]," ",Ruimtestaat[[#This Row],[Vloer code]]))</f>
        <v/>
      </c>
      <c r="BL351" s="448" t="str">
        <f>_xlfn.IFNA(VLOOKUP($BK351,Programma!$F$3:$G$1101,2,0),"")</f>
        <v/>
      </c>
      <c r="BM351" s="448" t="str">
        <f>_xlfn.IFNA(VLOOKUP($BK351,Programma!$F$3:$H$1101,3,0),"")</f>
        <v/>
      </c>
      <c r="BN351" s="448" t="str">
        <f>_xlfn.IFNA(VLOOKUP($BK351,Programma!$F$3:$I$1101,4,0),"")</f>
        <v/>
      </c>
      <c r="BO351" s="448" t="str">
        <f>_xlfn.IFNA(VLOOKUP($BK351,Programma!$F$3:$J$1101,5,0),"")</f>
        <v/>
      </c>
      <c r="BP351" s="448" t="str">
        <f>_xlfn.IFNA(VLOOKUP($BK351,Programma!$F$3:$K$1101,6,0),"")</f>
        <v/>
      </c>
      <c r="BQ351" s="448" t="str">
        <f>_xlfn.IFNA(VLOOKUP($BK351,Programma!$F$3:$L$1101,7,0),"")</f>
        <v/>
      </c>
      <c r="BR351" s="448" t="str">
        <f>_xlfn.IFNA(VLOOKUP($BK351,Programma!$F$3:$M$1101,8,0),"")</f>
        <v/>
      </c>
      <c r="BS351" s="448" t="str">
        <f>_xlfn.IFNA(VLOOKUP($BK351,Programma!$F$3:$N$1101,9,0),"")</f>
        <v/>
      </c>
      <c r="BT351" s="448" t="str">
        <f>_xlfn.IFNA(VLOOKUP($BK351,Programma!$F$3:$O$1101,10,0),"")</f>
        <v/>
      </c>
      <c r="BU351" s="448" t="str">
        <f>_xlfn.IFNA(VLOOKUP($BK351,Programma!$F$3:$P$1101,11,0),"")</f>
        <v/>
      </c>
      <c r="BV351" s="448" t="str">
        <f>_xlfn.IFNA(VLOOKUP($BK351,Programma!$F$3:$Q$1101,12,0),"")</f>
        <v/>
      </c>
      <c r="BW351" s="448" t="str">
        <f>_xlfn.IFNA(VLOOKUP($BK351,Programma!$F$3:$R$1101,13,0),"")</f>
        <v/>
      </c>
      <c r="BX351" s="448" t="str">
        <f>_xlfn.IFNA(VLOOKUP($BK351,Programma!$F$3:$S$1101,14,0),"")</f>
        <v/>
      </c>
      <c r="BY351" s="448" t="str">
        <f>_xlfn.IFNA(VLOOKUP($BK351,Programma!$F$3:$T$1101,15,0),"")</f>
        <v/>
      </c>
      <c r="BZ351" s="448" t="str">
        <f>_xlfn.IFNA(VLOOKUP($BK351,Programma!$F$3:$U$1101,16,0),"")</f>
        <v/>
      </c>
      <c r="CA351" s="448" t="str">
        <f>_xlfn.IFNA(VLOOKUP($BK351,Programma!$F$3:$V$1101,17,0),"")</f>
        <v/>
      </c>
      <c r="CB351" s="448" t="str">
        <f>_xlfn.IFNA(VLOOKUP($BK351,Programma!$F$3:$W$1101,18,0),"")</f>
        <v/>
      </c>
      <c r="CC351" s="448" t="str">
        <f>_xlfn.IFNA(VLOOKUP($BK351,Programma!$F$3:$X$1101,19,0),"")</f>
        <v/>
      </c>
      <c r="CD351" s="448" t="str">
        <f>_xlfn.IFNA(VLOOKUP($BK351,Programma!$F$3:$Y$1101,20,0),"")</f>
        <v/>
      </c>
      <c r="CE351" s="327"/>
      <c r="CF351" s="327"/>
      <c r="CG351" s="327"/>
      <c r="CH351" s="327"/>
      <c r="CI351" s="327"/>
      <c r="CJ351" s="327"/>
      <c r="CK351" s="327"/>
      <c r="CL351" s="327"/>
      <c r="CM351" s="327"/>
      <c r="CN351" s="327"/>
      <c r="CO351" s="327"/>
      <c r="CP351" s="327"/>
      <c r="CQ351" s="327"/>
      <c r="CR351" s="327"/>
      <c r="CS351" s="327"/>
      <c r="CT351" s="327"/>
      <c r="CU351" s="327"/>
      <c r="CV351" s="327"/>
      <c r="CW351" s="327"/>
      <c r="CX351" s="327"/>
      <c r="CY351" s="327"/>
      <c r="CZ351" s="327"/>
      <c r="DA351" s="327"/>
      <c r="DB351" s="327"/>
      <c r="DC351" s="327"/>
      <c r="DD351" s="327"/>
      <c r="DE351" s="327"/>
      <c r="DF351" s="327"/>
      <c r="DG351" s="327"/>
      <c r="DH351" s="327"/>
      <c r="DI351" s="327"/>
      <c r="DJ351" s="327"/>
      <c r="DK351" s="327"/>
      <c r="DL351" s="327"/>
      <c r="DM351" s="327"/>
      <c r="DN351" s="327"/>
      <c r="DO351" s="327"/>
      <c r="DP351" s="327"/>
      <c r="DQ351" s="327"/>
      <c r="DR351" s="327"/>
      <c r="DS351" s="327"/>
      <c r="DT351" s="327"/>
      <c r="DU351" s="327"/>
      <c r="DV351" s="327"/>
      <c r="DW351" s="327"/>
      <c r="DX351" s="327"/>
      <c r="DY351" s="327"/>
      <c r="DZ351" s="327"/>
      <c r="EA351" s="327"/>
      <c r="EB351" s="327"/>
      <c r="EC351" s="327"/>
      <c r="ED351" s="327"/>
      <c r="EE351" s="327"/>
      <c r="EF351" s="327"/>
      <c r="EG351" s="327"/>
      <c r="EH351" s="327"/>
      <c r="EI351" s="327"/>
      <c r="EJ351" s="327"/>
      <c r="EK351" s="327"/>
      <c r="EL351" s="327"/>
      <c r="EM351" s="327"/>
      <c r="EN351" s="327"/>
      <c r="EO351" s="327"/>
      <c r="EP351" s="327"/>
      <c r="EQ351" s="327"/>
      <c r="ER351" s="327"/>
      <c r="ES351" s="327"/>
      <c r="ET351" s="327"/>
      <c r="EU351" s="327"/>
      <c r="EV351" s="327"/>
      <c r="EW351" s="327"/>
      <c r="EX351" s="327"/>
      <c r="EY351" s="327"/>
      <c r="EZ351" s="327"/>
      <c r="FA351" s="327"/>
      <c r="FB351" s="327"/>
      <c r="FC351" s="327"/>
      <c r="FD351" s="327"/>
      <c r="FE351" s="327"/>
      <c r="FF351" s="327"/>
      <c r="FG351" s="327"/>
      <c r="FH351" s="327"/>
      <c r="FI351" s="327"/>
      <c r="FJ351" s="327"/>
      <c r="FK351" s="327"/>
      <c r="FL351" s="327"/>
      <c r="FM351" s="327"/>
      <c r="FN351" s="327"/>
      <c r="FO351" s="327"/>
      <c r="FP351" s="327"/>
      <c r="FQ351" s="327"/>
      <c r="FR351" s="327"/>
      <c r="FS351" s="327"/>
      <c r="FT351" s="327"/>
      <c r="FU351" s="327"/>
      <c r="FV351" s="327"/>
      <c r="FW351" s="327"/>
      <c r="FX351" s="327"/>
      <c r="FY351" s="327"/>
      <c r="FZ351" s="327"/>
      <c r="GA351" s="327"/>
      <c r="GB351" s="327"/>
      <c r="GC351" s="327"/>
      <c r="GD351" s="327"/>
      <c r="GE351" s="327"/>
      <c r="GF351" s="327"/>
      <c r="GG351" s="327"/>
      <c r="GH351" s="327"/>
      <c r="GI351" s="327"/>
      <c r="GJ351" s="327"/>
      <c r="GK351" s="327"/>
      <c r="GL351" s="327"/>
      <c r="GM351" s="327"/>
      <c r="GN351" s="327"/>
      <c r="GO351" s="327"/>
      <c r="GP351" s="327"/>
      <c r="GQ351" s="327"/>
      <c r="GR351" s="327"/>
      <c r="GS351" s="327"/>
      <c r="GT351" s="327"/>
      <c r="GU351" s="327"/>
      <c r="GV351" s="327"/>
      <c r="GW351" s="327"/>
      <c r="GX351" s="327"/>
      <c r="GY351" s="327"/>
      <c r="GZ351" s="327"/>
      <c r="HA351" s="327"/>
      <c r="HB351" s="327"/>
      <c r="HC351" s="327"/>
      <c r="HD351" s="327"/>
      <c r="HE351" s="327"/>
      <c r="HF351" s="327"/>
      <c r="HG351" s="327"/>
      <c r="HH351" s="327"/>
      <c r="HI351" s="327"/>
      <c r="HJ351" s="327"/>
      <c r="HK351" s="327"/>
      <c r="HL351" s="327"/>
      <c r="HM351" s="327"/>
      <c r="HN351" s="327"/>
      <c r="HO351" s="327"/>
      <c r="HP351" s="327"/>
      <c r="HQ351" s="327"/>
      <c r="HR351" s="327"/>
      <c r="HS351" s="327"/>
    </row>
    <row r="352" spans="1:227" ht="15" customHeight="1">
      <c r="A352" s="330">
        <v>15</v>
      </c>
      <c r="B352" s="435" t="str">
        <f>VLOOKUP(Ruimtestaat[[#This Row],[Code]],Locaties[[Code]:[Locatie]],2,FALSE)</f>
        <v>IKC  Da Vinci</v>
      </c>
      <c r="C352" s="435" t="str">
        <f>VLOOKUP(Ruimtestaat[[#This Row],[Code]],Locaties[[#All],[Code]:[Adres]],4,FALSE)</f>
        <v>Spitsbergen 17</v>
      </c>
      <c r="D352" s="435" t="str">
        <f>VLOOKUP(Ruimtestaat[[#This Row],[Code]],Locaties[[#All],[Code]:[Postcode]],5,FALSE)</f>
        <v>2721 GP</v>
      </c>
      <c r="E352" s="435" t="str">
        <f>VLOOKUP(Ruimtestaat[[#This Row],[Code]],Locaties[#All],6,FALSE)</f>
        <v>Zoetermeer</v>
      </c>
      <c r="F352" s="450"/>
      <c r="G352" s="330" t="s">
        <v>1678</v>
      </c>
      <c r="H352" s="330" t="s">
        <v>1665</v>
      </c>
      <c r="I352" s="450" t="s">
        <v>1675</v>
      </c>
      <c r="J352" s="330">
        <v>6</v>
      </c>
      <c r="K352" s="450" t="str">
        <f>VLOOKUP(Ruimtestaat[[#This Row],[Ruimte code]],Ruimtegroepen[[#All],[Code]:[Ruimte omschrijving]],2,FALSE)</f>
        <v>Gangen/hallen</v>
      </c>
      <c r="L352" s="330" t="s">
        <v>99</v>
      </c>
      <c r="M352" s="437" t="s">
        <v>1758</v>
      </c>
      <c r="N352" s="439">
        <v>14</v>
      </c>
      <c r="O352" s="439"/>
      <c r="P352" s="439"/>
      <c r="Q352" s="439"/>
      <c r="R352" s="440" t="str">
        <f>VLOOKUP(Ruimtestaat[[#This Row],[Ruimte code]],Ruimtegroepen[],4,FALSE)</f>
        <v>Ve</v>
      </c>
      <c r="S352" s="434">
        <v>41</v>
      </c>
      <c r="T352" s="434" t="s">
        <v>2</v>
      </c>
      <c r="U352" s="434">
        <f>IF(S352&gt;0,IF(RIGHT(Ruimtestaat[[#This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52" s="434">
        <f>IF(U352&gt;0,VLOOKUP($J352,Ruimtegroepen[],3,FALSE)*VLOOKUP($L352,Vloersoorten[],3,FALSE)*VLOOKUP($T352,Frequenties[],3,FALSE)*VLOOKUP($A352,Locaties[],3,FALSE),0)</f>
        <v>0</v>
      </c>
      <c r="W352" s="434">
        <f>Ruimtestaat[[#This Row],[Uitvoeringen werkdagen]]*Ruimtestaat[[#This Row],[Oppervlak (netto)]]</f>
        <v>2870</v>
      </c>
      <c r="X352" s="441">
        <f>IF(V352&gt;0,Ruimtestaat[[#This Row],[Prest. (m2 /jaar) werkdagen]]/Ruimtestaat[[#This Row],[Norm (m2/uur) werkdagen]],0)</f>
        <v>0</v>
      </c>
      <c r="Y352" s="442">
        <f>Ruimtestaat[[#This Row],[Uitvoeringen werkdagen]]*Ruimtestaat[[#This Row],[Gedeeltelijk]]</f>
        <v>0</v>
      </c>
      <c r="Z352" s="443" t="e">
        <f>IF(U352&gt;0,Ruimtestaat[[#This Row],[Prest. (m2 / jaar) werkdagen gedeeld]]/Ruimtestaat[[#This Row],[Norm (m2/uur) werkdagen]],0)</f>
        <v>#DIV/0!</v>
      </c>
      <c r="AA352" s="441" t="e">
        <f>Ruimtestaat[[#This Row],[uren / jaar werkdagen gedeeld]]*Tariefsopbouw!$E$35</f>
        <v>#DIV/0!</v>
      </c>
      <c r="AB352" s="441">
        <f>Ruimtestaat[[#This Row],[Uitvoeringen werkdagen]]*Ruimtestaat[[#This Row],[BSO]]</f>
        <v>0</v>
      </c>
      <c r="AC352" s="443" t="e">
        <f>IF(U352&gt;0,Ruimtestaat[[#This Row],[Prest. (m2 / jaar) werkdagen BSO]]/Ruimtestaat[[#This Row],[Norm (m2/uur) werkdagen]],0)</f>
        <v>#DIV/0!</v>
      </c>
      <c r="AD352" s="443" t="e">
        <f>Ruimtestaat[[#This Row],[uren / jaar werkdagen BSO]]*Tariefsopbouw!$E$35</f>
        <v>#DIV/0!</v>
      </c>
      <c r="AE352" s="444">
        <f>Ruimtestaat[[#This Row],[uren / jaar werkdagen]]*Tariefsopbouw!$E$35</f>
        <v>0</v>
      </c>
      <c r="AF352" s="434"/>
      <c r="AG352" s="434">
        <f>IF(Ruimtestaat[[#This Row],[Frequentie weekend]]&gt;0,VALUE(LEFT(AF352,1))*S352,0)</f>
        <v>0</v>
      </c>
      <c r="AH352" s="445">
        <f>IF($AG352&gt;0,VLOOKUP($J352,Ruimtegroepen[],3,FALSE)*VLOOKUP($L352,Vloersoorten[],3,FALSE)*VLOOKUP($AF352,Frequenties[],3,FALSE)*VLOOKUP(Ruimtestaat[[#This Row],[Code]],Locaties[],3,FALSE),0)</f>
        <v>0</v>
      </c>
      <c r="AI352" s="445">
        <f>Ruimtestaat[[#This Row],[Uitvoeringen weekend]]*Ruimtestaat[[#This Row],[Oppervlak (netto)]]</f>
        <v>0</v>
      </c>
      <c r="AJ352" s="445">
        <f>IF(AH352&gt;0,Ruimtestaat[[#This Row],[Prest. (m2 /jaar) weekend]]/Ruimtestaat[[#This Row],[Norm (m2/uur) weekend]],0)</f>
        <v>0</v>
      </c>
      <c r="AK352" s="444">
        <f>Ruimtestaat[[#This Row],[uren / jaar weekend]]*Tariefsopbouw!$D$40</f>
        <v>0</v>
      </c>
      <c r="AL352" s="441">
        <f>Ruimtestaat[[#This Row],[Prest. (m2 /jaar) weekend]]+Ruimtestaat[[#This Row],[Prest. (m2 /jaar) werkdagen]]</f>
        <v>2870</v>
      </c>
      <c r="AM352" s="441">
        <f>Ruimtestaat[[#This Row],[uren / jaar weekend]]+Ruimtestaat[[#This Row],[uren / jaar werkdagen]]</f>
        <v>0</v>
      </c>
      <c r="AN352" s="446">
        <f>Ruimtestaat[[#This Row],[kosten / jaar weekend]]+Ruimtestaat[[#This Row],[kosten / jaar werkdagen]]</f>
        <v>0</v>
      </c>
      <c r="AO352" s="446"/>
      <c r="AP352" s="447" t="str">
        <f>IF(Ruimtestaat[[#This Row],[Frequentie werkdagen]]="","",_xlfn.CONCAT(Ruimtestaat[[#This Row],[Ruimte code]],"-",Ruimtestaat[[#This Row],[Frequentie werkdagen]]," ",Ruimtestaat[[#This Row],[Vloer code]]))</f>
        <v>6-5w T</v>
      </c>
      <c r="AQ352" s="448" t="str">
        <f>_xlfn.IFNA(VLOOKUP($AP352,Programma!$F$3:$G$1101,2,0),"")</f>
        <v>_</v>
      </c>
      <c r="AR352" s="448" t="str">
        <f>_xlfn.IFNA(VLOOKUP($AP352,Programma!$F$3:$H$1101,3,0),"")</f>
        <v>5w</v>
      </c>
      <c r="AS352" s="448" t="str">
        <f>_xlfn.IFNA(VLOOKUP($AP352,Programma!$F$3:$I$1101,4,0),"")</f>
        <v>_</v>
      </c>
      <c r="AT352" s="448" t="str">
        <f>_xlfn.IFNA(VLOOKUP($AP352,Programma!$F$3:$J$1101,5,0),"")</f>
        <v>_</v>
      </c>
      <c r="AU352" s="448" t="str">
        <f>_xlfn.IFNA(VLOOKUP($AP352,Programma!$F$3:$K$1101,6,0),"")</f>
        <v>_</v>
      </c>
      <c r="AV352" s="448" t="str">
        <f>_xlfn.IFNA(VLOOKUP($AP352,Programma!$F$3:$L$1101,7,0),"")</f>
        <v>_</v>
      </c>
      <c r="AW352" s="448" t="str">
        <f>_xlfn.IFNA(VLOOKUP($AP352,Programma!$F$3:$M$1101,8,0),"")</f>
        <v>_</v>
      </c>
      <c r="AX352" s="448" t="str">
        <f>_xlfn.IFNA(VLOOKUP($AP352,Programma!$F$3:$N$1101,9,0),"")</f>
        <v>_</v>
      </c>
      <c r="AY352" s="448" t="str">
        <f>_xlfn.IFNA(VLOOKUP($AP352,Programma!$F$3:$O$1101,10,0),"")</f>
        <v>5w</v>
      </c>
      <c r="AZ352" s="448" t="str">
        <f>_xlfn.IFNA(VLOOKUP($AP352,Programma!$F$3:$P$1101,11,0),"")</f>
        <v>5w</v>
      </c>
      <c r="BA352" s="448" t="str">
        <f>_xlfn.IFNA(VLOOKUP($AP352,Programma!$F$3:$Q$1101,12,0),"")</f>
        <v>1w</v>
      </c>
      <c r="BB352" s="448" t="str">
        <f>_xlfn.IFNA(VLOOKUP($AP352,Programma!$F$3:$R$1101,13,0),"")</f>
        <v>1w</v>
      </c>
      <c r="BC352" s="448" t="str">
        <f>_xlfn.IFNA(VLOOKUP($AP352,Programma!$F$3:$S$1101,14,0),"")</f>
        <v>1m</v>
      </c>
      <c r="BD352" s="448" t="str">
        <f>_xlfn.IFNA(VLOOKUP($AP352,Programma!$F$3:$T$1101,15,0),"")</f>
        <v>2j</v>
      </c>
      <c r="BE352" s="448" t="str">
        <f>_xlfn.IFNA(VLOOKUP($AP352,Programma!$F$3:$U$1101,16,0),"")</f>
        <v>1j</v>
      </c>
      <c r="BF352" s="448" t="str">
        <f>_xlfn.IFNA(VLOOKUP($AP352,Programma!$F$3:$V$1101,17,0),"")</f>
        <v>_</v>
      </c>
      <c r="BG352" s="448" t="str">
        <f>_xlfn.IFNA(VLOOKUP($AP352,Programma!$F$3:$W$1101,18,0),"")</f>
        <v>_</v>
      </c>
      <c r="BH352" s="448" t="str">
        <f>_xlfn.IFNA(VLOOKUP($AP352,Programma!$F$3:$X$1101,19,0),"")</f>
        <v>_</v>
      </c>
      <c r="BI352" s="448" t="str">
        <f>_xlfn.IFNA(VLOOKUP($AP352,Programma!$F$3:$Y$1101,20,0),"")</f>
        <v>_</v>
      </c>
      <c r="BJ352" s="449"/>
      <c r="BK352" s="447" t="str">
        <f>IF(Ruimtestaat[[#This Row],[Frequentie weekend]]="","",_xlfn.CONCAT(Ruimtestaat[[#This Row],[Ruimte code]],"-",Ruimtestaat[[#This Row],[Frequentie weekend]]," ",Ruimtestaat[[#This Row],[Vloer code]]))</f>
        <v/>
      </c>
      <c r="BL352" s="448" t="str">
        <f>_xlfn.IFNA(VLOOKUP($BK352,Programma!$F$3:$G$1101,2,0),"")</f>
        <v/>
      </c>
      <c r="BM352" s="448" t="str">
        <f>_xlfn.IFNA(VLOOKUP($BK352,Programma!$F$3:$H$1101,3,0),"")</f>
        <v/>
      </c>
      <c r="BN352" s="448" t="str">
        <f>_xlfn.IFNA(VLOOKUP($BK352,Programma!$F$3:$I$1101,4,0),"")</f>
        <v/>
      </c>
      <c r="BO352" s="448" t="str">
        <f>_xlfn.IFNA(VLOOKUP($BK352,Programma!$F$3:$J$1101,5,0),"")</f>
        <v/>
      </c>
      <c r="BP352" s="448" t="str">
        <f>_xlfn.IFNA(VLOOKUP($BK352,Programma!$F$3:$K$1101,6,0),"")</f>
        <v/>
      </c>
      <c r="BQ352" s="448" t="str">
        <f>_xlfn.IFNA(VLOOKUP($BK352,Programma!$F$3:$L$1101,7,0),"")</f>
        <v/>
      </c>
      <c r="BR352" s="448" t="str">
        <f>_xlfn.IFNA(VLOOKUP($BK352,Programma!$F$3:$M$1101,8,0),"")</f>
        <v/>
      </c>
      <c r="BS352" s="448" t="str">
        <f>_xlfn.IFNA(VLOOKUP($BK352,Programma!$F$3:$N$1101,9,0),"")</f>
        <v/>
      </c>
      <c r="BT352" s="448" t="str">
        <f>_xlfn.IFNA(VLOOKUP($BK352,Programma!$F$3:$O$1101,10,0),"")</f>
        <v/>
      </c>
      <c r="BU352" s="448" t="str">
        <f>_xlfn.IFNA(VLOOKUP($BK352,Programma!$F$3:$P$1101,11,0),"")</f>
        <v/>
      </c>
      <c r="BV352" s="448" t="str">
        <f>_xlfn.IFNA(VLOOKUP($BK352,Programma!$F$3:$Q$1101,12,0),"")</f>
        <v/>
      </c>
      <c r="BW352" s="448" t="str">
        <f>_xlfn.IFNA(VLOOKUP($BK352,Programma!$F$3:$R$1101,13,0),"")</f>
        <v/>
      </c>
      <c r="BX352" s="448" t="str">
        <f>_xlfn.IFNA(VLOOKUP($BK352,Programma!$F$3:$S$1101,14,0),"")</f>
        <v/>
      </c>
      <c r="BY352" s="448" t="str">
        <f>_xlfn.IFNA(VLOOKUP($BK352,Programma!$F$3:$T$1101,15,0),"")</f>
        <v/>
      </c>
      <c r="BZ352" s="448" t="str">
        <f>_xlfn.IFNA(VLOOKUP($BK352,Programma!$F$3:$U$1101,16,0),"")</f>
        <v/>
      </c>
      <c r="CA352" s="448" t="str">
        <f>_xlfn.IFNA(VLOOKUP($BK352,Programma!$F$3:$V$1101,17,0),"")</f>
        <v/>
      </c>
      <c r="CB352" s="448" t="str">
        <f>_xlfn.IFNA(VLOOKUP($BK352,Programma!$F$3:$W$1101,18,0),"")</f>
        <v/>
      </c>
      <c r="CC352" s="448" t="str">
        <f>_xlfn.IFNA(VLOOKUP($BK352,Programma!$F$3:$X$1101,19,0),"")</f>
        <v/>
      </c>
      <c r="CD352" s="448" t="str">
        <f>_xlfn.IFNA(VLOOKUP($BK352,Programma!$F$3:$Y$1101,20,0),"")</f>
        <v/>
      </c>
      <c r="CE352" s="327"/>
      <c r="CF352" s="327"/>
      <c r="CG352" s="327"/>
      <c r="CH352" s="327"/>
      <c r="CI352" s="327"/>
      <c r="CJ352" s="327"/>
      <c r="CK352" s="327"/>
      <c r="CL352" s="327"/>
      <c r="CM352" s="327"/>
      <c r="CN352" s="327"/>
      <c r="CO352" s="327"/>
      <c r="CP352" s="327"/>
      <c r="CQ352" s="327"/>
      <c r="CR352" s="327"/>
      <c r="CS352" s="327"/>
      <c r="CT352" s="327"/>
      <c r="CU352" s="327"/>
      <c r="CV352" s="327"/>
      <c r="CW352" s="327"/>
      <c r="CX352" s="327"/>
      <c r="CY352" s="327"/>
      <c r="CZ352" s="327"/>
      <c r="DA352" s="327"/>
      <c r="DB352" s="327"/>
      <c r="DC352" s="327"/>
      <c r="DD352" s="327"/>
      <c r="DE352" s="327"/>
      <c r="DF352" s="327"/>
      <c r="DG352" s="327"/>
      <c r="DH352" s="327"/>
      <c r="DI352" s="327"/>
      <c r="DJ352" s="327"/>
      <c r="DK352" s="327"/>
      <c r="DL352" s="327"/>
      <c r="DM352" s="327"/>
      <c r="DN352" s="327"/>
      <c r="DO352" s="327"/>
      <c r="DP352" s="327"/>
      <c r="DQ352" s="327"/>
      <c r="DR352" s="327"/>
      <c r="DS352" s="327"/>
      <c r="DT352" s="327"/>
      <c r="DU352" s="327"/>
      <c r="DV352" s="327"/>
      <c r="DW352" s="327"/>
      <c r="DX352" s="327"/>
      <c r="DY352" s="327"/>
      <c r="DZ352" s="327"/>
      <c r="EA352" s="327"/>
      <c r="EB352" s="327"/>
      <c r="EC352" s="327"/>
      <c r="ED352" s="327"/>
      <c r="EE352" s="327"/>
      <c r="EF352" s="327"/>
      <c r="EG352" s="327"/>
      <c r="EH352" s="327"/>
      <c r="EI352" s="327"/>
      <c r="EJ352" s="327"/>
      <c r="EK352" s="327"/>
      <c r="EL352" s="327"/>
      <c r="EM352" s="327"/>
      <c r="EN352" s="327"/>
      <c r="EO352" s="327"/>
      <c r="EP352" s="327"/>
      <c r="EQ352" s="327"/>
      <c r="ER352" s="327"/>
      <c r="ES352" s="327"/>
      <c r="ET352" s="327"/>
      <c r="EU352" s="327"/>
      <c r="EV352" s="327"/>
      <c r="EW352" s="327"/>
      <c r="EX352" s="327"/>
      <c r="EY352" s="327"/>
      <c r="EZ352" s="327"/>
      <c r="FA352" s="327"/>
      <c r="FB352" s="327"/>
      <c r="FC352" s="327"/>
      <c r="FD352" s="327"/>
      <c r="FE352" s="327"/>
      <c r="FF352" s="327"/>
      <c r="FG352" s="327"/>
      <c r="FH352" s="327"/>
      <c r="FI352" s="327"/>
      <c r="FJ352" s="327"/>
      <c r="FK352" s="327"/>
      <c r="FL352" s="327"/>
      <c r="FM352" s="327"/>
      <c r="FN352" s="327"/>
      <c r="FO352" s="327"/>
      <c r="FP352" s="327"/>
      <c r="FQ352" s="327"/>
      <c r="FR352" s="327"/>
      <c r="FS352" s="327"/>
      <c r="FT352" s="327"/>
      <c r="FU352" s="327"/>
      <c r="FV352" s="327"/>
      <c r="FW352" s="327"/>
      <c r="FX352" s="327"/>
      <c r="FY352" s="327"/>
      <c r="FZ352" s="327"/>
      <c r="GA352" s="327"/>
      <c r="GB352" s="327"/>
      <c r="GC352" s="327"/>
      <c r="GD352" s="327"/>
      <c r="GE352" s="327"/>
      <c r="GF352" s="327"/>
      <c r="GG352" s="327"/>
      <c r="GH352" s="327"/>
      <c r="GI352" s="327"/>
      <c r="GJ352" s="327"/>
      <c r="GK352" s="327"/>
      <c r="GL352" s="327"/>
      <c r="GM352" s="327"/>
      <c r="GN352" s="327"/>
      <c r="GO352" s="327"/>
      <c r="GP352" s="327"/>
      <c r="GQ352" s="327"/>
      <c r="GR352" s="327"/>
      <c r="GS352" s="327"/>
      <c r="GT352" s="327"/>
      <c r="GU352" s="327"/>
      <c r="GV352" s="327"/>
      <c r="GW352" s="327"/>
      <c r="GX352" s="327"/>
      <c r="GY352" s="327"/>
      <c r="GZ352" s="327"/>
      <c r="HA352" s="327"/>
      <c r="HB352" s="327"/>
      <c r="HC352" s="327"/>
      <c r="HD352" s="327"/>
      <c r="HE352" s="327"/>
      <c r="HF352" s="327"/>
      <c r="HG352" s="327"/>
      <c r="HH352" s="327"/>
      <c r="HI352" s="327"/>
      <c r="HJ352" s="327"/>
      <c r="HK352" s="327"/>
      <c r="HL352" s="327"/>
      <c r="HM352" s="327"/>
      <c r="HN352" s="327"/>
      <c r="HO352" s="327"/>
      <c r="HP352" s="327"/>
      <c r="HQ352" s="327"/>
      <c r="HR352" s="327"/>
      <c r="HS352" s="327"/>
    </row>
    <row r="353" spans="1:227" ht="15" customHeight="1">
      <c r="A353" s="330">
        <v>15</v>
      </c>
      <c r="B353" s="435" t="str">
        <f>VLOOKUP(Ruimtestaat[[#This Row],[Code]],Locaties[[Code]:[Locatie]],2,FALSE)</f>
        <v>IKC  Da Vinci</v>
      </c>
      <c r="C353" s="435" t="str">
        <f>VLOOKUP(Ruimtestaat[[#This Row],[Code]],Locaties[[#All],[Code]:[Adres]],4,FALSE)</f>
        <v>Spitsbergen 17</v>
      </c>
      <c r="D353" s="435" t="str">
        <f>VLOOKUP(Ruimtestaat[[#This Row],[Code]],Locaties[[#All],[Code]:[Postcode]],5,FALSE)</f>
        <v>2721 GP</v>
      </c>
      <c r="E353" s="435" t="str">
        <f>VLOOKUP(Ruimtestaat[[#This Row],[Code]],Locaties[#All],6,FALSE)</f>
        <v>Zoetermeer</v>
      </c>
      <c r="F353" s="450"/>
      <c r="G353" s="330" t="s">
        <v>1678</v>
      </c>
      <c r="H353" s="330" t="s">
        <v>1667</v>
      </c>
      <c r="I353" s="450" t="s">
        <v>1690</v>
      </c>
      <c r="J353" s="330">
        <v>16</v>
      </c>
      <c r="K353" s="450" t="str">
        <f>VLOOKUP(Ruimtestaat[[#This Row],[Ruimte code]],Ruimtegroepen[[#All],[Code]:[Ruimte omschrijving]],2,FALSE)</f>
        <v>Leslokalen</v>
      </c>
      <c r="L353" s="434" t="s">
        <v>100</v>
      </c>
      <c r="M353" s="437" t="s">
        <v>1759</v>
      </c>
      <c r="N353" s="439">
        <v>54</v>
      </c>
      <c r="O353" s="439"/>
      <c r="P353" s="439"/>
      <c r="Q353" s="439"/>
      <c r="R353" s="440" t="str">
        <f>VLOOKUP(Ruimtestaat[[#This Row],[Ruimte code]],Ruimtegroepen[],4,FALSE)</f>
        <v>Le</v>
      </c>
      <c r="S353" s="434">
        <v>40</v>
      </c>
      <c r="T353" s="434" t="s">
        <v>2</v>
      </c>
      <c r="U353" s="434">
        <f>IF(S353&gt;0,IF(RIGHT(Ruimtestaat[[#This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3" s="434">
        <f>IF(U353&gt;0,VLOOKUP($J353,Ruimtegroepen[],3,FALSE)*VLOOKUP($L353,Vloersoorten[],3,FALSE)*VLOOKUP($T353,Frequenties[],3,FALSE)*VLOOKUP($A353,Locaties[],3,FALSE),0)</f>
        <v>0</v>
      </c>
      <c r="W353" s="434">
        <f>Ruimtestaat[[#This Row],[Uitvoeringen werkdagen]]*Ruimtestaat[[#This Row],[Oppervlak (netto)]]</f>
        <v>10800</v>
      </c>
      <c r="X353" s="441">
        <f>IF(V353&gt;0,Ruimtestaat[[#This Row],[Prest. (m2 /jaar) werkdagen]]/Ruimtestaat[[#This Row],[Norm (m2/uur) werkdagen]],0)</f>
        <v>0</v>
      </c>
      <c r="Y353" s="442">
        <f>Ruimtestaat[[#This Row],[Uitvoeringen werkdagen]]*Ruimtestaat[[#This Row],[Gedeeltelijk]]</f>
        <v>0</v>
      </c>
      <c r="Z353" s="443" t="e">
        <f>IF(U353&gt;0,Ruimtestaat[[#This Row],[Prest. (m2 / jaar) werkdagen gedeeld]]/Ruimtestaat[[#This Row],[Norm (m2/uur) werkdagen]],0)</f>
        <v>#DIV/0!</v>
      </c>
      <c r="AA353" s="441" t="e">
        <f>Ruimtestaat[[#This Row],[uren / jaar werkdagen gedeeld]]*Tariefsopbouw!$E$35</f>
        <v>#DIV/0!</v>
      </c>
      <c r="AB353" s="441">
        <f>Ruimtestaat[[#This Row],[Uitvoeringen werkdagen]]*Ruimtestaat[[#This Row],[BSO]]</f>
        <v>0</v>
      </c>
      <c r="AC353" s="443" t="e">
        <f>IF(U353&gt;0,Ruimtestaat[[#This Row],[Prest. (m2 / jaar) werkdagen BSO]]/Ruimtestaat[[#This Row],[Norm (m2/uur) werkdagen]],0)</f>
        <v>#DIV/0!</v>
      </c>
      <c r="AD353" s="443" t="e">
        <f>Ruimtestaat[[#This Row],[uren / jaar werkdagen BSO]]*Tariefsopbouw!$E$35</f>
        <v>#DIV/0!</v>
      </c>
      <c r="AE353" s="444">
        <f>Ruimtestaat[[#This Row],[uren / jaar werkdagen]]*Tariefsopbouw!$E$35</f>
        <v>0</v>
      </c>
      <c r="AF353" s="434"/>
      <c r="AG353" s="434">
        <f>IF(Ruimtestaat[[#This Row],[Frequentie weekend]]&gt;0,VALUE(LEFT(AF353,1))*S353,0)</f>
        <v>0</v>
      </c>
      <c r="AH353" s="445">
        <f>IF($AG353&gt;0,VLOOKUP($J353,Ruimtegroepen[],3,FALSE)*VLOOKUP($L353,Vloersoorten[],3,FALSE)*VLOOKUP($AF353,Frequenties[],3,FALSE)*VLOOKUP(Ruimtestaat[[#This Row],[Code]],Locaties[],3,FALSE),0)</f>
        <v>0</v>
      </c>
      <c r="AI353" s="445">
        <f>Ruimtestaat[[#This Row],[Uitvoeringen weekend]]*Ruimtestaat[[#This Row],[Oppervlak (netto)]]</f>
        <v>0</v>
      </c>
      <c r="AJ353" s="445">
        <f>IF(AH353&gt;0,Ruimtestaat[[#This Row],[Prest. (m2 /jaar) weekend]]/Ruimtestaat[[#This Row],[Norm (m2/uur) weekend]],0)</f>
        <v>0</v>
      </c>
      <c r="AK353" s="444">
        <f>Ruimtestaat[[#This Row],[uren / jaar weekend]]*Tariefsopbouw!$D$40</f>
        <v>0</v>
      </c>
      <c r="AL353" s="441">
        <f>Ruimtestaat[[#This Row],[Prest. (m2 /jaar) weekend]]+Ruimtestaat[[#This Row],[Prest. (m2 /jaar) werkdagen]]</f>
        <v>10800</v>
      </c>
      <c r="AM353" s="441">
        <f>Ruimtestaat[[#This Row],[uren / jaar weekend]]+Ruimtestaat[[#This Row],[uren / jaar werkdagen]]</f>
        <v>0</v>
      </c>
      <c r="AN353" s="446">
        <f>Ruimtestaat[[#This Row],[kosten / jaar weekend]]+Ruimtestaat[[#This Row],[kosten / jaar werkdagen]]</f>
        <v>0</v>
      </c>
      <c r="AO353" s="446"/>
      <c r="AP353" s="447" t="str">
        <f>IF(Ruimtestaat[[#This Row],[Frequentie werkdagen]]="","",_xlfn.CONCAT(Ruimtestaat[[#This Row],[Ruimte code]],"-",Ruimtestaat[[#This Row],[Frequentie werkdagen]]," ",Ruimtestaat[[#This Row],[Vloer code]]))</f>
        <v>16-5w L</v>
      </c>
      <c r="AQ353" s="448" t="str">
        <f>_xlfn.IFNA(VLOOKUP($AP353,Programma!$F$3:$G$1101,2,0),"")</f>
        <v>_</v>
      </c>
      <c r="AR353" s="448" t="str">
        <f>_xlfn.IFNA(VLOOKUP($AP353,Programma!$F$3:$H$1101,3,0),"")</f>
        <v>_</v>
      </c>
      <c r="AS353" s="448" t="str">
        <f>_xlfn.IFNA(VLOOKUP($AP353,Programma!$F$3:$I$1101,4,0),"")</f>
        <v>4w</v>
      </c>
      <c r="AT353" s="448" t="str">
        <f>_xlfn.IFNA(VLOOKUP($AP353,Programma!$F$3:$J$1101,5,0),"")</f>
        <v>1w</v>
      </c>
      <c r="AU353" s="448" t="str">
        <f>_xlfn.IFNA(VLOOKUP($AP353,Programma!$F$3:$K$1101,6,0),"")</f>
        <v>_</v>
      </c>
      <c r="AV353" s="448" t="str">
        <f>_xlfn.IFNA(VLOOKUP($AP353,Programma!$F$3:$L$1101,7,0),"")</f>
        <v>_</v>
      </c>
      <c r="AW353" s="448" t="str">
        <f>_xlfn.IFNA(VLOOKUP($AP353,Programma!$F$3:$M$1101,8,0),"")</f>
        <v>_</v>
      </c>
      <c r="AX353" s="448" t="str">
        <f>_xlfn.IFNA(VLOOKUP($AP353,Programma!$F$3:$N$1101,9,0),"")</f>
        <v>_</v>
      </c>
      <c r="AY353" s="448" t="str">
        <f>_xlfn.IFNA(VLOOKUP($AP353,Programma!$F$3:$O$1101,10,0),"")</f>
        <v>5w</v>
      </c>
      <c r="AZ353" s="448" t="str">
        <f>_xlfn.IFNA(VLOOKUP($AP353,Programma!$F$3:$P$1101,11,0),"")</f>
        <v>5w</v>
      </c>
      <c r="BA353" s="448" t="str">
        <f>_xlfn.IFNA(VLOOKUP($AP353,Programma!$F$3:$Q$1101,12,0),"")</f>
        <v>1w</v>
      </c>
      <c r="BB353" s="448" t="str">
        <f>_xlfn.IFNA(VLOOKUP($AP353,Programma!$F$3:$R$1101,13,0),"")</f>
        <v>1w</v>
      </c>
      <c r="BC353" s="448" t="str">
        <f>_xlfn.IFNA(VLOOKUP($AP353,Programma!$F$3:$S$1101,14,0),"")</f>
        <v>1m</v>
      </c>
      <c r="BD353" s="448" t="str">
        <f>_xlfn.IFNA(VLOOKUP($AP353,Programma!$F$3:$T$1101,15,0),"")</f>
        <v>2j</v>
      </c>
      <c r="BE353" s="448" t="str">
        <f>_xlfn.IFNA(VLOOKUP($AP353,Programma!$F$3:$U$1101,16,0),"")</f>
        <v>1j</v>
      </c>
      <c r="BF353" s="448" t="str">
        <f>_xlfn.IFNA(VLOOKUP($AP353,Programma!$F$3:$V$1101,17,0),"")</f>
        <v>_</v>
      </c>
      <c r="BG353" s="448" t="str">
        <f>_xlfn.IFNA(VLOOKUP($AP353,Programma!$F$3:$W$1101,18,0),"")</f>
        <v>_</v>
      </c>
      <c r="BH353" s="448" t="str">
        <f>_xlfn.IFNA(VLOOKUP($AP353,Programma!$F$3:$X$1101,19,0),"")</f>
        <v>_</v>
      </c>
      <c r="BI353" s="448" t="str">
        <f>_xlfn.IFNA(VLOOKUP($AP353,Programma!$F$3:$Y$1101,20,0),"")</f>
        <v>_</v>
      </c>
      <c r="BJ353" s="449"/>
      <c r="BK353" s="447" t="str">
        <f>IF(Ruimtestaat[[#This Row],[Frequentie weekend]]="","",_xlfn.CONCAT(Ruimtestaat[[#This Row],[Ruimte code]],"-",Ruimtestaat[[#This Row],[Frequentie weekend]]," ",Ruimtestaat[[#This Row],[Vloer code]]))</f>
        <v/>
      </c>
      <c r="BL353" s="448" t="str">
        <f>_xlfn.IFNA(VLOOKUP($BK353,Programma!$F$3:$G$1101,2,0),"")</f>
        <v/>
      </c>
      <c r="BM353" s="448" t="str">
        <f>_xlfn.IFNA(VLOOKUP($BK353,Programma!$F$3:$H$1101,3,0),"")</f>
        <v/>
      </c>
      <c r="BN353" s="448" t="str">
        <f>_xlfn.IFNA(VLOOKUP($BK353,Programma!$F$3:$I$1101,4,0),"")</f>
        <v/>
      </c>
      <c r="BO353" s="448" t="str">
        <f>_xlfn.IFNA(VLOOKUP($BK353,Programma!$F$3:$J$1101,5,0),"")</f>
        <v/>
      </c>
      <c r="BP353" s="448" t="str">
        <f>_xlfn.IFNA(VLOOKUP($BK353,Programma!$F$3:$K$1101,6,0),"")</f>
        <v/>
      </c>
      <c r="BQ353" s="448" t="str">
        <f>_xlfn.IFNA(VLOOKUP($BK353,Programma!$F$3:$L$1101,7,0),"")</f>
        <v/>
      </c>
      <c r="BR353" s="448" t="str">
        <f>_xlfn.IFNA(VLOOKUP($BK353,Programma!$F$3:$M$1101,8,0),"")</f>
        <v/>
      </c>
      <c r="BS353" s="448" t="str">
        <f>_xlfn.IFNA(VLOOKUP($BK353,Programma!$F$3:$N$1101,9,0),"")</f>
        <v/>
      </c>
      <c r="BT353" s="448" t="str">
        <f>_xlfn.IFNA(VLOOKUP($BK353,Programma!$F$3:$O$1101,10,0),"")</f>
        <v/>
      </c>
      <c r="BU353" s="448" t="str">
        <f>_xlfn.IFNA(VLOOKUP($BK353,Programma!$F$3:$P$1101,11,0),"")</f>
        <v/>
      </c>
      <c r="BV353" s="448" t="str">
        <f>_xlfn.IFNA(VLOOKUP($BK353,Programma!$F$3:$Q$1101,12,0),"")</f>
        <v/>
      </c>
      <c r="BW353" s="448" t="str">
        <f>_xlfn.IFNA(VLOOKUP($BK353,Programma!$F$3:$R$1101,13,0),"")</f>
        <v/>
      </c>
      <c r="BX353" s="448" t="str">
        <f>_xlfn.IFNA(VLOOKUP($BK353,Programma!$F$3:$S$1101,14,0),"")</f>
        <v/>
      </c>
      <c r="BY353" s="448" t="str">
        <f>_xlfn.IFNA(VLOOKUP($BK353,Programma!$F$3:$T$1101,15,0),"")</f>
        <v/>
      </c>
      <c r="BZ353" s="448" t="str">
        <f>_xlfn.IFNA(VLOOKUP($BK353,Programma!$F$3:$U$1101,16,0),"")</f>
        <v/>
      </c>
      <c r="CA353" s="448" t="str">
        <f>_xlfn.IFNA(VLOOKUP($BK353,Programma!$F$3:$V$1101,17,0),"")</f>
        <v/>
      </c>
      <c r="CB353" s="448" t="str">
        <f>_xlfn.IFNA(VLOOKUP($BK353,Programma!$F$3:$W$1101,18,0),"")</f>
        <v/>
      </c>
      <c r="CC353" s="448" t="str">
        <f>_xlfn.IFNA(VLOOKUP($BK353,Programma!$F$3:$X$1101,19,0),"")</f>
        <v/>
      </c>
      <c r="CD353" s="448" t="str">
        <f>_xlfn.IFNA(VLOOKUP($BK353,Programma!$F$3:$Y$1101,20,0),"")</f>
        <v/>
      </c>
      <c r="CE353" s="327"/>
      <c r="CF353" s="327"/>
      <c r="CG353" s="327"/>
      <c r="CH353" s="327"/>
      <c r="CI353" s="327"/>
      <c r="CJ353" s="327"/>
      <c r="CK353" s="327"/>
      <c r="CL353" s="327"/>
      <c r="CM353" s="327"/>
      <c r="CN353" s="327"/>
      <c r="CO353" s="327"/>
      <c r="CP353" s="327"/>
      <c r="CQ353" s="327"/>
      <c r="CR353" s="327"/>
      <c r="CS353" s="327"/>
      <c r="CT353" s="327"/>
      <c r="CU353" s="327"/>
      <c r="CV353" s="327"/>
      <c r="CW353" s="327"/>
      <c r="CX353" s="327"/>
      <c r="CY353" s="327"/>
      <c r="CZ353" s="327"/>
      <c r="DA353" s="327"/>
      <c r="DB353" s="327"/>
      <c r="DC353" s="327"/>
      <c r="DD353" s="327"/>
      <c r="DE353" s="327"/>
      <c r="DF353" s="327"/>
      <c r="DG353" s="327"/>
      <c r="DH353" s="327"/>
      <c r="DI353" s="327"/>
      <c r="DJ353" s="327"/>
      <c r="DK353" s="327"/>
      <c r="DL353" s="327"/>
      <c r="DM353" s="327"/>
      <c r="DN353" s="327"/>
      <c r="DO353" s="327"/>
      <c r="DP353" s="327"/>
      <c r="DQ353" s="327"/>
      <c r="DR353" s="327"/>
      <c r="DS353" s="327"/>
      <c r="DT353" s="327"/>
      <c r="DU353" s="327"/>
      <c r="DV353" s="327"/>
      <c r="DW353" s="327"/>
      <c r="DX353" s="327"/>
      <c r="DY353" s="327"/>
      <c r="DZ353" s="327"/>
      <c r="EA353" s="327"/>
      <c r="EB353" s="327"/>
      <c r="EC353" s="327"/>
      <c r="ED353" s="327"/>
      <c r="EE353" s="327"/>
      <c r="EF353" s="327"/>
      <c r="EG353" s="327"/>
      <c r="EH353" s="327"/>
      <c r="EI353" s="327"/>
      <c r="EJ353" s="327"/>
      <c r="EK353" s="327"/>
      <c r="EL353" s="327"/>
      <c r="EM353" s="327"/>
      <c r="EN353" s="327"/>
      <c r="EO353" s="327"/>
      <c r="EP353" s="327"/>
      <c r="EQ353" s="327"/>
      <c r="ER353" s="327"/>
      <c r="ES353" s="327"/>
      <c r="ET353" s="327"/>
      <c r="EU353" s="327"/>
      <c r="EV353" s="327"/>
      <c r="EW353" s="327"/>
      <c r="EX353" s="327"/>
      <c r="EY353" s="327"/>
      <c r="EZ353" s="327"/>
      <c r="FA353" s="327"/>
      <c r="FB353" s="327"/>
      <c r="FC353" s="327"/>
      <c r="FD353" s="327"/>
      <c r="FE353" s="327"/>
      <c r="FF353" s="327"/>
      <c r="FG353" s="327"/>
      <c r="FH353" s="327"/>
      <c r="FI353" s="327"/>
      <c r="FJ353" s="327"/>
      <c r="FK353" s="327"/>
      <c r="FL353" s="327"/>
      <c r="FM353" s="327"/>
      <c r="FN353" s="327"/>
      <c r="FO353" s="327"/>
      <c r="FP353" s="327"/>
      <c r="FQ353" s="327"/>
      <c r="FR353" s="327"/>
      <c r="FS353" s="327"/>
      <c r="FT353" s="327"/>
      <c r="FU353" s="327"/>
      <c r="FV353" s="327"/>
      <c r="FW353" s="327"/>
      <c r="FX353" s="327"/>
      <c r="FY353" s="327"/>
      <c r="FZ353" s="327"/>
      <c r="GA353" s="327"/>
      <c r="GB353" s="327"/>
      <c r="GC353" s="327"/>
      <c r="GD353" s="327"/>
      <c r="GE353" s="327"/>
      <c r="GF353" s="327"/>
      <c r="GG353" s="327"/>
      <c r="GH353" s="327"/>
      <c r="GI353" s="327"/>
      <c r="GJ353" s="327"/>
      <c r="GK353" s="327"/>
      <c r="GL353" s="327"/>
      <c r="GM353" s="327"/>
      <c r="GN353" s="327"/>
      <c r="GO353" s="327"/>
      <c r="GP353" s="327"/>
      <c r="GQ353" s="327"/>
      <c r="GR353" s="327"/>
      <c r="GS353" s="327"/>
      <c r="GT353" s="327"/>
      <c r="GU353" s="327"/>
      <c r="GV353" s="327"/>
      <c r="GW353" s="327"/>
      <c r="GX353" s="327"/>
      <c r="GY353" s="327"/>
      <c r="GZ353" s="327"/>
      <c r="HA353" s="327"/>
      <c r="HB353" s="327"/>
      <c r="HC353" s="327"/>
      <c r="HD353" s="327"/>
      <c r="HE353" s="327"/>
      <c r="HF353" s="327"/>
      <c r="HG353" s="327"/>
      <c r="HH353" s="327"/>
      <c r="HI353" s="327"/>
      <c r="HJ353" s="327"/>
      <c r="HK353" s="327"/>
      <c r="HL353" s="327"/>
      <c r="HM353" s="327"/>
      <c r="HN353" s="327"/>
      <c r="HO353" s="327"/>
      <c r="HP353" s="327"/>
      <c r="HQ353" s="327"/>
      <c r="HR353" s="327"/>
      <c r="HS353" s="327"/>
    </row>
    <row r="354" spans="1:227" ht="15" customHeight="1">
      <c r="A354" s="330">
        <v>15</v>
      </c>
      <c r="B354" s="435" t="str">
        <f>VLOOKUP(Ruimtestaat[[#This Row],[Code]],Locaties[[Code]:[Locatie]],2,FALSE)</f>
        <v>IKC  Da Vinci</v>
      </c>
      <c r="C354" s="435" t="str">
        <f>VLOOKUP(Ruimtestaat[[#This Row],[Code]],Locaties[[#All],[Code]:[Adres]],4,FALSE)</f>
        <v>Spitsbergen 17</v>
      </c>
      <c r="D354" s="435" t="str">
        <f>VLOOKUP(Ruimtestaat[[#This Row],[Code]],Locaties[[#All],[Code]:[Postcode]],5,FALSE)</f>
        <v>2721 GP</v>
      </c>
      <c r="E354" s="435" t="str">
        <f>VLOOKUP(Ruimtestaat[[#This Row],[Code]],Locaties[#All],6,FALSE)</f>
        <v>Zoetermeer</v>
      </c>
      <c r="F354" s="450"/>
      <c r="G354" s="330" t="s">
        <v>1678</v>
      </c>
      <c r="H354" s="330" t="s">
        <v>1668</v>
      </c>
      <c r="I354" s="450" t="s">
        <v>1840</v>
      </c>
      <c r="J354" s="330">
        <v>6</v>
      </c>
      <c r="K354" s="450" t="str">
        <f>VLOOKUP(Ruimtestaat[[#This Row],[Ruimte code]],Ruimtegroepen[[#All],[Code]:[Ruimte omschrijving]],2,FALSE)</f>
        <v>Gangen/hallen</v>
      </c>
      <c r="L354" s="434" t="s">
        <v>100</v>
      </c>
      <c r="M354" s="437" t="s">
        <v>1759</v>
      </c>
      <c r="N354" s="439">
        <v>127</v>
      </c>
      <c r="O354" s="439"/>
      <c r="P354" s="439"/>
      <c r="Q354" s="439"/>
      <c r="R354" s="440" t="str">
        <f>VLOOKUP(Ruimtestaat[[#This Row],[Ruimte code]],Ruimtegroepen[],4,FALSE)</f>
        <v>Ve</v>
      </c>
      <c r="S354" s="434">
        <v>41</v>
      </c>
      <c r="T354" s="434" t="s">
        <v>2</v>
      </c>
      <c r="U354" s="434">
        <f>IF(S354&gt;0,IF(RIGHT(Ruimtestaat[[#This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54" s="434">
        <f>IF(U354&gt;0,VLOOKUP($J354,Ruimtegroepen[],3,FALSE)*VLOOKUP($L354,Vloersoorten[],3,FALSE)*VLOOKUP($T354,Frequenties[],3,FALSE)*VLOOKUP($A354,Locaties[],3,FALSE),0)</f>
        <v>0</v>
      </c>
      <c r="W354" s="434">
        <f>Ruimtestaat[[#This Row],[Uitvoeringen werkdagen]]*Ruimtestaat[[#This Row],[Oppervlak (netto)]]</f>
        <v>26035</v>
      </c>
      <c r="X354" s="441">
        <f>IF(V354&gt;0,Ruimtestaat[[#This Row],[Prest. (m2 /jaar) werkdagen]]/Ruimtestaat[[#This Row],[Norm (m2/uur) werkdagen]],0)</f>
        <v>0</v>
      </c>
      <c r="Y354" s="442">
        <f>Ruimtestaat[[#This Row],[Uitvoeringen werkdagen]]*Ruimtestaat[[#This Row],[Gedeeltelijk]]</f>
        <v>0</v>
      </c>
      <c r="Z354" s="443" t="e">
        <f>IF(U354&gt;0,Ruimtestaat[[#This Row],[Prest. (m2 / jaar) werkdagen gedeeld]]/Ruimtestaat[[#This Row],[Norm (m2/uur) werkdagen]],0)</f>
        <v>#DIV/0!</v>
      </c>
      <c r="AA354" s="441" t="e">
        <f>Ruimtestaat[[#This Row],[uren / jaar werkdagen gedeeld]]*Tariefsopbouw!$E$35</f>
        <v>#DIV/0!</v>
      </c>
      <c r="AB354" s="441">
        <f>Ruimtestaat[[#This Row],[Uitvoeringen werkdagen]]*Ruimtestaat[[#This Row],[BSO]]</f>
        <v>0</v>
      </c>
      <c r="AC354" s="443" t="e">
        <f>IF(U354&gt;0,Ruimtestaat[[#This Row],[Prest. (m2 / jaar) werkdagen BSO]]/Ruimtestaat[[#This Row],[Norm (m2/uur) werkdagen]],0)</f>
        <v>#DIV/0!</v>
      </c>
      <c r="AD354" s="443" t="e">
        <f>Ruimtestaat[[#This Row],[uren / jaar werkdagen BSO]]*Tariefsopbouw!$E$35</f>
        <v>#DIV/0!</v>
      </c>
      <c r="AE354" s="444">
        <f>Ruimtestaat[[#This Row],[uren / jaar werkdagen]]*Tariefsopbouw!$E$35</f>
        <v>0</v>
      </c>
      <c r="AF354" s="434"/>
      <c r="AG354" s="434">
        <f>IF(Ruimtestaat[[#This Row],[Frequentie weekend]]&gt;0,VALUE(LEFT(AF354,1))*S354,0)</f>
        <v>0</v>
      </c>
      <c r="AH354" s="445">
        <f>IF($AG354&gt;0,VLOOKUP($J354,Ruimtegroepen[],3,FALSE)*VLOOKUP($L354,Vloersoorten[],3,FALSE)*VLOOKUP($AF354,Frequenties[],3,FALSE)*VLOOKUP(Ruimtestaat[[#This Row],[Code]],Locaties[],3,FALSE),0)</f>
        <v>0</v>
      </c>
      <c r="AI354" s="445">
        <f>Ruimtestaat[[#This Row],[Uitvoeringen weekend]]*Ruimtestaat[[#This Row],[Oppervlak (netto)]]</f>
        <v>0</v>
      </c>
      <c r="AJ354" s="445">
        <f>IF(AH354&gt;0,Ruimtestaat[[#This Row],[Prest. (m2 /jaar) weekend]]/Ruimtestaat[[#This Row],[Norm (m2/uur) weekend]],0)</f>
        <v>0</v>
      </c>
      <c r="AK354" s="444">
        <f>Ruimtestaat[[#This Row],[uren / jaar weekend]]*Tariefsopbouw!$D$40</f>
        <v>0</v>
      </c>
      <c r="AL354" s="441">
        <f>Ruimtestaat[[#This Row],[Prest. (m2 /jaar) weekend]]+Ruimtestaat[[#This Row],[Prest. (m2 /jaar) werkdagen]]</f>
        <v>26035</v>
      </c>
      <c r="AM354" s="441">
        <f>Ruimtestaat[[#This Row],[uren / jaar weekend]]+Ruimtestaat[[#This Row],[uren / jaar werkdagen]]</f>
        <v>0</v>
      </c>
      <c r="AN354" s="446">
        <f>Ruimtestaat[[#This Row],[kosten / jaar weekend]]+Ruimtestaat[[#This Row],[kosten / jaar werkdagen]]</f>
        <v>0</v>
      </c>
      <c r="AO354" s="446"/>
      <c r="AP354" s="447" t="str">
        <f>IF(Ruimtestaat[[#This Row],[Frequentie werkdagen]]="","",_xlfn.CONCAT(Ruimtestaat[[#This Row],[Ruimte code]],"-",Ruimtestaat[[#This Row],[Frequentie werkdagen]]," ",Ruimtestaat[[#This Row],[Vloer code]]))</f>
        <v>6-5w L</v>
      </c>
      <c r="AQ354" s="448" t="str">
        <f>_xlfn.IFNA(VLOOKUP($AP354,Programma!$F$3:$G$1101,2,0),"")</f>
        <v>_</v>
      </c>
      <c r="AR354" s="448" t="str">
        <f>_xlfn.IFNA(VLOOKUP($AP354,Programma!$F$3:$H$1101,3,0),"")</f>
        <v>_</v>
      </c>
      <c r="AS354" s="448" t="str">
        <f>_xlfn.IFNA(VLOOKUP($AP354,Programma!$F$3:$I$1101,4,0),"")</f>
        <v>_</v>
      </c>
      <c r="AT354" s="448" t="str">
        <f>_xlfn.IFNA(VLOOKUP($AP354,Programma!$F$3:$J$1101,5,0),"")</f>
        <v>5w</v>
      </c>
      <c r="AU354" s="448" t="str">
        <f>_xlfn.IFNA(VLOOKUP($AP354,Programma!$F$3:$K$1101,6,0),"")</f>
        <v>_</v>
      </c>
      <c r="AV354" s="448" t="str">
        <f>_xlfn.IFNA(VLOOKUP($AP354,Programma!$F$3:$L$1101,7,0),"")</f>
        <v>_</v>
      </c>
      <c r="AW354" s="448" t="str">
        <f>_xlfn.IFNA(VLOOKUP($AP354,Programma!$F$3:$M$1101,8,0),"")</f>
        <v>_</v>
      </c>
      <c r="AX354" s="448" t="str">
        <f>_xlfn.IFNA(VLOOKUP($AP354,Programma!$F$3:$N$1101,9,0),"")</f>
        <v>_</v>
      </c>
      <c r="AY354" s="448" t="str">
        <f>_xlfn.IFNA(VLOOKUP($AP354,Programma!$F$3:$O$1101,10,0),"")</f>
        <v>5w</v>
      </c>
      <c r="AZ354" s="448" t="str">
        <f>_xlfn.IFNA(VLOOKUP($AP354,Programma!$F$3:$P$1101,11,0),"")</f>
        <v>5w</v>
      </c>
      <c r="BA354" s="448" t="str">
        <f>_xlfn.IFNA(VLOOKUP($AP354,Programma!$F$3:$Q$1101,12,0),"")</f>
        <v>1w</v>
      </c>
      <c r="BB354" s="448" t="str">
        <f>_xlfn.IFNA(VLOOKUP($AP354,Programma!$F$3:$R$1101,13,0),"")</f>
        <v>1w</v>
      </c>
      <c r="BC354" s="448" t="str">
        <f>_xlfn.IFNA(VLOOKUP($AP354,Programma!$F$3:$S$1101,14,0),"")</f>
        <v>1m</v>
      </c>
      <c r="BD354" s="448" t="str">
        <f>_xlfn.IFNA(VLOOKUP($AP354,Programma!$F$3:$T$1101,15,0),"")</f>
        <v>2j</v>
      </c>
      <c r="BE354" s="448" t="str">
        <f>_xlfn.IFNA(VLOOKUP($AP354,Programma!$F$3:$U$1101,16,0),"")</f>
        <v>1j</v>
      </c>
      <c r="BF354" s="448" t="str">
        <f>_xlfn.IFNA(VLOOKUP($AP354,Programma!$F$3:$V$1101,17,0),"")</f>
        <v>_</v>
      </c>
      <c r="BG354" s="448" t="str">
        <f>_xlfn.IFNA(VLOOKUP($AP354,Programma!$F$3:$W$1101,18,0),"")</f>
        <v>_</v>
      </c>
      <c r="BH354" s="448" t="str">
        <f>_xlfn.IFNA(VLOOKUP($AP354,Programma!$F$3:$X$1101,19,0),"")</f>
        <v>_</v>
      </c>
      <c r="BI354" s="448" t="str">
        <f>_xlfn.IFNA(VLOOKUP($AP354,Programma!$F$3:$Y$1101,20,0),"")</f>
        <v>_</v>
      </c>
      <c r="BJ354" s="449"/>
      <c r="BK354" s="447" t="str">
        <f>IF(Ruimtestaat[[#This Row],[Frequentie weekend]]="","",_xlfn.CONCAT(Ruimtestaat[[#This Row],[Ruimte code]],"-",Ruimtestaat[[#This Row],[Frequentie weekend]]," ",Ruimtestaat[[#This Row],[Vloer code]]))</f>
        <v/>
      </c>
      <c r="BL354" s="448" t="str">
        <f>_xlfn.IFNA(VLOOKUP($BK354,Programma!$F$3:$G$1101,2,0),"")</f>
        <v/>
      </c>
      <c r="BM354" s="448" t="str">
        <f>_xlfn.IFNA(VLOOKUP($BK354,Programma!$F$3:$H$1101,3,0),"")</f>
        <v/>
      </c>
      <c r="BN354" s="448" t="str">
        <f>_xlfn.IFNA(VLOOKUP($BK354,Programma!$F$3:$I$1101,4,0),"")</f>
        <v/>
      </c>
      <c r="BO354" s="448" t="str">
        <f>_xlfn.IFNA(VLOOKUP($BK354,Programma!$F$3:$J$1101,5,0),"")</f>
        <v/>
      </c>
      <c r="BP354" s="448" t="str">
        <f>_xlfn.IFNA(VLOOKUP($BK354,Programma!$F$3:$K$1101,6,0),"")</f>
        <v/>
      </c>
      <c r="BQ354" s="448" t="str">
        <f>_xlfn.IFNA(VLOOKUP($BK354,Programma!$F$3:$L$1101,7,0),"")</f>
        <v/>
      </c>
      <c r="BR354" s="448" t="str">
        <f>_xlfn.IFNA(VLOOKUP($BK354,Programma!$F$3:$M$1101,8,0),"")</f>
        <v/>
      </c>
      <c r="BS354" s="448" t="str">
        <f>_xlfn.IFNA(VLOOKUP($BK354,Programma!$F$3:$N$1101,9,0),"")</f>
        <v/>
      </c>
      <c r="BT354" s="448" t="str">
        <f>_xlfn.IFNA(VLOOKUP($BK354,Programma!$F$3:$O$1101,10,0),"")</f>
        <v/>
      </c>
      <c r="BU354" s="448" t="str">
        <f>_xlfn.IFNA(VLOOKUP($BK354,Programma!$F$3:$P$1101,11,0),"")</f>
        <v/>
      </c>
      <c r="BV354" s="448" t="str">
        <f>_xlfn.IFNA(VLOOKUP($BK354,Programma!$F$3:$Q$1101,12,0),"")</f>
        <v/>
      </c>
      <c r="BW354" s="448" t="str">
        <f>_xlfn.IFNA(VLOOKUP($BK354,Programma!$F$3:$R$1101,13,0),"")</f>
        <v/>
      </c>
      <c r="BX354" s="448" t="str">
        <f>_xlfn.IFNA(VLOOKUP($BK354,Programma!$F$3:$S$1101,14,0),"")</f>
        <v/>
      </c>
      <c r="BY354" s="448" t="str">
        <f>_xlfn.IFNA(VLOOKUP($BK354,Programma!$F$3:$T$1101,15,0),"")</f>
        <v/>
      </c>
      <c r="BZ354" s="448" t="str">
        <f>_xlfn.IFNA(VLOOKUP($BK354,Programma!$F$3:$U$1101,16,0),"")</f>
        <v/>
      </c>
      <c r="CA354" s="448" t="str">
        <f>_xlfn.IFNA(VLOOKUP($BK354,Programma!$F$3:$V$1101,17,0),"")</f>
        <v/>
      </c>
      <c r="CB354" s="448" t="str">
        <f>_xlfn.IFNA(VLOOKUP($BK354,Programma!$F$3:$W$1101,18,0),"")</f>
        <v/>
      </c>
      <c r="CC354" s="448" t="str">
        <f>_xlfn.IFNA(VLOOKUP($BK354,Programma!$F$3:$X$1101,19,0),"")</f>
        <v/>
      </c>
      <c r="CD354" s="448" t="str">
        <f>_xlfn.IFNA(VLOOKUP($BK354,Programma!$F$3:$Y$1101,20,0),"")</f>
        <v/>
      </c>
      <c r="CE354" s="327"/>
      <c r="CF354" s="327"/>
      <c r="CG354" s="327"/>
      <c r="CH354" s="327"/>
      <c r="CI354" s="327"/>
      <c r="CJ354" s="327"/>
      <c r="CK354" s="327"/>
      <c r="CL354" s="327"/>
      <c r="CM354" s="327"/>
      <c r="CN354" s="327"/>
      <c r="CO354" s="327"/>
      <c r="CP354" s="327"/>
      <c r="CQ354" s="327"/>
      <c r="CR354" s="327"/>
      <c r="CS354" s="327"/>
      <c r="CT354" s="327"/>
      <c r="CU354" s="327"/>
      <c r="CV354" s="327"/>
      <c r="CW354" s="327"/>
      <c r="CX354" s="327"/>
      <c r="CY354" s="327"/>
      <c r="CZ354" s="327"/>
      <c r="DA354" s="327"/>
      <c r="DB354" s="327"/>
      <c r="DC354" s="327"/>
      <c r="DD354" s="327"/>
      <c r="DE354" s="327"/>
      <c r="DF354" s="327"/>
      <c r="DG354" s="327"/>
      <c r="DH354" s="327"/>
      <c r="DI354" s="327"/>
      <c r="DJ354" s="327"/>
      <c r="DK354" s="327"/>
      <c r="DL354" s="327"/>
      <c r="DM354" s="327"/>
      <c r="DN354" s="327"/>
      <c r="DO354" s="327"/>
      <c r="DP354" s="327"/>
      <c r="DQ354" s="327"/>
      <c r="DR354" s="327"/>
      <c r="DS354" s="327"/>
      <c r="DT354" s="327"/>
      <c r="DU354" s="327"/>
      <c r="DV354" s="327"/>
      <c r="DW354" s="327"/>
      <c r="DX354" s="327"/>
      <c r="DY354" s="327"/>
      <c r="DZ354" s="327"/>
      <c r="EA354" s="327"/>
      <c r="EB354" s="327"/>
      <c r="EC354" s="327"/>
      <c r="ED354" s="327"/>
      <c r="EE354" s="327"/>
      <c r="EF354" s="327"/>
      <c r="EG354" s="327"/>
      <c r="EH354" s="327"/>
      <c r="EI354" s="327"/>
      <c r="EJ354" s="327"/>
      <c r="EK354" s="327"/>
      <c r="EL354" s="327"/>
      <c r="EM354" s="327"/>
      <c r="EN354" s="327"/>
      <c r="EO354" s="327"/>
      <c r="EP354" s="327"/>
      <c r="EQ354" s="327"/>
      <c r="ER354" s="327"/>
      <c r="ES354" s="327"/>
      <c r="ET354" s="327"/>
      <c r="EU354" s="327"/>
      <c r="EV354" s="327"/>
      <c r="EW354" s="327"/>
      <c r="EX354" s="327"/>
      <c r="EY354" s="327"/>
      <c r="EZ354" s="327"/>
      <c r="FA354" s="327"/>
      <c r="FB354" s="327"/>
      <c r="FC354" s="327"/>
      <c r="FD354" s="327"/>
      <c r="FE354" s="327"/>
      <c r="FF354" s="327"/>
      <c r="FG354" s="327"/>
      <c r="FH354" s="327"/>
      <c r="FI354" s="327"/>
      <c r="FJ354" s="327"/>
      <c r="FK354" s="327"/>
      <c r="FL354" s="327"/>
      <c r="FM354" s="327"/>
      <c r="FN354" s="327"/>
      <c r="FO354" s="327"/>
      <c r="FP354" s="327"/>
      <c r="FQ354" s="327"/>
      <c r="FR354" s="327"/>
      <c r="FS354" s="327"/>
      <c r="FT354" s="327"/>
      <c r="FU354" s="327"/>
      <c r="FV354" s="327"/>
      <c r="FW354" s="327"/>
      <c r="FX354" s="327"/>
      <c r="FY354" s="327"/>
      <c r="FZ354" s="327"/>
      <c r="GA354" s="327"/>
      <c r="GB354" s="327"/>
      <c r="GC354" s="327"/>
      <c r="GD354" s="327"/>
      <c r="GE354" s="327"/>
      <c r="GF354" s="327"/>
      <c r="GG354" s="327"/>
      <c r="GH354" s="327"/>
      <c r="GI354" s="327"/>
      <c r="GJ354" s="327"/>
      <c r="GK354" s="327"/>
      <c r="GL354" s="327"/>
      <c r="GM354" s="327"/>
      <c r="GN354" s="327"/>
      <c r="GO354" s="327"/>
      <c r="GP354" s="327"/>
      <c r="GQ354" s="327"/>
      <c r="GR354" s="327"/>
      <c r="GS354" s="327"/>
      <c r="GT354" s="327"/>
      <c r="GU354" s="327"/>
      <c r="GV354" s="327"/>
      <c r="GW354" s="327"/>
      <c r="GX354" s="327"/>
      <c r="GY354" s="327"/>
      <c r="GZ354" s="327"/>
      <c r="HA354" s="327"/>
      <c r="HB354" s="327"/>
      <c r="HC354" s="327"/>
      <c r="HD354" s="327"/>
      <c r="HE354" s="327"/>
      <c r="HF354" s="327"/>
      <c r="HG354" s="327"/>
      <c r="HH354" s="327"/>
      <c r="HI354" s="327"/>
      <c r="HJ354" s="327"/>
      <c r="HK354" s="327"/>
      <c r="HL354" s="327"/>
      <c r="HM354" s="327"/>
      <c r="HN354" s="327"/>
      <c r="HO354" s="327"/>
      <c r="HP354" s="327"/>
      <c r="HQ354" s="327"/>
      <c r="HR354" s="327"/>
      <c r="HS354" s="327"/>
    </row>
    <row r="355" spans="1:227" ht="15" customHeight="1">
      <c r="A355" s="330">
        <v>15</v>
      </c>
      <c r="B355" s="435" t="str">
        <f>VLOOKUP(Ruimtestaat[[#This Row],[Code]],Locaties[[Code]:[Locatie]],2,FALSE)</f>
        <v>IKC  Da Vinci</v>
      </c>
      <c r="C355" s="435" t="str">
        <f>VLOOKUP(Ruimtestaat[[#This Row],[Code]],Locaties[[#All],[Code]:[Adres]],4,FALSE)</f>
        <v>Spitsbergen 17</v>
      </c>
      <c r="D355" s="435" t="str">
        <f>VLOOKUP(Ruimtestaat[[#This Row],[Code]],Locaties[[#All],[Code]:[Postcode]],5,FALSE)</f>
        <v>2721 GP</v>
      </c>
      <c r="E355" s="435" t="str">
        <f>VLOOKUP(Ruimtestaat[[#This Row],[Code]],Locaties[#All],6,FALSE)</f>
        <v>Zoetermeer</v>
      </c>
      <c r="F355" s="450"/>
      <c r="G355" s="330" t="s">
        <v>1678</v>
      </c>
      <c r="H355" s="330" t="s">
        <v>1669</v>
      </c>
      <c r="I355" s="450" t="s">
        <v>1767</v>
      </c>
      <c r="J355" s="330">
        <v>2</v>
      </c>
      <c r="K355" s="450" t="str">
        <f>VLOOKUP(Ruimtestaat[[#This Row],[Ruimte code]],Ruimtegroepen[[#All],[Code]:[Ruimte omschrijving]],2,FALSE)</f>
        <v>Kantoren</v>
      </c>
      <c r="L355" s="434" t="s">
        <v>100</v>
      </c>
      <c r="M355" s="437" t="s">
        <v>1759</v>
      </c>
      <c r="N355" s="439">
        <v>16</v>
      </c>
      <c r="O355" s="439"/>
      <c r="P355" s="439"/>
      <c r="Q355" s="439"/>
      <c r="R355" s="440" t="str">
        <f>VLOOKUP(Ruimtestaat[[#This Row],[Ruimte code]],Ruimtegroepen[],4,FALSE)</f>
        <v>Bu</v>
      </c>
      <c r="S355" s="434">
        <v>41</v>
      </c>
      <c r="T355" s="434" t="s">
        <v>17</v>
      </c>
      <c r="U355" s="434">
        <f>IF(S355&gt;0,IF(RIGHT(Ruimtestaat[[#This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55" s="434">
        <f>IF(U355&gt;0,VLOOKUP($J355,Ruimtegroepen[],3,FALSE)*VLOOKUP($L355,Vloersoorten[],3,FALSE)*VLOOKUP($T355,Frequenties[],3,FALSE)*VLOOKUP($A355,Locaties[],3,FALSE),0)</f>
        <v>0</v>
      </c>
      <c r="W355" s="434">
        <f>Ruimtestaat[[#This Row],[Uitvoeringen werkdagen]]*Ruimtestaat[[#This Row],[Oppervlak (netto)]]</f>
        <v>1312</v>
      </c>
      <c r="X355" s="441">
        <f>IF(V355&gt;0,Ruimtestaat[[#This Row],[Prest. (m2 /jaar) werkdagen]]/Ruimtestaat[[#This Row],[Norm (m2/uur) werkdagen]],0)</f>
        <v>0</v>
      </c>
      <c r="Y355" s="442">
        <f>Ruimtestaat[[#This Row],[Uitvoeringen werkdagen]]*Ruimtestaat[[#This Row],[Gedeeltelijk]]</f>
        <v>0</v>
      </c>
      <c r="Z355" s="443" t="e">
        <f>IF(U355&gt;0,Ruimtestaat[[#This Row],[Prest. (m2 / jaar) werkdagen gedeeld]]/Ruimtestaat[[#This Row],[Norm (m2/uur) werkdagen]],0)</f>
        <v>#DIV/0!</v>
      </c>
      <c r="AA355" s="441" t="e">
        <f>Ruimtestaat[[#This Row],[uren / jaar werkdagen gedeeld]]*Tariefsopbouw!$E$35</f>
        <v>#DIV/0!</v>
      </c>
      <c r="AB355" s="441">
        <f>Ruimtestaat[[#This Row],[Uitvoeringen werkdagen]]*Ruimtestaat[[#This Row],[BSO]]</f>
        <v>0</v>
      </c>
      <c r="AC355" s="443" t="e">
        <f>IF(U355&gt;0,Ruimtestaat[[#This Row],[Prest. (m2 / jaar) werkdagen BSO]]/Ruimtestaat[[#This Row],[Norm (m2/uur) werkdagen]],0)</f>
        <v>#DIV/0!</v>
      </c>
      <c r="AD355" s="443" t="e">
        <f>Ruimtestaat[[#This Row],[uren / jaar werkdagen BSO]]*Tariefsopbouw!$E$35</f>
        <v>#DIV/0!</v>
      </c>
      <c r="AE355" s="444">
        <f>Ruimtestaat[[#This Row],[uren / jaar werkdagen]]*Tariefsopbouw!$E$35</f>
        <v>0</v>
      </c>
      <c r="AF355" s="434"/>
      <c r="AG355" s="434">
        <f>IF(Ruimtestaat[[#This Row],[Frequentie weekend]]&gt;0,VALUE(LEFT(AF355,1))*S355,0)</f>
        <v>0</v>
      </c>
      <c r="AH355" s="445">
        <f>IF($AG355&gt;0,VLOOKUP($J355,Ruimtegroepen[],3,FALSE)*VLOOKUP($L355,Vloersoorten[],3,FALSE)*VLOOKUP($AF355,Frequenties[],3,FALSE)*VLOOKUP(Ruimtestaat[[#This Row],[Code]],Locaties[],3,FALSE),0)</f>
        <v>0</v>
      </c>
      <c r="AI355" s="445">
        <f>Ruimtestaat[[#This Row],[Uitvoeringen weekend]]*Ruimtestaat[[#This Row],[Oppervlak (netto)]]</f>
        <v>0</v>
      </c>
      <c r="AJ355" s="445">
        <f>IF(AH355&gt;0,Ruimtestaat[[#This Row],[Prest. (m2 /jaar) weekend]]/Ruimtestaat[[#This Row],[Norm (m2/uur) weekend]],0)</f>
        <v>0</v>
      </c>
      <c r="AK355" s="444">
        <f>Ruimtestaat[[#This Row],[uren / jaar weekend]]*Tariefsopbouw!$D$40</f>
        <v>0</v>
      </c>
      <c r="AL355" s="441">
        <f>Ruimtestaat[[#This Row],[Prest. (m2 /jaar) weekend]]+Ruimtestaat[[#This Row],[Prest. (m2 /jaar) werkdagen]]</f>
        <v>1312</v>
      </c>
      <c r="AM355" s="441">
        <f>Ruimtestaat[[#This Row],[uren / jaar weekend]]+Ruimtestaat[[#This Row],[uren / jaar werkdagen]]</f>
        <v>0</v>
      </c>
      <c r="AN355" s="446">
        <f>Ruimtestaat[[#This Row],[kosten / jaar weekend]]+Ruimtestaat[[#This Row],[kosten / jaar werkdagen]]</f>
        <v>0</v>
      </c>
      <c r="AO355" s="446"/>
      <c r="AP355" s="447" t="str">
        <f>IF(Ruimtestaat[[#This Row],[Frequentie werkdagen]]="","",_xlfn.CONCAT(Ruimtestaat[[#This Row],[Ruimte code]],"-",Ruimtestaat[[#This Row],[Frequentie werkdagen]]," ",Ruimtestaat[[#This Row],[Vloer code]]))</f>
        <v>2-2w L</v>
      </c>
      <c r="AQ355" s="448" t="str">
        <f>_xlfn.IFNA(VLOOKUP($AP355,Programma!$F$3:$G$1101,2,0),"")</f>
        <v>_</v>
      </c>
      <c r="AR355" s="448" t="str">
        <f>_xlfn.IFNA(VLOOKUP($AP355,Programma!$F$3:$H$1101,3,0),"")</f>
        <v>_</v>
      </c>
      <c r="AS355" s="448" t="str">
        <f>_xlfn.IFNA(VLOOKUP($AP355,Programma!$F$3:$I$1101,4,0),"")</f>
        <v>1w</v>
      </c>
      <c r="AT355" s="448" t="str">
        <f>_xlfn.IFNA(VLOOKUP($AP355,Programma!$F$3:$J$1101,5,0),"")</f>
        <v>1w</v>
      </c>
      <c r="AU355" s="448" t="str">
        <f>_xlfn.IFNA(VLOOKUP($AP355,Programma!$F$3:$K$1101,6,0),"")</f>
        <v>_</v>
      </c>
      <c r="AV355" s="448" t="str">
        <f>_xlfn.IFNA(VLOOKUP($AP355,Programma!$F$3:$L$1101,7,0),"")</f>
        <v>_</v>
      </c>
      <c r="AW355" s="448" t="str">
        <f>_xlfn.IFNA(VLOOKUP($AP355,Programma!$F$3:$M$1101,8,0),"")</f>
        <v>_</v>
      </c>
      <c r="AX355" s="448" t="str">
        <f>_xlfn.IFNA(VLOOKUP($AP355,Programma!$F$3:$N$1101,9,0),"")</f>
        <v>_</v>
      </c>
      <c r="AY355" s="448" t="str">
        <f>_xlfn.IFNA(VLOOKUP($AP355,Programma!$F$3:$O$1101,10,0),"")</f>
        <v>2w</v>
      </c>
      <c r="AZ355" s="448" t="str">
        <f>_xlfn.IFNA(VLOOKUP($AP355,Programma!$F$3:$P$1101,11,0),"")</f>
        <v>2w</v>
      </c>
      <c r="BA355" s="448" t="str">
        <f>_xlfn.IFNA(VLOOKUP($AP355,Programma!$F$3:$Q$1101,12,0),"")</f>
        <v>1w</v>
      </c>
      <c r="BB355" s="448" t="str">
        <f>_xlfn.IFNA(VLOOKUP($AP355,Programma!$F$3:$R$1101,13,0),"")</f>
        <v>1w</v>
      </c>
      <c r="BC355" s="448" t="str">
        <f>_xlfn.IFNA(VLOOKUP($AP355,Programma!$F$3:$S$1101,14,0),"")</f>
        <v>1m</v>
      </c>
      <c r="BD355" s="448" t="str">
        <f>_xlfn.IFNA(VLOOKUP($AP355,Programma!$F$3:$T$1101,15,0),"")</f>
        <v>2j</v>
      </c>
      <c r="BE355" s="448" t="str">
        <f>_xlfn.IFNA(VLOOKUP($AP355,Programma!$F$3:$U$1101,16,0),"")</f>
        <v>1j</v>
      </c>
      <c r="BF355" s="448" t="str">
        <f>_xlfn.IFNA(VLOOKUP($AP355,Programma!$F$3:$V$1101,17,0),"")</f>
        <v>_</v>
      </c>
      <c r="BG355" s="448" t="str">
        <f>_xlfn.IFNA(VLOOKUP($AP355,Programma!$F$3:$W$1101,18,0),"")</f>
        <v>_</v>
      </c>
      <c r="BH355" s="448" t="str">
        <f>_xlfn.IFNA(VLOOKUP($AP355,Programma!$F$3:$X$1101,19,0),"")</f>
        <v>_</v>
      </c>
      <c r="BI355" s="448" t="str">
        <f>_xlfn.IFNA(VLOOKUP($AP355,Programma!$F$3:$Y$1101,20,0),"")</f>
        <v>_</v>
      </c>
      <c r="BJ355" s="449"/>
      <c r="BK355" s="447" t="str">
        <f>IF(Ruimtestaat[[#This Row],[Frequentie weekend]]="","",_xlfn.CONCAT(Ruimtestaat[[#This Row],[Ruimte code]],"-",Ruimtestaat[[#This Row],[Frequentie weekend]]," ",Ruimtestaat[[#This Row],[Vloer code]]))</f>
        <v/>
      </c>
      <c r="BL355" s="448" t="str">
        <f>_xlfn.IFNA(VLOOKUP($BK355,Programma!$F$3:$G$1101,2,0),"")</f>
        <v/>
      </c>
      <c r="BM355" s="448" t="str">
        <f>_xlfn.IFNA(VLOOKUP($BK355,Programma!$F$3:$H$1101,3,0),"")</f>
        <v/>
      </c>
      <c r="BN355" s="448" t="str">
        <f>_xlfn.IFNA(VLOOKUP($BK355,Programma!$F$3:$I$1101,4,0),"")</f>
        <v/>
      </c>
      <c r="BO355" s="448" t="str">
        <f>_xlfn.IFNA(VLOOKUP($BK355,Programma!$F$3:$J$1101,5,0),"")</f>
        <v/>
      </c>
      <c r="BP355" s="448" t="str">
        <f>_xlfn.IFNA(VLOOKUP($BK355,Programma!$F$3:$K$1101,6,0),"")</f>
        <v/>
      </c>
      <c r="BQ355" s="448" t="str">
        <f>_xlfn.IFNA(VLOOKUP($BK355,Programma!$F$3:$L$1101,7,0),"")</f>
        <v/>
      </c>
      <c r="BR355" s="448" t="str">
        <f>_xlfn.IFNA(VLOOKUP($BK355,Programma!$F$3:$M$1101,8,0),"")</f>
        <v/>
      </c>
      <c r="BS355" s="448" t="str">
        <f>_xlfn.IFNA(VLOOKUP($BK355,Programma!$F$3:$N$1101,9,0),"")</f>
        <v/>
      </c>
      <c r="BT355" s="448" t="str">
        <f>_xlfn.IFNA(VLOOKUP($BK355,Programma!$F$3:$O$1101,10,0),"")</f>
        <v/>
      </c>
      <c r="BU355" s="448" t="str">
        <f>_xlfn.IFNA(VLOOKUP($BK355,Programma!$F$3:$P$1101,11,0),"")</f>
        <v/>
      </c>
      <c r="BV355" s="448" t="str">
        <f>_xlfn.IFNA(VLOOKUP($BK355,Programma!$F$3:$Q$1101,12,0),"")</f>
        <v/>
      </c>
      <c r="BW355" s="448" t="str">
        <f>_xlfn.IFNA(VLOOKUP($BK355,Programma!$F$3:$R$1101,13,0),"")</f>
        <v/>
      </c>
      <c r="BX355" s="448" t="str">
        <f>_xlfn.IFNA(VLOOKUP($BK355,Programma!$F$3:$S$1101,14,0),"")</f>
        <v/>
      </c>
      <c r="BY355" s="448" t="str">
        <f>_xlfn.IFNA(VLOOKUP($BK355,Programma!$F$3:$T$1101,15,0),"")</f>
        <v/>
      </c>
      <c r="BZ355" s="448" t="str">
        <f>_xlfn.IFNA(VLOOKUP($BK355,Programma!$F$3:$U$1101,16,0),"")</f>
        <v/>
      </c>
      <c r="CA355" s="448" t="str">
        <f>_xlfn.IFNA(VLOOKUP($BK355,Programma!$F$3:$V$1101,17,0),"")</f>
        <v/>
      </c>
      <c r="CB355" s="448" t="str">
        <f>_xlfn.IFNA(VLOOKUP($BK355,Programma!$F$3:$W$1101,18,0),"")</f>
        <v/>
      </c>
      <c r="CC355" s="448" t="str">
        <f>_xlfn.IFNA(VLOOKUP($BK355,Programma!$F$3:$X$1101,19,0),"")</f>
        <v/>
      </c>
      <c r="CD355" s="448" t="str">
        <f>_xlfn.IFNA(VLOOKUP($BK355,Programma!$F$3:$Y$1101,20,0),"")</f>
        <v/>
      </c>
      <c r="CE355" s="327"/>
      <c r="CF355" s="327"/>
      <c r="CG355" s="327"/>
      <c r="CH355" s="327"/>
      <c r="CI355" s="327"/>
      <c r="CJ355" s="327"/>
      <c r="CK355" s="327"/>
      <c r="CL355" s="327"/>
      <c r="CM355" s="327"/>
      <c r="CN355" s="327"/>
      <c r="CO355" s="327"/>
      <c r="CP355" s="327"/>
      <c r="CQ355" s="327"/>
      <c r="CR355" s="327"/>
      <c r="CS355" s="327"/>
      <c r="CT355" s="327"/>
      <c r="CU355" s="327"/>
      <c r="CV355" s="327"/>
      <c r="CW355" s="327"/>
      <c r="CX355" s="327"/>
      <c r="CY355" s="327"/>
      <c r="CZ355" s="327"/>
      <c r="DA355" s="327"/>
      <c r="DB355" s="327"/>
      <c r="DC355" s="327"/>
      <c r="DD355" s="327"/>
      <c r="DE355" s="327"/>
      <c r="DF355" s="327"/>
      <c r="DG355" s="327"/>
      <c r="DH355" s="327"/>
      <c r="DI355" s="327"/>
      <c r="DJ355" s="327"/>
      <c r="DK355" s="327"/>
      <c r="DL355" s="327"/>
      <c r="DM355" s="327"/>
      <c r="DN355" s="327"/>
      <c r="DO355" s="327"/>
      <c r="DP355" s="327"/>
      <c r="DQ355" s="327"/>
      <c r="DR355" s="327"/>
      <c r="DS355" s="327"/>
      <c r="DT355" s="327"/>
      <c r="DU355" s="327"/>
      <c r="DV355" s="327"/>
      <c r="DW355" s="327"/>
      <c r="DX355" s="327"/>
      <c r="DY355" s="327"/>
      <c r="DZ355" s="327"/>
      <c r="EA355" s="327"/>
      <c r="EB355" s="327"/>
      <c r="EC355" s="327"/>
      <c r="ED355" s="327"/>
      <c r="EE355" s="327"/>
      <c r="EF355" s="327"/>
      <c r="EG355" s="327"/>
      <c r="EH355" s="327"/>
      <c r="EI355" s="327"/>
      <c r="EJ355" s="327"/>
      <c r="EK355" s="327"/>
      <c r="EL355" s="327"/>
      <c r="EM355" s="327"/>
      <c r="EN355" s="327"/>
      <c r="EO355" s="327"/>
      <c r="EP355" s="327"/>
      <c r="EQ355" s="327"/>
      <c r="ER355" s="327"/>
      <c r="ES355" s="327"/>
      <c r="ET355" s="327"/>
      <c r="EU355" s="327"/>
      <c r="EV355" s="327"/>
      <c r="EW355" s="327"/>
      <c r="EX355" s="327"/>
      <c r="EY355" s="327"/>
      <c r="EZ355" s="327"/>
      <c r="FA355" s="327"/>
      <c r="FB355" s="327"/>
      <c r="FC355" s="327"/>
      <c r="FD355" s="327"/>
      <c r="FE355" s="327"/>
      <c r="FF355" s="327"/>
      <c r="FG355" s="327"/>
      <c r="FH355" s="327"/>
      <c r="FI355" s="327"/>
      <c r="FJ355" s="327"/>
      <c r="FK355" s="327"/>
      <c r="FL355" s="327"/>
      <c r="FM355" s="327"/>
      <c r="FN355" s="327"/>
      <c r="FO355" s="327"/>
      <c r="FP355" s="327"/>
      <c r="FQ355" s="327"/>
      <c r="FR355" s="327"/>
      <c r="FS355" s="327"/>
      <c r="FT355" s="327"/>
      <c r="FU355" s="327"/>
      <c r="FV355" s="327"/>
      <c r="FW355" s="327"/>
      <c r="FX355" s="327"/>
      <c r="FY355" s="327"/>
      <c r="FZ355" s="327"/>
      <c r="GA355" s="327"/>
      <c r="GB355" s="327"/>
      <c r="GC355" s="327"/>
      <c r="GD355" s="327"/>
      <c r="GE355" s="327"/>
      <c r="GF355" s="327"/>
      <c r="GG355" s="327"/>
      <c r="GH355" s="327"/>
      <c r="GI355" s="327"/>
      <c r="GJ355" s="327"/>
      <c r="GK355" s="327"/>
      <c r="GL355" s="327"/>
      <c r="GM355" s="327"/>
      <c r="GN355" s="327"/>
      <c r="GO355" s="327"/>
      <c r="GP355" s="327"/>
      <c r="GQ355" s="327"/>
      <c r="GR355" s="327"/>
      <c r="GS355" s="327"/>
      <c r="GT355" s="327"/>
      <c r="GU355" s="327"/>
      <c r="GV355" s="327"/>
      <c r="GW355" s="327"/>
      <c r="GX355" s="327"/>
      <c r="GY355" s="327"/>
      <c r="GZ355" s="327"/>
      <c r="HA355" s="327"/>
      <c r="HB355" s="327"/>
      <c r="HC355" s="327"/>
      <c r="HD355" s="327"/>
      <c r="HE355" s="327"/>
      <c r="HF355" s="327"/>
      <c r="HG355" s="327"/>
      <c r="HH355" s="327"/>
      <c r="HI355" s="327"/>
      <c r="HJ355" s="327"/>
      <c r="HK355" s="327"/>
      <c r="HL355" s="327"/>
      <c r="HM355" s="327"/>
      <c r="HN355" s="327"/>
      <c r="HO355" s="327"/>
      <c r="HP355" s="327"/>
      <c r="HQ355" s="327"/>
      <c r="HR355" s="327"/>
      <c r="HS355" s="327"/>
    </row>
    <row r="356" spans="1:227" ht="15" customHeight="1">
      <c r="A356" s="330">
        <v>15</v>
      </c>
      <c r="B356" s="435" t="str">
        <f>VLOOKUP(Ruimtestaat[[#This Row],[Code]],Locaties[[Code]:[Locatie]],2,FALSE)</f>
        <v>IKC  Da Vinci</v>
      </c>
      <c r="C356" s="435" t="str">
        <f>VLOOKUP(Ruimtestaat[[#This Row],[Code]],Locaties[[#All],[Code]:[Adres]],4,FALSE)</f>
        <v>Spitsbergen 17</v>
      </c>
      <c r="D356" s="435" t="str">
        <f>VLOOKUP(Ruimtestaat[[#This Row],[Code]],Locaties[[#All],[Code]:[Postcode]],5,FALSE)</f>
        <v>2721 GP</v>
      </c>
      <c r="E356" s="435" t="str">
        <f>VLOOKUP(Ruimtestaat[[#This Row],[Code]],Locaties[#All],6,FALSE)</f>
        <v>Zoetermeer</v>
      </c>
      <c r="F356" s="450"/>
      <c r="G356" s="330" t="s">
        <v>1678</v>
      </c>
      <c r="H356" s="330" t="s">
        <v>1670</v>
      </c>
      <c r="I356" s="450" t="s">
        <v>1774</v>
      </c>
      <c r="J356" s="330">
        <v>12</v>
      </c>
      <c r="K356" s="450" t="str">
        <f>VLOOKUP(Ruimtestaat[[#This Row],[Ruimte code]],Ruimtegroepen[[#All],[Code]:[Ruimte omschrijving]],2,FALSE)</f>
        <v>Kantine/Aula</v>
      </c>
      <c r="L356" s="330" t="s">
        <v>101</v>
      </c>
      <c r="M356" s="437" t="s">
        <v>1816</v>
      </c>
      <c r="N356" s="439">
        <v>155</v>
      </c>
      <c r="O356" s="439"/>
      <c r="P356" s="439"/>
      <c r="Q356" s="439"/>
      <c r="R356" s="440" t="str">
        <f>VLOOKUP(Ruimtestaat[[#This Row],[Ruimte code]],Ruimtegroepen[],4,FALSE)</f>
        <v>Ve</v>
      </c>
      <c r="S356" s="434">
        <v>41</v>
      </c>
      <c r="T356" s="434" t="s">
        <v>2</v>
      </c>
      <c r="U356" s="434">
        <f>IF(S356&gt;0,IF(RIGHT(Ruimtestaat[[#This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56" s="434">
        <f>IF(U356&gt;0,VLOOKUP($J356,Ruimtegroepen[],3,FALSE)*VLOOKUP($L356,Vloersoorten[],3,FALSE)*VLOOKUP($T356,Frequenties[],3,FALSE)*VLOOKUP($A356,Locaties[],3,FALSE),0)</f>
        <v>0</v>
      </c>
      <c r="W356" s="434">
        <f>Ruimtestaat[[#This Row],[Uitvoeringen werkdagen]]*Ruimtestaat[[#This Row],[Oppervlak (netto)]]</f>
        <v>31775</v>
      </c>
      <c r="X356" s="441">
        <f>IF(V356&gt;0,Ruimtestaat[[#This Row],[Prest. (m2 /jaar) werkdagen]]/Ruimtestaat[[#This Row],[Norm (m2/uur) werkdagen]],0)</f>
        <v>0</v>
      </c>
      <c r="Y356" s="442">
        <f>Ruimtestaat[[#This Row],[Uitvoeringen werkdagen]]*Ruimtestaat[[#This Row],[Gedeeltelijk]]</f>
        <v>0</v>
      </c>
      <c r="Z356" s="443" t="e">
        <f>IF(U356&gt;0,Ruimtestaat[[#This Row],[Prest. (m2 / jaar) werkdagen gedeeld]]/Ruimtestaat[[#This Row],[Norm (m2/uur) werkdagen]],0)</f>
        <v>#DIV/0!</v>
      </c>
      <c r="AA356" s="441" t="e">
        <f>Ruimtestaat[[#This Row],[uren / jaar werkdagen gedeeld]]*Tariefsopbouw!$E$35</f>
        <v>#DIV/0!</v>
      </c>
      <c r="AB356" s="441">
        <f>Ruimtestaat[[#This Row],[Uitvoeringen werkdagen]]*Ruimtestaat[[#This Row],[BSO]]</f>
        <v>0</v>
      </c>
      <c r="AC356" s="443" t="e">
        <f>IF(U356&gt;0,Ruimtestaat[[#This Row],[Prest. (m2 / jaar) werkdagen BSO]]/Ruimtestaat[[#This Row],[Norm (m2/uur) werkdagen]],0)</f>
        <v>#DIV/0!</v>
      </c>
      <c r="AD356" s="443" t="e">
        <f>Ruimtestaat[[#This Row],[uren / jaar werkdagen BSO]]*Tariefsopbouw!$E$35</f>
        <v>#DIV/0!</v>
      </c>
      <c r="AE356" s="444">
        <f>Ruimtestaat[[#This Row],[uren / jaar werkdagen]]*Tariefsopbouw!$E$35</f>
        <v>0</v>
      </c>
      <c r="AF356" s="434"/>
      <c r="AG356" s="434">
        <f>IF(Ruimtestaat[[#This Row],[Frequentie weekend]]&gt;0,VALUE(LEFT(AF356,1))*S356,0)</f>
        <v>0</v>
      </c>
      <c r="AH356" s="445">
        <f>IF($AG356&gt;0,VLOOKUP($J356,Ruimtegroepen[],3,FALSE)*VLOOKUP($L356,Vloersoorten[],3,FALSE)*VLOOKUP($AF356,Frequenties[],3,FALSE)*VLOOKUP(Ruimtestaat[[#This Row],[Code]],Locaties[],3,FALSE),0)</f>
        <v>0</v>
      </c>
      <c r="AI356" s="445">
        <f>Ruimtestaat[[#This Row],[Uitvoeringen weekend]]*Ruimtestaat[[#This Row],[Oppervlak (netto)]]</f>
        <v>0</v>
      </c>
      <c r="AJ356" s="445">
        <f>IF(AH356&gt;0,Ruimtestaat[[#This Row],[Prest. (m2 /jaar) weekend]]/Ruimtestaat[[#This Row],[Norm (m2/uur) weekend]],0)</f>
        <v>0</v>
      </c>
      <c r="AK356" s="444">
        <f>Ruimtestaat[[#This Row],[uren / jaar weekend]]*Tariefsopbouw!$D$40</f>
        <v>0</v>
      </c>
      <c r="AL356" s="441">
        <f>Ruimtestaat[[#This Row],[Prest. (m2 /jaar) weekend]]+Ruimtestaat[[#This Row],[Prest. (m2 /jaar) werkdagen]]</f>
        <v>31775</v>
      </c>
      <c r="AM356" s="441">
        <f>Ruimtestaat[[#This Row],[uren / jaar weekend]]+Ruimtestaat[[#This Row],[uren / jaar werkdagen]]</f>
        <v>0</v>
      </c>
      <c r="AN356" s="446">
        <f>Ruimtestaat[[#This Row],[kosten / jaar weekend]]+Ruimtestaat[[#This Row],[kosten / jaar werkdagen]]</f>
        <v>0</v>
      </c>
      <c r="AO356" s="446"/>
      <c r="AP356" s="447" t="str">
        <f>IF(Ruimtestaat[[#This Row],[Frequentie werkdagen]]="","",_xlfn.CONCAT(Ruimtestaat[[#This Row],[Ruimte code]],"-",Ruimtestaat[[#This Row],[Frequentie werkdagen]]," ",Ruimtestaat[[#This Row],[Vloer code]]))</f>
        <v>12-5w S</v>
      </c>
      <c r="AQ356" s="448" t="str">
        <f>_xlfn.IFNA(VLOOKUP($AP356,Programma!$F$3:$G$1101,2,0),"")</f>
        <v>_</v>
      </c>
      <c r="AR356" s="448" t="str">
        <f>_xlfn.IFNA(VLOOKUP($AP356,Programma!$F$3:$H$1101,3,0),"")</f>
        <v>_</v>
      </c>
      <c r="AS356" s="448" t="str">
        <f>_xlfn.IFNA(VLOOKUP($AP356,Programma!$F$3:$I$1101,4,0),"")</f>
        <v>5w</v>
      </c>
      <c r="AT356" s="448" t="str">
        <f>_xlfn.IFNA(VLOOKUP($AP356,Programma!$F$3:$J$1101,5,0),"")</f>
        <v>_</v>
      </c>
      <c r="AU356" s="448" t="str">
        <f>_xlfn.IFNA(VLOOKUP($AP356,Programma!$F$3:$K$1101,6,0),"")</f>
        <v>5w</v>
      </c>
      <c r="AV356" s="448" t="str">
        <f>_xlfn.IFNA(VLOOKUP($AP356,Programma!$F$3:$L$1101,7,0),"")</f>
        <v>_</v>
      </c>
      <c r="AW356" s="448" t="str">
        <f>_xlfn.IFNA(VLOOKUP($AP356,Programma!$F$3:$M$1101,8,0),"")</f>
        <v>_</v>
      </c>
      <c r="AX356" s="448" t="str">
        <f>_xlfn.IFNA(VLOOKUP($AP356,Programma!$F$3:$N$1101,9,0),"")</f>
        <v>_</v>
      </c>
      <c r="AY356" s="448" t="str">
        <f>_xlfn.IFNA(VLOOKUP($AP356,Programma!$F$3:$O$1101,10,0),"")</f>
        <v>5w</v>
      </c>
      <c r="AZ356" s="448" t="str">
        <f>_xlfn.IFNA(VLOOKUP($AP356,Programma!$F$3:$P$1101,11,0),"")</f>
        <v>5w</v>
      </c>
      <c r="BA356" s="448" t="str">
        <f>_xlfn.IFNA(VLOOKUP($AP356,Programma!$F$3:$Q$1101,12,0),"")</f>
        <v>1w</v>
      </c>
      <c r="BB356" s="448" t="str">
        <f>_xlfn.IFNA(VLOOKUP($AP356,Programma!$F$3:$R$1101,13,0),"")</f>
        <v>1w</v>
      </c>
      <c r="BC356" s="448" t="str">
        <f>_xlfn.IFNA(VLOOKUP($AP356,Programma!$F$3:$S$1101,14,0),"")</f>
        <v>1m</v>
      </c>
      <c r="BD356" s="448" t="str">
        <f>_xlfn.IFNA(VLOOKUP($AP356,Programma!$F$3:$T$1101,15,0),"")</f>
        <v>2j</v>
      </c>
      <c r="BE356" s="448" t="str">
        <f>_xlfn.IFNA(VLOOKUP($AP356,Programma!$F$3:$U$1101,16,0),"")</f>
        <v>1j</v>
      </c>
      <c r="BF356" s="448" t="str">
        <f>_xlfn.IFNA(VLOOKUP($AP356,Programma!$F$3:$V$1101,17,0),"")</f>
        <v>_</v>
      </c>
      <c r="BG356" s="448" t="str">
        <f>_xlfn.IFNA(VLOOKUP($AP356,Programma!$F$3:$W$1101,18,0),"")</f>
        <v>_</v>
      </c>
      <c r="BH356" s="448" t="str">
        <f>_xlfn.IFNA(VLOOKUP($AP356,Programma!$F$3:$X$1101,19,0),"")</f>
        <v>_</v>
      </c>
      <c r="BI356" s="448" t="str">
        <f>_xlfn.IFNA(VLOOKUP($AP356,Programma!$F$3:$Y$1101,20,0),"")</f>
        <v>_</v>
      </c>
      <c r="BJ356" s="449"/>
      <c r="BK356" s="447" t="str">
        <f>IF(Ruimtestaat[[#This Row],[Frequentie weekend]]="","",_xlfn.CONCAT(Ruimtestaat[[#This Row],[Ruimte code]],"-",Ruimtestaat[[#This Row],[Frequentie weekend]]," ",Ruimtestaat[[#This Row],[Vloer code]]))</f>
        <v/>
      </c>
      <c r="BL356" s="448" t="str">
        <f>_xlfn.IFNA(VLOOKUP($BK356,Programma!$F$3:$G$1101,2,0),"")</f>
        <v/>
      </c>
      <c r="BM356" s="448" t="str">
        <f>_xlfn.IFNA(VLOOKUP($BK356,Programma!$F$3:$H$1101,3,0),"")</f>
        <v/>
      </c>
      <c r="BN356" s="448" t="str">
        <f>_xlfn.IFNA(VLOOKUP($BK356,Programma!$F$3:$I$1101,4,0),"")</f>
        <v/>
      </c>
      <c r="BO356" s="448" t="str">
        <f>_xlfn.IFNA(VLOOKUP($BK356,Programma!$F$3:$J$1101,5,0),"")</f>
        <v/>
      </c>
      <c r="BP356" s="448" t="str">
        <f>_xlfn.IFNA(VLOOKUP($BK356,Programma!$F$3:$K$1101,6,0),"")</f>
        <v/>
      </c>
      <c r="BQ356" s="448" t="str">
        <f>_xlfn.IFNA(VLOOKUP($BK356,Programma!$F$3:$L$1101,7,0),"")</f>
        <v/>
      </c>
      <c r="BR356" s="448" t="str">
        <f>_xlfn.IFNA(VLOOKUP($BK356,Programma!$F$3:$M$1101,8,0),"")</f>
        <v/>
      </c>
      <c r="BS356" s="448" t="str">
        <f>_xlfn.IFNA(VLOOKUP($BK356,Programma!$F$3:$N$1101,9,0),"")</f>
        <v/>
      </c>
      <c r="BT356" s="448" t="str">
        <f>_xlfn.IFNA(VLOOKUP($BK356,Programma!$F$3:$O$1101,10,0),"")</f>
        <v/>
      </c>
      <c r="BU356" s="448" t="str">
        <f>_xlfn.IFNA(VLOOKUP($BK356,Programma!$F$3:$P$1101,11,0),"")</f>
        <v/>
      </c>
      <c r="BV356" s="448" t="str">
        <f>_xlfn.IFNA(VLOOKUP($BK356,Programma!$F$3:$Q$1101,12,0),"")</f>
        <v/>
      </c>
      <c r="BW356" s="448" t="str">
        <f>_xlfn.IFNA(VLOOKUP($BK356,Programma!$F$3:$R$1101,13,0),"")</f>
        <v/>
      </c>
      <c r="BX356" s="448" t="str">
        <f>_xlfn.IFNA(VLOOKUP($BK356,Programma!$F$3:$S$1101,14,0),"")</f>
        <v/>
      </c>
      <c r="BY356" s="448" t="str">
        <f>_xlfn.IFNA(VLOOKUP($BK356,Programma!$F$3:$T$1101,15,0),"")</f>
        <v/>
      </c>
      <c r="BZ356" s="448" t="str">
        <f>_xlfn.IFNA(VLOOKUP($BK356,Programma!$F$3:$U$1101,16,0),"")</f>
        <v/>
      </c>
      <c r="CA356" s="448" t="str">
        <f>_xlfn.IFNA(VLOOKUP($BK356,Programma!$F$3:$V$1101,17,0),"")</f>
        <v/>
      </c>
      <c r="CB356" s="448" t="str">
        <f>_xlfn.IFNA(VLOOKUP($BK356,Programma!$F$3:$W$1101,18,0),"")</f>
        <v/>
      </c>
      <c r="CC356" s="448" t="str">
        <f>_xlfn.IFNA(VLOOKUP($BK356,Programma!$F$3:$X$1101,19,0),"")</f>
        <v/>
      </c>
      <c r="CD356" s="448" t="str">
        <f>_xlfn.IFNA(VLOOKUP($BK356,Programma!$F$3:$Y$1101,20,0),"")</f>
        <v/>
      </c>
      <c r="CE356" s="327"/>
      <c r="CF356" s="327"/>
      <c r="CG356" s="327"/>
      <c r="CH356" s="327"/>
      <c r="CI356" s="327"/>
      <c r="CJ356" s="327"/>
      <c r="CK356" s="327"/>
      <c r="CL356" s="327"/>
      <c r="CM356" s="327"/>
      <c r="CN356" s="327"/>
      <c r="CO356" s="327"/>
      <c r="CP356" s="327"/>
      <c r="CQ356" s="327"/>
      <c r="CR356" s="327"/>
      <c r="CS356" s="327"/>
      <c r="CT356" s="327"/>
      <c r="CU356" s="327"/>
      <c r="CV356" s="327"/>
      <c r="CW356" s="327"/>
      <c r="CX356" s="327"/>
      <c r="CY356" s="327"/>
      <c r="CZ356" s="327"/>
      <c r="DA356" s="327"/>
      <c r="DB356" s="327"/>
      <c r="DC356" s="327"/>
      <c r="DD356" s="327"/>
      <c r="DE356" s="327"/>
      <c r="DF356" s="327"/>
      <c r="DG356" s="327"/>
      <c r="DH356" s="327"/>
      <c r="DI356" s="327"/>
      <c r="DJ356" s="327"/>
      <c r="DK356" s="327"/>
      <c r="DL356" s="327"/>
      <c r="DM356" s="327"/>
      <c r="DN356" s="327"/>
      <c r="DO356" s="327"/>
      <c r="DP356" s="327"/>
      <c r="DQ356" s="327"/>
      <c r="DR356" s="327"/>
      <c r="DS356" s="327"/>
      <c r="DT356" s="327"/>
      <c r="DU356" s="327"/>
      <c r="DV356" s="327"/>
      <c r="DW356" s="327"/>
      <c r="DX356" s="327"/>
      <c r="DY356" s="327"/>
      <c r="DZ356" s="327"/>
      <c r="EA356" s="327"/>
      <c r="EB356" s="327"/>
      <c r="EC356" s="327"/>
      <c r="ED356" s="327"/>
      <c r="EE356" s="327"/>
      <c r="EF356" s="327"/>
      <c r="EG356" s="327"/>
      <c r="EH356" s="327"/>
      <c r="EI356" s="327"/>
      <c r="EJ356" s="327"/>
      <c r="EK356" s="327"/>
      <c r="EL356" s="327"/>
      <c r="EM356" s="327"/>
      <c r="EN356" s="327"/>
      <c r="EO356" s="327"/>
      <c r="EP356" s="327"/>
      <c r="EQ356" s="327"/>
      <c r="ER356" s="327"/>
      <c r="ES356" s="327"/>
      <c r="ET356" s="327"/>
      <c r="EU356" s="327"/>
      <c r="EV356" s="327"/>
      <c r="EW356" s="327"/>
      <c r="EX356" s="327"/>
      <c r="EY356" s="327"/>
      <c r="EZ356" s="327"/>
      <c r="FA356" s="327"/>
      <c r="FB356" s="327"/>
      <c r="FC356" s="327"/>
      <c r="FD356" s="327"/>
      <c r="FE356" s="327"/>
      <c r="FF356" s="327"/>
      <c r="FG356" s="327"/>
      <c r="FH356" s="327"/>
      <c r="FI356" s="327"/>
      <c r="FJ356" s="327"/>
      <c r="FK356" s="327"/>
      <c r="FL356" s="327"/>
      <c r="FM356" s="327"/>
      <c r="FN356" s="327"/>
      <c r="FO356" s="327"/>
      <c r="FP356" s="327"/>
      <c r="FQ356" s="327"/>
      <c r="FR356" s="327"/>
      <c r="FS356" s="327"/>
      <c r="FT356" s="327"/>
      <c r="FU356" s="327"/>
      <c r="FV356" s="327"/>
      <c r="FW356" s="327"/>
      <c r="FX356" s="327"/>
      <c r="FY356" s="327"/>
      <c r="FZ356" s="327"/>
      <c r="GA356" s="327"/>
      <c r="GB356" s="327"/>
      <c r="GC356" s="327"/>
      <c r="GD356" s="327"/>
      <c r="GE356" s="327"/>
      <c r="GF356" s="327"/>
      <c r="GG356" s="327"/>
      <c r="GH356" s="327"/>
      <c r="GI356" s="327"/>
      <c r="GJ356" s="327"/>
      <c r="GK356" s="327"/>
      <c r="GL356" s="327"/>
      <c r="GM356" s="327"/>
      <c r="GN356" s="327"/>
      <c r="GO356" s="327"/>
      <c r="GP356" s="327"/>
      <c r="GQ356" s="327"/>
      <c r="GR356" s="327"/>
      <c r="GS356" s="327"/>
      <c r="GT356" s="327"/>
      <c r="GU356" s="327"/>
      <c r="GV356" s="327"/>
      <c r="GW356" s="327"/>
      <c r="GX356" s="327"/>
      <c r="GY356" s="327"/>
      <c r="GZ356" s="327"/>
      <c r="HA356" s="327"/>
      <c r="HB356" s="327"/>
      <c r="HC356" s="327"/>
      <c r="HD356" s="327"/>
      <c r="HE356" s="327"/>
      <c r="HF356" s="327"/>
      <c r="HG356" s="327"/>
      <c r="HH356" s="327"/>
      <c r="HI356" s="327"/>
      <c r="HJ356" s="327"/>
      <c r="HK356" s="327"/>
      <c r="HL356" s="327"/>
      <c r="HM356" s="327"/>
      <c r="HN356" s="327"/>
      <c r="HO356" s="327"/>
      <c r="HP356" s="327"/>
      <c r="HQ356" s="327"/>
      <c r="HR356" s="327"/>
      <c r="HS356" s="327"/>
    </row>
    <row r="357" spans="1:227" ht="15" customHeight="1">
      <c r="A357" s="330">
        <v>15</v>
      </c>
      <c r="B357" s="435" t="str">
        <f>VLOOKUP(Ruimtestaat[[#This Row],[Code]],Locaties[[Code]:[Locatie]],2,FALSE)</f>
        <v>IKC  Da Vinci</v>
      </c>
      <c r="C357" s="435" t="str">
        <f>VLOOKUP(Ruimtestaat[[#This Row],[Code]],Locaties[[#All],[Code]:[Adres]],4,FALSE)</f>
        <v>Spitsbergen 17</v>
      </c>
      <c r="D357" s="435" t="str">
        <f>VLOOKUP(Ruimtestaat[[#This Row],[Code]],Locaties[[#All],[Code]:[Postcode]],5,FALSE)</f>
        <v>2721 GP</v>
      </c>
      <c r="E357" s="435" t="str">
        <f>VLOOKUP(Ruimtestaat[[#This Row],[Code]],Locaties[#All],6,FALSE)</f>
        <v>Zoetermeer</v>
      </c>
      <c r="F357" s="450"/>
      <c r="G357" s="330" t="s">
        <v>1678</v>
      </c>
      <c r="H357" s="330" t="s">
        <v>1669</v>
      </c>
      <c r="I357" s="450" t="s">
        <v>1690</v>
      </c>
      <c r="J357" s="330">
        <v>16</v>
      </c>
      <c r="K357" s="450" t="str">
        <f>VLOOKUP(Ruimtestaat[[#This Row],[Ruimte code]],Ruimtegroepen[[#All],[Code]:[Ruimte omschrijving]],2,FALSE)</f>
        <v>Leslokalen</v>
      </c>
      <c r="L357" s="330" t="s">
        <v>101</v>
      </c>
      <c r="M357" s="437" t="s">
        <v>1816</v>
      </c>
      <c r="N357" s="439">
        <v>92</v>
      </c>
      <c r="O357" s="439"/>
      <c r="P357" s="439"/>
      <c r="Q357" s="439"/>
      <c r="R357" s="440" t="str">
        <f>VLOOKUP(Ruimtestaat[[#This Row],[Ruimte code]],Ruimtegroepen[],4,FALSE)</f>
        <v>Le</v>
      </c>
      <c r="S357" s="434">
        <v>40</v>
      </c>
      <c r="T357" s="434" t="s">
        <v>2</v>
      </c>
      <c r="U357" s="434">
        <f>IF(S357&gt;0,IF(RIGHT(Ruimtestaat[[#This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7" s="434">
        <f>IF(U357&gt;0,VLOOKUP($J357,Ruimtegroepen[],3,FALSE)*VLOOKUP($L357,Vloersoorten[],3,FALSE)*VLOOKUP($T357,Frequenties[],3,FALSE)*VLOOKUP($A357,Locaties[],3,FALSE),0)</f>
        <v>0</v>
      </c>
      <c r="W357" s="434">
        <f>Ruimtestaat[[#This Row],[Uitvoeringen werkdagen]]*Ruimtestaat[[#This Row],[Oppervlak (netto)]]</f>
        <v>18400</v>
      </c>
      <c r="X357" s="441">
        <f>IF(V357&gt;0,Ruimtestaat[[#This Row],[Prest. (m2 /jaar) werkdagen]]/Ruimtestaat[[#This Row],[Norm (m2/uur) werkdagen]],0)</f>
        <v>0</v>
      </c>
      <c r="Y357" s="442">
        <f>Ruimtestaat[[#This Row],[Uitvoeringen werkdagen]]*Ruimtestaat[[#This Row],[Gedeeltelijk]]</f>
        <v>0</v>
      </c>
      <c r="Z357" s="443" t="e">
        <f>IF(U357&gt;0,Ruimtestaat[[#This Row],[Prest. (m2 / jaar) werkdagen gedeeld]]/Ruimtestaat[[#This Row],[Norm (m2/uur) werkdagen]],0)</f>
        <v>#DIV/0!</v>
      </c>
      <c r="AA357" s="441" t="e">
        <f>Ruimtestaat[[#This Row],[uren / jaar werkdagen gedeeld]]*Tariefsopbouw!$E$35</f>
        <v>#DIV/0!</v>
      </c>
      <c r="AB357" s="441">
        <f>Ruimtestaat[[#This Row],[Uitvoeringen werkdagen]]*Ruimtestaat[[#This Row],[BSO]]</f>
        <v>0</v>
      </c>
      <c r="AC357" s="443" t="e">
        <f>IF(U357&gt;0,Ruimtestaat[[#This Row],[Prest. (m2 / jaar) werkdagen BSO]]/Ruimtestaat[[#This Row],[Norm (m2/uur) werkdagen]],0)</f>
        <v>#DIV/0!</v>
      </c>
      <c r="AD357" s="443" t="e">
        <f>Ruimtestaat[[#This Row],[uren / jaar werkdagen BSO]]*Tariefsopbouw!$E$35</f>
        <v>#DIV/0!</v>
      </c>
      <c r="AE357" s="444">
        <f>Ruimtestaat[[#This Row],[uren / jaar werkdagen]]*Tariefsopbouw!$E$35</f>
        <v>0</v>
      </c>
      <c r="AF357" s="434"/>
      <c r="AG357" s="434">
        <f>IF(Ruimtestaat[[#This Row],[Frequentie weekend]]&gt;0,VALUE(LEFT(AF357,1))*S357,0)</f>
        <v>0</v>
      </c>
      <c r="AH357" s="445">
        <f>IF($AG357&gt;0,VLOOKUP($J357,Ruimtegroepen[],3,FALSE)*VLOOKUP($L357,Vloersoorten[],3,FALSE)*VLOOKUP($AF357,Frequenties[],3,FALSE)*VLOOKUP(Ruimtestaat[[#This Row],[Code]],Locaties[],3,FALSE),0)</f>
        <v>0</v>
      </c>
      <c r="AI357" s="445">
        <f>Ruimtestaat[[#This Row],[Uitvoeringen weekend]]*Ruimtestaat[[#This Row],[Oppervlak (netto)]]</f>
        <v>0</v>
      </c>
      <c r="AJ357" s="445">
        <f>IF(AH357&gt;0,Ruimtestaat[[#This Row],[Prest. (m2 /jaar) weekend]]/Ruimtestaat[[#This Row],[Norm (m2/uur) weekend]],0)</f>
        <v>0</v>
      </c>
      <c r="AK357" s="444">
        <f>Ruimtestaat[[#This Row],[uren / jaar weekend]]*Tariefsopbouw!$D$40</f>
        <v>0</v>
      </c>
      <c r="AL357" s="441">
        <f>Ruimtestaat[[#This Row],[Prest. (m2 /jaar) weekend]]+Ruimtestaat[[#This Row],[Prest. (m2 /jaar) werkdagen]]</f>
        <v>18400</v>
      </c>
      <c r="AM357" s="441">
        <f>Ruimtestaat[[#This Row],[uren / jaar weekend]]+Ruimtestaat[[#This Row],[uren / jaar werkdagen]]</f>
        <v>0</v>
      </c>
      <c r="AN357" s="446">
        <f>Ruimtestaat[[#This Row],[kosten / jaar weekend]]+Ruimtestaat[[#This Row],[kosten / jaar werkdagen]]</f>
        <v>0</v>
      </c>
      <c r="AO357" s="446"/>
      <c r="AP357" s="447" t="str">
        <f>IF(Ruimtestaat[[#This Row],[Frequentie werkdagen]]="","",_xlfn.CONCAT(Ruimtestaat[[#This Row],[Ruimte code]],"-",Ruimtestaat[[#This Row],[Frequentie werkdagen]]," ",Ruimtestaat[[#This Row],[Vloer code]]))</f>
        <v>16-5w S</v>
      </c>
      <c r="AQ357" s="448" t="str">
        <f>_xlfn.IFNA(VLOOKUP($AP357,Programma!$F$3:$G$1101,2,0),"")</f>
        <v>_</v>
      </c>
      <c r="AR357" s="448" t="str">
        <f>_xlfn.IFNA(VLOOKUP($AP357,Programma!$F$3:$H$1101,3,0),"")</f>
        <v>_</v>
      </c>
      <c r="AS357" s="448" t="str">
        <f>_xlfn.IFNA(VLOOKUP($AP357,Programma!$F$3:$I$1101,4,0),"")</f>
        <v>4w</v>
      </c>
      <c r="AT357" s="448" t="str">
        <f>_xlfn.IFNA(VLOOKUP($AP357,Programma!$F$3:$J$1101,5,0),"")</f>
        <v>1w</v>
      </c>
      <c r="AU357" s="448" t="str">
        <f>_xlfn.IFNA(VLOOKUP($AP357,Programma!$F$3:$K$1101,6,0),"")</f>
        <v>1m</v>
      </c>
      <c r="AV357" s="448" t="str">
        <f>_xlfn.IFNA(VLOOKUP($AP357,Programma!$F$3:$L$1101,7,0),"")</f>
        <v>_</v>
      </c>
      <c r="AW357" s="448" t="str">
        <f>_xlfn.IFNA(VLOOKUP($AP357,Programma!$F$3:$M$1101,8,0),"")</f>
        <v>_</v>
      </c>
      <c r="AX357" s="448" t="str">
        <f>_xlfn.IFNA(VLOOKUP($AP357,Programma!$F$3:$N$1101,9,0),"")</f>
        <v>_</v>
      </c>
      <c r="AY357" s="448" t="str">
        <f>_xlfn.IFNA(VLOOKUP($AP357,Programma!$F$3:$O$1101,10,0),"")</f>
        <v>5w</v>
      </c>
      <c r="AZ357" s="448" t="str">
        <f>_xlfn.IFNA(VLOOKUP($AP357,Programma!$F$3:$P$1101,11,0),"")</f>
        <v>5w</v>
      </c>
      <c r="BA357" s="448" t="str">
        <f>_xlfn.IFNA(VLOOKUP($AP357,Programma!$F$3:$Q$1101,12,0),"")</f>
        <v>1w</v>
      </c>
      <c r="BB357" s="448" t="str">
        <f>_xlfn.IFNA(VLOOKUP($AP357,Programma!$F$3:$R$1101,13,0),"")</f>
        <v>1w</v>
      </c>
      <c r="BC357" s="448" t="str">
        <f>_xlfn.IFNA(VLOOKUP($AP357,Programma!$F$3:$S$1101,14,0),"")</f>
        <v>1m</v>
      </c>
      <c r="BD357" s="448" t="str">
        <f>_xlfn.IFNA(VLOOKUP($AP357,Programma!$F$3:$T$1101,15,0),"")</f>
        <v>2j</v>
      </c>
      <c r="BE357" s="448" t="str">
        <f>_xlfn.IFNA(VLOOKUP($AP357,Programma!$F$3:$U$1101,16,0),"")</f>
        <v>1j</v>
      </c>
      <c r="BF357" s="448" t="str">
        <f>_xlfn.IFNA(VLOOKUP($AP357,Programma!$F$3:$V$1101,17,0),"")</f>
        <v>_</v>
      </c>
      <c r="BG357" s="448" t="str">
        <f>_xlfn.IFNA(VLOOKUP($AP357,Programma!$F$3:$W$1101,18,0),"")</f>
        <v>_</v>
      </c>
      <c r="BH357" s="448" t="str">
        <f>_xlfn.IFNA(VLOOKUP($AP357,Programma!$F$3:$X$1101,19,0),"")</f>
        <v>_</v>
      </c>
      <c r="BI357" s="448" t="str">
        <f>_xlfn.IFNA(VLOOKUP($AP357,Programma!$F$3:$Y$1101,20,0),"")</f>
        <v>_</v>
      </c>
      <c r="BJ357" s="449"/>
      <c r="BK357" s="447" t="str">
        <f>IF(Ruimtestaat[[#This Row],[Frequentie weekend]]="","",_xlfn.CONCAT(Ruimtestaat[[#This Row],[Ruimte code]],"-",Ruimtestaat[[#This Row],[Frequentie weekend]]," ",Ruimtestaat[[#This Row],[Vloer code]]))</f>
        <v/>
      </c>
      <c r="BL357" s="448" t="str">
        <f>_xlfn.IFNA(VLOOKUP($BK357,Programma!$F$3:$G$1101,2,0),"")</f>
        <v/>
      </c>
      <c r="BM357" s="448" t="str">
        <f>_xlfn.IFNA(VLOOKUP($BK357,Programma!$F$3:$H$1101,3,0),"")</f>
        <v/>
      </c>
      <c r="BN357" s="448" t="str">
        <f>_xlfn.IFNA(VLOOKUP($BK357,Programma!$F$3:$I$1101,4,0),"")</f>
        <v/>
      </c>
      <c r="BO357" s="448" t="str">
        <f>_xlfn.IFNA(VLOOKUP($BK357,Programma!$F$3:$J$1101,5,0),"")</f>
        <v/>
      </c>
      <c r="BP357" s="448" t="str">
        <f>_xlfn.IFNA(VLOOKUP($BK357,Programma!$F$3:$K$1101,6,0),"")</f>
        <v/>
      </c>
      <c r="BQ357" s="448" t="str">
        <f>_xlfn.IFNA(VLOOKUP($BK357,Programma!$F$3:$L$1101,7,0),"")</f>
        <v/>
      </c>
      <c r="BR357" s="448" t="str">
        <f>_xlfn.IFNA(VLOOKUP($BK357,Programma!$F$3:$M$1101,8,0),"")</f>
        <v/>
      </c>
      <c r="BS357" s="448" t="str">
        <f>_xlfn.IFNA(VLOOKUP($BK357,Programma!$F$3:$N$1101,9,0),"")</f>
        <v/>
      </c>
      <c r="BT357" s="448" t="str">
        <f>_xlfn.IFNA(VLOOKUP($BK357,Programma!$F$3:$O$1101,10,0),"")</f>
        <v/>
      </c>
      <c r="BU357" s="448" t="str">
        <f>_xlfn.IFNA(VLOOKUP($BK357,Programma!$F$3:$P$1101,11,0),"")</f>
        <v/>
      </c>
      <c r="BV357" s="448" t="str">
        <f>_xlfn.IFNA(VLOOKUP($BK357,Programma!$F$3:$Q$1101,12,0),"")</f>
        <v/>
      </c>
      <c r="BW357" s="448" t="str">
        <f>_xlfn.IFNA(VLOOKUP($BK357,Programma!$F$3:$R$1101,13,0),"")</f>
        <v/>
      </c>
      <c r="BX357" s="448" t="str">
        <f>_xlfn.IFNA(VLOOKUP($BK357,Programma!$F$3:$S$1101,14,0),"")</f>
        <v/>
      </c>
      <c r="BY357" s="448" t="str">
        <f>_xlfn.IFNA(VLOOKUP($BK357,Programma!$F$3:$T$1101,15,0),"")</f>
        <v/>
      </c>
      <c r="BZ357" s="448" t="str">
        <f>_xlfn.IFNA(VLOOKUP($BK357,Programma!$F$3:$U$1101,16,0),"")</f>
        <v/>
      </c>
      <c r="CA357" s="448" t="str">
        <f>_xlfn.IFNA(VLOOKUP($BK357,Programma!$F$3:$V$1101,17,0),"")</f>
        <v/>
      </c>
      <c r="CB357" s="448" t="str">
        <f>_xlfn.IFNA(VLOOKUP($BK357,Programma!$F$3:$W$1101,18,0),"")</f>
        <v/>
      </c>
      <c r="CC357" s="448" t="str">
        <f>_xlfn.IFNA(VLOOKUP($BK357,Programma!$F$3:$X$1101,19,0),"")</f>
        <v/>
      </c>
      <c r="CD357" s="448" t="str">
        <f>_xlfn.IFNA(VLOOKUP($BK357,Programma!$F$3:$Y$1101,20,0),"")</f>
        <v/>
      </c>
      <c r="CE357" s="327"/>
      <c r="CF357" s="327"/>
      <c r="CG357" s="327"/>
      <c r="CH357" s="327"/>
      <c r="CI357" s="327"/>
      <c r="CJ357" s="327"/>
      <c r="CK357" s="327"/>
      <c r="CL357" s="327"/>
      <c r="CM357" s="327"/>
      <c r="CN357" s="327"/>
      <c r="CO357" s="327"/>
      <c r="CP357" s="327"/>
      <c r="CQ357" s="327"/>
      <c r="CR357" s="327"/>
      <c r="CS357" s="327"/>
      <c r="CT357" s="327"/>
      <c r="CU357" s="327"/>
      <c r="CV357" s="327"/>
      <c r="CW357" s="327"/>
      <c r="CX357" s="327"/>
      <c r="CY357" s="327"/>
      <c r="CZ357" s="327"/>
      <c r="DA357" s="327"/>
      <c r="DB357" s="327"/>
      <c r="DC357" s="327"/>
      <c r="DD357" s="327"/>
      <c r="DE357" s="327"/>
      <c r="DF357" s="327"/>
      <c r="DG357" s="327"/>
      <c r="DH357" s="327"/>
      <c r="DI357" s="327"/>
      <c r="DJ357" s="327"/>
      <c r="DK357" s="327"/>
      <c r="DL357" s="327"/>
      <c r="DM357" s="327"/>
      <c r="DN357" s="327"/>
      <c r="DO357" s="327"/>
      <c r="DP357" s="327"/>
      <c r="DQ357" s="327"/>
      <c r="DR357" s="327"/>
      <c r="DS357" s="327"/>
      <c r="DT357" s="327"/>
      <c r="DU357" s="327"/>
      <c r="DV357" s="327"/>
      <c r="DW357" s="327"/>
      <c r="DX357" s="327"/>
      <c r="DY357" s="327"/>
      <c r="DZ357" s="327"/>
      <c r="EA357" s="327"/>
      <c r="EB357" s="327"/>
      <c r="EC357" s="327"/>
      <c r="ED357" s="327"/>
      <c r="EE357" s="327"/>
      <c r="EF357" s="327"/>
      <c r="EG357" s="327"/>
      <c r="EH357" s="327"/>
      <c r="EI357" s="327"/>
      <c r="EJ357" s="327"/>
      <c r="EK357" s="327"/>
      <c r="EL357" s="327"/>
      <c r="EM357" s="327"/>
      <c r="EN357" s="327"/>
      <c r="EO357" s="327"/>
      <c r="EP357" s="327"/>
      <c r="EQ357" s="327"/>
      <c r="ER357" s="327"/>
      <c r="ES357" s="327"/>
      <c r="ET357" s="327"/>
      <c r="EU357" s="327"/>
      <c r="EV357" s="327"/>
      <c r="EW357" s="327"/>
      <c r="EX357" s="327"/>
      <c r="EY357" s="327"/>
      <c r="EZ357" s="327"/>
      <c r="FA357" s="327"/>
      <c r="FB357" s="327"/>
      <c r="FC357" s="327"/>
      <c r="FD357" s="327"/>
      <c r="FE357" s="327"/>
      <c r="FF357" s="327"/>
      <c r="FG357" s="327"/>
      <c r="FH357" s="327"/>
      <c r="FI357" s="327"/>
      <c r="FJ357" s="327"/>
      <c r="FK357" s="327"/>
      <c r="FL357" s="327"/>
      <c r="FM357" s="327"/>
      <c r="FN357" s="327"/>
      <c r="FO357" s="327"/>
      <c r="FP357" s="327"/>
      <c r="FQ357" s="327"/>
      <c r="FR357" s="327"/>
      <c r="FS357" s="327"/>
      <c r="FT357" s="327"/>
      <c r="FU357" s="327"/>
      <c r="FV357" s="327"/>
      <c r="FW357" s="327"/>
      <c r="FX357" s="327"/>
      <c r="FY357" s="327"/>
      <c r="FZ357" s="327"/>
      <c r="GA357" s="327"/>
      <c r="GB357" s="327"/>
      <c r="GC357" s="327"/>
      <c r="GD357" s="327"/>
      <c r="GE357" s="327"/>
      <c r="GF357" s="327"/>
      <c r="GG357" s="327"/>
      <c r="GH357" s="327"/>
      <c r="GI357" s="327"/>
      <c r="GJ357" s="327"/>
      <c r="GK357" s="327"/>
      <c r="GL357" s="327"/>
      <c r="GM357" s="327"/>
      <c r="GN357" s="327"/>
      <c r="GO357" s="327"/>
      <c r="GP357" s="327"/>
      <c r="GQ357" s="327"/>
      <c r="GR357" s="327"/>
      <c r="GS357" s="327"/>
      <c r="GT357" s="327"/>
      <c r="GU357" s="327"/>
      <c r="GV357" s="327"/>
      <c r="GW357" s="327"/>
      <c r="GX357" s="327"/>
      <c r="GY357" s="327"/>
      <c r="GZ357" s="327"/>
      <c r="HA357" s="327"/>
      <c r="HB357" s="327"/>
      <c r="HC357" s="327"/>
      <c r="HD357" s="327"/>
      <c r="HE357" s="327"/>
      <c r="HF357" s="327"/>
      <c r="HG357" s="327"/>
      <c r="HH357" s="327"/>
      <c r="HI357" s="327"/>
      <c r="HJ357" s="327"/>
      <c r="HK357" s="327"/>
      <c r="HL357" s="327"/>
      <c r="HM357" s="327"/>
      <c r="HN357" s="327"/>
      <c r="HO357" s="327"/>
      <c r="HP357" s="327"/>
      <c r="HQ357" s="327"/>
      <c r="HR357" s="327"/>
      <c r="HS357" s="327"/>
    </row>
    <row r="358" spans="1:227" ht="15" customHeight="1">
      <c r="A358" s="330">
        <v>15</v>
      </c>
      <c r="B358" s="435" t="str">
        <f>VLOOKUP(Ruimtestaat[[#This Row],[Code]],Locaties[[Code]:[Locatie]],2,FALSE)</f>
        <v>IKC  Da Vinci</v>
      </c>
      <c r="C358" s="435" t="str">
        <f>VLOOKUP(Ruimtestaat[[#This Row],[Code]],Locaties[[#All],[Code]:[Adres]],4,FALSE)</f>
        <v>Spitsbergen 17</v>
      </c>
      <c r="D358" s="435" t="str">
        <f>VLOOKUP(Ruimtestaat[[#This Row],[Code]],Locaties[[#All],[Code]:[Postcode]],5,FALSE)</f>
        <v>2721 GP</v>
      </c>
      <c r="E358" s="435" t="str">
        <f>VLOOKUP(Ruimtestaat[[#This Row],[Code]],Locaties[#All],6,FALSE)</f>
        <v>Zoetermeer</v>
      </c>
      <c r="F358" s="450"/>
      <c r="G358" s="330" t="s">
        <v>1678</v>
      </c>
      <c r="H358" s="330" t="s">
        <v>1670</v>
      </c>
      <c r="I358" s="450" t="s">
        <v>1690</v>
      </c>
      <c r="J358" s="330">
        <v>16</v>
      </c>
      <c r="K358" s="450" t="str">
        <f>VLOOKUP(Ruimtestaat[[#This Row],[Ruimte code]],Ruimtegroepen[[#All],[Code]:[Ruimte omschrijving]],2,FALSE)</f>
        <v>Leslokalen</v>
      </c>
      <c r="L358" s="434" t="s">
        <v>100</v>
      </c>
      <c r="M358" s="437" t="s">
        <v>1759</v>
      </c>
      <c r="N358" s="439">
        <v>20</v>
      </c>
      <c r="O358" s="439"/>
      <c r="P358" s="439"/>
      <c r="Q358" s="439"/>
      <c r="R358" s="440" t="str">
        <f>VLOOKUP(Ruimtestaat[[#This Row],[Ruimte code]],Ruimtegroepen[],4,FALSE)</f>
        <v>Le</v>
      </c>
      <c r="S358" s="434">
        <v>40</v>
      </c>
      <c r="T358" s="434" t="s">
        <v>2</v>
      </c>
      <c r="U358" s="434">
        <f>IF(S358&gt;0,IF(RIGHT(Ruimtestaat[[#This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8" s="434">
        <f>IF(U358&gt;0,VLOOKUP($J358,Ruimtegroepen[],3,FALSE)*VLOOKUP($L358,Vloersoorten[],3,FALSE)*VLOOKUP($T358,Frequenties[],3,FALSE)*VLOOKUP($A358,Locaties[],3,FALSE),0)</f>
        <v>0</v>
      </c>
      <c r="W358" s="434">
        <f>Ruimtestaat[[#This Row],[Uitvoeringen werkdagen]]*Ruimtestaat[[#This Row],[Oppervlak (netto)]]</f>
        <v>4000</v>
      </c>
      <c r="X358" s="441">
        <f>IF(V358&gt;0,Ruimtestaat[[#This Row],[Prest. (m2 /jaar) werkdagen]]/Ruimtestaat[[#This Row],[Norm (m2/uur) werkdagen]],0)</f>
        <v>0</v>
      </c>
      <c r="Y358" s="442">
        <f>Ruimtestaat[[#This Row],[Uitvoeringen werkdagen]]*Ruimtestaat[[#This Row],[Gedeeltelijk]]</f>
        <v>0</v>
      </c>
      <c r="Z358" s="443" t="e">
        <f>IF(U358&gt;0,Ruimtestaat[[#This Row],[Prest. (m2 / jaar) werkdagen gedeeld]]/Ruimtestaat[[#This Row],[Norm (m2/uur) werkdagen]],0)</f>
        <v>#DIV/0!</v>
      </c>
      <c r="AA358" s="441" t="e">
        <f>Ruimtestaat[[#This Row],[uren / jaar werkdagen gedeeld]]*Tariefsopbouw!$E$35</f>
        <v>#DIV/0!</v>
      </c>
      <c r="AB358" s="441">
        <f>Ruimtestaat[[#This Row],[Uitvoeringen werkdagen]]*Ruimtestaat[[#This Row],[BSO]]</f>
        <v>0</v>
      </c>
      <c r="AC358" s="443" t="e">
        <f>IF(U358&gt;0,Ruimtestaat[[#This Row],[Prest. (m2 / jaar) werkdagen BSO]]/Ruimtestaat[[#This Row],[Norm (m2/uur) werkdagen]],0)</f>
        <v>#DIV/0!</v>
      </c>
      <c r="AD358" s="443" t="e">
        <f>Ruimtestaat[[#This Row],[uren / jaar werkdagen BSO]]*Tariefsopbouw!$E$35</f>
        <v>#DIV/0!</v>
      </c>
      <c r="AE358" s="444">
        <f>Ruimtestaat[[#This Row],[uren / jaar werkdagen]]*Tariefsopbouw!$E$35</f>
        <v>0</v>
      </c>
      <c r="AF358" s="434"/>
      <c r="AG358" s="434">
        <f>IF(Ruimtestaat[[#This Row],[Frequentie weekend]]&gt;0,VALUE(LEFT(AF358,1))*S358,0)</f>
        <v>0</v>
      </c>
      <c r="AH358" s="445">
        <f>IF($AG358&gt;0,VLOOKUP($J358,Ruimtegroepen[],3,FALSE)*VLOOKUP($L358,Vloersoorten[],3,FALSE)*VLOOKUP($AF358,Frequenties[],3,FALSE)*VLOOKUP(Ruimtestaat[[#This Row],[Code]],Locaties[],3,FALSE),0)</f>
        <v>0</v>
      </c>
      <c r="AI358" s="445">
        <f>Ruimtestaat[[#This Row],[Uitvoeringen weekend]]*Ruimtestaat[[#This Row],[Oppervlak (netto)]]</f>
        <v>0</v>
      </c>
      <c r="AJ358" s="445">
        <f>IF(AH358&gt;0,Ruimtestaat[[#This Row],[Prest. (m2 /jaar) weekend]]/Ruimtestaat[[#This Row],[Norm (m2/uur) weekend]],0)</f>
        <v>0</v>
      </c>
      <c r="AK358" s="444">
        <f>Ruimtestaat[[#This Row],[uren / jaar weekend]]*Tariefsopbouw!$D$40</f>
        <v>0</v>
      </c>
      <c r="AL358" s="441">
        <f>Ruimtestaat[[#This Row],[Prest. (m2 /jaar) weekend]]+Ruimtestaat[[#This Row],[Prest. (m2 /jaar) werkdagen]]</f>
        <v>4000</v>
      </c>
      <c r="AM358" s="441">
        <f>Ruimtestaat[[#This Row],[uren / jaar weekend]]+Ruimtestaat[[#This Row],[uren / jaar werkdagen]]</f>
        <v>0</v>
      </c>
      <c r="AN358" s="446">
        <f>Ruimtestaat[[#This Row],[kosten / jaar weekend]]+Ruimtestaat[[#This Row],[kosten / jaar werkdagen]]</f>
        <v>0</v>
      </c>
      <c r="AO358" s="446"/>
      <c r="AP358" s="447" t="str">
        <f>IF(Ruimtestaat[[#This Row],[Frequentie werkdagen]]="","",_xlfn.CONCAT(Ruimtestaat[[#This Row],[Ruimte code]],"-",Ruimtestaat[[#This Row],[Frequentie werkdagen]]," ",Ruimtestaat[[#This Row],[Vloer code]]))</f>
        <v>16-5w L</v>
      </c>
      <c r="AQ358" s="448" t="str">
        <f>_xlfn.IFNA(VLOOKUP($AP358,Programma!$F$3:$G$1101,2,0),"")</f>
        <v>_</v>
      </c>
      <c r="AR358" s="448" t="str">
        <f>_xlfn.IFNA(VLOOKUP($AP358,Programma!$F$3:$H$1101,3,0),"")</f>
        <v>_</v>
      </c>
      <c r="AS358" s="448" t="str">
        <f>_xlfn.IFNA(VLOOKUP($AP358,Programma!$F$3:$I$1101,4,0),"")</f>
        <v>4w</v>
      </c>
      <c r="AT358" s="448" t="str">
        <f>_xlfn.IFNA(VLOOKUP($AP358,Programma!$F$3:$J$1101,5,0),"")</f>
        <v>1w</v>
      </c>
      <c r="AU358" s="448" t="str">
        <f>_xlfn.IFNA(VLOOKUP($AP358,Programma!$F$3:$K$1101,6,0),"")</f>
        <v>_</v>
      </c>
      <c r="AV358" s="448" t="str">
        <f>_xlfn.IFNA(VLOOKUP($AP358,Programma!$F$3:$L$1101,7,0),"")</f>
        <v>_</v>
      </c>
      <c r="AW358" s="448" t="str">
        <f>_xlfn.IFNA(VLOOKUP($AP358,Programma!$F$3:$M$1101,8,0),"")</f>
        <v>_</v>
      </c>
      <c r="AX358" s="448" t="str">
        <f>_xlfn.IFNA(VLOOKUP($AP358,Programma!$F$3:$N$1101,9,0),"")</f>
        <v>_</v>
      </c>
      <c r="AY358" s="448" t="str">
        <f>_xlfn.IFNA(VLOOKUP($AP358,Programma!$F$3:$O$1101,10,0),"")</f>
        <v>5w</v>
      </c>
      <c r="AZ358" s="448" t="str">
        <f>_xlfn.IFNA(VLOOKUP($AP358,Programma!$F$3:$P$1101,11,0),"")</f>
        <v>5w</v>
      </c>
      <c r="BA358" s="448" t="str">
        <f>_xlfn.IFNA(VLOOKUP($AP358,Programma!$F$3:$Q$1101,12,0),"")</f>
        <v>1w</v>
      </c>
      <c r="BB358" s="448" t="str">
        <f>_xlfn.IFNA(VLOOKUP($AP358,Programma!$F$3:$R$1101,13,0),"")</f>
        <v>1w</v>
      </c>
      <c r="BC358" s="448" t="str">
        <f>_xlfn.IFNA(VLOOKUP($AP358,Programma!$F$3:$S$1101,14,0),"")</f>
        <v>1m</v>
      </c>
      <c r="BD358" s="448" t="str">
        <f>_xlfn.IFNA(VLOOKUP($AP358,Programma!$F$3:$T$1101,15,0),"")</f>
        <v>2j</v>
      </c>
      <c r="BE358" s="448" t="str">
        <f>_xlfn.IFNA(VLOOKUP($AP358,Programma!$F$3:$U$1101,16,0),"")</f>
        <v>1j</v>
      </c>
      <c r="BF358" s="448" t="str">
        <f>_xlfn.IFNA(VLOOKUP($AP358,Programma!$F$3:$V$1101,17,0),"")</f>
        <v>_</v>
      </c>
      <c r="BG358" s="448" t="str">
        <f>_xlfn.IFNA(VLOOKUP($AP358,Programma!$F$3:$W$1101,18,0),"")</f>
        <v>_</v>
      </c>
      <c r="BH358" s="448" t="str">
        <f>_xlfn.IFNA(VLOOKUP($AP358,Programma!$F$3:$X$1101,19,0),"")</f>
        <v>_</v>
      </c>
      <c r="BI358" s="448" t="str">
        <f>_xlfn.IFNA(VLOOKUP($AP358,Programma!$F$3:$Y$1101,20,0),"")</f>
        <v>_</v>
      </c>
      <c r="BJ358" s="449"/>
      <c r="BK358" s="447" t="str">
        <f>IF(Ruimtestaat[[#This Row],[Frequentie weekend]]="","",_xlfn.CONCAT(Ruimtestaat[[#This Row],[Ruimte code]],"-",Ruimtestaat[[#This Row],[Frequentie weekend]]," ",Ruimtestaat[[#This Row],[Vloer code]]))</f>
        <v/>
      </c>
      <c r="BL358" s="448" t="str">
        <f>_xlfn.IFNA(VLOOKUP($BK358,Programma!$F$3:$G$1101,2,0),"")</f>
        <v/>
      </c>
      <c r="BM358" s="448" t="str">
        <f>_xlfn.IFNA(VLOOKUP($BK358,Programma!$F$3:$H$1101,3,0),"")</f>
        <v/>
      </c>
      <c r="BN358" s="448" t="str">
        <f>_xlfn.IFNA(VLOOKUP($BK358,Programma!$F$3:$I$1101,4,0),"")</f>
        <v/>
      </c>
      <c r="BO358" s="448" t="str">
        <f>_xlfn.IFNA(VLOOKUP($BK358,Programma!$F$3:$J$1101,5,0),"")</f>
        <v/>
      </c>
      <c r="BP358" s="448" t="str">
        <f>_xlfn.IFNA(VLOOKUP($BK358,Programma!$F$3:$K$1101,6,0),"")</f>
        <v/>
      </c>
      <c r="BQ358" s="448" t="str">
        <f>_xlfn.IFNA(VLOOKUP($BK358,Programma!$F$3:$L$1101,7,0),"")</f>
        <v/>
      </c>
      <c r="BR358" s="448" t="str">
        <f>_xlfn.IFNA(VLOOKUP($BK358,Programma!$F$3:$M$1101,8,0),"")</f>
        <v/>
      </c>
      <c r="BS358" s="448" t="str">
        <f>_xlfn.IFNA(VLOOKUP($BK358,Programma!$F$3:$N$1101,9,0),"")</f>
        <v/>
      </c>
      <c r="BT358" s="448" t="str">
        <f>_xlfn.IFNA(VLOOKUP($BK358,Programma!$F$3:$O$1101,10,0),"")</f>
        <v/>
      </c>
      <c r="BU358" s="448" t="str">
        <f>_xlfn.IFNA(VLOOKUP($BK358,Programma!$F$3:$P$1101,11,0),"")</f>
        <v/>
      </c>
      <c r="BV358" s="448" t="str">
        <f>_xlfn.IFNA(VLOOKUP($BK358,Programma!$F$3:$Q$1101,12,0),"")</f>
        <v/>
      </c>
      <c r="BW358" s="448" t="str">
        <f>_xlfn.IFNA(VLOOKUP($BK358,Programma!$F$3:$R$1101,13,0),"")</f>
        <v/>
      </c>
      <c r="BX358" s="448" t="str">
        <f>_xlfn.IFNA(VLOOKUP($BK358,Programma!$F$3:$S$1101,14,0),"")</f>
        <v/>
      </c>
      <c r="BY358" s="448" t="str">
        <f>_xlfn.IFNA(VLOOKUP($BK358,Programma!$F$3:$T$1101,15,0),"")</f>
        <v/>
      </c>
      <c r="BZ358" s="448" t="str">
        <f>_xlfn.IFNA(VLOOKUP($BK358,Programma!$F$3:$U$1101,16,0),"")</f>
        <v/>
      </c>
      <c r="CA358" s="448" t="str">
        <f>_xlfn.IFNA(VLOOKUP($BK358,Programma!$F$3:$V$1101,17,0),"")</f>
        <v/>
      </c>
      <c r="CB358" s="448" t="str">
        <f>_xlfn.IFNA(VLOOKUP($BK358,Programma!$F$3:$W$1101,18,0),"")</f>
        <v/>
      </c>
      <c r="CC358" s="448" t="str">
        <f>_xlfn.IFNA(VLOOKUP($BK358,Programma!$F$3:$X$1101,19,0),"")</f>
        <v/>
      </c>
      <c r="CD358" s="448" t="str">
        <f>_xlfn.IFNA(VLOOKUP($BK358,Programma!$F$3:$Y$1101,20,0),"")</f>
        <v/>
      </c>
      <c r="CE358" s="327"/>
      <c r="CF358" s="327"/>
      <c r="CG358" s="327"/>
      <c r="CH358" s="327"/>
      <c r="CI358" s="327"/>
      <c r="CJ358" s="327"/>
      <c r="CK358" s="327"/>
      <c r="CL358" s="327"/>
      <c r="CM358" s="327"/>
      <c r="CN358" s="327"/>
      <c r="CO358" s="327"/>
      <c r="CP358" s="327"/>
      <c r="CQ358" s="327"/>
      <c r="CR358" s="327"/>
      <c r="CS358" s="327"/>
      <c r="CT358" s="327"/>
      <c r="CU358" s="327"/>
      <c r="CV358" s="327"/>
      <c r="CW358" s="327"/>
      <c r="CX358" s="327"/>
      <c r="CY358" s="327"/>
      <c r="CZ358" s="327"/>
      <c r="DA358" s="327"/>
      <c r="DB358" s="327"/>
      <c r="DC358" s="327"/>
      <c r="DD358" s="327"/>
      <c r="DE358" s="327"/>
      <c r="DF358" s="327"/>
      <c r="DG358" s="327"/>
      <c r="DH358" s="327"/>
      <c r="DI358" s="327"/>
      <c r="DJ358" s="327"/>
      <c r="DK358" s="327"/>
      <c r="DL358" s="327"/>
      <c r="DM358" s="327"/>
      <c r="DN358" s="327"/>
      <c r="DO358" s="327"/>
      <c r="DP358" s="327"/>
      <c r="DQ358" s="327"/>
      <c r="DR358" s="327"/>
      <c r="DS358" s="327"/>
      <c r="DT358" s="327"/>
      <c r="DU358" s="327"/>
      <c r="DV358" s="327"/>
      <c r="DW358" s="327"/>
      <c r="DX358" s="327"/>
      <c r="DY358" s="327"/>
      <c r="DZ358" s="327"/>
      <c r="EA358" s="327"/>
      <c r="EB358" s="327"/>
      <c r="EC358" s="327"/>
      <c r="ED358" s="327"/>
      <c r="EE358" s="327"/>
      <c r="EF358" s="327"/>
      <c r="EG358" s="327"/>
      <c r="EH358" s="327"/>
      <c r="EI358" s="327"/>
      <c r="EJ358" s="327"/>
      <c r="EK358" s="327"/>
      <c r="EL358" s="327"/>
      <c r="EM358" s="327"/>
      <c r="EN358" s="327"/>
      <c r="EO358" s="327"/>
      <c r="EP358" s="327"/>
      <c r="EQ358" s="327"/>
      <c r="ER358" s="327"/>
      <c r="ES358" s="327"/>
      <c r="ET358" s="327"/>
      <c r="EU358" s="327"/>
      <c r="EV358" s="327"/>
      <c r="EW358" s="327"/>
      <c r="EX358" s="327"/>
      <c r="EY358" s="327"/>
      <c r="EZ358" s="327"/>
      <c r="FA358" s="327"/>
      <c r="FB358" s="327"/>
      <c r="FC358" s="327"/>
      <c r="FD358" s="327"/>
      <c r="FE358" s="327"/>
      <c r="FF358" s="327"/>
      <c r="FG358" s="327"/>
      <c r="FH358" s="327"/>
      <c r="FI358" s="327"/>
      <c r="FJ358" s="327"/>
      <c r="FK358" s="327"/>
      <c r="FL358" s="327"/>
      <c r="FM358" s="327"/>
      <c r="FN358" s="327"/>
      <c r="FO358" s="327"/>
      <c r="FP358" s="327"/>
      <c r="FQ358" s="327"/>
      <c r="FR358" s="327"/>
      <c r="FS358" s="327"/>
      <c r="FT358" s="327"/>
      <c r="FU358" s="327"/>
      <c r="FV358" s="327"/>
      <c r="FW358" s="327"/>
      <c r="FX358" s="327"/>
      <c r="FY358" s="327"/>
      <c r="FZ358" s="327"/>
      <c r="GA358" s="327"/>
      <c r="GB358" s="327"/>
      <c r="GC358" s="327"/>
      <c r="GD358" s="327"/>
      <c r="GE358" s="327"/>
      <c r="GF358" s="327"/>
      <c r="GG358" s="327"/>
      <c r="GH358" s="327"/>
      <c r="GI358" s="327"/>
      <c r="GJ358" s="327"/>
      <c r="GK358" s="327"/>
      <c r="GL358" s="327"/>
      <c r="GM358" s="327"/>
      <c r="GN358" s="327"/>
      <c r="GO358" s="327"/>
      <c r="GP358" s="327"/>
      <c r="GQ358" s="327"/>
      <c r="GR358" s="327"/>
      <c r="GS358" s="327"/>
      <c r="GT358" s="327"/>
      <c r="GU358" s="327"/>
      <c r="GV358" s="327"/>
      <c r="GW358" s="327"/>
      <c r="GX358" s="327"/>
      <c r="GY358" s="327"/>
      <c r="GZ358" s="327"/>
      <c r="HA358" s="327"/>
      <c r="HB358" s="327"/>
      <c r="HC358" s="327"/>
      <c r="HD358" s="327"/>
      <c r="HE358" s="327"/>
      <c r="HF358" s="327"/>
      <c r="HG358" s="327"/>
      <c r="HH358" s="327"/>
      <c r="HI358" s="327"/>
      <c r="HJ358" s="327"/>
      <c r="HK358" s="327"/>
      <c r="HL358" s="327"/>
      <c r="HM358" s="327"/>
      <c r="HN358" s="327"/>
      <c r="HO358" s="327"/>
      <c r="HP358" s="327"/>
      <c r="HQ358" s="327"/>
      <c r="HR358" s="327"/>
      <c r="HS358" s="327"/>
    </row>
    <row r="359" spans="1:227" ht="15" customHeight="1">
      <c r="A359" s="330">
        <v>15</v>
      </c>
      <c r="B359" s="435" t="str">
        <f>VLOOKUP(Ruimtestaat[[#This Row],[Code]],Locaties[[Code]:[Locatie]],2,FALSE)</f>
        <v>IKC  Da Vinci</v>
      </c>
      <c r="C359" s="435" t="str">
        <f>VLOOKUP(Ruimtestaat[[#This Row],[Code]],Locaties[[#All],[Code]:[Adres]],4,FALSE)</f>
        <v>Spitsbergen 17</v>
      </c>
      <c r="D359" s="435" t="str">
        <f>VLOOKUP(Ruimtestaat[[#This Row],[Code]],Locaties[[#All],[Code]:[Postcode]],5,FALSE)</f>
        <v>2721 GP</v>
      </c>
      <c r="E359" s="435" t="str">
        <f>VLOOKUP(Ruimtestaat[[#This Row],[Code]],Locaties[#All],6,FALSE)</f>
        <v>Zoetermeer</v>
      </c>
      <c r="F359" s="450"/>
      <c r="G359" s="330" t="s">
        <v>1678</v>
      </c>
      <c r="H359" s="330" t="s">
        <v>1672</v>
      </c>
      <c r="I359" s="450" t="s">
        <v>1690</v>
      </c>
      <c r="J359" s="330">
        <v>16</v>
      </c>
      <c r="K359" s="450" t="str">
        <f>VLOOKUP(Ruimtestaat[[#This Row],[Ruimte code]],Ruimtegroepen[[#All],[Code]:[Ruimte omschrijving]],2,FALSE)</f>
        <v>Leslokalen</v>
      </c>
      <c r="L359" s="434" t="s">
        <v>100</v>
      </c>
      <c r="M359" s="437" t="s">
        <v>1759</v>
      </c>
      <c r="N359" s="439">
        <v>53</v>
      </c>
      <c r="O359" s="439"/>
      <c r="P359" s="439"/>
      <c r="Q359" s="439"/>
      <c r="R359" s="440" t="str">
        <f>VLOOKUP(Ruimtestaat[[#This Row],[Ruimte code]],Ruimtegroepen[],4,FALSE)</f>
        <v>Le</v>
      </c>
      <c r="S359" s="434">
        <v>40</v>
      </c>
      <c r="T359" s="434" t="s">
        <v>2</v>
      </c>
      <c r="U359" s="434">
        <f>IF(S359&gt;0,IF(RIGHT(Ruimtestaat[[#This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9" s="434">
        <f>IF(U359&gt;0,VLOOKUP($J359,Ruimtegroepen[],3,FALSE)*VLOOKUP($L359,Vloersoorten[],3,FALSE)*VLOOKUP($T359,Frequenties[],3,FALSE)*VLOOKUP($A359,Locaties[],3,FALSE),0)</f>
        <v>0</v>
      </c>
      <c r="W359" s="434">
        <f>Ruimtestaat[[#This Row],[Uitvoeringen werkdagen]]*Ruimtestaat[[#This Row],[Oppervlak (netto)]]</f>
        <v>10600</v>
      </c>
      <c r="X359" s="441">
        <f>IF(V359&gt;0,Ruimtestaat[[#This Row],[Prest. (m2 /jaar) werkdagen]]/Ruimtestaat[[#This Row],[Norm (m2/uur) werkdagen]],0)</f>
        <v>0</v>
      </c>
      <c r="Y359" s="442">
        <f>Ruimtestaat[[#This Row],[Uitvoeringen werkdagen]]*Ruimtestaat[[#This Row],[Gedeeltelijk]]</f>
        <v>0</v>
      </c>
      <c r="Z359" s="443" t="e">
        <f>IF(U359&gt;0,Ruimtestaat[[#This Row],[Prest. (m2 / jaar) werkdagen gedeeld]]/Ruimtestaat[[#This Row],[Norm (m2/uur) werkdagen]],0)</f>
        <v>#DIV/0!</v>
      </c>
      <c r="AA359" s="441" t="e">
        <f>Ruimtestaat[[#This Row],[uren / jaar werkdagen gedeeld]]*Tariefsopbouw!$E$35</f>
        <v>#DIV/0!</v>
      </c>
      <c r="AB359" s="441">
        <f>Ruimtestaat[[#This Row],[Uitvoeringen werkdagen]]*Ruimtestaat[[#This Row],[BSO]]</f>
        <v>0</v>
      </c>
      <c r="AC359" s="443" t="e">
        <f>IF(U359&gt;0,Ruimtestaat[[#This Row],[Prest. (m2 / jaar) werkdagen BSO]]/Ruimtestaat[[#This Row],[Norm (m2/uur) werkdagen]],0)</f>
        <v>#DIV/0!</v>
      </c>
      <c r="AD359" s="443" t="e">
        <f>Ruimtestaat[[#This Row],[uren / jaar werkdagen BSO]]*Tariefsopbouw!$E$35</f>
        <v>#DIV/0!</v>
      </c>
      <c r="AE359" s="444">
        <f>Ruimtestaat[[#This Row],[uren / jaar werkdagen]]*Tariefsopbouw!$E$35</f>
        <v>0</v>
      </c>
      <c r="AF359" s="434"/>
      <c r="AG359" s="434">
        <f>IF(Ruimtestaat[[#This Row],[Frequentie weekend]]&gt;0,VALUE(LEFT(AF359,1))*S359,0)</f>
        <v>0</v>
      </c>
      <c r="AH359" s="445">
        <f>IF($AG359&gt;0,VLOOKUP($J359,Ruimtegroepen[],3,FALSE)*VLOOKUP($L359,Vloersoorten[],3,FALSE)*VLOOKUP($AF359,Frequenties[],3,FALSE)*VLOOKUP(Ruimtestaat[[#This Row],[Code]],Locaties[],3,FALSE),0)</f>
        <v>0</v>
      </c>
      <c r="AI359" s="445">
        <f>Ruimtestaat[[#This Row],[Uitvoeringen weekend]]*Ruimtestaat[[#This Row],[Oppervlak (netto)]]</f>
        <v>0</v>
      </c>
      <c r="AJ359" s="445">
        <f>IF(AH359&gt;0,Ruimtestaat[[#This Row],[Prest. (m2 /jaar) weekend]]/Ruimtestaat[[#This Row],[Norm (m2/uur) weekend]],0)</f>
        <v>0</v>
      </c>
      <c r="AK359" s="444">
        <f>Ruimtestaat[[#This Row],[uren / jaar weekend]]*Tariefsopbouw!$D$40</f>
        <v>0</v>
      </c>
      <c r="AL359" s="441">
        <f>Ruimtestaat[[#This Row],[Prest. (m2 /jaar) weekend]]+Ruimtestaat[[#This Row],[Prest. (m2 /jaar) werkdagen]]</f>
        <v>10600</v>
      </c>
      <c r="AM359" s="441">
        <f>Ruimtestaat[[#This Row],[uren / jaar weekend]]+Ruimtestaat[[#This Row],[uren / jaar werkdagen]]</f>
        <v>0</v>
      </c>
      <c r="AN359" s="446">
        <f>Ruimtestaat[[#This Row],[kosten / jaar weekend]]+Ruimtestaat[[#This Row],[kosten / jaar werkdagen]]</f>
        <v>0</v>
      </c>
      <c r="AO359" s="446"/>
      <c r="AP359" s="447" t="str">
        <f>IF(Ruimtestaat[[#This Row],[Frequentie werkdagen]]="","",_xlfn.CONCAT(Ruimtestaat[[#This Row],[Ruimte code]],"-",Ruimtestaat[[#This Row],[Frequentie werkdagen]]," ",Ruimtestaat[[#This Row],[Vloer code]]))</f>
        <v>16-5w L</v>
      </c>
      <c r="AQ359" s="448" t="str">
        <f>_xlfn.IFNA(VLOOKUP($AP359,Programma!$F$3:$G$1101,2,0),"")</f>
        <v>_</v>
      </c>
      <c r="AR359" s="448" t="str">
        <f>_xlfn.IFNA(VLOOKUP($AP359,Programma!$F$3:$H$1101,3,0),"")</f>
        <v>_</v>
      </c>
      <c r="AS359" s="448" t="str">
        <f>_xlfn.IFNA(VLOOKUP($AP359,Programma!$F$3:$I$1101,4,0),"")</f>
        <v>4w</v>
      </c>
      <c r="AT359" s="448" t="str">
        <f>_xlfn.IFNA(VLOOKUP($AP359,Programma!$F$3:$J$1101,5,0),"")</f>
        <v>1w</v>
      </c>
      <c r="AU359" s="448" t="str">
        <f>_xlfn.IFNA(VLOOKUP($AP359,Programma!$F$3:$K$1101,6,0),"")</f>
        <v>_</v>
      </c>
      <c r="AV359" s="448" t="str">
        <f>_xlfn.IFNA(VLOOKUP($AP359,Programma!$F$3:$L$1101,7,0),"")</f>
        <v>_</v>
      </c>
      <c r="AW359" s="448" t="str">
        <f>_xlfn.IFNA(VLOOKUP($AP359,Programma!$F$3:$M$1101,8,0),"")</f>
        <v>_</v>
      </c>
      <c r="AX359" s="448" t="str">
        <f>_xlfn.IFNA(VLOOKUP($AP359,Programma!$F$3:$N$1101,9,0),"")</f>
        <v>_</v>
      </c>
      <c r="AY359" s="448" t="str">
        <f>_xlfn.IFNA(VLOOKUP($AP359,Programma!$F$3:$O$1101,10,0),"")</f>
        <v>5w</v>
      </c>
      <c r="AZ359" s="448" t="str">
        <f>_xlfn.IFNA(VLOOKUP($AP359,Programma!$F$3:$P$1101,11,0),"")</f>
        <v>5w</v>
      </c>
      <c r="BA359" s="448" t="str">
        <f>_xlfn.IFNA(VLOOKUP($AP359,Programma!$F$3:$Q$1101,12,0),"")</f>
        <v>1w</v>
      </c>
      <c r="BB359" s="448" t="str">
        <f>_xlfn.IFNA(VLOOKUP($AP359,Programma!$F$3:$R$1101,13,0),"")</f>
        <v>1w</v>
      </c>
      <c r="BC359" s="448" t="str">
        <f>_xlfn.IFNA(VLOOKUP($AP359,Programma!$F$3:$S$1101,14,0),"")</f>
        <v>1m</v>
      </c>
      <c r="BD359" s="448" t="str">
        <f>_xlfn.IFNA(VLOOKUP($AP359,Programma!$F$3:$T$1101,15,0),"")</f>
        <v>2j</v>
      </c>
      <c r="BE359" s="448" t="str">
        <f>_xlfn.IFNA(VLOOKUP($AP359,Programma!$F$3:$U$1101,16,0),"")</f>
        <v>1j</v>
      </c>
      <c r="BF359" s="448" t="str">
        <f>_xlfn.IFNA(VLOOKUP($AP359,Programma!$F$3:$V$1101,17,0),"")</f>
        <v>_</v>
      </c>
      <c r="BG359" s="448" t="str">
        <f>_xlfn.IFNA(VLOOKUP($AP359,Programma!$F$3:$W$1101,18,0),"")</f>
        <v>_</v>
      </c>
      <c r="BH359" s="448" t="str">
        <f>_xlfn.IFNA(VLOOKUP($AP359,Programma!$F$3:$X$1101,19,0),"")</f>
        <v>_</v>
      </c>
      <c r="BI359" s="448" t="str">
        <f>_xlfn.IFNA(VLOOKUP($AP359,Programma!$F$3:$Y$1101,20,0),"")</f>
        <v>_</v>
      </c>
      <c r="BJ359" s="449"/>
      <c r="BK359" s="447" t="str">
        <f>IF(Ruimtestaat[[#This Row],[Frequentie weekend]]="","",_xlfn.CONCAT(Ruimtestaat[[#This Row],[Ruimte code]],"-",Ruimtestaat[[#This Row],[Frequentie weekend]]," ",Ruimtestaat[[#This Row],[Vloer code]]))</f>
        <v/>
      </c>
      <c r="BL359" s="448" t="str">
        <f>_xlfn.IFNA(VLOOKUP($BK359,Programma!$F$3:$G$1101,2,0),"")</f>
        <v/>
      </c>
      <c r="BM359" s="448" t="str">
        <f>_xlfn.IFNA(VLOOKUP($BK359,Programma!$F$3:$H$1101,3,0),"")</f>
        <v/>
      </c>
      <c r="BN359" s="448" t="str">
        <f>_xlfn.IFNA(VLOOKUP($BK359,Programma!$F$3:$I$1101,4,0),"")</f>
        <v/>
      </c>
      <c r="BO359" s="448" t="str">
        <f>_xlfn.IFNA(VLOOKUP($BK359,Programma!$F$3:$J$1101,5,0),"")</f>
        <v/>
      </c>
      <c r="BP359" s="448" t="str">
        <f>_xlfn.IFNA(VLOOKUP($BK359,Programma!$F$3:$K$1101,6,0),"")</f>
        <v/>
      </c>
      <c r="BQ359" s="448" t="str">
        <f>_xlfn.IFNA(VLOOKUP($BK359,Programma!$F$3:$L$1101,7,0),"")</f>
        <v/>
      </c>
      <c r="BR359" s="448" t="str">
        <f>_xlfn.IFNA(VLOOKUP($BK359,Programma!$F$3:$M$1101,8,0),"")</f>
        <v/>
      </c>
      <c r="BS359" s="448" t="str">
        <f>_xlfn.IFNA(VLOOKUP($BK359,Programma!$F$3:$N$1101,9,0),"")</f>
        <v/>
      </c>
      <c r="BT359" s="448" t="str">
        <f>_xlfn.IFNA(VLOOKUP($BK359,Programma!$F$3:$O$1101,10,0),"")</f>
        <v/>
      </c>
      <c r="BU359" s="448" t="str">
        <f>_xlfn.IFNA(VLOOKUP($BK359,Programma!$F$3:$P$1101,11,0),"")</f>
        <v/>
      </c>
      <c r="BV359" s="448" t="str">
        <f>_xlfn.IFNA(VLOOKUP($BK359,Programma!$F$3:$Q$1101,12,0),"")</f>
        <v/>
      </c>
      <c r="BW359" s="448" t="str">
        <f>_xlfn.IFNA(VLOOKUP($BK359,Programma!$F$3:$R$1101,13,0),"")</f>
        <v/>
      </c>
      <c r="BX359" s="448" t="str">
        <f>_xlfn.IFNA(VLOOKUP($BK359,Programma!$F$3:$S$1101,14,0),"")</f>
        <v/>
      </c>
      <c r="BY359" s="448" t="str">
        <f>_xlfn.IFNA(VLOOKUP($BK359,Programma!$F$3:$T$1101,15,0),"")</f>
        <v/>
      </c>
      <c r="BZ359" s="448" t="str">
        <f>_xlfn.IFNA(VLOOKUP($BK359,Programma!$F$3:$U$1101,16,0),"")</f>
        <v/>
      </c>
      <c r="CA359" s="448" t="str">
        <f>_xlfn.IFNA(VLOOKUP($BK359,Programma!$F$3:$V$1101,17,0),"")</f>
        <v/>
      </c>
      <c r="CB359" s="448" t="str">
        <f>_xlfn.IFNA(VLOOKUP($BK359,Programma!$F$3:$W$1101,18,0),"")</f>
        <v/>
      </c>
      <c r="CC359" s="448" t="str">
        <f>_xlfn.IFNA(VLOOKUP($BK359,Programma!$F$3:$X$1101,19,0),"")</f>
        <v/>
      </c>
      <c r="CD359" s="448" t="str">
        <f>_xlfn.IFNA(VLOOKUP($BK359,Programma!$F$3:$Y$1101,20,0),"")</f>
        <v/>
      </c>
      <c r="CE359" s="327"/>
      <c r="CF359" s="327"/>
      <c r="CG359" s="327"/>
      <c r="CH359" s="327"/>
      <c r="CI359" s="327"/>
      <c r="CJ359" s="327"/>
      <c r="CK359" s="327"/>
      <c r="CL359" s="327"/>
      <c r="CM359" s="327"/>
      <c r="CN359" s="327"/>
      <c r="CO359" s="327"/>
      <c r="CP359" s="327"/>
      <c r="CQ359" s="327"/>
      <c r="CR359" s="327"/>
      <c r="CS359" s="327"/>
      <c r="CT359" s="327"/>
      <c r="CU359" s="327"/>
      <c r="CV359" s="327"/>
      <c r="CW359" s="327"/>
      <c r="CX359" s="327"/>
      <c r="CY359" s="327"/>
      <c r="CZ359" s="327"/>
      <c r="DA359" s="327"/>
      <c r="DB359" s="327"/>
      <c r="DC359" s="327"/>
      <c r="DD359" s="327"/>
      <c r="DE359" s="327"/>
      <c r="DF359" s="327"/>
      <c r="DG359" s="327"/>
      <c r="DH359" s="327"/>
      <c r="DI359" s="327"/>
      <c r="DJ359" s="327"/>
      <c r="DK359" s="327"/>
      <c r="DL359" s="327"/>
      <c r="DM359" s="327"/>
      <c r="DN359" s="327"/>
      <c r="DO359" s="327"/>
      <c r="DP359" s="327"/>
      <c r="DQ359" s="327"/>
      <c r="DR359" s="327"/>
      <c r="DS359" s="327"/>
      <c r="DT359" s="327"/>
      <c r="DU359" s="327"/>
      <c r="DV359" s="327"/>
      <c r="DW359" s="327"/>
      <c r="DX359" s="327"/>
      <c r="DY359" s="327"/>
      <c r="DZ359" s="327"/>
      <c r="EA359" s="327"/>
      <c r="EB359" s="327"/>
      <c r="EC359" s="327"/>
      <c r="ED359" s="327"/>
      <c r="EE359" s="327"/>
      <c r="EF359" s="327"/>
      <c r="EG359" s="327"/>
      <c r="EH359" s="327"/>
      <c r="EI359" s="327"/>
      <c r="EJ359" s="327"/>
      <c r="EK359" s="327"/>
      <c r="EL359" s="327"/>
      <c r="EM359" s="327"/>
      <c r="EN359" s="327"/>
      <c r="EO359" s="327"/>
      <c r="EP359" s="327"/>
      <c r="EQ359" s="327"/>
      <c r="ER359" s="327"/>
      <c r="ES359" s="327"/>
      <c r="ET359" s="327"/>
      <c r="EU359" s="327"/>
      <c r="EV359" s="327"/>
      <c r="EW359" s="327"/>
      <c r="EX359" s="327"/>
      <c r="EY359" s="327"/>
      <c r="EZ359" s="327"/>
      <c r="FA359" s="327"/>
      <c r="FB359" s="327"/>
      <c r="FC359" s="327"/>
      <c r="FD359" s="327"/>
      <c r="FE359" s="327"/>
      <c r="FF359" s="327"/>
      <c r="FG359" s="327"/>
      <c r="FH359" s="327"/>
      <c r="FI359" s="327"/>
      <c r="FJ359" s="327"/>
      <c r="FK359" s="327"/>
      <c r="FL359" s="327"/>
      <c r="FM359" s="327"/>
      <c r="FN359" s="327"/>
      <c r="FO359" s="327"/>
      <c r="FP359" s="327"/>
      <c r="FQ359" s="327"/>
      <c r="FR359" s="327"/>
      <c r="FS359" s="327"/>
      <c r="FT359" s="327"/>
      <c r="FU359" s="327"/>
      <c r="FV359" s="327"/>
      <c r="FW359" s="327"/>
      <c r="FX359" s="327"/>
      <c r="FY359" s="327"/>
      <c r="FZ359" s="327"/>
      <c r="GA359" s="327"/>
      <c r="GB359" s="327"/>
      <c r="GC359" s="327"/>
      <c r="GD359" s="327"/>
      <c r="GE359" s="327"/>
      <c r="GF359" s="327"/>
      <c r="GG359" s="327"/>
      <c r="GH359" s="327"/>
      <c r="GI359" s="327"/>
      <c r="GJ359" s="327"/>
      <c r="GK359" s="327"/>
      <c r="GL359" s="327"/>
      <c r="GM359" s="327"/>
      <c r="GN359" s="327"/>
      <c r="GO359" s="327"/>
      <c r="GP359" s="327"/>
      <c r="GQ359" s="327"/>
      <c r="GR359" s="327"/>
      <c r="GS359" s="327"/>
      <c r="GT359" s="327"/>
      <c r="GU359" s="327"/>
      <c r="GV359" s="327"/>
      <c r="GW359" s="327"/>
      <c r="GX359" s="327"/>
      <c r="GY359" s="327"/>
      <c r="GZ359" s="327"/>
      <c r="HA359" s="327"/>
      <c r="HB359" s="327"/>
      <c r="HC359" s="327"/>
      <c r="HD359" s="327"/>
      <c r="HE359" s="327"/>
      <c r="HF359" s="327"/>
      <c r="HG359" s="327"/>
      <c r="HH359" s="327"/>
      <c r="HI359" s="327"/>
      <c r="HJ359" s="327"/>
      <c r="HK359" s="327"/>
      <c r="HL359" s="327"/>
      <c r="HM359" s="327"/>
      <c r="HN359" s="327"/>
      <c r="HO359" s="327"/>
      <c r="HP359" s="327"/>
      <c r="HQ359" s="327"/>
      <c r="HR359" s="327"/>
      <c r="HS359" s="327"/>
    </row>
    <row r="360" spans="1:227" ht="15" customHeight="1">
      <c r="A360" s="330">
        <v>15</v>
      </c>
      <c r="B360" s="435" t="str">
        <f>VLOOKUP(Ruimtestaat[[#This Row],[Code]],Locaties[[Code]:[Locatie]],2,FALSE)</f>
        <v>IKC  Da Vinci</v>
      </c>
      <c r="C360" s="435" t="str">
        <f>VLOOKUP(Ruimtestaat[[#This Row],[Code]],Locaties[[#All],[Code]:[Adres]],4,FALSE)</f>
        <v>Spitsbergen 17</v>
      </c>
      <c r="D360" s="435" t="str">
        <f>VLOOKUP(Ruimtestaat[[#This Row],[Code]],Locaties[[#All],[Code]:[Postcode]],5,FALSE)</f>
        <v>2721 GP</v>
      </c>
      <c r="E360" s="435" t="str">
        <f>VLOOKUP(Ruimtestaat[[#This Row],[Code]],Locaties[#All],6,FALSE)</f>
        <v>Zoetermeer</v>
      </c>
      <c r="F360" s="450"/>
      <c r="G360" s="330" t="s">
        <v>1678</v>
      </c>
      <c r="H360" s="330" t="s">
        <v>1674</v>
      </c>
      <c r="I360" s="450" t="s">
        <v>1690</v>
      </c>
      <c r="J360" s="330">
        <v>16</v>
      </c>
      <c r="K360" s="450" t="str">
        <f>VLOOKUP(Ruimtestaat[[#This Row],[Ruimte code]],Ruimtegroepen[[#All],[Code]:[Ruimte omschrijving]],2,FALSE)</f>
        <v>Leslokalen</v>
      </c>
      <c r="L360" s="434" t="s">
        <v>100</v>
      </c>
      <c r="M360" s="437" t="s">
        <v>1759</v>
      </c>
      <c r="N360" s="439">
        <v>53</v>
      </c>
      <c r="O360" s="439"/>
      <c r="P360" s="439"/>
      <c r="Q360" s="439"/>
      <c r="R360" s="440" t="str">
        <f>VLOOKUP(Ruimtestaat[[#This Row],[Ruimte code]],Ruimtegroepen[],4,FALSE)</f>
        <v>Le</v>
      </c>
      <c r="S360" s="434">
        <v>40</v>
      </c>
      <c r="T360" s="434" t="s">
        <v>2</v>
      </c>
      <c r="U360" s="434">
        <f>IF(S360&gt;0,IF(RIGHT(Ruimtestaat[[#This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0" s="434">
        <f>IF(U360&gt;0,VLOOKUP($J360,Ruimtegroepen[],3,FALSE)*VLOOKUP($L360,Vloersoorten[],3,FALSE)*VLOOKUP($T360,Frequenties[],3,FALSE)*VLOOKUP($A360,Locaties[],3,FALSE),0)</f>
        <v>0</v>
      </c>
      <c r="W360" s="434">
        <f>Ruimtestaat[[#This Row],[Uitvoeringen werkdagen]]*Ruimtestaat[[#This Row],[Oppervlak (netto)]]</f>
        <v>10600</v>
      </c>
      <c r="X360" s="441">
        <f>IF(V360&gt;0,Ruimtestaat[[#This Row],[Prest. (m2 /jaar) werkdagen]]/Ruimtestaat[[#This Row],[Norm (m2/uur) werkdagen]],0)</f>
        <v>0</v>
      </c>
      <c r="Y360" s="442">
        <f>Ruimtestaat[[#This Row],[Uitvoeringen werkdagen]]*Ruimtestaat[[#This Row],[Gedeeltelijk]]</f>
        <v>0</v>
      </c>
      <c r="Z360" s="443" t="e">
        <f>IF(U360&gt;0,Ruimtestaat[[#This Row],[Prest. (m2 / jaar) werkdagen gedeeld]]/Ruimtestaat[[#This Row],[Norm (m2/uur) werkdagen]],0)</f>
        <v>#DIV/0!</v>
      </c>
      <c r="AA360" s="441" t="e">
        <f>Ruimtestaat[[#This Row],[uren / jaar werkdagen gedeeld]]*Tariefsopbouw!$E$35</f>
        <v>#DIV/0!</v>
      </c>
      <c r="AB360" s="441">
        <f>Ruimtestaat[[#This Row],[Uitvoeringen werkdagen]]*Ruimtestaat[[#This Row],[BSO]]</f>
        <v>0</v>
      </c>
      <c r="AC360" s="443" t="e">
        <f>IF(U360&gt;0,Ruimtestaat[[#This Row],[Prest. (m2 / jaar) werkdagen BSO]]/Ruimtestaat[[#This Row],[Norm (m2/uur) werkdagen]],0)</f>
        <v>#DIV/0!</v>
      </c>
      <c r="AD360" s="443" t="e">
        <f>Ruimtestaat[[#This Row],[uren / jaar werkdagen BSO]]*Tariefsopbouw!$E$35</f>
        <v>#DIV/0!</v>
      </c>
      <c r="AE360" s="444">
        <f>Ruimtestaat[[#This Row],[uren / jaar werkdagen]]*Tariefsopbouw!$E$35</f>
        <v>0</v>
      </c>
      <c r="AF360" s="434"/>
      <c r="AG360" s="434">
        <f>IF(Ruimtestaat[[#This Row],[Frequentie weekend]]&gt;0,VALUE(LEFT(AF360,1))*S360,0)</f>
        <v>0</v>
      </c>
      <c r="AH360" s="445">
        <f>IF($AG360&gt;0,VLOOKUP($J360,Ruimtegroepen[],3,FALSE)*VLOOKUP($L360,Vloersoorten[],3,FALSE)*VLOOKUP($AF360,Frequenties[],3,FALSE)*VLOOKUP(Ruimtestaat[[#This Row],[Code]],Locaties[],3,FALSE),0)</f>
        <v>0</v>
      </c>
      <c r="AI360" s="445">
        <f>Ruimtestaat[[#This Row],[Uitvoeringen weekend]]*Ruimtestaat[[#This Row],[Oppervlak (netto)]]</f>
        <v>0</v>
      </c>
      <c r="AJ360" s="445">
        <f>IF(AH360&gt;0,Ruimtestaat[[#This Row],[Prest. (m2 /jaar) weekend]]/Ruimtestaat[[#This Row],[Norm (m2/uur) weekend]],0)</f>
        <v>0</v>
      </c>
      <c r="AK360" s="444">
        <f>Ruimtestaat[[#This Row],[uren / jaar weekend]]*Tariefsopbouw!$D$40</f>
        <v>0</v>
      </c>
      <c r="AL360" s="441">
        <f>Ruimtestaat[[#This Row],[Prest. (m2 /jaar) weekend]]+Ruimtestaat[[#This Row],[Prest. (m2 /jaar) werkdagen]]</f>
        <v>10600</v>
      </c>
      <c r="AM360" s="441">
        <f>Ruimtestaat[[#This Row],[uren / jaar weekend]]+Ruimtestaat[[#This Row],[uren / jaar werkdagen]]</f>
        <v>0</v>
      </c>
      <c r="AN360" s="446">
        <f>Ruimtestaat[[#This Row],[kosten / jaar weekend]]+Ruimtestaat[[#This Row],[kosten / jaar werkdagen]]</f>
        <v>0</v>
      </c>
      <c r="AO360" s="446"/>
      <c r="AP360" s="447" t="str">
        <f>IF(Ruimtestaat[[#This Row],[Frequentie werkdagen]]="","",_xlfn.CONCAT(Ruimtestaat[[#This Row],[Ruimte code]],"-",Ruimtestaat[[#This Row],[Frequentie werkdagen]]," ",Ruimtestaat[[#This Row],[Vloer code]]))</f>
        <v>16-5w L</v>
      </c>
      <c r="AQ360" s="448" t="str">
        <f>_xlfn.IFNA(VLOOKUP($AP360,Programma!$F$3:$G$1101,2,0),"")</f>
        <v>_</v>
      </c>
      <c r="AR360" s="448" t="str">
        <f>_xlfn.IFNA(VLOOKUP($AP360,Programma!$F$3:$H$1101,3,0),"")</f>
        <v>_</v>
      </c>
      <c r="AS360" s="448" t="str">
        <f>_xlfn.IFNA(VLOOKUP($AP360,Programma!$F$3:$I$1101,4,0),"")</f>
        <v>4w</v>
      </c>
      <c r="AT360" s="448" t="str">
        <f>_xlfn.IFNA(VLOOKUP($AP360,Programma!$F$3:$J$1101,5,0),"")</f>
        <v>1w</v>
      </c>
      <c r="AU360" s="448" t="str">
        <f>_xlfn.IFNA(VLOOKUP($AP360,Programma!$F$3:$K$1101,6,0),"")</f>
        <v>_</v>
      </c>
      <c r="AV360" s="448" t="str">
        <f>_xlfn.IFNA(VLOOKUP($AP360,Programma!$F$3:$L$1101,7,0),"")</f>
        <v>_</v>
      </c>
      <c r="AW360" s="448" t="str">
        <f>_xlfn.IFNA(VLOOKUP($AP360,Programma!$F$3:$M$1101,8,0),"")</f>
        <v>_</v>
      </c>
      <c r="AX360" s="448" t="str">
        <f>_xlfn.IFNA(VLOOKUP($AP360,Programma!$F$3:$N$1101,9,0),"")</f>
        <v>_</v>
      </c>
      <c r="AY360" s="448" t="str">
        <f>_xlfn.IFNA(VLOOKUP($AP360,Programma!$F$3:$O$1101,10,0),"")</f>
        <v>5w</v>
      </c>
      <c r="AZ360" s="448" t="str">
        <f>_xlfn.IFNA(VLOOKUP($AP360,Programma!$F$3:$P$1101,11,0),"")</f>
        <v>5w</v>
      </c>
      <c r="BA360" s="448" t="str">
        <f>_xlfn.IFNA(VLOOKUP($AP360,Programma!$F$3:$Q$1101,12,0),"")</f>
        <v>1w</v>
      </c>
      <c r="BB360" s="448" t="str">
        <f>_xlfn.IFNA(VLOOKUP($AP360,Programma!$F$3:$R$1101,13,0),"")</f>
        <v>1w</v>
      </c>
      <c r="BC360" s="448" t="str">
        <f>_xlfn.IFNA(VLOOKUP($AP360,Programma!$F$3:$S$1101,14,0),"")</f>
        <v>1m</v>
      </c>
      <c r="BD360" s="448" t="str">
        <f>_xlfn.IFNA(VLOOKUP($AP360,Programma!$F$3:$T$1101,15,0),"")</f>
        <v>2j</v>
      </c>
      <c r="BE360" s="448" t="str">
        <f>_xlfn.IFNA(VLOOKUP($AP360,Programma!$F$3:$U$1101,16,0),"")</f>
        <v>1j</v>
      </c>
      <c r="BF360" s="448" t="str">
        <f>_xlfn.IFNA(VLOOKUP($AP360,Programma!$F$3:$V$1101,17,0),"")</f>
        <v>_</v>
      </c>
      <c r="BG360" s="448" t="str">
        <f>_xlfn.IFNA(VLOOKUP($AP360,Programma!$F$3:$W$1101,18,0),"")</f>
        <v>_</v>
      </c>
      <c r="BH360" s="448" t="str">
        <f>_xlfn.IFNA(VLOOKUP($AP360,Programma!$F$3:$X$1101,19,0),"")</f>
        <v>_</v>
      </c>
      <c r="BI360" s="448" t="str">
        <f>_xlfn.IFNA(VLOOKUP($AP360,Programma!$F$3:$Y$1101,20,0),"")</f>
        <v>_</v>
      </c>
      <c r="BJ360" s="449"/>
      <c r="BK360" s="447" t="str">
        <f>IF(Ruimtestaat[[#This Row],[Frequentie weekend]]="","",_xlfn.CONCAT(Ruimtestaat[[#This Row],[Ruimte code]],"-",Ruimtestaat[[#This Row],[Frequentie weekend]]," ",Ruimtestaat[[#This Row],[Vloer code]]))</f>
        <v/>
      </c>
      <c r="BL360" s="448" t="str">
        <f>_xlfn.IFNA(VLOOKUP($BK360,Programma!$F$3:$G$1101,2,0),"")</f>
        <v/>
      </c>
      <c r="BM360" s="448" t="str">
        <f>_xlfn.IFNA(VLOOKUP($BK360,Programma!$F$3:$H$1101,3,0),"")</f>
        <v/>
      </c>
      <c r="BN360" s="448" t="str">
        <f>_xlfn.IFNA(VLOOKUP($BK360,Programma!$F$3:$I$1101,4,0),"")</f>
        <v/>
      </c>
      <c r="BO360" s="448" t="str">
        <f>_xlfn.IFNA(VLOOKUP($BK360,Programma!$F$3:$J$1101,5,0),"")</f>
        <v/>
      </c>
      <c r="BP360" s="448" t="str">
        <f>_xlfn.IFNA(VLOOKUP($BK360,Programma!$F$3:$K$1101,6,0),"")</f>
        <v/>
      </c>
      <c r="BQ360" s="448" t="str">
        <f>_xlfn.IFNA(VLOOKUP($BK360,Programma!$F$3:$L$1101,7,0),"")</f>
        <v/>
      </c>
      <c r="BR360" s="448" t="str">
        <f>_xlfn.IFNA(VLOOKUP($BK360,Programma!$F$3:$M$1101,8,0),"")</f>
        <v/>
      </c>
      <c r="BS360" s="448" t="str">
        <f>_xlfn.IFNA(VLOOKUP($BK360,Programma!$F$3:$N$1101,9,0),"")</f>
        <v/>
      </c>
      <c r="BT360" s="448" t="str">
        <f>_xlfn.IFNA(VLOOKUP($BK360,Programma!$F$3:$O$1101,10,0),"")</f>
        <v/>
      </c>
      <c r="BU360" s="448" t="str">
        <f>_xlfn.IFNA(VLOOKUP($BK360,Programma!$F$3:$P$1101,11,0),"")</f>
        <v/>
      </c>
      <c r="BV360" s="448" t="str">
        <f>_xlfn.IFNA(VLOOKUP($BK360,Programma!$F$3:$Q$1101,12,0),"")</f>
        <v/>
      </c>
      <c r="BW360" s="448" t="str">
        <f>_xlfn.IFNA(VLOOKUP($BK360,Programma!$F$3:$R$1101,13,0),"")</f>
        <v/>
      </c>
      <c r="BX360" s="448" t="str">
        <f>_xlfn.IFNA(VLOOKUP($BK360,Programma!$F$3:$S$1101,14,0),"")</f>
        <v/>
      </c>
      <c r="BY360" s="448" t="str">
        <f>_xlfn.IFNA(VLOOKUP($BK360,Programma!$F$3:$T$1101,15,0),"")</f>
        <v/>
      </c>
      <c r="BZ360" s="448" t="str">
        <f>_xlfn.IFNA(VLOOKUP($BK360,Programma!$F$3:$U$1101,16,0),"")</f>
        <v/>
      </c>
      <c r="CA360" s="448" t="str">
        <f>_xlfn.IFNA(VLOOKUP($BK360,Programma!$F$3:$V$1101,17,0),"")</f>
        <v/>
      </c>
      <c r="CB360" s="448" t="str">
        <f>_xlfn.IFNA(VLOOKUP($BK360,Programma!$F$3:$W$1101,18,0),"")</f>
        <v/>
      </c>
      <c r="CC360" s="448" t="str">
        <f>_xlfn.IFNA(VLOOKUP($BK360,Programma!$F$3:$X$1101,19,0),"")</f>
        <v/>
      </c>
      <c r="CD360" s="448" t="str">
        <f>_xlfn.IFNA(VLOOKUP($BK360,Programma!$F$3:$Y$1101,20,0),"")</f>
        <v/>
      </c>
      <c r="CE360" s="327"/>
      <c r="CF360" s="327"/>
      <c r="CG360" s="327"/>
      <c r="CH360" s="327"/>
      <c r="CI360" s="327"/>
      <c r="CJ360" s="327"/>
      <c r="CK360" s="327"/>
      <c r="CL360" s="327"/>
      <c r="CM360" s="327"/>
      <c r="CN360" s="327"/>
      <c r="CO360" s="327"/>
      <c r="CP360" s="327"/>
      <c r="CQ360" s="327"/>
      <c r="CR360" s="327"/>
      <c r="CS360" s="327"/>
      <c r="CT360" s="327"/>
      <c r="CU360" s="327"/>
      <c r="CV360" s="327"/>
      <c r="CW360" s="327"/>
      <c r="CX360" s="327"/>
      <c r="CY360" s="327"/>
      <c r="CZ360" s="327"/>
      <c r="DA360" s="327"/>
      <c r="DB360" s="327"/>
      <c r="DC360" s="327"/>
      <c r="DD360" s="327"/>
      <c r="DE360" s="327"/>
      <c r="DF360" s="327"/>
      <c r="DG360" s="327"/>
      <c r="DH360" s="327"/>
      <c r="DI360" s="327"/>
      <c r="DJ360" s="327"/>
      <c r="DK360" s="327"/>
      <c r="DL360" s="327"/>
      <c r="DM360" s="327"/>
      <c r="DN360" s="327"/>
      <c r="DO360" s="327"/>
      <c r="DP360" s="327"/>
      <c r="DQ360" s="327"/>
      <c r="DR360" s="327"/>
      <c r="DS360" s="327"/>
      <c r="DT360" s="327"/>
      <c r="DU360" s="327"/>
      <c r="DV360" s="327"/>
      <c r="DW360" s="327"/>
      <c r="DX360" s="327"/>
      <c r="DY360" s="327"/>
      <c r="DZ360" s="327"/>
      <c r="EA360" s="327"/>
      <c r="EB360" s="327"/>
      <c r="EC360" s="327"/>
      <c r="ED360" s="327"/>
      <c r="EE360" s="327"/>
      <c r="EF360" s="327"/>
      <c r="EG360" s="327"/>
      <c r="EH360" s="327"/>
      <c r="EI360" s="327"/>
      <c r="EJ360" s="327"/>
      <c r="EK360" s="327"/>
      <c r="EL360" s="327"/>
      <c r="EM360" s="327"/>
      <c r="EN360" s="327"/>
      <c r="EO360" s="327"/>
      <c r="EP360" s="327"/>
      <c r="EQ360" s="327"/>
      <c r="ER360" s="327"/>
      <c r="ES360" s="327"/>
      <c r="ET360" s="327"/>
      <c r="EU360" s="327"/>
      <c r="EV360" s="327"/>
      <c r="EW360" s="327"/>
      <c r="EX360" s="327"/>
      <c r="EY360" s="327"/>
      <c r="EZ360" s="327"/>
      <c r="FA360" s="327"/>
      <c r="FB360" s="327"/>
      <c r="FC360" s="327"/>
      <c r="FD360" s="327"/>
      <c r="FE360" s="327"/>
      <c r="FF360" s="327"/>
      <c r="FG360" s="327"/>
      <c r="FH360" s="327"/>
      <c r="FI360" s="327"/>
      <c r="FJ360" s="327"/>
      <c r="FK360" s="327"/>
      <c r="FL360" s="327"/>
      <c r="FM360" s="327"/>
      <c r="FN360" s="327"/>
      <c r="FO360" s="327"/>
      <c r="FP360" s="327"/>
      <c r="FQ360" s="327"/>
      <c r="FR360" s="327"/>
      <c r="FS360" s="327"/>
      <c r="FT360" s="327"/>
      <c r="FU360" s="327"/>
      <c r="FV360" s="327"/>
      <c r="FW360" s="327"/>
      <c r="FX360" s="327"/>
      <c r="FY360" s="327"/>
      <c r="FZ360" s="327"/>
      <c r="GA360" s="327"/>
      <c r="GB360" s="327"/>
      <c r="GC360" s="327"/>
      <c r="GD360" s="327"/>
      <c r="GE360" s="327"/>
      <c r="GF360" s="327"/>
      <c r="GG360" s="327"/>
      <c r="GH360" s="327"/>
      <c r="GI360" s="327"/>
      <c r="GJ360" s="327"/>
      <c r="GK360" s="327"/>
      <c r="GL360" s="327"/>
      <c r="GM360" s="327"/>
      <c r="GN360" s="327"/>
      <c r="GO360" s="327"/>
      <c r="GP360" s="327"/>
      <c r="GQ360" s="327"/>
      <c r="GR360" s="327"/>
      <c r="GS360" s="327"/>
      <c r="GT360" s="327"/>
      <c r="GU360" s="327"/>
      <c r="GV360" s="327"/>
      <c r="GW360" s="327"/>
      <c r="GX360" s="327"/>
      <c r="GY360" s="327"/>
      <c r="GZ360" s="327"/>
      <c r="HA360" s="327"/>
      <c r="HB360" s="327"/>
      <c r="HC360" s="327"/>
      <c r="HD360" s="327"/>
      <c r="HE360" s="327"/>
      <c r="HF360" s="327"/>
      <c r="HG360" s="327"/>
      <c r="HH360" s="327"/>
      <c r="HI360" s="327"/>
      <c r="HJ360" s="327"/>
      <c r="HK360" s="327"/>
      <c r="HL360" s="327"/>
      <c r="HM360" s="327"/>
      <c r="HN360" s="327"/>
      <c r="HO360" s="327"/>
      <c r="HP360" s="327"/>
      <c r="HQ360" s="327"/>
      <c r="HR360" s="327"/>
      <c r="HS360" s="327"/>
    </row>
    <row r="361" spans="1:227" ht="15" customHeight="1">
      <c r="A361" s="330">
        <v>15</v>
      </c>
      <c r="B361" s="435" t="str">
        <f>VLOOKUP(Ruimtestaat[[#This Row],[Code]],Locaties[[Code]:[Locatie]],2,FALSE)</f>
        <v>IKC  Da Vinci</v>
      </c>
      <c r="C361" s="435" t="str">
        <f>VLOOKUP(Ruimtestaat[[#This Row],[Code]],Locaties[[#All],[Code]:[Adres]],4,FALSE)</f>
        <v>Spitsbergen 17</v>
      </c>
      <c r="D361" s="435" t="str">
        <f>VLOOKUP(Ruimtestaat[[#This Row],[Code]],Locaties[[#All],[Code]:[Postcode]],5,FALSE)</f>
        <v>2721 GP</v>
      </c>
      <c r="E361" s="435" t="str">
        <f>VLOOKUP(Ruimtestaat[[#This Row],[Code]],Locaties[#All],6,FALSE)</f>
        <v>Zoetermeer</v>
      </c>
      <c r="F361" s="450"/>
      <c r="G361" s="330" t="s">
        <v>1678</v>
      </c>
      <c r="H361" s="330" t="s">
        <v>1680</v>
      </c>
      <c r="I361" s="450" t="s">
        <v>1666</v>
      </c>
      <c r="J361" s="330">
        <v>2</v>
      </c>
      <c r="K361" s="450" t="str">
        <f>VLOOKUP(Ruimtestaat[[#This Row],[Ruimte code]],Ruimtegroepen[[#All],[Code]:[Ruimte omschrijving]],2,FALSE)</f>
        <v>Kantoren</v>
      </c>
      <c r="L361" s="434" t="s">
        <v>99</v>
      </c>
      <c r="M361" s="437" t="s">
        <v>36</v>
      </c>
      <c r="N361" s="439">
        <v>18</v>
      </c>
      <c r="O361" s="439"/>
      <c r="P361" s="439"/>
      <c r="Q361" s="439"/>
      <c r="R361" s="440" t="str">
        <f>VLOOKUP(Ruimtestaat[[#This Row],[Ruimte code]],Ruimtegroepen[],4,FALSE)</f>
        <v>Bu</v>
      </c>
      <c r="S361" s="434">
        <v>41</v>
      </c>
      <c r="T361" s="434" t="s">
        <v>17</v>
      </c>
      <c r="U361" s="434">
        <f>IF(S361&gt;0,IF(RIGHT(Ruimtestaat[[#This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61" s="434">
        <f>IF(U361&gt;0,VLOOKUP($J361,Ruimtegroepen[],3,FALSE)*VLOOKUP($L361,Vloersoorten[],3,FALSE)*VLOOKUP($T361,Frequenties[],3,FALSE)*VLOOKUP($A361,Locaties[],3,FALSE),0)</f>
        <v>0</v>
      </c>
      <c r="W361" s="434">
        <f>Ruimtestaat[[#This Row],[Uitvoeringen werkdagen]]*Ruimtestaat[[#This Row],[Oppervlak (netto)]]</f>
        <v>1476</v>
      </c>
      <c r="X361" s="441">
        <f>IF(V361&gt;0,Ruimtestaat[[#This Row],[Prest. (m2 /jaar) werkdagen]]/Ruimtestaat[[#This Row],[Norm (m2/uur) werkdagen]],0)</f>
        <v>0</v>
      </c>
      <c r="Y361" s="442">
        <f>Ruimtestaat[[#This Row],[Uitvoeringen werkdagen]]*Ruimtestaat[[#This Row],[Gedeeltelijk]]</f>
        <v>0</v>
      </c>
      <c r="Z361" s="443" t="e">
        <f>IF(U361&gt;0,Ruimtestaat[[#This Row],[Prest. (m2 / jaar) werkdagen gedeeld]]/Ruimtestaat[[#This Row],[Norm (m2/uur) werkdagen]],0)</f>
        <v>#DIV/0!</v>
      </c>
      <c r="AA361" s="441" t="e">
        <f>Ruimtestaat[[#This Row],[uren / jaar werkdagen gedeeld]]*Tariefsopbouw!$E$35</f>
        <v>#DIV/0!</v>
      </c>
      <c r="AB361" s="441">
        <f>Ruimtestaat[[#This Row],[Uitvoeringen werkdagen]]*Ruimtestaat[[#This Row],[BSO]]</f>
        <v>0</v>
      </c>
      <c r="AC361" s="443" t="e">
        <f>IF(U361&gt;0,Ruimtestaat[[#This Row],[Prest. (m2 / jaar) werkdagen BSO]]/Ruimtestaat[[#This Row],[Norm (m2/uur) werkdagen]],0)</f>
        <v>#DIV/0!</v>
      </c>
      <c r="AD361" s="443" t="e">
        <f>Ruimtestaat[[#This Row],[uren / jaar werkdagen BSO]]*Tariefsopbouw!$E$35</f>
        <v>#DIV/0!</v>
      </c>
      <c r="AE361" s="444">
        <f>Ruimtestaat[[#This Row],[uren / jaar werkdagen]]*Tariefsopbouw!$E$35</f>
        <v>0</v>
      </c>
      <c r="AF361" s="434"/>
      <c r="AG361" s="434">
        <f>IF(Ruimtestaat[[#This Row],[Frequentie weekend]]&gt;0,VALUE(LEFT(AF361,1))*S361,0)</f>
        <v>0</v>
      </c>
      <c r="AH361" s="445">
        <f>IF($AG361&gt;0,VLOOKUP($J361,Ruimtegroepen[],3,FALSE)*VLOOKUP($L361,Vloersoorten[],3,FALSE)*VLOOKUP($AF361,Frequenties[],3,FALSE)*VLOOKUP(Ruimtestaat[[#This Row],[Code]],Locaties[],3,FALSE),0)</f>
        <v>0</v>
      </c>
      <c r="AI361" s="445">
        <f>Ruimtestaat[[#This Row],[Uitvoeringen weekend]]*Ruimtestaat[[#This Row],[Oppervlak (netto)]]</f>
        <v>0</v>
      </c>
      <c r="AJ361" s="445">
        <f>IF(AH361&gt;0,Ruimtestaat[[#This Row],[Prest. (m2 /jaar) weekend]]/Ruimtestaat[[#This Row],[Norm (m2/uur) weekend]],0)</f>
        <v>0</v>
      </c>
      <c r="AK361" s="444">
        <f>Ruimtestaat[[#This Row],[uren / jaar weekend]]*Tariefsopbouw!$D$40</f>
        <v>0</v>
      </c>
      <c r="AL361" s="441">
        <f>Ruimtestaat[[#This Row],[Prest. (m2 /jaar) weekend]]+Ruimtestaat[[#This Row],[Prest. (m2 /jaar) werkdagen]]</f>
        <v>1476</v>
      </c>
      <c r="AM361" s="441">
        <f>Ruimtestaat[[#This Row],[uren / jaar weekend]]+Ruimtestaat[[#This Row],[uren / jaar werkdagen]]</f>
        <v>0</v>
      </c>
      <c r="AN361" s="446">
        <f>Ruimtestaat[[#This Row],[kosten / jaar weekend]]+Ruimtestaat[[#This Row],[kosten / jaar werkdagen]]</f>
        <v>0</v>
      </c>
      <c r="AO361" s="446"/>
      <c r="AP361" s="447" t="str">
        <f>IF(Ruimtestaat[[#This Row],[Frequentie werkdagen]]="","",_xlfn.CONCAT(Ruimtestaat[[#This Row],[Ruimte code]],"-",Ruimtestaat[[#This Row],[Frequentie werkdagen]]," ",Ruimtestaat[[#This Row],[Vloer code]]))</f>
        <v>2-2w T</v>
      </c>
      <c r="AQ361" s="448" t="str">
        <f>_xlfn.IFNA(VLOOKUP($AP361,Programma!$F$3:$G$1101,2,0),"")</f>
        <v>1w</v>
      </c>
      <c r="AR361" s="448" t="str">
        <f>_xlfn.IFNA(VLOOKUP($AP361,Programma!$F$3:$H$1101,3,0),"")</f>
        <v>1w</v>
      </c>
      <c r="AS361" s="448" t="str">
        <f>_xlfn.IFNA(VLOOKUP($AP361,Programma!$F$3:$I$1101,4,0),"")</f>
        <v>_</v>
      </c>
      <c r="AT361" s="448" t="str">
        <f>_xlfn.IFNA(VLOOKUP($AP361,Programma!$F$3:$J$1101,5,0),"")</f>
        <v>_</v>
      </c>
      <c r="AU361" s="448" t="str">
        <f>_xlfn.IFNA(VLOOKUP($AP361,Programma!$F$3:$K$1101,6,0),"")</f>
        <v>_</v>
      </c>
      <c r="AV361" s="448" t="str">
        <f>_xlfn.IFNA(VLOOKUP($AP361,Programma!$F$3:$L$1101,7,0),"")</f>
        <v>_</v>
      </c>
      <c r="AW361" s="448" t="str">
        <f>_xlfn.IFNA(VLOOKUP($AP361,Programma!$F$3:$M$1101,8,0),"")</f>
        <v>_</v>
      </c>
      <c r="AX361" s="448" t="str">
        <f>_xlfn.IFNA(VLOOKUP($AP361,Programma!$F$3:$N$1101,9,0),"")</f>
        <v>_</v>
      </c>
      <c r="AY361" s="448" t="str">
        <f>_xlfn.IFNA(VLOOKUP($AP361,Programma!$F$3:$O$1101,10,0),"")</f>
        <v>2w</v>
      </c>
      <c r="AZ361" s="448" t="str">
        <f>_xlfn.IFNA(VLOOKUP($AP361,Programma!$F$3:$P$1101,11,0),"")</f>
        <v>2w</v>
      </c>
      <c r="BA361" s="448" t="str">
        <f>_xlfn.IFNA(VLOOKUP($AP361,Programma!$F$3:$Q$1101,12,0),"")</f>
        <v>1w</v>
      </c>
      <c r="BB361" s="448" t="str">
        <f>_xlfn.IFNA(VLOOKUP($AP361,Programma!$F$3:$R$1101,13,0),"")</f>
        <v>1w</v>
      </c>
      <c r="BC361" s="448" t="str">
        <f>_xlfn.IFNA(VLOOKUP($AP361,Programma!$F$3:$S$1101,14,0),"")</f>
        <v>1m</v>
      </c>
      <c r="BD361" s="448" t="str">
        <f>_xlfn.IFNA(VLOOKUP($AP361,Programma!$F$3:$T$1101,15,0),"")</f>
        <v>2j</v>
      </c>
      <c r="BE361" s="448" t="str">
        <f>_xlfn.IFNA(VLOOKUP($AP361,Programma!$F$3:$U$1101,16,0),"")</f>
        <v>1j</v>
      </c>
      <c r="BF361" s="448" t="str">
        <f>_xlfn.IFNA(VLOOKUP($AP361,Programma!$F$3:$V$1101,17,0),"")</f>
        <v>_</v>
      </c>
      <c r="BG361" s="448" t="str">
        <f>_xlfn.IFNA(VLOOKUP($AP361,Programma!$F$3:$W$1101,18,0),"")</f>
        <v>_</v>
      </c>
      <c r="BH361" s="448" t="str">
        <f>_xlfn.IFNA(VLOOKUP($AP361,Programma!$F$3:$X$1101,19,0),"")</f>
        <v>_</v>
      </c>
      <c r="BI361" s="448" t="str">
        <f>_xlfn.IFNA(VLOOKUP($AP361,Programma!$F$3:$Y$1101,20,0),"")</f>
        <v>_</v>
      </c>
      <c r="BJ361" s="449"/>
      <c r="BK361" s="447" t="str">
        <f>IF(Ruimtestaat[[#This Row],[Frequentie weekend]]="","",_xlfn.CONCAT(Ruimtestaat[[#This Row],[Ruimte code]],"-",Ruimtestaat[[#This Row],[Frequentie weekend]]," ",Ruimtestaat[[#This Row],[Vloer code]]))</f>
        <v/>
      </c>
      <c r="BL361" s="448" t="str">
        <f>_xlfn.IFNA(VLOOKUP($BK361,Programma!$F$3:$G$1101,2,0),"")</f>
        <v/>
      </c>
      <c r="BM361" s="448" t="str">
        <f>_xlfn.IFNA(VLOOKUP($BK361,Programma!$F$3:$H$1101,3,0),"")</f>
        <v/>
      </c>
      <c r="BN361" s="448" t="str">
        <f>_xlfn.IFNA(VLOOKUP($BK361,Programma!$F$3:$I$1101,4,0),"")</f>
        <v/>
      </c>
      <c r="BO361" s="448" t="str">
        <f>_xlfn.IFNA(VLOOKUP($BK361,Programma!$F$3:$J$1101,5,0),"")</f>
        <v/>
      </c>
      <c r="BP361" s="448" t="str">
        <f>_xlfn.IFNA(VLOOKUP($BK361,Programma!$F$3:$K$1101,6,0),"")</f>
        <v/>
      </c>
      <c r="BQ361" s="448" t="str">
        <f>_xlfn.IFNA(VLOOKUP($BK361,Programma!$F$3:$L$1101,7,0),"")</f>
        <v/>
      </c>
      <c r="BR361" s="448" t="str">
        <f>_xlfn.IFNA(VLOOKUP($BK361,Programma!$F$3:$M$1101,8,0),"")</f>
        <v/>
      </c>
      <c r="BS361" s="448" t="str">
        <f>_xlfn.IFNA(VLOOKUP($BK361,Programma!$F$3:$N$1101,9,0),"")</f>
        <v/>
      </c>
      <c r="BT361" s="448" t="str">
        <f>_xlfn.IFNA(VLOOKUP($BK361,Programma!$F$3:$O$1101,10,0),"")</f>
        <v/>
      </c>
      <c r="BU361" s="448" t="str">
        <f>_xlfn.IFNA(VLOOKUP($BK361,Programma!$F$3:$P$1101,11,0),"")</f>
        <v/>
      </c>
      <c r="BV361" s="448" t="str">
        <f>_xlfn.IFNA(VLOOKUP($BK361,Programma!$F$3:$Q$1101,12,0),"")</f>
        <v/>
      </c>
      <c r="BW361" s="448" t="str">
        <f>_xlfn.IFNA(VLOOKUP($BK361,Programma!$F$3:$R$1101,13,0),"")</f>
        <v/>
      </c>
      <c r="BX361" s="448" t="str">
        <f>_xlfn.IFNA(VLOOKUP($BK361,Programma!$F$3:$S$1101,14,0),"")</f>
        <v/>
      </c>
      <c r="BY361" s="448" t="str">
        <f>_xlfn.IFNA(VLOOKUP($BK361,Programma!$F$3:$T$1101,15,0),"")</f>
        <v/>
      </c>
      <c r="BZ361" s="448" t="str">
        <f>_xlfn.IFNA(VLOOKUP($BK361,Programma!$F$3:$U$1101,16,0),"")</f>
        <v/>
      </c>
      <c r="CA361" s="448" t="str">
        <f>_xlfn.IFNA(VLOOKUP($BK361,Programma!$F$3:$V$1101,17,0),"")</f>
        <v/>
      </c>
      <c r="CB361" s="448" t="str">
        <f>_xlfn.IFNA(VLOOKUP($BK361,Programma!$F$3:$W$1101,18,0),"")</f>
        <v/>
      </c>
      <c r="CC361" s="448" t="str">
        <f>_xlfn.IFNA(VLOOKUP($BK361,Programma!$F$3:$X$1101,19,0),"")</f>
        <v/>
      </c>
      <c r="CD361" s="448" t="str">
        <f>_xlfn.IFNA(VLOOKUP($BK361,Programma!$F$3:$Y$1101,20,0),"")</f>
        <v/>
      </c>
      <c r="CE361" s="327"/>
      <c r="CF361" s="327"/>
      <c r="CG361" s="327"/>
      <c r="CH361" s="327"/>
      <c r="CI361" s="327"/>
      <c r="CJ361" s="327"/>
      <c r="CK361" s="327"/>
      <c r="CL361" s="327"/>
      <c r="CM361" s="327"/>
      <c r="CN361" s="327"/>
      <c r="CO361" s="327"/>
      <c r="CP361" s="327"/>
      <c r="CQ361" s="327"/>
      <c r="CR361" s="327"/>
      <c r="CS361" s="327"/>
      <c r="CT361" s="327"/>
      <c r="CU361" s="327"/>
      <c r="CV361" s="327"/>
      <c r="CW361" s="327"/>
      <c r="CX361" s="327"/>
      <c r="CY361" s="327"/>
      <c r="CZ361" s="327"/>
      <c r="DA361" s="327"/>
      <c r="DB361" s="327"/>
      <c r="DC361" s="327"/>
      <c r="DD361" s="327"/>
      <c r="DE361" s="327"/>
      <c r="DF361" s="327"/>
      <c r="DG361" s="327"/>
      <c r="DH361" s="327"/>
      <c r="DI361" s="327"/>
      <c r="DJ361" s="327"/>
      <c r="DK361" s="327"/>
      <c r="DL361" s="327"/>
      <c r="DM361" s="327"/>
      <c r="DN361" s="327"/>
      <c r="DO361" s="327"/>
      <c r="DP361" s="327"/>
      <c r="DQ361" s="327"/>
      <c r="DR361" s="327"/>
      <c r="DS361" s="327"/>
      <c r="DT361" s="327"/>
      <c r="DU361" s="327"/>
      <c r="DV361" s="327"/>
      <c r="DW361" s="327"/>
      <c r="DX361" s="327"/>
      <c r="DY361" s="327"/>
      <c r="DZ361" s="327"/>
      <c r="EA361" s="327"/>
      <c r="EB361" s="327"/>
      <c r="EC361" s="327"/>
      <c r="ED361" s="327"/>
      <c r="EE361" s="327"/>
      <c r="EF361" s="327"/>
      <c r="EG361" s="327"/>
      <c r="EH361" s="327"/>
      <c r="EI361" s="327"/>
      <c r="EJ361" s="327"/>
      <c r="EK361" s="327"/>
      <c r="EL361" s="327"/>
      <c r="EM361" s="327"/>
      <c r="EN361" s="327"/>
      <c r="EO361" s="327"/>
      <c r="EP361" s="327"/>
      <c r="EQ361" s="327"/>
      <c r="ER361" s="327"/>
      <c r="ES361" s="327"/>
      <c r="ET361" s="327"/>
      <c r="EU361" s="327"/>
      <c r="EV361" s="327"/>
      <c r="EW361" s="327"/>
      <c r="EX361" s="327"/>
      <c r="EY361" s="327"/>
      <c r="EZ361" s="327"/>
      <c r="FA361" s="327"/>
      <c r="FB361" s="327"/>
      <c r="FC361" s="327"/>
      <c r="FD361" s="327"/>
      <c r="FE361" s="327"/>
      <c r="FF361" s="327"/>
      <c r="FG361" s="327"/>
      <c r="FH361" s="327"/>
      <c r="FI361" s="327"/>
      <c r="FJ361" s="327"/>
      <c r="FK361" s="327"/>
      <c r="FL361" s="327"/>
      <c r="FM361" s="327"/>
      <c r="FN361" s="327"/>
      <c r="FO361" s="327"/>
      <c r="FP361" s="327"/>
      <c r="FQ361" s="327"/>
      <c r="FR361" s="327"/>
      <c r="FS361" s="327"/>
      <c r="FT361" s="327"/>
      <c r="FU361" s="327"/>
      <c r="FV361" s="327"/>
      <c r="FW361" s="327"/>
      <c r="FX361" s="327"/>
      <c r="FY361" s="327"/>
      <c r="FZ361" s="327"/>
      <c r="GA361" s="327"/>
      <c r="GB361" s="327"/>
      <c r="GC361" s="327"/>
      <c r="GD361" s="327"/>
      <c r="GE361" s="327"/>
      <c r="GF361" s="327"/>
      <c r="GG361" s="327"/>
      <c r="GH361" s="327"/>
      <c r="GI361" s="327"/>
      <c r="GJ361" s="327"/>
      <c r="GK361" s="327"/>
      <c r="GL361" s="327"/>
      <c r="GM361" s="327"/>
      <c r="GN361" s="327"/>
      <c r="GO361" s="327"/>
      <c r="GP361" s="327"/>
      <c r="GQ361" s="327"/>
      <c r="GR361" s="327"/>
      <c r="GS361" s="327"/>
      <c r="GT361" s="327"/>
      <c r="GU361" s="327"/>
      <c r="GV361" s="327"/>
      <c r="GW361" s="327"/>
      <c r="GX361" s="327"/>
      <c r="GY361" s="327"/>
      <c r="GZ361" s="327"/>
      <c r="HA361" s="327"/>
      <c r="HB361" s="327"/>
      <c r="HC361" s="327"/>
      <c r="HD361" s="327"/>
      <c r="HE361" s="327"/>
      <c r="HF361" s="327"/>
      <c r="HG361" s="327"/>
      <c r="HH361" s="327"/>
      <c r="HI361" s="327"/>
      <c r="HJ361" s="327"/>
      <c r="HK361" s="327"/>
      <c r="HL361" s="327"/>
      <c r="HM361" s="327"/>
      <c r="HN361" s="327"/>
      <c r="HO361" s="327"/>
      <c r="HP361" s="327"/>
      <c r="HQ361" s="327"/>
      <c r="HR361" s="327"/>
      <c r="HS361" s="327"/>
    </row>
    <row r="362" spans="1:227" ht="15" customHeight="1">
      <c r="A362" s="330">
        <v>15</v>
      </c>
      <c r="B362" s="435" t="str">
        <f>VLOOKUP(Ruimtestaat[[#This Row],[Code]],Locaties[[Code]:[Locatie]],2,FALSE)</f>
        <v>IKC  Da Vinci</v>
      </c>
      <c r="C362" s="435" t="str">
        <f>VLOOKUP(Ruimtestaat[[#This Row],[Code]],Locaties[[#All],[Code]:[Adres]],4,FALSE)</f>
        <v>Spitsbergen 17</v>
      </c>
      <c r="D362" s="435" t="str">
        <f>VLOOKUP(Ruimtestaat[[#This Row],[Code]],Locaties[[#All],[Code]:[Postcode]],5,FALSE)</f>
        <v>2721 GP</v>
      </c>
      <c r="E362" s="435" t="str">
        <f>VLOOKUP(Ruimtestaat[[#This Row],[Code]],Locaties[#All],6,FALSE)</f>
        <v>Zoetermeer</v>
      </c>
      <c r="F362" s="450"/>
      <c r="G362" s="330" t="s">
        <v>1678</v>
      </c>
      <c r="H362" s="330" t="s">
        <v>1681</v>
      </c>
      <c r="I362" s="450" t="s">
        <v>1841</v>
      </c>
      <c r="J362" s="330">
        <v>5</v>
      </c>
      <c r="K362" s="450" t="str">
        <f>VLOOKUP(Ruimtestaat[[#This Row],[Ruimte code]],Ruimtegroepen[[#All],[Code]:[Ruimte omschrijving]],2,FALSE)</f>
        <v>Sanitair</v>
      </c>
      <c r="L362" s="330" t="s">
        <v>101</v>
      </c>
      <c r="M362" s="437" t="s">
        <v>1816</v>
      </c>
      <c r="N362" s="439">
        <v>15</v>
      </c>
      <c r="O362" s="439"/>
      <c r="P362" s="439"/>
      <c r="Q362" s="439"/>
      <c r="R362" s="440" t="str">
        <f>VLOOKUP(Ruimtestaat[[#This Row],[Ruimte code]],Ruimtegroepen[],4,FALSE)</f>
        <v>Sa</v>
      </c>
      <c r="S362" s="434">
        <v>41</v>
      </c>
      <c r="T362" s="434" t="s">
        <v>2</v>
      </c>
      <c r="U362" s="434">
        <f>IF(S362&gt;0,IF(RIGHT(Ruimtestaat[[#This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62" s="434">
        <f>IF(U362&gt;0,VLOOKUP($J362,Ruimtegroepen[],3,FALSE)*VLOOKUP($L362,Vloersoorten[],3,FALSE)*VLOOKUP($T362,Frequenties[],3,FALSE)*VLOOKUP($A362,Locaties[],3,FALSE),0)</f>
        <v>0</v>
      </c>
      <c r="W362" s="434">
        <f>Ruimtestaat[[#This Row],[Uitvoeringen werkdagen]]*Ruimtestaat[[#This Row],[Oppervlak (netto)]]</f>
        <v>3075</v>
      </c>
      <c r="X362" s="441">
        <f>IF(V362&gt;0,Ruimtestaat[[#This Row],[Prest. (m2 /jaar) werkdagen]]/Ruimtestaat[[#This Row],[Norm (m2/uur) werkdagen]],0)</f>
        <v>0</v>
      </c>
      <c r="Y362" s="442">
        <f>Ruimtestaat[[#This Row],[Uitvoeringen werkdagen]]*Ruimtestaat[[#This Row],[Gedeeltelijk]]</f>
        <v>0</v>
      </c>
      <c r="Z362" s="443" t="e">
        <f>IF(U362&gt;0,Ruimtestaat[[#This Row],[Prest. (m2 / jaar) werkdagen gedeeld]]/Ruimtestaat[[#This Row],[Norm (m2/uur) werkdagen]],0)</f>
        <v>#DIV/0!</v>
      </c>
      <c r="AA362" s="441" t="e">
        <f>Ruimtestaat[[#This Row],[uren / jaar werkdagen gedeeld]]*Tariefsopbouw!$E$35</f>
        <v>#DIV/0!</v>
      </c>
      <c r="AB362" s="441">
        <f>Ruimtestaat[[#This Row],[Uitvoeringen werkdagen]]*Ruimtestaat[[#This Row],[BSO]]</f>
        <v>0</v>
      </c>
      <c r="AC362" s="443" t="e">
        <f>IF(U362&gt;0,Ruimtestaat[[#This Row],[Prest. (m2 / jaar) werkdagen BSO]]/Ruimtestaat[[#This Row],[Norm (m2/uur) werkdagen]],0)</f>
        <v>#DIV/0!</v>
      </c>
      <c r="AD362" s="443" t="e">
        <f>Ruimtestaat[[#This Row],[uren / jaar werkdagen BSO]]*Tariefsopbouw!$E$35</f>
        <v>#DIV/0!</v>
      </c>
      <c r="AE362" s="444">
        <f>Ruimtestaat[[#This Row],[uren / jaar werkdagen]]*Tariefsopbouw!$E$35</f>
        <v>0</v>
      </c>
      <c r="AF362" s="434"/>
      <c r="AG362" s="434">
        <f>IF(Ruimtestaat[[#This Row],[Frequentie weekend]]&gt;0,VALUE(LEFT(AF362,1))*S362,0)</f>
        <v>0</v>
      </c>
      <c r="AH362" s="445">
        <f>IF($AG362&gt;0,VLOOKUP($J362,Ruimtegroepen[],3,FALSE)*VLOOKUP($L362,Vloersoorten[],3,FALSE)*VLOOKUP($AF362,Frequenties[],3,FALSE)*VLOOKUP(Ruimtestaat[[#This Row],[Code]],Locaties[],3,FALSE),0)</f>
        <v>0</v>
      </c>
      <c r="AI362" s="445">
        <f>Ruimtestaat[[#This Row],[Uitvoeringen weekend]]*Ruimtestaat[[#This Row],[Oppervlak (netto)]]</f>
        <v>0</v>
      </c>
      <c r="AJ362" s="445">
        <f>IF(AH362&gt;0,Ruimtestaat[[#This Row],[Prest. (m2 /jaar) weekend]]/Ruimtestaat[[#This Row],[Norm (m2/uur) weekend]],0)</f>
        <v>0</v>
      </c>
      <c r="AK362" s="444">
        <f>Ruimtestaat[[#This Row],[uren / jaar weekend]]*Tariefsopbouw!$D$40</f>
        <v>0</v>
      </c>
      <c r="AL362" s="441">
        <f>Ruimtestaat[[#This Row],[Prest. (m2 /jaar) weekend]]+Ruimtestaat[[#This Row],[Prest. (m2 /jaar) werkdagen]]</f>
        <v>3075</v>
      </c>
      <c r="AM362" s="441">
        <f>Ruimtestaat[[#This Row],[uren / jaar weekend]]+Ruimtestaat[[#This Row],[uren / jaar werkdagen]]</f>
        <v>0</v>
      </c>
      <c r="AN362" s="446">
        <f>Ruimtestaat[[#This Row],[kosten / jaar weekend]]+Ruimtestaat[[#This Row],[kosten / jaar werkdagen]]</f>
        <v>0</v>
      </c>
      <c r="AO362" s="446"/>
      <c r="AP362" s="447" t="str">
        <f>IF(Ruimtestaat[[#This Row],[Frequentie werkdagen]]="","",_xlfn.CONCAT(Ruimtestaat[[#This Row],[Ruimte code]],"-",Ruimtestaat[[#This Row],[Frequentie werkdagen]]," ",Ruimtestaat[[#This Row],[Vloer code]]))</f>
        <v>5-5w S</v>
      </c>
      <c r="AQ362" s="448" t="str">
        <f>_xlfn.IFNA(VLOOKUP($AP362,Programma!$F$3:$G$1101,2,0),"")</f>
        <v>_</v>
      </c>
      <c r="AR362" s="448" t="str">
        <f>_xlfn.IFNA(VLOOKUP($AP362,Programma!$F$3:$H$1101,3,0),"")</f>
        <v>_</v>
      </c>
      <c r="AS362" s="448" t="str">
        <f>_xlfn.IFNA(VLOOKUP($AP362,Programma!$F$3:$I$1101,4,0),"")</f>
        <v>_</v>
      </c>
      <c r="AT362" s="448" t="str">
        <f>_xlfn.IFNA(VLOOKUP($AP362,Programma!$F$3:$J$1101,5,0),"")</f>
        <v>4w</v>
      </c>
      <c r="AU362" s="448" t="str">
        <f>_xlfn.IFNA(VLOOKUP($AP362,Programma!$F$3:$K$1101,6,0),"")</f>
        <v>1w</v>
      </c>
      <c r="AV362" s="448" t="str">
        <f>_xlfn.IFNA(VLOOKUP($AP362,Programma!$F$3:$L$1101,7,0),"")</f>
        <v>_</v>
      </c>
      <c r="AW362" s="448" t="str">
        <f>_xlfn.IFNA(VLOOKUP($AP362,Programma!$F$3:$M$1101,8,0),"")</f>
        <v>_</v>
      </c>
      <c r="AX362" s="448" t="str">
        <f>_xlfn.IFNA(VLOOKUP($AP362,Programma!$F$3:$N$1101,9,0),"")</f>
        <v>_</v>
      </c>
      <c r="AY362" s="448" t="str">
        <f>_xlfn.IFNA(VLOOKUP($AP362,Programma!$F$3:$O$1101,10,0),"")</f>
        <v>_</v>
      </c>
      <c r="AZ362" s="448" t="str">
        <f>_xlfn.IFNA(VLOOKUP($AP362,Programma!$F$3:$P$1101,11,0),"")</f>
        <v>_</v>
      </c>
      <c r="BA362" s="448" t="str">
        <f>_xlfn.IFNA(VLOOKUP($AP362,Programma!$F$3:$Q$1101,12,0),"")</f>
        <v>_</v>
      </c>
      <c r="BB362" s="448" t="str">
        <f>_xlfn.IFNA(VLOOKUP($AP362,Programma!$F$3:$R$1101,13,0),"")</f>
        <v>_</v>
      </c>
      <c r="BC362" s="448" t="str">
        <f>_xlfn.IFNA(VLOOKUP($AP362,Programma!$F$3:$S$1101,14,0),"")</f>
        <v>_</v>
      </c>
      <c r="BD362" s="448" t="str">
        <f>_xlfn.IFNA(VLOOKUP($AP362,Programma!$F$3:$T$1101,15,0),"")</f>
        <v>_</v>
      </c>
      <c r="BE362" s="448" t="str">
        <f>_xlfn.IFNA(VLOOKUP($AP362,Programma!$F$3:$U$1101,16,0),"")</f>
        <v>_</v>
      </c>
      <c r="BF362" s="448" t="str">
        <f>_xlfn.IFNA(VLOOKUP($AP362,Programma!$F$3:$V$1101,17,0),"")</f>
        <v>_</v>
      </c>
      <c r="BG362" s="448" t="str">
        <f>_xlfn.IFNA(VLOOKUP($AP362,Programma!$F$3:$W$1101,18,0),"")</f>
        <v>4w</v>
      </c>
      <c r="BH362" s="448" t="str">
        <f>_xlfn.IFNA(VLOOKUP($AP362,Programma!$F$3:$X$1101,19,0),"")</f>
        <v>1w</v>
      </c>
      <c r="BI362" s="448" t="str">
        <f>_xlfn.IFNA(VLOOKUP($AP362,Programma!$F$3:$Y$1101,20,0),"")</f>
        <v>_</v>
      </c>
      <c r="BJ362" s="449"/>
      <c r="BK362" s="447" t="str">
        <f>IF(Ruimtestaat[[#This Row],[Frequentie weekend]]="","",_xlfn.CONCAT(Ruimtestaat[[#This Row],[Ruimte code]],"-",Ruimtestaat[[#This Row],[Frequentie weekend]]," ",Ruimtestaat[[#This Row],[Vloer code]]))</f>
        <v/>
      </c>
      <c r="BL362" s="448" t="str">
        <f>_xlfn.IFNA(VLOOKUP($BK362,Programma!$F$3:$G$1101,2,0),"")</f>
        <v/>
      </c>
      <c r="BM362" s="448" t="str">
        <f>_xlfn.IFNA(VLOOKUP($BK362,Programma!$F$3:$H$1101,3,0),"")</f>
        <v/>
      </c>
      <c r="BN362" s="448" t="str">
        <f>_xlfn.IFNA(VLOOKUP($BK362,Programma!$F$3:$I$1101,4,0),"")</f>
        <v/>
      </c>
      <c r="BO362" s="448" t="str">
        <f>_xlfn.IFNA(VLOOKUP($BK362,Programma!$F$3:$J$1101,5,0),"")</f>
        <v/>
      </c>
      <c r="BP362" s="448" t="str">
        <f>_xlfn.IFNA(VLOOKUP($BK362,Programma!$F$3:$K$1101,6,0),"")</f>
        <v/>
      </c>
      <c r="BQ362" s="448" t="str">
        <f>_xlfn.IFNA(VLOOKUP($BK362,Programma!$F$3:$L$1101,7,0),"")</f>
        <v/>
      </c>
      <c r="BR362" s="448" t="str">
        <f>_xlfn.IFNA(VLOOKUP($BK362,Programma!$F$3:$M$1101,8,0),"")</f>
        <v/>
      </c>
      <c r="BS362" s="448" t="str">
        <f>_xlfn.IFNA(VLOOKUP($BK362,Programma!$F$3:$N$1101,9,0),"")</f>
        <v/>
      </c>
      <c r="BT362" s="448" t="str">
        <f>_xlfn.IFNA(VLOOKUP($BK362,Programma!$F$3:$O$1101,10,0),"")</f>
        <v/>
      </c>
      <c r="BU362" s="448" t="str">
        <f>_xlfn.IFNA(VLOOKUP($BK362,Programma!$F$3:$P$1101,11,0),"")</f>
        <v/>
      </c>
      <c r="BV362" s="448" t="str">
        <f>_xlfn.IFNA(VLOOKUP($BK362,Programma!$F$3:$Q$1101,12,0),"")</f>
        <v/>
      </c>
      <c r="BW362" s="448" t="str">
        <f>_xlfn.IFNA(VLOOKUP($BK362,Programma!$F$3:$R$1101,13,0),"")</f>
        <v/>
      </c>
      <c r="BX362" s="448" t="str">
        <f>_xlfn.IFNA(VLOOKUP($BK362,Programma!$F$3:$S$1101,14,0),"")</f>
        <v/>
      </c>
      <c r="BY362" s="448" t="str">
        <f>_xlfn.IFNA(VLOOKUP($BK362,Programma!$F$3:$T$1101,15,0),"")</f>
        <v/>
      </c>
      <c r="BZ362" s="448" t="str">
        <f>_xlfn.IFNA(VLOOKUP($BK362,Programma!$F$3:$U$1101,16,0),"")</f>
        <v/>
      </c>
      <c r="CA362" s="448" t="str">
        <f>_xlfn.IFNA(VLOOKUP($BK362,Programma!$F$3:$V$1101,17,0),"")</f>
        <v/>
      </c>
      <c r="CB362" s="448" t="str">
        <f>_xlfn.IFNA(VLOOKUP($BK362,Programma!$F$3:$W$1101,18,0),"")</f>
        <v/>
      </c>
      <c r="CC362" s="448" t="str">
        <f>_xlfn.IFNA(VLOOKUP($BK362,Programma!$F$3:$X$1101,19,0),"")</f>
        <v/>
      </c>
      <c r="CD362" s="448" t="str">
        <f>_xlfn.IFNA(VLOOKUP($BK362,Programma!$F$3:$Y$1101,20,0),"")</f>
        <v/>
      </c>
      <c r="CE362" s="327"/>
      <c r="CF362" s="327"/>
      <c r="CG362" s="327"/>
      <c r="CH362" s="327"/>
      <c r="CI362" s="327"/>
      <c r="CJ362" s="327"/>
      <c r="CK362" s="327"/>
      <c r="CL362" s="327"/>
      <c r="CM362" s="327"/>
      <c r="CN362" s="327"/>
      <c r="CO362" s="327"/>
      <c r="CP362" s="327"/>
      <c r="CQ362" s="327"/>
      <c r="CR362" s="327"/>
      <c r="CS362" s="327"/>
      <c r="CT362" s="327"/>
      <c r="CU362" s="327"/>
      <c r="CV362" s="327"/>
      <c r="CW362" s="327"/>
      <c r="CX362" s="327"/>
      <c r="CY362" s="327"/>
      <c r="CZ362" s="327"/>
      <c r="DA362" s="327"/>
      <c r="DB362" s="327"/>
      <c r="DC362" s="327"/>
      <c r="DD362" s="327"/>
      <c r="DE362" s="327"/>
      <c r="DF362" s="327"/>
      <c r="DG362" s="327"/>
      <c r="DH362" s="327"/>
      <c r="DI362" s="327"/>
      <c r="DJ362" s="327"/>
      <c r="DK362" s="327"/>
      <c r="DL362" s="327"/>
      <c r="DM362" s="327"/>
      <c r="DN362" s="327"/>
      <c r="DO362" s="327"/>
      <c r="DP362" s="327"/>
      <c r="DQ362" s="327"/>
      <c r="DR362" s="327"/>
      <c r="DS362" s="327"/>
      <c r="DT362" s="327"/>
      <c r="DU362" s="327"/>
      <c r="DV362" s="327"/>
      <c r="DW362" s="327"/>
      <c r="DX362" s="327"/>
      <c r="DY362" s="327"/>
      <c r="DZ362" s="327"/>
      <c r="EA362" s="327"/>
      <c r="EB362" s="327"/>
      <c r="EC362" s="327"/>
      <c r="ED362" s="327"/>
      <c r="EE362" s="327"/>
      <c r="EF362" s="327"/>
      <c r="EG362" s="327"/>
      <c r="EH362" s="327"/>
      <c r="EI362" s="327"/>
      <c r="EJ362" s="327"/>
      <c r="EK362" s="327"/>
      <c r="EL362" s="327"/>
      <c r="EM362" s="327"/>
      <c r="EN362" s="327"/>
      <c r="EO362" s="327"/>
      <c r="EP362" s="327"/>
      <c r="EQ362" s="327"/>
      <c r="ER362" s="327"/>
      <c r="ES362" s="327"/>
      <c r="ET362" s="327"/>
      <c r="EU362" s="327"/>
      <c r="EV362" s="327"/>
      <c r="EW362" s="327"/>
      <c r="EX362" s="327"/>
      <c r="EY362" s="327"/>
      <c r="EZ362" s="327"/>
      <c r="FA362" s="327"/>
      <c r="FB362" s="327"/>
      <c r="FC362" s="327"/>
      <c r="FD362" s="327"/>
      <c r="FE362" s="327"/>
      <c r="FF362" s="327"/>
      <c r="FG362" s="327"/>
      <c r="FH362" s="327"/>
      <c r="FI362" s="327"/>
      <c r="FJ362" s="327"/>
      <c r="FK362" s="327"/>
      <c r="FL362" s="327"/>
      <c r="FM362" s="327"/>
      <c r="FN362" s="327"/>
      <c r="FO362" s="327"/>
      <c r="FP362" s="327"/>
      <c r="FQ362" s="327"/>
      <c r="FR362" s="327"/>
      <c r="FS362" s="327"/>
      <c r="FT362" s="327"/>
      <c r="FU362" s="327"/>
      <c r="FV362" s="327"/>
      <c r="FW362" s="327"/>
      <c r="FX362" s="327"/>
      <c r="FY362" s="327"/>
      <c r="FZ362" s="327"/>
      <c r="GA362" s="327"/>
      <c r="GB362" s="327"/>
      <c r="GC362" s="327"/>
      <c r="GD362" s="327"/>
      <c r="GE362" s="327"/>
      <c r="GF362" s="327"/>
      <c r="GG362" s="327"/>
      <c r="GH362" s="327"/>
      <c r="GI362" s="327"/>
      <c r="GJ362" s="327"/>
      <c r="GK362" s="327"/>
      <c r="GL362" s="327"/>
      <c r="GM362" s="327"/>
      <c r="GN362" s="327"/>
      <c r="GO362" s="327"/>
      <c r="GP362" s="327"/>
      <c r="GQ362" s="327"/>
      <c r="GR362" s="327"/>
      <c r="GS362" s="327"/>
      <c r="GT362" s="327"/>
      <c r="GU362" s="327"/>
      <c r="GV362" s="327"/>
      <c r="GW362" s="327"/>
      <c r="GX362" s="327"/>
      <c r="GY362" s="327"/>
      <c r="GZ362" s="327"/>
      <c r="HA362" s="327"/>
      <c r="HB362" s="327"/>
      <c r="HC362" s="327"/>
      <c r="HD362" s="327"/>
      <c r="HE362" s="327"/>
      <c r="HF362" s="327"/>
      <c r="HG362" s="327"/>
      <c r="HH362" s="327"/>
      <c r="HI362" s="327"/>
      <c r="HJ362" s="327"/>
      <c r="HK362" s="327"/>
      <c r="HL362" s="327"/>
      <c r="HM362" s="327"/>
      <c r="HN362" s="327"/>
      <c r="HO362" s="327"/>
      <c r="HP362" s="327"/>
      <c r="HQ362" s="327"/>
      <c r="HR362" s="327"/>
      <c r="HS362" s="327"/>
    </row>
    <row r="363" spans="1:227" ht="15" customHeight="1">
      <c r="A363" s="330">
        <v>15</v>
      </c>
      <c r="B363" s="435" t="str">
        <f>VLOOKUP(Ruimtestaat[[#This Row],[Code]],Locaties[[Code]:[Locatie]],2,FALSE)</f>
        <v>IKC  Da Vinci</v>
      </c>
      <c r="C363" s="435" t="str">
        <f>VLOOKUP(Ruimtestaat[[#This Row],[Code]],Locaties[[#All],[Code]:[Adres]],4,FALSE)</f>
        <v>Spitsbergen 17</v>
      </c>
      <c r="D363" s="435" t="str">
        <f>VLOOKUP(Ruimtestaat[[#This Row],[Code]],Locaties[[#All],[Code]:[Postcode]],5,FALSE)</f>
        <v>2721 GP</v>
      </c>
      <c r="E363" s="435" t="str">
        <f>VLOOKUP(Ruimtestaat[[#This Row],[Code]],Locaties[#All],6,FALSE)</f>
        <v>Zoetermeer</v>
      </c>
      <c r="F363" s="450"/>
      <c r="G363" s="330" t="s">
        <v>1769</v>
      </c>
      <c r="H363" s="330" t="s">
        <v>1709</v>
      </c>
      <c r="I363" s="450" t="s">
        <v>1833</v>
      </c>
      <c r="J363" s="330">
        <v>6</v>
      </c>
      <c r="K363" s="450" t="str">
        <f>VLOOKUP(Ruimtestaat[[#This Row],[Ruimte code]],Ruimtegroepen[[#All],[Code]:[Ruimte omschrijving]],2,FALSE)</f>
        <v>Gangen/hallen</v>
      </c>
      <c r="L363" s="434" t="s">
        <v>100</v>
      </c>
      <c r="M363" s="437" t="s">
        <v>1759</v>
      </c>
      <c r="N363" s="439">
        <v>98</v>
      </c>
      <c r="O363" s="439"/>
      <c r="P363" s="439"/>
      <c r="Q363" s="439"/>
      <c r="R363" s="440" t="str">
        <f>VLOOKUP(Ruimtestaat[[#This Row],[Ruimte code]],Ruimtegroepen[],4,FALSE)</f>
        <v>Ve</v>
      </c>
      <c r="S363" s="434">
        <v>41</v>
      </c>
      <c r="T363" s="434" t="s">
        <v>2</v>
      </c>
      <c r="U363" s="434">
        <f>IF(S363&gt;0,IF(RIGHT(Ruimtestaat[[#This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63" s="434">
        <f>IF(U363&gt;0,VLOOKUP($J363,Ruimtegroepen[],3,FALSE)*VLOOKUP($L363,Vloersoorten[],3,FALSE)*VLOOKUP($T363,Frequenties[],3,FALSE)*VLOOKUP($A363,Locaties[],3,FALSE),0)</f>
        <v>0</v>
      </c>
      <c r="W363" s="434">
        <f>Ruimtestaat[[#This Row],[Uitvoeringen werkdagen]]*Ruimtestaat[[#This Row],[Oppervlak (netto)]]</f>
        <v>20090</v>
      </c>
      <c r="X363" s="441">
        <f>IF(V363&gt;0,Ruimtestaat[[#This Row],[Prest. (m2 /jaar) werkdagen]]/Ruimtestaat[[#This Row],[Norm (m2/uur) werkdagen]],0)</f>
        <v>0</v>
      </c>
      <c r="Y363" s="442">
        <f>Ruimtestaat[[#This Row],[Uitvoeringen werkdagen]]*Ruimtestaat[[#This Row],[Gedeeltelijk]]</f>
        <v>0</v>
      </c>
      <c r="Z363" s="443" t="e">
        <f>IF(U363&gt;0,Ruimtestaat[[#This Row],[Prest. (m2 / jaar) werkdagen gedeeld]]/Ruimtestaat[[#This Row],[Norm (m2/uur) werkdagen]],0)</f>
        <v>#DIV/0!</v>
      </c>
      <c r="AA363" s="441" t="e">
        <f>Ruimtestaat[[#This Row],[uren / jaar werkdagen gedeeld]]*Tariefsopbouw!$E$35</f>
        <v>#DIV/0!</v>
      </c>
      <c r="AB363" s="441">
        <f>Ruimtestaat[[#This Row],[Uitvoeringen werkdagen]]*Ruimtestaat[[#This Row],[BSO]]</f>
        <v>0</v>
      </c>
      <c r="AC363" s="443" t="e">
        <f>IF(U363&gt;0,Ruimtestaat[[#This Row],[Prest. (m2 / jaar) werkdagen BSO]]/Ruimtestaat[[#This Row],[Norm (m2/uur) werkdagen]],0)</f>
        <v>#DIV/0!</v>
      </c>
      <c r="AD363" s="443" t="e">
        <f>Ruimtestaat[[#This Row],[uren / jaar werkdagen BSO]]*Tariefsopbouw!$E$35</f>
        <v>#DIV/0!</v>
      </c>
      <c r="AE363" s="444">
        <f>Ruimtestaat[[#This Row],[uren / jaar werkdagen]]*Tariefsopbouw!$E$35</f>
        <v>0</v>
      </c>
      <c r="AF363" s="434"/>
      <c r="AG363" s="434">
        <f>IF(Ruimtestaat[[#This Row],[Frequentie weekend]]&gt;0,VALUE(LEFT(AF363,1))*S363,0)</f>
        <v>0</v>
      </c>
      <c r="AH363" s="445">
        <f>IF($AG363&gt;0,VLOOKUP($J363,Ruimtegroepen[],3,FALSE)*VLOOKUP($L363,Vloersoorten[],3,FALSE)*VLOOKUP($AF363,Frequenties[],3,FALSE)*VLOOKUP(Ruimtestaat[[#This Row],[Code]],Locaties[],3,FALSE),0)</f>
        <v>0</v>
      </c>
      <c r="AI363" s="445">
        <f>Ruimtestaat[[#This Row],[Uitvoeringen weekend]]*Ruimtestaat[[#This Row],[Oppervlak (netto)]]</f>
        <v>0</v>
      </c>
      <c r="AJ363" s="445">
        <f>IF(AH363&gt;0,Ruimtestaat[[#This Row],[Prest. (m2 /jaar) weekend]]/Ruimtestaat[[#This Row],[Norm (m2/uur) weekend]],0)</f>
        <v>0</v>
      </c>
      <c r="AK363" s="444">
        <f>Ruimtestaat[[#This Row],[uren / jaar weekend]]*Tariefsopbouw!$D$40</f>
        <v>0</v>
      </c>
      <c r="AL363" s="441">
        <f>Ruimtestaat[[#This Row],[Prest. (m2 /jaar) weekend]]+Ruimtestaat[[#This Row],[Prest. (m2 /jaar) werkdagen]]</f>
        <v>20090</v>
      </c>
      <c r="AM363" s="441">
        <f>Ruimtestaat[[#This Row],[uren / jaar weekend]]+Ruimtestaat[[#This Row],[uren / jaar werkdagen]]</f>
        <v>0</v>
      </c>
      <c r="AN363" s="446">
        <f>Ruimtestaat[[#This Row],[kosten / jaar weekend]]+Ruimtestaat[[#This Row],[kosten / jaar werkdagen]]</f>
        <v>0</v>
      </c>
      <c r="AO363" s="446"/>
      <c r="AP363" s="447" t="str">
        <f>IF(Ruimtestaat[[#This Row],[Frequentie werkdagen]]="","",_xlfn.CONCAT(Ruimtestaat[[#This Row],[Ruimte code]],"-",Ruimtestaat[[#This Row],[Frequentie werkdagen]]," ",Ruimtestaat[[#This Row],[Vloer code]]))</f>
        <v>6-5w L</v>
      </c>
      <c r="AQ363" s="448" t="str">
        <f>_xlfn.IFNA(VLOOKUP($AP363,Programma!$F$3:$G$1101,2,0),"")</f>
        <v>_</v>
      </c>
      <c r="AR363" s="448" t="str">
        <f>_xlfn.IFNA(VLOOKUP($AP363,Programma!$F$3:$H$1101,3,0),"")</f>
        <v>_</v>
      </c>
      <c r="AS363" s="448" t="str">
        <f>_xlfn.IFNA(VLOOKUP($AP363,Programma!$F$3:$I$1101,4,0),"")</f>
        <v>_</v>
      </c>
      <c r="AT363" s="448" t="str">
        <f>_xlfn.IFNA(VLOOKUP($AP363,Programma!$F$3:$J$1101,5,0),"")</f>
        <v>5w</v>
      </c>
      <c r="AU363" s="448" t="str">
        <f>_xlfn.IFNA(VLOOKUP($AP363,Programma!$F$3:$K$1101,6,0),"")</f>
        <v>_</v>
      </c>
      <c r="AV363" s="448" t="str">
        <f>_xlfn.IFNA(VLOOKUP($AP363,Programma!$F$3:$L$1101,7,0),"")</f>
        <v>_</v>
      </c>
      <c r="AW363" s="448" t="str">
        <f>_xlfn.IFNA(VLOOKUP($AP363,Programma!$F$3:$M$1101,8,0),"")</f>
        <v>_</v>
      </c>
      <c r="AX363" s="448" t="str">
        <f>_xlfn.IFNA(VLOOKUP($AP363,Programma!$F$3:$N$1101,9,0),"")</f>
        <v>_</v>
      </c>
      <c r="AY363" s="448" t="str">
        <f>_xlfn.IFNA(VLOOKUP($AP363,Programma!$F$3:$O$1101,10,0),"")</f>
        <v>5w</v>
      </c>
      <c r="AZ363" s="448" t="str">
        <f>_xlfn.IFNA(VLOOKUP($AP363,Programma!$F$3:$P$1101,11,0),"")</f>
        <v>5w</v>
      </c>
      <c r="BA363" s="448" t="str">
        <f>_xlfn.IFNA(VLOOKUP($AP363,Programma!$F$3:$Q$1101,12,0),"")</f>
        <v>1w</v>
      </c>
      <c r="BB363" s="448" t="str">
        <f>_xlfn.IFNA(VLOOKUP($AP363,Programma!$F$3:$R$1101,13,0),"")</f>
        <v>1w</v>
      </c>
      <c r="BC363" s="448" t="str">
        <f>_xlfn.IFNA(VLOOKUP($AP363,Programma!$F$3:$S$1101,14,0),"")</f>
        <v>1m</v>
      </c>
      <c r="BD363" s="448" t="str">
        <f>_xlfn.IFNA(VLOOKUP($AP363,Programma!$F$3:$T$1101,15,0),"")</f>
        <v>2j</v>
      </c>
      <c r="BE363" s="448" t="str">
        <f>_xlfn.IFNA(VLOOKUP($AP363,Programma!$F$3:$U$1101,16,0),"")</f>
        <v>1j</v>
      </c>
      <c r="BF363" s="448" t="str">
        <f>_xlfn.IFNA(VLOOKUP($AP363,Programma!$F$3:$V$1101,17,0),"")</f>
        <v>_</v>
      </c>
      <c r="BG363" s="448" t="str">
        <f>_xlfn.IFNA(VLOOKUP($AP363,Programma!$F$3:$W$1101,18,0),"")</f>
        <v>_</v>
      </c>
      <c r="BH363" s="448" t="str">
        <f>_xlfn.IFNA(VLOOKUP($AP363,Programma!$F$3:$X$1101,19,0),"")</f>
        <v>_</v>
      </c>
      <c r="BI363" s="448" t="str">
        <f>_xlfn.IFNA(VLOOKUP($AP363,Programma!$F$3:$Y$1101,20,0),"")</f>
        <v>_</v>
      </c>
      <c r="BJ363" s="449"/>
      <c r="BK363" s="447" t="str">
        <f>IF(Ruimtestaat[[#This Row],[Frequentie weekend]]="","",_xlfn.CONCAT(Ruimtestaat[[#This Row],[Ruimte code]],"-",Ruimtestaat[[#This Row],[Frequentie weekend]]," ",Ruimtestaat[[#This Row],[Vloer code]]))</f>
        <v/>
      </c>
      <c r="BL363" s="448" t="str">
        <f>_xlfn.IFNA(VLOOKUP($BK363,Programma!$F$3:$G$1101,2,0),"")</f>
        <v/>
      </c>
      <c r="BM363" s="448" t="str">
        <f>_xlfn.IFNA(VLOOKUP($BK363,Programma!$F$3:$H$1101,3,0),"")</f>
        <v/>
      </c>
      <c r="BN363" s="448" t="str">
        <f>_xlfn.IFNA(VLOOKUP($BK363,Programma!$F$3:$I$1101,4,0),"")</f>
        <v/>
      </c>
      <c r="BO363" s="448" t="str">
        <f>_xlfn.IFNA(VLOOKUP($BK363,Programma!$F$3:$J$1101,5,0),"")</f>
        <v/>
      </c>
      <c r="BP363" s="448" t="str">
        <f>_xlfn.IFNA(VLOOKUP($BK363,Programma!$F$3:$K$1101,6,0),"")</f>
        <v/>
      </c>
      <c r="BQ363" s="448" t="str">
        <f>_xlfn.IFNA(VLOOKUP($BK363,Programma!$F$3:$L$1101,7,0),"")</f>
        <v/>
      </c>
      <c r="BR363" s="448" t="str">
        <f>_xlfn.IFNA(VLOOKUP($BK363,Programma!$F$3:$M$1101,8,0),"")</f>
        <v/>
      </c>
      <c r="BS363" s="448" t="str">
        <f>_xlfn.IFNA(VLOOKUP($BK363,Programma!$F$3:$N$1101,9,0),"")</f>
        <v/>
      </c>
      <c r="BT363" s="448" t="str">
        <f>_xlfn.IFNA(VLOOKUP($BK363,Programma!$F$3:$O$1101,10,0),"")</f>
        <v/>
      </c>
      <c r="BU363" s="448" t="str">
        <f>_xlfn.IFNA(VLOOKUP($BK363,Programma!$F$3:$P$1101,11,0),"")</f>
        <v/>
      </c>
      <c r="BV363" s="448" t="str">
        <f>_xlfn.IFNA(VLOOKUP($BK363,Programma!$F$3:$Q$1101,12,0),"")</f>
        <v/>
      </c>
      <c r="BW363" s="448" t="str">
        <f>_xlfn.IFNA(VLOOKUP($BK363,Programma!$F$3:$R$1101,13,0),"")</f>
        <v/>
      </c>
      <c r="BX363" s="448" t="str">
        <f>_xlfn.IFNA(VLOOKUP($BK363,Programma!$F$3:$S$1101,14,0),"")</f>
        <v/>
      </c>
      <c r="BY363" s="448" t="str">
        <f>_xlfn.IFNA(VLOOKUP($BK363,Programma!$F$3:$T$1101,15,0),"")</f>
        <v/>
      </c>
      <c r="BZ363" s="448" t="str">
        <f>_xlfn.IFNA(VLOOKUP($BK363,Programma!$F$3:$U$1101,16,0),"")</f>
        <v/>
      </c>
      <c r="CA363" s="448" t="str">
        <f>_xlfn.IFNA(VLOOKUP($BK363,Programma!$F$3:$V$1101,17,0),"")</f>
        <v/>
      </c>
      <c r="CB363" s="448" t="str">
        <f>_xlfn.IFNA(VLOOKUP($BK363,Programma!$F$3:$W$1101,18,0),"")</f>
        <v/>
      </c>
      <c r="CC363" s="448" t="str">
        <f>_xlfn.IFNA(VLOOKUP($BK363,Programma!$F$3:$X$1101,19,0),"")</f>
        <v/>
      </c>
      <c r="CD363" s="448" t="str">
        <f>_xlfn.IFNA(VLOOKUP($BK363,Programma!$F$3:$Y$1101,20,0),"")</f>
        <v/>
      </c>
      <c r="CE363" s="327"/>
      <c r="CF363" s="327"/>
      <c r="CG363" s="327"/>
      <c r="CH363" s="327"/>
      <c r="CI363" s="327"/>
      <c r="CJ363" s="327"/>
      <c r="CK363" s="327"/>
      <c r="CL363" s="327"/>
      <c r="CM363" s="327"/>
      <c r="CN363" s="327"/>
      <c r="CO363" s="327"/>
      <c r="CP363" s="327"/>
      <c r="CQ363" s="327"/>
      <c r="CR363" s="327"/>
      <c r="CS363" s="327"/>
      <c r="CT363" s="327"/>
      <c r="CU363" s="327"/>
      <c r="CV363" s="327"/>
      <c r="CW363" s="327"/>
      <c r="CX363" s="327"/>
      <c r="CY363" s="327"/>
      <c r="CZ363" s="327"/>
      <c r="DA363" s="327"/>
      <c r="DB363" s="327"/>
      <c r="DC363" s="327"/>
      <c r="DD363" s="327"/>
      <c r="DE363" s="327"/>
      <c r="DF363" s="327"/>
      <c r="DG363" s="327"/>
      <c r="DH363" s="327"/>
      <c r="DI363" s="327"/>
      <c r="DJ363" s="327"/>
      <c r="DK363" s="327"/>
      <c r="DL363" s="327"/>
      <c r="DM363" s="327"/>
      <c r="DN363" s="327"/>
      <c r="DO363" s="327"/>
      <c r="DP363" s="327"/>
      <c r="DQ363" s="327"/>
      <c r="DR363" s="327"/>
      <c r="DS363" s="327"/>
      <c r="DT363" s="327"/>
      <c r="DU363" s="327"/>
      <c r="DV363" s="327"/>
      <c r="DW363" s="327"/>
      <c r="DX363" s="327"/>
      <c r="DY363" s="327"/>
      <c r="DZ363" s="327"/>
      <c r="EA363" s="327"/>
      <c r="EB363" s="327"/>
      <c r="EC363" s="327"/>
      <c r="ED363" s="327"/>
      <c r="EE363" s="327"/>
      <c r="EF363" s="327"/>
      <c r="EG363" s="327"/>
      <c r="EH363" s="327"/>
      <c r="EI363" s="327"/>
      <c r="EJ363" s="327"/>
      <c r="EK363" s="327"/>
      <c r="EL363" s="327"/>
      <c r="EM363" s="327"/>
      <c r="EN363" s="327"/>
      <c r="EO363" s="327"/>
      <c r="EP363" s="327"/>
      <c r="EQ363" s="327"/>
      <c r="ER363" s="327"/>
      <c r="ES363" s="327"/>
      <c r="ET363" s="327"/>
      <c r="EU363" s="327"/>
      <c r="EV363" s="327"/>
      <c r="EW363" s="327"/>
      <c r="EX363" s="327"/>
      <c r="EY363" s="327"/>
      <c r="EZ363" s="327"/>
      <c r="FA363" s="327"/>
      <c r="FB363" s="327"/>
      <c r="FC363" s="327"/>
      <c r="FD363" s="327"/>
      <c r="FE363" s="327"/>
      <c r="FF363" s="327"/>
      <c r="FG363" s="327"/>
      <c r="FH363" s="327"/>
      <c r="FI363" s="327"/>
      <c r="FJ363" s="327"/>
      <c r="FK363" s="327"/>
      <c r="FL363" s="327"/>
      <c r="FM363" s="327"/>
      <c r="FN363" s="327"/>
      <c r="FO363" s="327"/>
      <c r="FP363" s="327"/>
      <c r="FQ363" s="327"/>
      <c r="FR363" s="327"/>
      <c r="FS363" s="327"/>
      <c r="FT363" s="327"/>
      <c r="FU363" s="327"/>
      <c r="FV363" s="327"/>
      <c r="FW363" s="327"/>
      <c r="FX363" s="327"/>
      <c r="FY363" s="327"/>
      <c r="FZ363" s="327"/>
      <c r="GA363" s="327"/>
      <c r="GB363" s="327"/>
      <c r="GC363" s="327"/>
      <c r="GD363" s="327"/>
      <c r="GE363" s="327"/>
      <c r="GF363" s="327"/>
      <c r="GG363" s="327"/>
      <c r="GH363" s="327"/>
      <c r="GI363" s="327"/>
      <c r="GJ363" s="327"/>
      <c r="GK363" s="327"/>
      <c r="GL363" s="327"/>
      <c r="GM363" s="327"/>
      <c r="GN363" s="327"/>
      <c r="GO363" s="327"/>
      <c r="GP363" s="327"/>
      <c r="GQ363" s="327"/>
      <c r="GR363" s="327"/>
      <c r="GS363" s="327"/>
      <c r="GT363" s="327"/>
      <c r="GU363" s="327"/>
      <c r="GV363" s="327"/>
      <c r="GW363" s="327"/>
      <c r="GX363" s="327"/>
      <c r="GY363" s="327"/>
      <c r="GZ363" s="327"/>
      <c r="HA363" s="327"/>
      <c r="HB363" s="327"/>
      <c r="HC363" s="327"/>
      <c r="HD363" s="327"/>
      <c r="HE363" s="327"/>
      <c r="HF363" s="327"/>
      <c r="HG363" s="327"/>
      <c r="HH363" s="327"/>
      <c r="HI363" s="327"/>
      <c r="HJ363" s="327"/>
      <c r="HK363" s="327"/>
      <c r="HL363" s="327"/>
      <c r="HM363" s="327"/>
      <c r="HN363" s="327"/>
      <c r="HO363" s="327"/>
      <c r="HP363" s="327"/>
      <c r="HQ363" s="327"/>
      <c r="HR363" s="327"/>
      <c r="HS363" s="327"/>
    </row>
    <row r="364" spans="1:227" ht="15" customHeight="1">
      <c r="A364" s="330">
        <v>15</v>
      </c>
      <c r="B364" s="435" t="str">
        <f>VLOOKUP(Ruimtestaat[[#This Row],[Code]],Locaties[[Code]:[Locatie]],2,FALSE)</f>
        <v>IKC  Da Vinci</v>
      </c>
      <c r="C364" s="435" t="str">
        <f>VLOOKUP(Ruimtestaat[[#This Row],[Code]],Locaties[[#All],[Code]:[Adres]],4,FALSE)</f>
        <v>Spitsbergen 17</v>
      </c>
      <c r="D364" s="435" t="str">
        <f>VLOOKUP(Ruimtestaat[[#This Row],[Code]],Locaties[[#All],[Code]:[Postcode]],5,FALSE)</f>
        <v>2721 GP</v>
      </c>
      <c r="E364" s="435" t="str">
        <f>VLOOKUP(Ruimtestaat[[#This Row],[Code]],Locaties[#All],6,FALSE)</f>
        <v>Zoetermeer</v>
      </c>
      <c r="F364" s="450"/>
      <c r="G364" s="330" t="s">
        <v>1769</v>
      </c>
      <c r="H364" s="330" t="s">
        <v>1711</v>
      </c>
      <c r="I364" s="450" t="s">
        <v>1690</v>
      </c>
      <c r="J364" s="330">
        <v>16</v>
      </c>
      <c r="K364" s="450" t="str">
        <f>VLOOKUP(Ruimtestaat[[#This Row],[Ruimte code]],Ruimtegroepen[[#All],[Code]:[Ruimte omschrijving]],2,FALSE)</f>
        <v>Leslokalen</v>
      </c>
      <c r="L364" s="434" t="s">
        <v>100</v>
      </c>
      <c r="M364" s="437" t="s">
        <v>1759</v>
      </c>
      <c r="N364" s="439">
        <v>56</v>
      </c>
      <c r="O364" s="439"/>
      <c r="P364" s="439"/>
      <c r="Q364" s="439"/>
      <c r="R364" s="440" t="str">
        <f>VLOOKUP(Ruimtestaat[[#This Row],[Ruimte code]],Ruimtegroepen[],4,FALSE)</f>
        <v>Le</v>
      </c>
      <c r="S364" s="434">
        <v>40</v>
      </c>
      <c r="T364" s="434" t="s">
        <v>2</v>
      </c>
      <c r="U364" s="434">
        <f>IF(S364&gt;0,IF(RIGHT(Ruimtestaat[[#This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4" s="434">
        <f>IF(U364&gt;0,VLOOKUP($J364,Ruimtegroepen[],3,FALSE)*VLOOKUP($L364,Vloersoorten[],3,FALSE)*VLOOKUP($T364,Frequenties[],3,FALSE)*VLOOKUP($A364,Locaties[],3,FALSE),0)</f>
        <v>0</v>
      </c>
      <c r="W364" s="434">
        <f>Ruimtestaat[[#This Row],[Uitvoeringen werkdagen]]*Ruimtestaat[[#This Row],[Oppervlak (netto)]]</f>
        <v>11200</v>
      </c>
      <c r="X364" s="441">
        <f>IF(V364&gt;0,Ruimtestaat[[#This Row],[Prest. (m2 /jaar) werkdagen]]/Ruimtestaat[[#This Row],[Norm (m2/uur) werkdagen]],0)</f>
        <v>0</v>
      </c>
      <c r="Y364" s="442">
        <f>Ruimtestaat[[#This Row],[Uitvoeringen werkdagen]]*Ruimtestaat[[#This Row],[Gedeeltelijk]]</f>
        <v>0</v>
      </c>
      <c r="Z364" s="443" t="e">
        <f>IF(U364&gt;0,Ruimtestaat[[#This Row],[Prest. (m2 / jaar) werkdagen gedeeld]]/Ruimtestaat[[#This Row],[Norm (m2/uur) werkdagen]],0)</f>
        <v>#DIV/0!</v>
      </c>
      <c r="AA364" s="441" t="e">
        <f>Ruimtestaat[[#This Row],[uren / jaar werkdagen gedeeld]]*Tariefsopbouw!$E$35</f>
        <v>#DIV/0!</v>
      </c>
      <c r="AB364" s="441">
        <f>Ruimtestaat[[#This Row],[Uitvoeringen werkdagen]]*Ruimtestaat[[#This Row],[BSO]]</f>
        <v>0</v>
      </c>
      <c r="AC364" s="443" t="e">
        <f>IF(U364&gt;0,Ruimtestaat[[#This Row],[Prest. (m2 / jaar) werkdagen BSO]]/Ruimtestaat[[#This Row],[Norm (m2/uur) werkdagen]],0)</f>
        <v>#DIV/0!</v>
      </c>
      <c r="AD364" s="443" t="e">
        <f>Ruimtestaat[[#This Row],[uren / jaar werkdagen BSO]]*Tariefsopbouw!$E$35</f>
        <v>#DIV/0!</v>
      </c>
      <c r="AE364" s="444">
        <f>Ruimtestaat[[#This Row],[uren / jaar werkdagen]]*Tariefsopbouw!$E$35</f>
        <v>0</v>
      </c>
      <c r="AF364" s="434"/>
      <c r="AG364" s="434">
        <f>IF(Ruimtestaat[[#This Row],[Frequentie weekend]]&gt;0,VALUE(LEFT(AF364,1))*S364,0)</f>
        <v>0</v>
      </c>
      <c r="AH364" s="445">
        <f>IF($AG364&gt;0,VLOOKUP($J364,Ruimtegroepen[],3,FALSE)*VLOOKUP($L364,Vloersoorten[],3,FALSE)*VLOOKUP($AF364,Frequenties[],3,FALSE)*VLOOKUP(Ruimtestaat[[#This Row],[Code]],Locaties[],3,FALSE),0)</f>
        <v>0</v>
      </c>
      <c r="AI364" s="445">
        <f>Ruimtestaat[[#This Row],[Uitvoeringen weekend]]*Ruimtestaat[[#This Row],[Oppervlak (netto)]]</f>
        <v>0</v>
      </c>
      <c r="AJ364" s="445">
        <f>IF(AH364&gt;0,Ruimtestaat[[#This Row],[Prest. (m2 /jaar) weekend]]/Ruimtestaat[[#This Row],[Norm (m2/uur) weekend]],0)</f>
        <v>0</v>
      </c>
      <c r="AK364" s="444">
        <f>Ruimtestaat[[#This Row],[uren / jaar weekend]]*Tariefsopbouw!$D$40</f>
        <v>0</v>
      </c>
      <c r="AL364" s="441">
        <f>Ruimtestaat[[#This Row],[Prest. (m2 /jaar) weekend]]+Ruimtestaat[[#This Row],[Prest. (m2 /jaar) werkdagen]]</f>
        <v>11200</v>
      </c>
      <c r="AM364" s="441">
        <f>Ruimtestaat[[#This Row],[uren / jaar weekend]]+Ruimtestaat[[#This Row],[uren / jaar werkdagen]]</f>
        <v>0</v>
      </c>
      <c r="AN364" s="446">
        <f>Ruimtestaat[[#This Row],[kosten / jaar weekend]]+Ruimtestaat[[#This Row],[kosten / jaar werkdagen]]</f>
        <v>0</v>
      </c>
      <c r="AO364" s="446"/>
      <c r="AP364" s="447" t="str">
        <f>IF(Ruimtestaat[[#This Row],[Frequentie werkdagen]]="","",_xlfn.CONCAT(Ruimtestaat[[#This Row],[Ruimte code]],"-",Ruimtestaat[[#This Row],[Frequentie werkdagen]]," ",Ruimtestaat[[#This Row],[Vloer code]]))</f>
        <v>16-5w L</v>
      </c>
      <c r="AQ364" s="448" t="str">
        <f>_xlfn.IFNA(VLOOKUP($AP364,Programma!$F$3:$G$1101,2,0),"")</f>
        <v>_</v>
      </c>
      <c r="AR364" s="448" t="str">
        <f>_xlfn.IFNA(VLOOKUP($AP364,Programma!$F$3:$H$1101,3,0),"")</f>
        <v>_</v>
      </c>
      <c r="AS364" s="448" t="str">
        <f>_xlfn.IFNA(VLOOKUP($AP364,Programma!$F$3:$I$1101,4,0),"")</f>
        <v>4w</v>
      </c>
      <c r="AT364" s="448" t="str">
        <f>_xlfn.IFNA(VLOOKUP($AP364,Programma!$F$3:$J$1101,5,0),"")</f>
        <v>1w</v>
      </c>
      <c r="AU364" s="448" t="str">
        <f>_xlfn.IFNA(VLOOKUP($AP364,Programma!$F$3:$K$1101,6,0),"")</f>
        <v>_</v>
      </c>
      <c r="AV364" s="448" t="str">
        <f>_xlfn.IFNA(VLOOKUP($AP364,Programma!$F$3:$L$1101,7,0),"")</f>
        <v>_</v>
      </c>
      <c r="AW364" s="448" t="str">
        <f>_xlfn.IFNA(VLOOKUP($AP364,Programma!$F$3:$M$1101,8,0),"")</f>
        <v>_</v>
      </c>
      <c r="AX364" s="448" t="str">
        <f>_xlfn.IFNA(VLOOKUP($AP364,Programma!$F$3:$N$1101,9,0),"")</f>
        <v>_</v>
      </c>
      <c r="AY364" s="448" t="str">
        <f>_xlfn.IFNA(VLOOKUP($AP364,Programma!$F$3:$O$1101,10,0),"")</f>
        <v>5w</v>
      </c>
      <c r="AZ364" s="448" t="str">
        <f>_xlfn.IFNA(VLOOKUP($AP364,Programma!$F$3:$P$1101,11,0),"")</f>
        <v>5w</v>
      </c>
      <c r="BA364" s="448" t="str">
        <f>_xlfn.IFNA(VLOOKUP($AP364,Programma!$F$3:$Q$1101,12,0),"")</f>
        <v>1w</v>
      </c>
      <c r="BB364" s="448" t="str">
        <f>_xlfn.IFNA(VLOOKUP($AP364,Programma!$F$3:$R$1101,13,0),"")</f>
        <v>1w</v>
      </c>
      <c r="BC364" s="448" t="str">
        <f>_xlfn.IFNA(VLOOKUP($AP364,Programma!$F$3:$S$1101,14,0),"")</f>
        <v>1m</v>
      </c>
      <c r="BD364" s="448" t="str">
        <f>_xlfn.IFNA(VLOOKUP($AP364,Programma!$F$3:$T$1101,15,0),"")</f>
        <v>2j</v>
      </c>
      <c r="BE364" s="448" t="str">
        <f>_xlfn.IFNA(VLOOKUP($AP364,Programma!$F$3:$U$1101,16,0),"")</f>
        <v>1j</v>
      </c>
      <c r="BF364" s="448" t="str">
        <f>_xlfn.IFNA(VLOOKUP($AP364,Programma!$F$3:$V$1101,17,0),"")</f>
        <v>_</v>
      </c>
      <c r="BG364" s="448" t="str">
        <f>_xlfn.IFNA(VLOOKUP($AP364,Programma!$F$3:$W$1101,18,0),"")</f>
        <v>_</v>
      </c>
      <c r="BH364" s="448" t="str">
        <f>_xlfn.IFNA(VLOOKUP($AP364,Programma!$F$3:$X$1101,19,0),"")</f>
        <v>_</v>
      </c>
      <c r="BI364" s="448" t="str">
        <f>_xlfn.IFNA(VLOOKUP($AP364,Programma!$F$3:$Y$1101,20,0),"")</f>
        <v>_</v>
      </c>
      <c r="BJ364" s="449"/>
      <c r="BK364" s="447" t="str">
        <f>IF(Ruimtestaat[[#This Row],[Frequentie weekend]]="","",_xlfn.CONCAT(Ruimtestaat[[#This Row],[Ruimte code]],"-",Ruimtestaat[[#This Row],[Frequentie weekend]]," ",Ruimtestaat[[#This Row],[Vloer code]]))</f>
        <v/>
      </c>
      <c r="BL364" s="448" t="str">
        <f>_xlfn.IFNA(VLOOKUP($BK364,Programma!$F$3:$G$1101,2,0),"")</f>
        <v/>
      </c>
      <c r="BM364" s="448" t="str">
        <f>_xlfn.IFNA(VLOOKUP($BK364,Programma!$F$3:$H$1101,3,0),"")</f>
        <v/>
      </c>
      <c r="BN364" s="448" t="str">
        <f>_xlfn.IFNA(VLOOKUP($BK364,Programma!$F$3:$I$1101,4,0),"")</f>
        <v/>
      </c>
      <c r="BO364" s="448" t="str">
        <f>_xlfn.IFNA(VLOOKUP($BK364,Programma!$F$3:$J$1101,5,0),"")</f>
        <v/>
      </c>
      <c r="BP364" s="448" t="str">
        <f>_xlfn.IFNA(VLOOKUP($BK364,Programma!$F$3:$K$1101,6,0),"")</f>
        <v/>
      </c>
      <c r="BQ364" s="448" t="str">
        <f>_xlfn.IFNA(VLOOKUP($BK364,Programma!$F$3:$L$1101,7,0),"")</f>
        <v/>
      </c>
      <c r="BR364" s="448" t="str">
        <f>_xlfn.IFNA(VLOOKUP($BK364,Programma!$F$3:$M$1101,8,0),"")</f>
        <v/>
      </c>
      <c r="BS364" s="448" t="str">
        <f>_xlfn.IFNA(VLOOKUP($BK364,Programma!$F$3:$N$1101,9,0),"")</f>
        <v/>
      </c>
      <c r="BT364" s="448" t="str">
        <f>_xlfn.IFNA(VLOOKUP($BK364,Programma!$F$3:$O$1101,10,0),"")</f>
        <v/>
      </c>
      <c r="BU364" s="448" t="str">
        <f>_xlfn.IFNA(VLOOKUP($BK364,Programma!$F$3:$P$1101,11,0),"")</f>
        <v/>
      </c>
      <c r="BV364" s="448" t="str">
        <f>_xlfn.IFNA(VLOOKUP($BK364,Programma!$F$3:$Q$1101,12,0),"")</f>
        <v/>
      </c>
      <c r="BW364" s="448" t="str">
        <f>_xlfn.IFNA(VLOOKUP($BK364,Programma!$F$3:$R$1101,13,0),"")</f>
        <v/>
      </c>
      <c r="BX364" s="448" t="str">
        <f>_xlfn.IFNA(VLOOKUP($BK364,Programma!$F$3:$S$1101,14,0),"")</f>
        <v/>
      </c>
      <c r="BY364" s="448" t="str">
        <f>_xlfn.IFNA(VLOOKUP($BK364,Programma!$F$3:$T$1101,15,0),"")</f>
        <v/>
      </c>
      <c r="BZ364" s="448" t="str">
        <f>_xlfn.IFNA(VLOOKUP($BK364,Programma!$F$3:$U$1101,16,0),"")</f>
        <v/>
      </c>
      <c r="CA364" s="448" t="str">
        <f>_xlfn.IFNA(VLOOKUP($BK364,Programma!$F$3:$V$1101,17,0),"")</f>
        <v/>
      </c>
      <c r="CB364" s="448" t="str">
        <f>_xlfn.IFNA(VLOOKUP($BK364,Programma!$F$3:$W$1101,18,0),"")</f>
        <v/>
      </c>
      <c r="CC364" s="448" t="str">
        <f>_xlfn.IFNA(VLOOKUP($BK364,Programma!$F$3:$X$1101,19,0),"")</f>
        <v/>
      </c>
      <c r="CD364" s="448" t="str">
        <f>_xlfn.IFNA(VLOOKUP($BK364,Programma!$F$3:$Y$1101,20,0),"")</f>
        <v/>
      </c>
      <c r="CE364" s="327"/>
      <c r="CF364" s="327"/>
      <c r="CG364" s="327"/>
      <c r="CH364" s="327"/>
      <c r="CI364" s="327"/>
      <c r="CJ364" s="327"/>
      <c r="CK364" s="327"/>
      <c r="CL364" s="327"/>
      <c r="CM364" s="327"/>
      <c r="CN364" s="327"/>
      <c r="CO364" s="327"/>
      <c r="CP364" s="327"/>
      <c r="CQ364" s="327"/>
      <c r="CR364" s="327"/>
      <c r="CS364" s="327"/>
      <c r="CT364" s="327"/>
      <c r="CU364" s="327"/>
      <c r="CV364" s="327"/>
      <c r="CW364" s="327"/>
      <c r="CX364" s="327"/>
      <c r="CY364" s="327"/>
      <c r="CZ364" s="327"/>
      <c r="DA364" s="327"/>
      <c r="DB364" s="327"/>
      <c r="DC364" s="327"/>
      <c r="DD364" s="327"/>
      <c r="DE364" s="327"/>
      <c r="DF364" s="327"/>
      <c r="DG364" s="327"/>
      <c r="DH364" s="327"/>
      <c r="DI364" s="327"/>
      <c r="DJ364" s="327"/>
      <c r="DK364" s="327"/>
      <c r="DL364" s="327"/>
      <c r="DM364" s="327"/>
      <c r="DN364" s="327"/>
      <c r="DO364" s="327"/>
      <c r="DP364" s="327"/>
      <c r="DQ364" s="327"/>
      <c r="DR364" s="327"/>
      <c r="DS364" s="327"/>
      <c r="DT364" s="327"/>
      <c r="DU364" s="327"/>
      <c r="DV364" s="327"/>
      <c r="DW364" s="327"/>
      <c r="DX364" s="327"/>
      <c r="DY364" s="327"/>
      <c r="DZ364" s="327"/>
      <c r="EA364" s="327"/>
      <c r="EB364" s="327"/>
      <c r="EC364" s="327"/>
      <c r="ED364" s="327"/>
      <c r="EE364" s="327"/>
      <c r="EF364" s="327"/>
      <c r="EG364" s="327"/>
      <c r="EH364" s="327"/>
      <c r="EI364" s="327"/>
      <c r="EJ364" s="327"/>
      <c r="EK364" s="327"/>
      <c r="EL364" s="327"/>
      <c r="EM364" s="327"/>
      <c r="EN364" s="327"/>
      <c r="EO364" s="327"/>
      <c r="EP364" s="327"/>
      <c r="EQ364" s="327"/>
      <c r="ER364" s="327"/>
      <c r="ES364" s="327"/>
      <c r="ET364" s="327"/>
      <c r="EU364" s="327"/>
      <c r="EV364" s="327"/>
      <c r="EW364" s="327"/>
      <c r="EX364" s="327"/>
      <c r="EY364" s="327"/>
      <c r="EZ364" s="327"/>
      <c r="FA364" s="327"/>
      <c r="FB364" s="327"/>
      <c r="FC364" s="327"/>
      <c r="FD364" s="327"/>
      <c r="FE364" s="327"/>
      <c r="FF364" s="327"/>
      <c r="FG364" s="327"/>
      <c r="FH364" s="327"/>
      <c r="FI364" s="327"/>
      <c r="FJ364" s="327"/>
      <c r="FK364" s="327"/>
      <c r="FL364" s="327"/>
      <c r="FM364" s="327"/>
      <c r="FN364" s="327"/>
      <c r="FO364" s="327"/>
      <c r="FP364" s="327"/>
      <c r="FQ364" s="327"/>
      <c r="FR364" s="327"/>
      <c r="FS364" s="327"/>
      <c r="FT364" s="327"/>
      <c r="FU364" s="327"/>
      <c r="FV364" s="327"/>
      <c r="FW364" s="327"/>
      <c r="FX364" s="327"/>
      <c r="FY364" s="327"/>
      <c r="FZ364" s="327"/>
      <c r="GA364" s="327"/>
      <c r="GB364" s="327"/>
      <c r="GC364" s="327"/>
      <c r="GD364" s="327"/>
      <c r="GE364" s="327"/>
      <c r="GF364" s="327"/>
      <c r="GG364" s="327"/>
      <c r="GH364" s="327"/>
      <c r="GI364" s="327"/>
      <c r="GJ364" s="327"/>
      <c r="GK364" s="327"/>
      <c r="GL364" s="327"/>
      <c r="GM364" s="327"/>
      <c r="GN364" s="327"/>
      <c r="GO364" s="327"/>
      <c r="GP364" s="327"/>
      <c r="GQ364" s="327"/>
      <c r="GR364" s="327"/>
      <c r="GS364" s="327"/>
      <c r="GT364" s="327"/>
      <c r="GU364" s="327"/>
      <c r="GV364" s="327"/>
      <c r="GW364" s="327"/>
      <c r="GX364" s="327"/>
      <c r="GY364" s="327"/>
      <c r="GZ364" s="327"/>
      <c r="HA364" s="327"/>
      <c r="HB364" s="327"/>
      <c r="HC364" s="327"/>
      <c r="HD364" s="327"/>
      <c r="HE364" s="327"/>
      <c r="HF364" s="327"/>
      <c r="HG364" s="327"/>
      <c r="HH364" s="327"/>
      <c r="HI364" s="327"/>
      <c r="HJ364" s="327"/>
      <c r="HK364" s="327"/>
      <c r="HL364" s="327"/>
      <c r="HM364" s="327"/>
      <c r="HN364" s="327"/>
      <c r="HO364" s="327"/>
      <c r="HP364" s="327"/>
      <c r="HQ364" s="327"/>
      <c r="HR364" s="327"/>
      <c r="HS364" s="327"/>
    </row>
    <row r="365" spans="1:227" ht="15" customHeight="1">
      <c r="A365" s="330">
        <v>15</v>
      </c>
      <c r="B365" s="435" t="str">
        <f>VLOOKUP(Ruimtestaat[[#This Row],[Code]],Locaties[[Code]:[Locatie]],2,FALSE)</f>
        <v>IKC  Da Vinci</v>
      </c>
      <c r="C365" s="435" t="str">
        <f>VLOOKUP(Ruimtestaat[[#This Row],[Code]],Locaties[[#All],[Code]:[Adres]],4,FALSE)</f>
        <v>Spitsbergen 17</v>
      </c>
      <c r="D365" s="435" t="str">
        <f>VLOOKUP(Ruimtestaat[[#This Row],[Code]],Locaties[[#All],[Code]:[Postcode]],5,FALSE)</f>
        <v>2721 GP</v>
      </c>
      <c r="E365" s="435" t="str">
        <f>VLOOKUP(Ruimtestaat[[#This Row],[Code]],Locaties[#All],6,FALSE)</f>
        <v>Zoetermeer</v>
      </c>
      <c r="F365" s="450"/>
      <c r="G365" s="330" t="s">
        <v>1769</v>
      </c>
      <c r="H365" s="330" t="s">
        <v>1713</v>
      </c>
      <c r="I365" s="450" t="s">
        <v>1690</v>
      </c>
      <c r="J365" s="330">
        <v>16</v>
      </c>
      <c r="K365" s="450" t="str">
        <f>VLOOKUP(Ruimtestaat[[#This Row],[Ruimte code]],Ruimtegroepen[[#All],[Code]:[Ruimte omschrijving]],2,FALSE)</f>
        <v>Leslokalen</v>
      </c>
      <c r="L365" s="434" t="s">
        <v>100</v>
      </c>
      <c r="M365" s="437" t="s">
        <v>1759</v>
      </c>
      <c r="N365" s="439">
        <v>56</v>
      </c>
      <c r="O365" s="439"/>
      <c r="P365" s="439"/>
      <c r="Q365" s="439"/>
      <c r="R365" s="440" t="str">
        <f>VLOOKUP(Ruimtestaat[[#This Row],[Ruimte code]],Ruimtegroepen[],4,FALSE)</f>
        <v>Le</v>
      </c>
      <c r="S365" s="434">
        <v>40</v>
      </c>
      <c r="T365" s="434" t="s">
        <v>2</v>
      </c>
      <c r="U365" s="434">
        <f>IF(S365&gt;0,IF(RIGHT(Ruimtestaat[[#This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5" s="434">
        <f>IF(U365&gt;0,VLOOKUP($J365,Ruimtegroepen[],3,FALSE)*VLOOKUP($L365,Vloersoorten[],3,FALSE)*VLOOKUP($T365,Frequenties[],3,FALSE)*VLOOKUP($A365,Locaties[],3,FALSE),0)</f>
        <v>0</v>
      </c>
      <c r="W365" s="434">
        <f>Ruimtestaat[[#This Row],[Uitvoeringen werkdagen]]*Ruimtestaat[[#This Row],[Oppervlak (netto)]]</f>
        <v>11200</v>
      </c>
      <c r="X365" s="441">
        <f>IF(V365&gt;0,Ruimtestaat[[#This Row],[Prest. (m2 /jaar) werkdagen]]/Ruimtestaat[[#This Row],[Norm (m2/uur) werkdagen]],0)</f>
        <v>0</v>
      </c>
      <c r="Y365" s="442">
        <f>Ruimtestaat[[#This Row],[Uitvoeringen werkdagen]]*Ruimtestaat[[#This Row],[Gedeeltelijk]]</f>
        <v>0</v>
      </c>
      <c r="Z365" s="443" t="e">
        <f>IF(U365&gt;0,Ruimtestaat[[#This Row],[Prest. (m2 / jaar) werkdagen gedeeld]]/Ruimtestaat[[#This Row],[Norm (m2/uur) werkdagen]],0)</f>
        <v>#DIV/0!</v>
      </c>
      <c r="AA365" s="441" t="e">
        <f>Ruimtestaat[[#This Row],[uren / jaar werkdagen gedeeld]]*Tariefsopbouw!$E$35</f>
        <v>#DIV/0!</v>
      </c>
      <c r="AB365" s="441">
        <f>Ruimtestaat[[#This Row],[Uitvoeringen werkdagen]]*Ruimtestaat[[#This Row],[BSO]]</f>
        <v>0</v>
      </c>
      <c r="AC365" s="443" t="e">
        <f>IF(U365&gt;0,Ruimtestaat[[#This Row],[Prest. (m2 / jaar) werkdagen BSO]]/Ruimtestaat[[#This Row],[Norm (m2/uur) werkdagen]],0)</f>
        <v>#DIV/0!</v>
      </c>
      <c r="AD365" s="443" t="e">
        <f>Ruimtestaat[[#This Row],[uren / jaar werkdagen BSO]]*Tariefsopbouw!$E$35</f>
        <v>#DIV/0!</v>
      </c>
      <c r="AE365" s="444">
        <f>Ruimtestaat[[#This Row],[uren / jaar werkdagen]]*Tariefsopbouw!$E$35</f>
        <v>0</v>
      </c>
      <c r="AF365" s="434"/>
      <c r="AG365" s="434">
        <f>IF(Ruimtestaat[[#This Row],[Frequentie weekend]]&gt;0,VALUE(LEFT(AF365,1))*S365,0)</f>
        <v>0</v>
      </c>
      <c r="AH365" s="445">
        <f>IF($AG365&gt;0,VLOOKUP($J365,Ruimtegroepen[],3,FALSE)*VLOOKUP($L365,Vloersoorten[],3,FALSE)*VLOOKUP($AF365,Frequenties[],3,FALSE)*VLOOKUP(Ruimtestaat[[#This Row],[Code]],Locaties[],3,FALSE),0)</f>
        <v>0</v>
      </c>
      <c r="AI365" s="445">
        <f>Ruimtestaat[[#This Row],[Uitvoeringen weekend]]*Ruimtestaat[[#This Row],[Oppervlak (netto)]]</f>
        <v>0</v>
      </c>
      <c r="AJ365" s="445">
        <f>IF(AH365&gt;0,Ruimtestaat[[#This Row],[Prest. (m2 /jaar) weekend]]/Ruimtestaat[[#This Row],[Norm (m2/uur) weekend]],0)</f>
        <v>0</v>
      </c>
      <c r="AK365" s="444">
        <f>Ruimtestaat[[#This Row],[uren / jaar weekend]]*Tariefsopbouw!$D$40</f>
        <v>0</v>
      </c>
      <c r="AL365" s="441">
        <f>Ruimtestaat[[#This Row],[Prest. (m2 /jaar) weekend]]+Ruimtestaat[[#This Row],[Prest. (m2 /jaar) werkdagen]]</f>
        <v>11200</v>
      </c>
      <c r="AM365" s="441">
        <f>Ruimtestaat[[#This Row],[uren / jaar weekend]]+Ruimtestaat[[#This Row],[uren / jaar werkdagen]]</f>
        <v>0</v>
      </c>
      <c r="AN365" s="446">
        <f>Ruimtestaat[[#This Row],[kosten / jaar weekend]]+Ruimtestaat[[#This Row],[kosten / jaar werkdagen]]</f>
        <v>0</v>
      </c>
      <c r="AO365" s="446"/>
      <c r="AP365" s="447" t="str">
        <f>IF(Ruimtestaat[[#This Row],[Frequentie werkdagen]]="","",_xlfn.CONCAT(Ruimtestaat[[#This Row],[Ruimte code]],"-",Ruimtestaat[[#This Row],[Frequentie werkdagen]]," ",Ruimtestaat[[#This Row],[Vloer code]]))</f>
        <v>16-5w L</v>
      </c>
      <c r="AQ365" s="448" t="str">
        <f>_xlfn.IFNA(VLOOKUP($AP365,Programma!$F$3:$G$1101,2,0),"")</f>
        <v>_</v>
      </c>
      <c r="AR365" s="448" t="str">
        <f>_xlfn.IFNA(VLOOKUP($AP365,Programma!$F$3:$H$1101,3,0),"")</f>
        <v>_</v>
      </c>
      <c r="AS365" s="448" t="str">
        <f>_xlfn.IFNA(VLOOKUP($AP365,Programma!$F$3:$I$1101,4,0),"")</f>
        <v>4w</v>
      </c>
      <c r="AT365" s="448" t="str">
        <f>_xlfn.IFNA(VLOOKUP($AP365,Programma!$F$3:$J$1101,5,0),"")</f>
        <v>1w</v>
      </c>
      <c r="AU365" s="448" t="str">
        <f>_xlfn.IFNA(VLOOKUP($AP365,Programma!$F$3:$K$1101,6,0),"")</f>
        <v>_</v>
      </c>
      <c r="AV365" s="448" t="str">
        <f>_xlfn.IFNA(VLOOKUP($AP365,Programma!$F$3:$L$1101,7,0),"")</f>
        <v>_</v>
      </c>
      <c r="AW365" s="448" t="str">
        <f>_xlfn.IFNA(VLOOKUP($AP365,Programma!$F$3:$M$1101,8,0),"")</f>
        <v>_</v>
      </c>
      <c r="AX365" s="448" t="str">
        <f>_xlfn.IFNA(VLOOKUP($AP365,Programma!$F$3:$N$1101,9,0),"")</f>
        <v>_</v>
      </c>
      <c r="AY365" s="448" t="str">
        <f>_xlfn.IFNA(VLOOKUP($AP365,Programma!$F$3:$O$1101,10,0),"")</f>
        <v>5w</v>
      </c>
      <c r="AZ365" s="448" t="str">
        <f>_xlfn.IFNA(VLOOKUP($AP365,Programma!$F$3:$P$1101,11,0),"")</f>
        <v>5w</v>
      </c>
      <c r="BA365" s="448" t="str">
        <f>_xlfn.IFNA(VLOOKUP($AP365,Programma!$F$3:$Q$1101,12,0),"")</f>
        <v>1w</v>
      </c>
      <c r="BB365" s="448" t="str">
        <f>_xlfn.IFNA(VLOOKUP($AP365,Programma!$F$3:$R$1101,13,0),"")</f>
        <v>1w</v>
      </c>
      <c r="BC365" s="448" t="str">
        <f>_xlfn.IFNA(VLOOKUP($AP365,Programma!$F$3:$S$1101,14,0),"")</f>
        <v>1m</v>
      </c>
      <c r="BD365" s="448" t="str">
        <f>_xlfn.IFNA(VLOOKUP($AP365,Programma!$F$3:$T$1101,15,0),"")</f>
        <v>2j</v>
      </c>
      <c r="BE365" s="448" t="str">
        <f>_xlfn.IFNA(VLOOKUP($AP365,Programma!$F$3:$U$1101,16,0),"")</f>
        <v>1j</v>
      </c>
      <c r="BF365" s="448" t="str">
        <f>_xlfn.IFNA(VLOOKUP($AP365,Programma!$F$3:$V$1101,17,0),"")</f>
        <v>_</v>
      </c>
      <c r="BG365" s="448" t="str">
        <f>_xlfn.IFNA(VLOOKUP($AP365,Programma!$F$3:$W$1101,18,0),"")</f>
        <v>_</v>
      </c>
      <c r="BH365" s="448" t="str">
        <f>_xlfn.IFNA(VLOOKUP($AP365,Programma!$F$3:$X$1101,19,0),"")</f>
        <v>_</v>
      </c>
      <c r="BI365" s="448" t="str">
        <f>_xlfn.IFNA(VLOOKUP($AP365,Programma!$F$3:$Y$1101,20,0),"")</f>
        <v>_</v>
      </c>
      <c r="BJ365" s="449"/>
      <c r="BK365" s="447" t="str">
        <f>IF(Ruimtestaat[[#This Row],[Frequentie weekend]]="","",_xlfn.CONCAT(Ruimtestaat[[#This Row],[Ruimte code]],"-",Ruimtestaat[[#This Row],[Frequentie weekend]]," ",Ruimtestaat[[#This Row],[Vloer code]]))</f>
        <v/>
      </c>
      <c r="BL365" s="448" t="str">
        <f>_xlfn.IFNA(VLOOKUP($BK365,Programma!$F$3:$G$1101,2,0),"")</f>
        <v/>
      </c>
      <c r="BM365" s="448" t="str">
        <f>_xlfn.IFNA(VLOOKUP($BK365,Programma!$F$3:$H$1101,3,0),"")</f>
        <v/>
      </c>
      <c r="BN365" s="448" t="str">
        <f>_xlfn.IFNA(VLOOKUP($BK365,Programma!$F$3:$I$1101,4,0),"")</f>
        <v/>
      </c>
      <c r="BO365" s="448" t="str">
        <f>_xlfn.IFNA(VLOOKUP($BK365,Programma!$F$3:$J$1101,5,0),"")</f>
        <v/>
      </c>
      <c r="BP365" s="448" t="str">
        <f>_xlfn.IFNA(VLOOKUP($BK365,Programma!$F$3:$K$1101,6,0),"")</f>
        <v/>
      </c>
      <c r="BQ365" s="448" t="str">
        <f>_xlfn.IFNA(VLOOKUP($BK365,Programma!$F$3:$L$1101,7,0),"")</f>
        <v/>
      </c>
      <c r="BR365" s="448" t="str">
        <f>_xlfn.IFNA(VLOOKUP($BK365,Programma!$F$3:$M$1101,8,0),"")</f>
        <v/>
      </c>
      <c r="BS365" s="448" t="str">
        <f>_xlfn.IFNA(VLOOKUP($BK365,Programma!$F$3:$N$1101,9,0),"")</f>
        <v/>
      </c>
      <c r="BT365" s="448" t="str">
        <f>_xlfn.IFNA(VLOOKUP($BK365,Programma!$F$3:$O$1101,10,0),"")</f>
        <v/>
      </c>
      <c r="BU365" s="448" t="str">
        <f>_xlfn.IFNA(VLOOKUP($BK365,Programma!$F$3:$P$1101,11,0),"")</f>
        <v/>
      </c>
      <c r="BV365" s="448" t="str">
        <f>_xlfn.IFNA(VLOOKUP($BK365,Programma!$F$3:$Q$1101,12,0),"")</f>
        <v/>
      </c>
      <c r="BW365" s="448" t="str">
        <f>_xlfn.IFNA(VLOOKUP($BK365,Programma!$F$3:$R$1101,13,0),"")</f>
        <v/>
      </c>
      <c r="BX365" s="448" t="str">
        <f>_xlfn.IFNA(VLOOKUP($BK365,Programma!$F$3:$S$1101,14,0),"")</f>
        <v/>
      </c>
      <c r="BY365" s="448" t="str">
        <f>_xlfn.IFNA(VLOOKUP($BK365,Programma!$F$3:$T$1101,15,0),"")</f>
        <v/>
      </c>
      <c r="BZ365" s="448" t="str">
        <f>_xlfn.IFNA(VLOOKUP($BK365,Programma!$F$3:$U$1101,16,0),"")</f>
        <v/>
      </c>
      <c r="CA365" s="448" t="str">
        <f>_xlfn.IFNA(VLOOKUP($BK365,Programma!$F$3:$V$1101,17,0),"")</f>
        <v/>
      </c>
      <c r="CB365" s="448" t="str">
        <f>_xlfn.IFNA(VLOOKUP($BK365,Programma!$F$3:$W$1101,18,0),"")</f>
        <v/>
      </c>
      <c r="CC365" s="448" t="str">
        <f>_xlfn.IFNA(VLOOKUP($BK365,Programma!$F$3:$X$1101,19,0),"")</f>
        <v/>
      </c>
      <c r="CD365" s="448" t="str">
        <f>_xlfn.IFNA(VLOOKUP($BK365,Programma!$F$3:$Y$1101,20,0),"")</f>
        <v/>
      </c>
      <c r="CE365" s="327"/>
      <c r="CF365" s="327"/>
      <c r="CG365" s="327"/>
      <c r="CH365" s="327"/>
      <c r="CI365" s="327"/>
      <c r="CJ365" s="327"/>
      <c r="CK365" s="327"/>
      <c r="CL365" s="327"/>
      <c r="CM365" s="327"/>
      <c r="CN365" s="327"/>
      <c r="CO365" s="327"/>
      <c r="CP365" s="327"/>
      <c r="CQ365" s="327"/>
      <c r="CR365" s="327"/>
      <c r="CS365" s="327"/>
      <c r="CT365" s="327"/>
      <c r="CU365" s="327"/>
      <c r="CV365" s="327"/>
      <c r="CW365" s="327"/>
      <c r="CX365" s="327"/>
      <c r="CY365" s="327"/>
      <c r="CZ365" s="327"/>
      <c r="DA365" s="327"/>
      <c r="DB365" s="327"/>
      <c r="DC365" s="327"/>
      <c r="DD365" s="327"/>
      <c r="DE365" s="327"/>
      <c r="DF365" s="327"/>
      <c r="DG365" s="327"/>
      <c r="DH365" s="327"/>
      <c r="DI365" s="327"/>
      <c r="DJ365" s="327"/>
      <c r="DK365" s="327"/>
      <c r="DL365" s="327"/>
      <c r="DM365" s="327"/>
      <c r="DN365" s="327"/>
      <c r="DO365" s="327"/>
      <c r="DP365" s="327"/>
      <c r="DQ365" s="327"/>
      <c r="DR365" s="327"/>
      <c r="DS365" s="327"/>
      <c r="DT365" s="327"/>
      <c r="DU365" s="327"/>
      <c r="DV365" s="327"/>
      <c r="DW365" s="327"/>
      <c r="DX365" s="327"/>
      <c r="DY365" s="327"/>
      <c r="DZ365" s="327"/>
      <c r="EA365" s="327"/>
      <c r="EB365" s="327"/>
      <c r="EC365" s="327"/>
      <c r="ED365" s="327"/>
      <c r="EE365" s="327"/>
      <c r="EF365" s="327"/>
      <c r="EG365" s="327"/>
      <c r="EH365" s="327"/>
      <c r="EI365" s="327"/>
      <c r="EJ365" s="327"/>
      <c r="EK365" s="327"/>
      <c r="EL365" s="327"/>
      <c r="EM365" s="327"/>
      <c r="EN365" s="327"/>
      <c r="EO365" s="327"/>
      <c r="EP365" s="327"/>
      <c r="EQ365" s="327"/>
      <c r="ER365" s="327"/>
      <c r="ES365" s="327"/>
      <c r="ET365" s="327"/>
      <c r="EU365" s="327"/>
      <c r="EV365" s="327"/>
      <c r="EW365" s="327"/>
      <c r="EX365" s="327"/>
      <c r="EY365" s="327"/>
      <c r="EZ365" s="327"/>
      <c r="FA365" s="327"/>
      <c r="FB365" s="327"/>
      <c r="FC365" s="327"/>
      <c r="FD365" s="327"/>
      <c r="FE365" s="327"/>
      <c r="FF365" s="327"/>
      <c r="FG365" s="327"/>
      <c r="FH365" s="327"/>
      <c r="FI365" s="327"/>
      <c r="FJ365" s="327"/>
      <c r="FK365" s="327"/>
      <c r="FL365" s="327"/>
      <c r="FM365" s="327"/>
      <c r="FN365" s="327"/>
      <c r="FO365" s="327"/>
      <c r="FP365" s="327"/>
      <c r="FQ365" s="327"/>
      <c r="FR365" s="327"/>
      <c r="FS365" s="327"/>
      <c r="FT365" s="327"/>
      <c r="FU365" s="327"/>
      <c r="FV365" s="327"/>
      <c r="FW365" s="327"/>
      <c r="FX365" s="327"/>
      <c r="FY365" s="327"/>
      <c r="FZ365" s="327"/>
      <c r="GA365" s="327"/>
      <c r="GB365" s="327"/>
      <c r="GC365" s="327"/>
      <c r="GD365" s="327"/>
      <c r="GE365" s="327"/>
      <c r="GF365" s="327"/>
      <c r="GG365" s="327"/>
      <c r="GH365" s="327"/>
      <c r="GI365" s="327"/>
      <c r="GJ365" s="327"/>
      <c r="GK365" s="327"/>
      <c r="GL365" s="327"/>
      <c r="GM365" s="327"/>
      <c r="GN365" s="327"/>
      <c r="GO365" s="327"/>
      <c r="GP365" s="327"/>
      <c r="GQ365" s="327"/>
      <c r="GR365" s="327"/>
      <c r="GS365" s="327"/>
      <c r="GT365" s="327"/>
      <c r="GU365" s="327"/>
      <c r="GV365" s="327"/>
      <c r="GW365" s="327"/>
      <c r="GX365" s="327"/>
      <c r="GY365" s="327"/>
      <c r="GZ365" s="327"/>
      <c r="HA365" s="327"/>
      <c r="HB365" s="327"/>
      <c r="HC365" s="327"/>
      <c r="HD365" s="327"/>
      <c r="HE365" s="327"/>
      <c r="HF365" s="327"/>
      <c r="HG365" s="327"/>
      <c r="HH365" s="327"/>
      <c r="HI365" s="327"/>
      <c r="HJ365" s="327"/>
      <c r="HK365" s="327"/>
      <c r="HL365" s="327"/>
      <c r="HM365" s="327"/>
      <c r="HN365" s="327"/>
      <c r="HO365" s="327"/>
      <c r="HP365" s="327"/>
      <c r="HQ365" s="327"/>
      <c r="HR365" s="327"/>
      <c r="HS365" s="327"/>
    </row>
    <row r="366" spans="1:227" ht="15" customHeight="1">
      <c r="A366" s="330">
        <v>15</v>
      </c>
      <c r="B366" s="435" t="str">
        <f>VLOOKUP(Ruimtestaat[[#This Row],[Code]],Locaties[[Code]:[Locatie]],2,FALSE)</f>
        <v>IKC  Da Vinci</v>
      </c>
      <c r="C366" s="435" t="str">
        <f>VLOOKUP(Ruimtestaat[[#This Row],[Code]],Locaties[[#All],[Code]:[Adres]],4,FALSE)</f>
        <v>Spitsbergen 17</v>
      </c>
      <c r="D366" s="435" t="str">
        <f>VLOOKUP(Ruimtestaat[[#This Row],[Code]],Locaties[[#All],[Code]:[Postcode]],5,FALSE)</f>
        <v>2721 GP</v>
      </c>
      <c r="E366" s="435" t="str">
        <f>VLOOKUP(Ruimtestaat[[#This Row],[Code]],Locaties[#All],6,FALSE)</f>
        <v>Zoetermeer</v>
      </c>
      <c r="F366" s="450"/>
      <c r="G366" s="330" t="s">
        <v>1769</v>
      </c>
      <c r="H366" s="330" t="s">
        <v>1715</v>
      </c>
      <c r="I366" s="450" t="s">
        <v>1690</v>
      </c>
      <c r="J366" s="330">
        <v>16</v>
      </c>
      <c r="K366" s="450" t="str">
        <f>VLOOKUP(Ruimtestaat[[#This Row],[Ruimte code]],Ruimtegroepen[[#All],[Code]:[Ruimte omschrijving]],2,FALSE)</f>
        <v>Leslokalen</v>
      </c>
      <c r="L366" s="434" t="s">
        <v>100</v>
      </c>
      <c r="M366" s="437" t="s">
        <v>1759</v>
      </c>
      <c r="N366" s="439">
        <v>53</v>
      </c>
      <c r="O366" s="439"/>
      <c r="P366" s="439"/>
      <c r="Q366" s="439"/>
      <c r="R366" s="440" t="str">
        <f>VLOOKUP(Ruimtestaat[[#This Row],[Ruimte code]],Ruimtegroepen[],4,FALSE)</f>
        <v>Le</v>
      </c>
      <c r="S366" s="434">
        <v>40</v>
      </c>
      <c r="T366" s="434" t="s">
        <v>2</v>
      </c>
      <c r="U366" s="434">
        <f>IF(S366&gt;0,IF(RIGHT(Ruimtestaat[[#This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6" s="434">
        <f>IF(U366&gt;0,VLOOKUP($J366,Ruimtegroepen[],3,FALSE)*VLOOKUP($L366,Vloersoorten[],3,FALSE)*VLOOKUP($T366,Frequenties[],3,FALSE)*VLOOKUP($A366,Locaties[],3,FALSE),0)</f>
        <v>0</v>
      </c>
      <c r="W366" s="434">
        <f>Ruimtestaat[[#This Row],[Uitvoeringen werkdagen]]*Ruimtestaat[[#This Row],[Oppervlak (netto)]]</f>
        <v>10600</v>
      </c>
      <c r="X366" s="441">
        <f>IF(V366&gt;0,Ruimtestaat[[#This Row],[Prest. (m2 /jaar) werkdagen]]/Ruimtestaat[[#This Row],[Norm (m2/uur) werkdagen]],0)</f>
        <v>0</v>
      </c>
      <c r="Y366" s="442">
        <f>Ruimtestaat[[#This Row],[Uitvoeringen werkdagen]]*Ruimtestaat[[#This Row],[Gedeeltelijk]]</f>
        <v>0</v>
      </c>
      <c r="Z366" s="443" t="e">
        <f>IF(U366&gt;0,Ruimtestaat[[#This Row],[Prest. (m2 / jaar) werkdagen gedeeld]]/Ruimtestaat[[#This Row],[Norm (m2/uur) werkdagen]],0)</f>
        <v>#DIV/0!</v>
      </c>
      <c r="AA366" s="441" t="e">
        <f>Ruimtestaat[[#This Row],[uren / jaar werkdagen gedeeld]]*Tariefsopbouw!$E$35</f>
        <v>#DIV/0!</v>
      </c>
      <c r="AB366" s="441">
        <f>Ruimtestaat[[#This Row],[Uitvoeringen werkdagen]]*Ruimtestaat[[#This Row],[BSO]]</f>
        <v>0</v>
      </c>
      <c r="AC366" s="443" t="e">
        <f>IF(U366&gt;0,Ruimtestaat[[#This Row],[Prest. (m2 / jaar) werkdagen BSO]]/Ruimtestaat[[#This Row],[Norm (m2/uur) werkdagen]],0)</f>
        <v>#DIV/0!</v>
      </c>
      <c r="AD366" s="443" t="e">
        <f>Ruimtestaat[[#This Row],[uren / jaar werkdagen BSO]]*Tariefsopbouw!$E$35</f>
        <v>#DIV/0!</v>
      </c>
      <c r="AE366" s="444">
        <f>Ruimtestaat[[#This Row],[uren / jaar werkdagen]]*Tariefsopbouw!$E$35</f>
        <v>0</v>
      </c>
      <c r="AF366" s="434"/>
      <c r="AG366" s="434">
        <f>IF(Ruimtestaat[[#This Row],[Frequentie weekend]]&gt;0,VALUE(LEFT(AF366,1))*S366,0)</f>
        <v>0</v>
      </c>
      <c r="AH366" s="445">
        <f>IF($AG366&gt;0,VLOOKUP($J366,Ruimtegroepen[],3,FALSE)*VLOOKUP($L366,Vloersoorten[],3,FALSE)*VLOOKUP($AF366,Frequenties[],3,FALSE)*VLOOKUP(Ruimtestaat[[#This Row],[Code]],Locaties[],3,FALSE),0)</f>
        <v>0</v>
      </c>
      <c r="AI366" s="445">
        <f>Ruimtestaat[[#This Row],[Uitvoeringen weekend]]*Ruimtestaat[[#This Row],[Oppervlak (netto)]]</f>
        <v>0</v>
      </c>
      <c r="AJ366" s="445">
        <f>IF(AH366&gt;0,Ruimtestaat[[#This Row],[Prest. (m2 /jaar) weekend]]/Ruimtestaat[[#This Row],[Norm (m2/uur) weekend]],0)</f>
        <v>0</v>
      </c>
      <c r="AK366" s="444">
        <f>Ruimtestaat[[#This Row],[uren / jaar weekend]]*Tariefsopbouw!$D$40</f>
        <v>0</v>
      </c>
      <c r="AL366" s="441">
        <f>Ruimtestaat[[#This Row],[Prest. (m2 /jaar) weekend]]+Ruimtestaat[[#This Row],[Prest. (m2 /jaar) werkdagen]]</f>
        <v>10600</v>
      </c>
      <c r="AM366" s="441">
        <f>Ruimtestaat[[#This Row],[uren / jaar weekend]]+Ruimtestaat[[#This Row],[uren / jaar werkdagen]]</f>
        <v>0</v>
      </c>
      <c r="AN366" s="446">
        <f>Ruimtestaat[[#This Row],[kosten / jaar weekend]]+Ruimtestaat[[#This Row],[kosten / jaar werkdagen]]</f>
        <v>0</v>
      </c>
      <c r="AO366" s="446"/>
      <c r="AP366" s="447" t="str">
        <f>IF(Ruimtestaat[[#This Row],[Frequentie werkdagen]]="","",_xlfn.CONCAT(Ruimtestaat[[#This Row],[Ruimte code]],"-",Ruimtestaat[[#This Row],[Frequentie werkdagen]]," ",Ruimtestaat[[#This Row],[Vloer code]]))</f>
        <v>16-5w L</v>
      </c>
      <c r="AQ366" s="448" t="str">
        <f>_xlfn.IFNA(VLOOKUP($AP366,Programma!$F$3:$G$1101,2,0),"")</f>
        <v>_</v>
      </c>
      <c r="AR366" s="448" t="str">
        <f>_xlfn.IFNA(VLOOKUP($AP366,Programma!$F$3:$H$1101,3,0),"")</f>
        <v>_</v>
      </c>
      <c r="AS366" s="448" t="str">
        <f>_xlfn.IFNA(VLOOKUP($AP366,Programma!$F$3:$I$1101,4,0),"")</f>
        <v>4w</v>
      </c>
      <c r="AT366" s="448" t="str">
        <f>_xlfn.IFNA(VLOOKUP($AP366,Programma!$F$3:$J$1101,5,0),"")</f>
        <v>1w</v>
      </c>
      <c r="AU366" s="448" t="str">
        <f>_xlfn.IFNA(VLOOKUP($AP366,Programma!$F$3:$K$1101,6,0),"")</f>
        <v>_</v>
      </c>
      <c r="AV366" s="448" t="str">
        <f>_xlfn.IFNA(VLOOKUP($AP366,Programma!$F$3:$L$1101,7,0),"")</f>
        <v>_</v>
      </c>
      <c r="AW366" s="448" t="str">
        <f>_xlfn.IFNA(VLOOKUP($AP366,Programma!$F$3:$M$1101,8,0),"")</f>
        <v>_</v>
      </c>
      <c r="AX366" s="448" t="str">
        <f>_xlfn.IFNA(VLOOKUP($AP366,Programma!$F$3:$N$1101,9,0),"")</f>
        <v>_</v>
      </c>
      <c r="AY366" s="448" t="str">
        <f>_xlfn.IFNA(VLOOKUP($AP366,Programma!$F$3:$O$1101,10,0),"")</f>
        <v>5w</v>
      </c>
      <c r="AZ366" s="448" t="str">
        <f>_xlfn.IFNA(VLOOKUP($AP366,Programma!$F$3:$P$1101,11,0),"")</f>
        <v>5w</v>
      </c>
      <c r="BA366" s="448" t="str">
        <f>_xlfn.IFNA(VLOOKUP($AP366,Programma!$F$3:$Q$1101,12,0),"")</f>
        <v>1w</v>
      </c>
      <c r="BB366" s="448" t="str">
        <f>_xlfn.IFNA(VLOOKUP($AP366,Programma!$F$3:$R$1101,13,0),"")</f>
        <v>1w</v>
      </c>
      <c r="BC366" s="448" t="str">
        <f>_xlfn.IFNA(VLOOKUP($AP366,Programma!$F$3:$S$1101,14,0),"")</f>
        <v>1m</v>
      </c>
      <c r="BD366" s="448" t="str">
        <f>_xlfn.IFNA(VLOOKUP($AP366,Programma!$F$3:$T$1101,15,0),"")</f>
        <v>2j</v>
      </c>
      <c r="BE366" s="448" t="str">
        <f>_xlfn.IFNA(VLOOKUP($AP366,Programma!$F$3:$U$1101,16,0),"")</f>
        <v>1j</v>
      </c>
      <c r="BF366" s="448" t="str">
        <f>_xlfn.IFNA(VLOOKUP($AP366,Programma!$F$3:$V$1101,17,0),"")</f>
        <v>_</v>
      </c>
      <c r="BG366" s="448" t="str">
        <f>_xlfn.IFNA(VLOOKUP($AP366,Programma!$F$3:$W$1101,18,0),"")</f>
        <v>_</v>
      </c>
      <c r="BH366" s="448" t="str">
        <f>_xlfn.IFNA(VLOOKUP($AP366,Programma!$F$3:$X$1101,19,0),"")</f>
        <v>_</v>
      </c>
      <c r="BI366" s="448" t="str">
        <f>_xlfn.IFNA(VLOOKUP($AP366,Programma!$F$3:$Y$1101,20,0),"")</f>
        <v>_</v>
      </c>
      <c r="BJ366" s="449"/>
      <c r="BK366" s="447" t="str">
        <f>IF(Ruimtestaat[[#This Row],[Frequentie weekend]]="","",_xlfn.CONCAT(Ruimtestaat[[#This Row],[Ruimte code]],"-",Ruimtestaat[[#This Row],[Frequentie weekend]]," ",Ruimtestaat[[#This Row],[Vloer code]]))</f>
        <v/>
      </c>
      <c r="BL366" s="448" t="str">
        <f>_xlfn.IFNA(VLOOKUP($BK366,Programma!$F$3:$G$1101,2,0),"")</f>
        <v/>
      </c>
      <c r="BM366" s="448" t="str">
        <f>_xlfn.IFNA(VLOOKUP($BK366,Programma!$F$3:$H$1101,3,0),"")</f>
        <v/>
      </c>
      <c r="BN366" s="448" t="str">
        <f>_xlfn.IFNA(VLOOKUP($BK366,Programma!$F$3:$I$1101,4,0),"")</f>
        <v/>
      </c>
      <c r="BO366" s="448" t="str">
        <f>_xlfn.IFNA(VLOOKUP($BK366,Programma!$F$3:$J$1101,5,0),"")</f>
        <v/>
      </c>
      <c r="BP366" s="448" t="str">
        <f>_xlfn.IFNA(VLOOKUP($BK366,Programma!$F$3:$K$1101,6,0),"")</f>
        <v/>
      </c>
      <c r="BQ366" s="448" t="str">
        <f>_xlfn.IFNA(VLOOKUP($BK366,Programma!$F$3:$L$1101,7,0),"")</f>
        <v/>
      </c>
      <c r="BR366" s="448" t="str">
        <f>_xlfn.IFNA(VLOOKUP($BK366,Programma!$F$3:$M$1101,8,0),"")</f>
        <v/>
      </c>
      <c r="BS366" s="448" t="str">
        <f>_xlfn.IFNA(VLOOKUP($BK366,Programma!$F$3:$N$1101,9,0),"")</f>
        <v/>
      </c>
      <c r="BT366" s="448" t="str">
        <f>_xlfn.IFNA(VLOOKUP($BK366,Programma!$F$3:$O$1101,10,0),"")</f>
        <v/>
      </c>
      <c r="BU366" s="448" t="str">
        <f>_xlfn.IFNA(VLOOKUP($BK366,Programma!$F$3:$P$1101,11,0),"")</f>
        <v/>
      </c>
      <c r="BV366" s="448" t="str">
        <f>_xlfn.IFNA(VLOOKUP($BK366,Programma!$F$3:$Q$1101,12,0),"")</f>
        <v/>
      </c>
      <c r="BW366" s="448" t="str">
        <f>_xlfn.IFNA(VLOOKUP($BK366,Programma!$F$3:$R$1101,13,0),"")</f>
        <v/>
      </c>
      <c r="BX366" s="448" t="str">
        <f>_xlfn.IFNA(VLOOKUP($BK366,Programma!$F$3:$S$1101,14,0),"")</f>
        <v/>
      </c>
      <c r="BY366" s="448" t="str">
        <f>_xlfn.IFNA(VLOOKUP($BK366,Programma!$F$3:$T$1101,15,0),"")</f>
        <v/>
      </c>
      <c r="BZ366" s="448" t="str">
        <f>_xlfn.IFNA(VLOOKUP($BK366,Programma!$F$3:$U$1101,16,0),"")</f>
        <v/>
      </c>
      <c r="CA366" s="448" t="str">
        <f>_xlfn.IFNA(VLOOKUP($BK366,Programma!$F$3:$V$1101,17,0),"")</f>
        <v/>
      </c>
      <c r="CB366" s="448" t="str">
        <f>_xlfn.IFNA(VLOOKUP($BK366,Programma!$F$3:$W$1101,18,0),"")</f>
        <v/>
      </c>
      <c r="CC366" s="448" t="str">
        <f>_xlfn.IFNA(VLOOKUP($BK366,Programma!$F$3:$X$1101,19,0),"")</f>
        <v/>
      </c>
      <c r="CD366" s="448" t="str">
        <f>_xlfn.IFNA(VLOOKUP($BK366,Programma!$F$3:$Y$1101,20,0),"")</f>
        <v/>
      </c>
      <c r="CE366" s="327"/>
      <c r="CF366" s="327"/>
      <c r="CG366" s="327"/>
      <c r="CH366" s="327"/>
      <c r="CI366" s="327"/>
      <c r="CJ366" s="327"/>
      <c r="CK366" s="327"/>
      <c r="CL366" s="327"/>
      <c r="CM366" s="327"/>
      <c r="CN366" s="327"/>
      <c r="CO366" s="327"/>
      <c r="CP366" s="327"/>
      <c r="CQ366" s="327"/>
      <c r="CR366" s="327"/>
      <c r="CS366" s="327"/>
      <c r="CT366" s="327"/>
      <c r="CU366" s="327"/>
      <c r="CV366" s="327"/>
      <c r="CW366" s="327"/>
      <c r="CX366" s="327"/>
      <c r="CY366" s="327"/>
      <c r="CZ366" s="327"/>
      <c r="DA366" s="327"/>
      <c r="DB366" s="327"/>
      <c r="DC366" s="327"/>
      <c r="DD366" s="327"/>
      <c r="DE366" s="327"/>
      <c r="DF366" s="327"/>
      <c r="DG366" s="327"/>
      <c r="DH366" s="327"/>
      <c r="DI366" s="327"/>
      <c r="DJ366" s="327"/>
      <c r="DK366" s="327"/>
      <c r="DL366" s="327"/>
      <c r="DM366" s="327"/>
      <c r="DN366" s="327"/>
      <c r="DO366" s="327"/>
      <c r="DP366" s="327"/>
      <c r="DQ366" s="327"/>
      <c r="DR366" s="327"/>
      <c r="DS366" s="327"/>
      <c r="DT366" s="327"/>
      <c r="DU366" s="327"/>
      <c r="DV366" s="327"/>
      <c r="DW366" s="327"/>
      <c r="DX366" s="327"/>
      <c r="DY366" s="327"/>
      <c r="DZ366" s="327"/>
      <c r="EA366" s="327"/>
      <c r="EB366" s="327"/>
      <c r="EC366" s="327"/>
      <c r="ED366" s="327"/>
      <c r="EE366" s="327"/>
      <c r="EF366" s="327"/>
      <c r="EG366" s="327"/>
      <c r="EH366" s="327"/>
      <c r="EI366" s="327"/>
      <c r="EJ366" s="327"/>
      <c r="EK366" s="327"/>
      <c r="EL366" s="327"/>
      <c r="EM366" s="327"/>
      <c r="EN366" s="327"/>
      <c r="EO366" s="327"/>
      <c r="EP366" s="327"/>
      <c r="EQ366" s="327"/>
      <c r="ER366" s="327"/>
      <c r="ES366" s="327"/>
      <c r="ET366" s="327"/>
      <c r="EU366" s="327"/>
      <c r="EV366" s="327"/>
      <c r="EW366" s="327"/>
      <c r="EX366" s="327"/>
      <c r="EY366" s="327"/>
      <c r="EZ366" s="327"/>
      <c r="FA366" s="327"/>
      <c r="FB366" s="327"/>
      <c r="FC366" s="327"/>
      <c r="FD366" s="327"/>
      <c r="FE366" s="327"/>
      <c r="FF366" s="327"/>
      <c r="FG366" s="327"/>
      <c r="FH366" s="327"/>
      <c r="FI366" s="327"/>
      <c r="FJ366" s="327"/>
      <c r="FK366" s="327"/>
      <c r="FL366" s="327"/>
      <c r="FM366" s="327"/>
      <c r="FN366" s="327"/>
      <c r="FO366" s="327"/>
      <c r="FP366" s="327"/>
      <c r="FQ366" s="327"/>
      <c r="FR366" s="327"/>
      <c r="FS366" s="327"/>
      <c r="FT366" s="327"/>
      <c r="FU366" s="327"/>
      <c r="FV366" s="327"/>
      <c r="FW366" s="327"/>
      <c r="FX366" s="327"/>
      <c r="FY366" s="327"/>
      <c r="FZ366" s="327"/>
      <c r="GA366" s="327"/>
      <c r="GB366" s="327"/>
      <c r="GC366" s="327"/>
      <c r="GD366" s="327"/>
      <c r="GE366" s="327"/>
      <c r="GF366" s="327"/>
      <c r="GG366" s="327"/>
      <c r="GH366" s="327"/>
      <c r="GI366" s="327"/>
      <c r="GJ366" s="327"/>
      <c r="GK366" s="327"/>
      <c r="GL366" s="327"/>
      <c r="GM366" s="327"/>
      <c r="GN366" s="327"/>
      <c r="GO366" s="327"/>
      <c r="GP366" s="327"/>
      <c r="GQ366" s="327"/>
      <c r="GR366" s="327"/>
      <c r="GS366" s="327"/>
      <c r="GT366" s="327"/>
      <c r="GU366" s="327"/>
      <c r="GV366" s="327"/>
      <c r="GW366" s="327"/>
      <c r="GX366" s="327"/>
      <c r="GY366" s="327"/>
      <c r="GZ366" s="327"/>
      <c r="HA366" s="327"/>
      <c r="HB366" s="327"/>
      <c r="HC366" s="327"/>
      <c r="HD366" s="327"/>
      <c r="HE366" s="327"/>
      <c r="HF366" s="327"/>
      <c r="HG366" s="327"/>
      <c r="HH366" s="327"/>
      <c r="HI366" s="327"/>
      <c r="HJ366" s="327"/>
      <c r="HK366" s="327"/>
      <c r="HL366" s="327"/>
      <c r="HM366" s="327"/>
      <c r="HN366" s="327"/>
      <c r="HO366" s="327"/>
      <c r="HP366" s="327"/>
      <c r="HQ366" s="327"/>
      <c r="HR366" s="327"/>
      <c r="HS366" s="327"/>
    </row>
    <row r="367" spans="1:227" ht="15" customHeight="1">
      <c r="A367" s="330">
        <v>15</v>
      </c>
      <c r="B367" s="435" t="str">
        <f>VLOOKUP(Ruimtestaat[[#This Row],[Code]],Locaties[[Code]:[Locatie]],2,FALSE)</f>
        <v>IKC  Da Vinci</v>
      </c>
      <c r="C367" s="435" t="str">
        <f>VLOOKUP(Ruimtestaat[[#This Row],[Code]],Locaties[[#All],[Code]:[Adres]],4,FALSE)</f>
        <v>Spitsbergen 17</v>
      </c>
      <c r="D367" s="435" t="str">
        <f>VLOOKUP(Ruimtestaat[[#This Row],[Code]],Locaties[[#All],[Code]:[Postcode]],5,FALSE)</f>
        <v>2721 GP</v>
      </c>
      <c r="E367" s="435" t="str">
        <f>VLOOKUP(Ruimtestaat[[#This Row],[Code]],Locaties[#All],6,FALSE)</f>
        <v>Zoetermeer</v>
      </c>
      <c r="F367" s="450"/>
      <c r="G367" s="330" t="s">
        <v>1769</v>
      </c>
      <c r="H367" s="330" t="s">
        <v>1728</v>
      </c>
      <c r="I367" s="450" t="s">
        <v>1690</v>
      </c>
      <c r="J367" s="330">
        <v>16</v>
      </c>
      <c r="K367" s="450" t="str">
        <f>VLOOKUP(Ruimtestaat[[#This Row],[Ruimte code]],Ruimtegroepen[[#All],[Code]:[Ruimte omschrijving]],2,FALSE)</f>
        <v>Leslokalen</v>
      </c>
      <c r="L367" s="434" t="s">
        <v>100</v>
      </c>
      <c r="M367" s="437" t="s">
        <v>1759</v>
      </c>
      <c r="N367" s="439">
        <v>53</v>
      </c>
      <c r="O367" s="439"/>
      <c r="P367" s="439"/>
      <c r="Q367" s="439"/>
      <c r="R367" s="440" t="str">
        <f>VLOOKUP(Ruimtestaat[[#This Row],[Ruimte code]],Ruimtegroepen[],4,FALSE)</f>
        <v>Le</v>
      </c>
      <c r="S367" s="434">
        <v>40</v>
      </c>
      <c r="T367" s="434" t="s">
        <v>2</v>
      </c>
      <c r="U367" s="434">
        <f>IF(S367&gt;0,IF(RIGHT(Ruimtestaat[[#This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7" s="434">
        <f>IF(U367&gt;0,VLOOKUP($J367,Ruimtegroepen[],3,FALSE)*VLOOKUP($L367,Vloersoorten[],3,FALSE)*VLOOKUP($T367,Frequenties[],3,FALSE)*VLOOKUP($A367,Locaties[],3,FALSE),0)</f>
        <v>0</v>
      </c>
      <c r="W367" s="434">
        <f>Ruimtestaat[[#This Row],[Uitvoeringen werkdagen]]*Ruimtestaat[[#This Row],[Oppervlak (netto)]]</f>
        <v>10600</v>
      </c>
      <c r="X367" s="441">
        <f>IF(V367&gt;0,Ruimtestaat[[#This Row],[Prest. (m2 /jaar) werkdagen]]/Ruimtestaat[[#This Row],[Norm (m2/uur) werkdagen]],0)</f>
        <v>0</v>
      </c>
      <c r="Y367" s="442">
        <f>Ruimtestaat[[#This Row],[Uitvoeringen werkdagen]]*Ruimtestaat[[#This Row],[Gedeeltelijk]]</f>
        <v>0</v>
      </c>
      <c r="Z367" s="443" t="e">
        <f>IF(U367&gt;0,Ruimtestaat[[#This Row],[Prest. (m2 / jaar) werkdagen gedeeld]]/Ruimtestaat[[#This Row],[Norm (m2/uur) werkdagen]],0)</f>
        <v>#DIV/0!</v>
      </c>
      <c r="AA367" s="441" t="e">
        <f>Ruimtestaat[[#This Row],[uren / jaar werkdagen gedeeld]]*Tariefsopbouw!$E$35</f>
        <v>#DIV/0!</v>
      </c>
      <c r="AB367" s="441">
        <f>Ruimtestaat[[#This Row],[Uitvoeringen werkdagen]]*Ruimtestaat[[#This Row],[BSO]]</f>
        <v>0</v>
      </c>
      <c r="AC367" s="443" t="e">
        <f>IF(U367&gt;0,Ruimtestaat[[#This Row],[Prest. (m2 / jaar) werkdagen BSO]]/Ruimtestaat[[#This Row],[Norm (m2/uur) werkdagen]],0)</f>
        <v>#DIV/0!</v>
      </c>
      <c r="AD367" s="443" t="e">
        <f>Ruimtestaat[[#This Row],[uren / jaar werkdagen BSO]]*Tariefsopbouw!$E$35</f>
        <v>#DIV/0!</v>
      </c>
      <c r="AE367" s="444">
        <f>Ruimtestaat[[#This Row],[uren / jaar werkdagen]]*Tariefsopbouw!$E$35</f>
        <v>0</v>
      </c>
      <c r="AF367" s="434"/>
      <c r="AG367" s="434">
        <f>IF(Ruimtestaat[[#This Row],[Frequentie weekend]]&gt;0,VALUE(LEFT(AF367,1))*S367,0)</f>
        <v>0</v>
      </c>
      <c r="AH367" s="445">
        <f>IF($AG367&gt;0,VLOOKUP($J367,Ruimtegroepen[],3,FALSE)*VLOOKUP($L367,Vloersoorten[],3,FALSE)*VLOOKUP($AF367,Frequenties[],3,FALSE)*VLOOKUP(Ruimtestaat[[#This Row],[Code]],Locaties[],3,FALSE),0)</f>
        <v>0</v>
      </c>
      <c r="AI367" s="445">
        <f>Ruimtestaat[[#This Row],[Uitvoeringen weekend]]*Ruimtestaat[[#This Row],[Oppervlak (netto)]]</f>
        <v>0</v>
      </c>
      <c r="AJ367" s="445">
        <f>IF(AH367&gt;0,Ruimtestaat[[#This Row],[Prest. (m2 /jaar) weekend]]/Ruimtestaat[[#This Row],[Norm (m2/uur) weekend]],0)</f>
        <v>0</v>
      </c>
      <c r="AK367" s="444">
        <f>Ruimtestaat[[#This Row],[uren / jaar weekend]]*Tariefsopbouw!$D$40</f>
        <v>0</v>
      </c>
      <c r="AL367" s="441">
        <f>Ruimtestaat[[#This Row],[Prest. (m2 /jaar) weekend]]+Ruimtestaat[[#This Row],[Prest. (m2 /jaar) werkdagen]]</f>
        <v>10600</v>
      </c>
      <c r="AM367" s="441">
        <f>Ruimtestaat[[#This Row],[uren / jaar weekend]]+Ruimtestaat[[#This Row],[uren / jaar werkdagen]]</f>
        <v>0</v>
      </c>
      <c r="AN367" s="446">
        <f>Ruimtestaat[[#This Row],[kosten / jaar weekend]]+Ruimtestaat[[#This Row],[kosten / jaar werkdagen]]</f>
        <v>0</v>
      </c>
      <c r="AO367" s="446"/>
      <c r="AP367" s="447" t="str">
        <f>IF(Ruimtestaat[[#This Row],[Frequentie werkdagen]]="","",_xlfn.CONCAT(Ruimtestaat[[#This Row],[Ruimte code]],"-",Ruimtestaat[[#This Row],[Frequentie werkdagen]]," ",Ruimtestaat[[#This Row],[Vloer code]]))</f>
        <v>16-5w L</v>
      </c>
      <c r="AQ367" s="448" t="str">
        <f>_xlfn.IFNA(VLOOKUP($AP367,Programma!$F$3:$G$1101,2,0),"")</f>
        <v>_</v>
      </c>
      <c r="AR367" s="448" t="str">
        <f>_xlfn.IFNA(VLOOKUP($AP367,Programma!$F$3:$H$1101,3,0),"")</f>
        <v>_</v>
      </c>
      <c r="AS367" s="448" t="str">
        <f>_xlfn.IFNA(VLOOKUP($AP367,Programma!$F$3:$I$1101,4,0),"")</f>
        <v>4w</v>
      </c>
      <c r="AT367" s="448" t="str">
        <f>_xlfn.IFNA(VLOOKUP($AP367,Programma!$F$3:$J$1101,5,0),"")</f>
        <v>1w</v>
      </c>
      <c r="AU367" s="448" t="str">
        <f>_xlfn.IFNA(VLOOKUP($AP367,Programma!$F$3:$K$1101,6,0),"")</f>
        <v>_</v>
      </c>
      <c r="AV367" s="448" t="str">
        <f>_xlfn.IFNA(VLOOKUP($AP367,Programma!$F$3:$L$1101,7,0),"")</f>
        <v>_</v>
      </c>
      <c r="AW367" s="448" t="str">
        <f>_xlfn.IFNA(VLOOKUP($AP367,Programma!$F$3:$M$1101,8,0),"")</f>
        <v>_</v>
      </c>
      <c r="AX367" s="448" t="str">
        <f>_xlfn.IFNA(VLOOKUP($AP367,Programma!$F$3:$N$1101,9,0),"")</f>
        <v>_</v>
      </c>
      <c r="AY367" s="448" t="str">
        <f>_xlfn.IFNA(VLOOKUP($AP367,Programma!$F$3:$O$1101,10,0),"")</f>
        <v>5w</v>
      </c>
      <c r="AZ367" s="448" t="str">
        <f>_xlfn.IFNA(VLOOKUP($AP367,Programma!$F$3:$P$1101,11,0),"")</f>
        <v>5w</v>
      </c>
      <c r="BA367" s="448" t="str">
        <f>_xlfn.IFNA(VLOOKUP($AP367,Programma!$F$3:$Q$1101,12,0),"")</f>
        <v>1w</v>
      </c>
      <c r="BB367" s="448" t="str">
        <f>_xlfn.IFNA(VLOOKUP($AP367,Programma!$F$3:$R$1101,13,0),"")</f>
        <v>1w</v>
      </c>
      <c r="BC367" s="448" t="str">
        <f>_xlfn.IFNA(VLOOKUP($AP367,Programma!$F$3:$S$1101,14,0),"")</f>
        <v>1m</v>
      </c>
      <c r="BD367" s="448" t="str">
        <f>_xlfn.IFNA(VLOOKUP($AP367,Programma!$F$3:$T$1101,15,0),"")</f>
        <v>2j</v>
      </c>
      <c r="BE367" s="448" t="str">
        <f>_xlfn.IFNA(VLOOKUP($AP367,Programma!$F$3:$U$1101,16,0),"")</f>
        <v>1j</v>
      </c>
      <c r="BF367" s="448" t="str">
        <f>_xlfn.IFNA(VLOOKUP($AP367,Programma!$F$3:$V$1101,17,0),"")</f>
        <v>_</v>
      </c>
      <c r="BG367" s="448" t="str">
        <f>_xlfn.IFNA(VLOOKUP($AP367,Programma!$F$3:$W$1101,18,0),"")</f>
        <v>_</v>
      </c>
      <c r="BH367" s="448" t="str">
        <f>_xlfn.IFNA(VLOOKUP($AP367,Programma!$F$3:$X$1101,19,0),"")</f>
        <v>_</v>
      </c>
      <c r="BI367" s="448" t="str">
        <f>_xlfn.IFNA(VLOOKUP($AP367,Programma!$F$3:$Y$1101,20,0),"")</f>
        <v>_</v>
      </c>
      <c r="BJ367" s="449"/>
      <c r="BK367" s="447" t="str">
        <f>IF(Ruimtestaat[[#This Row],[Frequentie weekend]]="","",_xlfn.CONCAT(Ruimtestaat[[#This Row],[Ruimte code]],"-",Ruimtestaat[[#This Row],[Frequentie weekend]]," ",Ruimtestaat[[#This Row],[Vloer code]]))</f>
        <v/>
      </c>
      <c r="BL367" s="448" t="str">
        <f>_xlfn.IFNA(VLOOKUP($BK367,Programma!$F$3:$G$1101,2,0),"")</f>
        <v/>
      </c>
      <c r="BM367" s="448" t="str">
        <f>_xlfn.IFNA(VLOOKUP($BK367,Programma!$F$3:$H$1101,3,0),"")</f>
        <v/>
      </c>
      <c r="BN367" s="448" t="str">
        <f>_xlfn.IFNA(VLOOKUP($BK367,Programma!$F$3:$I$1101,4,0),"")</f>
        <v/>
      </c>
      <c r="BO367" s="448" t="str">
        <f>_xlfn.IFNA(VLOOKUP($BK367,Programma!$F$3:$J$1101,5,0),"")</f>
        <v/>
      </c>
      <c r="BP367" s="448" t="str">
        <f>_xlfn.IFNA(VLOOKUP($BK367,Programma!$F$3:$K$1101,6,0),"")</f>
        <v/>
      </c>
      <c r="BQ367" s="448" t="str">
        <f>_xlfn.IFNA(VLOOKUP($BK367,Programma!$F$3:$L$1101,7,0),"")</f>
        <v/>
      </c>
      <c r="BR367" s="448" t="str">
        <f>_xlfn.IFNA(VLOOKUP($BK367,Programma!$F$3:$M$1101,8,0),"")</f>
        <v/>
      </c>
      <c r="BS367" s="448" t="str">
        <f>_xlfn.IFNA(VLOOKUP($BK367,Programma!$F$3:$N$1101,9,0),"")</f>
        <v/>
      </c>
      <c r="BT367" s="448" t="str">
        <f>_xlfn.IFNA(VLOOKUP($BK367,Programma!$F$3:$O$1101,10,0),"")</f>
        <v/>
      </c>
      <c r="BU367" s="448" t="str">
        <f>_xlfn.IFNA(VLOOKUP($BK367,Programma!$F$3:$P$1101,11,0),"")</f>
        <v/>
      </c>
      <c r="BV367" s="448" t="str">
        <f>_xlfn.IFNA(VLOOKUP($BK367,Programma!$F$3:$Q$1101,12,0),"")</f>
        <v/>
      </c>
      <c r="BW367" s="448" t="str">
        <f>_xlfn.IFNA(VLOOKUP($BK367,Programma!$F$3:$R$1101,13,0),"")</f>
        <v/>
      </c>
      <c r="BX367" s="448" t="str">
        <f>_xlfn.IFNA(VLOOKUP($BK367,Programma!$F$3:$S$1101,14,0),"")</f>
        <v/>
      </c>
      <c r="BY367" s="448" t="str">
        <f>_xlfn.IFNA(VLOOKUP($BK367,Programma!$F$3:$T$1101,15,0),"")</f>
        <v/>
      </c>
      <c r="BZ367" s="448" t="str">
        <f>_xlfn.IFNA(VLOOKUP($BK367,Programma!$F$3:$U$1101,16,0),"")</f>
        <v/>
      </c>
      <c r="CA367" s="448" t="str">
        <f>_xlfn.IFNA(VLOOKUP($BK367,Programma!$F$3:$V$1101,17,0),"")</f>
        <v/>
      </c>
      <c r="CB367" s="448" t="str">
        <f>_xlfn.IFNA(VLOOKUP($BK367,Programma!$F$3:$W$1101,18,0),"")</f>
        <v/>
      </c>
      <c r="CC367" s="448" t="str">
        <f>_xlfn.IFNA(VLOOKUP($BK367,Programma!$F$3:$X$1101,19,0),"")</f>
        <v/>
      </c>
      <c r="CD367" s="448" t="str">
        <f>_xlfn.IFNA(VLOOKUP($BK367,Programma!$F$3:$Y$1101,20,0),"")</f>
        <v/>
      </c>
      <c r="CE367" s="327"/>
      <c r="CF367" s="327"/>
      <c r="CG367" s="327"/>
      <c r="CH367" s="327"/>
      <c r="CI367" s="327"/>
      <c r="CJ367" s="327"/>
      <c r="CK367" s="327"/>
      <c r="CL367" s="327"/>
      <c r="CM367" s="327"/>
      <c r="CN367" s="327"/>
      <c r="CO367" s="327"/>
      <c r="CP367" s="327"/>
      <c r="CQ367" s="327"/>
      <c r="CR367" s="327"/>
      <c r="CS367" s="327"/>
      <c r="CT367" s="327"/>
      <c r="CU367" s="327"/>
      <c r="CV367" s="327"/>
      <c r="CW367" s="327"/>
      <c r="CX367" s="327"/>
      <c r="CY367" s="327"/>
      <c r="CZ367" s="327"/>
      <c r="DA367" s="327"/>
      <c r="DB367" s="327"/>
      <c r="DC367" s="327"/>
      <c r="DD367" s="327"/>
      <c r="DE367" s="327"/>
      <c r="DF367" s="327"/>
      <c r="DG367" s="327"/>
      <c r="DH367" s="327"/>
      <c r="DI367" s="327"/>
      <c r="DJ367" s="327"/>
      <c r="DK367" s="327"/>
      <c r="DL367" s="327"/>
      <c r="DM367" s="327"/>
      <c r="DN367" s="327"/>
      <c r="DO367" s="327"/>
      <c r="DP367" s="327"/>
      <c r="DQ367" s="327"/>
      <c r="DR367" s="327"/>
      <c r="DS367" s="327"/>
      <c r="DT367" s="327"/>
      <c r="DU367" s="327"/>
      <c r="DV367" s="327"/>
      <c r="DW367" s="327"/>
      <c r="DX367" s="327"/>
      <c r="DY367" s="327"/>
      <c r="DZ367" s="327"/>
      <c r="EA367" s="327"/>
      <c r="EB367" s="327"/>
      <c r="EC367" s="327"/>
      <c r="ED367" s="327"/>
      <c r="EE367" s="327"/>
      <c r="EF367" s="327"/>
      <c r="EG367" s="327"/>
      <c r="EH367" s="327"/>
      <c r="EI367" s="327"/>
      <c r="EJ367" s="327"/>
      <c r="EK367" s="327"/>
      <c r="EL367" s="327"/>
      <c r="EM367" s="327"/>
      <c r="EN367" s="327"/>
      <c r="EO367" s="327"/>
      <c r="EP367" s="327"/>
      <c r="EQ367" s="327"/>
      <c r="ER367" s="327"/>
      <c r="ES367" s="327"/>
      <c r="ET367" s="327"/>
      <c r="EU367" s="327"/>
      <c r="EV367" s="327"/>
      <c r="EW367" s="327"/>
      <c r="EX367" s="327"/>
      <c r="EY367" s="327"/>
      <c r="EZ367" s="327"/>
      <c r="FA367" s="327"/>
      <c r="FB367" s="327"/>
      <c r="FC367" s="327"/>
      <c r="FD367" s="327"/>
      <c r="FE367" s="327"/>
      <c r="FF367" s="327"/>
      <c r="FG367" s="327"/>
      <c r="FH367" s="327"/>
      <c r="FI367" s="327"/>
      <c r="FJ367" s="327"/>
      <c r="FK367" s="327"/>
      <c r="FL367" s="327"/>
      <c r="FM367" s="327"/>
      <c r="FN367" s="327"/>
      <c r="FO367" s="327"/>
      <c r="FP367" s="327"/>
      <c r="FQ367" s="327"/>
      <c r="FR367" s="327"/>
      <c r="FS367" s="327"/>
      <c r="FT367" s="327"/>
      <c r="FU367" s="327"/>
      <c r="FV367" s="327"/>
      <c r="FW367" s="327"/>
      <c r="FX367" s="327"/>
      <c r="FY367" s="327"/>
      <c r="FZ367" s="327"/>
      <c r="GA367" s="327"/>
      <c r="GB367" s="327"/>
      <c r="GC367" s="327"/>
      <c r="GD367" s="327"/>
      <c r="GE367" s="327"/>
      <c r="GF367" s="327"/>
      <c r="GG367" s="327"/>
      <c r="GH367" s="327"/>
      <c r="GI367" s="327"/>
      <c r="GJ367" s="327"/>
      <c r="GK367" s="327"/>
      <c r="GL367" s="327"/>
      <c r="GM367" s="327"/>
      <c r="GN367" s="327"/>
      <c r="GO367" s="327"/>
      <c r="GP367" s="327"/>
      <c r="GQ367" s="327"/>
      <c r="GR367" s="327"/>
      <c r="GS367" s="327"/>
      <c r="GT367" s="327"/>
      <c r="GU367" s="327"/>
      <c r="GV367" s="327"/>
      <c r="GW367" s="327"/>
      <c r="GX367" s="327"/>
      <c r="GY367" s="327"/>
      <c r="GZ367" s="327"/>
      <c r="HA367" s="327"/>
      <c r="HB367" s="327"/>
      <c r="HC367" s="327"/>
      <c r="HD367" s="327"/>
      <c r="HE367" s="327"/>
      <c r="HF367" s="327"/>
      <c r="HG367" s="327"/>
      <c r="HH367" s="327"/>
      <c r="HI367" s="327"/>
      <c r="HJ367" s="327"/>
      <c r="HK367" s="327"/>
      <c r="HL367" s="327"/>
      <c r="HM367" s="327"/>
      <c r="HN367" s="327"/>
      <c r="HO367" s="327"/>
      <c r="HP367" s="327"/>
      <c r="HQ367" s="327"/>
      <c r="HR367" s="327"/>
      <c r="HS367" s="327"/>
    </row>
    <row r="368" spans="1:227" ht="15" customHeight="1">
      <c r="A368" s="330">
        <v>15</v>
      </c>
      <c r="B368" s="435" t="str">
        <f>VLOOKUP(Ruimtestaat[[#This Row],[Code]],Locaties[[Code]:[Locatie]],2,FALSE)</f>
        <v>IKC  Da Vinci</v>
      </c>
      <c r="C368" s="435" t="str">
        <f>VLOOKUP(Ruimtestaat[[#This Row],[Code]],Locaties[[#All],[Code]:[Adres]],4,FALSE)</f>
        <v>Spitsbergen 17</v>
      </c>
      <c r="D368" s="435" t="str">
        <f>VLOOKUP(Ruimtestaat[[#This Row],[Code]],Locaties[[#All],[Code]:[Postcode]],5,FALSE)</f>
        <v>2721 GP</v>
      </c>
      <c r="E368" s="435" t="str">
        <f>VLOOKUP(Ruimtestaat[[#This Row],[Code]],Locaties[#All],6,FALSE)</f>
        <v>Zoetermeer</v>
      </c>
      <c r="F368" s="450"/>
      <c r="G368" s="330" t="s">
        <v>1769</v>
      </c>
      <c r="H368" s="330" t="s">
        <v>1730</v>
      </c>
      <c r="I368" s="450" t="s">
        <v>1767</v>
      </c>
      <c r="J368" s="330">
        <v>2</v>
      </c>
      <c r="K368" s="450" t="str">
        <f>VLOOKUP(Ruimtestaat[[#This Row],[Ruimte code]],Ruimtegroepen[[#All],[Code]:[Ruimte omschrijving]],2,FALSE)</f>
        <v>Kantoren</v>
      </c>
      <c r="L368" s="434" t="s">
        <v>100</v>
      </c>
      <c r="M368" s="437" t="s">
        <v>1759</v>
      </c>
      <c r="N368" s="439">
        <v>17</v>
      </c>
      <c r="O368" s="439"/>
      <c r="P368" s="439"/>
      <c r="Q368" s="439"/>
      <c r="R368" s="440" t="str">
        <f>VLOOKUP(Ruimtestaat[[#This Row],[Ruimte code]],Ruimtegroepen[],4,FALSE)</f>
        <v>Bu</v>
      </c>
      <c r="S368" s="434">
        <v>41</v>
      </c>
      <c r="T368" s="434" t="s">
        <v>17</v>
      </c>
      <c r="U368" s="434">
        <f>IF(S368&gt;0,IF(RIGHT(Ruimtestaat[[#This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68" s="434">
        <f>IF(U368&gt;0,VLOOKUP($J368,Ruimtegroepen[],3,FALSE)*VLOOKUP($L368,Vloersoorten[],3,FALSE)*VLOOKUP($T368,Frequenties[],3,FALSE)*VLOOKUP($A368,Locaties[],3,FALSE),0)</f>
        <v>0</v>
      </c>
      <c r="W368" s="434">
        <f>Ruimtestaat[[#This Row],[Uitvoeringen werkdagen]]*Ruimtestaat[[#This Row],[Oppervlak (netto)]]</f>
        <v>1394</v>
      </c>
      <c r="X368" s="441">
        <f>IF(V368&gt;0,Ruimtestaat[[#This Row],[Prest. (m2 /jaar) werkdagen]]/Ruimtestaat[[#This Row],[Norm (m2/uur) werkdagen]],0)</f>
        <v>0</v>
      </c>
      <c r="Y368" s="442">
        <f>Ruimtestaat[[#This Row],[Uitvoeringen werkdagen]]*Ruimtestaat[[#This Row],[Gedeeltelijk]]</f>
        <v>0</v>
      </c>
      <c r="Z368" s="443" t="e">
        <f>IF(U368&gt;0,Ruimtestaat[[#This Row],[Prest. (m2 / jaar) werkdagen gedeeld]]/Ruimtestaat[[#This Row],[Norm (m2/uur) werkdagen]],0)</f>
        <v>#DIV/0!</v>
      </c>
      <c r="AA368" s="441" t="e">
        <f>Ruimtestaat[[#This Row],[uren / jaar werkdagen gedeeld]]*Tariefsopbouw!$E$35</f>
        <v>#DIV/0!</v>
      </c>
      <c r="AB368" s="441">
        <f>Ruimtestaat[[#This Row],[Uitvoeringen werkdagen]]*Ruimtestaat[[#This Row],[BSO]]</f>
        <v>0</v>
      </c>
      <c r="AC368" s="443" t="e">
        <f>IF(U368&gt;0,Ruimtestaat[[#This Row],[Prest. (m2 / jaar) werkdagen BSO]]/Ruimtestaat[[#This Row],[Norm (m2/uur) werkdagen]],0)</f>
        <v>#DIV/0!</v>
      </c>
      <c r="AD368" s="443" t="e">
        <f>Ruimtestaat[[#This Row],[uren / jaar werkdagen BSO]]*Tariefsopbouw!$E$35</f>
        <v>#DIV/0!</v>
      </c>
      <c r="AE368" s="444">
        <f>Ruimtestaat[[#This Row],[uren / jaar werkdagen]]*Tariefsopbouw!$E$35</f>
        <v>0</v>
      </c>
      <c r="AF368" s="434"/>
      <c r="AG368" s="434">
        <f>IF(Ruimtestaat[[#This Row],[Frequentie weekend]]&gt;0,VALUE(LEFT(AF368,1))*S368,0)</f>
        <v>0</v>
      </c>
      <c r="AH368" s="445">
        <f>IF($AG368&gt;0,VLOOKUP($J368,Ruimtegroepen[],3,FALSE)*VLOOKUP($L368,Vloersoorten[],3,FALSE)*VLOOKUP($AF368,Frequenties[],3,FALSE)*VLOOKUP(Ruimtestaat[[#This Row],[Code]],Locaties[],3,FALSE),0)</f>
        <v>0</v>
      </c>
      <c r="AI368" s="445">
        <f>Ruimtestaat[[#This Row],[Uitvoeringen weekend]]*Ruimtestaat[[#This Row],[Oppervlak (netto)]]</f>
        <v>0</v>
      </c>
      <c r="AJ368" s="445">
        <f>IF(AH368&gt;0,Ruimtestaat[[#This Row],[Prest. (m2 /jaar) weekend]]/Ruimtestaat[[#This Row],[Norm (m2/uur) weekend]],0)</f>
        <v>0</v>
      </c>
      <c r="AK368" s="444">
        <f>Ruimtestaat[[#This Row],[uren / jaar weekend]]*Tariefsopbouw!$D$40</f>
        <v>0</v>
      </c>
      <c r="AL368" s="441">
        <f>Ruimtestaat[[#This Row],[Prest. (m2 /jaar) weekend]]+Ruimtestaat[[#This Row],[Prest. (m2 /jaar) werkdagen]]</f>
        <v>1394</v>
      </c>
      <c r="AM368" s="441">
        <f>Ruimtestaat[[#This Row],[uren / jaar weekend]]+Ruimtestaat[[#This Row],[uren / jaar werkdagen]]</f>
        <v>0</v>
      </c>
      <c r="AN368" s="446">
        <f>Ruimtestaat[[#This Row],[kosten / jaar weekend]]+Ruimtestaat[[#This Row],[kosten / jaar werkdagen]]</f>
        <v>0</v>
      </c>
      <c r="AO368" s="446"/>
      <c r="AP368" s="447" t="str">
        <f>IF(Ruimtestaat[[#This Row],[Frequentie werkdagen]]="","",_xlfn.CONCAT(Ruimtestaat[[#This Row],[Ruimte code]],"-",Ruimtestaat[[#This Row],[Frequentie werkdagen]]," ",Ruimtestaat[[#This Row],[Vloer code]]))</f>
        <v>2-2w L</v>
      </c>
      <c r="AQ368" s="448" t="str">
        <f>_xlfn.IFNA(VLOOKUP($AP368,Programma!$F$3:$G$1101,2,0),"")</f>
        <v>_</v>
      </c>
      <c r="AR368" s="448" t="str">
        <f>_xlfn.IFNA(VLOOKUP($AP368,Programma!$F$3:$H$1101,3,0),"")</f>
        <v>_</v>
      </c>
      <c r="AS368" s="448" t="str">
        <f>_xlfn.IFNA(VLOOKUP($AP368,Programma!$F$3:$I$1101,4,0),"")</f>
        <v>1w</v>
      </c>
      <c r="AT368" s="448" t="str">
        <f>_xlfn.IFNA(VLOOKUP($AP368,Programma!$F$3:$J$1101,5,0),"")</f>
        <v>1w</v>
      </c>
      <c r="AU368" s="448" t="str">
        <f>_xlfn.IFNA(VLOOKUP($AP368,Programma!$F$3:$K$1101,6,0),"")</f>
        <v>_</v>
      </c>
      <c r="AV368" s="448" t="str">
        <f>_xlfn.IFNA(VLOOKUP($AP368,Programma!$F$3:$L$1101,7,0),"")</f>
        <v>_</v>
      </c>
      <c r="AW368" s="448" t="str">
        <f>_xlfn.IFNA(VLOOKUP($AP368,Programma!$F$3:$M$1101,8,0),"")</f>
        <v>_</v>
      </c>
      <c r="AX368" s="448" t="str">
        <f>_xlfn.IFNA(VLOOKUP($AP368,Programma!$F$3:$N$1101,9,0),"")</f>
        <v>_</v>
      </c>
      <c r="AY368" s="448" t="str">
        <f>_xlfn.IFNA(VLOOKUP($AP368,Programma!$F$3:$O$1101,10,0),"")</f>
        <v>2w</v>
      </c>
      <c r="AZ368" s="448" t="str">
        <f>_xlfn.IFNA(VLOOKUP($AP368,Programma!$F$3:$P$1101,11,0),"")</f>
        <v>2w</v>
      </c>
      <c r="BA368" s="448" t="str">
        <f>_xlfn.IFNA(VLOOKUP($AP368,Programma!$F$3:$Q$1101,12,0),"")</f>
        <v>1w</v>
      </c>
      <c r="BB368" s="448" t="str">
        <f>_xlfn.IFNA(VLOOKUP($AP368,Programma!$F$3:$R$1101,13,0),"")</f>
        <v>1w</v>
      </c>
      <c r="BC368" s="448" t="str">
        <f>_xlfn.IFNA(VLOOKUP($AP368,Programma!$F$3:$S$1101,14,0),"")</f>
        <v>1m</v>
      </c>
      <c r="BD368" s="448" t="str">
        <f>_xlfn.IFNA(VLOOKUP($AP368,Programma!$F$3:$T$1101,15,0),"")</f>
        <v>2j</v>
      </c>
      <c r="BE368" s="448" t="str">
        <f>_xlfn.IFNA(VLOOKUP($AP368,Programma!$F$3:$U$1101,16,0),"")</f>
        <v>1j</v>
      </c>
      <c r="BF368" s="448" t="str">
        <f>_xlfn.IFNA(VLOOKUP($AP368,Programma!$F$3:$V$1101,17,0),"")</f>
        <v>_</v>
      </c>
      <c r="BG368" s="448" t="str">
        <f>_xlfn.IFNA(VLOOKUP($AP368,Programma!$F$3:$W$1101,18,0),"")</f>
        <v>_</v>
      </c>
      <c r="BH368" s="448" t="str">
        <f>_xlfn.IFNA(VLOOKUP($AP368,Programma!$F$3:$X$1101,19,0),"")</f>
        <v>_</v>
      </c>
      <c r="BI368" s="448" t="str">
        <f>_xlfn.IFNA(VLOOKUP($AP368,Programma!$F$3:$Y$1101,20,0),"")</f>
        <v>_</v>
      </c>
      <c r="BJ368" s="449"/>
      <c r="BK368" s="447" t="str">
        <f>IF(Ruimtestaat[[#This Row],[Frequentie weekend]]="","",_xlfn.CONCAT(Ruimtestaat[[#This Row],[Ruimte code]],"-",Ruimtestaat[[#This Row],[Frequentie weekend]]," ",Ruimtestaat[[#This Row],[Vloer code]]))</f>
        <v/>
      </c>
      <c r="BL368" s="448" t="str">
        <f>_xlfn.IFNA(VLOOKUP($BK368,Programma!$F$3:$G$1101,2,0),"")</f>
        <v/>
      </c>
      <c r="BM368" s="448" t="str">
        <f>_xlfn.IFNA(VLOOKUP($BK368,Programma!$F$3:$H$1101,3,0),"")</f>
        <v/>
      </c>
      <c r="BN368" s="448" t="str">
        <f>_xlfn.IFNA(VLOOKUP($BK368,Programma!$F$3:$I$1101,4,0),"")</f>
        <v/>
      </c>
      <c r="BO368" s="448" t="str">
        <f>_xlfn.IFNA(VLOOKUP($BK368,Programma!$F$3:$J$1101,5,0),"")</f>
        <v/>
      </c>
      <c r="BP368" s="448" t="str">
        <f>_xlfn.IFNA(VLOOKUP($BK368,Programma!$F$3:$K$1101,6,0),"")</f>
        <v/>
      </c>
      <c r="BQ368" s="448" t="str">
        <f>_xlfn.IFNA(VLOOKUP($BK368,Programma!$F$3:$L$1101,7,0),"")</f>
        <v/>
      </c>
      <c r="BR368" s="448" t="str">
        <f>_xlfn.IFNA(VLOOKUP($BK368,Programma!$F$3:$M$1101,8,0),"")</f>
        <v/>
      </c>
      <c r="BS368" s="448" t="str">
        <f>_xlfn.IFNA(VLOOKUP($BK368,Programma!$F$3:$N$1101,9,0),"")</f>
        <v/>
      </c>
      <c r="BT368" s="448" t="str">
        <f>_xlfn.IFNA(VLOOKUP($BK368,Programma!$F$3:$O$1101,10,0),"")</f>
        <v/>
      </c>
      <c r="BU368" s="448" t="str">
        <f>_xlfn.IFNA(VLOOKUP($BK368,Programma!$F$3:$P$1101,11,0),"")</f>
        <v/>
      </c>
      <c r="BV368" s="448" t="str">
        <f>_xlfn.IFNA(VLOOKUP($BK368,Programma!$F$3:$Q$1101,12,0),"")</f>
        <v/>
      </c>
      <c r="BW368" s="448" t="str">
        <f>_xlfn.IFNA(VLOOKUP($BK368,Programma!$F$3:$R$1101,13,0),"")</f>
        <v/>
      </c>
      <c r="BX368" s="448" t="str">
        <f>_xlfn.IFNA(VLOOKUP($BK368,Programma!$F$3:$S$1101,14,0),"")</f>
        <v/>
      </c>
      <c r="BY368" s="448" t="str">
        <f>_xlfn.IFNA(VLOOKUP($BK368,Programma!$F$3:$T$1101,15,0),"")</f>
        <v/>
      </c>
      <c r="BZ368" s="448" t="str">
        <f>_xlfn.IFNA(VLOOKUP($BK368,Programma!$F$3:$U$1101,16,0),"")</f>
        <v/>
      </c>
      <c r="CA368" s="448" t="str">
        <f>_xlfn.IFNA(VLOOKUP($BK368,Programma!$F$3:$V$1101,17,0),"")</f>
        <v/>
      </c>
      <c r="CB368" s="448" t="str">
        <f>_xlfn.IFNA(VLOOKUP($BK368,Programma!$F$3:$W$1101,18,0),"")</f>
        <v/>
      </c>
      <c r="CC368" s="448" t="str">
        <f>_xlfn.IFNA(VLOOKUP($BK368,Programma!$F$3:$X$1101,19,0),"")</f>
        <v/>
      </c>
      <c r="CD368" s="448" t="str">
        <f>_xlfn.IFNA(VLOOKUP($BK368,Programma!$F$3:$Y$1101,20,0),"")</f>
        <v/>
      </c>
      <c r="CE368" s="327"/>
      <c r="CF368" s="327"/>
      <c r="CG368" s="327"/>
      <c r="CH368" s="327"/>
      <c r="CI368" s="327"/>
      <c r="CJ368" s="327"/>
      <c r="CK368" s="327"/>
      <c r="CL368" s="327"/>
      <c r="CM368" s="327"/>
      <c r="CN368" s="327"/>
      <c r="CO368" s="327"/>
      <c r="CP368" s="327"/>
      <c r="CQ368" s="327"/>
      <c r="CR368" s="327"/>
      <c r="CS368" s="327"/>
      <c r="CT368" s="327"/>
      <c r="CU368" s="327"/>
      <c r="CV368" s="327"/>
      <c r="CW368" s="327"/>
      <c r="CX368" s="327"/>
      <c r="CY368" s="327"/>
      <c r="CZ368" s="327"/>
      <c r="DA368" s="327"/>
      <c r="DB368" s="327"/>
      <c r="DC368" s="327"/>
      <c r="DD368" s="327"/>
      <c r="DE368" s="327"/>
      <c r="DF368" s="327"/>
      <c r="DG368" s="327"/>
      <c r="DH368" s="327"/>
      <c r="DI368" s="327"/>
      <c r="DJ368" s="327"/>
      <c r="DK368" s="327"/>
      <c r="DL368" s="327"/>
      <c r="DM368" s="327"/>
      <c r="DN368" s="327"/>
      <c r="DO368" s="327"/>
      <c r="DP368" s="327"/>
      <c r="DQ368" s="327"/>
      <c r="DR368" s="327"/>
      <c r="DS368" s="327"/>
      <c r="DT368" s="327"/>
      <c r="DU368" s="327"/>
      <c r="DV368" s="327"/>
      <c r="DW368" s="327"/>
      <c r="DX368" s="327"/>
      <c r="DY368" s="327"/>
      <c r="DZ368" s="327"/>
      <c r="EA368" s="327"/>
      <c r="EB368" s="327"/>
      <c r="EC368" s="327"/>
      <c r="ED368" s="327"/>
      <c r="EE368" s="327"/>
      <c r="EF368" s="327"/>
      <c r="EG368" s="327"/>
      <c r="EH368" s="327"/>
      <c r="EI368" s="327"/>
      <c r="EJ368" s="327"/>
      <c r="EK368" s="327"/>
      <c r="EL368" s="327"/>
      <c r="EM368" s="327"/>
      <c r="EN368" s="327"/>
      <c r="EO368" s="327"/>
      <c r="EP368" s="327"/>
      <c r="EQ368" s="327"/>
      <c r="ER368" s="327"/>
      <c r="ES368" s="327"/>
      <c r="ET368" s="327"/>
      <c r="EU368" s="327"/>
      <c r="EV368" s="327"/>
      <c r="EW368" s="327"/>
      <c r="EX368" s="327"/>
      <c r="EY368" s="327"/>
      <c r="EZ368" s="327"/>
      <c r="FA368" s="327"/>
      <c r="FB368" s="327"/>
      <c r="FC368" s="327"/>
      <c r="FD368" s="327"/>
      <c r="FE368" s="327"/>
      <c r="FF368" s="327"/>
      <c r="FG368" s="327"/>
      <c r="FH368" s="327"/>
      <c r="FI368" s="327"/>
      <c r="FJ368" s="327"/>
      <c r="FK368" s="327"/>
      <c r="FL368" s="327"/>
      <c r="FM368" s="327"/>
      <c r="FN368" s="327"/>
      <c r="FO368" s="327"/>
      <c r="FP368" s="327"/>
      <c r="FQ368" s="327"/>
      <c r="FR368" s="327"/>
      <c r="FS368" s="327"/>
      <c r="FT368" s="327"/>
      <c r="FU368" s="327"/>
      <c r="FV368" s="327"/>
      <c r="FW368" s="327"/>
      <c r="FX368" s="327"/>
      <c r="FY368" s="327"/>
      <c r="FZ368" s="327"/>
      <c r="GA368" s="327"/>
      <c r="GB368" s="327"/>
      <c r="GC368" s="327"/>
      <c r="GD368" s="327"/>
      <c r="GE368" s="327"/>
      <c r="GF368" s="327"/>
      <c r="GG368" s="327"/>
      <c r="GH368" s="327"/>
      <c r="GI368" s="327"/>
      <c r="GJ368" s="327"/>
      <c r="GK368" s="327"/>
      <c r="GL368" s="327"/>
      <c r="GM368" s="327"/>
      <c r="GN368" s="327"/>
      <c r="GO368" s="327"/>
      <c r="GP368" s="327"/>
      <c r="GQ368" s="327"/>
      <c r="GR368" s="327"/>
      <c r="GS368" s="327"/>
      <c r="GT368" s="327"/>
      <c r="GU368" s="327"/>
      <c r="GV368" s="327"/>
      <c r="GW368" s="327"/>
      <c r="GX368" s="327"/>
      <c r="GY368" s="327"/>
      <c r="GZ368" s="327"/>
      <c r="HA368" s="327"/>
      <c r="HB368" s="327"/>
      <c r="HC368" s="327"/>
      <c r="HD368" s="327"/>
      <c r="HE368" s="327"/>
      <c r="HF368" s="327"/>
      <c r="HG368" s="327"/>
      <c r="HH368" s="327"/>
      <c r="HI368" s="327"/>
      <c r="HJ368" s="327"/>
      <c r="HK368" s="327"/>
      <c r="HL368" s="327"/>
      <c r="HM368" s="327"/>
      <c r="HN368" s="327"/>
      <c r="HO368" s="327"/>
      <c r="HP368" s="327"/>
      <c r="HQ368" s="327"/>
      <c r="HR368" s="327"/>
      <c r="HS368" s="327"/>
    </row>
    <row r="369" spans="1:227" ht="15" customHeight="1">
      <c r="A369" s="330">
        <v>15</v>
      </c>
      <c r="B369" s="435" t="str">
        <f>VLOOKUP(Ruimtestaat[[#This Row],[Code]],Locaties[[Code]:[Locatie]],2,FALSE)</f>
        <v>IKC  Da Vinci</v>
      </c>
      <c r="C369" s="435" t="str">
        <f>VLOOKUP(Ruimtestaat[[#This Row],[Code]],Locaties[[#All],[Code]:[Adres]],4,FALSE)</f>
        <v>Spitsbergen 17</v>
      </c>
      <c r="D369" s="435" t="str">
        <f>VLOOKUP(Ruimtestaat[[#This Row],[Code]],Locaties[[#All],[Code]:[Postcode]],5,FALSE)</f>
        <v>2721 GP</v>
      </c>
      <c r="E369" s="435" t="str">
        <f>VLOOKUP(Ruimtestaat[[#This Row],[Code]],Locaties[#All],6,FALSE)</f>
        <v>Zoetermeer</v>
      </c>
      <c r="F369" s="450"/>
      <c r="G369" s="330" t="s">
        <v>1769</v>
      </c>
      <c r="H369" s="330" t="s">
        <v>1732</v>
      </c>
      <c r="I369" s="450" t="s">
        <v>1690</v>
      </c>
      <c r="J369" s="330">
        <v>16</v>
      </c>
      <c r="K369" s="450" t="str">
        <f>VLOOKUP(Ruimtestaat[[#This Row],[Ruimte code]],Ruimtegroepen[[#All],[Code]:[Ruimte omschrijving]],2,FALSE)</f>
        <v>Leslokalen</v>
      </c>
      <c r="L369" s="434" t="s">
        <v>100</v>
      </c>
      <c r="M369" s="437" t="s">
        <v>1759</v>
      </c>
      <c r="N369" s="439">
        <v>59</v>
      </c>
      <c r="O369" s="439"/>
      <c r="P369" s="439"/>
      <c r="Q369" s="439"/>
      <c r="R369" s="440" t="str">
        <f>VLOOKUP(Ruimtestaat[[#This Row],[Ruimte code]],Ruimtegroepen[],4,FALSE)</f>
        <v>Le</v>
      </c>
      <c r="S369" s="434">
        <v>40</v>
      </c>
      <c r="T369" s="434" t="s">
        <v>2</v>
      </c>
      <c r="U369" s="434">
        <f>IF(S369&gt;0,IF(RIGHT(Ruimtestaat[[#This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9" s="434">
        <f>IF(U369&gt;0,VLOOKUP($J369,Ruimtegroepen[],3,FALSE)*VLOOKUP($L369,Vloersoorten[],3,FALSE)*VLOOKUP($T369,Frequenties[],3,FALSE)*VLOOKUP($A369,Locaties[],3,FALSE),0)</f>
        <v>0</v>
      </c>
      <c r="W369" s="434">
        <f>Ruimtestaat[[#This Row],[Uitvoeringen werkdagen]]*Ruimtestaat[[#This Row],[Oppervlak (netto)]]</f>
        <v>11800</v>
      </c>
      <c r="X369" s="441">
        <f>IF(V369&gt;0,Ruimtestaat[[#This Row],[Prest. (m2 /jaar) werkdagen]]/Ruimtestaat[[#This Row],[Norm (m2/uur) werkdagen]],0)</f>
        <v>0</v>
      </c>
      <c r="Y369" s="442">
        <f>Ruimtestaat[[#This Row],[Uitvoeringen werkdagen]]*Ruimtestaat[[#This Row],[Gedeeltelijk]]</f>
        <v>0</v>
      </c>
      <c r="Z369" s="443" t="e">
        <f>IF(U369&gt;0,Ruimtestaat[[#This Row],[Prest. (m2 / jaar) werkdagen gedeeld]]/Ruimtestaat[[#This Row],[Norm (m2/uur) werkdagen]],0)</f>
        <v>#DIV/0!</v>
      </c>
      <c r="AA369" s="441" t="e">
        <f>Ruimtestaat[[#This Row],[uren / jaar werkdagen gedeeld]]*Tariefsopbouw!$E$35</f>
        <v>#DIV/0!</v>
      </c>
      <c r="AB369" s="441">
        <f>Ruimtestaat[[#This Row],[Uitvoeringen werkdagen]]*Ruimtestaat[[#This Row],[BSO]]</f>
        <v>0</v>
      </c>
      <c r="AC369" s="443" t="e">
        <f>IF(U369&gt;0,Ruimtestaat[[#This Row],[Prest. (m2 / jaar) werkdagen BSO]]/Ruimtestaat[[#This Row],[Norm (m2/uur) werkdagen]],0)</f>
        <v>#DIV/0!</v>
      </c>
      <c r="AD369" s="443" t="e">
        <f>Ruimtestaat[[#This Row],[uren / jaar werkdagen BSO]]*Tariefsopbouw!$E$35</f>
        <v>#DIV/0!</v>
      </c>
      <c r="AE369" s="444">
        <f>Ruimtestaat[[#This Row],[uren / jaar werkdagen]]*Tariefsopbouw!$E$35</f>
        <v>0</v>
      </c>
      <c r="AF369" s="434"/>
      <c r="AG369" s="434">
        <f>IF(Ruimtestaat[[#This Row],[Frequentie weekend]]&gt;0,VALUE(LEFT(AF369,1))*S369,0)</f>
        <v>0</v>
      </c>
      <c r="AH369" s="445">
        <f>IF($AG369&gt;0,VLOOKUP($J369,Ruimtegroepen[],3,FALSE)*VLOOKUP($L369,Vloersoorten[],3,FALSE)*VLOOKUP($AF369,Frequenties[],3,FALSE)*VLOOKUP(Ruimtestaat[[#This Row],[Code]],Locaties[],3,FALSE),0)</f>
        <v>0</v>
      </c>
      <c r="AI369" s="445">
        <f>Ruimtestaat[[#This Row],[Uitvoeringen weekend]]*Ruimtestaat[[#This Row],[Oppervlak (netto)]]</f>
        <v>0</v>
      </c>
      <c r="AJ369" s="445">
        <f>IF(AH369&gt;0,Ruimtestaat[[#This Row],[Prest. (m2 /jaar) weekend]]/Ruimtestaat[[#This Row],[Norm (m2/uur) weekend]],0)</f>
        <v>0</v>
      </c>
      <c r="AK369" s="444">
        <f>Ruimtestaat[[#This Row],[uren / jaar weekend]]*Tariefsopbouw!$D$40</f>
        <v>0</v>
      </c>
      <c r="AL369" s="441">
        <f>Ruimtestaat[[#This Row],[Prest. (m2 /jaar) weekend]]+Ruimtestaat[[#This Row],[Prest. (m2 /jaar) werkdagen]]</f>
        <v>11800</v>
      </c>
      <c r="AM369" s="441">
        <f>Ruimtestaat[[#This Row],[uren / jaar weekend]]+Ruimtestaat[[#This Row],[uren / jaar werkdagen]]</f>
        <v>0</v>
      </c>
      <c r="AN369" s="446">
        <f>Ruimtestaat[[#This Row],[kosten / jaar weekend]]+Ruimtestaat[[#This Row],[kosten / jaar werkdagen]]</f>
        <v>0</v>
      </c>
      <c r="AO369" s="446"/>
      <c r="AP369" s="447" t="str">
        <f>IF(Ruimtestaat[[#This Row],[Frequentie werkdagen]]="","",_xlfn.CONCAT(Ruimtestaat[[#This Row],[Ruimte code]],"-",Ruimtestaat[[#This Row],[Frequentie werkdagen]]," ",Ruimtestaat[[#This Row],[Vloer code]]))</f>
        <v>16-5w L</v>
      </c>
      <c r="AQ369" s="448" t="str">
        <f>_xlfn.IFNA(VLOOKUP($AP369,Programma!$F$3:$G$1101,2,0),"")</f>
        <v>_</v>
      </c>
      <c r="AR369" s="448" t="str">
        <f>_xlfn.IFNA(VLOOKUP($AP369,Programma!$F$3:$H$1101,3,0),"")</f>
        <v>_</v>
      </c>
      <c r="AS369" s="448" t="str">
        <f>_xlfn.IFNA(VLOOKUP($AP369,Programma!$F$3:$I$1101,4,0),"")</f>
        <v>4w</v>
      </c>
      <c r="AT369" s="448" t="str">
        <f>_xlfn.IFNA(VLOOKUP($AP369,Programma!$F$3:$J$1101,5,0),"")</f>
        <v>1w</v>
      </c>
      <c r="AU369" s="448" t="str">
        <f>_xlfn.IFNA(VLOOKUP($AP369,Programma!$F$3:$K$1101,6,0),"")</f>
        <v>_</v>
      </c>
      <c r="AV369" s="448" t="str">
        <f>_xlfn.IFNA(VLOOKUP($AP369,Programma!$F$3:$L$1101,7,0),"")</f>
        <v>_</v>
      </c>
      <c r="AW369" s="448" t="str">
        <f>_xlfn.IFNA(VLOOKUP($AP369,Programma!$F$3:$M$1101,8,0),"")</f>
        <v>_</v>
      </c>
      <c r="AX369" s="448" t="str">
        <f>_xlfn.IFNA(VLOOKUP($AP369,Programma!$F$3:$N$1101,9,0),"")</f>
        <v>_</v>
      </c>
      <c r="AY369" s="448" t="str">
        <f>_xlfn.IFNA(VLOOKUP($AP369,Programma!$F$3:$O$1101,10,0),"")</f>
        <v>5w</v>
      </c>
      <c r="AZ369" s="448" t="str">
        <f>_xlfn.IFNA(VLOOKUP($AP369,Programma!$F$3:$P$1101,11,0),"")</f>
        <v>5w</v>
      </c>
      <c r="BA369" s="448" t="str">
        <f>_xlfn.IFNA(VLOOKUP($AP369,Programma!$F$3:$Q$1101,12,0),"")</f>
        <v>1w</v>
      </c>
      <c r="BB369" s="448" t="str">
        <f>_xlfn.IFNA(VLOOKUP($AP369,Programma!$F$3:$R$1101,13,0),"")</f>
        <v>1w</v>
      </c>
      <c r="BC369" s="448" t="str">
        <f>_xlfn.IFNA(VLOOKUP($AP369,Programma!$F$3:$S$1101,14,0),"")</f>
        <v>1m</v>
      </c>
      <c r="BD369" s="448" t="str">
        <f>_xlfn.IFNA(VLOOKUP($AP369,Programma!$F$3:$T$1101,15,0),"")</f>
        <v>2j</v>
      </c>
      <c r="BE369" s="448" t="str">
        <f>_xlfn.IFNA(VLOOKUP($AP369,Programma!$F$3:$U$1101,16,0),"")</f>
        <v>1j</v>
      </c>
      <c r="BF369" s="448" t="str">
        <f>_xlfn.IFNA(VLOOKUP($AP369,Programma!$F$3:$V$1101,17,0),"")</f>
        <v>_</v>
      </c>
      <c r="BG369" s="448" t="str">
        <f>_xlfn.IFNA(VLOOKUP($AP369,Programma!$F$3:$W$1101,18,0),"")</f>
        <v>_</v>
      </c>
      <c r="BH369" s="448" t="str">
        <f>_xlfn.IFNA(VLOOKUP($AP369,Programma!$F$3:$X$1101,19,0),"")</f>
        <v>_</v>
      </c>
      <c r="BI369" s="448" t="str">
        <f>_xlfn.IFNA(VLOOKUP($AP369,Programma!$F$3:$Y$1101,20,0),"")</f>
        <v>_</v>
      </c>
      <c r="BJ369" s="449"/>
      <c r="BK369" s="447" t="str">
        <f>IF(Ruimtestaat[[#This Row],[Frequentie weekend]]="","",_xlfn.CONCAT(Ruimtestaat[[#This Row],[Ruimte code]],"-",Ruimtestaat[[#This Row],[Frequentie weekend]]," ",Ruimtestaat[[#This Row],[Vloer code]]))</f>
        <v/>
      </c>
      <c r="BL369" s="448" t="str">
        <f>_xlfn.IFNA(VLOOKUP($BK369,Programma!$F$3:$G$1101,2,0),"")</f>
        <v/>
      </c>
      <c r="BM369" s="448" t="str">
        <f>_xlfn.IFNA(VLOOKUP($BK369,Programma!$F$3:$H$1101,3,0),"")</f>
        <v/>
      </c>
      <c r="BN369" s="448" t="str">
        <f>_xlfn.IFNA(VLOOKUP($BK369,Programma!$F$3:$I$1101,4,0),"")</f>
        <v/>
      </c>
      <c r="BO369" s="448" t="str">
        <f>_xlfn.IFNA(VLOOKUP($BK369,Programma!$F$3:$J$1101,5,0),"")</f>
        <v/>
      </c>
      <c r="BP369" s="448" t="str">
        <f>_xlfn.IFNA(VLOOKUP($BK369,Programma!$F$3:$K$1101,6,0),"")</f>
        <v/>
      </c>
      <c r="BQ369" s="448" t="str">
        <f>_xlfn.IFNA(VLOOKUP($BK369,Programma!$F$3:$L$1101,7,0),"")</f>
        <v/>
      </c>
      <c r="BR369" s="448" t="str">
        <f>_xlfn.IFNA(VLOOKUP($BK369,Programma!$F$3:$M$1101,8,0),"")</f>
        <v/>
      </c>
      <c r="BS369" s="448" t="str">
        <f>_xlfn.IFNA(VLOOKUP($BK369,Programma!$F$3:$N$1101,9,0),"")</f>
        <v/>
      </c>
      <c r="BT369" s="448" t="str">
        <f>_xlfn.IFNA(VLOOKUP($BK369,Programma!$F$3:$O$1101,10,0),"")</f>
        <v/>
      </c>
      <c r="BU369" s="448" t="str">
        <f>_xlfn.IFNA(VLOOKUP($BK369,Programma!$F$3:$P$1101,11,0),"")</f>
        <v/>
      </c>
      <c r="BV369" s="448" t="str">
        <f>_xlfn.IFNA(VLOOKUP($BK369,Programma!$F$3:$Q$1101,12,0),"")</f>
        <v/>
      </c>
      <c r="BW369" s="448" t="str">
        <f>_xlfn.IFNA(VLOOKUP($BK369,Programma!$F$3:$R$1101,13,0),"")</f>
        <v/>
      </c>
      <c r="BX369" s="448" t="str">
        <f>_xlfn.IFNA(VLOOKUP($BK369,Programma!$F$3:$S$1101,14,0),"")</f>
        <v/>
      </c>
      <c r="BY369" s="448" t="str">
        <f>_xlfn.IFNA(VLOOKUP($BK369,Programma!$F$3:$T$1101,15,0),"")</f>
        <v/>
      </c>
      <c r="BZ369" s="448" t="str">
        <f>_xlfn.IFNA(VLOOKUP($BK369,Programma!$F$3:$U$1101,16,0),"")</f>
        <v/>
      </c>
      <c r="CA369" s="448" t="str">
        <f>_xlfn.IFNA(VLOOKUP($BK369,Programma!$F$3:$V$1101,17,0),"")</f>
        <v/>
      </c>
      <c r="CB369" s="448" t="str">
        <f>_xlfn.IFNA(VLOOKUP($BK369,Programma!$F$3:$W$1101,18,0),"")</f>
        <v/>
      </c>
      <c r="CC369" s="448" t="str">
        <f>_xlfn.IFNA(VLOOKUP($BK369,Programma!$F$3:$X$1101,19,0),"")</f>
        <v/>
      </c>
      <c r="CD369" s="448" t="str">
        <f>_xlfn.IFNA(VLOOKUP($BK369,Programma!$F$3:$Y$1101,20,0),"")</f>
        <v/>
      </c>
      <c r="CE369" s="327"/>
      <c r="CF369" s="327"/>
      <c r="CG369" s="327"/>
      <c r="CH369" s="327"/>
      <c r="CI369" s="327"/>
      <c r="CJ369" s="327"/>
      <c r="CK369" s="327"/>
      <c r="CL369" s="327"/>
      <c r="CM369" s="327"/>
      <c r="CN369" s="327"/>
      <c r="CO369" s="327"/>
      <c r="CP369" s="327"/>
      <c r="CQ369" s="327"/>
      <c r="CR369" s="327"/>
      <c r="CS369" s="327"/>
      <c r="CT369" s="327"/>
      <c r="CU369" s="327"/>
      <c r="CV369" s="327"/>
      <c r="CW369" s="327"/>
      <c r="CX369" s="327"/>
      <c r="CY369" s="327"/>
      <c r="CZ369" s="327"/>
      <c r="DA369" s="327"/>
      <c r="DB369" s="327"/>
      <c r="DC369" s="327"/>
      <c r="DD369" s="327"/>
      <c r="DE369" s="327"/>
      <c r="DF369" s="327"/>
      <c r="DG369" s="327"/>
      <c r="DH369" s="327"/>
      <c r="DI369" s="327"/>
      <c r="DJ369" s="327"/>
      <c r="DK369" s="327"/>
      <c r="DL369" s="327"/>
      <c r="DM369" s="327"/>
      <c r="DN369" s="327"/>
      <c r="DO369" s="327"/>
      <c r="DP369" s="327"/>
      <c r="DQ369" s="327"/>
      <c r="DR369" s="327"/>
      <c r="DS369" s="327"/>
      <c r="DT369" s="327"/>
      <c r="DU369" s="327"/>
      <c r="DV369" s="327"/>
      <c r="DW369" s="327"/>
      <c r="DX369" s="327"/>
      <c r="DY369" s="327"/>
      <c r="DZ369" s="327"/>
      <c r="EA369" s="327"/>
      <c r="EB369" s="327"/>
      <c r="EC369" s="327"/>
      <c r="ED369" s="327"/>
      <c r="EE369" s="327"/>
      <c r="EF369" s="327"/>
      <c r="EG369" s="327"/>
      <c r="EH369" s="327"/>
      <c r="EI369" s="327"/>
      <c r="EJ369" s="327"/>
      <c r="EK369" s="327"/>
      <c r="EL369" s="327"/>
      <c r="EM369" s="327"/>
      <c r="EN369" s="327"/>
      <c r="EO369" s="327"/>
      <c r="EP369" s="327"/>
      <c r="EQ369" s="327"/>
      <c r="ER369" s="327"/>
      <c r="ES369" s="327"/>
      <c r="ET369" s="327"/>
      <c r="EU369" s="327"/>
      <c r="EV369" s="327"/>
      <c r="EW369" s="327"/>
      <c r="EX369" s="327"/>
      <c r="EY369" s="327"/>
      <c r="EZ369" s="327"/>
      <c r="FA369" s="327"/>
      <c r="FB369" s="327"/>
      <c r="FC369" s="327"/>
      <c r="FD369" s="327"/>
      <c r="FE369" s="327"/>
      <c r="FF369" s="327"/>
      <c r="FG369" s="327"/>
      <c r="FH369" s="327"/>
      <c r="FI369" s="327"/>
      <c r="FJ369" s="327"/>
      <c r="FK369" s="327"/>
      <c r="FL369" s="327"/>
      <c r="FM369" s="327"/>
      <c r="FN369" s="327"/>
      <c r="FO369" s="327"/>
      <c r="FP369" s="327"/>
      <c r="FQ369" s="327"/>
      <c r="FR369" s="327"/>
      <c r="FS369" s="327"/>
      <c r="FT369" s="327"/>
      <c r="FU369" s="327"/>
      <c r="FV369" s="327"/>
      <c r="FW369" s="327"/>
      <c r="FX369" s="327"/>
      <c r="FY369" s="327"/>
      <c r="FZ369" s="327"/>
      <c r="GA369" s="327"/>
      <c r="GB369" s="327"/>
      <c r="GC369" s="327"/>
      <c r="GD369" s="327"/>
      <c r="GE369" s="327"/>
      <c r="GF369" s="327"/>
      <c r="GG369" s="327"/>
      <c r="GH369" s="327"/>
      <c r="GI369" s="327"/>
      <c r="GJ369" s="327"/>
      <c r="GK369" s="327"/>
      <c r="GL369" s="327"/>
      <c r="GM369" s="327"/>
      <c r="GN369" s="327"/>
      <c r="GO369" s="327"/>
      <c r="GP369" s="327"/>
      <c r="GQ369" s="327"/>
      <c r="GR369" s="327"/>
      <c r="GS369" s="327"/>
      <c r="GT369" s="327"/>
      <c r="GU369" s="327"/>
      <c r="GV369" s="327"/>
      <c r="GW369" s="327"/>
      <c r="GX369" s="327"/>
      <c r="GY369" s="327"/>
      <c r="GZ369" s="327"/>
      <c r="HA369" s="327"/>
      <c r="HB369" s="327"/>
      <c r="HC369" s="327"/>
      <c r="HD369" s="327"/>
      <c r="HE369" s="327"/>
      <c r="HF369" s="327"/>
      <c r="HG369" s="327"/>
      <c r="HH369" s="327"/>
      <c r="HI369" s="327"/>
      <c r="HJ369" s="327"/>
      <c r="HK369" s="327"/>
      <c r="HL369" s="327"/>
      <c r="HM369" s="327"/>
      <c r="HN369" s="327"/>
      <c r="HO369" s="327"/>
      <c r="HP369" s="327"/>
      <c r="HQ369" s="327"/>
      <c r="HR369" s="327"/>
      <c r="HS369" s="327"/>
    </row>
    <row r="370" spans="1:227" ht="15" customHeight="1">
      <c r="A370" s="330">
        <v>15</v>
      </c>
      <c r="B370" s="435" t="str">
        <f>VLOOKUP(Ruimtestaat[[#This Row],[Code]],Locaties[[Code]:[Locatie]],2,FALSE)</f>
        <v>IKC  Da Vinci</v>
      </c>
      <c r="C370" s="435" t="str">
        <f>VLOOKUP(Ruimtestaat[[#This Row],[Code]],Locaties[[#All],[Code]:[Adres]],4,FALSE)</f>
        <v>Spitsbergen 17</v>
      </c>
      <c r="D370" s="435" t="str">
        <f>VLOOKUP(Ruimtestaat[[#This Row],[Code]],Locaties[[#All],[Code]:[Postcode]],5,FALSE)</f>
        <v>2721 GP</v>
      </c>
      <c r="E370" s="435" t="str">
        <f>VLOOKUP(Ruimtestaat[[#This Row],[Code]],Locaties[#All],6,FALSE)</f>
        <v>Zoetermeer</v>
      </c>
      <c r="F370" s="450"/>
      <c r="G370" s="330" t="s">
        <v>1769</v>
      </c>
      <c r="H370" s="330" t="s">
        <v>1734</v>
      </c>
      <c r="I370" s="450" t="s">
        <v>1690</v>
      </c>
      <c r="J370" s="330">
        <v>16</v>
      </c>
      <c r="K370" s="450" t="str">
        <f>VLOOKUP(Ruimtestaat[[#This Row],[Ruimte code]],Ruimtegroepen[[#All],[Code]:[Ruimte omschrijving]],2,FALSE)</f>
        <v>Leslokalen</v>
      </c>
      <c r="L370" s="434" t="s">
        <v>100</v>
      </c>
      <c r="M370" s="437" t="s">
        <v>1759</v>
      </c>
      <c r="N370" s="439">
        <v>55</v>
      </c>
      <c r="O370" s="439"/>
      <c r="P370" s="439"/>
      <c r="Q370" s="439"/>
      <c r="R370" s="440" t="str">
        <f>VLOOKUP(Ruimtestaat[[#This Row],[Ruimte code]],Ruimtegroepen[],4,FALSE)</f>
        <v>Le</v>
      </c>
      <c r="S370" s="434">
        <v>40</v>
      </c>
      <c r="T370" s="434" t="s">
        <v>2</v>
      </c>
      <c r="U370" s="434">
        <f>IF(S370&gt;0,IF(RIGHT(Ruimtestaat[[#This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0" s="434">
        <f>IF(U370&gt;0,VLOOKUP($J370,Ruimtegroepen[],3,FALSE)*VLOOKUP($L370,Vloersoorten[],3,FALSE)*VLOOKUP($T370,Frequenties[],3,FALSE)*VLOOKUP($A370,Locaties[],3,FALSE),0)</f>
        <v>0</v>
      </c>
      <c r="W370" s="434">
        <f>Ruimtestaat[[#This Row],[Uitvoeringen werkdagen]]*Ruimtestaat[[#This Row],[Oppervlak (netto)]]</f>
        <v>11000</v>
      </c>
      <c r="X370" s="441">
        <f>IF(V370&gt;0,Ruimtestaat[[#This Row],[Prest. (m2 /jaar) werkdagen]]/Ruimtestaat[[#This Row],[Norm (m2/uur) werkdagen]],0)</f>
        <v>0</v>
      </c>
      <c r="Y370" s="442">
        <f>Ruimtestaat[[#This Row],[Uitvoeringen werkdagen]]*Ruimtestaat[[#This Row],[Gedeeltelijk]]</f>
        <v>0</v>
      </c>
      <c r="Z370" s="443" t="e">
        <f>IF(U370&gt;0,Ruimtestaat[[#This Row],[Prest. (m2 / jaar) werkdagen gedeeld]]/Ruimtestaat[[#This Row],[Norm (m2/uur) werkdagen]],0)</f>
        <v>#DIV/0!</v>
      </c>
      <c r="AA370" s="441" t="e">
        <f>Ruimtestaat[[#This Row],[uren / jaar werkdagen gedeeld]]*Tariefsopbouw!$E$35</f>
        <v>#DIV/0!</v>
      </c>
      <c r="AB370" s="441">
        <f>Ruimtestaat[[#This Row],[Uitvoeringen werkdagen]]*Ruimtestaat[[#This Row],[BSO]]</f>
        <v>0</v>
      </c>
      <c r="AC370" s="443" t="e">
        <f>IF(U370&gt;0,Ruimtestaat[[#This Row],[Prest. (m2 / jaar) werkdagen BSO]]/Ruimtestaat[[#This Row],[Norm (m2/uur) werkdagen]],0)</f>
        <v>#DIV/0!</v>
      </c>
      <c r="AD370" s="443" t="e">
        <f>Ruimtestaat[[#This Row],[uren / jaar werkdagen BSO]]*Tariefsopbouw!$E$35</f>
        <v>#DIV/0!</v>
      </c>
      <c r="AE370" s="444">
        <f>Ruimtestaat[[#This Row],[uren / jaar werkdagen]]*Tariefsopbouw!$E$35</f>
        <v>0</v>
      </c>
      <c r="AF370" s="434"/>
      <c r="AG370" s="434">
        <f>IF(Ruimtestaat[[#This Row],[Frequentie weekend]]&gt;0,VALUE(LEFT(AF370,1))*S370,0)</f>
        <v>0</v>
      </c>
      <c r="AH370" s="445">
        <f>IF($AG370&gt;0,VLOOKUP($J370,Ruimtegroepen[],3,FALSE)*VLOOKUP($L370,Vloersoorten[],3,FALSE)*VLOOKUP($AF370,Frequenties[],3,FALSE)*VLOOKUP(Ruimtestaat[[#This Row],[Code]],Locaties[],3,FALSE),0)</f>
        <v>0</v>
      </c>
      <c r="AI370" s="445">
        <f>Ruimtestaat[[#This Row],[Uitvoeringen weekend]]*Ruimtestaat[[#This Row],[Oppervlak (netto)]]</f>
        <v>0</v>
      </c>
      <c r="AJ370" s="445">
        <f>IF(AH370&gt;0,Ruimtestaat[[#This Row],[Prest. (m2 /jaar) weekend]]/Ruimtestaat[[#This Row],[Norm (m2/uur) weekend]],0)</f>
        <v>0</v>
      </c>
      <c r="AK370" s="444">
        <f>Ruimtestaat[[#This Row],[uren / jaar weekend]]*Tariefsopbouw!$D$40</f>
        <v>0</v>
      </c>
      <c r="AL370" s="441">
        <f>Ruimtestaat[[#This Row],[Prest. (m2 /jaar) weekend]]+Ruimtestaat[[#This Row],[Prest. (m2 /jaar) werkdagen]]</f>
        <v>11000</v>
      </c>
      <c r="AM370" s="441">
        <f>Ruimtestaat[[#This Row],[uren / jaar weekend]]+Ruimtestaat[[#This Row],[uren / jaar werkdagen]]</f>
        <v>0</v>
      </c>
      <c r="AN370" s="446">
        <f>Ruimtestaat[[#This Row],[kosten / jaar weekend]]+Ruimtestaat[[#This Row],[kosten / jaar werkdagen]]</f>
        <v>0</v>
      </c>
      <c r="AO370" s="446"/>
      <c r="AP370" s="447" t="str">
        <f>IF(Ruimtestaat[[#This Row],[Frequentie werkdagen]]="","",_xlfn.CONCAT(Ruimtestaat[[#This Row],[Ruimte code]],"-",Ruimtestaat[[#This Row],[Frequentie werkdagen]]," ",Ruimtestaat[[#This Row],[Vloer code]]))</f>
        <v>16-5w L</v>
      </c>
      <c r="AQ370" s="448" t="str">
        <f>_xlfn.IFNA(VLOOKUP($AP370,Programma!$F$3:$G$1101,2,0),"")</f>
        <v>_</v>
      </c>
      <c r="AR370" s="448" t="str">
        <f>_xlfn.IFNA(VLOOKUP($AP370,Programma!$F$3:$H$1101,3,0),"")</f>
        <v>_</v>
      </c>
      <c r="AS370" s="448" t="str">
        <f>_xlfn.IFNA(VLOOKUP($AP370,Programma!$F$3:$I$1101,4,0),"")</f>
        <v>4w</v>
      </c>
      <c r="AT370" s="448" t="str">
        <f>_xlfn.IFNA(VLOOKUP($AP370,Programma!$F$3:$J$1101,5,0),"")</f>
        <v>1w</v>
      </c>
      <c r="AU370" s="448" t="str">
        <f>_xlfn.IFNA(VLOOKUP($AP370,Programma!$F$3:$K$1101,6,0),"")</f>
        <v>_</v>
      </c>
      <c r="AV370" s="448" t="str">
        <f>_xlfn.IFNA(VLOOKUP($AP370,Programma!$F$3:$L$1101,7,0),"")</f>
        <v>_</v>
      </c>
      <c r="AW370" s="448" t="str">
        <f>_xlfn.IFNA(VLOOKUP($AP370,Programma!$F$3:$M$1101,8,0),"")</f>
        <v>_</v>
      </c>
      <c r="AX370" s="448" t="str">
        <f>_xlfn.IFNA(VLOOKUP($AP370,Programma!$F$3:$N$1101,9,0),"")</f>
        <v>_</v>
      </c>
      <c r="AY370" s="448" t="str">
        <f>_xlfn.IFNA(VLOOKUP($AP370,Programma!$F$3:$O$1101,10,0),"")</f>
        <v>5w</v>
      </c>
      <c r="AZ370" s="448" t="str">
        <f>_xlfn.IFNA(VLOOKUP($AP370,Programma!$F$3:$P$1101,11,0),"")</f>
        <v>5w</v>
      </c>
      <c r="BA370" s="448" t="str">
        <f>_xlfn.IFNA(VLOOKUP($AP370,Programma!$F$3:$Q$1101,12,0),"")</f>
        <v>1w</v>
      </c>
      <c r="BB370" s="448" t="str">
        <f>_xlfn.IFNA(VLOOKUP($AP370,Programma!$F$3:$R$1101,13,0),"")</f>
        <v>1w</v>
      </c>
      <c r="BC370" s="448" t="str">
        <f>_xlfn.IFNA(VLOOKUP($AP370,Programma!$F$3:$S$1101,14,0),"")</f>
        <v>1m</v>
      </c>
      <c r="BD370" s="448" t="str">
        <f>_xlfn.IFNA(VLOOKUP($AP370,Programma!$F$3:$T$1101,15,0),"")</f>
        <v>2j</v>
      </c>
      <c r="BE370" s="448" t="str">
        <f>_xlfn.IFNA(VLOOKUP($AP370,Programma!$F$3:$U$1101,16,0),"")</f>
        <v>1j</v>
      </c>
      <c r="BF370" s="448" t="str">
        <f>_xlfn.IFNA(VLOOKUP($AP370,Programma!$F$3:$V$1101,17,0),"")</f>
        <v>_</v>
      </c>
      <c r="BG370" s="448" t="str">
        <f>_xlfn.IFNA(VLOOKUP($AP370,Programma!$F$3:$W$1101,18,0),"")</f>
        <v>_</v>
      </c>
      <c r="BH370" s="448" t="str">
        <f>_xlfn.IFNA(VLOOKUP($AP370,Programma!$F$3:$X$1101,19,0),"")</f>
        <v>_</v>
      </c>
      <c r="BI370" s="448" t="str">
        <f>_xlfn.IFNA(VLOOKUP($AP370,Programma!$F$3:$Y$1101,20,0),"")</f>
        <v>_</v>
      </c>
      <c r="BJ370" s="449"/>
      <c r="BK370" s="447" t="str">
        <f>IF(Ruimtestaat[[#This Row],[Frequentie weekend]]="","",_xlfn.CONCAT(Ruimtestaat[[#This Row],[Ruimte code]],"-",Ruimtestaat[[#This Row],[Frequentie weekend]]," ",Ruimtestaat[[#This Row],[Vloer code]]))</f>
        <v/>
      </c>
      <c r="BL370" s="448" t="str">
        <f>_xlfn.IFNA(VLOOKUP($BK370,Programma!$F$3:$G$1101,2,0),"")</f>
        <v/>
      </c>
      <c r="BM370" s="448" t="str">
        <f>_xlfn.IFNA(VLOOKUP($BK370,Programma!$F$3:$H$1101,3,0),"")</f>
        <v/>
      </c>
      <c r="BN370" s="448" t="str">
        <f>_xlfn.IFNA(VLOOKUP($BK370,Programma!$F$3:$I$1101,4,0),"")</f>
        <v/>
      </c>
      <c r="BO370" s="448" t="str">
        <f>_xlfn.IFNA(VLOOKUP($BK370,Programma!$F$3:$J$1101,5,0),"")</f>
        <v/>
      </c>
      <c r="BP370" s="448" t="str">
        <f>_xlfn.IFNA(VLOOKUP($BK370,Programma!$F$3:$K$1101,6,0),"")</f>
        <v/>
      </c>
      <c r="BQ370" s="448" t="str">
        <f>_xlfn.IFNA(VLOOKUP($BK370,Programma!$F$3:$L$1101,7,0),"")</f>
        <v/>
      </c>
      <c r="BR370" s="448" t="str">
        <f>_xlfn.IFNA(VLOOKUP($BK370,Programma!$F$3:$M$1101,8,0),"")</f>
        <v/>
      </c>
      <c r="BS370" s="448" t="str">
        <f>_xlfn.IFNA(VLOOKUP($BK370,Programma!$F$3:$N$1101,9,0),"")</f>
        <v/>
      </c>
      <c r="BT370" s="448" t="str">
        <f>_xlfn.IFNA(VLOOKUP($BK370,Programma!$F$3:$O$1101,10,0),"")</f>
        <v/>
      </c>
      <c r="BU370" s="448" t="str">
        <f>_xlfn.IFNA(VLOOKUP($BK370,Programma!$F$3:$P$1101,11,0),"")</f>
        <v/>
      </c>
      <c r="BV370" s="448" t="str">
        <f>_xlfn.IFNA(VLOOKUP($BK370,Programma!$F$3:$Q$1101,12,0),"")</f>
        <v/>
      </c>
      <c r="BW370" s="448" t="str">
        <f>_xlfn.IFNA(VLOOKUP($BK370,Programma!$F$3:$R$1101,13,0),"")</f>
        <v/>
      </c>
      <c r="BX370" s="448" t="str">
        <f>_xlfn.IFNA(VLOOKUP($BK370,Programma!$F$3:$S$1101,14,0),"")</f>
        <v/>
      </c>
      <c r="BY370" s="448" t="str">
        <f>_xlfn.IFNA(VLOOKUP($BK370,Programma!$F$3:$T$1101,15,0),"")</f>
        <v/>
      </c>
      <c r="BZ370" s="448" t="str">
        <f>_xlfn.IFNA(VLOOKUP($BK370,Programma!$F$3:$U$1101,16,0),"")</f>
        <v/>
      </c>
      <c r="CA370" s="448" t="str">
        <f>_xlfn.IFNA(VLOOKUP($BK370,Programma!$F$3:$V$1101,17,0),"")</f>
        <v/>
      </c>
      <c r="CB370" s="448" t="str">
        <f>_xlfn.IFNA(VLOOKUP($BK370,Programma!$F$3:$W$1101,18,0),"")</f>
        <v/>
      </c>
      <c r="CC370" s="448" t="str">
        <f>_xlfn.IFNA(VLOOKUP($BK370,Programma!$F$3:$X$1101,19,0),"")</f>
        <v/>
      </c>
      <c r="CD370" s="448" t="str">
        <f>_xlfn.IFNA(VLOOKUP($BK370,Programma!$F$3:$Y$1101,20,0),"")</f>
        <v/>
      </c>
      <c r="CE370" s="327"/>
      <c r="CF370" s="327"/>
      <c r="CG370" s="327"/>
      <c r="CH370" s="327"/>
      <c r="CI370" s="327"/>
      <c r="CJ370" s="327"/>
      <c r="CK370" s="327"/>
      <c r="CL370" s="327"/>
      <c r="CM370" s="327"/>
      <c r="CN370" s="327"/>
      <c r="CO370" s="327"/>
      <c r="CP370" s="327"/>
      <c r="CQ370" s="327"/>
      <c r="CR370" s="327"/>
      <c r="CS370" s="327"/>
      <c r="CT370" s="327"/>
      <c r="CU370" s="327"/>
      <c r="CV370" s="327"/>
      <c r="CW370" s="327"/>
      <c r="CX370" s="327"/>
      <c r="CY370" s="327"/>
      <c r="CZ370" s="327"/>
      <c r="DA370" s="327"/>
      <c r="DB370" s="327"/>
      <c r="DC370" s="327"/>
      <c r="DD370" s="327"/>
      <c r="DE370" s="327"/>
      <c r="DF370" s="327"/>
      <c r="DG370" s="327"/>
      <c r="DH370" s="327"/>
      <c r="DI370" s="327"/>
      <c r="DJ370" s="327"/>
      <c r="DK370" s="327"/>
      <c r="DL370" s="327"/>
      <c r="DM370" s="327"/>
      <c r="DN370" s="327"/>
      <c r="DO370" s="327"/>
      <c r="DP370" s="327"/>
      <c r="DQ370" s="327"/>
      <c r="DR370" s="327"/>
      <c r="DS370" s="327"/>
      <c r="DT370" s="327"/>
      <c r="DU370" s="327"/>
      <c r="DV370" s="327"/>
      <c r="DW370" s="327"/>
      <c r="DX370" s="327"/>
      <c r="DY370" s="327"/>
      <c r="DZ370" s="327"/>
      <c r="EA370" s="327"/>
      <c r="EB370" s="327"/>
      <c r="EC370" s="327"/>
      <c r="ED370" s="327"/>
      <c r="EE370" s="327"/>
      <c r="EF370" s="327"/>
      <c r="EG370" s="327"/>
      <c r="EH370" s="327"/>
      <c r="EI370" s="327"/>
      <c r="EJ370" s="327"/>
      <c r="EK370" s="327"/>
      <c r="EL370" s="327"/>
      <c r="EM370" s="327"/>
      <c r="EN370" s="327"/>
      <c r="EO370" s="327"/>
      <c r="EP370" s="327"/>
      <c r="EQ370" s="327"/>
      <c r="ER370" s="327"/>
      <c r="ES370" s="327"/>
      <c r="ET370" s="327"/>
      <c r="EU370" s="327"/>
      <c r="EV370" s="327"/>
      <c r="EW370" s="327"/>
      <c r="EX370" s="327"/>
      <c r="EY370" s="327"/>
      <c r="EZ370" s="327"/>
      <c r="FA370" s="327"/>
      <c r="FB370" s="327"/>
      <c r="FC370" s="327"/>
      <c r="FD370" s="327"/>
      <c r="FE370" s="327"/>
      <c r="FF370" s="327"/>
      <c r="FG370" s="327"/>
      <c r="FH370" s="327"/>
      <c r="FI370" s="327"/>
      <c r="FJ370" s="327"/>
      <c r="FK370" s="327"/>
      <c r="FL370" s="327"/>
      <c r="FM370" s="327"/>
      <c r="FN370" s="327"/>
      <c r="FO370" s="327"/>
      <c r="FP370" s="327"/>
      <c r="FQ370" s="327"/>
      <c r="FR370" s="327"/>
      <c r="FS370" s="327"/>
      <c r="FT370" s="327"/>
      <c r="FU370" s="327"/>
      <c r="FV370" s="327"/>
      <c r="FW370" s="327"/>
      <c r="FX370" s="327"/>
      <c r="FY370" s="327"/>
      <c r="FZ370" s="327"/>
      <c r="GA370" s="327"/>
      <c r="GB370" s="327"/>
      <c r="GC370" s="327"/>
      <c r="GD370" s="327"/>
      <c r="GE370" s="327"/>
      <c r="GF370" s="327"/>
      <c r="GG370" s="327"/>
      <c r="GH370" s="327"/>
      <c r="GI370" s="327"/>
      <c r="GJ370" s="327"/>
      <c r="GK370" s="327"/>
      <c r="GL370" s="327"/>
      <c r="GM370" s="327"/>
      <c r="GN370" s="327"/>
      <c r="GO370" s="327"/>
      <c r="GP370" s="327"/>
      <c r="GQ370" s="327"/>
      <c r="GR370" s="327"/>
      <c r="GS370" s="327"/>
      <c r="GT370" s="327"/>
      <c r="GU370" s="327"/>
      <c r="GV370" s="327"/>
      <c r="GW370" s="327"/>
      <c r="GX370" s="327"/>
      <c r="GY370" s="327"/>
      <c r="GZ370" s="327"/>
      <c r="HA370" s="327"/>
      <c r="HB370" s="327"/>
      <c r="HC370" s="327"/>
      <c r="HD370" s="327"/>
      <c r="HE370" s="327"/>
      <c r="HF370" s="327"/>
      <c r="HG370" s="327"/>
      <c r="HH370" s="327"/>
      <c r="HI370" s="327"/>
      <c r="HJ370" s="327"/>
      <c r="HK370" s="327"/>
      <c r="HL370" s="327"/>
      <c r="HM370" s="327"/>
      <c r="HN370" s="327"/>
      <c r="HO370" s="327"/>
      <c r="HP370" s="327"/>
      <c r="HQ370" s="327"/>
      <c r="HR370" s="327"/>
      <c r="HS370" s="327"/>
    </row>
    <row r="371" spans="1:227" ht="15" customHeight="1">
      <c r="A371" s="330">
        <v>15</v>
      </c>
      <c r="B371" s="435" t="str">
        <f>VLOOKUP(Ruimtestaat[[#This Row],[Code]],Locaties[[Code]:[Locatie]],2,FALSE)</f>
        <v>IKC  Da Vinci</v>
      </c>
      <c r="C371" s="435" t="str">
        <f>VLOOKUP(Ruimtestaat[[#This Row],[Code]],Locaties[[#All],[Code]:[Adres]],4,FALSE)</f>
        <v>Spitsbergen 17</v>
      </c>
      <c r="D371" s="435" t="str">
        <f>VLOOKUP(Ruimtestaat[[#This Row],[Code]],Locaties[[#All],[Code]:[Postcode]],5,FALSE)</f>
        <v>2721 GP</v>
      </c>
      <c r="E371" s="435" t="str">
        <f>VLOOKUP(Ruimtestaat[[#This Row],[Code]],Locaties[#All],6,FALSE)</f>
        <v>Zoetermeer</v>
      </c>
      <c r="F371" s="450"/>
      <c r="G371" s="330" t="s">
        <v>1769</v>
      </c>
      <c r="H371" s="330" t="s">
        <v>1706</v>
      </c>
      <c r="I371" s="450" t="s">
        <v>1666</v>
      </c>
      <c r="J371" s="330">
        <v>2</v>
      </c>
      <c r="K371" s="450" t="str">
        <f>VLOOKUP(Ruimtestaat[[#This Row],[Ruimte code]],Ruimtegroepen[[#All],[Code]:[Ruimte omschrijving]],2,FALSE)</f>
        <v>Kantoren</v>
      </c>
      <c r="L371" s="434" t="s">
        <v>100</v>
      </c>
      <c r="M371" s="437" t="s">
        <v>1759</v>
      </c>
      <c r="N371" s="439">
        <v>32</v>
      </c>
      <c r="O371" s="439"/>
      <c r="P371" s="439"/>
      <c r="Q371" s="439"/>
      <c r="R371" s="440" t="str">
        <f>VLOOKUP(Ruimtestaat[[#This Row],[Ruimte code]],Ruimtegroepen[],4,FALSE)</f>
        <v>Bu</v>
      </c>
      <c r="S371" s="434">
        <v>41</v>
      </c>
      <c r="T371" s="434" t="s">
        <v>17</v>
      </c>
      <c r="U371" s="434">
        <f>IF(S371&gt;0,IF(RIGHT(Ruimtestaat[[#This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71" s="434">
        <f>IF(U371&gt;0,VLOOKUP($J371,Ruimtegroepen[],3,FALSE)*VLOOKUP($L371,Vloersoorten[],3,FALSE)*VLOOKUP($T371,Frequenties[],3,FALSE)*VLOOKUP($A371,Locaties[],3,FALSE),0)</f>
        <v>0</v>
      </c>
      <c r="W371" s="434">
        <f>Ruimtestaat[[#This Row],[Uitvoeringen werkdagen]]*Ruimtestaat[[#This Row],[Oppervlak (netto)]]</f>
        <v>2624</v>
      </c>
      <c r="X371" s="441">
        <f>IF(V371&gt;0,Ruimtestaat[[#This Row],[Prest. (m2 /jaar) werkdagen]]/Ruimtestaat[[#This Row],[Norm (m2/uur) werkdagen]],0)</f>
        <v>0</v>
      </c>
      <c r="Y371" s="442">
        <f>Ruimtestaat[[#This Row],[Uitvoeringen werkdagen]]*Ruimtestaat[[#This Row],[Gedeeltelijk]]</f>
        <v>0</v>
      </c>
      <c r="Z371" s="443" t="e">
        <f>IF(U371&gt;0,Ruimtestaat[[#This Row],[Prest. (m2 / jaar) werkdagen gedeeld]]/Ruimtestaat[[#This Row],[Norm (m2/uur) werkdagen]],0)</f>
        <v>#DIV/0!</v>
      </c>
      <c r="AA371" s="441" t="e">
        <f>Ruimtestaat[[#This Row],[uren / jaar werkdagen gedeeld]]*Tariefsopbouw!$E$35</f>
        <v>#DIV/0!</v>
      </c>
      <c r="AB371" s="441">
        <f>Ruimtestaat[[#This Row],[Uitvoeringen werkdagen]]*Ruimtestaat[[#This Row],[BSO]]</f>
        <v>0</v>
      </c>
      <c r="AC371" s="443" t="e">
        <f>IF(U371&gt;0,Ruimtestaat[[#This Row],[Prest. (m2 / jaar) werkdagen BSO]]/Ruimtestaat[[#This Row],[Norm (m2/uur) werkdagen]],0)</f>
        <v>#DIV/0!</v>
      </c>
      <c r="AD371" s="443" t="e">
        <f>Ruimtestaat[[#This Row],[uren / jaar werkdagen BSO]]*Tariefsopbouw!$E$35</f>
        <v>#DIV/0!</v>
      </c>
      <c r="AE371" s="444">
        <f>Ruimtestaat[[#This Row],[uren / jaar werkdagen]]*Tariefsopbouw!$E$35</f>
        <v>0</v>
      </c>
      <c r="AF371" s="434"/>
      <c r="AG371" s="434">
        <f>IF(Ruimtestaat[[#This Row],[Frequentie weekend]]&gt;0,VALUE(LEFT(AF371,1))*S371,0)</f>
        <v>0</v>
      </c>
      <c r="AH371" s="445">
        <f>IF($AG371&gt;0,VLOOKUP($J371,Ruimtegroepen[],3,FALSE)*VLOOKUP($L371,Vloersoorten[],3,FALSE)*VLOOKUP($AF371,Frequenties[],3,FALSE)*VLOOKUP(Ruimtestaat[[#This Row],[Code]],Locaties[],3,FALSE),0)</f>
        <v>0</v>
      </c>
      <c r="AI371" s="445">
        <f>Ruimtestaat[[#This Row],[Uitvoeringen weekend]]*Ruimtestaat[[#This Row],[Oppervlak (netto)]]</f>
        <v>0</v>
      </c>
      <c r="AJ371" s="445">
        <f>IF(AH371&gt;0,Ruimtestaat[[#This Row],[Prest. (m2 /jaar) weekend]]/Ruimtestaat[[#This Row],[Norm (m2/uur) weekend]],0)</f>
        <v>0</v>
      </c>
      <c r="AK371" s="444">
        <f>Ruimtestaat[[#This Row],[uren / jaar weekend]]*Tariefsopbouw!$D$40</f>
        <v>0</v>
      </c>
      <c r="AL371" s="441">
        <f>Ruimtestaat[[#This Row],[Prest. (m2 /jaar) weekend]]+Ruimtestaat[[#This Row],[Prest. (m2 /jaar) werkdagen]]</f>
        <v>2624</v>
      </c>
      <c r="AM371" s="441">
        <f>Ruimtestaat[[#This Row],[uren / jaar weekend]]+Ruimtestaat[[#This Row],[uren / jaar werkdagen]]</f>
        <v>0</v>
      </c>
      <c r="AN371" s="446">
        <f>Ruimtestaat[[#This Row],[kosten / jaar weekend]]+Ruimtestaat[[#This Row],[kosten / jaar werkdagen]]</f>
        <v>0</v>
      </c>
      <c r="AO371" s="446"/>
      <c r="AP371" s="447" t="str">
        <f>IF(Ruimtestaat[[#This Row],[Frequentie werkdagen]]="","",_xlfn.CONCAT(Ruimtestaat[[#This Row],[Ruimte code]],"-",Ruimtestaat[[#This Row],[Frequentie werkdagen]]," ",Ruimtestaat[[#This Row],[Vloer code]]))</f>
        <v>2-2w L</v>
      </c>
      <c r="AQ371" s="448" t="str">
        <f>_xlfn.IFNA(VLOOKUP($AP371,Programma!$F$3:$G$1101,2,0),"")</f>
        <v>_</v>
      </c>
      <c r="AR371" s="448" t="str">
        <f>_xlfn.IFNA(VLOOKUP($AP371,Programma!$F$3:$H$1101,3,0),"")</f>
        <v>_</v>
      </c>
      <c r="AS371" s="448" t="str">
        <f>_xlfn.IFNA(VLOOKUP($AP371,Programma!$F$3:$I$1101,4,0),"")</f>
        <v>1w</v>
      </c>
      <c r="AT371" s="448" t="str">
        <f>_xlfn.IFNA(VLOOKUP($AP371,Programma!$F$3:$J$1101,5,0),"")</f>
        <v>1w</v>
      </c>
      <c r="AU371" s="448" t="str">
        <f>_xlfn.IFNA(VLOOKUP($AP371,Programma!$F$3:$K$1101,6,0),"")</f>
        <v>_</v>
      </c>
      <c r="AV371" s="448" t="str">
        <f>_xlfn.IFNA(VLOOKUP($AP371,Programma!$F$3:$L$1101,7,0),"")</f>
        <v>_</v>
      </c>
      <c r="AW371" s="448" t="str">
        <f>_xlfn.IFNA(VLOOKUP($AP371,Programma!$F$3:$M$1101,8,0),"")</f>
        <v>_</v>
      </c>
      <c r="AX371" s="448" t="str">
        <f>_xlfn.IFNA(VLOOKUP($AP371,Programma!$F$3:$N$1101,9,0),"")</f>
        <v>_</v>
      </c>
      <c r="AY371" s="448" t="str">
        <f>_xlfn.IFNA(VLOOKUP($AP371,Programma!$F$3:$O$1101,10,0),"")</f>
        <v>2w</v>
      </c>
      <c r="AZ371" s="448" t="str">
        <f>_xlfn.IFNA(VLOOKUP($AP371,Programma!$F$3:$P$1101,11,0),"")</f>
        <v>2w</v>
      </c>
      <c r="BA371" s="448" t="str">
        <f>_xlfn.IFNA(VLOOKUP($AP371,Programma!$F$3:$Q$1101,12,0),"")</f>
        <v>1w</v>
      </c>
      <c r="BB371" s="448" t="str">
        <f>_xlfn.IFNA(VLOOKUP($AP371,Programma!$F$3:$R$1101,13,0),"")</f>
        <v>1w</v>
      </c>
      <c r="BC371" s="448" t="str">
        <f>_xlfn.IFNA(VLOOKUP($AP371,Programma!$F$3:$S$1101,14,0),"")</f>
        <v>1m</v>
      </c>
      <c r="BD371" s="448" t="str">
        <f>_xlfn.IFNA(VLOOKUP($AP371,Programma!$F$3:$T$1101,15,0),"")</f>
        <v>2j</v>
      </c>
      <c r="BE371" s="448" t="str">
        <f>_xlfn.IFNA(VLOOKUP($AP371,Programma!$F$3:$U$1101,16,0),"")</f>
        <v>1j</v>
      </c>
      <c r="BF371" s="448" t="str">
        <f>_xlfn.IFNA(VLOOKUP($AP371,Programma!$F$3:$V$1101,17,0),"")</f>
        <v>_</v>
      </c>
      <c r="BG371" s="448" t="str">
        <f>_xlfn.IFNA(VLOOKUP($AP371,Programma!$F$3:$W$1101,18,0),"")</f>
        <v>_</v>
      </c>
      <c r="BH371" s="448" t="str">
        <f>_xlfn.IFNA(VLOOKUP($AP371,Programma!$F$3:$X$1101,19,0),"")</f>
        <v>_</v>
      </c>
      <c r="BI371" s="448" t="str">
        <f>_xlfn.IFNA(VLOOKUP($AP371,Programma!$F$3:$Y$1101,20,0),"")</f>
        <v>_</v>
      </c>
      <c r="BJ371" s="449"/>
      <c r="BK371" s="447" t="str">
        <f>IF(Ruimtestaat[[#This Row],[Frequentie weekend]]="","",_xlfn.CONCAT(Ruimtestaat[[#This Row],[Ruimte code]],"-",Ruimtestaat[[#This Row],[Frequentie weekend]]," ",Ruimtestaat[[#This Row],[Vloer code]]))</f>
        <v/>
      </c>
      <c r="BL371" s="448" t="str">
        <f>_xlfn.IFNA(VLOOKUP($BK371,Programma!$F$3:$G$1101,2,0),"")</f>
        <v/>
      </c>
      <c r="BM371" s="448" t="str">
        <f>_xlfn.IFNA(VLOOKUP($BK371,Programma!$F$3:$H$1101,3,0),"")</f>
        <v/>
      </c>
      <c r="BN371" s="448" t="str">
        <f>_xlfn.IFNA(VLOOKUP($BK371,Programma!$F$3:$I$1101,4,0),"")</f>
        <v/>
      </c>
      <c r="BO371" s="448" t="str">
        <f>_xlfn.IFNA(VLOOKUP($BK371,Programma!$F$3:$J$1101,5,0),"")</f>
        <v/>
      </c>
      <c r="BP371" s="448" t="str">
        <f>_xlfn.IFNA(VLOOKUP($BK371,Programma!$F$3:$K$1101,6,0),"")</f>
        <v/>
      </c>
      <c r="BQ371" s="448" t="str">
        <f>_xlfn.IFNA(VLOOKUP($BK371,Programma!$F$3:$L$1101,7,0),"")</f>
        <v/>
      </c>
      <c r="BR371" s="448" t="str">
        <f>_xlfn.IFNA(VLOOKUP($BK371,Programma!$F$3:$M$1101,8,0),"")</f>
        <v/>
      </c>
      <c r="BS371" s="448" t="str">
        <f>_xlfn.IFNA(VLOOKUP($BK371,Programma!$F$3:$N$1101,9,0),"")</f>
        <v/>
      </c>
      <c r="BT371" s="448" t="str">
        <f>_xlfn.IFNA(VLOOKUP($BK371,Programma!$F$3:$O$1101,10,0),"")</f>
        <v/>
      </c>
      <c r="BU371" s="448" t="str">
        <f>_xlfn.IFNA(VLOOKUP($BK371,Programma!$F$3:$P$1101,11,0),"")</f>
        <v/>
      </c>
      <c r="BV371" s="448" t="str">
        <f>_xlfn.IFNA(VLOOKUP($BK371,Programma!$F$3:$Q$1101,12,0),"")</f>
        <v/>
      </c>
      <c r="BW371" s="448" t="str">
        <f>_xlfn.IFNA(VLOOKUP($BK371,Programma!$F$3:$R$1101,13,0),"")</f>
        <v/>
      </c>
      <c r="BX371" s="448" t="str">
        <f>_xlfn.IFNA(VLOOKUP($BK371,Programma!$F$3:$S$1101,14,0),"")</f>
        <v/>
      </c>
      <c r="BY371" s="448" t="str">
        <f>_xlfn.IFNA(VLOOKUP($BK371,Programma!$F$3:$T$1101,15,0),"")</f>
        <v/>
      </c>
      <c r="BZ371" s="448" t="str">
        <f>_xlfn.IFNA(VLOOKUP($BK371,Programma!$F$3:$U$1101,16,0),"")</f>
        <v/>
      </c>
      <c r="CA371" s="448" t="str">
        <f>_xlfn.IFNA(VLOOKUP($BK371,Programma!$F$3:$V$1101,17,0),"")</f>
        <v/>
      </c>
      <c r="CB371" s="448" t="str">
        <f>_xlfn.IFNA(VLOOKUP($BK371,Programma!$F$3:$W$1101,18,0),"")</f>
        <v/>
      </c>
      <c r="CC371" s="448" t="str">
        <f>_xlfn.IFNA(VLOOKUP($BK371,Programma!$F$3:$X$1101,19,0),"")</f>
        <v/>
      </c>
      <c r="CD371" s="448" t="str">
        <f>_xlfn.IFNA(VLOOKUP($BK371,Programma!$F$3:$Y$1101,20,0),"")</f>
        <v/>
      </c>
      <c r="CE371" s="327"/>
      <c r="CF371" s="327"/>
      <c r="CG371" s="327"/>
      <c r="CH371" s="327"/>
      <c r="CI371" s="327"/>
      <c r="CJ371" s="327"/>
      <c r="CK371" s="327"/>
      <c r="CL371" s="327"/>
      <c r="CM371" s="327"/>
      <c r="CN371" s="327"/>
      <c r="CO371" s="327"/>
      <c r="CP371" s="327"/>
      <c r="CQ371" s="327"/>
      <c r="CR371" s="327"/>
      <c r="CS371" s="327"/>
      <c r="CT371" s="327"/>
      <c r="CU371" s="327"/>
      <c r="CV371" s="327"/>
      <c r="CW371" s="327"/>
      <c r="CX371" s="327"/>
      <c r="CY371" s="327"/>
      <c r="CZ371" s="327"/>
      <c r="DA371" s="327"/>
      <c r="DB371" s="327"/>
      <c r="DC371" s="327"/>
      <c r="DD371" s="327"/>
      <c r="DE371" s="327"/>
      <c r="DF371" s="327"/>
      <c r="DG371" s="327"/>
      <c r="DH371" s="327"/>
      <c r="DI371" s="327"/>
      <c r="DJ371" s="327"/>
      <c r="DK371" s="327"/>
      <c r="DL371" s="327"/>
      <c r="DM371" s="327"/>
      <c r="DN371" s="327"/>
      <c r="DO371" s="327"/>
      <c r="DP371" s="327"/>
      <c r="DQ371" s="327"/>
      <c r="DR371" s="327"/>
      <c r="DS371" s="327"/>
      <c r="DT371" s="327"/>
      <c r="DU371" s="327"/>
      <c r="DV371" s="327"/>
      <c r="DW371" s="327"/>
      <c r="DX371" s="327"/>
      <c r="DY371" s="327"/>
      <c r="DZ371" s="327"/>
      <c r="EA371" s="327"/>
      <c r="EB371" s="327"/>
      <c r="EC371" s="327"/>
      <c r="ED371" s="327"/>
      <c r="EE371" s="327"/>
      <c r="EF371" s="327"/>
      <c r="EG371" s="327"/>
      <c r="EH371" s="327"/>
      <c r="EI371" s="327"/>
      <c r="EJ371" s="327"/>
      <c r="EK371" s="327"/>
      <c r="EL371" s="327"/>
      <c r="EM371" s="327"/>
      <c r="EN371" s="327"/>
      <c r="EO371" s="327"/>
      <c r="EP371" s="327"/>
      <c r="EQ371" s="327"/>
      <c r="ER371" s="327"/>
      <c r="ES371" s="327"/>
      <c r="ET371" s="327"/>
      <c r="EU371" s="327"/>
      <c r="EV371" s="327"/>
      <c r="EW371" s="327"/>
      <c r="EX371" s="327"/>
      <c r="EY371" s="327"/>
      <c r="EZ371" s="327"/>
      <c r="FA371" s="327"/>
      <c r="FB371" s="327"/>
      <c r="FC371" s="327"/>
      <c r="FD371" s="327"/>
      <c r="FE371" s="327"/>
      <c r="FF371" s="327"/>
      <c r="FG371" s="327"/>
      <c r="FH371" s="327"/>
      <c r="FI371" s="327"/>
      <c r="FJ371" s="327"/>
      <c r="FK371" s="327"/>
      <c r="FL371" s="327"/>
      <c r="FM371" s="327"/>
      <c r="FN371" s="327"/>
      <c r="FO371" s="327"/>
      <c r="FP371" s="327"/>
      <c r="FQ371" s="327"/>
      <c r="FR371" s="327"/>
      <c r="FS371" s="327"/>
      <c r="FT371" s="327"/>
      <c r="FU371" s="327"/>
      <c r="FV371" s="327"/>
      <c r="FW371" s="327"/>
      <c r="FX371" s="327"/>
      <c r="FY371" s="327"/>
      <c r="FZ371" s="327"/>
      <c r="GA371" s="327"/>
      <c r="GB371" s="327"/>
      <c r="GC371" s="327"/>
      <c r="GD371" s="327"/>
      <c r="GE371" s="327"/>
      <c r="GF371" s="327"/>
      <c r="GG371" s="327"/>
      <c r="GH371" s="327"/>
      <c r="GI371" s="327"/>
      <c r="GJ371" s="327"/>
      <c r="GK371" s="327"/>
      <c r="GL371" s="327"/>
      <c r="GM371" s="327"/>
      <c r="GN371" s="327"/>
      <c r="GO371" s="327"/>
      <c r="GP371" s="327"/>
      <c r="GQ371" s="327"/>
      <c r="GR371" s="327"/>
      <c r="GS371" s="327"/>
      <c r="GT371" s="327"/>
      <c r="GU371" s="327"/>
      <c r="GV371" s="327"/>
      <c r="GW371" s="327"/>
      <c r="GX371" s="327"/>
      <c r="GY371" s="327"/>
      <c r="GZ371" s="327"/>
      <c r="HA371" s="327"/>
      <c r="HB371" s="327"/>
      <c r="HC371" s="327"/>
      <c r="HD371" s="327"/>
      <c r="HE371" s="327"/>
      <c r="HF371" s="327"/>
      <c r="HG371" s="327"/>
      <c r="HH371" s="327"/>
      <c r="HI371" s="327"/>
      <c r="HJ371" s="327"/>
      <c r="HK371" s="327"/>
      <c r="HL371" s="327"/>
      <c r="HM371" s="327"/>
      <c r="HN371" s="327"/>
      <c r="HO371" s="327"/>
      <c r="HP371" s="327"/>
      <c r="HQ371" s="327"/>
      <c r="HR371" s="327"/>
      <c r="HS371" s="327"/>
    </row>
    <row r="372" spans="1:227" ht="15" customHeight="1">
      <c r="A372" s="330">
        <v>15</v>
      </c>
      <c r="B372" s="435" t="str">
        <f>VLOOKUP(Ruimtestaat[[#This Row],[Code]],Locaties[[Code]:[Locatie]],2,FALSE)</f>
        <v>IKC  Da Vinci</v>
      </c>
      <c r="C372" s="435" t="str">
        <f>VLOOKUP(Ruimtestaat[[#This Row],[Code]],Locaties[[#All],[Code]:[Adres]],4,FALSE)</f>
        <v>Spitsbergen 17</v>
      </c>
      <c r="D372" s="435" t="str">
        <f>VLOOKUP(Ruimtestaat[[#This Row],[Code]],Locaties[[#All],[Code]:[Postcode]],5,FALSE)</f>
        <v>2721 GP</v>
      </c>
      <c r="E372" s="435" t="str">
        <f>VLOOKUP(Ruimtestaat[[#This Row],[Code]],Locaties[#All],6,FALSE)</f>
        <v>Zoetermeer</v>
      </c>
      <c r="F372" s="450"/>
      <c r="G372" s="330" t="s">
        <v>1769</v>
      </c>
      <c r="H372" s="330" t="s">
        <v>1748</v>
      </c>
      <c r="I372" s="450" t="s">
        <v>1666</v>
      </c>
      <c r="J372" s="330">
        <v>2</v>
      </c>
      <c r="K372" s="450" t="str">
        <f>VLOOKUP(Ruimtestaat[[#This Row],[Ruimte code]],Ruimtegroepen[[#All],[Code]:[Ruimte omschrijving]],2,FALSE)</f>
        <v>Kantoren</v>
      </c>
      <c r="L372" s="434" t="s">
        <v>100</v>
      </c>
      <c r="M372" s="437" t="s">
        <v>1759</v>
      </c>
      <c r="N372" s="439">
        <v>11</v>
      </c>
      <c r="O372" s="439"/>
      <c r="P372" s="439"/>
      <c r="Q372" s="439"/>
      <c r="R372" s="440" t="str">
        <f>VLOOKUP(Ruimtestaat[[#This Row],[Ruimte code]],Ruimtegroepen[],4,FALSE)</f>
        <v>Bu</v>
      </c>
      <c r="S372" s="434">
        <v>41</v>
      </c>
      <c r="T372" s="434" t="s">
        <v>17</v>
      </c>
      <c r="U372" s="434">
        <f>IF(S372&gt;0,IF(RIGHT(Ruimtestaat[[#This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372" s="434">
        <f>IF(U372&gt;0,VLOOKUP($J372,Ruimtegroepen[],3,FALSE)*VLOOKUP($L372,Vloersoorten[],3,FALSE)*VLOOKUP($T372,Frequenties[],3,FALSE)*VLOOKUP($A372,Locaties[],3,FALSE),0)</f>
        <v>0</v>
      </c>
      <c r="W372" s="434">
        <f>Ruimtestaat[[#This Row],[Uitvoeringen werkdagen]]*Ruimtestaat[[#This Row],[Oppervlak (netto)]]</f>
        <v>902</v>
      </c>
      <c r="X372" s="441">
        <f>IF(V372&gt;0,Ruimtestaat[[#This Row],[Prest. (m2 /jaar) werkdagen]]/Ruimtestaat[[#This Row],[Norm (m2/uur) werkdagen]],0)</f>
        <v>0</v>
      </c>
      <c r="Y372" s="442">
        <f>Ruimtestaat[[#This Row],[Uitvoeringen werkdagen]]*Ruimtestaat[[#This Row],[Gedeeltelijk]]</f>
        <v>0</v>
      </c>
      <c r="Z372" s="443" t="e">
        <f>IF(U372&gt;0,Ruimtestaat[[#This Row],[Prest. (m2 / jaar) werkdagen gedeeld]]/Ruimtestaat[[#This Row],[Norm (m2/uur) werkdagen]],0)</f>
        <v>#DIV/0!</v>
      </c>
      <c r="AA372" s="441" t="e">
        <f>Ruimtestaat[[#This Row],[uren / jaar werkdagen gedeeld]]*Tariefsopbouw!$E$35</f>
        <v>#DIV/0!</v>
      </c>
      <c r="AB372" s="441">
        <f>Ruimtestaat[[#This Row],[Uitvoeringen werkdagen]]*Ruimtestaat[[#This Row],[BSO]]</f>
        <v>0</v>
      </c>
      <c r="AC372" s="443" t="e">
        <f>IF(U372&gt;0,Ruimtestaat[[#This Row],[Prest. (m2 / jaar) werkdagen BSO]]/Ruimtestaat[[#This Row],[Norm (m2/uur) werkdagen]],0)</f>
        <v>#DIV/0!</v>
      </c>
      <c r="AD372" s="443" t="e">
        <f>Ruimtestaat[[#This Row],[uren / jaar werkdagen BSO]]*Tariefsopbouw!$E$35</f>
        <v>#DIV/0!</v>
      </c>
      <c r="AE372" s="444">
        <f>Ruimtestaat[[#This Row],[uren / jaar werkdagen]]*Tariefsopbouw!$E$35</f>
        <v>0</v>
      </c>
      <c r="AF372" s="434"/>
      <c r="AG372" s="434">
        <f>IF(Ruimtestaat[[#This Row],[Frequentie weekend]]&gt;0,VALUE(LEFT(AF372,1))*S372,0)</f>
        <v>0</v>
      </c>
      <c r="AH372" s="445">
        <f>IF($AG372&gt;0,VLOOKUP($J372,Ruimtegroepen[],3,FALSE)*VLOOKUP($L372,Vloersoorten[],3,FALSE)*VLOOKUP($AF372,Frequenties[],3,FALSE)*VLOOKUP(Ruimtestaat[[#This Row],[Code]],Locaties[],3,FALSE),0)</f>
        <v>0</v>
      </c>
      <c r="AI372" s="445">
        <f>Ruimtestaat[[#This Row],[Uitvoeringen weekend]]*Ruimtestaat[[#This Row],[Oppervlak (netto)]]</f>
        <v>0</v>
      </c>
      <c r="AJ372" s="445">
        <f>IF(AH372&gt;0,Ruimtestaat[[#This Row],[Prest. (m2 /jaar) weekend]]/Ruimtestaat[[#This Row],[Norm (m2/uur) weekend]],0)</f>
        <v>0</v>
      </c>
      <c r="AK372" s="444">
        <f>Ruimtestaat[[#This Row],[uren / jaar weekend]]*Tariefsopbouw!$D$40</f>
        <v>0</v>
      </c>
      <c r="AL372" s="441">
        <f>Ruimtestaat[[#This Row],[Prest. (m2 /jaar) weekend]]+Ruimtestaat[[#This Row],[Prest. (m2 /jaar) werkdagen]]</f>
        <v>902</v>
      </c>
      <c r="AM372" s="441">
        <f>Ruimtestaat[[#This Row],[uren / jaar weekend]]+Ruimtestaat[[#This Row],[uren / jaar werkdagen]]</f>
        <v>0</v>
      </c>
      <c r="AN372" s="446">
        <f>Ruimtestaat[[#This Row],[kosten / jaar weekend]]+Ruimtestaat[[#This Row],[kosten / jaar werkdagen]]</f>
        <v>0</v>
      </c>
      <c r="AO372" s="446"/>
      <c r="AP372" s="447" t="str">
        <f>IF(Ruimtestaat[[#This Row],[Frequentie werkdagen]]="","",_xlfn.CONCAT(Ruimtestaat[[#This Row],[Ruimte code]],"-",Ruimtestaat[[#This Row],[Frequentie werkdagen]]," ",Ruimtestaat[[#This Row],[Vloer code]]))</f>
        <v>2-2w L</v>
      </c>
      <c r="AQ372" s="448" t="str">
        <f>_xlfn.IFNA(VLOOKUP($AP372,Programma!$F$3:$G$1101,2,0),"")</f>
        <v>_</v>
      </c>
      <c r="AR372" s="448" t="str">
        <f>_xlfn.IFNA(VLOOKUP($AP372,Programma!$F$3:$H$1101,3,0),"")</f>
        <v>_</v>
      </c>
      <c r="AS372" s="448" t="str">
        <f>_xlfn.IFNA(VLOOKUP($AP372,Programma!$F$3:$I$1101,4,0),"")</f>
        <v>1w</v>
      </c>
      <c r="AT372" s="448" t="str">
        <f>_xlfn.IFNA(VLOOKUP($AP372,Programma!$F$3:$J$1101,5,0),"")</f>
        <v>1w</v>
      </c>
      <c r="AU372" s="448" t="str">
        <f>_xlfn.IFNA(VLOOKUP($AP372,Programma!$F$3:$K$1101,6,0),"")</f>
        <v>_</v>
      </c>
      <c r="AV372" s="448" t="str">
        <f>_xlfn.IFNA(VLOOKUP($AP372,Programma!$F$3:$L$1101,7,0),"")</f>
        <v>_</v>
      </c>
      <c r="AW372" s="448" t="str">
        <f>_xlfn.IFNA(VLOOKUP($AP372,Programma!$F$3:$M$1101,8,0),"")</f>
        <v>_</v>
      </c>
      <c r="AX372" s="448" t="str">
        <f>_xlfn.IFNA(VLOOKUP($AP372,Programma!$F$3:$N$1101,9,0),"")</f>
        <v>_</v>
      </c>
      <c r="AY372" s="448" t="str">
        <f>_xlfn.IFNA(VLOOKUP($AP372,Programma!$F$3:$O$1101,10,0),"")</f>
        <v>2w</v>
      </c>
      <c r="AZ372" s="448" t="str">
        <f>_xlfn.IFNA(VLOOKUP($AP372,Programma!$F$3:$P$1101,11,0),"")</f>
        <v>2w</v>
      </c>
      <c r="BA372" s="448" t="str">
        <f>_xlfn.IFNA(VLOOKUP($AP372,Programma!$F$3:$Q$1101,12,0),"")</f>
        <v>1w</v>
      </c>
      <c r="BB372" s="448" t="str">
        <f>_xlfn.IFNA(VLOOKUP($AP372,Programma!$F$3:$R$1101,13,0),"")</f>
        <v>1w</v>
      </c>
      <c r="BC372" s="448" t="str">
        <f>_xlfn.IFNA(VLOOKUP($AP372,Programma!$F$3:$S$1101,14,0),"")</f>
        <v>1m</v>
      </c>
      <c r="BD372" s="448" t="str">
        <f>_xlfn.IFNA(VLOOKUP($AP372,Programma!$F$3:$T$1101,15,0),"")</f>
        <v>2j</v>
      </c>
      <c r="BE372" s="448" t="str">
        <f>_xlfn.IFNA(VLOOKUP($AP372,Programma!$F$3:$U$1101,16,0),"")</f>
        <v>1j</v>
      </c>
      <c r="BF372" s="448" t="str">
        <f>_xlfn.IFNA(VLOOKUP($AP372,Programma!$F$3:$V$1101,17,0),"")</f>
        <v>_</v>
      </c>
      <c r="BG372" s="448" t="str">
        <f>_xlfn.IFNA(VLOOKUP($AP372,Programma!$F$3:$W$1101,18,0),"")</f>
        <v>_</v>
      </c>
      <c r="BH372" s="448" t="str">
        <f>_xlfn.IFNA(VLOOKUP($AP372,Programma!$F$3:$X$1101,19,0),"")</f>
        <v>_</v>
      </c>
      <c r="BI372" s="448" t="str">
        <f>_xlfn.IFNA(VLOOKUP($AP372,Programma!$F$3:$Y$1101,20,0),"")</f>
        <v>_</v>
      </c>
      <c r="BJ372" s="449"/>
      <c r="BK372" s="447" t="str">
        <f>IF(Ruimtestaat[[#This Row],[Frequentie weekend]]="","",_xlfn.CONCAT(Ruimtestaat[[#This Row],[Ruimte code]],"-",Ruimtestaat[[#This Row],[Frequentie weekend]]," ",Ruimtestaat[[#This Row],[Vloer code]]))</f>
        <v/>
      </c>
      <c r="BL372" s="448" t="str">
        <f>_xlfn.IFNA(VLOOKUP($BK372,Programma!$F$3:$G$1101,2,0),"")</f>
        <v/>
      </c>
      <c r="BM372" s="448" t="str">
        <f>_xlfn.IFNA(VLOOKUP($BK372,Programma!$F$3:$H$1101,3,0),"")</f>
        <v/>
      </c>
      <c r="BN372" s="448" t="str">
        <f>_xlfn.IFNA(VLOOKUP($BK372,Programma!$F$3:$I$1101,4,0),"")</f>
        <v/>
      </c>
      <c r="BO372" s="448" t="str">
        <f>_xlfn.IFNA(VLOOKUP($BK372,Programma!$F$3:$J$1101,5,0),"")</f>
        <v/>
      </c>
      <c r="BP372" s="448" t="str">
        <f>_xlfn.IFNA(VLOOKUP($BK372,Programma!$F$3:$K$1101,6,0),"")</f>
        <v/>
      </c>
      <c r="BQ372" s="448" t="str">
        <f>_xlfn.IFNA(VLOOKUP($BK372,Programma!$F$3:$L$1101,7,0),"")</f>
        <v/>
      </c>
      <c r="BR372" s="448" t="str">
        <f>_xlfn.IFNA(VLOOKUP($BK372,Programma!$F$3:$M$1101,8,0),"")</f>
        <v/>
      </c>
      <c r="BS372" s="448" t="str">
        <f>_xlfn.IFNA(VLOOKUP($BK372,Programma!$F$3:$N$1101,9,0),"")</f>
        <v/>
      </c>
      <c r="BT372" s="448" t="str">
        <f>_xlfn.IFNA(VLOOKUP($BK372,Programma!$F$3:$O$1101,10,0),"")</f>
        <v/>
      </c>
      <c r="BU372" s="448" t="str">
        <f>_xlfn.IFNA(VLOOKUP($BK372,Programma!$F$3:$P$1101,11,0),"")</f>
        <v/>
      </c>
      <c r="BV372" s="448" t="str">
        <f>_xlfn.IFNA(VLOOKUP($BK372,Programma!$F$3:$Q$1101,12,0),"")</f>
        <v/>
      </c>
      <c r="BW372" s="448" t="str">
        <f>_xlfn.IFNA(VLOOKUP($BK372,Programma!$F$3:$R$1101,13,0),"")</f>
        <v/>
      </c>
      <c r="BX372" s="448" t="str">
        <f>_xlfn.IFNA(VLOOKUP($BK372,Programma!$F$3:$S$1101,14,0),"")</f>
        <v/>
      </c>
      <c r="BY372" s="448" t="str">
        <f>_xlfn.IFNA(VLOOKUP($BK372,Programma!$F$3:$T$1101,15,0),"")</f>
        <v/>
      </c>
      <c r="BZ372" s="448" t="str">
        <f>_xlfn.IFNA(VLOOKUP($BK372,Programma!$F$3:$U$1101,16,0),"")</f>
        <v/>
      </c>
      <c r="CA372" s="448" t="str">
        <f>_xlfn.IFNA(VLOOKUP($BK372,Programma!$F$3:$V$1101,17,0),"")</f>
        <v/>
      </c>
      <c r="CB372" s="448" t="str">
        <f>_xlfn.IFNA(VLOOKUP($BK372,Programma!$F$3:$W$1101,18,0),"")</f>
        <v/>
      </c>
      <c r="CC372" s="448" t="str">
        <f>_xlfn.IFNA(VLOOKUP($BK372,Programma!$F$3:$X$1101,19,0),"")</f>
        <v/>
      </c>
      <c r="CD372" s="448" t="str">
        <f>_xlfn.IFNA(VLOOKUP($BK372,Programma!$F$3:$Y$1101,20,0),"")</f>
        <v/>
      </c>
      <c r="CE372" s="327"/>
      <c r="CF372" s="327"/>
      <c r="CG372" s="327"/>
      <c r="CH372" s="327"/>
      <c r="CI372" s="327"/>
      <c r="CJ372" s="327"/>
      <c r="CK372" s="327"/>
      <c r="CL372" s="327"/>
      <c r="CM372" s="327"/>
      <c r="CN372" s="327"/>
      <c r="CO372" s="327"/>
      <c r="CP372" s="327"/>
      <c r="CQ372" s="327"/>
      <c r="CR372" s="327"/>
      <c r="CS372" s="327"/>
      <c r="CT372" s="327"/>
      <c r="CU372" s="327"/>
      <c r="CV372" s="327"/>
      <c r="CW372" s="327"/>
      <c r="CX372" s="327"/>
      <c r="CY372" s="327"/>
      <c r="CZ372" s="327"/>
      <c r="DA372" s="327"/>
      <c r="DB372" s="327"/>
      <c r="DC372" s="327"/>
      <c r="DD372" s="327"/>
      <c r="DE372" s="327"/>
      <c r="DF372" s="327"/>
      <c r="DG372" s="327"/>
      <c r="DH372" s="327"/>
      <c r="DI372" s="327"/>
      <c r="DJ372" s="327"/>
      <c r="DK372" s="327"/>
      <c r="DL372" s="327"/>
      <c r="DM372" s="327"/>
      <c r="DN372" s="327"/>
      <c r="DO372" s="327"/>
      <c r="DP372" s="327"/>
      <c r="DQ372" s="327"/>
      <c r="DR372" s="327"/>
      <c r="DS372" s="327"/>
      <c r="DT372" s="327"/>
      <c r="DU372" s="327"/>
      <c r="DV372" s="327"/>
      <c r="DW372" s="327"/>
      <c r="DX372" s="327"/>
      <c r="DY372" s="327"/>
      <c r="DZ372" s="327"/>
      <c r="EA372" s="327"/>
      <c r="EB372" s="327"/>
      <c r="EC372" s="327"/>
      <c r="ED372" s="327"/>
      <c r="EE372" s="327"/>
      <c r="EF372" s="327"/>
      <c r="EG372" s="327"/>
      <c r="EH372" s="327"/>
      <c r="EI372" s="327"/>
      <c r="EJ372" s="327"/>
      <c r="EK372" s="327"/>
      <c r="EL372" s="327"/>
      <c r="EM372" s="327"/>
      <c r="EN372" s="327"/>
      <c r="EO372" s="327"/>
      <c r="EP372" s="327"/>
      <c r="EQ372" s="327"/>
      <c r="ER372" s="327"/>
      <c r="ES372" s="327"/>
      <c r="ET372" s="327"/>
      <c r="EU372" s="327"/>
      <c r="EV372" s="327"/>
      <c r="EW372" s="327"/>
      <c r="EX372" s="327"/>
      <c r="EY372" s="327"/>
      <c r="EZ372" s="327"/>
      <c r="FA372" s="327"/>
      <c r="FB372" s="327"/>
      <c r="FC372" s="327"/>
      <c r="FD372" s="327"/>
      <c r="FE372" s="327"/>
      <c r="FF372" s="327"/>
      <c r="FG372" s="327"/>
      <c r="FH372" s="327"/>
      <c r="FI372" s="327"/>
      <c r="FJ372" s="327"/>
      <c r="FK372" s="327"/>
      <c r="FL372" s="327"/>
      <c r="FM372" s="327"/>
      <c r="FN372" s="327"/>
      <c r="FO372" s="327"/>
      <c r="FP372" s="327"/>
      <c r="FQ372" s="327"/>
      <c r="FR372" s="327"/>
      <c r="FS372" s="327"/>
      <c r="FT372" s="327"/>
      <c r="FU372" s="327"/>
      <c r="FV372" s="327"/>
      <c r="FW372" s="327"/>
      <c r="FX372" s="327"/>
      <c r="FY372" s="327"/>
      <c r="FZ372" s="327"/>
      <c r="GA372" s="327"/>
      <c r="GB372" s="327"/>
      <c r="GC372" s="327"/>
      <c r="GD372" s="327"/>
      <c r="GE372" s="327"/>
      <c r="GF372" s="327"/>
      <c r="GG372" s="327"/>
      <c r="GH372" s="327"/>
      <c r="GI372" s="327"/>
      <c r="GJ372" s="327"/>
      <c r="GK372" s="327"/>
      <c r="GL372" s="327"/>
      <c r="GM372" s="327"/>
      <c r="GN372" s="327"/>
      <c r="GO372" s="327"/>
      <c r="GP372" s="327"/>
      <c r="GQ372" s="327"/>
      <c r="GR372" s="327"/>
      <c r="GS372" s="327"/>
      <c r="GT372" s="327"/>
      <c r="GU372" s="327"/>
      <c r="GV372" s="327"/>
      <c r="GW372" s="327"/>
      <c r="GX372" s="327"/>
      <c r="GY372" s="327"/>
      <c r="GZ372" s="327"/>
      <c r="HA372" s="327"/>
      <c r="HB372" s="327"/>
      <c r="HC372" s="327"/>
      <c r="HD372" s="327"/>
      <c r="HE372" s="327"/>
      <c r="HF372" s="327"/>
      <c r="HG372" s="327"/>
      <c r="HH372" s="327"/>
      <c r="HI372" s="327"/>
      <c r="HJ372" s="327"/>
      <c r="HK372" s="327"/>
      <c r="HL372" s="327"/>
      <c r="HM372" s="327"/>
      <c r="HN372" s="327"/>
      <c r="HO372" s="327"/>
      <c r="HP372" s="327"/>
      <c r="HQ372" s="327"/>
      <c r="HR372" s="327"/>
      <c r="HS372" s="327"/>
    </row>
    <row r="373" spans="1:227" ht="15" customHeight="1">
      <c r="A373" s="330">
        <v>15</v>
      </c>
      <c r="B373" s="435" t="str">
        <f>VLOOKUP(Ruimtestaat[[#This Row],[Code]],Locaties[[Code]:[Locatie]],2,FALSE)</f>
        <v>IKC  Da Vinci</v>
      </c>
      <c r="C373" s="435" t="str">
        <f>VLOOKUP(Ruimtestaat[[#This Row],[Code]],Locaties[[#All],[Code]:[Adres]],4,FALSE)</f>
        <v>Spitsbergen 17</v>
      </c>
      <c r="D373" s="435" t="str">
        <f>VLOOKUP(Ruimtestaat[[#This Row],[Code]],Locaties[[#All],[Code]:[Postcode]],5,FALSE)</f>
        <v>2721 GP</v>
      </c>
      <c r="E373" s="435" t="str">
        <f>VLOOKUP(Ruimtestaat[[#This Row],[Code]],Locaties[#All],6,FALSE)</f>
        <v>Zoetermeer</v>
      </c>
      <c r="F373" s="450"/>
      <c r="G373" s="330" t="s">
        <v>1769</v>
      </c>
      <c r="H373" s="330" t="s">
        <v>1750</v>
      </c>
      <c r="I373" s="450" t="s">
        <v>1673</v>
      </c>
      <c r="J373" s="330">
        <v>5</v>
      </c>
      <c r="K373" s="450" t="str">
        <f>VLOOKUP(Ruimtestaat[[#This Row],[Ruimte code]],Ruimtegroepen[[#All],[Code]:[Ruimte omschrijving]],2,FALSE)</f>
        <v>Sanitair</v>
      </c>
      <c r="L373" s="330" t="s">
        <v>101</v>
      </c>
      <c r="M373" s="437" t="s">
        <v>1816</v>
      </c>
      <c r="N373" s="439">
        <v>20</v>
      </c>
      <c r="O373" s="439"/>
      <c r="P373" s="439"/>
      <c r="Q373" s="439"/>
      <c r="R373" s="440" t="str">
        <f>VLOOKUP(Ruimtestaat[[#This Row],[Ruimte code]],Ruimtegroepen[],4,FALSE)</f>
        <v>Sa</v>
      </c>
      <c r="S373" s="434">
        <v>41</v>
      </c>
      <c r="T373" s="434" t="s">
        <v>2</v>
      </c>
      <c r="U373" s="434">
        <f>IF(S373&gt;0,IF(RIGHT(Ruimtestaat[[#This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73" s="434">
        <f>IF(U373&gt;0,VLOOKUP($J373,Ruimtegroepen[],3,FALSE)*VLOOKUP($L373,Vloersoorten[],3,FALSE)*VLOOKUP($T373,Frequenties[],3,FALSE)*VLOOKUP($A373,Locaties[],3,FALSE),0)</f>
        <v>0</v>
      </c>
      <c r="W373" s="434">
        <f>Ruimtestaat[[#This Row],[Uitvoeringen werkdagen]]*Ruimtestaat[[#This Row],[Oppervlak (netto)]]</f>
        <v>4100</v>
      </c>
      <c r="X373" s="441">
        <f>IF(V373&gt;0,Ruimtestaat[[#This Row],[Prest. (m2 /jaar) werkdagen]]/Ruimtestaat[[#This Row],[Norm (m2/uur) werkdagen]],0)</f>
        <v>0</v>
      </c>
      <c r="Y373" s="442">
        <f>Ruimtestaat[[#This Row],[Uitvoeringen werkdagen]]*Ruimtestaat[[#This Row],[Gedeeltelijk]]</f>
        <v>0</v>
      </c>
      <c r="Z373" s="443" t="e">
        <f>IF(U373&gt;0,Ruimtestaat[[#This Row],[Prest. (m2 / jaar) werkdagen gedeeld]]/Ruimtestaat[[#This Row],[Norm (m2/uur) werkdagen]],0)</f>
        <v>#DIV/0!</v>
      </c>
      <c r="AA373" s="441" t="e">
        <f>Ruimtestaat[[#This Row],[uren / jaar werkdagen gedeeld]]*Tariefsopbouw!$E$35</f>
        <v>#DIV/0!</v>
      </c>
      <c r="AB373" s="441">
        <f>Ruimtestaat[[#This Row],[Uitvoeringen werkdagen]]*Ruimtestaat[[#This Row],[BSO]]</f>
        <v>0</v>
      </c>
      <c r="AC373" s="443" t="e">
        <f>IF(U373&gt;0,Ruimtestaat[[#This Row],[Prest. (m2 / jaar) werkdagen BSO]]/Ruimtestaat[[#This Row],[Norm (m2/uur) werkdagen]],0)</f>
        <v>#DIV/0!</v>
      </c>
      <c r="AD373" s="443" t="e">
        <f>Ruimtestaat[[#This Row],[uren / jaar werkdagen BSO]]*Tariefsopbouw!$E$35</f>
        <v>#DIV/0!</v>
      </c>
      <c r="AE373" s="444">
        <f>Ruimtestaat[[#This Row],[uren / jaar werkdagen]]*Tariefsopbouw!$E$35</f>
        <v>0</v>
      </c>
      <c r="AF373" s="434"/>
      <c r="AG373" s="434">
        <f>IF(Ruimtestaat[[#This Row],[Frequentie weekend]]&gt;0,VALUE(LEFT(AF373,1))*S373,0)</f>
        <v>0</v>
      </c>
      <c r="AH373" s="445">
        <f>IF($AG373&gt;0,VLOOKUP($J373,Ruimtegroepen[],3,FALSE)*VLOOKUP($L373,Vloersoorten[],3,FALSE)*VLOOKUP($AF373,Frequenties[],3,FALSE)*VLOOKUP(Ruimtestaat[[#This Row],[Code]],Locaties[],3,FALSE),0)</f>
        <v>0</v>
      </c>
      <c r="AI373" s="445">
        <f>Ruimtestaat[[#This Row],[Uitvoeringen weekend]]*Ruimtestaat[[#This Row],[Oppervlak (netto)]]</f>
        <v>0</v>
      </c>
      <c r="AJ373" s="445">
        <f>IF(AH373&gt;0,Ruimtestaat[[#This Row],[Prest. (m2 /jaar) weekend]]/Ruimtestaat[[#This Row],[Norm (m2/uur) weekend]],0)</f>
        <v>0</v>
      </c>
      <c r="AK373" s="444">
        <f>Ruimtestaat[[#This Row],[uren / jaar weekend]]*Tariefsopbouw!$D$40</f>
        <v>0</v>
      </c>
      <c r="AL373" s="441">
        <f>Ruimtestaat[[#This Row],[Prest. (m2 /jaar) weekend]]+Ruimtestaat[[#This Row],[Prest. (m2 /jaar) werkdagen]]</f>
        <v>4100</v>
      </c>
      <c r="AM373" s="441">
        <f>Ruimtestaat[[#This Row],[uren / jaar weekend]]+Ruimtestaat[[#This Row],[uren / jaar werkdagen]]</f>
        <v>0</v>
      </c>
      <c r="AN373" s="446">
        <f>Ruimtestaat[[#This Row],[kosten / jaar weekend]]+Ruimtestaat[[#This Row],[kosten / jaar werkdagen]]</f>
        <v>0</v>
      </c>
      <c r="AO373" s="446"/>
      <c r="AP373" s="447" t="str">
        <f>IF(Ruimtestaat[[#This Row],[Frequentie werkdagen]]="","",_xlfn.CONCAT(Ruimtestaat[[#This Row],[Ruimte code]],"-",Ruimtestaat[[#This Row],[Frequentie werkdagen]]," ",Ruimtestaat[[#This Row],[Vloer code]]))</f>
        <v>5-5w S</v>
      </c>
      <c r="AQ373" s="448" t="str">
        <f>_xlfn.IFNA(VLOOKUP($AP373,Programma!$F$3:$G$1101,2,0),"")</f>
        <v>_</v>
      </c>
      <c r="AR373" s="448" t="str">
        <f>_xlfn.IFNA(VLOOKUP($AP373,Programma!$F$3:$H$1101,3,0),"")</f>
        <v>_</v>
      </c>
      <c r="AS373" s="448" t="str">
        <f>_xlfn.IFNA(VLOOKUP($AP373,Programma!$F$3:$I$1101,4,0),"")</f>
        <v>_</v>
      </c>
      <c r="AT373" s="448" t="str">
        <f>_xlfn.IFNA(VLOOKUP($AP373,Programma!$F$3:$J$1101,5,0),"")</f>
        <v>4w</v>
      </c>
      <c r="AU373" s="448" t="str">
        <f>_xlfn.IFNA(VLOOKUP($AP373,Programma!$F$3:$K$1101,6,0),"")</f>
        <v>1w</v>
      </c>
      <c r="AV373" s="448" t="str">
        <f>_xlfn.IFNA(VLOOKUP($AP373,Programma!$F$3:$L$1101,7,0),"")</f>
        <v>_</v>
      </c>
      <c r="AW373" s="448" t="str">
        <f>_xlfn.IFNA(VLOOKUP($AP373,Programma!$F$3:$M$1101,8,0),"")</f>
        <v>_</v>
      </c>
      <c r="AX373" s="448" t="str">
        <f>_xlfn.IFNA(VLOOKUP($AP373,Programma!$F$3:$N$1101,9,0),"")</f>
        <v>_</v>
      </c>
      <c r="AY373" s="448" t="str">
        <f>_xlfn.IFNA(VLOOKUP($AP373,Programma!$F$3:$O$1101,10,0),"")</f>
        <v>_</v>
      </c>
      <c r="AZ373" s="448" t="str">
        <f>_xlfn.IFNA(VLOOKUP($AP373,Programma!$F$3:$P$1101,11,0),"")</f>
        <v>_</v>
      </c>
      <c r="BA373" s="448" t="str">
        <f>_xlfn.IFNA(VLOOKUP($AP373,Programma!$F$3:$Q$1101,12,0),"")</f>
        <v>_</v>
      </c>
      <c r="BB373" s="448" t="str">
        <f>_xlfn.IFNA(VLOOKUP($AP373,Programma!$F$3:$R$1101,13,0),"")</f>
        <v>_</v>
      </c>
      <c r="BC373" s="448" t="str">
        <f>_xlfn.IFNA(VLOOKUP($AP373,Programma!$F$3:$S$1101,14,0),"")</f>
        <v>_</v>
      </c>
      <c r="BD373" s="448" t="str">
        <f>_xlfn.IFNA(VLOOKUP($AP373,Programma!$F$3:$T$1101,15,0),"")</f>
        <v>_</v>
      </c>
      <c r="BE373" s="448" t="str">
        <f>_xlfn.IFNA(VLOOKUP($AP373,Programma!$F$3:$U$1101,16,0),"")</f>
        <v>_</v>
      </c>
      <c r="BF373" s="448" t="str">
        <f>_xlfn.IFNA(VLOOKUP($AP373,Programma!$F$3:$V$1101,17,0),"")</f>
        <v>_</v>
      </c>
      <c r="BG373" s="448" t="str">
        <f>_xlfn.IFNA(VLOOKUP($AP373,Programma!$F$3:$W$1101,18,0),"")</f>
        <v>4w</v>
      </c>
      <c r="BH373" s="448" t="str">
        <f>_xlfn.IFNA(VLOOKUP($AP373,Programma!$F$3:$X$1101,19,0),"")</f>
        <v>1w</v>
      </c>
      <c r="BI373" s="448" t="str">
        <f>_xlfn.IFNA(VLOOKUP($AP373,Programma!$F$3:$Y$1101,20,0),"")</f>
        <v>_</v>
      </c>
      <c r="BJ373" s="449"/>
      <c r="BK373" s="447" t="str">
        <f>IF(Ruimtestaat[[#This Row],[Frequentie weekend]]="","",_xlfn.CONCAT(Ruimtestaat[[#This Row],[Ruimte code]],"-",Ruimtestaat[[#This Row],[Frequentie weekend]]," ",Ruimtestaat[[#This Row],[Vloer code]]))</f>
        <v/>
      </c>
      <c r="BL373" s="448" t="str">
        <f>_xlfn.IFNA(VLOOKUP($BK373,Programma!$F$3:$G$1101,2,0),"")</f>
        <v/>
      </c>
      <c r="BM373" s="448" t="str">
        <f>_xlfn.IFNA(VLOOKUP($BK373,Programma!$F$3:$H$1101,3,0),"")</f>
        <v/>
      </c>
      <c r="BN373" s="448" t="str">
        <f>_xlfn.IFNA(VLOOKUP($BK373,Programma!$F$3:$I$1101,4,0),"")</f>
        <v/>
      </c>
      <c r="BO373" s="448" t="str">
        <f>_xlfn.IFNA(VLOOKUP($BK373,Programma!$F$3:$J$1101,5,0),"")</f>
        <v/>
      </c>
      <c r="BP373" s="448" t="str">
        <f>_xlfn.IFNA(VLOOKUP($BK373,Programma!$F$3:$K$1101,6,0),"")</f>
        <v/>
      </c>
      <c r="BQ373" s="448" t="str">
        <f>_xlfn.IFNA(VLOOKUP($BK373,Programma!$F$3:$L$1101,7,0),"")</f>
        <v/>
      </c>
      <c r="BR373" s="448" t="str">
        <f>_xlfn.IFNA(VLOOKUP($BK373,Programma!$F$3:$M$1101,8,0),"")</f>
        <v/>
      </c>
      <c r="BS373" s="448" t="str">
        <f>_xlfn.IFNA(VLOOKUP($BK373,Programma!$F$3:$N$1101,9,0),"")</f>
        <v/>
      </c>
      <c r="BT373" s="448" t="str">
        <f>_xlfn.IFNA(VLOOKUP($BK373,Programma!$F$3:$O$1101,10,0),"")</f>
        <v/>
      </c>
      <c r="BU373" s="448" t="str">
        <f>_xlfn.IFNA(VLOOKUP($BK373,Programma!$F$3:$P$1101,11,0),"")</f>
        <v/>
      </c>
      <c r="BV373" s="448" t="str">
        <f>_xlfn.IFNA(VLOOKUP($BK373,Programma!$F$3:$Q$1101,12,0),"")</f>
        <v/>
      </c>
      <c r="BW373" s="448" t="str">
        <f>_xlfn.IFNA(VLOOKUP($BK373,Programma!$F$3:$R$1101,13,0),"")</f>
        <v/>
      </c>
      <c r="BX373" s="448" t="str">
        <f>_xlfn.IFNA(VLOOKUP($BK373,Programma!$F$3:$S$1101,14,0),"")</f>
        <v/>
      </c>
      <c r="BY373" s="448" t="str">
        <f>_xlfn.IFNA(VLOOKUP($BK373,Programma!$F$3:$T$1101,15,0),"")</f>
        <v/>
      </c>
      <c r="BZ373" s="448" t="str">
        <f>_xlfn.IFNA(VLOOKUP($BK373,Programma!$F$3:$U$1101,16,0),"")</f>
        <v/>
      </c>
      <c r="CA373" s="448" t="str">
        <f>_xlfn.IFNA(VLOOKUP($BK373,Programma!$F$3:$V$1101,17,0),"")</f>
        <v/>
      </c>
      <c r="CB373" s="448" t="str">
        <f>_xlfn.IFNA(VLOOKUP($BK373,Programma!$F$3:$W$1101,18,0),"")</f>
        <v/>
      </c>
      <c r="CC373" s="448" t="str">
        <f>_xlfn.IFNA(VLOOKUP($BK373,Programma!$F$3:$X$1101,19,0),"")</f>
        <v/>
      </c>
      <c r="CD373" s="448" t="str">
        <f>_xlfn.IFNA(VLOOKUP($BK373,Programma!$F$3:$Y$1101,20,0),"")</f>
        <v/>
      </c>
      <c r="CE373" s="327"/>
      <c r="CF373" s="327"/>
      <c r="CG373" s="327"/>
      <c r="CH373" s="327"/>
      <c r="CI373" s="327"/>
      <c r="CJ373" s="327"/>
      <c r="CK373" s="327"/>
      <c r="CL373" s="327"/>
      <c r="CM373" s="327"/>
      <c r="CN373" s="327"/>
      <c r="CO373" s="327"/>
      <c r="CP373" s="327"/>
      <c r="CQ373" s="327"/>
      <c r="CR373" s="327"/>
      <c r="CS373" s="327"/>
      <c r="CT373" s="327"/>
      <c r="CU373" s="327"/>
      <c r="CV373" s="327"/>
      <c r="CW373" s="327"/>
      <c r="CX373" s="327"/>
      <c r="CY373" s="327"/>
      <c r="CZ373" s="327"/>
      <c r="DA373" s="327"/>
      <c r="DB373" s="327"/>
      <c r="DC373" s="327"/>
      <c r="DD373" s="327"/>
      <c r="DE373" s="327"/>
      <c r="DF373" s="327"/>
      <c r="DG373" s="327"/>
      <c r="DH373" s="327"/>
      <c r="DI373" s="327"/>
      <c r="DJ373" s="327"/>
      <c r="DK373" s="327"/>
      <c r="DL373" s="327"/>
      <c r="DM373" s="327"/>
      <c r="DN373" s="327"/>
      <c r="DO373" s="327"/>
      <c r="DP373" s="327"/>
      <c r="DQ373" s="327"/>
      <c r="DR373" s="327"/>
      <c r="DS373" s="327"/>
      <c r="DT373" s="327"/>
      <c r="DU373" s="327"/>
      <c r="DV373" s="327"/>
      <c r="DW373" s="327"/>
      <c r="DX373" s="327"/>
      <c r="DY373" s="327"/>
      <c r="DZ373" s="327"/>
      <c r="EA373" s="327"/>
      <c r="EB373" s="327"/>
      <c r="EC373" s="327"/>
      <c r="ED373" s="327"/>
      <c r="EE373" s="327"/>
      <c r="EF373" s="327"/>
      <c r="EG373" s="327"/>
      <c r="EH373" s="327"/>
      <c r="EI373" s="327"/>
      <c r="EJ373" s="327"/>
      <c r="EK373" s="327"/>
      <c r="EL373" s="327"/>
      <c r="EM373" s="327"/>
      <c r="EN373" s="327"/>
      <c r="EO373" s="327"/>
      <c r="EP373" s="327"/>
      <c r="EQ373" s="327"/>
      <c r="ER373" s="327"/>
      <c r="ES373" s="327"/>
      <c r="ET373" s="327"/>
      <c r="EU373" s="327"/>
      <c r="EV373" s="327"/>
      <c r="EW373" s="327"/>
      <c r="EX373" s="327"/>
      <c r="EY373" s="327"/>
      <c r="EZ373" s="327"/>
      <c r="FA373" s="327"/>
      <c r="FB373" s="327"/>
      <c r="FC373" s="327"/>
      <c r="FD373" s="327"/>
      <c r="FE373" s="327"/>
      <c r="FF373" s="327"/>
      <c r="FG373" s="327"/>
      <c r="FH373" s="327"/>
      <c r="FI373" s="327"/>
      <c r="FJ373" s="327"/>
      <c r="FK373" s="327"/>
      <c r="FL373" s="327"/>
      <c r="FM373" s="327"/>
      <c r="FN373" s="327"/>
      <c r="FO373" s="327"/>
      <c r="FP373" s="327"/>
      <c r="FQ373" s="327"/>
      <c r="FR373" s="327"/>
      <c r="FS373" s="327"/>
      <c r="FT373" s="327"/>
      <c r="FU373" s="327"/>
      <c r="FV373" s="327"/>
      <c r="FW373" s="327"/>
      <c r="FX373" s="327"/>
      <c r="FY373" s="327"/>
      <c r="FZ373" s="327"/>
      <c r="GA373" s="327"/>
      <c r="GB373" s="327"/>
      <c r="GC373" s="327"/>
      <c r="GD373" s="327"/>
      <c r="GE373" s="327"/>
      <c r="GF373" s="327"/>
      <c r="GG373" s="327"/>
      <c r="GH373" s="327"/>
      <c r="GI373" s="327"/>
      <c r="GJ373" s="327"/>
      <c r="GK373" s="327"/>
      <c r="GL373" s="327"/>
      <c r="GM373" s="327"/>
      <c r="GN373" s="327"/>
      <c r="GO373" s="327"/>
      <c r="GP373" s="327"/>
      <c r="GQ373" s="327"/>
      <c r="GR373" s="327"/>
      <c r="GS373" s="327"/>
      <c r="GT373" s="327"/>
      <c r="GU373" s="327"/>
      <c r="GV373" s="327"/>
      <c r="GW373" s="327"/>
      <c r="GX373" s="327"/>
      <c r="GY373" s="327"/>
      <c r="GZ373" s="327"/>
      <c r="HA373" s="327"/>
      <c r="HB373" s="327"/>
      <c r="HC373" s="327"/>
      <c r="HD373" s="327"/>
      <c r="HE373" s="327"/>
      <c r="HF373" s="327"/>
      <c r="HG373" s="327"/>
      <c r="HH373" s="327"/>
      <c r="HI373" s="327"/>
      <c r="HJ373" s="327"/>
      <c r="HK373" s="327"/>
      <c r="HL373" s="327"/>
      <c r="HM373" s="327"/>
      <c r="HN373" s="327"/>
      <c r="HO373" s="327"/>
      <c r="HP373" s="327"/>
      <c r="HQ373" s="327"/>
      <c r="HR373" s="327"/>
      <c r="HS373" s="327"/>
    </row>
    <row r="374" spans="1:227" ht="15" customHeight="1">
      <c r="A374" s="327">
        <v>16</v>
      </c>
      <c r="B374" s="435" t="str">
        <f>VLOOKUP(Ruimtestaat[[#This Row],[Code]],Locaties[[Code]:[Locatie]],2,FALSE)</f>
        <v>IKC de Tjalk Kadelaan</v>
      </c>
      <c r="C374" s="435" t="str">
        <f>VLOOKUP(Ruimtestaat[[#This Row],[Code]],Locaties[[#All],[Code]:[Adres]],4,FALSE)</f>
        <v>Kadelaan 200-202</v>
      </c>
      <c r="D374" s="435" t="str">
        <f>VLOOKUP(Ruimtestaat[[#This Row],[Code]],Locaties[[#All],[Code]:[Postcode]],5,FALSE)</f>
        <v>2725 BR</v>
      </c>
      <c r="E374" s="435" t="str">
        <f>VLOOKUP(Ruimtestaat[[#This Row],[Code]],Locaties[#All],6,FALSE)</f>
        <v>Zoetermeer</v>
      </c>
      <c r="F374" s="450"/>
      <c r="G374" s="330" t="s">
        <v>1678</v>
      </c>
      <c r="H374" s="330" t="s">
        <v>1662</v>
      </c>
      <c r="I374" s="450" t="s">
        <v>1726</v>
      </c>
      <c r="J374" s="330">
        <v>16</v>
      </c>
      <c r="K374" s="450" t="str">
        <f>VLOOKUP(Ruimtestaat[[#This Row],[Ruimte code]],Ruimtegroepen[[#All],[Code]:[Ruimte omschrijving]],2,FALSE)</f>
        <v>Leslokalen</v>
      </c>
      <c r="L374" s="434" t="s">
        <v>100</v>
      </c>
      <c r="M374" s="437" t="s">
        <v>1759</v>
      </c>
      <c r="N374" s="439">
        <v>52.78</v>
      </c>
      <c r="O374" s="439"/>
      <c r="P374" s="439"/>
      <c r="Q374" s="439"/>
      <c r="R374" s="440" t="str">
        <f>VLOOKUP(Ruimtestaat[[#This Row],[Ruimte code]],Ruimtegroepen[],4,FALSE)</f>
        <v>Le</v>
      </c>
      <c r="S374" s="434">
        <v>40</v>
      </c>
      <c r="T374" s="434" t="s">
        <v>2</v>
      </c>
      <c r="U374" s="434">
        <f>IF(S374&gt;0,IF(RIGHT(Ruimtestaat[[#This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4" s="434">
        <f>IF(U374&gt;0,VLOOKUP($J374,Ruimtegroepen[],3,FALSE)*VLOOKUP($L374,Vloersoorten[],3,FALSE)*VLOOKUP($T374,Frequenties[],3,FALSE)*VLOOKUP($A374,Locaties[],3,FALSE),0)</f>
        <v>0</v>
      </c>
      <c r="W374" s="434">
        <f>Ruimtestaat[[#This Row],[Uitvoeringen werkdagen]]*Ruimtestaat[[#This Row],[Oppervlak (netto)]]</f>
        <v>10556</v>
      </c>
      <c r="X374" s="441">
        <f>IF(V374&gt;0,Ruimtestaat[[#This Row],[Prest. (m2 /jaar) werkdagen]]/Ruimtestaat[[#This Row],[Norm (m2/uur) werkdagen]],0)</f>
        <v>0</v>
      </c>
      <c r="Y374" s="442">
        <f>Ruimtestaat[[#This Row],[Uitvoeringen werkdagen]]*Ruimtestaat[[#This Row],[Gedeeltelijk]]</f>
        <v>0</v>
      </c>
      <c r="Z374" s="443" t="e">
        <f>IF(U374&gt;0,Ruimtestaat[[#This Row],[Prest. (m2 / jaar) werkdagen gedeeld]]/Ruimtestaat[[#This Row],[Norm (m2/uur) werkdagen]],0)</f>
        <v>#DIV/0!</v>
      </c>
      <c r="AA374" s="441" t="e">
        <f>Ruimtestaat[[#This Row],[uren / jaar werkdagen gedeeld]]*Tariefsopbouw!$E$35</f>
        <v>#DIV/0!</v>
      </c>
      <c r="AB374" s="441">
        <f>Ruimtestaat[[#This Row],[Uitvoeringen werkdagen]]*Ruimtestaat[[#This Row],[BSO]]</f>
        <v>0</v>
      </c>
      <c r="AC374" s="443" t="e">
        <f>IF(U374&gt;0,Ruimtestaat[[#This Row],[Prest. (m2 / jaar) werkdagen BSO]]/Ruimtestaat[[#This Row],[Norm (m2/uur) werkdagen]],0)</f>
        <v>#DIV/0!</v>
      </c>
      <c r="AD374" s="443" t="e">
        <f>Ruimtestaat[[#This Row],[uren / jaar werkdagen BSO]]*Tariefsopbouw!$E$35</f>
        <v>#DIV/0!</v>
      </c>
      <c r="AE374" s="444">
        <f>Ruimtestaat[[#This Row],[uren / jaar werkdagen]]*Tariefsopbouw!$E$35</f>
        <v>0</v>
      </c>
      <c r="AF374" s="434"/>
      <c r="AG374" s="434">
        <f>IF(Ruimtestaat[[#This Row],[Frequentie weekend]]&gt;0,VALUE(LEFT(AF374,1))*S374,0)</f>
        <v>0</v>
      </c>
      <c r="AH374" s="445">
        <f>IF($AG374&gt;0,VLOOKUP($J374,Ruimtegroepen[],3,FALSE)*VLOOKUP($L374,Vloersoorten[],3,FALSE)*VLOOKUP($AF374,Frequenties[],3,FALSE)*VLOOKUP(Ruimtestaat[[#This Row],[Code]],Locaties[],3,FALSE),0)</f>
        <v>0</v>
      </c>
      <c r="AI374" s="445">
        <f>Ruimtestaat[[#This Row],[Uitvoeringen weekend]]*Ruimtestaat[[#This Row],[Oppervlak (netto)]]</f>
        <v>0</v>
      </c>
      <c r="AJ374" s="445">
        <f>IF(AH374&gt;0,Ruimtestaat[[#This Row],[Prest. (m2 /jaar) weekend]]/Ruimtestaat[[#This Row],[Norm (m2/uur) weekend]],0)</f>
        <v>0</v>
      </c>
      <c r="AK374" s="444">
        <f>Ruimtestaat[[#This Row],[uren / jaar weekend]]*Tariefsopbouw!$D$40</f>
        <v>0</v>
      </c>
      <c r="AL374" s="441">
        <f>Ruimtestaat[[#This Row],[Prest. (m2 /jaar) weekend]]+Ruimtestaat[[#This Row],[Prest. (m2 /jaar) werkdagen]]</f>
        <v>10556</v>
      </c>
      <c r="AM374" s="441">
        <f>Ruimtestaat[[#This Row],[uren / jaar weekend]]+Ruimtestaat[[#This Row],[uren / jaar werkdagen]]</f>
        <v>0</v>
      </c>
      <c r="AN374" s="446">
        <f>Ruimtestaat[[#This Row],[kosten / jaar weekend]]+Ruimtestaat[[#This Row],[kosten / jaar werkdagen]]</f>
        <v>0</v>
      </c>
      <c r="AO374" s="446"/>
      <c r="AP374" s="447" t="str">
        <f>IF(Ruimtestaat[[#This Row],[Frequentie werkdagen]]="","",_xlfn.CONCAT(Ruimtestaat[[#This Row],[Ruimte code]],"-",Ruimtestaat[[#This Row],[Frequentie werkdagen]]," ",Ruimtestaat[[#This Row],[Vloer code]]))</f>
        <v>16-5w L</v>
      </c>
      <c r="AQ374" s="448" t="str">
        <f>_xlfn.IFNA(VLOOKUP($AP374,Programma!$F$3:$G$1101,2,0),"")</f>
        <v>_</v>
      </c>
      <c r="AR374" s="448" t="str">
        <f>_xlfn.IFNA(VLOOKUP($AP374,Programma!$F$3:$H$1101,3,0),"")</f>
        <v>_</v>
      </c>
      <c r="AS374" s="448" t="str">
        <f>_xlfn.IFNA(VLOOKUP($AP374,Programma!$F$3:$I$1101,4,0),"")</f>
        <v>4w</v>
      </c>
      <c r="AT374" s="448" t="str">
        <f>_xlfn.IFNA(VLOOKUP($AP374,Programma!$F$3:$J$1101,5,0),"")</f>
        <v>1w</v>
      </c>
      <c r="AU374" s="448" t="str">
        <f>_xlfn.IFNA(VLOOKUP($AP374,Programma!$F$3:$K$1101,6,0),"")</f>
        <v>_</v>
      </c>
      <c r="AV374" s="448" t="str">
        <f>_xlfn.IFNA(VLOOKUP($AP374,Programma!$F$3:$L$1101,7,0),"")</f>
        <v>_</v>
      </c>
      <c r="AW374" s="448" t="str">
        <f>_xlfn.IFNA(VLOOKUP($AP374,Programma!$F$3:$M$1101,8,0),"")</f>
        <v>_</v>
      </c>
      <c r="AX374" s="448" t="str">
        <f>_xlfn.IFNA(VLOOKUP($AP374,Programma!$F$3:$N$1101,9,0),"")</f>
        <v>_</v>
      </c>
      <c r="AY374" s="448" t="str">
        <f>_xlfn.IFNA(VLOOKUP($AP374,Programma!$F$3:$O$1101,10,0),"")</f>
        <v>5w</v>
      </c>
      <c r="AZ374" s="448" t="str">
        <f>_xlfn.IFNA(VLOOKUP($AP374,Programma!$F$3:$P$1101,11,0),"")</f>
        <v>5w</v>
      </c>
      <c r="BA374" s="448" t="str">
        <f>_xlfn.IFNA(VLOOKUP($AP374,Programma!$F$3:$Q$1101,12,0),"")</f>
        <v>1w</v>
      </c>
      <c r="BB374" s="448" t="str">
        <f>_xlfn.IFNA(VLOOKUP($AP374,Programma!$F$3:$R$1101,13,0),"")</f>
        <v>1w</v>
      </c>
      <c r="BC374" s="448" t="str">
        <f>_xlfn.IFNA(VLOOKUP($AP374,Programma!$F$3:$S$1101,14,0),"")</f>
        <v>1m</v>
      </c>
      <c r="BD374" s="448" t="str">
        <f>_xlfn.IFNA(VLOOKUP($AP374,Programma!$F$3:$T$1101,15,0),"")</f>
        <v>2j</v>
      </c>
      <c r="BE374" s="448" t="str">
        <f>_xlfn.IFNA(VLOOKUP($AP374,Programma!$F$3:$U$1101,16,0),"")</f>
        <v>1j</v>
      </c>
      <c r="BF374" s="448" t="str">
        <f>_xlfn.IFNA(VLOOKUP($AP374,Programma!$F$3:$V$1101,17,0),"")</f>
        <v>_</v>
      </c>
      <c r="BG374" s="448" t="str">
        <f>_xlfn.IFNA(VLOOKUP($AP374,Programma!$F$3:$W$1101,18,0),"")</f>
        <v>_</v>
      </c>
      <c r="BH374" s="448" t="str">
        <f>_xlfn.IFNA(VLOOKUP($AP374,Programma!$F$3:$X$1101,19,0),"")</f>
        <v>_</v>
      </c>
      <c r="BI374" s="448" t="str">
        <f>_xlfn.IFNA(VLOOKUP($AP374,Programma!$F$3:$Y$1101,20,0),"")</f>
        <v>_</v>
      </c>
      <c r="BJ374" s="449"/>
      <c r="BK374" s="447" t="str">
        <f>IF(Ruimtestaat[[#This Row],[Frequentie weekend]]="","",_xlfn.CONCAT(Ruimtestaat[[#This Row],[Ruimte code]],"-",Ruimtestaat[[#This Row],[Frequentie weekend]]," ",Ruimtestaat[[#This Row],[Vloer code]]))</f>
        <v/>
      </c>
      <c r="BL374" s="448" t="str">
        <f>_xlfn.IFNA(VLOOKUP($BK374,Programma!$F$3:$G$1101,2,0),"")</f>
        <v/>
      </c>
      <c r="BM374" s="448" t="str">
        <f>_xlfn.IFNA(VLOOKUP($BK374,Programma!$F$3:$H$1101,3,0),"")</f>
        <v/>
      </c>
      <c r="BN374" s="448" t="str">
        <f>_xlfn.IFNA(VLOOKUP($BK374,Programma!$F$3:$I$1101,4,0),"")</f>
        <v/>
      </c>
      <c r="BO374" s="448" t="str">
        <f>_xlfn.IFNA(VLOOKUP($BK374,Programma!$F$3:$J$1101,5,0),"")</f>
        <v/>
      </c>
      <c r="BP374" s="448" t="str">
        <f>_xlfn.IFNA(VLOOKUP($BK374,Programma!$F$3:$K$1101,6,0),"")</f>
        <v/>
      </c>
      <c r="BQ374" s="448" t="str">
        <f>_xlfn.IFNA(VLOOKUP($BK374,Programma!$F$3:$L$1101,7,0),"")</f>
        <v/>
      </c>
      <c r="BR374" s="448" t="str">
        <f>_xlfn.IFNA(VLOOKUP($BK374,Programma!$F$3:$M$1101,8,0),"")</f>
        <v/>
      </c>
      <c r="BS374" s="448" t="str">
        <f>_xlfn.IFNA(VLOOKUP($BK374,Programma!$F$3:$N$1101,9,0),"")</f>
        <v/>
      </c>
      <c r="BT374" s="448" t="str">
        <f>_xlfn.IFNA(VLOOKUP($BK374,Programma!$F$3:$O$1101,10,0),"")</f>
        <v/>
      </c>
      <c r="BU374" s="448" t="str">
        <f>_xlfn.IFNA(VLOOKUP($BK374,Programma!$F$3:$P$1101,11,0),"")</f>
        <v/>
      </c>
      <c r="BV374" s="448" t="str">
        <f>_xlfn.IFNA(VLOOKUP($BK374,Programma!$F$3:$Q$1101,12,0),"")</f>
        <v/>
      </c>
      <c r="BW374" s="448" t="str">
        <f>_xlfn.IFNA(VLOOKUP($BK374,Programma!$F$3:$R$1101,13,0),"")</f>
        <v/>
      </c>
      <c r="BX374" s="448" t="str">
        <f>_xlfn.IFNA(VLOOKUP($BK374,Programma!$F$3:$S$1101,14,0),"")</f>
        <v/>
      </c>
      <c r="BY374" s="448" t="str">
        <f>_xlfn.IFNA(VLOOKUP($BK374,Programma!$F$3:$T$1101,15,0),"")</f>
        <v/>
      </c>
      <c r="BZ374" s="448" t="str">
        <f>_xlfn.IFNA(VLOOKUP($BK374,Programma!$F$3:$U$1101,16,0),"")</f>
        <v/>
      </c>
      <c r="CA374" s="448" t="str">
        <f>_xlfn.IFNA(VLOOKUP($BK374,Programma!$F$3:$V$1101,17,0),"")</f>
        <v/>
      </c>
      <c r="CB374" s="448" t="str">
        <f>_xlfn.IFNA(VLOOKUP($BK374,Programma!$F$3:$W$1101,18,0),"")</f>
        <v/>
      </c>
      <c r="CC374" s="448" t="str">
        <f>_xlfn.IFNA(VLOOKUP($BK374,Programma!$F$3:$X$1101,19,0),"")</f>
        <v/>
      </c>
      <c r="CD374" s="448" t="str">
        <f>_xlfn.IFNA(VLOOKUP($BK374,Programma!$F$3:$Y$1101,20,0),"")</f>
        <v/>
      </c>
      <c r="CE374" s="327"/>
      <c r="CF374" s="327"/>
      <c r="CG374" s="327"/>
      <c r="CH374" s="327"/>
      <c r="CI374" s="327"/>
      <c r="CJ374" s="327"/>
      <c r="CK374" s="327"/>
      <c r="CL374" s="327"/>
      <c r="CM374" s="327"/>
      <c r="CN374" s="327"/>
      <c r="CO374" s="327"/>
      <c r="CP374" s="327"/>
      <c r="CQ374" s="327"/>
      <c r="CR374" s="327"/>
      <c r="CS374" s="327"/>
      <c r="CT374" s="327"/>
      <c r="CU374" s="327"/>
      <c r="CV374" s="327"/>
      <c r="CW374" s="327"/>
      <c r="CX374" s="327"/>
      <c r="CY374" s="327"/>
      <c r="CZ374" s="327"/>
      <c r="DA374" s="327"/>
      <c r="DB374" s="327"/>
      <c r="DC374" s="327"/>
      <c r="DD374" s="327"/>
      <c r="DE374" s="327"/>
      <c r="DF374" s="327"/>
      <c r="DG374" s="327"/>
      <c r="DH374" s="327"/>
      <c r="DI374" s="327"/>
      <c r="DJ374" s="327"/>
      <c r="DK374" s="327"/>
      <c r="DL374" s="327"/>
      <c r="DM374" s="327"/>
      <c r="DN374" s="327"/>
      <c r="DO374" s="327"/>
      <c r="DP374" s="327"/>
      <c r="DQ374" s="327"/>
      <c r="DR374" s="327"/>
      <c r="DS374" s="327"/>
      <c r="DT374" s="327"/>
      <c r="DU374" s="327"/>
      <c r="DV374" s="327"/>
      <c r="DW374" s="327"/>
      <c r="DX374" s="327"/>
      <c r="DY374" s="327"/>
      <c r="DZ374" s="327"/>
      <c r="EA374" s="327"/>
      <c r="EB374" s="327"/>
      <c r="EC374" s="327"/>
      <c r="ED374" s="327"/>
      <c r="EE374" s="327"/>
      <c r="EF374" s="327"/>
      <c r="EG374" s="327"/>
      <c r="EH374" s="327"/>
      <c r="EI374" s="327"/>
      <c r="EJ374" s="327"/>
      <c r="EK374" s="327"/>
      <c r="EL374" s="327"/>
      <c r="EM374" s="327"/>
      <c r="EN374" s="327"/>
      <c r="EO374" s="327"/>
      <c r="EP374" s="327"/>
      <c r="EQ374" s="327"/>
      <c r="ER374" s="327"/>
      <c r="ES374" s="327"/>
      <c r="ET374" s="327"/>
      <c r="EU374" s="327"/>
      <c r="EV374" s="327"/>
      <c r="EW374" s="327"/>
      <c r="EX374" s="327"/>
      <c r="EY374" s="327"/>
      <c r="EZ374" s="327"/>
      <c r="FA374" s="327"/>
      <c r="FB374" s="327"/>
      <c r="FC374" s="327"/>
      <c r="FD374" s="327"/>
      <c r="FE374" s="327"/>
      <c r="FF374" s="327"/>
      <c r="FG374" s="327"/>
      <c r="FH374" s="327"/>
      <c r="FI374" s="327"/>
      <c r="FJ374" s="327"/>
      <c r="FK374" s="327"/>
      <c r="FL374" s="327"/>
      <c r="FM374" s="327"/>
      <c r="FN374" s="327"/>
      <c r="FO374" s="327"/>
      <c r="FP374" s="327"/>
      <c r="FQ374" s="327"/>
      <c r="FR374" s="327"/>
      <c r="FS374" s="327"/>
      <c r="FT374" s="327"/>
      <c r="FU374" s="327"/>
      <c r="FV374" s="327"/>
      <c r="FW374" s="327"/>
      <c r="FX374" s="327"/>
      <c r="FY374" s="327"/>
      <c r="FZ374" s="327"/>
      <c r="GA374" s="327"/>
      <c r="GB374" s="327"/>
      <c r="GC374" s="327"/>
      <c r="GD374" s="327"/>
      <c r="GE374" s="327"/>
      <c r="GF374" s="327"/>
      <c r="GG374" s="327"/>
      <c r="GH374" s="327"/>
      <c r="GI374" s="327"/>
      <c r="GJ374" s="327"/>
      <c r="GK374" s="327"/>
      <c r="GL374" s="327"/>
      <c r="GM374" s="327"/>
      <c r="GN374" s="327"/>
      <c r="GO374" s="327"/>
      <c r="GP374" s="327"/>
      <c r="GQ374" s="327"/>
      <c r="GR374" s="327"/>
      <c r="GS374" s="327"/>
      <c r="GT374" s="327"/>
      <c r="GU374" s="327"/>
      <c r="GV374" s="327"/>
      <c r="GW374" s="327"/>
      <c r="GX374" s="327"/>
      <c r="GY374" s="327"/>
      <c r="GZ374" s="327"/>
      <c r="HA374" s="327"/>
      <c r="HB374" s="327"/>
      <c r="HC374" s="327"/>
      <c r="HD374" s="327"/>
      <c r="HE374" s="327"/>
      <c r="HF374" s="327"/>
      <c r="HG374" s="327"/>
      <c r="HH374" s="327"/>
      <c r="HI374" s="327"/>
      <c r="HJ374" s="327"/>
      <c r="HK374" s="327"/>
      <c r="HL374" s="327"/>
      <c r="HM374" s="327"/>
      <c r="HN374" s="327"/>
      <c r="HO374" s="327"/>
      <c r="HP374" s="327"/>
      <c r="HQ374" s="327"/>
      <c r="HR374" s="327"/>
      <c r="HS374" s="327"/>
    </row>
    <row r="375" spans="1:227" ht="15" customHeight="1">
      <c r="A375" s="327">
        <v>16</v>
      </c>
      <c r="B375" s="435" t="str">
        <f>VLOOKUP(Ruimtestaat[[#This Row],[Code]],Locaties[[Code]:[Locatie]],2,FALSE)</f>
        <v>IKC de Tjalk Kadelaan</v>
      </c>
      <c r="C375" s="435" t="str">
        <f>VLOOKUP(Ruimtestaat[[#This Row],[Code]],Locaties[[#All],[Code]:[Adres]],4,FALSE)</f>
        <v>Kadelaan 200-202</v>
      </c>
      <c r="D375" s="435" t="str">
        <f>VLOOKUP(Ruimtestaat[[#This Row],[Code]],Locaties[[#All],[Code]:[Postcode]],5,FALSE)</f>
        <v>2725 BR</v>
      </c>
      <c r="E375" s="435" t="str">
        <f>VLOOKUP(Ruimtestaat[[#This Row],[Code]],Locaties[#All],6,FALSE)</f>
        <v>Zoetermeer</v>
      </c>
      <c r="F375" s="450"/>
      <c r="G375" s="330" t="s">
        <v>1678</v>
      </c>
      <c r="H375" s="330" t="s">
        <v>1665</v>
      </c>
      <c r="I375" s="450" t="s">
        <v>1726</v>
      </c>
      <c r="J375" s="330">
        <v>16</v>
      </c>
      <c r="K375" s="450" t="str">
        <f>VLOOKUP(Ruimtestaat[[#This Row],[Ruimte code]],Ruimtegroepen[[#All],[Code]:[Ruimte omschrijving]],2,FALSE)</f>
        <v>Leslokalen</v>
      </c>
      <c r="L375" s="434" t="s">
        <v>100</v>
      </c>
      <c r="M375" s="437" t="s">
        <v>1759</v>
      </c>
      <c r="N375" s="439">
        <v>49</v>
      </c>
      <c r="O375" s="439"/>
      <c r="P375" s="439"/>
      <c r="Q375" s="439"/>
      <c r="R375" s="440" t="str">
        <f>VLOOKUP(Ruimtestaat[[#This Row],[Ruimte code]],Ruimtegroepen[],4,FALSE)</f>
        <v>Le</v>
      </c>
      <c r="S375" s="434">
        <v>40</v>
      </c>
      <c r="T375" s="434" t="s">
        <v>2</v>
      </c>
      <c r="U375" s="434">
        <f>IF(S375&gt;0,IF(RIGHT(Ruimtestaat[[#This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5" s="434">
        <f>IF(U375&gt;0,VLOOKUP($J375,Ruimtegroepen[],3,FALSE)*VLOOKUP($L375,Vloersoorten[],3,FALSE)*VLOOKUP($T375,Frequenties[],3,FALSE)*VLOOKUP($A375,Locaties[],3,FALSE),0)</f>
        <v>0</v>
      </c>
      <c r="W375" s="434">
        <f>Ruimtestaat[[#This Row],[Uitvoeringen werkdagen]]*Ruimtestaat[[#This Row],[Oppervlak (netto)]]</f>
        <v>9800</v>
      </c>
      <c r="X375" s="441">
        <f>IF(V375&gt;0,Ruimtestaat[[#This Row],[Prest. (m2 /jaar) werkdagen]]/Ruimtestaat[[#This Row],[Norm (m2/uur) werkdagen]],0)</f>
        <v>0</v>
      </c>
      <c r="Y375" s="442">
        <f>Ruimtestaat[[#This Row],[Uitvoeringen werkdagen]]*Ruimtestaat[[#This Row],[Gedeeltelijk]]</f>
        <v>0</v>
      </c>
      <c r="Z375" s="443" t="e">
        <f>IF(U375&gt;0,Ruimtestaat[[#This Row],[Prest. (m2 / jaar) werkdagen gedeeld]]/Ruimtestaat[[#This Row],[Norm (m2/uur) werkdagen]],0)</f>
        <v>#DIV/0!</v>
      </c>
      <c r="AA375" s="441" t="e">
        <f>Ruimtestaat[[#This Row],[uren / jaar werkdagen gedeeld]]*Tariefsopbouw!$E$35</f>
        <v>#DIV/0!</v>
      </c>
      <c r="AB375" s="441">
        <f>Ruimtestaat[[#This Row],[Uitvoeringen werkdagen]]*Ruimtestaat[[#This Row],[BSO]]</f>
        <v>0</v>
      </c>
      <c r="AC375" s="443" t="e">
        <f>IF(U375&gt;0,Ruimtestaat[[#This Row],[Prest. (m2 / jaar) werkdagen BSO]]/Ruimtestaat[[#This Row],[Norm (m2/uur) werkdagen]],0)</f>
        <v>#DIV/0!</v>
      </c>
      <c r="AD375" s="443" t="e">
        <f>Ruimtestaat[[#This Row],[uren / jaar werkdagen BSO]]*Tariefsopbouw!$E$35</f>
        <v>#DIV/0!</v>
      </c>
      <c r="AE375" s="444">
        <f>Ruimtestaat[[#This Row],[uren / jaar werkdagen]]*Tariefsopbouw!$E$35</f>
        <v>0</v>
      </c>
      <c r="AF375" s="434"/>
      <c r="AG375" s="434">
        <f>IF(Ruimtestaat[[#This Row],[Frequentie weekend]]&gt;0,VALUE(LEFT(AF375,1))*S375,0)</f>
        <v>0</v>
      </c>
      <c r="AH375" s="445">
        <f>IF($AG375&gt;0,VLOOKUP($J375,Ruimtegroepen[],3,FALSE)*VLOOKUP($L375,Vloersoorten[],3,FALSE)*VLOOKUP($AF375,Frequenties[],3,FALSE)*VLOOKUP(Ruimtestaat[[#This Row],[Code]],Locaties[],3,FALSE),0)</f>
        <v>0</v>
      </c>
      <c r="AI375" s="445">
        <f>Ruimtestaat[[#This Row],[Uitvoeringen weekend]]*Ruimtestaat[[#This Row],[Oppervlak (netto)]]</f>
        <v>0</v>
      </c>
      <c r="AJ375" s="445">
        <f>IF(AH375&gt;0,Ruimtestaat[[#This Row],[Prest. (m2 /jaar) weekend]]/Ruimtestaat[[#This Row],[Norm (m2/uur) weekend]],0)</f>
        <v>0</v>
      </c>
      <c r="AK375" s="444">
        <f>Ruimtestaat[[#This Row],[uren / jaar weekend]]*Tariefsopbouw!$D$40</f>
        <v>0</v>
      </c>
      <c r="AL375" s="441">
        <f>Ruimtestaat[[#This Row],[Prest. (m2 /jaar) weekend]]+Ruimtestaat[[#This Row],[Prest. (m2 /jaar) werkdagen]]</f>
        <v>9800</v>
      </c>
      <c r="AM375" s="441">
        <f>Ruimtestaat[[#This Row],[uren / jaar weekend]]+Ruimtestaat[[#This Row],[uren / jaar werkdagen]]</f>
        <v>0</v>
      </c>
      <c r="AN375" s="446">
        <f>Ruimtestaat[[#This Row],[kosten / jaar weekend]]+Ruimtestaat[[#This Row],[kosten / jaar werkdagen]]</f>
        <v>0</v>
      </c>
      <c r="AO375" s="446"/>
      <c r="AP375" s="447" t="str">
        <f>IF(Ruimtestaat[[#This Row],[Frequentie werkdagen]]="","",_xlfn.CONCAT(Ruimtestaat[[#This Row],[Ruimte code]],"-",Ruimtestaat[[#This Row],[Frequentie werkdagen]]," ",Ruimtestaat[[#This Row],[Vloer code]]))</f>
        <v>16-5w L</v>
      </c>
      <c r="AQ375" s="448" t="str">
        <f>_xlfn.IFNA(VLOOKUP($AP375,Programma!$F$3:$G$1101,2,0),"")</f>
        <v>_</v>
      </c>
      <c r="AR375" s="448" t="str">
        <f>_xlfn.IFNA(VLOOKUP($AP375,Programma!$F$3:$H$1101,3,0),"")</f>
        <v>_</v>
      </c>
      <c r="AS375" s="448" t="str">
        <f>_xlfn.IFNA(VLOOKUP($AP375,Programma!$F$3:$I$1101,4,0),"")</f>
        <v>4w</v>
      </c>
      <c r="AT375" s="448" t="str">
        <f>_xlfn.IFNA(VLOOKUP($AP375,Programma!$F$3:$J$1101,5,0),"")</f>
        <v>1w</v>
      </c>
      <c r="AU375" s="448" t="str">
        <f>_xlfn.IFNA(VLOOKUP($AP375,Programma!$F$3:$K$1101,6,0),"")</f>
        <v>_</v>
      </c>
      <c r="AV375" s="448" t="str">
        <f>_xlfn.IFNA(VLOOKUP($AP375,Programma!$F$3:$L$1101,7,0),"")</f>
        <v>_</v>
      </c>
      <c r="AW375" s="448" t="str">
        <f>_xlfn.IFNA(VLOOKUP($AP375,Programma!$F$3:$M$1101,8,0),"")</f>
        <v>_</v>
      </c>
      <c r="AX375" s="448" t="str">
        <f>_xlfn.IFNA(VLOOKUP($AP375,Programma!$F$3:$N$1101,9,0),"")</f>
        <v>_</v>
      </c>
      <c r="AY375" s="448" t="str">
        <f>_xlfn.IFNA(VLOOKUP($AP375,Programma!$F$3:$O$1101,10,0),"")</f>
        <v>5w</v>
      </c>
      <c r="AZ375" s="448" t="str">
        <f>_xlfn.IFNA(VLOOKUP($AP375,Programma!$F$3:$P$1101,11,0),"")</f>
        <v>5w</v>
      </c>
      <c r="BA375" s="448" t="str">
        <f>_xlfn.IFNA(VLOOKUP($AP375,Programma!$F$3:$Q$1101,12,0),"")</f>
        <v>1w</v>
      </c>
      <c r="BB375" s="448" t="str">
        <f>_xlfn.IFNA(VLOOKUP($AP375,Programma!$F$3:$R$1101,13,0),"")</f>
        <v>1w</v>
      </c>
      <c r="BC375" s="448" t="str">
        <f>_xlfn.IFNA(VLOOKUP($AP375,Programma!$F$3:$S$1101,14,0),"")</f>
        <v>1m</v>
      </c>
      <c r="BD375" s="448" t="str">
        <f>_xlfn.IFNA(VLOOKUP($AP375,Programma!$F$3:$T$1101,15,0),"")</f>
        <v>2j</v>
      </c>
      <c r="BE375" s="448" t="str">
        <f>_xlfn.IFNA(VLOOKUP($AP375,Programma!$F$3:$U$1101,16,0),"")</f>
        <v>1j</v>
      </c>
      <c r="BF375" s="448" t="str">
        <f>_xlfn.IFNA(VLOOKUP($AP375,Programma!$F$3:$V$1101,17,0),"")</f>
        <v>_</v>
      </c>
      <c r="BG375" s="448" t="str">
        <f>_xlfn.IFNA(VLOOKUP($AP375,Programma!$F$3:$W$1101,18,0),"")</f>
        <v>_</v>
      </c>
      <c r="BH375" s="448" t="str">
        <f>_xlfn.IFNA(VLOOKUP($AP375,Programma!$F$3:$X$1101,19,0),"")</f>
        <v>_</v>
      </c>
      <c r="BI375" s="448" t="str">
        <f>_xlfn.IFNA(VLOOKUP($AP375,Programma!$F$3:$Y$1101,20,0),"")</f>
        <v>_</v>
      </c>
      <c r="BJ375" s="449"/>
      <c r="BK375" s="447" t="str">
        <f>IF(Ruimtestaat[[#This Row],[Frequentie weekend]]="","",_xlfn.CONCAT(Ruimtestaat[[#This Row],[Ruimte code]],"-",Ruimtestaat[[#This Row],[Frequentie weekend]]," ",Ruimtestaat[[#This Row],[Vloer code]]))</f>
        <v/>
      </c>
      <c r="BL375" s="448" t="str">
        <f>_xlfn.IFNA(VLOOKUP($BK375,Programma!$F$3:$G$1101,2,0),"")</f>
        <v/>
      </c>
      <c r="BM375" s="448" t="str">
        <f>_xlfn.IFNA(VLOOKUP($BK375,Programma!$F$3:$H$1101,3,0),"")</f>
        <v/>
      </c>
      <c r="BN375" s="448" t="str">
        <f>_xlfn.IFNA(VLOOKUP($BK375,Programma!$F$3:$I$1101,4,0),"")</f>
        <v/>
      </c>
      <c r="BO375" s="448" t="str">
        <f>_xlfn.IFNA(VLOOKUP($BK375,Programma!$F$3:$J$1101,5,0),"")</f>
        <v/>
      </c>
      <c r="BP375" s="448" t="str">
        <f>_xlfn.IFNA(VLOOKUP($BK375,Programma!$F$3:$K$1101,6,0),"")</f>
        <v/>
      </c>
      <c r="BQ375" s="448" t="str">
        <f>_xlfn.IFNA(VLOOKUP($BK375,Programma!$F$3:$L$1101,7,0),"")</f>
        <v/>
      </c>
      <c r="BR375" s="448" t="str">
        <f>_xlfn.IFNA(VLOOKUP($BK375,Programma!$F$3:$M$1101,8,0),"")</f>
        <v/>
      </c>
      <c r="BS375" s="448" t="str">
        <f>_xlfn.IFNA(VLOOKUP($BK375,Programma!$F$3:$N$1101,9,0),"")</f>
        <v/>
      </c>
      <c r="BT375" s="448" t="str">
        <f>_xlfn.IFNA(VLOOKUP($BK375,Programma!$F$3:$O$1101,10,0),"")</f>
        <v/>
      </c>
      <c r="BU375" s="448" t="str">
        <f>_xlfn.IFNA(VLOOKUP($BK375,Programma!$F$3:$P$1101,11,0),"")</f>
        <v/>
      </c>
      <c r="BV375" s="448" t="str">
        <f>_xlfn.IFNA(VLOOKUP($BK375,Programma!$F$3:$Q$1101,12,0),"")</f>
        <v/>
      </c>
      <c r="BW375" s="448" t="str">
        <f>_xlfn.IFNA(VLOOKUP($BK375,Programma!$F$3:$R$1101,13,0),"")</f>
        <v/>
      </c>
      <c r="BX375" s="448" t="str">
        <f>_xlfn.IFNA(VLOOKUP($BK375,Programma!$F$3:$S$1101,14,0),"")</f>
        <v/>
      </c>
      <c r="BY375" s="448" t="str">
        <f>_xlfn.IFNA(VLOOKUP($BK375,Programma!$F$3:$T$1101,15,0),"")</f>
        <v/>
      </c>
      <c r="BZ375" s="448" t="str">
        <f>_xlfn.IFNA(VLOOKUP($BK375,Programma!$F$3:$U$1101,16,0),"")</f>
        <v/>
      </c>
      <c r="CA375" s="448" t="str">
        <f>_xlfn.IFNA(VLOOKUP($BK375,Programma!$F$3:$V$1101,17,0),"")</f>
        <v/>
      </c>
      <c r="CB375" s="448" t="str">
        <f>_xlfn.IFNA(VLOOKUP($BK375,Programma!$F$3:$W$1101,18,0),"")</f>
        <v/>
      </c>
      <c r="CC375" s="448" t="str">
        <f>_xlfn.IFNA(VLOOKUP($BK375,Programma!$F$3:$X$1101,19,0),"")</f>
        <v/>
      </c>
      <c r="CD375" s="448" t="str">
        <f>_xlfn.IFNA(VLOOKUP($BK375,Programma!$F$3:$Y$1101,20,0),"")</f>
        <v/>
      </c>
      <c r="CE375" s="327"/>
      <c r="CF375" s="327"/>
      <c r="CG375" s="327"/>
      <c r="CH375" s="327"/>
      <c r="CI375" s="327"/>
      <c r="CJ375" s="327"/>
      <c r="CK375" s="327"/>
      <c r="CL375" s="327"/>
      <c r="CM375" s="327"/>
      <c r="CN375" s="327"/>
      <c r="CO375" s="327"/>
      <c r="CP375" s="327"/>
      <c r="CQ375" s="327"/>
      <c r="CR375" s="327"/>
      <c r="CS375" s="327"/>
      <c r="CT375" s="327"/>
      <c r="CU375" s="327"/>
      <c r="CV375" s="327"/>
      <c r="CW375" s="327"/>
      <c r="CX375" s="327"/>
      <c r="CY375" s="327"/>
      <c r="CZ375" s="327"/>
      <c r="DA375" s="327"/>
      <c r="DB375" s="327"/>
      <c r="DC375" s="327"/>
      <c r="DD375" s="327"/>
      <c r="DE375" s="327"/>
      <c r="DF375" s="327"/>
      <c r="DG375" s="327"/>
      <c r="DH375" s="327"/>
      <c r="DI375" s="327"/>
      <c r="DJ375" s="327"/>
      <c r="DK375" s="327"/>
      <c r="DL375" s="327"/>
      <c r="DM375" s="327"/>
      <c r="DN375" s="327"/>
      <c r="DO375" s="327"/>
      <c r="DP375" s="327"/>
      <c r="DQ375" s="327"/>
      <c r="DR375" s="327"/>
      <c r="DS375" s="327"/>
      <c r="DT375" s="327"/>
      <c r="DU375" s="327"/>
      <c r="DV375" s="327"/>
      <c r="DW375" s="327"/>
      <c r="DX375" s="327"/>
      <c r="DY375" s="327"/>
      <c r="DZ375" s="327"/>
      <c r="EA375" s="327"/>
      <c r="EB375" s="327"/>
      <c r="EC375" s="327"/>
      <c r="ED375" s="327"/>
      <c r="EE375" s="327"/>
      <c r="EF375" s="327"/>
      <c r="EG375" s="327"/>
      <c r="EH375" s="327"/>
      <c r="EI375" s="327"/>
      <c r="EJ375" s="327"/>
      <c r="EK375" s="327"/>
      <c r="EL375" s="327"/>
      <c r="EM375" s="327"/>
      <c r="EN375" s="327"/>
      <c r="EO375" s="327"/>
      <c r="EP375" s="327"/>
      <c r="EQ375" s="327"/>
      <c r="ER375" s="327"/>
      <c r="ES375" s="327"/>
      <c r="ET375" s="327"/>
      <c r="EU375" s="327"/>
      <c r="EV375" s="327"/>
      <c r="EW375" s="327"/>
      <c r="EX375" s="327"/>
      <c r="EY375" s="327"/>
      <c r="EZ375" s="327"/>
      <c r="FA375" s="327"/>
      <c r="FB375" s="327"/>
      <c r="FC375" s="327"/>
      <c r="FD375" s="327"/>
      <c r="FE375" s="327"/>
      <c r="FF375" s="327"/>
      <c r="FG375" s="327"/>
      <c r="FH375" s="327"/>
      <c r="FI375" s="327"/>
      <c r="FJ375" s="327"/>
      <c r="FK375" s="327"/>
      <c r="FL375" s="327"/>
      <c r="FM375" s="327"/>
      <c r="FN375" s="327"/>
      <c r="FO375" s="327"/>
      <c r="FP375" s="327"/>
      <c r="FQ375" s="327"/>
      <c r="FR375" s="327"/>
      <c r="FS375" s="327"/>
      <c r="FT375" s="327"/>
      <c r="FU375" s="327"/>
      <c r="FV375" s="327"/>
      <c r="FW375" s="327"/>
      <c r="FX375" s="327"/>
      <c r="FY375" s="327"/>
      <c r="FZ375" s="327"/>
      <c r="GA375" s="327"/>
      <c r="GB375" s="327"/>
      <c r="GC375" s="327"/>
      <c r="GD375" s="327"/>
      <c r="GE375" s="327"/>
      <c r="GF375" s="327"/>
      <c r="GG375" s="327"/>
      <c r="GH375" s="327"/>
      <c r="GI375" s="327"/>
      <c r="GJ375" s="327"/>
      <c r="GK375" s="327"/>
      <c r="GL375" s="327"/>
      <c r="GM375" s="327"/>
      <c r="GN375" s="327"/>
      <c r="GO375" s="327"/>
      <c r="GP375" s="327"/>
      <c r="GQ375" s="327"/>
      <c r="GR375" s="327"/>
      <c r="GS375" s="327"/>
      <c r="GT375" s="327"/>
      <c r="GU375" s="327"/>
      <c r="GV375" s="327"/>
      <c r="GW375" s="327"/>
      <c r="GX375" s="327"/>
      <c r="GY375" s="327"/>
      <c r="GZ375" s="327"/>
      <c r="HA375" s="327"/>
      <c r="HB375" s="327"/>
      <c r="HC375" s="327"/>
      <c r="HD375" s="327"/>
      <c r="HE375" s="327"/>
      <c r="HF375" s="327"/>
      <c r="HG375" s="327"/>
      <c r="HH375" s="327"/>
      <c r="HI375" s="327"/>
      <c r="HJ375" s="327"/>
      <c r="HK375" s="327"/>
      <c r="HL375" s="327"/>
      <c r="HM375" s="327"/>
      <c r="HN375" s="327"/>
      <c r="HO375" s="327"/>
      <c r="HP375" s="327"/>
      <c r="HQ375" s="327"/>
      <c r="HR375" s="327"/>
      <c r="HS375" s="327"/>
    </row>
    <row r="376" spans="1:227" ht="15" customHeight="1">
      <c r="A376" s="327">
        <v>16</v>
      </c>
      <c r="B376" s="435" t="str">
        <f>VLOOKUP(Ruimtestaat[[#This Row],[Code]],Locaties[[Code]:[Locatie]],2,FALSE)</f>
        <v>IKC de Tjalk Kadelaan</v>
      </c>
      <c r="C376" s="435" t="str">
        <f>VLOOKUP(Ruimtestaat[[#This Row],[Code]],Locaties[[#All],[Code]:[Adres]],4,FALSE)</f>
        <v>Kadelaan 200-202</v>
      </c>
      <c r="D376" s="435" t="str">
        <f>VLOOKUP(Ruimtestaat[[#This Row],[Code]],Locaties[[#All],[Code]:[Postcode]],5,FALSE)</f>
        <v>2725 BR</v>
      </c>
      <c r="E376" s="435" t="str">
        <f>VLOOKUP(Ruimtestaat[[#This Row],[Code]],Locaties[#All],6,FALSE)</f>
        <v>Zoetermeer</v>
      </c>
      <c r="F376" s="450"/>
      <c r="G376" s="330" t="s">
        <v>1678</v>
      </c>
      <c r="H376" s="330" t="s">
        <v>1667</v>
      </c>
      <c r="I376" s="450" t="s">
        <v>1726</v>
      </c>
      <c r="J376" s="330">
        <v>20</v>
      </c>
      <c r="K376" s="450" t="str">
        <f>VLOOKUP(Ruimtestaat[[#This Row],[Ruimte code]],Ruimtegroepen[[#All],[Code]:[Ruimte omschrijving]],2,FALSE)</f>
        <v>Niet in Onderhoud</v>
      </c>
      <c r="L376" s="434" t="s">
        <v>100</v>
      </c>
      <c r="M376" s="437" t="s">
        <v>1759</v>
      </c>
      <c r="N376" s="439">
        <v>0</v>
      </c>
      <c r="O376" s="439"/>
      <c r="P376" s="439"/>
      <c r="Q376" s="439"/>
      <c r="R376" s="440">
        <f>VLOOKUP(Ruimtestaat[[#This Row],[Ruimte code]],Ruimtegroepen[],4,FALSE)</f>
        <v>0</v>
      </c>
      <c r="S376" s="434"/>
      <c r="T376" s="434"/>
      <c r="U376" s="434">
        <f>IF(S376&gt;0,IF(RIGHT(Ruimtestaat[[#This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76" s="434">
        <f>IF(U376&gt;0,VLOOKUP($J376,Ruimtegroepen[],3,FALSE)*VLOOKUP($L376,Vloersoorten[],3,FALSE)*VLOOKUP($T376,Frequenties[],3,FALSE)*VLOOKUP($A376,Locaties[],3,FALSE),0)</f>
        <v>0</v>
      </c>
      <c r="W376" s="434">
        <f>Ruimtestaat[[#This Row],[Uitvoeringen werkdagen]]*Ruimtestaat[[#This Row],[Oppervlak (netto)]]</f>
        <v>0</v>
      </c>
      <c r="X376" s="441">
        <f>IF(V376&gt;0,Ruimtestaat[[#This Row],[Prest. (m2 /jaar) werkdagen]]/Ruimtestaat[[#This Row],[Norm (m2/uur) werkdagen]],0)</f>
        <v>0</v>
      </c>
      <c r="Y376" s="442">
        <f>Ruimtestaat[[#This Row],[Uitvoeringen werkdagen]]*Ruimtestaat[[#This Row],[Gedeeltelijk]]</f>
        <v>0</v>
      </c>
      <c r="Z376" s="443">
        <f>IF(U376&gt;0,Ruimtestaat[[#This Row],[Prest. (m2 / jaar) werkdagen gedeeld]]/Ruimtestaat[[#This Row],[Norm (m2/uur) werkdagen]],0)</f>
        <v>0</v>
      </c>
      <c r="AA376" s="441">
        <f>Ruimtestaat[[#This Row],[uren / jaar werkdagen gedeeld]]*Tariefsopbouw!$E$35</f>
        <v>0</v>
      </c>
      <c r="AB376" s="441">
        <f>Ruimtestaat[[#This Row],[Uitvoeringen werkdagen]]*Ruimtestaat[[#This Row],[BSO]]</f>
        <v>0</v>
      </c>
      <c r="AC376" s="443">
        <f>IF(U376&gt;0,Ruimtestaat[[#This Row],[Prest. (m2 / jaar) werkdagen BSO]]/Ruimtestaat[[#This Row],[Norm (m2/uur) werkdagen]],0)</f>
        <v>0</v>
      </c>
      <c r="AD376" s="443">
        <f>Ruimtestaat[[#This Row],[uren / jaar werkdagen BSO]]*Tariefsopbouw!$E$35</f>
        <v>0</v>
      </c>
      <c r="AE376" s="444">
        <f>Ruimtestaat[[#This Row],[uren / jaar werkdagen]]*Tariefsopbouw!$E$35</f>
        <v>0</v>
      </c>
      <c r="AF376" s="434"/>
      <c r="AG376" s="434">
        <f>IF(Ruimtestaat[[#This Row],[Frequentie weekend]]&gt;0,VALUE(LEFT(AF376,1))*S376,0)</f>
        <v>0</v>
      </c>
      <c r="AH376" s="445">
        <f>IF($AG376&gt;0,VLOOKUP($J376,Ruimtegroepen[],3,FALSE)*VLOOKUP($L376,Vloersoorten[],3,FALSE)*VLOOKUP($AF376,Frequenties[],3,FALSE)*VLOOKUP(Ruimtestaat[[#This Row],[Code]],Locaties[],3,FALSE),0)</f>
        <v>0</v>
      </c>
      <c r="AI376" s="445">
        <f>Ruimtestaat[[#This Row],[Uitvoeringen weekend]]*Ruimtestaat[[#This Row],[Oppervlak (netto)]]</f>
        <v>0</v>
      </c>
      <c r="AJ376" s="445">
        <f>IF(AH376&gt;0,Ruimtestaat[[#This Row],[Prest. (m2 /jaar) weekend]]/Ruimtestaat[[#This Row],[Norm (m2/uur) weekend]],0)</f>
        <v>0</v>
      </c>
      <c r="AK376" s="444">
        <f>Ruimtestaat[[#This Row],[uren / jaar weekend]]*Tariefsopbouw!$D$40</f>
        <v>0</v>
      </c>
      <c r="AL376" s="441">
        <f>Ruimtestaat[[#This Row],[Prest. (m2 /jaar) weekend]]+Ruimtestaat[[#This Row],[Prest. (m2 /jaar) werkdagen]]</f>
        <v>0</v>
      </c>
      <c r="AM376" s="441">
        <f>Ruimtestaat[[#This Row],[uren / jaar weekend]]+Ruimtestaat[[#This Row],[uren / jaar werkdagen]]</f>
        <v>0</v>
      </c>
      <c r="AN376" s="446">
        <f>Ruimtestaat[[#This Row],[kosten / jaar weekend]]+Ruimtestaat[[#This Row],[kosten / jaar werkdagen]]</f>
        <v>0</v>
      </c>
      <c r="AO376" s="446"/>
      <c r="AP376" s="447" t="str">
        <f>IF(Ruimtestaat[[#This Row],[Frequentie werkdagen]]="","",_xlfn.CONCAT(Ruimtestaat[[#This Row],[Ruimte code]],"-",Ruimtestaat[[#This Row],[Frequentie werkdagen]]," ",Ruimtestaat[[#This Row],[Vloer code]]))</f>
        <v/>
      </c>
      <c r="AQ376" s="448" t="str">
        <f>_xlfn.IFNA(VLOOKUP($AP376,Programma!$F$3:$G$1101,2,0),"")</f>
        <v/>
      </c>
      <c r="AR376" s="448" t="str">
        <f>_xlfn.IFNA(VLOOKUP($AP376,Programma!$F$3:$H$1101,3,0),"")</f>
        <v/>
      </c>
      <c r="AS376" s="448" t="str">
        <f>_xlfn.IFNA(VLOOKUP($AP376,Programma!$F$3:$I$1101,4,0),"")</f>
        <v/>
      </c>
      <c r="AT376" s="448" t="str">
        <f>_xlfn.IFNA(VLOOKUP($AP376,Programma!$F$3:$J$1101,5,0),"")</f>
        <v/>
      </c>
      <c r="AU376" s="448" t="str">
        <f>_xlfn.IFNA(VLOOKUP($AP376,Programma!$F$3:$K$1101,6,0),"")</f>
        <v/>
      </c>
      <c r="AV376" s="448" t="str">
        <f>_xlfn.IFNA(VLOOKUP($AP376,Programma!$F$3:$L$1101,7,0),"")</f>
        <v/>
      </c>
      <c r="AW376" s="448" t="str">
        <f>_xlfn.IFNA(VLOOKUP($AP376,Programma!$F$3:$M$1101,8,0),"")</f>
        <v/>
      </c>
      <c r="AX376" s="448" t="str">
        <f>_xlfn.IFNA(VLOOKUP($AP376,Programma!$F$3:$N$1101,9,0),"")</f>
        <v/>
      </c>
      <c r="AY376" s="448" t="str">
        <f>_xlfn.IFNA(VLOOKUP($AP376,Programma!$F$3:$O$1101,10,0),"")</f>
        <v/>
      </c>
      <c r="AZ376" s="448" t="str">
        <f>_xlfn.IFNA(VLOOKUP($AP376,Programma!$F$3:$P$1101,11,0),"")</f>
        <v/>
      </c>
      <c r="BA376" s="448" t="str">
        <f>_xlfn.IFNA(VLOOKUP($AP376,Programma!$F$3:$Q$1101,12,0),"")</f>
        <v/>
      </c>
      <c r="BB376" s="448" t="str">
        <f>_xlfn.IFNA(VLOOKUP($AP376,Programma!$F$3:$R$1101,13,0),"")</f>
        <v/>
      </c>
      <c r="BC376" s="448" t="str">
        <f>_xlfn.IFNA(VLOOKUP($AP376,Programma!$F$3:$S$1101,14,0),"")</f>
        <v/>
      </c>
      <c r="BD376" s="448" t="str">
        <f>_xlfn.IFNA(VLOOKUP($AP376,Programma!$F$3:$T$1101,15,0),"")</f>
        <v/>
      </c>
      <c r="BE376" s="448" t="str">
        <f>_xlfn.IFNA(VLOOKUP($AP376,Programma!$F$3:$U$1101,16,0),"")</f>
        <v/>
      </c>
      <c r="BF376" s="448" t="str">
        <f>_xlfn.IFNA(VLOOKUP($AP376,Programma!$F$3:$V$1101,17,0),"")</f>
        <v/>
      </c>
      <c r="BG376" s="448" t="str">
        <f>_xlfn.IFNA(VLOOKUP($AP376,Programma!$F$3:$W$1101,18,0),"")</f>
        <v/>
      </c>
      <c r="BH376" s="448" t="str">
        <f>_xlfn.IFNA(VLOOKUP($AP376,Programma!$F$3:$X$1101,19,0),"")</f>
        <v/>
      </c>
      <c r="BI376" s="448" t="str">
        <f>_xlfn.IFNA(VLOOKUP($AP376,Programma!$F$3:$Y$1101,20,0),"")</f>
        <v/>
      </c>
      <c r="BJ376" s="449"/>
      <c r="BK376" s="447" t="str">
        <f>IF(Ruimtestaat[[#This Row],[Frequentie weekend]]="","",_xlfn.CONCAT(Ruimtestaat[[#This Row],[Ruimte code]],"-",Ruimtestaat[[#This Row],[Frequentie weekend]]," ",Ruimtestaat[[#This Row],[Vloer code]]))</f>
        <v/>
      </c>
      <c r="BL376" s="448" t="str">
        <f>_xlfn.IFNA(VLOOKUP($BK376,Programma!$F$3:$G$1101,2,0),"")</f>
        <v/>
      </c>
      <c r="BM376" s="448" t="str">
        <f>_xlfn.IFNA(VLOOKUP($BK376,Programma!$F$3:$H$1101,3,0),"")</f>
        <v/>
      </c>
      <c r="BN376" s="448" t="str">
        <f>_xlfn.IFNA(VLOOKUP($BK376,Programma!$F$3:$I$1101,4,0),"")</f>
        <v/>
      </c>
      <c r="BO376" s="448" t="str">
        <f>_xlfn.IFNA(VLOOKUP($BK376,Programma!$F$3:$J$1101,5,0),"")</f>
        <v/>
      </c>
      <c r="BP376" s="448" t="str">
        <f>_xlfn.IFNA(VLOOKUP($BK376,Programma!$F$3:$K$1101,6,0),"")</f>
        <v/>
      </c>
      <c r="BQ376" s="448" t="str">
        <f>_xlfn.IFNA(VLOOKUP($BK376,Programma!$F$3:$L$1101,7,0),"")</f>
        <v/>
      </c>
      <c r="BR376" s="448" t="str">
        <f>_xlfn.IFNA(VLOOKUP($BK376,Programma!$F$3:$M$1101,8,0),"")</f>
        <v/>
      </c>
      <c r="BS376" s="448" t="str">
        <f>_xlfn.IFNA(VLOOKUP($BK376,Programma!$F$3:$N$1101,9,0),"")</f>
        <v/>
      </c>
      <c r="BT376" s="448" t="str">
        <f>_xlfn.IFNA(VLOOKUP($BK376,Programma!$F$3:$O$1101,10,0),"")</f>
        <v/>
      </c>
      <c r="BU376" s="448" t="str">
        <f>_xlfn.IFNA(VLOOKUP($BK376,Programma!$F$3:$P$1101,11,0),"")</f>
        <v/>
      </c>
      <c r="BV376" s="448" t="str">
        <f>_xlfn.IFNA(VLOOKUP($BK376,Programma!$F$3:$Q$1101,12,0),"")</f>
        <v/>
      </c>
      <c r="BW376" s="448" t="str">
        <f>_xlfn.IFNA(VLOOKUP($BK376,Programma!$F$3:$R$1101,13,0),"")</f>
        <v/>
      </c>
      <c r="BX376" s="448" t="str">
        <f>_xlfn.IFNA(VLOOKUP($BK376,Programma!$F$3:$S$1101,14,0),"")</f>
        <v/>
      </c>
      <c r="BY376" s="448" t="str">
        <f>_xlfn.IFNA(VLOOKUP($BK376,Programma!$F$3:$T$1101,15,0),"")</f>
        <v/>
      </c>
      <c r="BZ376" s="448" t="str">
        <f>_xlfn.IFNA(VLOOKUP($BK376,Programma!$F$3:$U$1101,16,0),"")</f>
        <v/>
      </c>
      <c r="CA376" s="448" t="str">
        <f>_xlfn.IFNA(VLOOKUP($BK376,Programma!$F$3:$V$1101,17,0),"")</f>
        <v/>
      </c>
      <c r="CB376" s="448" t="str">
        <f>_xlfn.IFNA(VLOOKUP($BK376,Programma!$F$3:$W$1101,18,0),"")</f>
        <v/>
      </c>
      <c r="CC376" s="448" t="str">
        <f>_xlfn.IFNA(VLOOKUP($BK376,Programma!$F$3:$X$1101,19,0),"")</f>
        <v/>
      </c>
      <c r="CD376" s="448" t="str">
        <f>_xlfn.IFNA(VLOOKUP($BK376,Programma!$F$3:$Y$1101,20,0),"")</f>
        <v/>
      </c>
      <c r="CE376" s="327"/>
      <c r="CF376" s="327"/>
      <c r="CG376" s="327"/>
      <c r="CH376" s="327"/>
      <c r="CI376" s="327"/>
      <c r="CJ376" s="327"/>
      <c r="CK376" s="327"/>
      <c r="CL376" s="327"/>
      <c r="CM376" s="327"/>
      <c r="CN376" s="327"/>
      <c r="CO376" s="327"/>
      <c r="CP376" s="327"/>
      <c r="CQ376" s="327"/>
      <c r="CR376" s="327"/>
      <c r="CS376" s="327"/>
      <c r="CT376" s="327"/>
      <c r="CU376" s="327"/>
      <c r="CV376" s="327"/>
      <c r="CW376" s="327"/>
      <c r="CX376" s="327"/>
      <c r="CY376" s="327"/>
      <c r="CZ376" s="327"/>
      <c r="DA376" s="327"/>
      <c r="DB376" s="327"/>
      <c r="DC376" s="327"/>
      <c r="DD376" s="327"/>
      <c r="DE376" s="327"/>
      <c r="DF376" s="327"/>
      <c r="DG376" s="327"/>
      <c r="DH376" s="327"/>
      <c r="DI376" s="327"/>
      <c r="DJ376" s="327"/>
      <c r="DK376" s="327"/>
      <c r="DL376" s="327"/>
      <c r="DM376" s="327"/>
      <c r="DN376" s="327"/>
      <c r="DO376" s="327"/>
      <c r="DP376" s="327"/>
      <c r="DQ376" s="327"/>
      <c r="DR376" s="327"/>
      <c r="DS376" s="327"/>
      <c r="DT376" s="327"/>
      <c r="DU376" s="327"/>
      <c r="DV376" s="327"/>
      <c r="DW376" s="327"/>
      <c r="DX376" s="327"/>
      <c r="DY376" s="327"/>
      <c r="DZ376" s="327"/>
      <c r="EA376" s="327"/>
      <c r="EB376" s="327"/>
      <c r="EC376" s="327"/>
      <c r="ED376" s="327"/>
      <c r="EE376" s="327"/>
      <c r="EF376" s="327"/>
      <c r="EG376" s="327"/>
      <c r="EH376" s="327"/>
      <c r="EI376" s="327"/>
      <c r="EJ376" s="327"/>
      <c r="EK376" s="327"/>
      <c r="EL376" s="327"/>
      <c r="EM376" s="327"/>
      <c r="EN376" s="327"/>
      <c r="EO376" s="327"/>
      <c r="EP376" s="327"/>
      <c r="EQ376" s="327"/>
      <c r="ER376" s="327"/>
      <c r="ES376" s="327"/>
      <c r="ET376" s="327"/>
      <c r="EU376" s="327"/>
      <c r="EV376" s="327"/>
      <c r="EW376" s="327"/>
      <c r="EX376" s="327"/>
      <c r="EY376" s="327"/>
      <c r="EZ376" s="327"/>
      <c r="FA376" s="327"/>
      <c r="FB376" s="327"/>
      <c r="FC376" s="327"/>
      <c r="FD376" s="327"/>
      <c r="FE376" s="327"/>
      <c r="FF376" s="327"/>
      <c r="FG376" s="327"/>
      <c r="FH376" s="327"/>
      <c r="FI376" s="327"/>
      <c r="FJ376" s="327"/>
      <c r="FK376" s="327"/>
      <c r="FL376" s="327"/>
      <c r="FM376" s="327"/>
      <c r="FN376" s="327"/>
      <c r="FO376" s="327"/>
      <c r="FP376" s="327"/>
      <c r="FQ376" s="327"/>
      <c r="FR376" s="327"/>
      <c r="FS376" s="327"/>
      <c r="FT376" s="327"/>
      <c r="FU376" s="327"/>
      <c r="FV376" s="327"/>
      <c r="FW376" s="327"/>
      <c r="FX376" s="327"/>
      <c r="FY376" s="327"/>
      <c r="FZ376" s="327"/>
      <c r="GA376" s="327"/>
      <c r="GB376" s="327"/>
      <c r="GC376" s="327"/>
      <c r="GD376" s="327"/>
      <c r="GE376" s="327"/>
      <c r="GF376" s="327"/>
      <c r="GG376" s="327"/>
      <c r="GH376" s="327"/>
      <c r="GI376" s="327"/>
      <c r="GJ376" s="327"/>
      <c r="GK376" s="327"/>
      <c r="GL376" s="327"/>
      <c r="GM376" s="327"/>
      <c r="GN376" s="327"/>
      <c r="GO376" s="327"/>
      <c r="GP376" s="327"/>
      <c r="GQ376" s="327"/>
      <c r="GR376" s="327"/>
      <c r="GS376" s="327"/>
      <c r="GT376" s="327"/>
      <c r="GU376" s="327"/>
      <c r="GV376" s="327"/>
      <c r="GW376" s="327"/>
      <c r="GX376" s="327"/>
      <c r="GY376" s="327"/>
      <c r="GZ376" s="327"/>
      <c r="HA376" s="327"/>
      <c r="HB376" s="327"/>
      <c r="HC376" s="327"/>
      <c r="HD376" s="327"/>
      <c r="HE376" s="327"/>
      <c r="HF376" s="327"/>
      <c r="HG376" s="327"/>
      <c r="HH376" s="327"/>
      <c r="HI376" s="327"/>
      <c r="HJ376" s="327"/>
      <c r="HK376" s="327"/>
      <c r="HL376" s="327"/>
      <c r="HM376" s="327"/>
      <c r="HN376" s="327"/>
      <c r="HO376" s="327"/>
      <c r="HP376" s="327"/>
      <c r="HQ376" s="327"/>
      <c r="HR376" s="327"/>
      <c r="HS376" s="327"/>
    </row>
    <row r="377" spans="1:227" ht="15" customHeight="1">
      <c r="A377" s="327">
        <v>16</v>
      </c>
      <c r="B377" s="435" t="str">
        <f>VLOOKUP(Ruimtestaat[[#This Row],[Code]],Locaties[[Code]:[Locatie]],2,FALSE)</f>
        <v>IKC de Tjalk Kadelaan</v>
      </c>
      <c r="C377" s="435" t="str">
        <f>VLOOKUP(Ruimtestaat[[#This Row],[Code]],Locaties[[#All],[Code]:[Adres]],4,FALSE)</f>
        <v>Kadelaan 200-202</v>
      </c>
      <c r="D377" s="435" t="str">
        <f>VLOOKUP(Ruimtestaat[[#This Row],[Code]],Locaties[[#All],[Code]:[Postcode]],5,FALSE)</f>
        <v>2725 BR</v>
      </c>
      <c r="E377" s="435" t="str">
        <f>VLOOKUP(Ruimtestaat[[#This Row],[Code]],Locaties[#All],6,FALSE)</f>
        <v>Zoetermeer</v>
      </c>
      <c r="F377" s="450"/>
      <c r="G377" s="330" t="s">
        <v>1678</v>
      </c>
      <c r="H377" s="330" t="s">
        <v>1668</v>
      </c>
      <c r="I377" s="450" t="s">
        <v>1726</v>
      </c>
      <c r="J377" s="330">
        <v>20</v>
      </c>
      <c r="K377" s="450" t="str">
        <f>VLOOKUP(Ruimtestaat[[#This Row],[Ruimte code]],Ruimtegroepen[[#All],[Code]:[Ruimte omschrijving]],2,FALSE)</f>
        <v>Niet in Onderhoud</v>
      </c>
      <c r="L377" s="434" t="s">
        <v>100</v>
      </c>
      <c r="M377" s="437" t="s">
        <v>1759</v>
      </c>
      <c r="N377" s="439">
        <v>0</v>
      </c>
      <c r="O377" s="439"/>
      <c r="P377" s="439"/>
      <c r="Q377" s="439"/>
      <c r="R377" s="440">
        <f>VLOOKUP(Ruimtestaat[[#This Row],[Ruimte code]],Ruimtegroepen[],4,FALSE)</f>
        <v>0</v>
      </c>
      <c r="S377" s="434"/>
      <c r="T377" s="434"/>
      <c r="U377" s="434">
        <f>IF(S377&gt;0,IF(RIGHT(Ruimtestaat[[#This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77" s="434">
        <f>IF(U377&gt;0,VLOOKUP($J377,Ruimtegroepen[],3,FALSE)*VLOOKUP($L377,Vloersoorten[],3,FALSE)*VLOOKUP($T377,Frequenties[],3,FALSE)*VLOOKUP($A377,Locaties[],3,FALSE),0)</f>
        <v>0</v>
      </c>
      <c r="W377" s="434">
        <f>Ruimtestaat[[#This Row],[Uitvoeringen werkdagen]]*Ruimtestaat[[#This Row],[Oppervlak (netto)]]</f>
        <v>0</v>
      </c>
      <c r="X377" s="441">
        <f>IF(V377&gt;0,Ruimtestaat[[#This Row],[Prest. (m2 /jaar) werkdagen]]/Ruimtestaat[[#This Row],[Norm (m2/uur) werkdagen]],0)</f>
        <v>0</v>
      </c>
      <c r="Y377" s="442">
        <f>Ruimtestaat[[#This Row],[Uitvoeringen werkdagen]]*Ruimtestaat[[#This Row],[Gedeeltelijk]]</f>
        <v>0</v>
      </c>
      <c r="Z377" s="443">
        <f>IF(U377&gt;0,Ruimtestaat[[#This Row],[Prest. (m2 / jaar) werkdagen gedeeld]]/Ruimtestaat[[#This Row],[Norm (m2/uur) werkdagen]],0)</f>
        <v>0</v>
      </c>
      <c r="AA377" s="441">
        <f>Ruimtestaat[[#This Row],[uren / jaar werkdagen gedeeld]]*Tariefsopbouw!$E$35</f>
        <v>0</v>
      </c>
      <c r="AB377" s="441">
        <f>Ruimtestaat[[#This Row],[Uitvoeringen werkdagen]]*Ruimtestaat[[#This Row],[BSO]]</f>
        <v>0</v>
      </c>
      <c r="AC377" s="443">
        <f>IF(U377&gt;0,Ruimtestaat[[#This Row],[Prest. (m2 / jaar) werkdagen BSO]]/Ruimtestaat[[#This Row],[Norm (m2/uur) werkdagen]],0)</f>
        <v>0</v>
      </c>
      <c r="AD377" s="443">
        <f>Ruimtestaat[[#This Row],[uren / jaar werkdagen BSO]]*Tariefsopbouw!$E$35</f>
        <v>0</v>
      </c>
      <c r="AE377" s="444">
        <f>Ruimtestaat[[#This Row],[uren / jaar werkdagen]]*Tariefsopbouw!$E$35</f>
        <v>0</v>
      </c>
      <c r="AF377" s="434"/>
      <c r="AG377" s="434">
        <f>IF(Ruimtestaat[[#This Row],[Frequentie weekend]]&gt;0,VALUE(LEFT(AF377,1))*S377,0)</f>
        <v>0</v>
      </c>
      <c r="AH377" s="445">
        <f>IF($AG377&gt;0,VLOOKUP($J377,Ruimtegroepen[],3,FALSE)*VLOOKUP($L377,Vloersoorten[],3,FALSE)*VLOOKUP($AF377,Frequenties[],3,FALSE)*VLOOKUP(Ruimtestaat[[#This Row],[Code]],Locaties[],3,FALSE),0)</f>
        <v>0</v>
      </c>
      <c r="AI377" s="445">
        <f>Ruimtestaat[[#This Row],[Uitvoeringen weekend]]*Ruimtestaat[[#This Row],[Oppervlak (netto)]]</f>
        <v>0</v>
      </c>
      <c r="AJ377" s="445">
        <f>IF(AH377&gt;0,Ruimtestaat[[#This Row],[Prest. (m2 /jaar) weekend]]/Ruimtestaat[[#This Row],[Norm (m2/uur) weekend]],0)</f>
        <v>0</v>
      </c>
      <c r="AK377" s="444">
        <f>Ruimtestaat[[#This Row],[uren / jaar weekend]]*Tariefsopbouw!$D$40</f>
        <v>0</v>
      </c>
      <c r="AL377" s="441">
        <f>Ruimtestaat[[#This Row],[Prest. (m2 /jaar) weekend]]+Ruimtestaat[[#This Row],[Prest. (m2 /jaar) werkdagen]]</f>
        <v>0</v>
      </c>
      <c r="AM377" s="441">
        <f>Ruimtestaat[[#This Row],[uren / jaar weekend]]+Ruimtestaat[[#This Row],[uren / jaar werkdagen]]</f>
        <v>0</v>
      </c>
      <c r="AN377" s="446">
        <f>Ruimtestaat[[#This Row],[kosten / jaar weekend]]+Ruimtestaat[[#This Row],[kosten / jaar werkdagen]]</f>
        <v>0</v>
      </c>
      <c r="AO377" s="446"/>
      <c r="AP377" s="447" t="str">
        <f>IF(Ruimtestaat[[#This Row],[Frequentie werkdagen]]="","",_xlfn.CONCAT(Ruimtestaat[[#This Row],[Ruimte code]],"-",Ruimtestaat[[#This Row],[Frequentie werkdagen]]," ",Ruimtestaat[[#This Row],[Vloer code]]))</f>
        <v/>
      </c>
      <c r="AQ377" s="448" t="str">
        <f>_xlfn.IFNA(VLOOKUP($AP377,Programma!$F$3:$G$1101,2,0),"")</f>
        <v/>
      </c>
      <c r="AR377" s="448" t="str">
        <f>_xlfn.IFNA(VLOOKUP($AP377,Programma!$F$3:$H$1101,3,0),"")</f>
        <v/>
      </c>
      <c r="AS377" s="448" t="str">
        <f>_xlfn.IFNA(VLOOKUP($AP377,Programma!$F$3:$I$1101,4,0),"")</f>
        <v/>
      </c>
      <c r="AT377" s="448" t="str">
        <f>_xlfn.IFNA(VLOOKUP($AP377,Programma!$F$3:$J$1101,5,0),"")</f>
        <v/>
      </c>
      <c r="AU377" s="448" t="str">
        <f>_xlfn.IFNA(VLOOKUP($AP377,Programma!$F$3:$K$1101,6,0),"")</f>
        <v/>
      </c>
      <c r="AV377" s="448" t="str">
        <f>_xlfn.IFNA(VLOOKUP($AP377,Programma!$F$3:$L$1101,7,0),"")</f>
        <v/>
      </c>
      <c r="AW377" s="448" t="str">
        <f>_xlfn.IFNA(VLOOKUP($AP377,Programma!$F$3:$M$1101,8,0),"")</f>
        <v/>
      </c>
      <c r="AX377" s="448" t="str">
        <f>_xlfn.IFNA(VLOOKUP($AP377,Programma!$F$3:$N$1101,9,0),"")</f>
        <v/>
      </c>
      <c r="AY377" s="448" t="str">
        <f>_xlfn.IFNA(VLOOKUP($AP377,Programma!$F$3:$O$1101,10,0),"")</f>
        <v/>
      </c>
      <c r="AZ377" s="448" t="str">
        <f>_xlfn.IFNA(VLOOKUP($AP377,Programma!$F$3:$P$1101,11,0),"")</f>
        <v/>
      </c>
      <c r="BA377" s="448" t="str">
        <f>_xlfn.IFNA(VLOOKUP($AP377,Programma!$F$3:$Q$1101,12,0),"")</f>
        <v/>
      </c>
      <c r="BB377" s="448" t="str">
        <f>_xlfn.IFNA(VLOOKUP($AP377,Programma!$F$3:$R$1101,13,0),"")</f>
        <v/>
      </c>
      <c r="BC377" s="448" t="str">
        <f>_xlfn.IFNA(VLOOKUP($AP377,Programma!$F$3:$S$1101,14,0),"")</f>
        <v/>
      </c>
      <c r="BD377" s="448" t="str">
        <f>_xlfn.IFNA(VLOOKUP($AP377,Programma!$F$3:$T$1101,15,0),"")</f>
        <v/>
      </c>
      <c r="BE377" s="448" t="str">
        <f>_xlfn.IFNA(VLOOKUP($AP377,Programma!$F$3:$U$1101,16,0),"")</f>
        <v/>
      </c>
      <c r="BF377" s="448" t="str">
        <f>_xlfn.IFNA(VLOOKUP($AP377,Programma!$F$3:$V$1101,17,0),"")</f>
        <v/>
      </c>
      <c r="BG377" s="448" t="str">
        <f>_xlfn.IFNA(VLOOKUP($AP377,Programma!$F$3:$W$1101,18,0),"")</f>
        <v/>
      </c>
      <c r="BH377" s="448" t="str">
        <f>_xlfn.IFNA(VLOOKUP($AP377,Programma!$F$3:$X$1101,19,0),"")</f>
        <v/>
      </c>
      <c r="BI377" s="448" t="str">
        <f>_xlfn.IFNA(VLOOKUP($AP377,Programma!$F$3:$Y$1101,20,0),"")</f>
        <v/>
      </c>
      <c r="BJ377" s="449"/>
      <c r="BK377" s="447" t="str">
        <f>IF(Ruimtestaat[[#This Row],[Frequentie weekend]]="","",_xlfn.CONCAT(Ruimtestaat[[#This Row],[Ruimte code]],"-",Ruimtestaat[[#This Row],[Frequentie weekend]]," ",Ruimtestaat[[#This Row],[Vloer code]]))</f>
        <v/>
      </c>
      <c r="BL377" s="448" t="str">
        <f>_xlfn.IFNA(VLOOKUP($BK377,Programma!$F$3:$G$1101,2,0),"")</f>
        <v/>
      </c>
      <c r="BM377" s="448" t="str">
        <f>_xlfn.IFNA(VLOOKUP($BK377,Programma!$F$3:$H$1101,3,0),"")</f>
        <v/>
      </c>
      <c r="BN377" s="448" t="str">
        <f>_xlfn.IFNA(VLOOKUP($BK377,Programma!$F$3:$I$1101,4,0),"")</f>
        <v/>
      </c>
      <c r="BO377" s="448" t="str">
        <f>_xlfn.IFNA(VLOOKUP($BK377,Programma!$F$3:$J$1101,5,0),"")</f>
        <v/>
      </c>
      <c r="BP377" s="448" t="str">
        <f>_xlfn.IFNA(VLOOKUP($BK377,Programma!$F$3:$K$1101,6,0),"")</f>
        <v/>
      </c>
      <c r="BQ377" s="448" t="str">
        <f>_xlfn.IFNA(VLOOKUP($BK377,Programma!$F$3:$L$1101,7,0),"")</f>
        <v/>
      </c>
      <c r="BR377" s="448" t="str">
        <f>_xlfn.IFNA(VLOOKUP($BK377,Programma!$F$3:$M$1101,8,0),"")</f>
        <v/>
      </c>
      <c r="BS377" s="448" t="str">
        <f>_xlfn.IFNA(VLOOKUP($BK377,Programma!$F$3:$N$1101,9,0),"")</f>
        <v/>
      </c>
      <c r="BT377" s="448" t="str">
        <f>_xlfn.IFNA(VLOOKUP($BK377,Programma!$F$3:$O$1101,10,0),"")</f>
        <v/>
      </c>
      <c r="BU377" s="448" t="str">
        <f>_xlfn.IFNA(VLOOKUP($BK377,Programma!$F$3:$P$1101,11,0),"")</f>
        <v/>
      </c>
      <c r="BV377" s="448" t="str">
        <f>_xlfn.IFNA(VLOOKUP($BK377,Programma!$F$3:$Q$1101,12,0),"")</f>
        <v/>
      </c>
      <c r="BW377" s="448" t="str">
        <f>_xlfn.IFNA(VLOOKUP($BK377,Programma!$F$3:$R$1101,13,0),"")</f>
        <v/>
      </c>
      <c r="BX377" s="448" t="str">
        <f>_xlfn.IFNA(VLOOKUP($BK377,Programma!$F$3:$S$1101,14,0),"")</f>
        <v/>
      </c>
      <c r="BY377" s="448" t="str">
        <f>_xlfn.IFNA(VLOOKUP($BK377,Programma!$F$3:$T$1101,15,0),"")</f>
        <v/>
      </c>
      <c r="BZ377" s="448" t="str">
        <f>_xlfn.IFNA(VLOOKUP($BK377,Programma!$F$3:$U$1101,16,0),"")</f>
        <v/>
      </c>
      <c r="CA377" s="448" t="str">
        <f>_xlfn.IFNA(VLOOKUP($BK377,Programma!$F$3:$V$1101,17,0),"")</f>
        <v/>
      </c>
      <c r="CB377" s="448" t="str">
        <f>_xlfn.IFNA(VLOOKUP($BK377,Programma!$F$3:$W$1101,18,0),"")</f>
        <v/>
      </c>
      <c r="CC377" s="448" t="str">
        <f>_xlfn.IFNA(VLOOKUP($BK377,Programma!$F$3:$X$1101,19,0),"")</f>
        <v/>
      </c>
      <c r="CD377" s="448" t="str">
        <f>_xlfn.IFNA(VLOOKUP($BK377,Programma!$F$3:$Y$1101,20,0),"")</f>
        <v/>
      </c>
      <c r="CE377" s="327"/>
      <c r="CF377" s="327"/>
      <c r="CG377" s="327"/>
      <c r="CH377" s="327"/>
      <c r="CI377" s="327"/>
      <c r="CJ377" s="327"/>
      <c r="CK377" s="327"/>
      <c r="CL377" s="327"/>
      <c r="CM377" s="327"/>
      <c r="CN377" s="327"/>
      <c r="CO377" s="327"/>
      <c r="CP377" s="327"/>
      <c r="CQ377" s="327"/>
      <c r="CR377" s="327"/>
      <c r="CS377" s="327"/>
      <c r="CT377" s="327"/>
      <c r="CU377" s="327"/>
      <c r="CV377" s="327"/>
      <c r="CW377" s="327"/>
      <c r="CX377" s="327"/>
      <c r="CY377" s="327"/>
      <c r="CZ377" s="327"/>
      <c r="DA377" s="327"/>
      <c r="DB377" s="327"/>
      <c r="DC377" s="327"/>
      <c r="DD377" s="327"/>
      <c r="DE377" s="327"/>
      <c r="DF377" s="327"/>
      <c r="DG377" s="327"/>
      <c r="DH377" s="327"/>
      <c r="DI377" s="327"/>
      <c r="DJ377" s="327"/>
      <c r="DK377" s="327"/>
      <c r="DL377" s="327"/>
      <c r="DM377" s="327"/>
      <c r="DN377" s="327"/>
      <c r="DO377" s="327"/>
      <c r="DP377" s="327"/>
      <c r="DQ377" s="327"/>
      <c r="DR377" s="327"/>
      <c r="DS377" s="327"/>
      <c r="DT377" s="327"/>
      <c r="DU377" s="327"/>
      <c r="DV377" s="327"/>
      <c r="DW377" s="327"/>
      <c r="DX377" s="327"/>
      <c r="DY377" s="327"/>
      <c r="DZ377" s="327"/>
      <c r="EA377" s="327"/>
      <c r="EB377" s="327"/>
      <c r="EC377" s="327"/>
      <c r="ED377" s="327"/>
      <c r="EE377" s="327"/>
      <c r="EF377" s="327"/>
      <c r="EG377" s="327"/>
      <c r="EH377" s="327"/>
      <c r="EI377" s="327"/>
      <c r="EJ377" s="327"/>
      <c r="EK377" s="327"/>
      <c r="EL377" s="327"/>
      <c r="EM377" s="327"/>
      <c r="EN377" s="327"/>
      <c r="EO377" s="327"/>
      <c r="EP377" s="327"/>
      <c r="EQ377" s="327"/>
      <c r="ER377" s="327"/>
      <c r="ES377" s="327"/>
      <c r="ET377" s="327"/>
      <c r="EU377" s="327"/>
      <c r="EV377" s="327"/>
      <c r="EW377" s="327"/>
      <c r="EX377" s="327"/>
      <c r="EY377" s="327"/>
      <c r="EZ377" s="327"/>
      <c r="FA377" s="327"/>
      <c r="FB377" s="327"/>
      <c r="FC377" s="327"/>
      <c r="FD377" s="327"/>
      <c r="FE377" s="327"/>
      <c r="FF377" s="327"/>
      <c r="FG377" s="327"/>
      <c r="FH377" s="327"/>
      <c r="FI377" s="327"/>
      <c r="FJ377" s="327"/>
      <c r="FK377" s="327"/>
      <c r="FL377" s="327"/>
      <c r="FM377" s="327"/>
      <c r="FN377" s="327"/>
      <c r="FO377" s="327"/>
      <c r="FP377" s="327"/>
      <c r="FQ377" s="327"/>
      <c r="FR377" s="327"/>
      <c r="FS377" s="327"/>
      <c r="FT377" s="327"/>
      <c r="FU377" s="327"/>
      <c r="FV377" s="327"/>
      <c r="FW377" s="327"/>
      <c r="FX377" s="327"/>
      <c r="FY377" s="327"/>
      <c r="FZ377" s="327"/>
      <c r="GA377" s="327"/>
      <c r="GB377" s="327"/>
      <c r="GC377" s="327"/>
      <c r="GD377" s="327"/>
      <c r="GE377" s="327"/>
      <c r="GF377" s="327"/>
      <c r="GG377" s="327"/>
      <c r="GH377" s="327"/>
      <c r="GI377" s="327"/>
      <c r="GJ377" s="327"/>
      <c r="GK377" s="327"/>
      <c r="GL377" s="327"/>
      <c r="GM377" s="327"/>
      <c r="GN377" s="327"/>
      <c r="GO377" s="327"/>
      <c r="GP377" s="327"/>
      <c r="GQ377" s="327"/>
      <c r="GR377" s="327"/>
      <c r="GS377" s="327"/>
      <c r="GT377" s="327"/>
      <c r="GU377" s="327"/>
      <c r="GV377" s="327"/>
      <c r="GW377" s="327"/>
      <c r="GX377" s="327"/>
      <c r="GY377" s="327"/>
      <c r="GZ377" s="327"/>
      <c r="HA377" s="327"/>
      <c r="HB377" s="327"/>
      <c r="HC377" s="327"/>
      <c r="HD377" s="327"/>
      <c r="HE377" s="327"/>
      <c r="HF377" s="327"/>
      <c r="HG377" s="327"/>
      <c r="HH377" s="327"/>
      <c r="HI377" s="327"/>
      <c r="HJ377" s="327"/>
      <c r="HK377" s="327"/>
      <c r="HL377" s="327"/>
      <c r="HM377" s="327"/>
      <c r="HN377" s="327"/>
      <c r="HO377" s="327"/>
      <c r="HP377" s="327"/>
      <c r="HQ377" s="327"/>
      <c r="HR377" s="327"/>
      <c r="HS377" s="327"/>
    </row>
    <row r="378" spans="1:227" ht="15" customHeight="1">
      <c r="A378" s="327">
        <v>16</v>
      </c>
      <c r="B378" s="435" t="str">
        <f>VLOOKUP(Ruimtestaat[[#This Row],[Code]],Locaties[[Code]:[Locatie]],2,FALSE)</f>
        <v>IKC de Tjalk Kadelaan</v>
      </c>
      <c r="C378" s="435" t="str">
        <f>VLOOKUP(Ruimtestaat[[#This Row],[Code]],Locaties[[#All],[Code]:[Adres]],4,FALSE)</f>
        <v>Kadelaan 200-202</v>
      </c>
      <c r="D378" s="435" t="str">
        <f>VLOOKUP(Ruimtestaat[[#This Row],[Code]],Locaties[[#All],[Code]:[Postcode]],5,FALSE)</f>
        <v>2725 BR</v>
      </c>
      <c r="E378" s="435" t="str">
        <f>VLOOKUP(Ruimtestaat[[#This Row],[Code]],Locaties[#All],6,FALSE)</f>
        <v>Zoetermeer</v>
      </c>
      <c r="F378" s="450"/>
      <c r="G378" s="330" t="s">
        <v>1678</v>
      </c>
      <c r="H378" s="330" t="s">
        <v>1669</v>
      </c>
      <c r="I378" s="450" t="s">
        <v>1726</v>
      </c>
      <c r="J378" s="330">
        <v>20</v>
      </c>
      <c r="K378" s="450" t="str">
        <f>VLOOKUP(Ruimtestaat[[#This Row],[Ruimte code]],Ruimtegroepen[[#All],[Code]:[Ruimte omschrijving]],2,FALSE)</f>
        <v>Niet in Onderhoud</v>
      </c>
      <c r="L378" s="434" t="s">
        <v>100</v>
      </c>
      <c r="M378" s="437" t="s">
        <v>1759</v>
      </c>
      <c r="N378" s="439">
        <v>0</v>
      </c>
      <c r="O378" s="439"/>
      <c r="P378" s="439"/>
      <c r="Q378" s="439"/>
      <c r="R378" s="440">
        <f>VLOOKUP(Ruimtestaat[[#This Row],[Ruimte code]],Ruimtegroepen[],4,FALSE)</f>
        <v>0</v>
      </c>
      <c r="S378" s="434"/>
      <c r="T378" s="434"/>
      <c r="U378" s="434">
        <f>IF(S378&gt;0,IF(RIGHT(Ruimtestaat[[#This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78" s="434">
        <f>IF(U378&gt;0,VLOOKUP($J378,Ruimtegroepen[],3,FALSE)*VLOOKUP($L378,Vloersoorten[],3,FALSE)*VLOOKUP($T378,Frequenties[],3,FALSE)*VLOOKUP($A378,Locaties[],3,FALSE),0)</f>
        <v>0</v>
      </c>
      <c r="W378" s="434">
        <f>Ruimtestaat[[#This Row],[Uitvoeringen werkdagen]]*Ruimtestaat[[#This Row],[Oppervlak (netto)]]</f>
        <v>0</v>
      </c>
      <c r="X378" s="441">
        <f>IF(V378&gt;0,Ruimtestaat[[#This Row],[Prest. (m2 /jaar) werkdagen]]/Ruimtestaat[[#This Row],[Norm (m2/uur) werkdagen]],0)</f>
        <v>0</v>
      </c>
      <c r="Y378" s="442">
        <f>Ruimtestaat[[#This Row],[Uitvoeringen werkdagen]]*Ruimtestaat[[#This Row],[Gedeeltelijk]]</f>
        <v>0</v>
      </c>
      <c r="Z378" s="443">
        <f>IF(U378&gt;0,Ruimtestaat[[#This Row],[Prest. (m2 / jaar) werkdagen gedeeld]]/Ruimtestaat[[#This Row],[Norm (m2/uur) werkdagen]],0)</f>
        <v>0</v>
      </c>
      <c r="AA378" s="441">
        <f>Ruimtestaat[[#This Row],[uren / jaar werkdagen gedeeld]]*Tariefsopbouw!$E$35</f>
        <v>0</v>
      </c>
      <c r="AB378" s="441">
        <f>Ruimtestaat[[#This Row],[Uitvoeringen werkdagen]]*Ruimtestaat[[#This Row],[BSO]]</f>
        <v>0</v>
      </c>
      <c r="AC378" s="443">
        <f>IF(U378&gt;0,Ruimtestaat[[#This Row],[Prest. (m2 / jaar) werkdagen BSO]]/Ruimtestaat[[#This Row],[Norm (m2/uur) werkdagen]],0)</f>
        <v>0</v>
      </c>
      <c r="AD378" s="443">
        <f>Ruimtestaat[[#This Row],[uren / jaar werkdagen BSO]]*Tariefsopbouw!$E$35</f>
        <v>0</v>
      </c>
      <c r="AE378" s="444">
        <f>Ruimtestaat[[#This Row],[uren / jaar werkdagen]]*Tariefsopbouw!$E$35</f>
        <v>0</v>
      </c>
      <c r="AF378" s="434"/>
      <c r="AG378" s="434">
        <f>IF(Ruimtestaat[[#This Row],[Frequentie weekend]]&gt;0,VALUE(LEFT(AF378,1))*S378,0)</f>
        <v>0</v>
      </c>
      <c r="AH378" s="445">
        <f>IF($AG378&gt;0,VLOOKUP($J378,Ruimtegroepen[],3,FALSE)*VLOOKUP($L378,Vloersoorten[],3,FALSE)*VLOOKUP($AF378,Frequenties[],3,FALSE)*VLOOKUP(Ruimtestaat[[#This Row],[Code]],Locaties[],3,FALSE),0)</f>
        <v>0</v>
      </c>
      <c r="AI378" s="445">
        <f>Ruimtestaat[[#This Row],[Uitvoeringen weekend]]*Ruimtestaat[[#This Row],[Oppervlak (netto)]]</f>
        <v>0</v>
      </c>
      <c r="AJ378" s="445">
        <f>IF(AH378&gt;0,Ruimtestaat[[#This Row],[Prest. (m2 /jaar) weekend]]/Ruimtestaat[[#This Row],[Norm (m2/uur) weekend]],0)</f>
        <v>0</v>
      </c>
      <c r="AK378" s="444">
        <f>Ruimtestaat[[#This Row],[uren / jaar weekend]]*Tariefsopbouw!$D$40</f>
        <v>0</v>
      </c>
      <c r="AL378" s="441">
        <f>Ruimtestaat[[#This Row],[Prest. (m2 /jaar) weekend]]+Ruimtestaat[[#This Row],[Prest. (m2 /jaar) werkdagen]]</f>
        <v>0</v>
      </c>
      <c r="AM378" s="441">
        <f>Ruimtestaat[[#This Row],[uren / jaar weekend]]+Ruimtestaat[[#This Row],[uren / jaar werkdagen]]</f>
        <v>0</v>
      </c>
      <c r="AN378" s="446">
        <f>Ruimtestaat[[#This Row],[kosten / jaar weekend]]+Ruimtestaat[[#This Row],[kosten / jaar werkdagen]]</f>
        <v>0</v>
      </c>
      <c r="AO378" s="446"/>
      <c r="AP378" s="447" t="str">
        <f>IF(Ruimtestaat[[#This Row],[Frequentie werkdagen]]="","",_xlfn.CONCAT(Ruimtestaat[[#This Row],[Ruimte code]],"-",Ruimtestaat[[#This Row],[Frequentie werkdagen]]," ",Ruimtestaat[[#This Row],[Vloer code]]))</f>
        <v/>
      </c>
      <c r="AQ378" s="448" t="str">
        <f>_xlfn.IFNA(VLOOKUP($AP378,Programma!$F$3:$G$1101,2,0),"")</f>
        <v/>
      </c>
      <c r="AR378" s="448" t="str">
        <f>_xlfn.IFNA(VLOOKUP($AP378,Programma!$F$3:$H$1101,3,0),"")</f>
        <v/>
      </c>
      <c r="AS378" s="448" t="str">
        <f>_xlfn.IFNA(VLOOKUP($AP378,Programma!$F$3:$I$1101,4,0),"")</f>
        <v/>
      </c>
      <c r="AT378" s="448" t="str">
        <f>_xlfn.IFNA(VLOOKUP($AP378,Programma!$F$3:$J$1101,5,0),"")</f>
        <v/>
      </c>
      <c r="AU378" s="448" t="str">
        <f>_xlfn.IFNA(VLOOKUP($AP378,Programma!$F$3:$K$1101,6,0),"")</f>
        <v/>
      </c>
      <c r="AV378" s="448" t="str">
        <f>_xlfn.IFNA(VLOOKUP($AP378,Programma!$F$3:$L$1101,7,0),"")</f>
        <v/>
      </c>
      <c r="AW378" s="448" t="str">
        <f>_xlfn.IFNA(VLOOKUP($AP378,Programma!$F$3:$M$1101,8,0),"")</f>
        <v/>
      </c>
      <c r="AX378" s="448" t="str">
        <f>_xlfn.IFNA(VLOOKUP($AP378,Programma!$F$3:$N$1101,9,0),"")</f>
        <v/>
      </c>
      <c r="AY378" s="448" t="str">
        <f>_xlfn.IFNA(VLOOKUP($AP378,Programma!$F$3:$O$1101,10,0),"")</f>
        <v/>
      </c>
      <c r="AZ378" s="448" t="str">
        <f>_xlfn.IFNA(VLOOKUP($AP378,Programma!$F$3:$P$1101,11,0),"")</f>
        <v/>
      </c>
      <c r="BA378" s="448" t="str">
        <f>_xlfn.IFNA(VLOOKUP($AP378,Programma!$F$3:$Q$1101,12,0),"")</f>
        <v/>
      </c>
      <c r="BB378" s="448" t="str">
        <f>_xlfn.IFNA(VLOOKUP($AP378,Programma!$F$3:$R$1101,13,0),"")</f>
        <v/>
      </c>
      <c r="BC378" s="448" t="str">
        <f>_xlfn.IFNA(VLOOKUP($AP378,Programma!$F$3:$S$1101,14,0),"")</f>
        <v/>
      </c>
      <c r="BD378" s="448" t="str">
        <f>_xlfn.IFNA(VLOOKUP($AP378,Programma!$F$3:$T$1101,15,0),"")</f>
        <v/>
      </c>
      <c r="BE378" s="448" t="str">
        <f>_xlfn.IFNA(VLOOKUP($AP378,Programma!$F$3:$U$1101,16,0),"")</f>
        <v/>
      </c>
      <c r="BF378" s="448" t="str">
        <f>_xlfn.IFNA(VLOOKUP($AP378,Programma!$F$3:$V$1101,17,0),"")</f>
        <v/>
      </c>
      <c r="BG378" s="448" t="str">
        <f>_xlfn.IFNA(VLOOKUP($AP378,Programma!$F$3:$W$1101,18,0),"")</f>
        <v/>
      </c>
      <c r="BH378" s="448" t="str">
        <f>_xlfn.IFNA(VLOOKUP($AP378,Programma!$F$3:$X$1101,19,0),"")</f>
        <v/>
      </c>
      <c r="BI378" s="448" t="str">
        <f>_xlfn.IFNA(VLOOKUP($AP378,Programma!$F$3:$Y$1101,20,0),"")</f>
        <v/>
      </c>
      <c r="BJ378" s="449"/>
      <c r="BK378" s="447" t="str">
        <f>IF(Ruimtestaat[[#This Row],[Frequentie weekend]]="","",_xlfn.CONCAT(Ruimtestaat[[#This Row],[Ruimte code]],"-",Ruimtestaat[[#This Row],[Frequentie weekend]]," ",Ruimtestaat[[#This Row],[Vloer code]]))</f>
        <v/>
      </c>
      <c r="BL378" s="448" t="str">
        <f>_xlfn.IFNA(VLOOKUP($BK378,Programma!$F$3:$G$1101,2,0),"")</f>
        <v/>
      </c>
      <c r="BM378" s="448" t="str">
        <f>_xlfn.IFNA(VLOOKUP($BK378,Programma!$F$3:$H$1101,3,0),"")</f>
        <v/>
      </c>
      <c r="BN378" s="448" t="str">
        <f>_xlfn.IFNA(VLOOKUP($BK378,Programma!$F$3:$I$1101,4,0),"")</f>
        <v/>
      </c>
      <c r="BO378" s="448" t="str">
        <f>_xlfn.IFNA(VLOOKUP($BK378,Programma!$F$3:$J$1101,5,0),"")</f>
        <v/>
      </c>
      <c r="BP378" s="448" t="str">
        <f>_xlfn.IFNA(VLOOKUP($BK378,Programma!$F$3:$K$1101,6,0),"")</f>
        <v/>
      </c>
      <c r="BQ378" s="448" t="str">
        <f>_xlfn.IFNA(VLOOKUP($BK378,Programma!$F$3:$L$1101,7,0),"")</f>
        <v/>
      </c>
      <c r="BR378" s="448" t="str">
        <f>_xlfn.IFNA(VLOOKUP($BK378,Programma!$F$3:$M$1101,8,0),"")</f>
        <v/>
      </c>
      <c r="BS378" s="448" t="str">
        <f>_xlfn.IFNA(VLOOKUP($BK378,Programma!$F$3:$N$1101,9,0),"")</f>
        <v/>
      </c>
      <c r="BT378" s="448" t="str">
        <f>_xlfn.IFNA(VLOOKUP($BK378,Programma!$F$3:$O$1101,10,0),"")</f>
        <v/>
      </c>
      <c r="BU378" s="448" t="str">
        <f>_xlfn.IFNA(VLOOKUP($BK378,Programma!$F$3:$P$1101,11,0),"")</f>
        <v/>
      </c>
      <c r="BV378" s="448" t="str">
        <f>_xlfn.IFNA(VLOOKUP($BK378,Programma!$F$3:$Q$1101,12,0),"")</f>
        <v/>
      </c>
      <c r="BW378" s="448" t="str">
        <f>_xlfn.IFNA(VLOOKUP($BK378,Programma!$F$3:$R$1101,13,0),"")</f>
        <v/>
      </c>
      <c r="BX378" s="448" t="str">
        <f>_xlfn.IFNA(VLOOKUP($BK378,Programma!$F$3:$S$1101,14,0),"")</f>
        <v/>
      </c>
      <c r="BY378" s="448" t="str">
        <f>_xlfn.IFNA(VLOOKUP($BK378,Programma!$F$3:$T$1101,15,0),"")</f>
        <v/>
      </c>
      <c r="BZ378" s="448" t="str">
        <f>_xlfn.IFNA(VLOOKUP($BK378,Programma!$F$3:$U$1101,16,0),"")</f>
        <v/>
      </c>
      <c r="CA378" s="448" t="str">
        <f>_xlfn.IFNA(VLOOKUP($BK378,Programma!$F$3:$V$1101,17,0),"")</f>
        <v/>
      </c>
      <c r="CB378" s="448" t="str">
        <f>_xlfn.IFNA(VLOOKUP($BK378,Programma!$F$3:$W$1101,18,0),"")</f>
        <v/>
      </c>
      <c r="CC378" s="448" t="str">
        <f>_xlfn.IFNA(VLOOKUP($BK378,Programma!$F$3:$X$1101,19,0),"")</f>
        <v/>
      </c>
      <c r="CD378" s="448" t="str">
        <f>_xlfn.IFNA(VLOOKUP($BK378,Programma!$F$3:$Y$1101,20,0),"")</f>
        <v/>
      </c>
      <c r="CE378" s="327"/>
      <c r="CF378" s="327"/>
      <c r="CG378" s="327"/>
      <c r="CH378" s="327"/>
      <c r="CI378" s="327"/>
      <c r="CJ378" s="327"/>
      <c r="CK378" s="327"/>
      <c r="CL378" s="327"/>
      <c r="CM378" s="327"/>
      <c r="CN378" s="327"/>
      <c r="CO378" s="327"/>
      <c r="CP378" s="327"/>
      <c r="CQ378" s="327"/>
      <c r="CR378" s="327"/>
      <c r="CS378" s="327"/>
      <c r="CT378" s="327"/>
      <c r="CU378" s="327"/>
      <c r="CV378" s="327"/>
      <c r="CW378" s="327"/>
      <c r="CX378" s="327"/>
      <c r="CY378" s="327"/>
      <c r="CZ378" s="327"/>
      <c r="DA378" s="327"/>
      <c r="DB378" s="327"/>
      <c r="DC378" s="327"/>
      <c r="DD378" s="327"/>
      <c r="DE378" s="327"/>
      <c r="DF378" s="327"/>
      <c r="DG378" s="327"/>
      <c r="DH378" s="327"/>
      <c r="DI378" s="327"/>
      <c r="DJ378" s="327"/>
      <c r="DK378" s="327"/>
      <c r="DL378" s="327"/>
      <c r="DM378" s="327"/>
      <c r="DN378" s="327"/>
      <c r="DO378" s="327"/>
      <c r="DP378" s="327"/>
      <c r="DQ378" s="327"/>
      <c r="DR378" s="327"/>
      <c r="DS378" s="327"/>
      <c r="DT378" s="327"/>
      <c r="DU378" s="327"/>
      <c r="DV378" s="327"/>
      <c r="DW378" s="327"/>
      <c r="DX378" s="327"/>
      <c r="DY378" s="327"/>
      <c r="DZ378" s="327"/>
      <c r="EA378" s="327"/>
      <c r="EB378" s="327"/>
      <c r="EC378" s="327"/>
      <c r="ED378" s="327"/>
      <c r="EE378" s="327"/>
      <c r="EF378" s="327"/>
      <c r="EG378" s="327"/>
      <c r="EH378" s="327"/>
      <c r="EI378" s="327"/>
      <c r="EJ378" s="327"/>
      <c r="EK378" s="327"/>
      <c r="EL378" s="327"/>
      <c r="EM378" s="327"/>
      <c r="EN378" s="327"/>
      <c r="EO378" s="327"/>
      <c r="EP378" s="327"/>
      <c r="EQ378" s="327"/>
      <c r="ER378" s="327"/>
      <c r="ES378" s="327"/>
      <c r="ET378" s="327"/>
      <c r="EU378" s="327"/>
      <c r="EV378" s="327"/>
      <c r="EW378" s="327"/>
      <c r="EX378" s="327"/>
      <c r="EY378" s="327"/>
      <c r="EZ378" s="327"/>
      <c r="FA378" s="327"/>
      <c r="FB378" s="327"/>
      <c r="FC378" s="327"/>
      <c r="FD378" s="327"/>
      <c r="FE378" s="327"/>
      <c r="FF378" s="327"/>
      <c r="FG378" s="327"/>
      <c r="FH378" s="327"/>
      <c r="FI378" s="327"/>
      <c r="FJ378" s="327"/>
      <c r="FK378" s="327"/>
      <c r="FL378" s="327"/>
      <c r="FM378" s="327"/>
      <c r="FN378" s="327"/>
      <c r="FO378" s="327"/>
      <c r="FP378" s="327"/>
      <c r="FQ378" s="327"/>
      <c r="FR378" s="327"/>
      <c r="FS378" s="327"/>
      <c r="FT378" s="327"/>
      <c r="FU378" s="327"/>
      <c r="FV378" s="327"/>
      <c r="FW378" s="327"/>
      <c r="FX378" s="327"/>
      <c r="FY378" s="327"/>
      <c r="FZ378" s="327"/>
      <c r="GA378" s="327"/>
      <c r="GB378" s="327"/>
      <c r="GC378" s="327"/>
      <c r="GD378" s="327"/>
      <c r="GE378" s="327"/>
      <c r="GF378" s="327"/>
      <c r="GG378" s="327"/>
      <c r="GH378" s="327"/>
      <c r="GI378" s="327"/>
      <c r="GJ378" s="327"/>
      <c r="GK378" s="327"/>
      <c r="GL378" s="327"/>
      <c r="GM378" s="327"/>
      <c r="GN378" s="327"/>
      <c r="GO378" s="327"/>
      <c r="GP378" s="327"/>
      <c r="GQ378" s="327"/>
      <c r="GR378" s="327"/>
      <c r="GS378" s="327"/>
      <c r="GT378" s="327"/>
      <c r="GU378" s="327"/>
      <c r="GV378" s="327"/>
      <c r="GW378" s="327"/>
      <c r="GX378" s="327"/>
      <c r="GY378" s="327"/>
      <c r="GZ378" s="327"/>
      <c r="HA378" s="327"/>
      <c r="HB378" s="327"/>
      <c r="HC378" s="327"/>
      <c r="HD378" s="327"/>
      <c r="HE378" s="327"/>
      <c r="HF378" s="327"/>
      <c r="HG378" s="327"/>
      <c r="HH378" s="327"/>
      <c r="HI378" s="327"/>
      <c r="HJ378" s="327"/>
      <c r="HK378" s="327"/>
      <c r="HL378" s="327"/>
      <c r="HM378" s="327"/>
      <c r="HN378" s="327"/>
      <c r="HO378" s="327"/>
      <c r="HP378" s="327"/>
      <c r="HQ378" s="327"/>
      <c r="HR378" s="327"/>
      <c r="HS378" s="327"/>
    </row>
    <row r="379" spans="1:227" ht="15" customHeight="1">
      <c r="A379" s="327">
        <v>16</v>
      </c>
      <c r="B379" s="435" t="str">
        <f>VLOOKUP(Ruimtestaat[[#This Row],[Code]],Locaties[[Code]:[Locatie]],2,FALSE)</f>
        <v>IKC de Tjalk Kadelaan</v>
      </c>
      <c r="C379" s="435" t="str">
        <f>VLOOKUP(Ruimtestaat[[#This Row],[Code]],Locaties[[#All],[Code]:[Adres]],4,FALSE)</f>
        <v>Kadelaan 200-202</v>
      </c>
      <c r="D379" s="435" t="str">
        <f>VLOOKUP(Ruimtestaat[[#This Row],[Code]],Locaties[[#All],[Code]:[Postcode]],5,FALSE)</f>
        <v>2725 BR</v>
      </c>
      <c r="E379" s="435" t="str">
        <f>VLOOKUP(Ruimtestaat[[#This Row],[Code]],Locaties[#All],6,FALSE)</f>
        <v>Zoetermeer</v>
      </c>
      <c r="F379" s="450"/>
      <c r="G379" s="330" t="s">
        <v>1678</v>
      </c>
      <c r="H379" s="330" t="s">
        <v>1670</v>
      </c>
      <c r="I379" s="450" t="s">
        <v>1666</v>
      </c>
      <c r="J379" s="330">
        <v>2</v>
      </c>
      <c r="K379" s="450" t="str">
        <f>VLOOKUP(Ruimtestaat[[#This Row],[Ruimte code]],Ruimtegroepen[[#All],[Code]:[Ruimte omschrijving]],2,FALSE)</f>
        <v>Kantoren</v>
      </c>
      <c r="L379" s="434" t="s">
        <v>100</v>
      </c>
      <c r="M379" s="437" t="s">
        <v>1759</v>
      </c>
      <c r="N379" s="439">
        <v>15</v>
      </c>
      <c r="O379" s="439"/>
      <c r="P379" s="439"/>
      <c r="Q379" s="439"/>
      <c r="R379" s="440" t="str">
        <f>VLOOKUP(Ruimtestaat[[#This Row],[Ruimte code]],Ruimtegroepen[],4,FALSE)</f>
        <v>Bu</v>
      </c>
      <c r="S379" s="434">
        <v>41</v>
      </c>
      <c r="T379" s="434" t="s">
        <v>2</v>
      </c>
      <c r="U379" s="434">
        <f>IF(S379&gt;0,IF(RIGHT(Ruimtestaat[[#This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79" s="434">
        <f>IF(U379&gt;0,VLOOKUP($J379,Ruimtegroepen[],3,FALSE)*VLOOKUP($L379,Vloersoorten[],3,FALSE)*VLOOKUP($T379,Frequenties[],3,FALSE)*VLOOKUP($A379,Locaties[],3,FALSE),0)</f>
        <v>0</v>
      </c>
      <c r="W379" s="434">
        <f>Ruimtestaat[[#This Row],[Uitvoeringen werkdagen]]*Ruimtestaat[[#This Row],[Oppervlak (netto)]]</f>
        <v>3075</v>
      </c>
      <c r="X379" s="441">
        <f>IF(V379&gt;0,Ruimtestaat[[#This Row],[Prest. (m2 /jaar) werkdagen]]/Ruimtestaat[[#This Row],[Norm (m2/uur) werkdagen]],0)</f>
        <v>0</v>
      </c>
      <c r="Y379" s="442">
        <f>Ruimtestaat[[#This Row],[Uitvoeringen werkdagen]]*Ruimtestaat[[#This Row],[Gedeeltelijk]]</f>
        <v>0</v>
      </c>
      <c r="Z379" s="443" t="e">
        <f>IF(U379&gt;0,Ruimtestaat[[#This Row],[Prest. (m2 / jaar) werkdagen gedeeld]]/Ruimtestaat[[#This Row],[Norm (m2/uur) werkdagen]],0)</f>
        <v>#DIV/0!</v>
      </c>
      <c r="AA379" s="441" t="e">
        <f>Ruimtestaat[[#This Row],[uren / jaar werkdagen gedeeld]]*Tariefsopbouw!$E$35</f>
        <v>#DIV/0!</v>
      </c>
      <c r="AB379" s="441">
        <f>Ruimtestaat[[#This Row],[Uitvoeringen werkdagen]]*Ruimtestaat[[#This Row],[BSO]]</f>
        <v>0</v>
      </c>
      <c r="AC379" s="443" t="e">
        <f>IF(U379&gt;0,Ruimtestaat[[#This Row],[Prest. (m2 / jaar) werkdagen BSO]]/Ruimtestaat[[#This Row],[Norm (m2/uur) werkdagen]],0)</f>
        <v>#DIV/0!</v>
      </c>
      <c r="AD379" s="443" t="e">
        <f>Ruimtestaat[[#This Row],[uren / jaar werkdagen BSO]]*Tariefsopbouw!$E$35</f>
        <v>#DIV/0!</v>
      </c>
      <c r="AE379" s="444">
        <f>Ruimtestaat[[#This Row],[uren / jaar werkdagen]]*Tariefsopbouw!$E$35</f>
        <v>0</v>
      </c>
      <c r="AF379" s="434"/>
      <c r="AG379" s="434">
        <f>IF(Ruimtestaat[[#This Row],[Frequentie weekend]]&gt;0,VALUE(LEFT(AF379,1))*S379,0)</f>
        <v>0</v>
      </c>
      <c r="AH379" s="445">
        <f>IF($AG379&gt;0,VLOOKUP($J379,Ruimtegroepen[],3,FALSE)*VLOOKUP($L379,Vloersoorten[],3,FALSE)*VLOOKUP($AF379,Frequenties[],3,FALSE)*VLOOKUP(Ruimtestaat[[#This Row],[Code]],Locaties[],3,FALSE),0)</f>
        <v>0</v>
      </c>
      <c r="AI379" s="445">
        <f>Ruimtestaat[[#This Row],[Uitvoeringen weekend]]*Ruimtestaat[[#This Row],[Oppervlak (netto)]]</f>
        <v>0</v>
      </c>
      <c r="AJ379" s="445">
        <f>IF(AH379&gt;0,Ruimtestaat[[#This Row],[Prest. (m2 /jaar) weekend]]/Ruimtestaat[[#This Row],[Norm (m2/uur) weekend]],0)</f>
        <v>0</v>
      </c>
      <c r="AK379" s="444">
        <f>Ruimtestaat[[#This Row],[uren / jaar weekend]]*Tariefsopbouw!$D$40</f>
        <v>0</v>
      </c>
      <c r="AL379" s="441">
        <f>Ruimtestaat[[#This Row],[Prest. (m2 /jaar) weekend]]+Ruimtestaat[[#This Row],[Prest. (m2 /jaar) werkdagen]]</f>
        <v>3075</v>
      </c>
      <c r="AM379" s="441">
        <f>Ruimtestaat[[#This Row],[uren / jaar weekend]]+Ruimtestaat[[#This Row],[uren / jaar werkdagen]]</f>
        <v>0</v>
      </c>
      <c r="AN379" s="446">
        <f>Ruimtestaat[[#This Row],[kosten / jaar weekend]]+Ruimtestaat[[#This Row],[kosten / jaar werkdagen]]</f>
        <v>0</v>
      </c>
      <c r="AO379" s="446"/>
      <c r="AP379" s="447" t="str">
        <f>IF(Ruimtestaat[[#This Row],[Frequentie werkdagen]]="","",_xlfn.CONCAT(Ruimtestaat[[#This Row],[Ruimte code]],"-",Ruimtestaat[[#This Row],[Frequentie werkdagen]]," ",Ruimtestaat[[#This Row],[Vloer code]]))</f>
        <v>2-5w L</v>
      </c>
      <c r="AQ379" s="448" t="str">
        <f>_xlfn.IFNA(VLOOKUP($AP379,Programma!$F$3:$G$1101,2,0),"")</f>
        <v>_</v>
      </c>
      <c r="AR379" s="448" t="str">
        <f>_xlfn.IFNA(VLOOKUP($AP379,Programma!$F$3:$H$1101,3,0),"")</f>
        <v>_</v>
      </c>
      <c r="AS379" s="448" t="str">
        <f>_xlfn.IFNA(VLOOKUP($AP379,Programma!$F$3:$I$1101,4,0),"")</f>
        <v>4w</v>
      </c>
      <c r="AT379" s="448" t="str">
        <f>_xlfn.IFNA(VLOOKUP($AP379,Programma!$F$3:$J$1101,5,0),"")</f>
        <v>1w</v>
      </c>
      <c r="AU379" s="448" t="str">
        <f>_xlfn.IFNA(VLOOKUP($AP379,Programma!$F$3:$K$1101,6,0),"")</f>
        <v>_</v>
      </c>
      <c r="AV379" s="448" t="str">
        <f>_xlfn.IFNA(VLOOKUP($AP379,Programma!$F$3:$L$1101,7,0),"")</f>
        <v>_</v>
      </c>
      <c r="AW379" s="448" t="str">
        <f>_xlfn.IFNA(VLOOKUP($AP379,Programma!$F$3:$M$1101,8,0),"")</f>
        <v>_</v>
      </c>
      <c r="AX379" s="448" t="str">
        <f>_xlfn.IFNA(VLOOKUP($AP379,Programma!$F$3:$N$1101,9,0),"")</f>
        <v>_</v>
      </c>
      <c r="AY379" s="448" t="str">
        <f>_xlfn.IFNA(VLOOKUP($AP379,Programma!$F$3:$O$1101,10,0),"")</f>
        <v>5w</v>
      </c>
      <c r="AZ379" s="448" t="str">
        <f>_xlfn.IFNA(VLOOKUP($AP379,Programma!$F$3:$P$1101,11,0),"")</f>
        <v>5w</v>
      </c>
      <c r="BA379" s="448" t="str">
        <f>_xlfn.IFNA(VLOOKUP($AP379,Programma!$F$3:$Q$1101,12,0),"")</f>
        <v>1w</v>
      </c>
      <c r="BB379" s="448" t="str">
        <f>_xlfn.IFNA(VLOOKUP($AP379,Programma!$F$3:$R$1101,13,0),"")</f>
        <v>1w</v>
      </c>
      <c r="BC379" s="448" t="str">
        <f>_xlfn.IFNA(VLOOKUP($AP379,Programma!$F$3:$S$1101,14,0),"")</f>
        <v>1m</v>
      </c>
      <c r="BD379" s="448" t="str">
        <f>_xlfn.IFNA(VLOOKUP($AP379,Programma!$F$3:$T$1101,15,0),"")</f>
        <v>2j</v>
      </c>
      <c r="BE379" s="448" t="str">
        <f>_xlfn.IFNA(VLOOKUP($AP379,Programma!$F$3:$U$1101,16,0),"")</f>
        <v>1j</v>
      </c>
      <c r="BF379" s="448" t="str">
        <f>_xlfn.IFNA(VLOOKUP($AP379,Programma!$F$3:$V$1101,17,0),"")</f>
        <v>_</v>
      </c>
      <c r="BG379" s="448" t="str">
        <f>_xlfn.IFNA(VLOOKUP($AP379,Programma!$F$3:$W$1101,18,0),"")</f>
        <v>_</v>
      </c>
      <c r="BH379" s="448" t="str">
        <f>_xlfn.IFNA(VLOOKUP($AP379,Programma!$F$3:$X$1101,19,0),"")</f>
        <v>_</v>
      </c>
      <c r="BI379" s="448" t="str">
        <f>_xlfn.IFNA(VLOOKUP($AP379,Programma!$F$3:$Y$1101,20,0),"")</f>
        <v>_</v>
      </c>
      <c r="BJ379" s="449"/>
      <c r="BK379" s="447" t="str">
        <f>IF(Ruimtestaat[[#This Row],[Frequentie weekend]]="","",_xlfn.CONCAT(Ruimtestaat[[#This Row],[Ruimte code]],"-",Ruimtestaat[[#This Row],[Frequentie weekend]]," ",Ruimtestaat[[#This Row],[Vloer code]]))</f>
        <v/>
      </c>
      <c r="BL379" s="448" t="str">
        <f>_xlfn.IFNA(VLOOKUP($BK379,Programma!$F$3:$G$1101,2,0),"")</f>
        <v/>
      </c>
      <c r="BM379" s="448" t="str">
        <f>_xlfn.IFNA(VLOOKUP($BK379,Programma!$F$3:$H$1101,3,0),"")</f>
        <v/>
      </c>
      <c r="BN379" s="448" t="str">
        <f>_xlfn.IFNA(VLOOKUP($BK379,Programma!$F$3:$I$1101,4,0),"")</f>
        <v/>
      </c>
      <c r="BO379" s="448" t="str">
        <f>_xlfn.IFNA(VLOOKUP($BK379,Programma!$F$3:$J$1101,5,0),"")</f>
        <v/>
      </c>
      <c r="BP379" s="448" t="str">
        <f>_xlfn.IFNA(VLOOKUP($BK379,Programma!$F$3:$K$1101,6,0),"")</f>
        <v/>
      </c>
      <c r="BQ379" s="448" t="str">
        <f>_xlfn.IFNA(VLOOKUP($BK379,Programma!$F$3:$L$1101,7,0),"")</f>
        <v/>
      </c>
      <c r="BR379" s="448" t="str">
        <f>_xlfn.IFNA(VLOOKUP($BK379,Programma!$F$3:$M$1101,8,0),"")</f>
        <v/>
      </c>
      <c r="BS379" s="448" t="str">
        <f>_xlfn.IFNA(VLOOKUP($BK379,Programma!$F$3:$N$1101,9,0),"")</f>
        <v/>
      </c>
      <c r="BT379" s="448" t="str">
        <f>_xlfn.IFNA(VLOOKUP($BK379,Programma!$F$3:$O$1101,10,0),"")</f>
        <v/>
      </c>
      <c r="BU379" s="448" t="str">
        <f>_xlfn.IFNA(VLOOKUP($BK379,Programma!$F$3:$P$1101,11,0),"")</f>
        <v/>
      </c>
      <c r="BV379" s="448" t="str">
        <f>_xlfn.IFNA(VLOOKUP($BK379,Programma!$F$3:$Q$1101,12,0),"")</f>
        <v/>
      </c>
      <c r="BW379" s="448" t="str">
        <f>_xlfn.IFNA(VLOOKUP($BK379,Programma!$F$3:$R$1101,13,0),"")</f>
        <v/>
      </c>
      <c r="BX379" s="448" t="str">
        <f>_xlfn.IFNA(VLOOKUP($BK379,Programma!$F$3:$S$1101,14,0),"")</f>
        <v/>
      </c>
      <c r="BY379" s="448" t="str">
        <f>_xlfn.IFNA(VLOOKUP($BK379,Programma!$F$3:$T$1101,15,0),"")</f>
        <v/>
      </c>
      <c r="BZ379" s="448" t="str">
        <f>_xlfn.IFNA(VLOOKUP($BK379,Programma!$F$3:$U$1101,16,0),"")</f>
        <v/>
      </c>
      <c r="CA379" s="448" t="str">
        <f>_xlfn.IFNA(VLOOKUP($BK379,Programma!$F$3:$V$1101,17,0),"")</f>
        <v/>
      </c>
      <c r="CB379" s="448" t="str">
        <f>_xlfn.IFNA(VLOOKUP($BK379,Programma!$F$3:$W$1101,18,0),"")</f>
        <v/>
      </c>
      <c r="CC379" s="448" t="str">
        <f>_xlfn.IFNA(VLOOKUP($BK379,Programma!$F$3:$X$1101,19,0),"")</f>
        <v/>
      </c>
      <c r="CD379" s="448" t="str">
        <f>_xlfn.IFNA(VLOOKUP($BK379,Programma!$F$3:$Y$1101,20,0),"")</f>
        <v/>
      </c>
      <c r="CE379" s="327"/>
      <c r="CF379" s="327"/>
      <c r="CG379" s="327"/>
      <c r="CH379" s="327"/>
      <c r="CI379" s="327"/>
      <c r="CJ379" s="327"/>
      <c r="CK379" s="327"/>
      <c r="CL379" s="327"/>
      <c r="CM379" s="327"/>
      <c r="CN379" s="327"/>
      <c r="CO379" s="327"/>
      <c r="CP379" s="327"/>
      <c r="CQ379" s="327"/>
      <c r="CR379" s="327"/>
      <c r="CS379" s="327"/>
      <c r="CT379" s="327"/>
      <c r="CU379" s="327"/>
      <c r="CV379" s="327"/>
      <c r="CW379" s="327"/>
      <c r="CX379" s="327"/>
      <c r="CY379" s="327"/>
      <c r="CZ379" s="327"/>
      <c r="DA379" s="327"/>
      <c r="DB379" s="327"/>
      <c r="DC379" s="327"/>
      <c r="DD379" s="327"/>
      <c r="DE379" s="327"/>
      <c r="DF379" s="327"/>
      <c r="DG379" s="327"/>
      <c r="DH379" s="327"/>
      <c r="DI379" s="327"/>
      <c r="DJ379" s="327"/>
      <c r="DK379" s="327"/>
      <c r="DL379" s="327"/>
      <c r="DM379" s="327"/>
      <c r="DN379" s="327"/>
      <c r="DO379" s="327"/>
      <c r="DP379" s="327"/>
      <c r="DQ379" s="327"/>
      <c r="DR379" s="327"/>
      <c r="DS379" s="327"/>
      <c r="DT379" s="327"/>
      <c r="DU379" s="327"/>
      <c r="DV379" s="327"/>
      <c r="DW379" s="327"/>
      <c r="DX379" s="327"/>
      <c r="DY379" s="327"/>
      <c r="DZ379" s="327"/>
      <c r="EA379" s="327"/>
      <c r="EB379" s="327"/>
      <c r="EC379" s="327"/>
      <c r="ED379" s="327"/>
      <c r="EE379" s="327"/>
      <c r="EF379" s="327"/>
      <c r="EG379" s="327"/>
      <c r="EH379" s="327"/>
      <c r="EI379" s="327"/>
      <c r="EJ379" s="327"/>
      <c r="EK379" s="327"/>
      <c r="EL379" s="327"/>
      <c r="EM379" s="327"/>
      <c r="EN379" s="327"/>
      <c r="EO379" s="327"/>
      <c r="EP379" s="327"/>
      <c r="EQ379" s="327"/>
      <c r="ER379" s="327"/>
      <c r="ES379" s="327"/>
      <c r="ET379" s="327"/>
      <c r="EU379" s="327"/>
      <c r="EV379" s="327"/>
      <c r="EW379" s="327"/>
      <c r="EX379" s="327"/>
      <c r="EY379" s="327"/>
      <c r="EZ379" s="327"/>
      <c r="FA379" s="327"/>
      <c r="FB379" s="327"/>
      <c r="FC379" s="327"/>
      <c r="FD379" s="327"/>
      <c r="FE379" s="327"/>
      <c r="FF379" s="327"/>
      <c r="FG379" s="327"/>
      <c r="FH379" s="327"/>
      <c r="FI379" s="327"/>
      <c r="FJ379" s="327"/>
      <c r="FK379" s="327"/>
      <c r="FL379" s="327"/>
      <c r="FM379" s="327"/>
      <c r="FN379" s="327"/>
      <c r="FO379" s="327"/>
      <c r="FP379" s="327"/>
      <c r="FQ379" s="327"/>
      <c r="FR379" s="327"/>
      <c r="FS379" s="327"/>
      <c r="FT379" s="327"/>
      <c r="FU379" s="327"/>
      <c r="FV379" s="327"/>
      <c r="FW379" s="327"/>
      <c r="FX379" s="327"/>
      <c r="FY379" s="327"/>
      <c r="FZ379" s="327"/>
      <c r="GA379" s="327"/>
      <c r="GB379" s="327"/>
      <c r="GC379" s="327"/>
      <c r="GD379" s="327"/>
      <c r="GE379" s="327"/>
      <c r="GF379" s="327"/>
      <c r="GG379" s="327"/>
      <c r="GH379" s="327"/>
      <c r="GI379" s="327"/>
      <c r="GJ379" s="327"/>
      <c r="GK379" s="327"/>
      <c r="GL379" s="327"/>
      <c r="GM379" s="327"/>
      <c r="GN379" s="327"/>
      <c r="GO379" s="327"/>
      <c r="GP379" s="327"/>
      <c r="GQ379" s="327"/>
      <c r="GR379" s="327"/>
      <c r="GS379" s="327"/>
      <c r="GT379" s="327"/>
      <c r="GU379" s="327"/>
      <c r="GV379" s="327"/>
      <c r="GW379" s="327"/>
      <c r="GX379" s="327"/>
      <c r="GY379" s="327"/>
      <c r="GZ379" s="327"/>
      <c r="HA379" s="327"/>
      <c r="HB379" s="327"/>
      <c r="HC379" s="327"/>
      <c r="HD379" s="327"/>
      <c r="HE379" s="327"/>
      <c r="HF379" s="327"/>
      <c r="HG379" s="327"/>
      <c r="HH379" s="327"/>
      <c r="HI379" s="327"/>
      <c r="HJ379" s="327"/>
      <c r="HK379" s="327"/>
      <c r="HL379" s="327"/>
      <c r="HM379" s="327"/>
      <c r="HN379" s="327"/>
      <c r="HO379" s="327"/>
      <c r="HP379" s="327"/>
      <c r="HQ379" s="327"/>
      <c r="HR379" s="327"/>
      <c r="HS379" s="327"/>
    </row>
    <row r="380" spans="1:227" ht="15" customHeight="1">
      <c r="A380" s="327">
        <v>16</v>
      </c>
      <c r="B380" s="435" t="str">
        <f>VLOOKUP(Ruimtestaat[[#This Row],[Code]],Locaties[[Code]:[Locatie]],2,FALSE)</f>
        <v>IKC de Tjalk Kadelaan</v>
      </c>
      <c r="C380" s="435" t="str">
        <f>VLOOKUP(Ruimtestaat[[#This Row],[Code]],Locaties[[#All],[Code]:[Adres]],4,FALSE)</f>
        <v>Kadelaan 200-202</v>
      </c>
      <c r="D380" s="435" t="str">
        <f>VLOOKUP(Ruimtestaat[[#This Row],[Code]],Locaties[[#All],[Code]:[Postcode]],5,FALSE)</f>
        <v>2725 BR</v>
      </c>
      <c r="E380" s="435" t="str">
        <f>VLOOKUP(Ruimtestaat[[#This Row],[Code]],Locaties[#All],6,FALSE)</f>
        <v>Zoetermeer</v>
      </c>
      <c r="F380" s="450"/>
      <c r="G380" s="330" t="s">
        <v>1678</v>
      </c>
      <c r="H380" s="330" t="s">
        <v>1672</v>
      </c>
      <c r="I380" s="450" t="s">
        <v>1675</v>
      </c>
      <c r="J380" s="330">
        <v>6</v>
      </c>
      <c r="K380" s="450" t="str">
        <f>VLOOKUP(Ruimtestaat[[#This Row],[Ruimte code]],Ruimtegroepen[[#All],[Code]:[Ruimte omschrijving]],2,FALSE)</f>
        <v>Gangen/hallen</v>
      </c>
      <c r="L380" s="434" t="s">
        <v>100</v>
      </c>
      <c r="M380" s="437" t="s">
        <v>1759</v>
      </c>
      <c r="N380" s="439">
        <v>11</v>
      </c>
      <c r="O380" s="439"/>
      <c r="P380" s="439"/>
      <c r="Q380" s="439"/>
      <c r="R380" s="440" t="str">
        <f>VLOOKUP(Ruimtestaat[[#This Row],[Ruimte code]],Ruimtegroepen[],4,FALSE)</f>
        <v>Ve</v>
      </c>
      <c r="S380" s="434">
        <v>41</v>
      </c>
      <c r="T380" s="434" t="s">
        <v>2</v>
      </c>
      <c r="U380" s="434">
        <f>IF(S380&gt;0,IF(RIGHT(Ruimtestaat[[#This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80" s="434">
        <f>IF(U380&gt;0,VLOOKUP($J380,Ruimtegroepen[],3,FALSE)*VLOOKUP($L380,Vloersoorten[],3,FALSE)*VLOOKUP($T380,Frequenties[],3,FALSE)*VLOOKUP($A380,Locaties[],3,FALSE),0)</f>
        <v>0</v>
      </c>
      <c r="W380" s="434">
        <f>Ruimtestaat[[#This Row],[Uitvoeringen werkdagen]]*Ruimtestaat[[#This Row],[Oppervlak (netto)]]</f>
        <v>2255</v>
      </c>
      <c r="X380" s="441">
        <f>IF(V380&gt;0,Ruimtestaat[[#This Row],[Prest. (m2 /jaar) werkdagen]]/Ruimtestaat[[#This Row],[Norm (m2/uur) werkdagen]],0)</f>
        <v>0</v>
      </c>
      <c r="Y380" s="442">
        <f>Ruimtestaat[[#This Row],[Uitvoeringen werkdagen]]*Ruimtestaat[[#This Row],[Gedeeltelijk]]</f>
        <v>0</v>
      </c>
      <c r="Z380" s="443" t="e">
        <f>IF(U380&gt;0,Ruimtestaat[[#This Row],[Prest. (m2 / jaar) werkdagen gedeeld]]/Ruimtestaat[[#This Row],[Norm (m2/uur) werkdagen]],0)</f>
        <v>#DIV/0!</v>
      </c>
      <c r="AA380" s="441" t="e">
        <f>Ruimtestaat[[#This Row],[uren / jaar werkdagen gedeeld]]*Tariefsopbouw!$E$35</f>
        <v>#DIV/0!</v>
      </c>
      <c r="AB380" s="441">
        <f>Ruimtestaat[[#This Row],[Uitvoeringen werkdagen]]*Ruimtestaat[[#This Row],[BSO]]</f>
        <v>0</v>
      </c>
      <c r="AC380" s="443" t="e">
        <f>IF(U380&gt;0,Ruimtestaat[[#This Row],[Prest. (m2 / jaar) werkdagen BSO]]/Ruimtestaat[[#This Row],[Norm (m2/uur) werkdagen]],0)</f>
        <v>#DIV/0!</v>
      </c>
      <c r="AD380" s="443" t="e">
        <f>Ruimtestaat[[#This Row],[uren / jaar werkdagen BSO]]*Tariefsopbouw!$E$35</f>
        <v>#DIV/0!</v>
      </c>
      <c r="AE380" s="444">
        <f>Ruimtestaat[[#This Row],[uren / jaar werkdagen]]*Tariefsopbouw!$E$35</f>
        <v>0</v>
      </c>
      <c r="AF380" s="434"/>
      <c r="AG380" s="434">
        <f>IF(Ruimtestaat[[#This Row],[Frequentie weekend]]&gt;0,VALUE(LEFT(AF380,1))*S380,0)</f>
        <v>0</v>
      </c>
      <c r="AH380" s="445">
        <f>IF($AG380&gt;0,VLOOKUP($J380,Ruimtegroepen[],3,FALSE)*VLOOKUP($L380,Vloersoorten[],3,FALSE)*VLOOKUP($AF380,Frequenties[],3,FALSE)*VLOOKUP(Ruimtestaat[[#This Row],[Code]],Locaties[],3,FALSE),0)</f>
        <v>0</v>
      </c>
      <c r="AI380" s="445">
        <f>Ruimtestaat[[#This Row],[Uitvoeringen weekend]]*Ruimtestaat[[#This Row],[Oppervlak (netto)]]</f>
        <v>0</v>
      </c>
      <c r="AJ380" s="445">
        <f>IF(AH380&gt;0,Ruimtestaat[[#This Row],[Prest. (m2 /jaar) weekend]]/Ruimtestaat[[#This Row],[Norm (m2/uur) weekend]],0)</f>
        <v>0</v>
      </c>
      <c r="AK380" s="444">
        <f>Ruimtestaat[[#This Row],[uren / jaar weekend]]*Tariefsopbouw!$D$40</f>
        <v>0</v>
      </c>
      <c r="AL380" s="441">
        <f>Ruimtestaat[[#This Row],[Prest. (m2 /jaar) weekend]]+Ruimtestaat[[#This Row],[Prest. (m2 /jaar) werkdagen]]</f>
        <v>2255</v>
      </c>
      <c r="AM380" s="441">
        <f>Ruimtestaat[[#This Row],[uren / jaar weekend]]+Ruimtestaat[[#This Row],[uren / jaar werkdagen]]</f>
        <v>0</v>
      </c>
      <c r="AN380" s="446">
        <f>Ruimtestaat[[#This Row],[kosten / jaar weekend]]+Ruimtestaat[[#This Row],[kosten / jaar werkdagen]]</f>
        <v>0</v>
      </c>
      <c r="AO380" s="446"/>
      <c r="AP380" s="447" t="str">
        <f>IF(Ruimtestaat[[#This Row],[Frequentie werkdagen]]="","",_xlfn.CONCAT(Ruimtestaat[[#This Row],[Ruimte code]],"-",Ruimtestaat[[#This Row],[Frequentie werkdagen]]," ",Ruimtestaat[[#This Row],[Vloer code]]))</f>
        <v>6-5w L</v>
      </c>
      <c r="AQ380" s="448" t="str">
        <f>_xlfn.IFNA(VLOOKUP($AP380,Programma!$F$3:$G$1101,2,0),"")</f>
        <v>_</v>
      </c>
      <c r="AR380" s="448" t="str">
        <f>_xlfn.IFNA(VLOOKUP($AP380,Programma!$F$3:$H$1101,3,0),"")</f>
        <v>_</v>
      </c>
      <c r="AS380" s="448" t="str">
        <f>_xlfn.IFNA(VLOOKUP($AP380,Programma!$F$3:$I$1101,4,0),"")</f>
        <v>_</v>
      </c>
      <c r="AT380" s="448" t="str">
        <f>_xlfn.IFNA(VLOOKUP($AP380,Programma!$F$3:$J$1101,5,0),"")</f>
        <v>5w</v>
      </c>
      <c r="AU380" s="448" t="str">
        <f>_xlfn.IFNA(VLOOKUP($AP380,Programma!$F$3:$K$1101,6,0),"")</f>
        <v>_</v>
      </c>
      <c r="AV380" s="448" t="str">
        <f>_xlfn.IFNA(VLOOKUP($AP380,Programma!$F$3:$L$1101,7,0),"")</f>
        <v>_</v>
      </c>
      <c r="AW380" s="448" t="str">
        <f>_xlfn.IFNA(VLOOKUP($AP380,Programma!$F$3:$M$1101,8,0),"")</f>
        <v>_</v>
      </c>
      <c r="AX380" s="448" t="str">
        <f>_xlfn.IFNA(VLOOKUP($AP380,Programma!$F$3:$N$1101,9,0),"")</f>
        <v>_</v>
      </c>
      <c r="AY380" s="448" t="str">
        <f>_xlfn.IFNA(VLOOKUP($AP380,Programma!$F$3:$O$1101,10,0),"")</f>
        <v>5w</v>
      </c>
      <c r="AZ380" s="448" t="str">
        <f>_xlfn.IFNA(VLOOKUP($AP380,Programma!$F$3:$P$1101,11,0),"")</f>
        <v>5w</v>
      </c>
      <c r="BA380" s="448" t="str">
        <f>_xlfn.IFNA(VLOOKUP($AP380,Programma!$F$3:$Q$1101,12,0),"")</f>
        <v>1w</v>
      </c>
      <c r="BB380" s="448" t="str">
        <f>_xlfn.IFNA(VLOOKUP($AP380,Programma!$F$3:$R$1101,13,0),"")</f>
        <v>1w</v>
      </c>
      <c r="BC380" s="448" t="str">
        <f>_xlfn.IFNA(VLOOKUP($AP380,Programma!$F$3:$S$1101,14,0),"")</f>
        <v>1m</v>
      </c>
      <c r="BD380" s="448" t="str">
        <f>_xlfn.IFNA(VLOOKUP($AP380,Programma!$F$3:$T$1101,15,0),"")</f>
        <v>2j</v>
      </c>
      <c r="BE380" s="448" t="str">
        <f>_xlfn.IFNA(VLOOKUP($AP380,Programma!$F$3:$U$1101,16,0),"")</f>
        <v>1j</v>
      </c>
      <c r="BF380" s="448" t="str">
        <f>_xlfn.IFNA(VLOOKUP($AP380,Programma!$F$3:$V$1101,17,0),"")</f>
        <v>_</v>
      </c>
      <c r="BG380" s="448" t="str">
        <f>_xlfn.IFNA(VLOOKUP($AP380,Programma!$F$3:$W$1101,18,0),"")</f>
        <v>_</v>
      </c>
      <c r="BH380" s="448" t="str">
        <f>_xlfn.IFNA(VLOOKUP($AP380,Programma!$F$3:$X$1101,19,0),"")</f>
        <v>_</v>
      </c>
      <c r="BI380" s="448" t="str">
        <f>_xlfn.IFNA(VLOOKUP($AP380,Programma!$F$3:$Y$1101,20,0),"")</f>
        <v>_</v>
      </c>
      <c r="BJ380" s="449"/>
      <c r="BK380" s="447" t="str">
        <f>IF(Ruimtestaat[[#This Row],[Frequentie weekend]]="","",_xlfn.CONCAT(Ruimtestaat[[#This Row],[Ruimte code]],"-",Ruimtestaat[[#This Row],[Frequentie weekend]]," ",Ruimtestaat[[#This Row],[Vloer code]]))</f>
        <v/>
      </c>
      <c r="BL380" s="448" t="str">
        <f>_xlfn.IFNA(VLOOKUP($BK380,Programma!$F$3:$G$1101,2,0),"")</f>
        <v/>
      </c>
      <c r="BM380" s="448" t="str">
        <f>_xlfn.IFNA(VLOOKUP($BK380,Programma!$F$3:$H$1101,3,0),"")</f>
        <v/>
      </c>
      <c r="BN380" s="448" t="str">
        <f>_xlfn.IFNA(VLOOKUP($BK380,Programma!$F$3:$I$1101,4,0),"")</f>
        <v/>
      </c>
      <c r="BO380" s="448" t="str">
        <f>_xlfn.IFNA(VLOOKUP($BK380,Programma!$F$3:$J$1101,5,0),"")</f>
        <v/>
      </c>
      <c r="BP380" s="448" t="str">
        <f>_xlfn.IFNA(VLOOKUP($BK380,Programma!$F$3:$K$1101,6,0),"")</f>
        <v/>
      </c>
      <c r="BQ380" s="448" t="str">
        <f>_xlfn.IFNA(VLOOKUP($BK380,Programma!$F$3:$L$1101,7,0),"")</f>
        <v/>
      </c>
      <c r="BR380" s="448" t="str">
        <f>_xlfn.IFNA(VLOOKUP($BK380,Programma!$F$3:$M$1101,8,0),"")</f>
        <v/>
      </c>
      <c r="BS380" s="448" t="str">
        <f>_xlfn.IFNA(VLOOKUP($BK380,Programma!$F$3:$N$1101,9,0),"")</f>
        <v/>
      </c>
      <c r="BT380" s="448" t="str">
        <f>_xlfn.IFNA(VLOOKUP($BK380,Programma!$F$3:$O$1101,10,0),"")</f>
        <v/>
      </c>
      <c r="BU380" s="448" t="str">
        <f>_xlfn.IFNA(VLOOKUP($BK380,Programma!$F$3:$P$1101,11,0),"")</f>
        <v/>
      </c>
      <c r="BV380" s="448" t="str">
        <f>_xlfn.IFNA(VLOOKUP($BK380,Programma!$F$3:$Q$1101,12,0),"")</f>
        <v/>
      </c>
      <c r="BW380" s="448" t="str">
        <f>_xlfn.IFNA(VLOOKUP($BK380,Programma!$F$3:$R$1101,13,0),"")</f>
        <v/>
      </c>
      <c r="BX380" s="448" t="str">
        <f>_xlfn.IFNA(VLOOKUP($BK380,Programma!$F$3:$S$1101,14,0),"")</f>
        <v/>
      </c>
      <c r="BY380" s="448" t="str">
        <f>_xlfn.IFNA(VLOOKUP($BK380,Programma!$F$3:$T$1101,15,0),"")</f>
        <v/>
      </c>
      <c r="BZ380" s="448" t="str">
        <f>_xlfn.IFNA(VLOOKUP($BK380,Programma!$F$3:$U$1101,16,0),"")</f>
        <v/>
      </c>
      <c r="CA380" s="448" t="str">
        <f>_xlfn.IFNA(VLOOKUP($BK380,Programma!$F$3:$V$1101,17,0),"")</f>
        <v/>
      </c>
      <c r="CB380" s="448" t="str">
        <f>_xlfn.IFNA(VLOOKUP($BK380,Programma!$F$3:$W$1101,18,0),"")</f>
        <v/>
      </c>
      <c r="CC380" s="448" t="str">
        <f>_xlfn.IFNA(VLOOKUP($BK380,Programma!$F$3:$X$1101,19,0),"")</f>
        <v/>
      </c>
      <c r="CD380" s="448" t="str">
        <f>_xlfn.IFNA(VLOOKUP($BK380,Programma!$F$3:$Y$1101,20,0),"")</f>
        <v/>
      </c>
      <c r="CE380" s="327"/>
      <c r="CF380" s="327"/>
      <c r="CG380" s="327"/>
      <c r="CH380" s="327"/>
      <c r="CI380" s="327"/>
      <c r="CJ380" s="327"/>
      <c r="CK380" s="327"/>
      <c r="CL380" s="327"/>
      <c r="CM380" s="327"/>
      <c r="CN380" s="327"/>
      <c r="CO380" s="327"/>
      <c r="CP380" s="327"/>
      <c r="CQ380" s="327"/>
      <c r="CR380" s="327"/>
      <c r="CS380" s="327"/>
      <c r="CT380" s="327"/>
      <c r="CU380" s="327"/>
      <c r="CV380" s="327"/>
      <c r="CW380" s="327"/>
      <c r="CX380" s="327"/>
      <c r="CY380" s="327"/>
      <c r="CZ380" s="327"/>
      <c r="DA380" s="327"/>
      <c r="DB380" s="327"/>
      <c r="DC380" s="327"/>
      <c r="DD380" s="327"/>
      <c r="DE380" s="327"/>
      <c r="DF380" s="327"/>
      <c r="DG380" s="327"/>
      <c r="DH380" s="327"/>
      <c r="DI380" s="327"/>
      <c r="DJ380" s="327"/>
      <c r="DK380" s="327"/>
      <c r="DL380" s="327"/>
      <c r="DM380" s="327"/>
      <c r="DN380" s="327"/>
      <c r="DO380" s="327"/>
      <c r="DP380" s="327"/>
      <c r="DQ380" s="327"/>
      <c r="DR380" s="327"/>
      <c r="DS380" s="327"/>
      <c r="DT380" s="327"/>
      <c r="DU380" s="327"/>
      <c r="DV380" s="327"/>
      <c r="DW380" s="327"/>
      <c r="DX380" s="327"/>
      <c r="DY380" s="327"/>
      <c r="DZ380" s="327"/>
      <c r="EA380" s="327"/>
      <c r="EB380" s="327"/>
      <c r="EC380" s="327"/>
      <c r="ED380" s="327"/>
      <c r="EE380" s="327"/>
      <c r="EF380" s="327"/>
      <c r="EG380" s="327"/>
      <c r="EH380" s="327"/>
      <c r="EI380" s="327"/>
      <c r="EJ380" s="327"/>
      <c r="EK380" s="327"/>
      <c r="EL380" s="327"/>
      <c r="EM380" s="327"/>
      <c r="EN380" s="327"/>
      <c r="EO380" s="327"/>
      <c r="EP380" s="327"/>
      <c r="EQ380" s="327"/>
      <c r="ER380" s="327"/>
      <c r="ES380" s="327"/>
      <c r="ET380" s="327"/>
      <c r="EU380" s="327"/>
      <c r="EV380" s="327"/>
      <c r="EW380" s="327"/>
      <c r="EX380" s="327"/>
      <c r="EY380" s="327"/>
      <c r="EZ380" s="327"/>
      <c r="FA380" s="327"/>
      <c r="FB380" s="327"/>
      <c r="FC380" s="327"/>
      <c r="FD380" s="327"/>
      <c r="FE380" s="327"/>
      <c r="FF380" s="327"/>
      <c r="FG380" s="327"/>
      <c r="FH380" s="327"/>
      <c r="FI380" s="327"/>
      <c r="FJ380" s="327"/>
      <c r="FK380" s="327"/>
      <c r="FL380" s="327"/>
      <c r="FM380" s="327"/>
      <c r="FN380" s="327"/>
      <c r="FO380" s="327"/>
      <c r="FP380" s="327"/>
      <c r="FQ380" s="327"/>
      <c r="FR380" s="327"/>
      <c r="FS380" s="327"/>
      <c r="FT380" s="327"/>
      <c r="FU380" s="327"/>
      <c r="FV380" s="327"/>
      <c r="FW380" s="327"/>
      <c r="FX380" s="327"/>
      <c r="FY380" s="327"/>
      <c r="FZ380" s="327"/>
      <c r="GA380" s="327"/>
      <c r="GB380" s="327"/>
      <c r="GC380" s="327"/>
      <c r="GD380" s="327"/>
      <c r="GE380" s="327"/>
      <c r="GF380" s="327"/>
      <c r="GG380" s="327"/>
      <c r="GH380" s="327"/>
      <c r="GI380" s="327"/>
      <c r="GJ380" s="327"/>
      <c r="GK380" s="327"/>
      <c r="GL380" s="327"/>
      <c r="GM380" s="327"/>
      <c r="GN380" s="327"/>
      <c r="GO380" s="327"/>
      <c r="GP380" s="327"/>
      <c r="GQ380" s="327"/>
      <c r="GR380" s="327"/>
      <c r="GS380" s="327"/>
      <c r="GT380" s="327"/>
      <c r="GU380" s="327"/>
      <c r="GV380" s="327"/>
      <c r="GW380" s="327"/>
      <c r="GX380" s="327"/>
      <c r="GY380" s="327"/>
      <c r="GZ380" s="327"/>
      <c r="HA380" s="327"/>
      <c r="HB380" s="327"/>
      <c r="HC380" s="327"/>
      <c r="HD380" s="327"/>
      <c r="HE380" s="327"/>
      <c r="HF380" s="327"/>
      <c r="HG380" s="327"/>
      <c r="HH380" s="327"/>
      <c r="HI380" s="327"/>
      <c r="HJ380" s="327"/>
      <c r="HK380" s="327"/>
      <c r="HL380" s="327"/>
      <c r="HM380" s="327"/>
      <c r="HN380" s="327"/>
      <c r="HO380" s="327"/>
      <c r="HP380" s="327"/>
      <c r="HQ380" s="327"/>
      <c r="HR380" s="327"/>
      <c r="HS380" s="327"/>
    </row>
    <row r="381" spans="1:227" ht="15" customHeight="1">
      <c r="A381" s="327">
        <v>16</v>
      </c>
      <c r="B381" s="435" t="str">
        <f>VLOOKUP(Ruimtestaat[[#This Row],[Code]],Locaties[[Code]:[Locatie]],2,FALSE)</f>
        <v>IKC de Tjalk Kadelaan</v>
      </c>
      <c r="C381" s="435" t="str">
        <f>VLOOKUP(Ruimtestaat[[#This Row],[Code]],Locaties[[#All],[Code]:[Adres]],4,FALSE)</f>
        <v>Kadelaan 200-202</v>
      </c>
      <c r="D381" s="435" t="str">
        <f>VLOOKUP(Ruimtestaat[[#This Row],[Code]],Locaties[[#All],[Code]:[Postcode]],5,FALSE)</f>
        <v>2725 BR</v>
      </c>
      <c r="E381" s="435" t="str">
        <f>VLOOKUP(Ruimtestaat[[#This Row],[Code]],Locaties[#All],6,FALSE)</f>
        <v>Zoetermeer</v>
      </c>
      <c r="F381" s="450"/>
      <c r="G381" s="330" t="s">
        <v>1678</v>
      </c>
      <c r="H381" s="330" t="s">
        <v>1674</v>
      </c>
      <c r="I381" s="450" t="s">
        <v>1673</v>
      </c>
      <c r="J381" s="330">
        <v>5</v>
      </c>
      <c r="K381" s="450" t="str">
        <f>VLOOKUP(Ruimtestaat[[#This Row],[Ruimte code]],Ruimtegroepen[[#All],[Code]:[Ruimte omschrijving]],2,FALSE)</f>
        <v>Sanitair</v>
      </c>
      <c r="L381" s="330" t="s">
        <v>101</v>
      </c>
      <c r="M381" s="437" t="s">
        <v>119</v>
      </c>
      <c r="N381" s="439">
        <v>3</v>
      </c>
      <c r="O381" s="439"/>
      <c r="P381" s="439"/>
      <c r="Q381" s="439"/>
      <c r="R381" s="440" t="str">
        <f>VLOOKUP(Ruimtestaat[[#This Row],[Ruimte code]],Ruimtegroepen[],4,FALSE)</f>
        <v>Sa</v>
      </c>
      <c r="S381" s="434">
        <v>41</v>
      </c>
      <c r="T381" s="434" t="s">
        <v>2</v>
      </c>
      <c r="U381" s="434">
        <f>IF(S381&gt;0,IF(RIGHT(Ruimtestaat[[#This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81" s="434">
        <f>IF(U381&gt;0,VLOOKUP($J381,Ruimtegroepen[],3,FALSE)*VLOOKUP($L381,Vloersoorten[],3,FALSE)*VLOOKUP($T381,Frequenties[],3,FALSE)*VLOOKUP($A381,Locaties[],3,FALSE),0)</f>
        <v>0</v>
      </c>
      <c r="W381" s="434">
        <f>Ruimtestaat[[#This Row],[Uitvoeringen werkdagen]]*Ruimtestaat[[#This Row],[Oppervlak (netto)]]</f>
        <v>615</v>
      </c>
      <c r="X381" s="441">
        <f>IF(V381&gt;0,Ruimtestaat[[#This Row],[Prest. (m2 /jaar) werkdagen]]/Ruimtestaat[[#This Row],[Norm (m2/uur) werkdagen]],0)</f>
        <v>0</v>
      </c>
      <c r="Y381" s="442">
        <f>Ruimtestaat[[#This Row],[Uitvoeringen werkdagen]]*Ruimtestaat[[#This Row],[Gedeeltelijk]]</f>
        <v>0</v>
      </c>
      <c r="Z381" s="443" t="e">
        <f>IF(U381&gt;0,Ruimtestaat[[#This Row],[Prest. (m2 / jaar) werkdagen gedeeld]]/Ruimtestaat[[#This Row],[Norm (m2/uur) werkdagen]],0)</f>
        <v>#DIV/0!</v>
      </c>
      <c r="AA381" s="441" t="e">
        <f>Ruimtestaat[[#This Row],[uren / jaar werkdagen gedeeld]]*Tariefsopbouw!$E$35</f>
        <v>#DIV/0!</v>
      </c>
      <c r="AB381" s="441">
        <f>Ruimtestaat[[#This Row],[Uitvoeringen werkdagen]]*Ruimtestaat[[#This Row],[BSO]]</f>
        <v>0</v>
      </c>
      <c r="AC381" s="443" t="e">
        <f>IF(U381&gt;0,Ruimtestaat[[#This Row],[Prest. (m2 / jaar) werkdagen BSO]]/Ruimtestaat[[#This Row],[Norm (m2/uur) werkdagen]],0)</f>
        <v>#DIV/0!</v>
      </c>
      <c r="AD381" s="443" t="e">
        <f>Ruimtestaat[[#This Row],[uren / jaar werkdagen BSO]]*Tariefsopbouw!$E$35</f>
        <v>#DIV/0!</v>
      </c>
      <c r="AE381" s="444">
        <f>Ruimtestaat[[#This Row],[uren / jaar werkdagen]]*Tariefsopbouw!$E$35</f>
        <v>0</v>
      </c>
      <c r="AF381" s="434"/>
      <c r="AG381" s="434">
        <f>IF(Ruimtestaat[[#This Row],[Frequentie weekend]]&gt;0,VALUE(LEFT(AF381,1))*S381,0)</f>
        <v>0</v>
      </c>
      <c r="AH381" s="445">
        <f>IF($AG381&gt;0,VLOOKUP($J381,Ruimtegroepen[],3,FALSE)*VLOOKUP($L381,Vloersoorten[],3,FALSE)*VLOOKUP($AF381,Frequenties[],3,FALSE)*VLOOKUP(Ruimtestaat[[#This Row],[Code]],Locaties[],3,FALSE),0)</f>
        <v>0</v>
      </c>
      <c r="AI381" s="445">
        <f>Ruimtestaat[[#This Row],[Uitvoeringen weekend]]*Ruimtestaat[[#This Row],[Oppervlak (netto)]]</f>
        <v>0</v>
      </c>
      <c r="AJ381" s="445">
        <f>IF(AH381&gt;0,Ruimtestaat[[#This Row],[Prest. (m2 /jaar) weekend]]/Ruimtestaat[[#This Row],[Norm (m2/uur) weekend]],0)</f>
        <v>0</v>
      </c>
      <c r="AK381" s="444">
        <f>Ruimtestaat[[#This Row],[uren / jaar weekend]]*Tariefsopbouw!$D$40</f>
        <v>0</v>
      </c>
      <c r="AL381" s="441">
        <f>Ruimtestaat[[#This Row],[Prest. (m2 /jaar) weekend]]+Ruimtestaat[[#This Row],[Prest. (m2 /jaar) werkdagen]]</f>
        <v>615</v>
      </c>
      <c r="AM381" s="441">
        <f>Ruimtestaat[[#This Row],[uren / jaar weekend]]+Ruimtestaat[[#This Row],[uren / jaar werkdagen]]</f>
        <v>0</v>
      </c>
      <c r="AN381" s="446">
        <f>Ruimtestaat[[#This Row],[kosten / jaar weekend]]+Ruimtestaat[[#This Row],[kosten / jaar werkdagen]]</f>
        <v>0</v>
      </c>
      <c r="AO381" s="446"/>
      <c r="AP381" s="447" t="str">
        <f>IF(Ruimtestaat[[#This Row],[Frequentie werkdagen]]="","",_xlfn.CONCAT(Ruimtestaat[[#This Row],[Ruimte code]],"-",Ruimtestaat[[#This Row],[Frequentie werkdagen]]," ",Ruimtestaat[[#This Row],[Vloer code]]))</f>
        <v>5-5w S</v>
      </c>
      <c r="AQ381" s="448" t="str">
        <f>_xlfn.IFNA(VLOOKUP($AP381,Programma!$F$3:$G$1101,2,0),"")</f>
        <v>_</v>
      </c>
      <c r="AR381" s="448" t="str">
        <f>_xlfn.IFNA(VLOOKUP($AP381,Programma!$F$3:$H$1101,3,0),"")</f>
        <v>_</v>
      </c>
      <c r="AS381" s="448" t="str">
        <f>_xlfn.IFNA(VLOOKUP($AP381,Programma!$F$3:$I$1101,4,0),"")</f>
        <v>_</v>
      </c>
      <c r="AT381" s="448" t="str">
        <f>_xlfn.IFNA(VLOOKUP($AP381,Programma!$F$3:$J$1101,5,0),"")</f>
        <v>4w</v>
      </c>
      <c r="AU381" s="448" t="str">
        <f>_xlfn.IFNA(VLOOKUP($AP381,Programma!$F$3:$K$1101,6,0),"")</f>
        <v>1w</v>
      </c>
      <c r="AV381" s="448" t="str">
        <f>_xlfn.IFNA(VLOOKUP($AP381,Programma!$F$3:$L$1101,7,0),"")</f>
        <v>_</v>
      </c>
      <c r="AW381" s="448" t="str">
        <f>_xlfn.IFNA(VLOOKUP($AP381,Programma!$F$3:$M$1101,8,0),"")</f>
        <v>_</v>
      </c>
      <c r="AX381" s="448" t="str">
        <f>_xlfn.IFNA(VLOOKUP($AP381,Programma!$F$3:$N$1101,9,0),"")</f>
        <v>_</v>
      </c>
      <c r="AY381" s="448" t="str">
        <f>_xlfn.IFNA(VLOOKUP($AP381,Programma!$F$3:$O$1101,10,0),"")</f>
        <v>_</v>
      </c>
      <c r="AZ381" s="448" t="str">
        <f>_xlfn.IFNA(VLOOKUP($AP381,Programma!$F$3:$P$1101,11,0),"")</f>
        <v>_</v>
      </c>
      <c r="BA381" s="448" t="str">
        <f>_xlfn.IFNA(VLOOKUP($AP381,Programma!$F$3:$Q$1101,12,0),"")</f>
        <v>_</v>
      </c>
      <c r="BB381" s="448" t="str">
        <f>_xlfn.IFNA(VLOOKUP($AP381,Programma!$F$3:$R$1101,13,0),"")</f>
        <v>_</v>
      </c>
      <c r="BC381" s="448" t="str">
        <f>_xlfn.IFNA(VLOOKUP($AP381,Programma!$F$3:$S$1101,14,0),"")</f>
        <v>_</v>
      </c>
      <c r="BD381" s="448" t="str">
        <f>_xlfn.IFNA(VLOOKUP($AP381,Programma!$F$3:$T$1101,15,0),"")</f>
        <v>_</v>
      </c>
      <c r="BE381" s="448" t="str">
        <f>_xlfn.IFNA(VLOOKUP($AP381,Programma!$F$3:$U$1101,16,0),"")</f>
        <v>_</v>
      </c>
      <c r="BF381" s="448" t="str">
        <f>_xlfn.IFNA(VLOOKUP($AP381,Programma!$F$3:$V$1101,17,0),"")</f>
        <v>_</v>
      </c>
      <c r="BG381" s="448" t="str">
        <f>_xlfn.IFNA(VLOOKUP($AP381,Programma!$F$3:$W$1101,18,0),"")</f>
        <v>4w</v>
      </c>
      <c r="BH381" s="448" t="str">
        <f>_xlfn.IFNA(VLOOKUP($AP381,Programma!$F$3:$X$1101,19,0),"")</f>
        <v>1w</v>
      </c>
      <c r="BI381" s="448" t="str">
        <f>_xlfn.IFNA(VLOOKUP($AP381,Programma!$F$3:$Y$1101,20,0),"")</f>
        <v>_</v>
      </c>
      <c r="BJ381" s="449"/>
      <c r="BK381" s="447" t="str">
        <f>IF(Ruimtestaat[[#This Row],[Frequentie weekend]]="","",_xlfn.CONCAT(Ruimtestaat[[#This Row],[Ruimte code]],"-",Ruimtestaat[[#This Row],[Frequentie weekend]]," ",Ruimtestaat[[#This Row],[Vloer code]]))</f>
        <v/>
      </c>
      <c r="BL381" s="448" t="str">
        <f>_xlfn.IFNA(VLOOKUP($BK381,Programma!$F$3:$G$1101,2,0),"")</f>
        <v/>
      </c>
      <c r="BM381" s="448" t="str">
        <f>_xlfn.IFNA(VLOOKUP($BK381,Programma!$F$3:$H$1101,3,0),"")</f>
        <v/>
      </c>
      <c r="BN381" s="448" t="str">
        <f>_xlfn.IFNA(VLOOKUP($BK381,Programma!$F$3:$I$1101,4,0),"")</f>
        <v/>
      </c>
      <c r="BO381" s="448" t="str">
        <f>_xlfn.IFNA(VLOOKUP($BK381,Programma!$F$3:$J$1101,5,0),"")</f>
        <v/>
      </c>
      <c r="BP381" s="448" t="str">
        <f>_xlfn.IFNA(VLOOKUP($BK381,Programma!$F$3:$K$1101,6,0),"")</f>
        <v/>
      </c>
      <c r="BQ381" s="448" t="str">
        <f>_xlfn.IFNA(VLOOKUP($BK381,Programma!$F$3:$L$1101,7,0),"")</f>
        <v/>
      </c>
      <c r="BR381" s="448" t="str">
        <f>_xlfn.IFNA(VLOOKUP($BK381,Programma!$F$3:$M$1101,8,0),"")</f>
        <v/>
      </c>
      <c r="BS381" s="448" t="str">
        <f>_xlfn.IFNA(VLOOKUP($BK381,Programma!$F$3:$N$1101,9,0),"")</f>
        <v/>
      </c>
      <c r="BT381" s="448" t="str">
        <f>_xlfn.IFNA(VLOOKUP($BK381,Programma!$F$3:$O$1101,10,0),"")</f>
        <v/>
      </c>
      <c r="BU381" s="448" t="str">
        <f>_xlfn.IFNA(VLOOKUP($BK381,Programma!$F$3:$P$1101,11,0),"")</f>
        <v/>
      </c>
      <c r="BV381" s="448" t="str">
        <f>_xlfn.IFNA(VLOOKUP($BK381,Programma!$F$3:$Q$1101,12,0),"")</f>
        <v/>
      </c>
      <c r="BW381" s="448" t="str">
        <f>_xlfn.IFNA(VLOOKUP($BK381,Programma!$F$3:$R$1101,13,0),"")</f>
        <v/>
      </c>
      <c r="BX381" s="448" t="str">
        <f>_xlfn.IFNA(VLOOKUP($BK381,Programma!$F$3:$S$1101,14,0),"")</f>
        <v/>
      </c>
      <c r="BY381" s="448" t="str">
        <f>_xlfn.IFNA(VLOOKUP($BK381,Programma!$F$3:$T$1101,15,0),"")</f>
        <v/>
      </c>
      <c r="BZ381" s="448" t="str">
        <f>_xlfn.IFNA(VLOOKUP($BK381,Programma!$F$3:$U$1101,16,0),"")</f>
        <v/>
      </c>
      <c r="CA381" s="448" t="str">
        <f>_xlfn.IFNA(VLOOKUP($BK381,Programma!$F$3:$V$1101,17,0),"")</f>
        <v/>
      </c>
      <c r="CB381" s="448" t="str">
        <f>_xlfn.IFNA(VLOOKUP($BK381,Programma!$F$3:$W$1101,18,0),"")</f>
        <v/>
      </c>
      <c r="CC381" s="448" t="str">
        <f>_xlfn.IFNA(VLOOKUP($BK381,Programma!$F$3:$X$1101,19,0),"")</f>
        <v/>
      </c>
      <c r="CD381" s="448" t="str">
        <f>_xlfn.IFNA(VLOOKUP($BK381,Programma!$F$3:$Y$1101,20,0),"")</f>
        <v/>
      </c>
      <c r="CE381" s="327"/>
      <c r="CF381" s="327"/>
      <c r="CG381" s="327"/>
      <c r="CH381" s="327"/>
      <c r="CI381" s="327"/>
      <c r="CJ381" s="327"/>
      <c r="CK381" s="327"/>
      <c r="CL381" s="327"/>
      <c r="CM381" s="327"/>
      <c r="CN381" s="327"/>
      <c r="CO381" s="327"/>
      <c r="CP381" s="327"/>
      <c r="CQ381" s="327"/>
      <c r="CR381" s="327"/>
      <c r="CS381" s="327"/>
      <c r="CT381" s="327"/>
      <c r="CU381" s="327"/>
      <c r="CV381" s="327"/>
      <c r="CW381" s="327"/>
      <c r="CX381" s="327"/>
      <c r="CY381" s="327"/>
      <c r="CZ381" s="327"/>
      <c r="DA381" s="327"/>
      <c r="DB381" s="327"/>
      <c r="DC381" s="327"/>
      <c r="DD381" s="327"/>
      <c r="DE381" s="327"/>
      <c r="DF381" s="327"/>
      <c r="DG381" s="327"/>
      <c r="DH381" s="327"/>
      <c r="DI381" s="327"/>
      <c r="DJ381" s="327"/>
      <c r="DK381" s="327"/>
      <c r="DL381" s="327"/>
      <c r="DM381" s="327"/>
      <c r="DN381" s="327"/>
      <c r="DO381" s="327"/>
      <c r="DP381" s="327"/>
      <c r="DQ381" s="327"/>
      <c r="DR381" s="327"/>
      <c r="DS381" s="327"/>
      <c r="DT381" s="327"/>
      <c r="DU381" s="327"/>
      <c r="DV381" s="327"/>
      <c r="DW381" s="327"/>
      <c r="DX381" s="327"/>
      <c r="DY381" s="327"/>
      <c r="DZ381" s="327"/>
      <c r="EA381" s="327"/>
      <c r="EB381" s="327"/>
      <c r="EC381" s="327"/>
      <c r="ED381" s="327"/>
      <c r="EE381" s="327"/>
      <c r="EF381" s="327"/>
      <c r="EG381" s="327"/>
      <c r="EH381" s="327"/>
      <c r="EI381" s="327"/>
      <c r="EJ381" s="327"/>
      <c r="EK381" s="327"/>
      <c r="EL381" s="327"/>
      <c r="EM381" s="327"/>
      <c r="EN381" s="327"/>
      <c r="EO381" s="327"/>
      <c r="EP381" s="327"/>
      <c r="EQ381" s="327"/>
      <c r="ER381" s="327"/>
      <c r="ES381" s="327"/>
      <c r="ET381" s="327"/>
      <c r="EU381" s="327"/>
      <c r="EV381" s="327"/>
      <c r="EW381" s="327"/>
      <c r="EX381" s="327"/>
      <c r="EY381" s="327"/>
      <c r="EZ381" s="327"/>
      <c r="FA381" s="327"/>
      <c r="FB381" s="327"/>
      <c r="FC381" s="327"/>
      <c r="FD381" s="327"/>
      <c r="FE381" s="327"/>
      <c r="FF381" s="327"/>
      <c r="FG381" s="327"/>
      <c r="FH381" s="327"/>
      <c r="FI381" s="327"/>
      <c r="FJ381" s="327"/>
      <c r="FK381" s="327"/>
      <c r="FL381" s="327"/>
      <c r="FM381" s="327"/>
      <c r="FN381" s="327"/>
      <c r="FO381" s="327"/>
      <c r="FP381" s="327"/>
      <c r="FQ381" s="327"/>
      <c r="FR381" s="327"/>
      <c r="FS381" s="327"/>
      <c r="FT381" s="327"/>
      <c r="FU381" s="327"/>
      <c r="FV381" s="327"/>
      <c r="FW381" s="327"/>
      <c r="FX381" s="327"/>
      <c r="FY381" s="327"/>
      <c r="FZ381" s="327"/>
      <c r="GA381" s="327"/>
      <c r="GB381" s="327"/>
      <c r="GC381" s="327"/>
      <c r="GD381" s="327"/>
      <c r="GE381" s="327"/>
      <c r="GF381" s="327"/>
      <c r="GG381" s="327"/>
      <c r="GH381" s="327"/>
      <c r="GI381" s="327"/>
      <c r="GJ381" s="327"/>
      <c r="GK381" s="327"/>
      <c r="GL381" s="327"/>
      <c r="GM381" s="327"/>
      <c r="GN381" s="327"/>
      <c r="GO381" s="327"/>
      <c r="GP381" s="327"/>
      <c r="GQ381" s="327"/>
      <c r="GR381" s="327"/>
      <c r="GS381" s="327"/>
      <c r="GT381" s="327"/>
      <c r="GU381" s="327"/>
      <c r="GV381" s="327"/>
      <c r="GW381" s="327"/>
      <c r="GX381" s="327"/>
      <c r="GY381" s="327"/>
      <c r="GZ381" s="327"/>
      <c r="HA381" s="327"/>
      <c r="HB381" s="327"/>
      <c r="HC381" s="327"/>
      <c r="HD381" s="327"/>
      <c r="HE381" s="327"/>
      <c r="HF381" s="327"/>
      <c r="HG381" s="327"/>
      <c r="HH381" s="327"/>
      <c r="HI381" s="327"/>
      <c r="HJ381" s="327"/>
      <c r="HK381" s="327"/>
      <c r="HL381" s="327"/>
      <c r="HM381" s="327"/>
      <c r="HN381" s="327"/>
      <c r="HO381" s="327"/>
      <c r="HP381" s="327"/>
      <c r="HQ381" s="327"/>
      <c r="HR381" s="327"/>
      <c r="HS381" s="327"/>
    </row>
    <row r="382" spans="1:227" ht="15" customHeight="1">
      <c r="A382" s="327">
        <v>16</v>
      </c>
      <c r="B382" s="435" t="str">
        <f>VLOOKUP(Ruimtestaat[[#This Row],[Code]],Locaties[[Code]:[Locatie]],2,FALSE)</f>
        <v>IKC de Tjalk Kadelaan</v>
      </c>
      <c r="C382" s="435" t="str">
        <f>VLOOKUP(Ruimtestaat[[#This Row],[Code]],Locaties[[#All],[Code]:[Adres]],4,FALSE)</f>
        <v>Kadelaan 200-202</v>
      </c>
      <c r="D382" s="435" t="str">
        <f>VLOOKUP(Ruimtestaat[[#This Row],[Code]],Locaties[[#All],[Code]:[Postcode]],5,FALSE)</f>
        <v>2725 BR</v>
      </c>
      <c r="E382" s="435" t="str">
        <f>VLOOKUP(Ruimtestaat[[#This Row],[Code]],Locaties[#All],6,FALSE)</f>
        <v>Zoetermeer</v>
      </c>
      <c r="F382" s="450"/>
      <c r="G382" s="330" t="s">
        <v>1678</v>
      </c>
      <c r="H382" s="330" t="s">
        <v>1680</v>
      </c>
      <c r="I382" s="450" t="s">
        <v>38</v>
      </c>
      <c r="J382" s="330">
        <v>7</v>
      </c>
      <c r="K382" s="450" t="str">
        <f>VLOOKUP(Ruimtestaat[[#This Row],[Ruimte code]],Ruimtegroepen[[#All],[Code]:[Ruimte omschrijving]],2,FALSE)</f>
        <v>Entree</v>
      </c>
      <c r="L382" s="330" t="s">
        <v>99</v>
      </c>
      <c r="M382" s="437" t="s">
        <v>1758</v>
      </c>
      <c r="N382" s="439">
        <v>5.5</v>
      </c>
      <c r="O382" s="439"/>
      <c r="P382" s="439"/>
      <c r="Q382" s="439"/>
      <c r="R382" s="440" t="str">
        <f>VLOOKUP(Ruimtestaat[[#This Row],[Ruimte code]],Ruimtegroepen[],4,FALSE)</f>
        <v>Ve</v>
      </c>
      <c r="S382" s="434">
        <v>41</v>
      </c>
      <c r="T382" s="434" t="s">
        <v>2</v>
      </c>
      <c r="U382" s="434">
        <f>IF(S382&gt;0,IF(RIGHT(Ruimtestaat[[#This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82" s="434">
        <f>IF(U382&gt;0,VLOOKUP($J382,Ruimtegroepen[],3,FALSE)*VLOOKUP($L382,Vloersoorten[],3,FALSE)*VLOOKUP($T382,Frequenties[],3,FALSE)*VLOOKUP($A382,Locaties[],3,FALSE),0)</f>
        <v>0</v>
      </c>
      <c r="W382" s="434">
        <f>Ruimtestaat[[#This Row],[Uitvoeringen werkdagen]]*Ruimtestaat[[#This Row],[Oppervlak (netto)]]</f>
        <v>1127.5</v>
      </c>
      <c r="X382" s="441">
        <f>IF(V382&gt;0,Ruimtestaat[[#This Row],[Prest. (m2 /jaar) werkdagen]]/Ruimtestaat[[#This Row],[Norm (m2/uur) werkdagen]],0)</f>
        <v>0</v>
      </c>
      <c r="Y382" s="442">
        <f>Ruimtestaat[[#This Row],[Uitvoeringen werkdagen]]*Ruimtestaat[[#This Row],[Gedeeltelijk]]</f>
        <v>0</v>
      </c>
      <c r="Z382" s="443" t="e">
        <f>IF(U382&gt;0,Ruimtestaat[[#This Row],[Prest. (m2 / jaar) werkdagen gedeeld]]/Ruimtestaat[[#This Row],[Norm (m2/uur) werkdagen]],0)</f>
        <v>#DIV/0!</v>
      </c>
      <c r="AA382" s="441" t="e">
        <f>Ruimtestaat[[#This Row],[uren / jaar werkdagen gedeeld]]*Tariefsopbouw!$E$35</f>
        <v>#DIV/0!</v>
      </c>
      <c r="AB382" s="441">
        <f>Ruimtestaat[[#This Row],[Uitvoeringen werkdagen]]*Ruimtestaat[[#This Row],[BSO]]</f>
        <v>0</v>
      </c>
      <c r="AC382" s="443" t="e">
        <f>IF(U382&gt;0,Ruimtestaat[[#This Row],[Prest. (m2 / jaar) werkdagen BSO]]/Ruimtestaat[[#This Row],[Norm (m2/uur) werkdagen]],0)</f>
        <v>#DIV/0!</v>
      </c>
      <c r="AD382" s="443" t="e">
        <f>Ruimtestaat[[#This Row],[uren / jaar werkdagen BSO]]*Tariefsopbouw!$E$35</f>
        <v>#DIV/0!</v>
      </c>
      <c r="AE382" s="444">
        <f>Ruimtestaat[[#This Row],[uren / jaar werkdagen]]*Tariefsopbouw!$E$35</f>
        <v>0</v>
      </c>
      <c r="AF382" s="434"/>
      <c r="AG382" s="434">
        <f>IF(Ruimtestaat[[#This Row],[Frequentie weekend]]&gt;0,VALUE(LEFT(AF382,1))*S382,0)</f>
        <v>0</v>
      </c>
      <c r="AH382" s="445">
        <f>IF($AG382&gt;0,VLOOKUP($J382,Ruimtegroepen[],3,FALSE)*VLOOKUP($L382,Vloersoorten[],3,FALSE)*VLOOKUP($AF382,Frequenties[],3,FALSE)*VLOOKUP(Ruimtestaat[[#This Row],[Code]],Locaties[],3,FALSE),0)</f>
        <v>0</v>
      </c>
      <c r="AI382" s="445">
        <f>Ruimtestaat[[#This Row],[Uitvoeringen weekend]]*Ruimtestaat[[#This Row],[Oppervlak (netto)]]</f>
        <v>0</v>
      </c>
      <c r="AJ382" s="445">
        <f>IF(AH382&gt;0,Ruimtestaat[[#This Row],[Prest. (m2 /jaar) weekend]]/Ruimtestaat[[#This Row],[Norm (m2/uur) weekend]],0)</f>
        <v>0</v>
      </c>
      <c r="AK382" s="444">
        <f>Ruimtestaat[[#This Row],[uren / jaar weekend]]*Tariefsopbouw!$D$40</f>
        <v>0</v>
      </c>
      <c r="AL382" s="441">
        <f>Ruimtestaat[[#This Row],[Prest. (m2 /jaar) weekend]]+Ruimtestaat[[#This Row],[Prest. (m2 /jaar) werkdagen]]</f>
        <v>1127.5</v>
      </c>
      <c r="AM382" s="441">
        <f>Ruimtestaat[[#This Row],[uren / jaar weekend]]+Ruimtestaat[[#This Row],[uren / jaar werkdagen]]</f>
        <v>0</v>
      </c>
      <c r="AN382" s="446">
        <f>Ruimtestaat[[#This Row],[kosten / jaar weekend]]+Ruimtestaat[[#This Row],[kosten / jaar werkdagen]]</f>
        <v>0</v>
      </c>
      <c r="AO382" s="446"/>
      <c r="AP382" s="447" t="str">
        <f>IF(Ruimtestaat[[#This Row],[Frequentie werkdagen]]="","",_xlfn.CONCAT(Ruimtestaat[[#This Row],[Ruimte code]],"-",Ruimtestaat[[#This Row],[Frequentie werkdagen]]," ",Ruimtestaat[[#This Row],[Vloer code]]))</f>
        <v>7-5w T</v>
      </c>
      <c r="AQ382" s="448" t="str">
        <f>_xlfn.IFNA(VLOOKUP($AP382,Programma!$F$3:$G$1101,2,0),"")</f>
        <v>_</v>
      </c>
      <c r="AR382" s="448" t="str">
        <f>_xlfn.IFNA(VLOOKUP($AP382,Programma!$F$3:$H$1101,3,0),"")</f>
        <v>5w</v>
      </c>
      <c r="AS382" s="448" t="str">
        <f>_xlfn.IFNA(VLOOKUP($AP382,Programma!$F$3:$I$1101,4,0),"")</f>
        <v>_</v>
      </c>
      <c r="AT382" s="448" t="str">
        <f>_xlfn.IFNA(VLOOKUP($AP382,Programma!$F$3:$J$1101,5,0),"")</f>
        <v>_</v>
      </c>
      <c r="AU382" s="448" t="str">
        <f>_xlfn.IFNA(VLOOKUP($AP382,Programma!$F$3:$K$1101,6,0),"")</f>
        <v>_</v>
      </c>
      <c r="AV382" s="448" t="str">
        <f>_xlfn.IFNA(VLOOKUP($AP382,Programma!$F$3:$L$1101,7,0),"")</f>
        <v>_</v>
      </c>
      <c r="AW382" s="448" t="str">
        <f>_xlfn.IFNA(VLOOKUP($AP382,Programma!$F$3:$M$1101,8,0),"")</f>
        <v>_</v>
      </c>
      <c r="AX382" s="448" t="str">
        <f>_xlfn.IFNA(VLOOKUP($AP382,Programma!$F$3:$N$1101,9,0),"")</f>
        <v>_</v>
      </c>
      <c r="AY382" s="448" t="str">
        <f>_xlfn.IFNA(VLOOKUP($AP382,Programma!$F$3:$O$1101,10,0),"")</f>
        <v>5w</v>
      </c>
      <c r="AZ382" s="448" t="str">
        <f>_xlfn.IFNA(VLOOKUP($AP382,Programma!$F$3:$P$1101,11,0),"")</f>
        <v>5w</v>
      </c>
      <c r="BA382" s="448" t="str">
        <f>_xlfn.IFNA(VLOOKUP($AP382,Programma!$F$3:$Q$1101,12,0),"")</f>
        <v>1w</v>
      </c>
      <c r="BB382" s="448" t="str">
        <f>_xlfn.IFNA(VLOOKUP($AP382,Programma!$F$3:$R$1101,13,0),"")</f>
        <v>1w</v>
      </c>
      <c r="BC382" s="448" t="str">
        <f>_xlfn.IFNA(VLOOKUP($AP382,Programma!$F$3:$S$1101,14,0),"")</f>
        <v>1m</v>
      </c>
      <c r="BD382" s="448" t="str">
        <f>_xlfn.IFNA(VLOOKUP($AP382,Programma!$F$3:$T$1101,15,0),"")</f>
        <v>2j</v>
      </c>
      <c r="BE382" s="448" t="str">
        <f>_xlfn.IFNA(VLOOKUP($AP382,Programma!$F$3:$U$1101,16,0),"")</f>
        <v>1j</v>
      </c>
      <c r="BF382" s="448" t="str">
        <f>_xlfn.IFNA(VLOOKUP($AP382,Programma!$F$3:$V$1101,17,0),"")</f>
        <v>_</v>
      </c>
      <c r="BG382" s="448" t="str">
        <f>_xlfn.IFNA(VLOOKUP($AP382,Programma!$F$3:$W$1101,18,0),"")</f>
        <v>_</v>
      </c>
      <c r="BH382" s="448" t="str">
        <f>_xlfn.IFNA(VLOOKUP($AP382,Programma!$F$3:$X$1101,19,0),"")</f>
        <v>_</v>
      </c>
      <c r="BI382" s="448" t="str">
        <f>_xlfn.IFNA(VLOOKUP($AP382,Programma!$F$3:$Y$1101,20,0),"")</f>
        <v>_</v>
      </c>
      <c r="BJ382" s="449"/>
      <c r="BK382" s="447" t="str">
        <f>IF(Ruimtestaat[[#This Row],[Frequentie weekend]]="","",_xlfn.CONCAT(Ruimtestaat[[#This Row],[Ruimte code]],"-",Ruimtestaat[[#This Row],[Frequentie weekend]]," ",Ruimtestaat[[#This Row],[Vloer code]]))</f>
        <v/>
      </c>
      <c r="BL382" s="448" t="str">
        <f>_xlfn.IFNA(VLOOKUP($BK382,Programma!$F$3:$G$1101,2,0),"")</f>
        <v/>
      </c>
      <c r="BM382" s="448" t="str">
        <f>_xlfn.IFNA(VLOOKUP($BK382,Programma!$F$3:$H$1101,3,0),"")</f>
        <v/>
      </c>
      <c r="BN382" s="448" t="str">
        <f>_xlfn.IFNA(VLOOKUP($BK382,Programma!$F$3:$I$1101,4,0),"")</f>
        <v/>
      </c>
      <c r="BO382" s="448" t="str">
        <f>_xlfn.IFNA(VLOOKUP($BK382,Programma!$F$3:$J$1101,5,0),"")</f>
        <v/>
      </c>
      <c r="BP382" s="448" t="str">
        <f>_xlfn.IFNA(VLOOKUP($BK382,Programma!$F$3:$K$1101,6,0),"")</f>
        <v/>
      </c>
      <c r="BQ382" s="448" t="str">
        <f>_xlfn.IFNA(VLOOKUP($BK382,Programma!$F$3:$L$1101,7,0),"")</f>
        <v/>
      </c>
      <c r="BR382" s="448" t="str">
        <f>_xlfn.IFNA(VLOOKUP($BK382,Programma!$F$3:$M$1101,8,0),"")</f>
        <v/>
      </c>
      <c r="BS382" s="448" t="str">
        <f>_xlfn.IFNA(VLOOKUP($BK382,Programma!$F$3:$N$1101,9,0),"")</f>
        <v/>
      </c>
      <c r="BT382" s="448" t="str">
        <f>_xlfn.IFNA(VLOOKUP($BK382,Programma!$F$3:$O$1101,10,0),"")</f>
        <v/>
      </c>
      <c r="BU382" s="448" t="str">
        <f>_xlfn.IFNA(VLOOKUP($BK382,Programma!$F$3:$P$1101,11,0),"")</f>
        <v/>
      </c>
      <c r="BV382" s="448" t="str">
        <f>_xlfn.IFNA(VLOOKUP($BK382,Programma!$F$3:$Q$1101,12,0),"")</f>
        <v/>
      </c>
      <c r="BW382" s="448" t="str">
        <f>_xlfn.IFNA(VLOOKUP($BK382,Programma!$F$3:$R$1101,13,0),"")</f>
        <v/>
      </c>
      <c r="BX382" s="448" t="str">
        <f>_xlfn.IFNA(VLOOKUP($BK382,Programma!$F$3:$S$1101,14,0),"")</f>
        <v/>
      </c>
      <c r="BY382" s="448" t="str">
        <f>_xlfn.IFNA(VLOOKUP($BK382,Programma!$F$3:$T$1101,15,0),"")</f>
        <v/>
      </c>
      <c r="BZ382" s="448" t="str">
        <f>_xlfn.IFNA(VLOOKUP($BK382,Programma!$F$3:$U$1101,16,0),"")</f>
        <v/>
      </c>
      <c r="CA382" s="448" t="str">
        <f>_xlfn.IFNA(VLOOKUP($BK382,Programma!$F$3:$V$1101,17,0),"")</f>
        <v/>
      </c>
      <c r="CB382" s="448" t="str">
        <f>_xlfn.IFNA(VLOOKUP($BK382,Programma!$F$3:$W$1101,18,0),"")</f>
        <v/>
      </c>
      <c r="CC382" s="448" t="str">
        <f>_xlfn.IFNA(VLOOKUP($BK382,Programma!$F$3:$X$1101,19,0),"")</f>
        <v/>
      </c>
      <c r="CD382" s="448" t="str">
        <f>_xlfn.IFNA(VLOOKUP($BK382,Programma!$F$3:$Y$1101,20,0),"")</f>
        <v/>
      </c>
      <c r="CE382" s="327"/>
      <c r="CF382" s="327"/>
      <c r="CG382" s="327"/>
      <c r="CH382" s="327"/>
      <c r="CI382" s="327"/>
      <c r="CJ382" s="327"/>
      <c r="CK382" s="327"/>
      <c r="CL382" s="327"/>
      <c r="CM382" s="327"/>
      <c r="CN382" s="327"/>
      <c r="CO382" s="327"/>
      <c r="CP382" s="327"/>
      <c r="CQ382" s="327"/>
      <c r="CR382" s="327"/>
      <c r="CS382" s="327"/>
      <c r="CT382" s="327"/>
      <c r="CU382" s="327"/>
      <c r="CV382" s="327"/>
      <c r="CW382" s="327"/>
      <c r="CX382" s="327"/>
      <c r="CY382" s="327"/>
      <c r="CZ382" s="327"/>
      <c r="DA382" s="327"/>
      <c r="DB382" s="327"/>
      <c r="DC382" s="327"/>
      <c r="DD382" s="327"/>
      <c r="DE382" s="327"/>
      <c r="DF382" s="327"/>
      <c r="DG382" s="327"/>
      <c r="DH382" s="327"/>
      <c r="DI382" s="327"/>
      <c r="DJ382" s="327"/>
      <c r="DK382" s="327"/>
      <c r="DL382" s="327"/>
      <c r="DM382" s="327"/>
      <c r="DN382" s="327"/>
      <c r="DO382" s="327"/>
      <c r="DP382" s="327"/>
      <c r="DQ382" s="327"/>
      <c r="DR382" s="327"/>
      <c r="DS382" s="327"/>
      <c r="DT382" s="327"/>
      <c r="DU382" s="327"/>
      <c r="DV382" s="327"/>
      <c r="DW382" s="327"/>
      <c r="DX382" s="327"/>
      <c r="DY382" s="327"/>
      <c r="DZ382" s="327"/>
      <c r="EA382" s="327"/>
      <c r="EB382" s="327"/>
      <c r="EC382" s="327"/>
      <c r="ED382" s="327"/>
      <c r="EE382" s="327"/>
      <c r="EF382" s="327"/>
      <c r="EG382" s="327"/>
      <c r="EH382" s="327"/>
      <c r="EI382" s="327"/>
      <c r="EJ382" s="327"/>
      <c r="EK382" s="327"/>
      <c r="EL382" s="327"/>
      <c r="EM382" s="327"/>
      <c r="EN382" s="327"/>
      <c r="EO382" s="327"/>
      <c r="EP382" s="327"/>
      <c r="EQ382" s="327"/>
      <c r="ER382" s="327"/>
      <c r="ES382" s="327"/>
      <c r="ET382" s="327"/>
      <c r="EU382" s="327"/>
      <c r="EV382" s="327"/>
      <c r="EW382" s="327"/>
      <c r="EX382" s="327"/>
      <c r="EY382" s="327"/>
      <c r="EZ382" s="327"/>
      <c r="FA382" s="327"/>
      <c r="FB382" s="327"/>
      <c r="FC382" s="327"/>
      <c r="FD382" s="327"/>
      <c r="FE382" s="327"/>
      <c r="FF382" s="327"/>
      <c r="FG382" s="327"/>
      <c r="FH382" s="327"/>
      <c r="FI382" s="327"/>
      <c r="FJ382" s="327"/>
      <c r="FK382" s="327"/>
      <c r="FL382" s="327"/>
      <c r="FM382" s="327"/>
      <c r="FN382" s="327"/>
      <c r="FO382" s="327"/>
      <c r="FP382" s="327"/>
      <c r="FQ382" s="327"/>
      <c r="FR382" s="327"/>
      <c r="FS382" s="327"/>
      <c r="FT382" s="327"/>
      <c r="FU382" s="327"/>
      <c r="FV382" s="327"/>
      <c r="FW382" s="327"/>
      <c r="FX382" s="327"/>
      <c r="FY382" s="327"/>
      <c r="FZ382" s="327"/>
      <c r="GA382" s="327"/>
      <c r="GB382" s="327"/>
      <c r="GC382" s="327"/>
      <c r="GD382" s="327"/>
      <c r="GE382" s="327"/>
      <c r="GF382" s="327"/>
      <c r="GG382" s="327"/>
      <c r="GH382" s="327"/>
      <c r="GI382" s="327"/>
      <c r="GJ382" s="327"/>
      <c r="GK382" s="327"/>
      <c r="GL382" s="327"/>
      <c r="GM382" s="327"/>
      <c r="GN382" s="327"/>
      <c r="GO382" s="327"/>
      <c r="GP382" s="327"/>
      <c r="GQ382" s="327"/>
      <c r="GR382" s="327"/>
      <c r="GS382" s="327"/>
      <c r="GT382" s="327"/>
      <c r="GU382" s="327"/>
      <c r="GV382" s="327"/>
      <c r="GW382" s="327"/>
      <c r="GX382" s="327"/>
      <c r="GY382" s="327"/>
      <c r="GZ382" s="327"/>
      <c r="HA382" s="327"/>
      <c r="HB382" s="327"/>
      <c r="HC382" s="327"/>
      <c r="HD382" s="327"/>
      <c r="HE382" s="327"/>
      <c r="HF382" s="327"/>
      <c r="HG382" s="327"/>
      <c r="HH382" s="327"/>
      <c r="HI382" s="327"/>
      <c r="HJ382" s="327"/>
      <c r="HK382" s="327"/>
      <c r="HL382" s="327"/>
      <c r="HM382" s="327"/>
      <c r="HN382" s="327"/>
      <c r="HO382" s="327"/>
      <c r="HP382" s="327"/>
      <c r="HQ382" s="327"/>
      <c r="HR382" s="327"/>
      <c r="HS382" s="327"/>
    </row>
    <row r="383" spans="1:227" ht="15" customHeight="1">
      <c r="A383" s="327">
        <v>17</v>
      </c>
      <c r="B383" s="435" t="str">
        <f>VLOOKUP(Ruimtestaat[[#This Row],[Code]],Locaties[[Code]:[Locatie]],2,FALSE)</f>
        <v>IKC de Tjalk Kadelaan 208 (bijgebouw)</v>
      </c>
      <c r="C383" s="435" t="str">
        <f>VLOOKUP(Ruimtestaat[[#This Row],[Code]],Locaties[[#All],[Code]:[Adres]],4,FALSE)</f>
        <v>Kadelaan 208</v>
      </c>
      <c r="D383" s="435" t="str">
        <f>VLOOKUP(Ruimtestaat[[#This Row],[Code]],Locaties[[#All],[Code]:[Postcode]],5,FALSE)</f>
        <v>2725 BR</v>
      </c>
      <c r="E383" s="435" t="str">
        <f>VLOOKUP(Ruimtestaat[[#This Row],[Code]],Locaties[#All],6,FALSE)</f>
        <v>Zoetermeer</v>
      </c>
      <c r="F383" s="450"/>
      <c r="G383" s="330" t="s">
        <v>1678</v>
      </c>
      <c r="H383" s="330">
        <v>60</v>
      </c>
      <c r="I383" s="450" t="s">
        <v>1842</v>
      </c>
      <c r="J383" s="330">
        <v>16</v>
      </c>
      <c r="K383" s="450" t="str">
        <f>VLOOKUP(Ruimtestaat[[#This Row],[Ruimte code]],Ruimtegroepen[[#All],[Code]:[Ruimte omschrijving]],2,FALSE)</f>
        <v>Leslokalen</v>
      </c>
      <c r="L383" s="330" t="s">
        <v>101</v>
      </c>
      <c r="M383" s="437" t="s">
        <v>1816</v>
      </c>
      <c r="N383" s="439">
        <v>54.2</v>
      </c>
      <c r="O383" s="439"/>
      <c r="P383" s="439"/>
      <c r="Q383" s="439"/>
      <c r="R383" s="440" t="str">
        <f>VLOOKUP(Ruimtestaat[[#This Row],[Ruimte code]],Ruimtegroepen[],4,FALSE)</f>
        <v>Le</v>
      </c>
      <c r="S383" s="434">
        <v>40</v>
      </c>
      <c r="T383" s="434" t="s">
        <v>2</v>
      </c>
      <c r="U383" s="434">
        <f>IF(S383&gt;0,IF(RIGHT(Ruimtestaat[[#This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3" s="434">
        <f>IF(U383&gt;0,VLOOKUP($J383,Ruimtegroepen[],3,FALSE)*VLOOKUP($L383,Vloersoorten[],3,FALSE)*VLOOKUP($T383,Frequenties[],3,FALSE)*VLOOKUP($A383,Locaties[],3,FALSE),0)</f>
        <v>0</v>
      </c>
      <c r="W383" s="434">
        <f>Ruimtestaat[[#This Row],[Uitvoeringen werkdagen]]*Ruimtestaat[[#This Row],[Oppervlak (netto)]]</f>
        <v>10840</v>
      </c>
      <c r="X383" s="441">
        <f>IF(V383&gt;0,Ruimtestaat[[#This Row],[Prest. (m2 /jaar) werkdagen]]/Ruimtestaat[[#This Row],[Norm (m2/uur) werkdagen]],0)</f>
        <v>0</v>
      </c>
      <c r="Y383" s="442">
        <f>Ruimtestaat[[#This Row],[Uitvoeringen werkdagen]]*Ruimtestaat[[#This Row],[Gedeeltelijk]]</f>
        <v>0</v>
      </c>
      <c r="Z383" s="443" t="e">
        <f>IF(U383&gt;0,Ruimtestaat[[#This Row],[Prest. (m2 / jaar) werkdagen gedeeld]]/Ruimtestaat[[#This Row],[Norm (m2/uur) werkdagen]],0)</f>
        <v>#DIV/0!</v>
      </c>
      <c r="AA383" s="441" t="e">
        <f>Ruimtestaat[[#This Row],[uren / jaar werkdagen gedeeld]]*Tariefsopbouw!$E$35</f>
        <v>#DIV/0!</v>
      </c>
      <c r="AB383" s="441">
        <f>Ruimtestaat[[#This Row],[Uitvoeringen werkdagen]]*Ruimtestaat[[#This Row],[BSO]]</f>
        <v>0</v>
      </c>
      <c r="AC383" s="443" t="e">
        <f>IF(U383&gt;0,Ruimtestaat[[#This Row],[Prest. (m2 / jaar) werkdagen BSO]]/Ruimtestaat[[#This Row],[Norm (m2/uur) werkdagen]],0)</f>
        <v>#DIV/0!</v>
      </c>
      <c r="AD383" s="443" t="e">
        <f>Ruimtestaat[[#This Row],[uren / jaar werkdagen BSO]]*Tariefsopbouw!$E$35</f>
        <v>#DIV/0!</v>
      </c>
      <c r="AE383" s="444">
        <f>Ruimtestaat[[#This Row],[uren / jaar werkdagen]]*Tariefsopbouw!$E$35</f>
        <v>0</v>
      </c>
      <c r="AF383" s="434"/>
      <c r="AG383" s="434">
        <f>IF(Ruimtestaat[[#This Row],[Frequentie weekend]]&gt;0,VALUE(LEFT(AF383,1))*S383,0)</f>
        <v>0</v>
      </c>
      <c r="AH383" s="445">
        <f>IF($AG383&gt;0,VLOOKUP($J383,Ruimtegroepen[],3,FALSE)*VLOOKUP($L383,Vloersoorten[],3,FALSE)*VLOOKUP($AF383,Frequenties[],3,FALSE)*VLOOKUP(Ruimtestaat[[#This Row],[Code]],Locaties[],3,FALSE),0)</f>
        <v>0</v>
      </c>
      <c r="AI383" s="445">
        <f>Ruimtestaat[[#This Row],[Uitvoeringen weekend]]*Ruimtestaat[[#This Row],[Oppervlak (netto)]]</f>
        <v>0</v>
      </c>
      <c r="AJ383" s="445">
        <f>IF(AH383&gt;0,Ruimtestaat[[#This Row],[Prest. (m2 /jaar) weekend]]/Ruimtestaat[[#This Row],[Norm (m2/uur) weekend]],0)</f>
        <v>0</v>
      </c>
      <c r="AK383" s="444">
        <f>Ruimtestaat[[#This Row],[uren / jaar weekend]]*Tariefsopbouw!$D$40</f>
        <v>0</v>
      </c>
      <c r="AL383" s="441">
        <f>Ruimtestaat[[#This Row],[Prest. (m2 /jaar) weekend]]+Ruimtestaat[[#This Row],[Prest. (m2 /jaar) werkdagen]]</f>
        <v>10840</v>
      </c>
      <c r="AM383" s="441">
        <f>Ruimtestaat[[#This Row],[uren / jaar weekend]]+Ruimtestaat[[#This Row],[uren / jaar werkdagen]]</f>
        <v>0</v>
      </c>
      <c r="AN383" s="446">
        <f>Ruimtestaat[[#This Row],[kosten / jaar weekend]]+Ruimtestaat[[#This Row],[kosten / jaar werkdagen]]</f>
        <v>0</v>
      </c>
      <c r="AO383" s="446"/>
      <c r="AP383" s="447" t="str">
        <f>IF(Ruimtestaat[[#This Row],[Frequentie werkdagen]]="","",_xlfn.CONCAT(Ruimtestaat[[#This Row],[Ruimte code]],"-",Ruimtestaat[[#This Row],[Frequentie werkdagen]]," ",Ruimtestaat[[#This Row],[Vloer code]]))</f>
        <v>16-5w S</v>
      </c>
      <c r="AQ383" s="448" t="str">
        <f>_xlfn.IFNA(VLOOKUP($AP383,Programma!$F$3:$G$1101,2,0),"")</f>
        <v>_</v>
      </c>
      <c r="AR383" s="448" t="str">
        <f>_xlfn.IFNA(VLOOKUP($AP383,Programma!$F$3:$H$1101,3,0),"")</f>
        <v>_</v>
      </c>
      <c r="AS383" s="448" t="str">
        <f>_xlfn.IFNA(VLOOKUP($AP383,Programma!$F$3:$I$1101,4,0),"")</f>
        <v>4w</v>
      </c>
      <c r="AT383" s="448" t="str">
        <f>_xlfn.IFNA(VLOOKUP($AP383,Programma!$F$3:$J$1101,5,0),"")</f>
        <v>1w</v>
      </c>
      <c r="AU383" s="448" t="str">
        <f>_xlfn.IFNA(VLOOKUP($AP383,Programma!$F$3:$K$1101,6,0),"")</f>
        <v>1m</v>
      </c>
      <c r="AV383" s="448" t="str">
        <f>_xlfn.IFNA(VLOOKUP($AP383,Programma!$F$3:$L$1101,7,0),"")</f>
        <v>_</v>
      </c>
      <c r="AW383" s="448" t="str">
        <f>_xlfn.IFNA(VLOOKUP($AP383,Programma!$F$3:$M$1101,8,0),"")</f>
        <v>_</v>
      </c>
      <c r="AX383" s="448" t="str">
        <f>_xlfn.IFNA(VLOOKUP($AP383,Programma!$F$3:$N$1101,9,0),"")</f>
        <v>_</v>
      </c>
      <c r="AY383" s="448" t="str">
        <f>_xlfn.IFNA(VLOOKUP($AP383,Programma!$F$3:$O$1101,10,0),"")</f>
        <v>5w</v>
      </c>
      <c r="AZ383" s="448" t="str">
        <f>_xlfn.IFNA(VLOOKUP($AP383,Programma!$F$3:$P$1101,11,0),"")</f>
        <v>5w</v>
      </c>
      <c r="BA383" s="448" t="str">
        <f>_xlfn.IFNA(VLOOKUP($AP383,Programma!$F$3:$Q$1101,12,0),"")</f>
        <v>1w</v>
      </c>
      <c r="BB383" s="448" t="str">
        <f>_xlfn.IFNA(VLOOKUP($AP383,Programma!$F$3:$R$1101,13,0),"")</f>
        <v>1w</v>
      </c>
      <c r="BC383" s="448" t="str">
        <f>_xlfn.IFNA(VLOOKUP($AP383,Programma!$F$3:$S$1101,14,0),"")</f>
        <v>1m</v>
      </c>
      <c r="BD383" s="448" t="str">
        <f>_xlfn.IFNA(VLOOKUP($AP383,Programma!$F$3:$T$1101,15,0),"")</f>
        <v>2j</v>
      </c>
      <c r="BE383" s="448" t="str">
        <f>_xlfn.IFNA(VLOOKUP($AP383,Programma!$F$3:$U$1101,16,0),"")</f>
        <v>1j</v>
      </c>
      <c r="BF383" s="448" t="str">
        <f>_xlfn.IFNA(VLOOKUP($AP383,Programma!$F$3:$V$1101,17,0),"")</f>
        <v>_</v>
      </c>
      <c r="BG383" s="448" t="str">
        <f>_xlfn.IFNA(VLOOKUP($AP383,Programma!$F$3:$W$1101,18,0),"")</f>
        <v>_</v>
      </c>
      <c r="BH383" s="448" t="str">
        <f>_xlfn.IFNA(VLOOKUP($AP383,Programma!$F$3:$X$1101,19,0),"")</f>
        <v>_</v>
      </c>
      <c r="BI383" s="448" t="str">
        <f>_xlfn.IFNA(VLOOKUP($AP383,Programma!$F$3:$Y$1101,20,0),"")</f>
        <v>_</v>
      </c>
      <c r="BJ383" s="449"/>
      <c r="BK383" s="447" t="str">
        <f>IF(Ruimtestaat[[#This Row],[Frequentie weekend]]="","",_xlfn.CONCAT(Ruimtestaat[[#This Row],[Ruimte code]],"-",Ruimtestaat[[#This Row],[Frequentie weekend]]," ",Ruimtestaat[[#This Row],[Vloer code]]))</f>
        <v/>
      </c>
      <c r="BL383" s="448" t="str">
        <f>_xlfn.IFNA(VLOOKUP($BK383,Programma!$F$3:$G$1101,2,0),"")</f>
        <v/>
      </c>
      <c r="BM383" s="448" t="str">
        <f>_xlfn.IFNA(VLOOKUP($BK383,Programma!$F$3:$H$1101,3,0),"")</f>
        <v/>
      </c>
      <c r="BN383" s="448" t="str">
        <f>_xlfn.IFNA(VLOOKUP($BK383,Programma!$F$3:$I$1101,4,0),"")</f>
        <v/>
      </c>
      <c r="BO383" s="448" t="str">
        <f>_xlfn.IFNA(VLOOKUP($BK383,Programma!$F$3:$J$1101,5,0),"")</f>
        <v/>
      </c>
      <c r="BP383" s="448" t="str">
        <f>_xlfn.IFNA(VLOOKUP($BK383,Programma!$F$3:$K$1101,6,0),"")</f>
        <v/>
      </c>
      <c r="BQ383" s="448" t="str">
        <f>_xlfn.IFNA(VLOOKUP($BK383,Programma!$F$3:$L$1101,7,0),"")</f>
        <v/>
      </c>
      <c r="BR383" s="448" t="str">
        <f>_xlfn.IFNA(VLOOKUP($BK383,Programma!$F$3:$M$1101,8,0),"")</f>
        <v/>
      </c>
      <c r="BS383" s="448" t="str">
        <f>_xlfn.IFNA(VLOOKUP($BK383,Programma!$F$3:$N$1101,9,0),"")</f>
        <v/>
      </c>
      <c r="BT383" s="448" t="str">
        <f>_xlfn.IFNA(VLOOKUP($BK383,Programma!$F$3:$O$1101,10,0),"")</f>
        <v/>
      </c>
      <c r="BU383" s="448" t="str">
        <f>_xlfn.IFNA(VLOOKUP($BK383,Programma!$F$3:$P$1101,11,0),"")</f>
        <v/>
      </c>
      <c r="BV383" s="448" t="str">
        <f>_xlfn.IFNA(VLOOKUP($BK383,Programma!$F$3:$Q$1101,12,0),"")</f>
        <v/>
      </c>
      <c r="BW383" s="448" t="str">
        <f>_xlfn.IFNA(VLOOKUP($BK383,Programma!$F$3:$R$1101,13,0),"")</f>
        <v/>
      </c>
      <c r="BX383" s="448" t="str">
        <f>_xlfn.IFNA(VLOOKUP($BK383,Programma!$F$3:$S$1101,14,0),"")</f>
        <v/>
      </c>
      <c r="BY383" s="448" t="str">
        <f>_xlfn.IFNA(VLOOKUP($BK383,Programma!$F$3:$T$1101,15,0),"")</f>
        <v/>
      </c>
      <c r="BZ383" s="448" t="str">
        <f>_xlfn.IFNA(VLOOKUP($BK383,Programma!$F$3:$U$1101,16,0),"")</f>
        <v/>
      </c>
      <c r="CA383" s="448" t="str">
        <f>_xlfn.IFNA(VLOOKUP($BK383,Programma!$F$3:$V$1101,17,0),"")</f>
        <v/>
      </c>
      <c r="CB383" s="448" t="str">
        <f>_xlfn.IFNA(VLOOKUP($BK383,Programma!$F$3:$W$1101,18,0),"")</f>
        <v/>
      </c>
      <c r="CC383" s="448" t="str">
        <f>_xlfn.IFNA(VLOOKUP($BK383,Programma!$F$3:$X$1101,19,0),"")</f>
        <v/>
      </c>
      <c r="CD383" s="448" t="str">
        <f>_xlfn.IFNA(VLOOKUP($BK383,Programma!$F$3:$Y$1101,20,0),"")</f>
        <v/>
      </c>
      <c r="CE383" s="327"/>
      <c r="CF383" s="327"/>
      <c r="CG383" s="327"/>
      <c r="CH383" s="327"/>
      <c r="CI383" s="327"/>
      <c r="CJ383" s="327"/>
      <c r="CK383" s="327"/>
      <c r="CL383" s="327"/>
      <c r="CM383" s="327"/>
      <c r="CN383" s="327"/>
      <c r="CO383" s="327"/>
      <c r="CP383" s="327"/>
      <c r="CQ383" s="327"/>
      <c r="CR383" s="327"/>
      <c r="CS383" s="327"/>
      <c r="CT383" s="327"/>
      <c r="CU383" s="327"/>
      <c r="CV383" s="327"/>
      <c r="CW383" s="327"/>
      <c r="CX383" s="327"/>
      <c r="CY383" s="327"/>
      <c r="CZ383" s="327"/>
      <c r="DA383" s="327"/>
      <c r="DB383" s="327"/>
      <c r="DC383" s="327"/>
      <c r="DD383" s="327"/>
      <c r="DE383" s="327"/>
      <c r="DF383" s="327"/>
      <c r="DG383" s="327"/>
      <c r="DH383" s="327"/>
      <c r="DI383" s="327"/>
      <c r="DJ383" s="327"/>
      <c r="DK383" s="327"/>
      <c r="DL383" s="327"/>
      <c r="DM383" s="327"/>
      <c r="DN383" s="327"/>
      <c r="DO383" s="327"/>
      <c r="DP383" s="327"/>
      <c r="DQ383" s="327"/>
      <c r="DR383" s="327"/>
      <c r="DS383" s="327"/>
      <c r="DT383" s="327"/>
      <c r="DU383" s="327"/>
      <c r="DV383" s="327"/>
      <c r="DW383" s="327"/>
      <c r="DX383" s="327"/>
      <c r="DY383" s="327"/>
      <c r="DZ383" s="327"/>
      <c r="EA383" s="327"/>
      <c r="EB383" s="327"/>
      <c r="EC383" s="327"/>
      <c r="ED383" s="327"/>
      <c r="EE383" s="327"/>
      <c r="EF383" s="327"/>
      <c r="EG383" s="327"/>
      <c r="EH383" s="327"/>
      <c r="EI383" s="327"/>
      <c r="EJ383" s="327"/>
      <c r="EK383" s="327"/>
      <c r="EL383" s="327"/>
      <c r="EM383" s="327"/>
      <c r="EN383" s="327"/>
      <c r="EO383" s="327"/>
      <c r="EP383" s="327"/>
      <c r="EQ383" s="327"/>
      <c r="ER383" s="327"/>
      <c r="ES383" s="327"/>
      <c r="ET383" s="327"/>
      <c r="EU383" s="327"/>
      <c r="EV383" s="327"/>
      <c r="EW383" s="327"/>
      <c r="EX383" s="327"/>
      <c r="EY383" s="327"/>
      <c r="EZ383" s="327"/>
      <c r="FA383" s="327"/>
      <c r="FB383" s="327"/>
      <c r="FC383" s="327"/>
      <c r="FD383" s="327"/>
      <c r="FE383" s="327"/>
      <c r="FF383" s="327"/>
      <c r="FG383" s="327"/>
      <c r="FH383" s="327"/>
      <c r="FI383" s="327"/>
      <c r="FJ383" s="327"/>
      <c r="FK383" s="327"/>
      <c r="FL383" s="327"/>
      <c r="FM383" s="327"/>
      <c r="FN383" s="327"/>
      <c r="FO383" s="327"/>
      <c r="FP383" s="327"/>
      <c r="FQ383" s="327"/>
      <c r="FR383" s="327"/>
      <c r="FS383" s="327"/>
      <c r="FT383" s="327"/>
      <c r="FU383" s="327"/>
      <c r="FV383" s="327"/>
      <c r="FW383" s="327"/>
      <c r="FX383" s="327"/>
      <c r="FY383" s="327"/>
      <c r="FZ383" s="327"/>
      <c r="GA383" s="327"/>
      <c r="GB383" s="327"/>
      <c r="GC383" s="327"/>
      <c r="GD383" s="327"/>
      <c r="GE383" s="327"/>
      <c r="GF383" s="327"/>
      <c r="GG383" s="327"/>
      <c r="GH383" s="327"/>
      <c r="GI383" s="327"/>
      <c r="GJ383" s="327"/>
      <c r="GK383" s="327"/>
      <c r="GL383" s="327"/>
      <c r="GM383" s="327"/>
      <c r="GN383" s="327"/>
      <c r="GO383" s="327"/>
      <c r="GP383" s="327"/>
      <c r="GQ383" s="327"/>
      <c r="GR383" s="327"/>
      <c r="GS383" s="327"/>
      <c r="GT383" s="327"/>
      <c r="GU383" s="327"/>
      <c r="GV383" s="327"/>
      <c r="GW383" s="327"/>
      <c r="GX383" s="327"/>
      <c r="GY383" s="327"/>
      <c r="GZ383" s="327"/>
      <c r="HA383" s="327"/>
      <c r="HB383" s="327"/>
      <c r="HC383" s="327"/>
      <c r="HD383" s="327"/>
      <c r="HE383" s="327"/>
      <c r="HF383" s="327"/>
      <c r="HG383" s="327"/>
      <c r="HH383" s="327"/>
      <c r="HI383" s="327"/>
      <c r="HJ383" s="327"/>
      <c r="HK383" s="327"/>
      <c r="HL383" s="327"/>
      <c r="HM383" s="327"/>
      <c r="HN383" s="327"/>
      <c r="HO383" s="327"/>
      <c r="HP383" s="327"/>
      <c r="HQ383" s="327"/>
      <c r="HR383" s="327"/>
      <c r="HS383" s="327"/>
    </row>
    <row r="384" spans="1:227" ht="15" customHeight="1">
      <c r="A384" s="327">
        <v>17</v>
      </c>
      <c r="B384" s="435" t="str">
        <f>VLOOKUP(Ruimtestaat[[#This Row],[Code]],Locaties[[Code]:[Locatie]],2,FALSE)</f>
        <v>IKC de Tjalk Kadelaan 208 (bijgebouw)</v>
      </c>
      <c r="C384" s="435" t="str">
        <f>VLOOKUP(Ruimtestaat[[#This Row],[Code]],Locaties[[#All],[Code]:[Adres]],4,FALSE)</f>
        <v>Kadelaan 208</v>
      </c>
      <c r="D384" s="435" t="str">
        <f>VLOOKUP(Ruimtestaat[[#This Row],[Code]],Locaties[[#All],[Code]:[Postcode]],5,FALSE)</f>
        <v>2725 BR</v>
      </c>
      <c r="E384" s="435" t="str">
        <f>VLOOKUP(Ruimtestaat[[#This Row],[Code]],Locaties[#All],6,FALSE)</f>
        <v>Zoetermeer</v>
      </c>
      <c r="F384" s="450"/>
      <c r="G384" s="330" t="s">
        <v>1678</v>
      </c>
      <c r="H384" s="330">
        <v>61</v>
      </c>
      <c r="I384" s="450" t="s">
        <v>1724</v>
      </c>
      <c r="J384" s="330">
        <v>1</v>
      </c>
      <c r="K384" s="450" t="str">
        <f>VLOOKUP(Ruimtestaat[[#This Row],[Ruimte code]],Ruimtegroepen[[#All],[Code]:[Ruimte omschrijving]],2,FALSE)</f>
        <v>Magazijnen/bergingen</v>
      </c>
      <c r="L384" s="330" t="s">
        <v>101</v>
      </c>
      <c r="M384" s="437" t="s">
        <v>1816</v>
      </c>
      <c r="N384" s="439">
        <v>5.87</v>
      </c>
      <c r="O384" s="439"/>
      <c r="P384" s="439"/>
      <c r="Q384" s="439"/>
      <c r="R384" s="440" t="str">
        <f>VLOOKUP(Ruimtestaat[[#This Row],[Ruimte code]],Ruimtegroepen[],4,FALSE)</f>
        <v>Ve</v>
      </c>
      <c r="S384" s="434">
        <v>40</v>
      </c>
      <c r="T384" s="434" t="s">
        <v>2</v>
      </c>
      <c r="U384" s="434">
        <f>IF(S384&gt;0,IF(RIGHT(Ruimtestaat[[#This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4" s="434">
        <f>IF(U384&gt;0,VLOOKUP($J384,Ruimtegroepen[],3,FALSE)*VLOOKUP($L384,Vloersoorten[],3,FALSE)*VLOOKUP($T384,Frequenties[],3,FALSE)*VLOOKUP($A384,Locaties[],3,FALSE),0)</f>
        <v>0</v>
      </c>
      <c r="W384" s="434">
        <f>Ruimtestaat[[#This Row],[Uitvoeringen werkdagen]]*Ruimtestaat[[#This Row],[Oppervlak (netto)]]</f>
        <v>1174</v>
      </c>
      <c r="X384" s="441">
        <f>IF(V384&gt;0,Ruimtestaat[[#This Row],[Prest. (m2 /jaar) werkdagen]]/Ruimtestaat[[#This Row],[Norm (m2/uur) werkdagen]],0)</f>
        <v>0</v>
      </c>
      <c r="Y384" s="442">
        <f>Ruimtestaat[[#This Row],[Uitvoeringen werkdagen]]*Ruimtestaat[[#This Row],[Gedeeltelijk]]</f>
        <v>0</v>
      </c>
      <c r="Z384" s="443" t="e">
        <f>IF(U384&gt;0,Ruimtestaat[[#This Row],[Prest. (m2 / jaar) werkdagen gedeeld]]/Ruimtestaat[[#This Row],[Norm (m2/uur) werkdagen]],0)</f>
        <v>#DIV/0!</v>
      </c>
      <c r="AA384" s="441" t="e">
        <f>Ruimtestaat[[#This Row],[uren / jaar werkdagen gedeeld]]*Tariefsopbouw!$E$35</f>
        <v>#DIV/0!</v>
      </c>
      <c r="AB384" s="441">
        <f>Ruimtestaat[[#This Row],[Uitvoeringen werkdagen]]*Ruimtestaat[[#This Row],[BSO]]</f>
        <v>0</v>
      </c>
      <c r="AC384" s="443" t="e">
        <f>IF(U384&gt;0,Ruimtestaat[[#This Row],[Prest. (m2 / jaar) werkdagen BSO]]/Ruimtestaat[[#This Row],[Norm (m2/uur) werkdagen]],0)</f>
        <v>#DIV/0!</v>
      </c>
      <c r="AD384" s="443" t="e">
        <f>Ruimtestaat[[#This Row],[uren / jaar werkdagen BSO]]*Tariefsopbouw!$E$35</f>
        <v>#DIV/0!</v>
      </c>
      <c r="AE384" s="444">
        <f>Ruimtestaat[[#This Row],[uren / jaar werkdagen]]*Tariefsopbouw!$E$35</f>
        <v>0</v>
      </c>
      <c r="AF384" s="434"/>
      <c r="AG384" s="434">
        <f>IF(Ruimtestaat[[#This Row],[Frequentie weekend]]&gt;0,VALUE(LEFT(AF384,1))*S384,0)</f>
        <v>0</v>
      </c>
      <c r="AH384" s="445">
        <f>IF($AG384&gt;0,VLOOKUP($J384,Ruimtegroepen[],3,FALSE)*VLOOKUP($L384,Vloersoorten[],3,FALSE)*VLOOKUP($AF384,Frequenties[],3,FALSE)*VLOOKUP(Ruimtestaat[[#This Row],[Code]],Locaties[],3,FALSE),0)</f>
        <v>0</v>
      </c>
      <c r="AI384" s="445">
        <f>Ruimtestaat[[#This Row],[Uitvoeringen weekend]]*Ruimtestaat[[#This Row],[Oppervlak (netto)]]</f>
        <v>0</v>
      </c>
      <c r="AJ384" s="445">
        <f>IF(AH384&gt;0,Ruimtestaat[[#This Row],[Prest. (m2 /jaar) weekend]]/Ruimtestaat[[#This Row],[Norm (m2/uur) weekend]],0)</f>
        <v>0</v>
      </c>
      <c r="AK384" s="444">
        <f>Ruimtestaat[[#This Row],[uren / jaar weekend]]*Tariefsopbouw!$D$40</f>
        <v>0</v>
      </c>
      <c r="AL384" s="441">
        <f>Ruimtestaat[[#This Row],[Prest. (m2 /jaar) weekend]]+Ruimtestaat[[#This Row],[Prest. (m2 /jaar) werkdagen]]</f>
        <v>1174</v>
      </c>
      <c r="AM384" s="441">
        <f>Ruimtestaat[[#This Row],[uren / jaar weekend]]+Ruimtestaat[[#This Row],[uren / jaar werkdagen]]</f>
        <v>0</v>
      </c>
      <c r="AN384" s="446">
        <f>Ruimtestaat[[#This Row],[kosten / jaar weekend]]+Ruimtestaat[[#This Row],[kosten / jaar werkdagen]]</f>
        <v>0</v>
      </c>
      <c r="AO384" s="446"/>
      <c r="AP384" s="447" t="str">
        <f>IF(Ruimtestaat[[#This Row],[Frequentie werkdagen]]="","",_xlfn.CONCAT(Ruimtestaat[[#This Row],[Ruimte code]],"-",Ruimtestaat[[#This Row],[Frequentie werkdagen]]," ",Ruimtestaat[[#This Row],[Vloer code]]))</f>
        <v>1-5w S</v>
      </c>
      <c r="AQ384" s="448" t="str">
        <f>_xlfn.IFNA(VLOOKUP($AP384,Programma!$F$3:$G$1101,2,0),"")</f>
        <v>_</v>
      </c>
      <c r="AR384" s="448" t="str">
        <f>_xlfn.IFNA(VLOOKUP($AP384,Programma!$F$3:$H$1101,3,0),"")</f>
        <v>_</v>
      </c>
      <c r="AS384" s="448" t="str">
        <f>_xlfn.IFNA(VLOOKUP($AP384,Programma!$F$3:$I$1101,4,0),"")</f>
        <v>4w</v>
      </c>
      <c r="AT384" s="448" t="str">
        <f>_xlfn.IFNA(VLOOKUP($AP384,Programma!$F$3:$J$1101,5,0),"")</f>
        <v>1w</v>
      </c>
      <c r="AU384" s="448" t="str">
        <f>_xlfn.IFNA(VLOOKUP($AP384,Programma!$F$3:$K$1101,6,0),"")</f>
        <v>1j</v>
      </c>
      <c r="AV384" s="448" t="str">
        <f>_xlfn.IFNA(VLOOKUP($AP384,Programma!$F$3:$L$1101,7,0),"")</f>
        <v>_</v>
      </c>
      <c r="AW384" s="448" t="str">
        <f>_xlfn.IFNA(VLOOKUP($AP384,Programma!$F$3:$M$1101,8,0),"")</f>
        <v>_</v>
      </c>
      <c r="AX384" s="448" t="str">
        <f>_xlfn.IFNA(VLOOKUP($AP384,Programma!$F$3:$N$1101,9,0),"")</f>
        <v>_</v>
      </c>
      <c r="AY384" s="448" t="str">
        <f>_xlfn.IFNA(VLOOKUP($AP384,Programma!$F$3:$O$1101,10,0),"")</f>
        <v>_</v>
      </c>
      <c r="AZ384" s="448" t="str">
        <f>_xlfn.IFNA(VLOOKUP($AP384,Programma!$F$3:$P$1101,11,0),"")</f>
        <v>_</v>
      </c>
      <c r="BA384" s="448" t="str">
        <f>_xlfn.IFNA(VLOOKUP($AP384,Programma!$F$3:$Q$1101,12,0),"")</f>
        <v>_</v>
      </c>
      <c r="BB384" s="448" t="str">
        <f>_xlfn.IFNA(VLOOKUP($AP384,Programma!$F$3:$R$1101,13,0),"")</f>
        <v>_</v>
      </c>
      <c r="BC384" s="448" t="str">
        <f>_xlfn.IFNA(VLOOKUP($AP384,Programma!$F$3:$S$1101,14,0),"")</f>
        <v>5w</v>
      </c>
      <c r="BD384" s="448" t="str">
        <f>_xlfn.IFNA(VLOOKUP($AP384,Programma!$F$3:$T$1101,15,0),"")</f>
        <v>4j</v>
      </c>
      <c r="BE384" s="448" t="str">
        <f>_xlfn.IFNA(VLOOKUP($AP384,Programma!$F$3:$U$1101,16,0),"")</f>
        <v>4j</v>
      </c>
      <c r="BF384" s="448" t="str">
        <f>_xlfn.IFNA(VLOOKUP($AP384,Programma!$F$3:$V$1101,17,0),"")</f>
        <v>_</v>
      </c>
      <c r="BG384" s="448" t="str">
        <f>_xlfn.IFNA(VLOOKUP($AP384,Programma!$F$3:$W$1101,18,0),"")</f>
        <v>_</v>
      </c>
      <c r="BH384" s="448" t="str">
        <f>_xlfn.IFNA(VLOOKUP($AP384,Programma!$F$3:$X$1101,19,0),"")</f>
        <v>_</v>
      </c>
      <c r="BI384" s="448" t="str">
        <f>_xlfn.IFNA(VLOOKUP($AP384,Programma!$F$3:$Y$1101,20,0),"")</f>
        <v>_</v>
      </c>
      <c r="BJ384" s="449"/>
      <c r="BK384" s="447" t="str">
        <f>IF(Ruimtestaat[[#This Row],[Frequentie weekend]]="","",_xlfn.CONCAT(Ruimtestaat[[#This Row],[Ruimte code]],"-",Ruimtestaat[[#This Row],[Frequentie weekend]]," ",Ruimtestaat[[#This Row],[Vloer code]]))</f>
        <v/>
      </c>
      <c r="BL384" s="448" t="str">
        <f>_xlfn.IFNA(VLOOKUP($BK384,Programma!$F$3:$G$1101,2,0),"")</f>
        <v/>
      </c>
      <c r="BM384" s="448" t="str">
        <f>_xlfn.IFNA(VLOOKUP($BK384,Programma!$F$3:$H$1101,3,0),"")</f>
        <v/>
      </c>
      <c r="BN384" s="448" t="str">
        <f>_xlfn.IFNA(VLOOKUP($BK384,Programma!$F$3:$I$1101,4,0),"")</f>
        <v/>
      </c>
      <c r="BO384" s="448" t="str">
        <f>_xlfn.IFNA(VLOOKUP($BK384,Programma!$F$3:$J$1101,5,0),"")</f>
        <v/>
      </c>
      <c r="BP384" s="448" t="str">
        <f>_xlfn.IFNA(VLOOKUP($BK384,Programma!$F$3:$K$1101,6,0),"")</f>
        <v/>
      </c>
      <c r="BQ384" s="448" t="str">
        <f>_xlfn.IFNA(VLOOKUP($BK384,Programma!$F$3:$L$1101,7,0),"")</f>
        <v/>
      </c>
      <c r="BR384" s="448" t="str">
        <f>_xlfn.IFNA(VLOOKUP($BK384,Programma!$F$3:$M$1101,8,0),"")</f>
        <v/>
      </c>
      <c r="BS384" s="448" t="str">
        <f>_xlfn.IFNA(VLOOKUP($BK384,Programma!$F$3:$N$1101,9,0),"")</f>
        <v/>
      </c>
      <c r="BT384" s="448" t="str">
        <f>_xlfn.IFNA(VLOOKUP($BK384,Programma!$F$3:$O$1101,10,0),"")</f>
        <v/>
      </c>
      <c r="BU384" s="448" t="str">
        <f>_xlfn.IFNA(VLOOKUP($BK384,Programma!$F$3:$P$1101,11,0),"")</f>
        <v/>
      </c>
      <c r="BV384" s="448" t="str">
        <f>_xlfn.IFNA(VLOOKUP($BK384,Programma!$F$3:$Q$1101,12,0),"")</f>
        <v/>
      </c>
      <c r="BW384" s="448" t="str">
        <f>_xlfn.IFNA(VLOOKUP($BK384,Programma!$F$3:$R$1101,13,0),"")</f>
        <v/>
      </c>
      <c r="BX384" s="448" t="str">
        <f>_xlfn.IFNA(VLOOKUP($BK384,Programma!$F$3:$S$1101,14,0),"")</f>
        <v/>
      </c>
      <c r="BY384" s="448" t="str">
        <f>_xlfn.IFNA(VLOOKUP($BK384,Programma!$F$3:$T$1101,15,0),"")</f>
        <v/>
      </c>
      <c r="BZ384" s="448" t="str">
        <f>_xlfn.IFNA(VLOOKUP($BK384,Programma!$F$3:$U$1101,16,0),"")</f>
        <v/>
      </c>
      <c r="CA384" s="448" t="str">
        <f>_xlfn.IFNA(VLOOKUP($BK384,Programma!$F$3:$V$1101,17,0),"")</f>
        <v/>
      </c>
      <c r="CB384" s="448" t="str">
        <f>_xlfn.IFNA(VLOOKUP($BK384,Programma!$F$3:$W$1101,18,0),"")</f>
        <v/>
      </c>
      <c r="CC384" s="448" t="str">
        <f>_xlfn.IFNA(VLOOKUP($BK384,Programma!$F$3:$X$1101,19,0),"")</f>
        <v/>
      </c>
      <c r="CD384" s="448" t="str">
        <f>_xlfn.IFNA(VLOOKUP($BK384,Programma!$F$3:$Y$1101,20,0),"")</f>
        <v/>
      </c>
      <c r="CE384" s="327"/>
      <c r="CF384" s="327"/>
      <c r="CG384" s="327"/>
      <c r="CH384" s="327"/>
      <c r="CI384" s="327"/>
      <c r="CJ384" s="327"/>
      <c r="CK384" s="327"/>
      <c r="CL384" s="327"/>
      <c r="CM384" s="327"/>
      <c r="CN384" s="327"/>
      <c r="CO384" s="327"/>
      <c r="CP384" s="327"/>
      <c r="CQ384" s="327"/>
      <c r="CR384" s="327"/>
      <c r="CS384" s="327"/>
      <c r="CT384" s="327"/>
      <c r="CU384" s="327"/>
      <c r="CV384" s="327"/>
      <c r="CW384" s="327"/>
      <c r="CX384" s="327"/>
      <c r="CY384" s="327"/>
      <c r="CZ384" s="327"/>
      <c r="DA384" s="327"/>
      <c r="DB384" s="327"/>
      <c r="DC384" s="327"/>
      <c r="DD384" s="327"/>
      <c r="DE384" s="327"/>
      <c r="DF384" s="327"/>
      <c r="DG384" s="327"/>
      <c r="DH384" s="327"/>
      <c r="DI384" s="327"/>
      <c r="DJ384" s="327"/>
      <c r="DK384" s="327"/>
      <c r="DL384" s="327"/>
      <c r="DM384" s="327"/>
      <c r="DN384" s="327"/>
      <c r="DO384" s="327"/>
      <c r="DP384" s="327"/>
      <c r="DQ384" s="327"/>
      <c r="DR384" s="327"/>
      <c r="DS384" s="327"/>
      <c r="DT384" s="327"/>
      <c r="DU384" s="327"/>
      <c r="DV384" s="327"/>
      <c r="DW384" s="327"/>
      <c r="DX384" s="327"/>
      <c r="DY384" s="327"/>
      <c r="DZ384" s="327"/>
      <c r="EA384" s="327"/>
      <c r="EB384" s="327"/>
      <c r="EC384" s="327"/>
      <c r="ED384" s="327"/>
      <c r="EE384" s="327"/>
      <c r="EF384" s="327"/>
      <c r="EG384" s="327"/>
      <c r="EH384" s="327"/>
      <c r="EI384" s="327"/>
      <c r="EJ384" s="327"/>
      <c r="EK384" s="327"/>
      <c r="EL384" s="327"/>
      <c r="EM384" s="327"/>
      <c r="EN384" s="327"/>
      <c r="EO384" s="327"/>
      <c r="EP384" s="327"/>
      <c r="EQ384" s="327"/>
      <c r="ER384" s="327"/>
      <c r="ES384" s="327"/>
      <c r="ET384" s="327"/>
      <c r="EU384" s="327"/>
      <c r="EV384" s="327"/>
      <c r="EW384" s="327"/>
      <c r="EX384" s="327"/>
      <c r="EY384" s="327"/>
      <c r="EZ384" s="327"/>
      <c r="FA384" s="327"/>
      <c r="FB384" s="327"/>
      <c r="FC384" s="327"/>
      <c r="FD384" s="327"/>
      <c r="FE384" s="327"/>
      <c r="FF384" s="327"/>
      <c r="FG384" s="327"/>
      <c r="FH384" s="327"/>
      <c r="FI384" s="327"/>
      <c r="FJ384" s="327"/>
      <c r="FK384" s="327"/>
      <c r="FL384" s="327"/>
      <c r="FM384" s="327"/>
      <c r="FN384" s="327"/>
      <c r="FO384" s="327"/>
      <c r="FP384" s="327"/>
      <c r="FQ384" s="327"/>
      <c r="FR384" s="327"/>
      <c r="FS384" s="327"/>
      <c r="FT384" s="327"/>
      <c r="FU384" s="327"/>
      <c r="FV384" s="327"/>
      <c r="FW384" s="327"/>
      <c r="FX384" s="327"/>
      <c r="FY384" s="327"/>
      <c r="FZ384" s="327"/>
      <c r="GA384" s="327"/>
      <c r="GB384" s="327"/>
      <c r="GC384" s="327"/>
      <c r="GD384" s="327"/>
      <c r="GE384" s="327"/>
      <c r="GF384" s="327"/>
      <c r="GG384" s="327"/>
      <c r="GH384" s="327"/>
      <c r="GI384" s="327"/>
      <c r="GJ384" s="327"/>
      <c r="GK384" s="327"/>
      <c r="GL384" s="327"/>
      <c r="GM384" s="327"/>
      <c r="GN384" s="327"/>
      <c r="GO384" s="327"/>
      <c r="GP384" s="327"/>
      <c r="GQ384" s="327"/>
      <c r="GR384" s="327"/>
      <c r="GS384" s="327"/>
      <c r="GT384" s="327"/>
      <c r="GU384" s="327"/>
      <c r="GV384" s="327"/>
      <c r="GW384" s="327"/>
      <c r="GX384" s="327"/>
      <c r="GY384" s="327"/>
      <c r="GZ384" s="327"/>
      <c r="HA384" s="327"/>
      <c r="HB384" s="327"/>
      <c r="HC384" s="327"/>
      <c r="HD384" s="327"/>
      <c r="HE384" s="327"/>
      <c r="HF384" s="327"/>
      <c r="HG384" s="327"/>
      <c r="HH384" s="327"/>
      <c r="HI384" s="327"/>
      <c r="HJ384" s="327"/>
      <c r="HK384" s="327"/>
      <c r="HL384" s="327"/>
      <c r="HM384" s="327"/>
      <c r="HN384" s="327"/>
      <c r="HO384" s="327"/>
      <c r="HP384" s="327"/>
      <c r="HQ384" s="327"/>
      <c r="HR384" s="327"/>
      <c r="HS384" s="327"/>
    </row>
    <row r="385" spans="1:227" ht="15" customHeight="1">
      <c r="A385" s="327">
        <v>17</v>
      </c>
      <c r="B385" s="435" t="str">
        <f>VLOOKUP(Ruimtestaat[[#This Row],[Code]],Locaties[[Code]:[Locatie]],2,FALSE)</f>
        <v>IKC de Tjalk Kadelaan 208 (bijgebouw)</v>
      </c>
      <c r="C385" s="435" t="str">
        <f>VLOOKUP(Ruimtestaat[[#This Row],[Code]],Locaties[[#All],[Code]:[Adres]],4,FALSE)</f>
        <v>Kadelaan 208</v>
      </c>
      <c r="D385" s="435" t="str">
        <f>VLOOKUP(Ruimtestaat[[#This Row],[Code]],Locaties[[#All],[Code]:[Postcode]],5,FALSE)</f>
        <v>2725 BR</v>
      </c>
      <c r="E385" s="435" t="str">
        <f>VLOOKUP(Ruimtestaat[[#This Row],[Code]],Locaties[#All],6,FALSE)</f>
        <v>Zoetermeer</v>
      </c>
      <c r="F385" s="450"/>
      <c r="G385" s="330" t="s">
        <v>1678</v>
      </c>
      <c r="H385" s="330">
        <v>62</v>
      </c>
      <c r="I385" s="450" t="s">
        <v>1708</v>
      </c>
      <c r="J385" s="330">
        <v>6</v>
      </c>
      <c r="K385" s="450" t="str">
        <f>VLOOKUP(Ruimtestaat[[#This Row],[Ruimte code]],Ruimtegroepen[[#All],[Code]:[Ruimte omschrijving]],2,FALSE)</f>
        <v>Gangen/hallen</v>
      </c>
      <c r="L385" s="330" t="s">
        <v>101</v>
      </c>
      <c r="M385" s="437" t="s">
        <v>1816</v>
      </c>
      <c r="N385" s="439">
        <v>7.15</v>
      </c>
      <c r="O385" s="439"/>
      <c r="P385" s="439"/>
      <c r="Q385" s="439"/>
      <c r="R385" s="440" t="str">
        <f>VLOOKUP(Ruimtestaat[[#This Row],[Ruimte code]],Ruimtegroepen[],4,FALSE)</f>
        <v>Ve</v>
      </c>
      <c r="S385" s="434">
        <v>41</v>
      </c>
      <c r="T385" s="434" t="s">
        <v>2</v>
      </c>
      <c r="U385" s="434">
        <f>IF(S385&gt;0,IF(RIGHT(Ruimtestaat[[#This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85" s="434">
        <f>IF(U385&gt;0,VLOOKUP($J385,Ruimtegroepen[],3,FALSE)*VLOOKUP($L385,Vloersoorten[],3,FALSE)*VLOOKUP($T385,Frequenties[],3,FALSE)*VLOOKUP($A385,Locaties[],3,FALSE),0)</f>
        <v>0</v>
      </c>
      <c r="W385" s="434">
        <f>Ruimtestaat[[#This Row],[Uitvoeringen werkdagen]]*Ruimtestaat[[#This Row],[Oppervlak (netto)]]</f>
        <v>1465.75</v>
      </c>
      <c r="X385" s="441">
        <f>IF(V385&gt;0,Ruimtestaat[[#This Row],[Prest. (m2 /jaar) werkdagen]]/Ruimtestaat[[#This Row],[Norm (m2/uur) werkdagen]],0)</f>
        <v>0</v>
      </c>
      <c r="Y385" s="442">
        <f>Ruimtestaat[[#This Row],[Uitvoeringen werkdagen]]*Ruimtestaat[[#This Row],[Gedeeltelijk]]</f>
        <v>0</v>
      </c>
      <c r="Z385" s="443" t="e">
        <f>IF(U385&gt;0,Ruimtestaat[[#This Row],[Prest. (m2 / jaar) werkdagen gedeeld]]/Ruimtestaat[[#This Row],[Norm (m2/uur) werkdagen]],0)</f>
        <v>#DIV/0!</v>
      </c>
      <c r="AA385" s="441" t="e">
        <f>Ruimtestaat[[#This Row],[uren / jaar werkdagen gedeeld]]*Tariefsopbouw!$E$35</f>
        <v>#DIV/0!</v>
      </c>
      <c r="AB385" s="441">
        <f>Ruimtestaat[[#This Row],[Uitvoeringen werkdagen]]*Ruimtestaat[[#This Row],[BSO]]</f>
        <v>0</v>
      </c>
      <c r="AC385" s="443" t="e">
        <f>IF(U385&gt;0,Ruimtestaat[[#This Row],[Prest. (m2 / jaar) werkdagen BSO]]/Ruimtestaat[[#This Row],[Norm (m2/uur) werkdagen]],0)</f>
        <v>#DIV/0!</v>
      </c>
      <c r="AD385" s="443" t="e">
        <f>Ruimtestaat[[#This Row],[uren / jaar werkdagen BSO]]*Tariefsopbouw!$E$35</f>
        <v>#DIV/0!</v>
      </c>
      <c r="AE385" s="444">
        <f>Ruimtestaat[[#This Row],[uren / jaar werkdagen]]*Tariefsopbouw!$E$35</f>
        <v>0</v>
      </c>
      <c r="AF385" s="434"/>
      <c r="AG385" s="434">
        <f>IF(Ruimtestaat[[#This Row],[Frequentie weekend]]&gt;0,VALUE(LEFT(AF385,1))*S385,0)</f>
        <v>0</v>
      </c>
      <c r="AH385" s="445">
        <f>IF($AG385&gt;0,VLOOKUP($J385,Ruimtegroepen[],3,FALSE)*VLOOKUP($L385,Vloersoorten[],3,FALSE)*VLOOKUP($AF385,Frequenties[],3,FALSE)*VLOOKUP(Ruimtestaat[[#This Row],[Code]],Locaties[],3,FALSE),0)</f>
        <v>0</v>
      </c>
      <c r="AI385" s="445">
        <f>Ruimtestaat[[#This Row],[Uitvoeringen weekend]]*Ruimtestaat[[#This Row],[Oppervlak (netto)]]</f>
        <v>0</v>
      </c>
      <c r="AJ385" s="445">
        <f>IF(AH385&gt;0,Ruimtestaat[[#This Row],[Prest. (m2 /jaar) weekend]]/Ruimtestaat[[#This Row],[Norm (m2/uur) weekend]],0)</f>
        <v>0</v>
      </c>
      <c r="AK385" s="444">
        <f>Ruimtestaat[[#This Row],[uren / jaar weekend]]*Tariefsopbouw!$D$40</f>
        <v>0</v>
      </c>
      <c r="AL385" s="441">
        <f>Ruimtestaat[[#This Row],[Prest. (m2 /jaar) weekend]]+Ruimtestaat[[#This Row],[Prest. (m2 /jaar) werkdagen]]</f>
        <v>1465.75</v>
      </c>
      <c r="AM385" s="441">
        <f>Ruimtestaat[[#This Row],[uren / jaar weekend]]+Ruimtestaat[[#This Row],[uren / jaar werkdagen]]</f>
        <v>0</v>
      </c>
      <c r="AN385" s="446">
        <f>Ruimtestaat[[#This Row],[kosten / jaar weekend]]+Ruimtestaat[[#This Row],[kosten / jaar werkdagen]]</f>
        <v>0</v>
      </c>
      <c r="AO385" s="446"/>
      <c r="AP385" s="447" t="str">
        <f>IF(Ruimtestaat[[#This Row],[Frequentie werkdagen]]="","",_xlfn.CONCAT(Ruimtestaat[[#This Row],[Ruimte code]],"-",Ruimtestaat[[#This Row],[Frequentie werkdagen]]," ",Ruimtestaat[[#This Row],[Vloer code]]))</f>
        <v>6-5w S</v>
      </c>
      <c r="AQ385" s="448" t="str">
        <f>_xlfn.IFNA(VLOOKUP($AP385,Programma!$F$3:$G$1101,2,0),"")</f>
        <v>_</v>
      </c>
      <c r="AR385" s="448" t="str">
        <f>_xlfn.IFNA(VLOOKUP($AP385,Programma!$F$3:$H$1101,3,0),"")</f>
        <v>_</v>
      </c>
      <c r="AS385" s="448" t="str">
        <f>_xlfn.IFNA(VLOOKUP($AP385,Programma!$F$3:$I$1101,4,0),"")</f>
        <v>5w</v>
      </c>
      <c r="AT385" s="448" t="str">
        <f>_xlfn.IFNA(VLOOKUP($AP385,Programma!$F$3:$J$1101,5,0),"")</f>
        <v>_</v>
      </c>
      <c r="AU385" s="448" t="str">
        <f>_xlfn.IFNA(VLOOKUP($AP385,Programma!$F$3:$K$1101,6,0),"")</f>
        <v>5w</v>
      </c>
      <c r="AV385" s="448" t="str">
        <f>_xlfn.IFNA(VLOOKUP($AP385,Programma!$F$3:$L$1101,7,0),"")</f>
        <v>_</v>
      </c>
      <c r="AW385" s="448" t="str">
        <f>_xlfn.IFNA(VLOOKUP($AP385,Programma!$F$3:$M$1101,8,0),"")</f>
        <v>_</v>
      </c>
      <c r="AX385" s="448" t="str">
        <f>_xlfn.IFNA(VLOOKUP($AP385,Programma!$F$3:$N$1101,9,0),"")</f>
        <v>_</v>
      </c>
      <c r="AY385" s="448" t="str">
        <f>_xlfn.IFNA(VLOOKUP($AP385,Programma!$F$3:$O$1101,10,0),"")</f>
        <v>5w</v>
      </c>
      <c r="AZ385" s="448" t="str">
        <f>_xlfn.IFNA(VLOOKUP($AP385,Programma!$F$3:$P$1101,11,0),"")</f>
        <v>5w</v>
      </c>
      <c r="BA385" s="448" t="str">
        <f>_xlfn.IFNA(VLOOKUP($AP385,Programma!$F$3:$Q$1101,12,0),"")</f>
        <v>1w</v>
      </c>
      <c r="BB385" s="448" t="str">
        <f>_xlfn.IFNA(VLOOKUP($AP385,Programma!$F$3:$R$1101,13,0),"")</f>
        <v>1w</v>
      </c>
      <c r="BC385" s="448" t="str">
        <f>_xlfn.IFNA(VLOOKUP($AP385,Programma!$F$3:$S$1101,14,0),"")</f>
        <v>1m</v>
      </c>
      <c r="BD385" s="448" t="str">
        <f>_xlfn.IFNA(VLOOKUP($AP385,Programma!$F$3:$T$1101,15,0),"")</f>
        <v>2j</v>
      </c>
      <c r="BE385" s="448" t="str">
        <f>_xlfn.IFNA(VLOOKUP($AP385,Programma!$F$3:$U$1101,16,0),"")</f>
        <v>1j</v>
      </c>
      <c r="BF385" s="448" t="str">
        <f>_xlfn.IFNA(VLOOKUP($AP385,Programma!$F$3:$V$1101,17,0),"")</f>
        <v>_</v>
      </c>
      <c r="BG385" s="448" t="str">
        <f>_xlfn.IFNA(VLOOKUP($AP385,Programma!$F$3:$W$1101,18,0),"")</f>
        <v>_</v>
      </c>
      <c r="BH385" s="448" t="str">
        <f>_xlfn.IFNA(VLOOKUP($AP385,Programma!$F$3:$X$1101,19,0),"")</f>
        <v>_</v>
      </c>
      <c r="BI385" s="448" t="str">
        <f>_xlfn.IFNA(VLOOKUP($AP385,Programma!$F$3:$Y$1101,20,0),"")</f>
        <v>_</v>
      </c>
      <c r="BJ385" s="449"/>
      <c r="BK385" s="447" t="str">
        <f>IF(Ruimtestaat[[#This Row],[Frequentie weekend]]="","",_xlfn.CONCAT(Ruimtestaat[[#This Row],[Ruimte code]],"-",Ruimtestaat[[#This Row],[Frequentie weekend]]," ",Ruimtestaat[[#This Row],[Vloer code]]))</f>
        <v/>
      </c>
      <c r="BL385" s="448" t="str">
        <f>_xlfn.IFNA(VLOOKUP($BK385,Programma!$F$3:$G$1101,2,0),"")</f>
        <v/>
      </c>
      <c r="BM385" s="448" t="str">
        <f>_xlfn.IFNA(VLOOKUP($BK385,Programma!$F$3:$H$1101,3,0),"")</f>
        <v/>
      </c>
      <c r="BN385" s="448" t="str">
        <f>_xlfn.IFNA(VLOOKUP($BK385,Programma!$F$3:$I$1101,4,0),"")</f>
        <v/>
      </c>
      <c r="BO385" s="448" t="str">
        <f>_xlfn.IFNA(VLOOKUP($BK385,Programma!$F$3:$J$1101,5,0),"")</f>
        <v/>
      </c>
      <c r="BP385" s="448" t="str">
        <f>_xlfn.IFNA(VLOOKUP($BK385,Programma!$F$3:$K$1101,6,0),"")</f>
        <v/>
      </c>
      <c r="BQ385" s="448" t="str">
        <f>_xlfn.IFNA(VLOOKUP($BK385,Programma!$F$3:$L$1101,7,0),"")</f>
        <v/>
      </c>
      <c r="BR385" s="448" t="str">
        <f>_xlfn.IFNA(VLOOKUP($BK385,Programma!$F$3:$M$1101,8,0),"")</f>
        <v/>
      </c>
      <c r="BS385" s="448" t="str">
        <f>_xlfn.IFNA(VLOOKUP($BK385,Programma!$F$3:$N$1101,9,0),"")</f>
        <v/>
      </c>
      <c r="BT385" s="448" t="str">
        <f>_xlfn.IFNA(VLOOKUP($BK385,Programma!$F$3:$O$1101,10,0),"")</f>
        <v/>
      </c>
      <c r="BU385" s="448" t="str">
        <f>_xlfn.IFNA(VLOOKUP($BK385,Programma!$F$3:$P$1101,11,0),"")</f>
        <v/>
      </c>
      <c r="BV385" s="448" t="str">
        <f>_xlfn.IFNA(VLOOKUP($BK385,Programma!$F$3:$Q$1101,12,0),"")</f>
        <v/>
      </c>
      <c r="BW385" s="448" t="str">
        <f>_xlfn.IFNA(VLOOKUP($BK385,Programma!$F$3:$R$1101,13,0),"")</f>
        <v/>
      </c>
      <c r="BX385" s="448" t="str">
        <f>_xlfn.IFNA(VLOOKUP($BK385,Programma!$F$3:$S$1101,14,0),"")</f>
        <v/>
      </c>
      <c r="BY385" s="448" t="str">
        <f>_xlfn.IFNA(VLOOKUP($BK385,Programma!$F$3:$T$1101,15,0),"")</f>
        <v/>
      </c>
      <c r="BZ385" s="448" t="str">
        <f>_xlfn.IFNA(VLOOKUP($BK385,Programma!$F$3:$U$1101,16,0),"")</f>
        <v/>
      </c>
      <c r="CA385" s="448" t="str">
        <f>_xlfn.IFNA(VLOOKUP($BK385,Programma!$F$3:$V$1101,17,0),"")</f>
        <v/>
      </c>
      <c r="CB385" s="448" t="str">
        <f>_xlfn.IFNA(VLOOKUP($BK385,Programma!$F$3:$W$1101,18,0),"")</f>
        <v/>
      </c>
      <c r="CC385" s="448" t="str">
        <f>_xlfn.IFNA(VLOOKUP($BK385,Programma!$F$3:$X$1101,19,0),"")</f>
        <v/>
      </c>
      <c r="CD385" s="448" t="str">
        <f>_xlfn.IFNA(VLOOKUP($BK385,Programma!$F$3:$Y$1101,20,0),"")</f>
        <v/>
      </c>
      <c r="CE385" s="327"/>
      <c r="CF385" s="327"/>
      <c r="CG385" s="327"/>
      <c r="CH385" s="327"/>
      <c r="CI385" s="327"/>
      <c r="CJ385" s="327"/>
      <c r="CK385" s="327"/>
      <c r="CL385" s="327"/>
      <c r="CM385" s="327"/>
      <c r="CN385" s="327"/>
      <c r="CO385" s="327"/>
      <c r="CP385" s="327"/>
      <c r="CQ385" s="327"/>
      <c r="CR385" s="327"/>
      <c r="CS385" s="327"/>
      <c r="CT385" s="327"/>
      <c r="CU385" s="327"/>
      <c r="CV385" s="327"/>
      <c r="CW385" s="327"/>
      <c r="CX385" s="327"/>
      <c r="CY385" s="327"/>
      <c r="CZ385" s="327"/>
      <c r="DA385" s="327"/>
      <c r="DB385" s="327"/>
      <c r="DC385" s="327"/>
      <c r="DD385" s="327"/>
      <c r="DE385" s="327"/>
      <c r="DF385" s="327"/>
      <c r="DG385" s="327"/>
      <c r="DH385" s="327"/>
      <c r="DI385" s="327"/>
      <c r="DJ385" s="327"/>
      <c r="DK385" s="327"/>
      <c r="DL385" s="327"/>
      <c r="DM385" s="327"/>
      <c r="DN385" s="327"/>
      <c r="DO385" s="327"/>
      <c r="DP385" s="327"/>
      <c r="DQ385" s="327"/>
      <c r="DR385" s="327"/>
      <c r="DS385" s="327"/>
      <c r="DT385" s="327"/>
      <c r="DU385" s="327"/>
      <c r="DV385" s="327"/>
      <c r="DW385" s="327"/>
      <c r="DX385" s="327"/>
      <c r="DY385" s="327"/>
      <c r="DZ385" s="327"/>
      <c r="EA385" s="327"/>
      <c r="EB385" s="327"/>
      <c r="EC385" s="327"/>
      <c r="ED385" s="327"/>
      <c r="EE385" s="327"/>
      <c r="EF385" s="327"/>
      <c r="EG385" s="327"/>
      <c r="EH385" s="327"/>
      <c r="EI385" s="327"/>
      <c r="EJ385" s="327"/>
      <c r="EK385" s="327"/>
      <c r="EL385" s="327"/>
      <c r="EM385" s="327"/>
      <c r="EN385" s="327"/>
      <c r="EO385" s="327"/>
      <c r="EP385" s="327"/>
      <c r="EQ385" s="327"/>
      <c r="ER385" s="327"/>
      <c r="ES385" s="327"/>
      <c r="ET385" s="327"/>
      <c r="EU385" s="327"/>
      <c r="EV385" s="327"/>
      <c r="EW385" s="327"/>
      <c r="EX385" s="327"/>
      <c r="EY385" s="327"/>
      <c r="EZ385" s="327"/>
      <c r="FA385" s="327"/>
      <c r="FB385" s="327"/>
      <c r="FC385" s="327"/>
      <c r="FD385" s="327"/>
      <c r="FE385" s="327"/>
      <c r="FF385" s="327"/>
      <c r="FG385" s="327"/>
      <c r="FH385" s="327"/>
      <c r="FI385" s="327"/>
      <c r="FJ385" s="327"/>
      <c r="FK385" s="327"/>
      <c r="FL385" s="327"/>
      <c r="FM385" s="327"/>
      <c r="FN385" s="327"/>
      <c r="FO385" s="327"/>
      <c r="FP385" s="327"/>
      <c r="FQ385" s="327"/>
      <c r="FR385" s="327"/>
      <c r="FS385" s="327"/>
      <c r="FT385" s="327"/>
      <c r="FU385" s="327"/>
      <c r="FV385" s="327"/>
      <c r="FW385" s="327"/>
      <c r="FX385" s="327"/>
      <c r="FY385" s="327"/>
      <c r="FZ385" s="327"/>
      <c r="GA385" s="327"/>
      <c r="GB385" s="327"/>
      <c r="GC385" s="327"/>
      <c r="GD385" s="327"/>
      <c r="GE385" s="327"/>
      <c r="GF385" s="327"/>
      <c r="GG385" s="327"/>
      <c r="GH385" s="327"/>
      <c r="GI385" s="327"/>
      <c r="GJ385" s="327"/>
      <c r="GK385" s="327"/>
      <c r="GL385" s="327"/>
      <c r="GM385" s="327"/>
      <c r="GN385" s="327"/>
      <c r="GO385" s="327"/>
      <c r="GP385" s="327"/>
      <c r="GQ385" s="327"/>
      <c r="GR385" s="327"/>
      <c r="GS385" s="327"/>
      <c r="GT385" s="327"/>
      <c r="GU385" s="327"/>
      <c r="GV385" s="327"/>
      <c r="GW385" s="327"/>
      <c r="GX385" s="327"/>
      <c r="GY385" s="327"/>
      <c r="GZ385" s="327"/>
      <c r="HA385" s="327"/>
      <c r="HB385" s="327"/>
      <c r="HC385" s="327"/>
      <c r="HD385" s="327"/>
      <c r="HE385" s="327"/>
      <c r="HF385" s="327"/>
      <c r="HG385" s="327"/>
      <c r="HH385" s="327"/>
      <c r="HI385" s="327"/>
      <c r="HJ385" s="327"/>
      <c r="HK385" s="327"/>
      <c r="HL385" s="327"/>
      <c r="HM385" s="327"/>
      <c r="HN385" s="327"/>
      <c r="HO385" s="327"/>
      <c r="HP385" s="327"/>
      <c r="HQ385" s="327"/>
      <c r="HR385" s="327"/>
      <c r="HS385" s="327"/>
    </row>
    <row r="386" spans="1:227" ht="15" customHeight="1">
      <c r="A386" s="327">
        <v>17</v>
      </c>
      <c r="B386" s="435" t="str">
        <f>VLOOKUP(Ruimtestaat[[#This Row],[Code]],Locaties[[Code]:[Locatie]],2,FALSE)</f>
        <v>IKC de Tjalk Kadelaan 208 (bijgebouw)</v>
      </c>
      <c r="C386" s="435" t="str">
        <f>VLOOKUP(Ruimtestaat[[#This Row],[Code]],Locaties[[#All],[Code]:[Adres]],4,FALSE)</f>
        <v>Kadelaan 208</v>
      </c>
      <c r="D386" s="435" t="str">
        <f>VLOOKUP(Ruimtestaat[[#This Row],[Code]],Locaties[[#All],[Code]:[Postcode]],5,FALSE)</f>
        <v>2725 BR</v>
      </c>
      <c r="E386" s="435" t="str">
        <f>VLOOKUP(Ruimtestaat[[#This Row],[Code]],Locaties[#All],6,FALSE)</f>
        <v>Zoetermeer</v>
      </c>
      <c r="F386" s="450"/>
      <c r="G386" s="330" t="s">
        <v>1678</v>
      </c>
      <c r="H386" s="330">
        <v>7</v>
      </c>
      <c r="I386" s="450" t="s">
        <v>1843</v>
      </c>
      <c r="J386" s="330">
        <v>16</v>
      </c>
      <c r="K386" s="450" t="str">
        <f>VLOOKUP(Ruimtestaat[[#This Row],[Ruimte code]],Ruimtegroepen[[#All],[Code]:[Ruimte omschrijving]],2,FALSE)</f>
        <v>Leslokalen</v>
      </c>
      <c r="L386" s="330" t="s">
        <v>101</v>
      </c>
      <c r="M386" s="437" t="s">
        <v>1816</v>
      </c>
      <c r="N386" s="439">
        <v>56.56</v>
      </c>
      <c r="O386" s="439"/>
      <c r="P386" s="439"/>
      <c r="Q386" s="439"/>
      <c r="R386" s="440" t="str">
        <f>VLOOKUP(Ruimtestaat[[#This Row],[Ruimte code]],Ruimtegroepen[],4,FALSE)</f>
        <v>Le</v>
      </c>
      <c r="S386" s="434">
        <v>40</v>
      </c>
      <c r="T386" s="434" t="s">
        <v>2</v>
      </c>
      <c r="U386" s="434">
        <f>IF(S386&gt;0,IF(RIGHT(Ruimtestaat[[#This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6" s="434">
        <f>IF(U386&gt;0,VLOOKUP($J386,Ruimtegroepen[],3,FALSE)*VLOOKUP($L386,Vloersoorten[],3,FALSE)*VLOOKUP($T386,Frequenties[],3,FALSE)*VLOOKUP($A386,Locaties[],3,FALSE),0)</f>
        <v>0</v>
      </c>
      <c r="W386" s="434">
        <f>Ruimtestaat[[#This Row],[Uitvoeringen werkdagen]]*Ruimtestaat[[#This Row],[Oppervlak (netto)]]</f>
        <v>11312</v>
      </c>
      <c r="X386" s="441">
        <f>IF(V386&gt;0,Ruimtestaat[[#This Row],[Prest. (m2 /jaar) werkdagen]]/Ruimtestaat[[#This Row],[Norm (m2/uur) werkdagen]],0)</f>
        <v>0</v>
      </c>
      <c r="Y386" s="442">
        <f>Ruimtestaat[[#This Row],[Uitvoeringen werkdagen]]*Ruimtestaat[[#This Row],[Gedeeltelijk]]</f>
        <v>0</v>
      </c>
      <c r="Z386" s="443" t="e">
        <f>IF(U386&gt;0,Ruimtestaat[[#This Row],[Prest. (m2 / jaar) werkdagen gedeeld]]/Ruimtestaat[[#This Row],[Norm (m2/uur) werkdagen]],0)</f>
        <v>#DIV/0!</v>
      </c>
      <c r="AA386" s="441" t="e">
        <f>Ruimtestaat[[#This Row],[uren / jaar werkdagen gedeeld]]*Tariefsopbouw!$E$35</f>
        <v>#DIV/0!</v>
      </c>
      <c r="AB386" s="441">
        <f>Ruimtestaat[[#This Row],[Uitvoeringen werkdagen]]*Ruimtestaat[[#This Row],[BSO]]</f>
        <v>0</v>
      </c>
      <c r="AC386" s="443" t="e">
        <f>IF(U386&gt;0,Ruimtestaat[[#This Row],[Prest. (m2 / jaar) werkdagen BSO]]/Ruimtestaat[[#This Row],[Norm (m2/uur) werkdagen]],0)</f>
        <v>#DIV/0!</v>
      </c>
      <c r="AD386" s="443" t="e">
        <f>Ruimtestaat[[#This Row],[uren / jaar werkdagen BSO]]*Tariefsopbouw!$E$35</f>
        <v>#DIV/0!</v>
      </c>
      <c r="AE386" s="444">
        <f>Ruimtestaat[[#This Row],[uren / jaar werkdagen]]*Tariefsopbouw!$E$35</f>
        <v>0</v>
      </c>
      <c r="AF386" s="434"/>
      <c r="AG386" s="434">
        <f>IF(Ruimtestaat[[#This Row],[Frequentie weekend]]&gt;0,VALUE(LEFT(AF386,1))*S386,0)</f>
        <v>0</v>
      </c>
      <c r="AH386" s="445">
        <f>IF($AG386&gt;0,VLOOKUP($J386,Ruimtegroepen[],3,FALSE)*VLOOKUP($L386,Vloersoorten[],3,FALSE)*VLOOKUP($AF386,Frequenties[],3,FALSE)*VLOOKUP(Ruimtestaat[[#This Row],[Code]],Locaties[],3,FALSE),0)</f>
        <v>0</v>
      </c>
      <c r="AI386" s="445">
        <f>Ruimtestaat[[#This Row],[Uitvoeringen weekend]]*Ruimtestaat[[#This Row],[Oppervlak (netto)]]</f>
        <v>0</v>
      </c>
      <c r="AJ386" s="445">
        <f>IF(AH386&gt;0,Ruimtestaat[[#This Row],[Prest. (m2 /jaar) weekend]]/Ruimtestaat[[#This Row],[Norm (m2/uur) weekend]],0)</f>
        <v>0</v>
      </c>
      <c r="AK386" s="444">
        <f>Ruimtestaat[[#This Row],[uren / jaar weekend]]*Tariefsopbouw!$D$40</f>
        <v>0</v>
      </c>
      <c r="AL386" s="441">
        <f>Ruimtestaat[[#This Row],[Prest. (m2 /jaar) weekend]]+Ruimtestaat[[#This Row],[Prest. (m2 /jaar) werkdagen]]</f>
        <v>11312</v>
      </c>
      <c r="AM386" s="441">
        <f>Ruimtestaat[[#This Row],[uren / jaar weekend]]+Ruimtestaat[[#This Row],[uren / jaar werkdagen]]</f>
        <v>0</v>
      </c>
      <c r="AN386" s="446">
        <f>Ruimtestaat[[#This Row],[kosten / jaar weekend]]+Ruimtestaat[[#This Row],[kosten / jaar werkdagen]]</f>
        <v>0</v>
      </c>
      <c r="AO386" s="446"/>
      <c r="AP386" s="447" t="str">
        <f>IF(Ruimtestaat[[#This Row],[Frequentie werkdagen]]="","",_xlfn.CONCAT(Ruimtestaat[[#This Row],[Ruimte code]],"-",Ruimtestaat[[#This Row],[Frequentie werkdagen]]," ",Ruimtestaat[[#This Row],[Vloer code]]))</f>
        <v>16-5w S</v>
      </c>
      <c r="AQ386" s="448" t="str">
        <f>_xlfn.IFNA(VLOOKUP($AP386,Programma!$F$3:$G$1101,2,0),"")</f>
        <v>_</v>
      </c>
      <c r="AR386" s="448" t="str">
        <f>_xlfn.IFNA(VLOOKUP($AP386,Programma!$F$3:$H$1101,3,0),"")</f>
        <v>_</v>
      </c>
      <c r="AS386" s="448" t="str">
        <f>_xlfn.IFNA(VLOOKUP($AP386,Programma!$F$3:$I$1101,4,0),"")</f>
        <v>4w</v>
      </c>
      <c r="AT386" s="448" t="str">
        <f>_xlfn.IFNA(VLOOKUP($AP386,Programma!$F$3:$J$1101,5,0),"")</f>
        <v>1w</v>
      </c>
      <c r="AU386" s="448" t="str">
        <f>_xlfn.IFNA(VLOOKUP($AP386,Programma!$F$3:$K$1101,6,0),"")</f>
        <v>1m</v>
      </c>
      <c r="AV386" s="448" t="str">
        <f>_xlfn.IFNA(VLOOKUP($AP386,Programma!$F$3:$L$1101,7,0),"")</f>
        <v>_</v>
      </c>
      <c r="AW386" s="448" t="str">
        <f>_xlfn.IFNA(VLOOKUP($AP386,Programma!$F$3:$M$1101,8,0),"")</f>
        <v>_</v>
      </c>
      <c r="AX386" s="448" t="str">
        <f>_xlfn.IFNA(VLOOKUP($AP386,Programma!$F$3:$N$1101,9,0),"")</f>
        <v>_</v>
      </c>
      <c r="AY386" s="448" t="str">
        <f>_xlfn.IFNA(VLOOKUP($AP386,Programma!$F$3:$O$1101,10,0),"")</f>
        <v>5w</v>
      </c>
      <c r="AZ386" s="448" t="str">
        <f>_xlfn.IFNA(VLOOKUP($AP386,Programma!$F$3:$P$1101,11,0),"")</f>
        <v>5w</v>
      </c>
      <c r="BA386" s="448" t="str">
        <f>_xlfn.IFNA(VLOOKUP($AP386,Programma!$F$3:$Q$1101,12,0),"")</f>
        <v>1w</v>
      </c>
      <c r="BB386" s="448" t="str">
        <f>_xlfn.IFNA(VLOOKUP($AP386,Programma!$F$3:$R$1101,13,0),"")</f>
        <v>1w</v>
      </c>
      <c r="BC386" s="448" t="str">
        <f>_xlfn.IFNA(VLOOKUP($AP386,Programma!$F$3:$S$1101,14,0),"")</f>
        <v>1m</v>
      </c>
      <c r="BD386" s="448" t="str">
        <f>_xlfn.IFNA(VLOOKUP($AP386,Programma!$F$3:$T$1101,15,0),"")</f>
        <v>2j</v>
      </c>
      <c r="BE386" s="448" t="str">
        <f>_xlfn.IFNA(VLOOKUP($AP386,Programma!$F$3:$U$1101,16,0),"")</f>
        <v>1j</v>
      </c>
      <c r="BF386" s="448" t="str">
        <f>_xlfn.IFNA(VLOOKUP($AP386,Programma!$F$3:$V$1101,17,0),"")</f>
        <v>_</v>
      </c>
      <c r="BG386" s="448" t="str">
        <f>_xlfn.IFNA(VLOOKUP($AP386,Programma!$F$3:$W$1101,18,0),"")</f>
        <v>_</v>
      </c>
      <c r="BH386" s="448" t="str">
        <f>_xlfn.IFNA(VLOOKUP($AP386,Programma!$F$3:$X$1101,19,0),"")</f>
        <v>_</v>
      </c>
      <c r="BI386" s="448" t="str">
        <f>_xlfn.IFNA(VLOOKUP($AP386,Programma!$F$3:$Y$1101,20,0),"")</f>
        <v>_</v>
      </c>
      <c r="BJ386" s="449"/>
      <c r="BK386" s="447" t="str">
        <f>IF(Ruimtestaat[[#This Row],[Frequentie weekend]]="","",_xlfn.CONCAT(Ruimtestaat[[#This Row],[Ruimte code]],"-",Ruimtestaat[[#This Row],[Frequentie weekend]]," ",Ruimtestaat[[#This Row],[Vloer code]]))</f>
        <v/>
      </c>
      <c r="BL386" s="448" t="str">
        <f>_xlfn.IFNA(VLOOKUP($BK386,Programma!$F$3:$G$1101,2,0),"")</f>
        <v/>
      </c>
      <c r="BM386" s="448" t="str">
        <f>_xlfn.IFNA(VLOOKUP($BK386,Programma!$F$3:$H$1101,3,0),"")</f>
        <v/>
      </c>
      <c r="BN386" s="448" t="str">
        <f>_xlfn.IFNA(VLOOKUP($BK386,Programma!$F$3:$I$1101,4,0),"")</f>
        <v/>
      </c>
      <c r="BO386" s="448" t="str">
        <f>_xlfn.IFNA(VLOOKUP($BK386,Programma!$F$3:$J$1101,5,0),"")</f>
        <v/>
      </c>
      <c r="BP386" s="448" t="str">
        <f>_xlfn.IFNA(VLOOKUP($BK386,Programma!$F$3:$K$1101,6,0),"")</f>
        <v/>
      </c>
      <c r="BQ386" s="448" t="str">
        <f>_xlfn.IFNA(VLOOKUP($BK386,Programma!$F$3:$L$1101,7,0),"")</f>
        <v/>
      </c>
      <c r="BR386" s="448" t="str">
        <f>_xlfn.IFNA(VLOOKUP($BK386,Programma!$F$3:$M$1101,8,0),"")</f>
        <v/>
      </c>
      <c r="BS386" s="448" t="str">
        <f>_xlfn.IFNA(VLOOKUP($BK386,Programma!$F$3:$N$1101,9,0),"")</f>
        <v/>
      </c>
      <c r="BT386" s="448" t="str">
        <f>_xlfn.IFNA(VLOOKUP($BK386,Programma!$F$3:$O$1101,10,0),"")</f>
        <v/>
      </c>
      <c r="BU386" s="448" t="str">
        <f>_xlfn.IFNA(VLOOKUP($BK386,Programma!$F$3:$P$1101,11,0),"")</f>
        <v/>
      </c>
      <c r="BV386" s="448" t="str">
        <f>_xlfn.IFNA(VLOOKUP($BK386,Programma!$F$3:$Q$1101,12,0),"")</f>
        <v/>
      </c>
      <c r="BW386" s="448" t="str">
        <f>_xlfn.IFNA(VLOOKUP($BK386,Programma!$F$3:$R$1101,13,0),"")</f>
        <v/>
      </c>
      <c r="BX386" s="448" t="str">
        <f>_xlfn.IFNA(VLOOKUP($BK386,Programma!$F$3:$S$1101,14,0),"")</f>
        <v/>
      </c>
      <c r="BY386" s="448" t="str">
        <f>_xlfn.IFNA(VLOOKUP($BK386,Programma!$F$3:$T$1101,15,0),"")</f>
        <v/>
      </c>
      <c r="BZ386" s="448" t="str">
        <f>_xlfn.IFNA(VLOOKUP($BK386,Programma!$F$3:$U$1101,16,0),"")</f>
        <v/>
      </c>
      <c r="CA386" s="448" t="str">
        <f>_xlfn.IFNA(VLOOKUP($BK386,Programma!$F$3:$V$1101,17,0),"")</f>
        <v/>
      </c>
      <c r="CB386" s="448" t="str">
        <f>_xlfn.IFNA(VLOOKUP($BK386,Programma!$F$3:$W$1101,18,0),"")</f>
        <v/>
      </c>
      <c r="CC386" s="448" t="str">
        <f>_xlfn.IFNA(VLOOKUP($BK386,Programma!$F$3:$X$1101,19,0),"")</f>
        <v/>
      </c>
      <c r="CD386" s="448" t="str">
        <f>_xlfn.IFNA(VLOOKUP($BK386,Programma!$F$3:$Y$1101,20,0),"")</f>
        <v/>
      </c>
      <c r="CE386" s="327"/>
      <c r="CF386" s="327"/>
      <c r="CG386" s="327"/>
      <c r="CH386" s="327"/>
      <c r="CI386" s="327"/>
      <c r="CJ386" s="327"/>
      <c r="CK386" s="327"/>
      <c r="CL386" s="327"/>
      <c r="CM386" s="327"/>
      <c r="CN386" s="327"/>
      <c r="CO386" s="327"/>
      <c r="CP386" s="327"/>
      <c r="CQ386" s="327"/>
      <c r="CR386" s="327"/>
      <c r="CS386" s="327"/>
      <c r="CT386" s="327"/>
      <c r="CU386" s="327"/>
      <c r="CV386" s="327"/>
      <c r="CW386" s="327"/>
      <c r="CX386" s="327"/>
      <c r="CY386" s="327"/>
      <c r="CZ386" s="327"/>
      <c r="DA386" s="327"/>
      <c r="DB386" s="327"/>
      <c r="DC386" s="327"/>
      <c r="DD386" s="327"/>
      <c r="DE386" s="327"/>
      <c r="DF386" s="327"/>
      <c r="DG386" s="327"/>
      <c r="DH386" s="327"/>
      <c r="DI386" s="327"/>
      <c r="DJ386" s="327"/>
      <c r="DK386" s="327"/>
      <c r="DL386" s="327"/>
      <c r="DM386" s="327"/>
      <c r="DN386" s="327"/>
      <c r="DO386" s="327"/>
      <c r="DP386" s="327"/>
      <c r="DQ386" s="327"/>
      <c r="DR386" s="327"/>
      <c r="DS386" s="327"/>
      <c r="DT386" s="327"/>
      <c r="DU386" s="327"/>
      <c r="DV386" s="327"/>
      <c r="DW386" s="327"/>
      <c r="DX386" s="327"/>
      <c r="DY386" s="327"/>
      <c r="DZ386" s="327"/>
      <c r="EA386" s="327"/>
      <c r="EB386" s="327"/>
      <c r="EC386" s="327"/>
      <c r="ED386" s="327"/>
      <c r="EE386" s="327"/>
      <c r="EF386" s="327"/>
      <c r="EG386" s="327"/>
      <c r="EH386" s="327"/>
      <c r="EI386" s="327"/>
      <c r="EJ386" s="327"/>
      <c r="EK386" s="327"/>
      <c r="EL386" s="327"/>
      <c r="EM386" s="327"/>
      <c r="EN386" s="327"/>
      <c r="EO386" s="327"/>
      <c r="EP386" s="327"/>
      <c r="EQ386" s="327"/>
      <c r="ER386" s="327"/>
      <c r="ES386" s="327"/>
      <c r="ET386" s="327"/>
      <c r="EU386" s="327"/>
      <c r="EV386" s="327"/>
      <c r="EW386" s="327"/>
      <c r="EX386" s="327"/>
      <c r="EY386" s="327"/>
      <c r="EZ386" s="327"/>
      <c r="FA386" s="327"/>
      <c r="FB386" s="327"/>
      <c r="FC386" s="327"/>
      <c r="FD386" s="327"/>
      <c r="FE386" s="327"/>
      <c r="FF386" s="327"/>
      <c r="FG386" s="327"/>
      <c r="FH386" s="327"/>
      <c r="FI386" s="327"/>
      <c r="FJ386" s="327"/>
      <c r="FK386" s="327"/>
      <c r="FL386" s="327"/>
      <c r="FM386" s="327"/>
      <c r="FN386" s="327"/>
      <c r="FO386" s="327"/>
      <c r="FP386" s="327"/>
      <c r="FQ386" s="327"/>
      <c r="FR386" s="327"/>
      <c r="FS386" s="327"/>
      <c r="FT386" s="327"/>
      <c r="FU386" s="327"/>
      <c r="FV386" s="327"/>
      <c r="FW386" s="327"/>
      <c r="FX386" s="327"/>
      <c r="FY386" s="327"/>
      <c r="FZ386" s="327"/>
      <c r="GA386" s="327"/>
      <c r="GB386" s="327"/>
      <c r="GC386" s="327"/>
      <c r="GD386" s="327"/>
      <c r="GE386" s="327"/>
      <c r="GF386" s="327"/>
      <c r="GG386" s="327"/>
      <c r="GH386" s="327"/>
      <c r="GI386" s="327"/>
      <c r="GJ386" s="327"/>
      <c r="GK386" s="327"/>
      <c r="GL386" s="327"/>
      <c r="GM386" s="327"/>
      <c r="GN386" s="327"/>
      <c r="GO386" s="327"/>
      <c r="GP386" s="327"/>
      <c r="GQ386" s="327"/>
      <c r="GR386" s="327"/>
      <c r="GS386" s="327"/>
      <c r="GT386" s="327"/>
      <c r="GU386" s="327"/>
      <c r="GV386" s="327"/>
      <c r="GW386" s="327"/>
      <c r="GX386" s="327"/>
      <c r="GY386" s="327"/>
      <c r="GZ386" s="327"/>
      <c r="HA386" s="327"/>
      <c r="HB386" s="327"/>
      <c r="HC386" s="327"/>
      <c r="HD386" s="327"/>
      <c r="HE386" s="327"/>
      <c r="HF386" s="327"/>
      <c r="HG386" s="327"/>
      <c r="HH386" s="327"/>
      <c r="HI386" s="327"/>
      <c r="HJ386" s="327"/>
      <c r="HK386" s="327"/>
      <c r="HL386" s="327"/>
      <c r="HM386" s="327"/>
      <c r="HN386" s="327"/>
      <c r="HO386" s="327"/>
      <c r="HP386" s="327"/>
      <c r="HQ386" s="327"/>
      <c r="HR386" s="327"/>
      <c r="HS386" s="327"/>
    </row>
    <row r="387" spans="1:227" ht="15" customHeight="1">
      <c r="A387" s="327">
        <v>17</v>
      </c>
      <c r="B387" s="435" t="str">
        <f>VLOOKUP(Ruimtestaat[[#This Row],[Code]],Locaties[[Code]:[Locatie]],2,FALSE)</f>
        <v>IKC de Tjalk Kadelaan 208 (bijgebouw)</v>
      </c>
      <c r="C387" s="435" t="str">
        <f>VLOOKUP(Ruimtestaat[[#This Row],[Code]],Locaties[[#All],[Code]:[Adres]],4,FALSE)</f>
        <v>Kadelaan 208</v>
      </c>
      <c r="D387" s="435" t="str">
        <f>VLOOKUP(Ruimtestaat[[#This Row],[Code]],Locaties[[#All],[Code]:[Postcode]],5,FALSE)</f>
        <v>2725 BR</v>
      </c>
      <c r="E387" s="435" t="str">
        <f>VLOOKUP(Ruimtestaat[[#This Row],[Code]],Locaties[#All],6,FALSE)</f>
        <v>Zoetermeer</v>
      </c>
      <c r="F387" s="450"/>
      <c r="G387" s="330" t="s">
        <v>1678</v>
      </c>
      <c r="H387" s="330">
        <v>26</v>
      </c>
      <c r="I387" s="450" t="s">
        <v>1724</v>
      </c>
      <c r="J387" s="330">
        <v>1</v>
      </c>
      <c r="K387" s="450" t="str">
        <f>VLOOKUP(Ruimtestaat[[#This Row],[Ruimte code]],Ruimtegroepen[[#All],[Code]:[Ruimte omschrijving]],2,FALSE)</f>
        <v>Magazijnen/bergingen</v>
      </c>
      <c r="L387" s="330" t="s">
        <v>101</v>
      </c>
      <c r="M387" s="437" t="s">
        <v>1816</v>
      </c>
      <c r="N387" s="439">
        <v>6</v>
      </c>
      <c r="O387" s="439"/>
      <c r="P387" s="439"/>
      <c r="Q387" s="439"/>
      <c r="R387" s="440" t="str">
        <f>VLOOKUP(Ruimtestaat[[#This Row],[Ruimte code]],Ruimtegroepen[],4,FALSE)</f>
        <v>Ve</v>
      </c>
      <c r="S387" s="434">
        <v>40</v>
      </c>
      <c r="T387" s="434" t="s">
        <v>2</v>
      </c>
      <c r="U387" s="434">
        <f>IF(S387&gt;0,IF(RIGHT(Ruimtestaat[[#This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7" s="434">
        <f>IF(U387&gt;0,VLOOKUP($J387,Ruimtegroepen[],3,FALSE)*VLOOKUP($L387,Vloersoorten[],3,FALSE)*VLOOKUP($T387,Frequenties[],3,FALSE)*VLOOKUP($A387,Locaties[],3,FALSE),0)</f>
        <v>0</v>
      </c>
      <c r="W387" s="434">
        <f>Ruimtestaat[[#This Row],[Uitvoeringen werkdagen]]*Ruimtestaat[[#This Row],[Oppervlak (netto)]]</f>
        <v>1200</v>
      </c>
      <c r="X387" s="441">
        <f>IF(V387&gt;0,Ruimtestaat[[#This Row],[Prest. (m2 /jaar) werkdagen]]/Ruimtestaat[[#This Row],[Norm (m2/uur) werkdagen]],0)</f>
        <v>0</v>
      </c>
      <c r="Y387" s="442">
        <f>Ruimtestaat[[#This Row],[Uitvoeringen werkdagen]]*Ruimtestaat[[#This Row],[Gedeeltelijk]]</f>
        <v>0</v>
      </c>
      <c r="Z387" s="443" t="e">
        <f>IF(U387&gt;0,Ruimtestaat[[#This Row],[Prest. (m2 / jaar) werkdagen gedeeld]]/Ruimtestaat[[#This Row],[Norm (m2/uur) werkdagen]],0)</f>
        <v>#DIV/0!</v>
      </c>
      <c r="AA387" s="441" t="e">
        <f>Ruimtestaat[[#This Row],[uren / jaar werkdagen gedeeld]]*Tariefsopbouw!$E$35</f>
        <v>#DIV/0!</v>
      </c>
      <c r="AB387" s="441">
        <f>Ruimtestaat[[#This Row],[Uitvoeringen werkdagen]]*Ruimtestaat[[#This Row],[BSO]]</f>
        <v>0</v>
      </c>
      <c r="AC387" s="443" t="e">
        <f>IF(U387&gt;0,Ruimtestaat[[#This Row],[Prest. (m2 / jaar) werkdagen BSO]]/Ruimtestaat[[#This Row],[Norm (m2/uur) werkdagen]],0)</f>
        <v>#DIV/0!</v>
      </c>
      <c r="AD387" s="443" t="e">
        <f>Ruimtestaat[[#This Row],[uren / jaar werkdagen BSO]]*Tariefsopbouw!$E$35</f>
        <v>#DIV/0!</v>
      </c>
      <c r="AE387" s="444">
        <f>Ruimtestaat[[#This Row],[uren / jaar werkdagen]]*Tariefsopbouw!$E$35</f>
        <v>0</v>
      </c>
      <c r="AF387" s="434"/>
      <c r="AG387" s="434">
        <f>IF(Ruimtestaat[[#This Row],[Frequentie weekend]]&gt;0,VALUE(LEFT(AF387,1))*S387,0)</f>
        <v>0</v>
      </c>
      <c r="AH387" s="445">
        <f>IF($AG387&gt;0,VLOOKUP($J387,Ruimtegroepen[],3,FALSE)*VLOOKUP($L387,Vloersoorten[],3,FALSE)*VLOOKUP($AF387,Frequenties[],3,FALSE)*VLOOKUP(Ruimtestaat[[#This Row],[Code]],Locaties[],3,FALSE),0)</f>
        <v>0</v>
      </c>
      <c r="AI387" s="445">
        <f>Ruimtestaat[[#This Row],[Uitvoeringen weekend]]*Ruimtestaat[[#This Row],[Oppervlak (netto)]]</f>
        <v>0</v>
      </c>
      <c r="AJ387" s="445">
        <f>IF(AH387&gt;0,Ruimtestaat[[#This Row],[Prest. (m2 /jaar) weekend]]/Ruimtestaat[[#This Row],[Norm (m2/uur) weekend]],0)</f>
        <v>0</v>
      </c>
      <c r="AK387" s="444">
        <f>Ruimtestaat[[#This Row],[uren / jaar weekend]]*Tariefsopbouw!$D$40</f>
        <v>0</v>
      </c>
      <c r="AL387" s="441">
        <f>Ruimtestaat[[#This Row],[Prest. (m2 /jaar) weekend]]+Ruimtestaat[[#This Row],[Prest. (m2 /jaar) werkdagen]]</f>
        <v>1200</v>
      </c>
      <c r="AM387" s="441">
        <f>Ruimtestaat[[#This Row],[uren / jaar weekend]]+Ruimtestaat[[#This Row],[uren / jaar werkdagen]]</f>
        <v>0</v>
      </c>
      <c r="AN387" s="446">
        <f>Ruimtestaat[[#This Row],[kosten / jaar weekend]]+Ruimtestaat[[#This Row],[kosten / jaar werkdagen]]</f>
        <v>0</v>
      </c>
      <c r="AO387" s="446"/>
      <c r="AP387" s="447" t="str">
        <f>IF(Ruimtestaat[[#This Row],[Frequentie werkdagen]]="","",_xlfn.CONCAT(Ruimtestaat[[#This Row],[Ruimte code]],"-",Ruimtestaat[[#This Row],[Frequentie werkdagen]]," ",Ruimtestaat[[#This Row],[Vloer code]]))</f>
        <v>1-5w S</v>
      </c>
      <c r="AQ387" s="448" t="str">
        <f>_xlfn.IFNA(VLOOKUP($AP387,Programma!$F$3:$G$1101,2,0),"")</f>
        <v>_</v>
      </c>
      <c r="AR387" s="448" t="str">
        <f>_xlfn.IFNA(VLOOKUP($AP387,Programma!$F$3:$H$1101,3,0),"")</f>
        <v>_</v>
      </c>
      <c r="AS387" s="448" t="str">
        <f>_xlfn.IFNA(VLOOKUP($AP387,Programma!$F$3:$I$1101,4,0),"")</f>
        <v>4w</v>
      </c>
      <c r="AT387" s="448" t="str">
        <f>_xlfn.IFNA(VLOOKUP($AP387,Programma!$F$3:$J$1101,5,0),"")</f>
        <v>1w</v>
      </c>
      <c r="AU387" s="448" t="str">
        <f>_xlfn.IFNA(VLOOKUP($AP387,Programma!$F$3:$K$1101,6,0),"")</f>
        <v>1j</v>
      </c>
      <c r="AV387" s="448" t="str">
        <f>_xlfn.IFNA(VLOOKUP($AP387,Programma!$F$3:$L$1101,7,0),"")</f>
        <v>_</v>
      </c>
      <c r="AW387" s="448" t="str">
        <f>_xlfn.IFNA(VLOOKUP($AP387,Programma!$F$3:$M$1101,8,0),"")</f>
        <v>_</v>
      </c>
      <c r="AX387" s="448" t="str">
        <f>_xlfn.IFNA(VLOOKUP($AP387,Programma!$F$3:$N$1101,9,0),"")</f>
        <v>_</v>
      </c>
      <c r="AY387" s="448" t="str">
        <f>_xlfn.IFNA(VLOOKUP($AP387,Programma!$F$3:$O$1101,10,0),"")</f>
        <v>_</v>
      </c>
      <c r="AZ387" s="448" t="str">
        <f>_xlfn.IFNA(VLOOKUP($AP387,Programma!$F$3:$P$1101,11,0),"")</f>
        <v>_</v>
      </c>
      <c r="BA387" s="448" t="str">
        <f>_xlfn.IFNA(VLOOKUP($AP387,Programma!$F$3:$Q$1101,12,0),"")</f>
        <v>_</v>
      </c>
      <c r="BB387" s="448" t="str">
        <f>_xlfn.IFNA(VLOOKUP($AP387,Programma!$F$3:$R$1101,13,0),"")</f>
        <v>_</v>
      </c>
      <c r="BC387" s="448" t="str">
        <f>_xlfn.IFNA(VLOOKUP($AP387,Programma!$F$3:$S$1101,14,0),"")</f>
        <v>5w</v>
      </c>
      <c r="BD387" s="448" t="str">
        <f>_xlfn.IFNA(VLOOKUP($AP387,Programma!$F$3:$T$1101,15,0),"")</f>
        <v>4j</v>
      </c>
      <c r="BE387" s="448" t="str">
        <f>_xlfn.IFNA(VLOOKUP($AP387,Programma!$F$3:$U$1101,16,0),"")</f>
        <v>4j</v>
      </c>
      <c r="BF387" s="448" t="str">
        <f>_xlfn.IFNA(VLOOKUP($AP387,Programma!$F$3:$V$1101,17,0),"")</f>
        <v>_</v>
      </c>
      <c r="BG387" s="448" t="str">
        <f>_xlfn.IFNA(VLOOKUP($AP387,Programma!$F$3:$W$1101,18,0),"")</f>
        <v>_</v>
      </c>
      <c r="BH387" s="448" t="str">
        <f>_xlfn.IFNA(VLOOKUP($AP387,Programma!$F$3:$X$1101,19,0),"")</f>
        <v>_</v>
      </c>
      <c r="BI387" s="448" t="str">
        <f>_xlfn.IFNA(VLOOKUP($AP387,Programma!$F$3:$Y$1101,20,0),"")</f>
        <v>_</v>
      </c>
      <c r="BJ387" s="449"/>
      <c r="BK387" s="447" t="str">
        <f>IF(Ruimtestaat[[#This Row],[Frequentie weekend]]="","",_xlfn.CONCAT(Ruimtestaat[[#This Row],[Ruimte code]],"-",Ruimtestaat[[#This Row],[Frequentie weekend]]," ",Ruimtestaat[[#This Row],[Vloer code]]))</f>
        <v/>
      </c>
      <c r="BL387" s="448" t="str">
        <f>_xlfn.IFNA(VLOOKUP($BK387,Programma!$F$3:$G$1101,2,0),"")</f>
        <v/>
      </c>
      <c r="BM387" s="448" t="str">
        <f>_xlfn.IFNA(VLOOKUP($BK387,Programma!$F$3:$H$1101,3,0),"")</f>
        <v/>
      </c>
      <c r="BN387" s="448" t="str">
        <f>_xlfn.IFNA(VLOOKUP($BK387,Programma!$F$3:$I$1101,4,0),"")</f>
        <v/>
      </c>
      <c r="BO387" s="448" t="str">
        <f>_xlfn.IFNA(VLOOKUP($BK387,Programma!$F$3:$J$1101,5,0),"")</f>
        <v/>
      </c>
      <c r="BP387" s="448" t="str">
        <f>_xlfn.IFNA(VLOOKUP($BK387,Programma!$F$3:$K$1101,6,0),"")</f>
        <v/>
      </c>
      <c r="BQ387" s="448" t="str">
        <f>_xlfn.IFNA(VLOOKUP($BK387,Programma!$F$3:$L$1101,7,0),"")</f>
        <v/>
      </c>
      <c r="BR387" s="448" t="str">
        <f>_xlfn.IFNA(VLOOKUP($BK387,Programma!$F$3:$M$1101,8,0),"")</f>
        <v/>
      </c>
      <c r="BS387" s="448" t="str">
        <f>_xlfn.IFNA(VLOOKUP($BK387,Programma!$F$3:$N$1101,9,0),"")</f>
        <v/>
      </c>
      <c r="BT387" s="448" t="str">
        <f>_xlfn.IFNA(VLOOKUP($BK387,Programma!$F$3:$O$1101,10,0),"")</f>
        <v/>
      </c>
      <c r="BU387" s="448" t="str">
        <f>_xlfn.IFNA(VLOOKUP($BK387,Programma!$F$3:$P$1101,11,0),"")</f>
        <v/>
      </c>
      <c r="BV387" s="448" t="str">
        <f>_xlfn.IFNA(VLOOKUP($BK387,Programma!$F$3:$Q$1101,12,0),"")</f>
        <v/>
      </c>
      <c r="BW387" s="448" t="str">
        <f>_xlfn.IFNA(VLOOKUP($BK387,Programma!$F$3:$R$1101,13,0),"")</f>
        <v/>
      </c>
      <c r="BX387" s="448" t="str">
        <f>_xlfn.IFNA(VLOOKUP($BK387,Programma!$F$3:$S$1101,14,0),"")</f>
        <v/>
      </c>
      <c r="BY387" s="448" t="str">
        <f>_xlfn.IFNA(VLOOKUP($BK387,Programma!$F$3:$T$1101,15,0),"")</f>
        <v/>
      </c>
      <c r="BZ387" s="448" t="str">
        <f>_xlfn.IFNA(VLOOKUP($BK387,Programma!$F$3:$U$1101,16,0),"")</f>
        <v/>
      </c>
      <c r="CA387" s="448" t="str">
        <f>_xlfn.IFNA(VLOOKUP($BK387,Programma!$F$3:$V$1101,17,0),"")</f>
        <v/>
      </c>
      <c r="CB387" s="448" t="str">
        <f>_xlfn.IFNA(VLOOKUP($BK387,Programma!$F$3:$W$1101,18,0),"")</f>
        <v/>
      </c>
      <c r="CC387" s="448" t="str">
        <f>_xlfn.IFNA(VLOOKUP($BK387,Programma!$F$3:$X$1101,19,0),"")</f>
        <v/>
      </c>
      <c r="CD387" s="448" t="str">
        <f>_xlfn.IFNA(VLOOKUP($BK387,Programma!$F$3:$Y$1101,20,0),"")</f>
        <v/>
      </c>
      <c r="CE387" s="327"/>
      <c r="CF387" s="327"/>
      <c r="CG387" s="327"/>
      <c r="CH387" s="327"/>
      <c r="CI387" s="327"/>
      <c r="CJ387" s="327"/>
      <c r="CK387" s="327"/>
      <c r="CL387" s="327"/>
      <c r="CM387" s="327"/>
      <c r="CN387" s="327"/>
      <c r="CO387" s="327"/>
      <c r="CP387" s="327"/>
      <c r="CQ387" s="327"/>
      <c r="CR387" s="327"/>
      <c r="CS387" s="327"/>
      <c r="CT387" s="327"/>
      <c r="CU387" s="327"/>
      <c r="CV387" s="327"/>
      <c r="CW387" s="327"/>
      <c r="CX387" s="327"/>
      <c r="CY387" s="327"/>
      <c r="CZ387" s="327"/>
      <c r="DA387" s="327"/>
      <c r="DB387" s="327"/>
      <c r="DC387" s="327"/>
      <c r="DD387" s="327"/>
      <c r="DE387" s="327"/>
      <c r="DF387" s="327"/>
      <c r="DG387" s="327"/>
      <c r="DH387" s="327"/>
      <c r="DI387" s="327"/>
      <c r="DJ387" s="327"/>
      <c r="DK387" s="327"/>
      <c r="DL387" s="327"/>
      <c r="DM387" s="327"/>
      <c r="DN387" s="327"/>
      <c r="DO387" s="327"/>
      <c r="DP387" s="327"/>
      <c r="DQ387" s="327"/>
      <c r="DR387" s="327"/>
      <c r="DS387" s="327"/>
      <c r="DT387" s="327"/>
      <c r="DU387" s="327"/>
      <c r="DV387" s="327"/>
      <c r="DW387" s="327"/>
      <c r="DX387" s="327"/>
      <c r="DY387" s="327"/>
      <c r="DZ387" s="327"/>
      <c r="EA387" s="327"/>
      <c r="EB387" s="327"/>
      <c r="EC387" s="327"/>
      <c r="ED387" s="327"/>
      <c r="EE387" s="327"/>
      <c r="EF387" s="327"/>
      <c r="EG387" s="327"/>
      <c r="EH387" s="327"/>
      <c r="EI387" s="327"/>
      <c r="EJ387" s="327"/>
      <c r="EK387" s="327"/>
      <c r="EL387" s="327"/>
      <c r="EM387" s="327"/>
      <c r="EN387" s="327"/>
      <c r="EO387" s="327"/>
      <c r="EP387" s="327"/>
      <c r="EQ387" s="327"/>
      <c r="ER387" s="327"/>
      <c r="ES387" s="327"/>
      <c r="ET387" s="327"/>
      <c r="EU387" s="327"/>
      <c r="EV387" s="327"/>
      <c r="EW387" s="327"/>
      <c r="EX387" s="327"/>
      <c r="EY387" s="327"/>
      <c r="EZ387" s="327"/>
      <c r="FA387" s="327"/>
      <c r="FB387" s="327"/>
      <c r="FC387" s="327"/>
      <c r="FD387" s="327"/>
      <c r="FE387" s="327"/>
      <c r="FF387" s="327"/>
      <c r="FG387" s="327"/>
      <c r="FH387" s="327"/>
      <c r="FI387" s="327"/>
      <c r="FJ387" s="327"/>
      <c r="FK387" s="327"/>
      <c r="FL387" s="327"/>
      <c r="FM387" s="327"/>
      <c r="FN387" s="327"/>
      <c r="FO387" s="327"/>
      <c r="FP387" s="327"/>
      <c r="FQ387" s="327"/>
      <c r="FR387" s="327"/>
      <c r="FS387" s="327"/>
      <c r="FT387" s="327"/>
      <c r="FU387" s="327"/>
      <c r="FV387" s="327"/>
      <c r="FW387" s="327"/>
      <c r="FX387" s="327"/>
      <c r="FY387" s="327"/>
      <c r="FZ387" s="327"/>
      <c r="GA387" s="327"/>
      <c r="GB387" s="327"/>
      <c r="GC387" s="327"/>
      <c r="GD387" s="327"/>
      <c r="GE387" s="327"/>
      <c r="GF387" s="327"/>
      <c r="GG387" s="327"/>
      <c r="GH387" s="327"/>
      <c r="GI387" s="327"/>
      <c r="GJ387" s="327"/>
      <c r="GK387" s="327"/>
      <c r="GL387" s="327"/>
      <c r="GM387" s="327"/>
      <c r="GN387" s="327"/>
      <c r="GO387" s="327"/>
      <c r="GP387" s="327"/>
      <c r="GQ387" s="327"/>
      <c r="GR387" s="327"/>
      <c r="GS387" s="327"/>
      <c r="GT387" s="327"/>
      <c r="GU387" s="327"/>
      <c r="GV387" s="327"/>
      <c r="GW387" s="327"/>
      <c r="GX387" s="327"/>
      <c r="GY387" s="327"/>
      <c r="GZ387" s="327"/>
      <c r="HA387" s="327"/>
      <c r="HB387" s="327"/>
      <c r="HC387" s="327"/>
      <c r="HD387" s="327"/>
      <c r="HE387" s="327"/>
      <c r="HF387" s="327"/>
      <c r="HG387" s="327"/>
      <c r="HH387" s="327"/>
      <c r="HI387" s="327"/>
      <c r="HJ387" s="327"/>
      <c r="HK387" s="327"/>
      <c r="HL387" s="327"/>
      <c r="HM387" s="327"/>
      <c r="HN387" s="327"/>
      <c r="HO387" s="327"/>
      <c r="HP387" s="327"/>
      <c r="HQ387" s="327"/>
      <c r="HR387" s="327"/>
      <c r="HS387" s="327"/>
    </row>
    <row r="388" spans="1:227" ht="15" customHeight="1">
      <c r="A388" s="327">
        <v>17</v>
      </c>
      <c r="B388" s="435" t="str">
        <f>VLOOKUP(Ruimtestaat[[#This Row],[Code]],Locaties[[Code]:[Locatie]],2,FALSE)</f>
        <v>IKC de Tjalk Kadelaan 208 (bijgebouw)</v>
      </c>
      <c r="C388" s="435" t="str">
        <f>VLOOKUP(Ruimtestaat[[#This Row],[Code]],Locaties[[#All],[Code]:[Adres]],4,FALSE)</f>
        <v>Kadelaan 208</v>
      </c>
      <c r="D388" s="435" t="str">
        <f>VLOOKUP(Ruimtestaat[[#This Row],[Code]],Locaties[[#All],[Code]:[Postcode]],5,FALSE)</f>
        <v>2725 BR</v>
      </c>
      <c r="E388" s="435" t="str">
        <f>VLOOKUP(Ruimtestaat[[#This Row],[Code]],Locaties[#All],6,FALSE)</f>
        <v>Zoetermeer</v>
      </c>
      <c r="F388" s="450"/>
      <c r="G388" s="330" t="s">
        <v>1678</v>
      </c>
      <c r="H388" s="330">
        <v>10</v>
      </c>
      <c r="I388" s="450" t="s">
        <v>1844</v>
      </c>
      <c r="J388" s="330">
        <v>16</v>
      </c>
      <c r="K388" s="450" t="str">
        <f>VLOOKUP(Ruimtestaat[[#This Row],[Ruimte code]],Ruimtegroepen[[#All],[Code]:[Ruimte omschrijving]],2,FALSE)</f>
        <v>Leslokalen</v>
      </c>
      <c r="L388" s="330" t="s">
        <v>101</v>
      </c>
      <c r="M388" s="437" t="s">
        <v>1816</v>
      </c>
      <c r="N388" s="439">
        <v>56.17</v>
      </c>
      <c r="O388" s="439"/>
      <c r="P388" s="439"/>
      <c r="Q388" s="439"/>
      <c r="R388" s="440" t="str">
        <f>VLOOKUP(Ruimtestaat[[#This Row],[Ruimte code]],Ruimtegroepen[],4,FALSE)</f>
        <v>Le</v>
      </c>
      <c r="S388" s="434">
        <v>40</v>
      </c>
      <c r="T388" s="434" t="s">
        <v>2</v>
      </c>
      <c r="U388" s="434">
        <f>IF(S388&gt;0,IF(RIGHT(Ruimtestaat[[#This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8" s="434">
        <f>IF(U388&gt;0,VLOOKUP($J388,Ruimtegroepen[],3,FALSE)*VLOOKUP($L388,Vloersoorten[],3,FALSE)*VLOOKUP($T388,Frequenties[],3,FALSE)*VLOOKUP($A388,Locaties[],3,FALSE),0)</f>
        <v>0</v>
      </c>
      <c r="W388" s="434">
        <f>Ruimtestaat[[#This Row],[Uitvoeringen werkdagen]]*Ruimtestaat[[#This Row],[Oppervlak (netto)]]</f>
        <v>11234</v>
      </c>
      <c r="X388" s="441">
        <f>IF(V388&gt;0,Ruimtestaat[[#This Row],[Prest. (m2 /jaar) werkdagen]]/Ruimtestaat[[#This Row],[Norm (m2/uur) werkdagen]],0)</f>
        <v>0</v>
      </c>
      <c r="Y388" s="442">
        <f>Ruimtestaat[[#This Row],[Uitvoeringen werkdagen]]*Ruimtestaat[[#This Row],[Gedeeltelijk]]</f>
        <v>0</v>
      </c>
      <c r="Z388" s="443" t="e">
        <f>IF(U388&gt;0,Ruimtestaat[[#This Row],[Prest. (m2 / jaar) werkdagen gedeeld]]/Ruimtestaat[[#This Row],[Norm (m2/uur) werkdagen]],0)</f>
        <v>#DIV/0!</v>
      </c>
      <c r="AA388" s="441" t="e">
        <f>Ruimtestaat[[#This Row],[uren / jaar werkdagen gedeeld]]*Tariefsopbouw!$E$35</f>
        <v>#DIV/0!</v>
      </c>
      <c r="AB388" s="441">
        <f>Ruimtestaat[[#This Row],[Uitvoeringen werkdagen]]*Ruimtestaat[[#This Row],[BSO]]</f>
        <v>0</v>
      </c>
      <c r="AC388" s="443" t="e">
        <f>IF(U388&gt;0,Ruimtestaat[[#This Row],[Prest. (m2 / jaar) werkdagen BSO]]/Ruimtestaat[[#This Row],[Norm (m2/uur) werkdagen]],0)</f>
        <v>#DIV/0!</v>
      </c>
      <c r="AD388" s="443" t="e">
        <f>Ruimtestaat[[#This Row],[uren / jaar werkdagen BSO]]*Tariefsopbouw!$E$35</f>
        <v>#DIV/0!</v>
      </c>
      <c r="AE388" s="444">
        <f>Ruimtestaat[[#This Row],[uren / jaar werkdagen]]*Tariefsopbouw!$E$35</f>
        <v>0</v>
      </c>
      <c r="AF388" s="434"/>
      <c r="AG388" s="434">
        <f>IF(Ruimtestaat[[#This Row],[Frequentie weekend]]&gt;0,VALUE(LEFT(AF388,1))*S388,0)</f>
        <v>0</v>
      </c>
      <c r="AH388" s="445">
        <f>IF($AG388&gt;0,VLOOKUP($J388,Ruimtegroepen[],3,FALSE)*VLOOKUP($L388,Vloersoorten[],3,FALSE)*VLOOKUP($AF388,Frequenties[],3,FALSE)*VLOOKUP(Ruimtestaat[[#This Row],[Code]],Locaties[],3,FALSE),0)</f>
        <v>0</v>
      </c>
      <c r="AI388" s="445">
        <f>Ruimtestaat[[#This Row],[Uitvoeringen weekend]]*Ruimtestaat[[#This Row],[Oppervlak (netto)]]</f>
        <v>0</v>
      </c>
      <c r="AJ388" s="445">
        <f>IF(AH388&gt;0,Ruimtestaat[[#This Row],[Prest. (m2 /jaar) weekend]]/Ruimtestaat[[#This Row],[Norm (m2/uur) weekend]],0)</f>
        <v>0</v>
      </c>
      <c r="AK388" s="444">
        <f>Ruimtestaat[[#This Row],[uren / jaar weekend]]*Tariefsopbouw!$D$40</f>
        <v>0</v>
      </c>
      <c r="AL388" s="441">
        <f>Ruimtestaat[[#This Row],[Prest. (m2 /jaar) weekend]]+Ruimtestaat[[#This Row],[Prest. (m2 /jaar) werkdagen]]</f>
        <v>11234</v>
      </c>
      <c r="AM388" s="441">
        <f>Ruimtestaat[[#This Row],[uren / jaar weekend]]+Ruimtestaat[[#This Row],[uren / jaar werkdagen]]</f>
        <v>0</v>
      </c>
      <c r="AN388" s="446">
        <f>Ruimtestaat[[#This Row],[kosten / jaar weekend]]+Ruimtestaat[[#This Row],[kosten / jaar werkdagen]]</f>
        <v>0</v>
      </c>
      <c r="AO388" s="446"/>
      <c r="AP388" s="447" t="str">
        <f>IF(Ruimtestaat[[#This Row],[Frequentie werkdagen]]="","",_xlfn.CONCAT(Ruimtestaat[[#This Row],[Ruimte code]],"-",Ruimtestaat[[#This Row],[Frequentie werkdagen]]," ",Ruimtestaat[[#This Row],[Vloer code]]))</f>
        <v>16-5w S</v>
      </c>
      <c r="AQ388" s="448" t="str">
        <f>_xlfn.IFNA(VLOOKUP($AP388,Programma!$F$3:$G$1101,2,0),"")</f>
        <v>_</v>
      </c>
      <c r="AR388" s="448" t="str">
        <f>_xlfn.IFNA(VLOOKUP($AP388,Programma!$F$3:$H$1101,3,0),"")</f>
        <v>_</v>
      </c>
      <c r="AS388" s="448" t="str">
        <f>_xlfn.IFNA(VLOOKUP($AP388,Programma!$F$3:$I$1101,4,0),"")</f>
        <v>4w</v>
      </c>
      <c r="AT388" s="448" t="str">
        <f>_xlfn.IFNA(VLOOKUP($AP388,Programma!$F$3:$J$1101,5,0),"")</f>
        <v>1w</v>
      </c>
      <c r="AU388" s="448" t="str">
        <f>_xlfn.IFNA(VLOOKUP($AP388,Programma!$F$3:$K$1101,6,0),"")</f>
        <v>1m</v>
      </c>
      <c r="AV388" s="448" t="str">
        <f>_xlfn.IFNA(VLOOKUP($AP388,Programma!$F$3:$L$1101,7,0),"")</f>
        <v>_</v>
      </c>
      <c r="AW388" s="448" t="str">
        <f>_xlfn.IFNA(VLOOKUP($AP388,Programma!$F$3:$M$1101,8,0),"")</f>
        <v>_</v>
      </c>
      <c r="AX388" s="448" t="str">
        <f>_xlfn.IFNA(VLOOKUP($AP388,Programma!$F$3:$N$1101,9,0),"")</f>
        <v>_</v>
      </c>
      <c r="AY388" s="448" t="str">
        <f>_xlfn.IFNA(VLOOKUP($AP388,Programma!$F$3:$O$1101,10,0),"")</f>
        <v>5w</v>
      </c>
      <c r="AZ388" s="448" t="str">
        <f>_xlfn.IFNA(VLOOKUP($AP388,Programma!$F$3:$P$1101,11,0),"")</f>
        <v>5w</v>
      </c>
      <c r="BA388" s="448" t="str">
        <f>_xlfn.IFNA(VLOOKUP($AP388,Programma!$F$3:$Q$1101,12,0),"")</f>
        <v>1w</v>
      </c>
      <c r="BB388" s="448" t="str">
        <f>_xlfn.IFNA(VLOOKUP($AP388,Programma!$F$3:$R$1101,13,0),"")</f>
        <v>1w</v>
      </c>
      <c r="BC388" s="448" t="str">
        <f>_xlfn.IFNA(VLOOKUP($AP388,Programma!$F$3:$S$1101,14,0),"")</f>
        <v>1m</v>
      </c>
      <c r="BD388" s="448" t="str">
        <f>_xlfn.IFNA(VLOOKUP($AP388,Programma!$F$3:$T$1101,15,0),"")</f>
        <v>2j</v>
      </c>
      <c r="BE388" s="448" t="str">
        <f>_xlfn.IFNA(VLOOKUP($AP388,Programma!$F$3:$U$1101,16,0),"")</f>
        <v>1j</v>
      </c>
      <c r="BF388" s="448" t="str">
        <f>_xlfn.IFNA(VLOOKUP($AP388,Programma!$F$3:$V$1101,17,0),"")</f>
        <v>_</v>
      </c>
      <c r="BG388" s="448" t="str">
        <f>_xlfn.IFNA(VLOOKUP($AP388,Programma!$F$3:$W$1101,18,0),"")</f>
        <v>_</v>
      </c>
      <c r="BH388" s="448" t="str">
        <f>_xlfn.IFNA(VLOOKUP($AP388,Programma!$F$3:$X$1101,19,0),"")</f>
        <v>_</v>
      </c>
      <c r="BI388" s="448" t="str">
        <f>_xlfn.IFNA(VLOOKUP($AP388,Programma!$F$3:$Y$1101,20,0),"")</f>
        <v>_</v>
      </c>
      <c r="BJ388" s="449"/>
      <c r="BK388" s="447" t="str">
        <f>IF(Ruimtestaat[[#This Row],[Frequentie weekend]]="","",_xlfn.CONCAT(Ruimtestaat[[#This Row],[Ruimte code]],"-",Ruimtestaat[[#This Row],[Frequentie weekend]]," ",Ruimtestaat[[#This Row],[Vloer code]]))</f>
        <v/>
      </c>
      <c r="BL388" s="448" t="str">
        <f>_xlfn.IFNA(VLOOKUP($BK388,Programma!$F$3:$G$1101,2,0),"")</f>
        <v/>
      </c>
      <c r="BM388" s="448" t="str">
        <f>_xlfn.IFNA(VLOOKUP($BK388,Programma!$F$3:$H$1101,3,0),"")</f>
        <v/>
      </c>
      <c r="BN388" s="448" t="str">
        <f>_xlfn.IFNA(VLOOKUP($BK388,Programma!$F$3:$I$1101,4,0),"")</f>
        <v/>
      </c>
      <c r="BO388" s="448" t="str">
        <f>_xlfn.IFNA(VLOOKUP($BK388,Programma!$F$3:$J$1101,5,0),"")</f>
        <v/>
      </c>
      <c r="BP388" s="448" t="str">
        <f>_xlfn.IFNA(VLOOKUP($BK388,Programma!$F$3:$K$1101,6,0),"")</f>
        <v/>
      </c>
      <c r="BQ388" s="448" t="str">
        <f>_xlfn.IFNA(VLOOKUP($BK388,Programma!$F$3:$L$1101,7,0),"")</f>
        <v/>
      </c>
      <c r="BR388" s="448" t="str">
        <f>_xlfn.IFNA(VLOOKUP($BK388,Programma!$F$3:$M$1101,8,0),"")</f>
        <v/>
      </c>
      <c r="BS388" s="448" t="str">
        <f>_xlfn.IFNA(VLOOKUP($BK388,Programma!$F$3:$N$1101,9,0),"")</f>
        <v/>
      </c>
      <c r="BT388" s="448" t="str">
        <f>_xlfn.IFNA(VLOOKUP($BK388,Programma!$F$3:$O$1101,10,0),"")</f>
        <v/>
      </c>
      <c r="BU388" s="448" t="str">
        <f>_xlfn.IFNA(VLOOKUP($BK388,Programma!$F$3:$P$1101,11,0),"")</f>
        <v/>
      </c>
      <c r="BV388" s="448" t="str">
        <f>_xlfn.IFNA(VLOOKUP($BK388,Programma!$F$3:$Q$1101,12,0),"")</f>
        <v/>
      </c>
      <c r="BW388" s="448" t="str">
        <f>_xlfn.IFNA(VLOOKUP($BK388,Programma!$F$3:$R$1101,13,0),"")</f>
        <v/>
      </c>
      <c r="BX388" s="448" t="str">
        <f>_xlfn.IFNA(VLOOKUP($BK388,Programma!$F$3:$S$1101,14,0),"")</f>
        <v/>
      </c>
      <c r="BY388" s="448" t="str">
        <f>_xlfn.IFNA(VLOOKUP($BK388,Programma!$F$3:$T$1101,15,0),"")</f>
        <v/>
      </c>
      <c r="BZ388" s="448" t="str">
        <f>_xlfn.IFNA(VLOOKUP($BK388,Programma!$F$3:$U$1101,16,0),"")</f>
        <v/>
      </c>
      <c r="CA388" s="448" t="str">
        <f>_xlfn.IFNA(VLOOKUP($BK388,Programma!$F$3:$V$1101,17,0),"")</f>
        <v/>
      </c>
      <c r="CB388" s="448" t="str">
        <f>_xlfn.IFNA(VLOOKUP($BK388,Programma!$F$3:$W$1101,18,0),"")</f>
        <v/>
      </c>
      <c r="CC388" s="448" t="str">
        <f>_xlfn.IFNA(VLOOKUP($BK388,Programma!$F$3:$X$1101,19,0),"")</f>
        <v/>
      </c>
      <c r="CD388" s="448" t="str">
        <f>_xlfn.IFNA(VLOOKUP($BK388,Programma!$F$3:$Y$1101,20,0),"")</f>
        <v/>
      </c>
      <c r="CE388" s="327"/>
      <c r="CF388" s="327"/>
      <c r="CG388" s="327"/>
      <c r="CH388" s="327"/>
      <c r="CI388" s="327"/>
      <c r="CJ388" s="327"/>
      <c r="CK388" s="327"/>
      <c r="CL388" s="327"/>
      <c r="CM388" s="327"/>
      <c r="CN388" s="327"/>
      <c r="CO388" s="327"/>
      <c r="CP388" s="327"/>
      <c r="CQ388" s="327"/>
      <c r="CR388" s="327"/>
      <c r="CS388" s="327"/>
      <c r="CT388" s="327"/>
      <c r="CU388" s="327"/>
      <c r="CV388" s="327"/>
      <c r="CW388" s="327"/>
      <c r="CX388" s="327"/>
      <c r="CY388" s="327"/>
      <c r="CZ388" s="327"/>
      <c r="DA388" s="327"/>
      <c r="DB388" s="327"/>
      <c r="DC388" s="327"/>
      <c r="DD388" s="327"/>
      <c r="DE388" s="327"/>
      <c r="DF388" s="327"/>
      <c r="DG388" s="327"/>
      <c r="DH388" s="327"/>
      <c r="DI388" s="327"/>
      <c r="DJ388" s="327"/>
      <c r="DK388" s="327"/>
      <c r="DL388" s="327"/>
      <c r="DM388" s="327"/>
      <c r="DN388" s="327"/>
      <c r="DO388" s="327"/>
      <c r="DP388" s="327"/>
      <c r="DQ388" s="327"/>
      <c r="DR388" s="327"/>
      <c r="DS388" s="327"/>
      <c r="DT388" s="327"/>
      <c r="DU388" s="327"/>
      <c r="DV388" s="327"/>
      <c r="DW388" s="327"/>
      <c r="DX388" s="327"/>
      <c r="DY388" s="327"/>
      <c r="DZ388" s="327"/>
      <c r="EA388" s="327"/>
      <c r="EB388" s="327"/>
      <c r="EC388" s="327"/>
      <c r="ED388" s="327"/>
      <c r="EE388" s="327"/>
      <c r="EF388" s="327"/>
      <c r="EG388" s="327"/>
      <c r="EH388" s="327"/>
      <c r="EI388" s="327"/>
      <c r="EJ388" s="327"/>
      <c r="EK388" s="327"/>
      <c r="EL388" s="327"/>
      <c r="EM388" s="327"/>
      <c r="EN388" s="327"/>
      <c r="EO388" s="327"/>
      <c r="EP388" s="327"/>
      <c r="EQ388" s="327"/>
      <c r="ER388" s="327"/>
      <c r="ES388" s="327"/>
      <c r="ET388" s="327"/>
      <c r="EU388" s="327"/>
      <c r="EV388" s="327"/>
      <c r="EW388" s="327"/>
      <c r="EX388" s="327"/>
      <c r="EY388" s="327"/>
      <c r="EZ388" s="327"/>
      <c r="FA388" s="327"/>
      <c r="FB388" s="327"/>
      <c r="FC388" s="327"/>
      <c r="FD388" s="327"/>
      <c r="FE388" s="327"/>
      <c r="FF388" s="327"/>
      <c r="FG388" s="327"/>
      <c r="FH388" s="327"/>
      <c r="FI388" s="327"/>
      <c r="FJ388" s="327"/>
      <c r="FK388" s="327"/>
      <c r="FL388" s="327"/>
      <c r="FM388" s="327"/>
      <c r="FN388" s="327"/>
      <c r="FO388" s="327"/>
      <c r="FP388" s="327"/>
      <c r="FQ388" s="327"/>
      <c r="FR388" s="327"/>
      <c r="FS388" s="327"/>
      <c r="FT388" s="327"/>
      <c r="FU388" s="327"/>
      <c r="FV388" s="327"/>
      <c r="FW388" s="327"/>
      <c r="FX388" s="327"/>
      <c r="FY388" s="327"/>
      <c r="FZ388" s="327"/>
      <c r="GA388" s="327"/>
      <c r="GB388" s="327"/>
      <c r="GC388" s="327"/>
      <c r="GD388" s="327"/>
      <c r="GE388" s="327"/>
      <c r="GF388" s="327"/>
      <c r="GG388" s="327"/>
      <c r="GH388" s="327"/>
      <c r="GI388" s="327"/>
      <c r="GJ388" s="327"/>
      <c r="GK388" s="327"/>
      <c r="GL388" s="327"/>
      <c r="GM388" s="327"/>
      <c r="GN388" s="327"/>
      <c r="GO388" s="327"/>
      <c r="GP388" s="327"/>
      <c r="GQ388" s="327"/>
      <c r="GR388" s="327"/>
      <c r="GS388" s="327"/>
      <c r="GT388" s="327"/>
      <c r="GU388" s="327"/>
      <c r="GV388" s="327"/>
      <c r="GW388" s="327"/>
      <c r="GX388" s="327"/>
      <c r="GY388" s="327"/>
      <c r="GZ388" s="327"/>
      <c r="HA388" s="327"/>
      <c r="HB388" s="327"/>
      <c r="HC388" s="327"/>
      <c r="HD388" s="327"/>
      <c r="HE388" s="327"/>
      <c r="HF388" s="327"/>
      <c r="HG388" s="327"/>
      <c r="HH388" s="327"/>
      <c r="HI388" s="327"/>
      <c r="HJ388" s="327"/>
      <c r="HK388" s="327"/>
      <c r="HL388" s="327"/>
      <c r="HM388" s="327"/>
      <c r="HN388" s="327"/>
      <c r="HO388" s="327"/>
      <c r="HP388" s="327"/>
      <c r="HQ388" s="327"/>
      <c r="HR388" s="327"/>
      <c r="HS388" s="327"/>
    </row>
    <row r="389" spans="1:227" ht="15" customHeight="1">
      <c r="A389" s="327">
        <v>17</v>
      </c>
      <c r="B389" s="435" t="str">
        <f>VLOOKUP(Ruimtestaat[[#This Row],[Code]],Locaties[[Code]:[Locatie]],2,FALSE)</f>
        <v>IKC de Tjalk Kadelaan 208 (bijgebouw)</v>
      </c>
      <c r="C389" s="435" t="str">
        <f>VLOOKUP(Ruimtestaat[[#This Row],[Code]],Locaties[[#All],[Code]:[Adres]],4,FALSE)</f>
        <v>Kadelaan 208</v>
      </c>
      <c r="D389" s="435" t="str">
        <f>VLOOKUP(Ruimtestaat[[#This Row],[Code]],Locaties[[#All],[Code]:[Postcode]],5,FALSE)</f>
        <v>2725 BR</v>
      </c>
      <c r="E389" s="435" t="str">
        <f>VLOOKUP(Ruimtestaat[[#This Row],[Code]],Locaties[#All],6,FALSE)</f>
        <v>Zoetermeer</v>
      </c>
      <c r="F389" s="450"/>
      <c r="G389" s="330" t="s">
        <v>1678</v>
      </c>
      <c r="H389" s="330">
        <v>11</v>
      </c>
      <c r="I389" s="450" t="s">
        <v>1720</v>
      </c>
      <c r="J389" s="330">
        <v>5</v>
      </c>
      <c r="K389" s="450" t="str">
        <f>VLOOKUP(Ruimtestaat[[#This Row],[Ruimte code]],Ruimtegroepen[[#All],[Code]:[Ruimte omschrijving]],2,FALSE)</f>
        <v>Sanitair</v>
      </c>
      <c r="L389" s="330" t="s">
        <v>101</v>
      </c>
      <c r="M389" s="437" t="s">
        <v>1816</v>
      </c>
      <c r="N389" s="439">
        <v>4.41</v>
      </c>
      <c r="O389" s="439"/>
      <c r="P389" s="439"/>
      <c r="Q389" s="439"/>
      <c r="R389" s="440" t="str">
        <f>VLOOKUP(Ruimtestaat[[#This Row],[Ruimte code]],Ruimtegroepen[],4,FALSE)</f>
        <v>Sa</v>
      </c>
      <c r="S389" s="434">
        <v>41</v>
      </c>
      <c r="T389" s="434" t="s">
        <v>2</v>
      </c>
      <c r="U389" s="434">
        <f>IF(S389&gt;0,IF(RIGHT(Ruimtestaat[[#This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89" s="434">
        <f>IF(U389&gt;0,VLOOKUP($J389,Ruimtegroepen[],3,FALSE)*VLOOKUP($L389,Vloersoorten[],3,FALSE)*VLOOKUP($T389,Frequenties[],3,FALSE)*VLOOKUP($A389,Locaties[],3,FALSE),0)</f>
        <v>0</v>
      </c>
      <c r="W389" s="434">
        <f>Ruimtestaat[[#This Row],[Uitvoeringen werkdagen]]*Ruimtestaat[[#This Row],[Oppervlak (netto)]]</f>
        <v>904.05000000000007</v>
      </c>
      <c r="X389" s="441">
        <f>IF(V389&gt;0,Ruimtestaat[[#This Row],[Prest. (m2 /jaar) werkdagen]]/Ruimtestaat[[#This Row],[Norm (m2/uur) werkdagen]],0)</f>
        <v>0</v>
      </c>
      <c r="Y389" s="442">
        <f>Ruimtestaat[[#This Row],[Uitvoeringen werkdagen]]*Ruimtestaat[[#This Row],[Gedeeltelijk]]</f>
        <v>0</v>
      </c>
      <c r="Z389" s="443" t="e">
        <f>IF(U389&gt;0,Ruimtestaat[[#This Row],[Prest. (m2 / jaar) werkdagen gedeeld]]/Ruimtestaat[[#This Row],[Norm (m2/uur) werkdagen]],0)</f>
        <v>#DIV/0!</v>
      </c>
      <c r="AA389" s="441" t="e">
        <f>Ruimtestaat[[#This Row],[uren / jaar werkdagen gedeeld]]*Tariefsopbouw!$E$35</f>
        <v>#DIV/0!</v>
      </c>
      <c r="AB389" s="441">
        <f>Ruimtestaat[[#This Row],[Uitvoeringen werkdagen]]*Ruimtestaat[[#This Row],[BSO]]</f>
        <v>0</v>
      </c>
      <c r="AC389" s="443" t="e">
        <f>IF(U389&gt;0,Ruimtestaat[[#This Row],[Prest. (m2 / jaar) werkdagen BSO]]/Ruimtestaat[[#This Row],[Norm (m2/uur) werkdagen]],0)</f>
        <v>#DIV/0!</v>
      </c>
      <c r="AD389" s="443" t="e">
        <f>Ruimtestaat[[#This Row],[uren / jaar werkdagen BSO]]*Tariefsopbouw!$E$35</f>
        <v>#DIV/0!</v>
      </c>
      <c r="AE389" s="444">
        <f>Ruimtestaat[[#This Row],[uren / jaar werkdagen]]*Tariefsopbouw!$E$35</f>
        <v>0</v>
      </c>
      <c r="AF389" s="434"/>
      <c r="AG389" s="434">
        <f>IF(Ruimtestaat[[#This Row],[Frequentie weekend]]&gt;0,VALUE(LEFT(AF389,1))*S389,0)</f>
        <v>0</v>
      </c>
      <c r="AH389" s="445">
        <f>IF($AG389&gt;0,VLOOKUP($J389,Ruimtegroepen[],3,FALSE)*VLOOKUP($L389,Vloersoorten[],3,FALSE)*VLOOKUP($AF389,Frequenties[],3,FALSE)*VLOOKUP(Ruimtestaat[[#This Row],[Code]],Locaties[],3,FALSE),0)</f>
        <v>0</v>
      </c>
      <c r="AI389" s="445">
        <f>Ruimtestaat[[#This Row],[Uitvoeringen weekend]]*Ruimtestaat[[#This Row],[Oppervlak (netto)]]</f>
        <v>0</v>
      </c>
      <c r="AJ389" s="445">
        <f>IF(AH389&gt;0,Ruimtestaat[[#This Row],[Prest. (m2 /jaar) weekend]]/Ruimtestaat[[#This Row],[Norm (m2/uur) weekend]],0)</f>
        <v>0</v>
      </c>
      <c r="AK389" s="444">
        <f>Ruimtestaat[[#This Row],[uren / jaar weekend]]*Tariefsopbouw!$D$40</f>
        <v>0</v>
      </c>
      <c r="AL389" s="441">
        <f>Ruimtestaat[[#This Row],[Prest. (m2 /jaar) weekend]]+Ruimtestaat[[#This Row],[Prest. (m2 /jaar) werkdagen]]</f>
        <v>904.05000000000007</v>
      </c>
      <c r="AM389" s="441">
        <f>Ruimtestaat[[#This Row],[uren / jaar weekend]]+Ruimtestaat[[#This Row],[uren / jaar werkdagen]]</f>
        <v>0</v>
      </c>
      <c r="AN389" s="446">
        <f>Ruimtestaat[[#This Row],[kosten / jaar weekend]]+Ruimtestaat[[#This Row],[kosten / jaar werkdagen]]</f>
        <v>0</v>
      </c>
      <c r="AO389" s="446"/>
      <c r="AP389" s="447" t="str">
        <f>IF(Ruimtestaat[[#This Row],[Frequentie werkdagen]]="","",_xlfn.CONCAT(Ruimtestaat[[#This Row],[Ruimte code]],"-",Ruimtestaat[[#This Row],[Frequentie werkdagen]]," ",Ruimtestaat[[#This Row],[Vloer code]]))</f>
        <v>5-5w S</v>
      </c>
      <c r="AQ389" s="448" t="str">
        <f>_xlfn.IFNA(VLOOKUP($AP389,Programma!$F$3:$G$1101,2,0),"")</f>
        <v>_</v>
      </c>
      <c r="AR389" s="448" t="str">
        <f>_xlfn.IFNA(VLOOKUP($AP389,Programma!$F$3:$H$1101,3,0),"")</f>
        <v>_</v>
      </c>
      <c r="AS389" s="448" t="str">
        <f>_xlfn.IFNA(VLOOKUP($AP389,Programma!$F$3:$I$1101,4,0),"")</f>
        <v>_</v>
      </c>
      <c r="AT389" s="448" t="str">
        <f>_xlfn.IFNA(VLOOKUP($AP389,Programma!$F$3:$J$1101,5,0),"")</f>
        <v>4w</v>
      </c>
      <c r="AU389" s="448" t="str">
        <f>_xlfn.IFNA(VLOOKUP($AP389,Programma!$F$3:$K$1101,6,0),"")</f>
        <v>1w</v>
      </c>
      <c r="AV389" s="448" t="str">
        <f>_xlfn.IFNA(VLOOKUP($AP389,Programma!$F$3:$L$1101,7,0),"")</f>
        <v>_</v>
      </c>
      <c r="AW389" s="448" t="str">
        <f>_xlfn.IFNA(VLOOKUP($AP389,Programma!$F$3:$M$1101,8,0),"")</f>
        <v>_</v>
      </c>
      <c r="AX389" s="448" t="str">
        <f>_xlfn.IFNA(VLOOKUP($AP389,Programma!$F$3:$N$1101,9,0),"")</f>
        <v>_</v>
      </c>
      <c r="AY389" s="448" t="str">
        <f>_xlfn.IFNA(VLOOKUP($AP389,Programma!$F$3:$O$1101,10,0),"")</f>
        <v>_</v>
      </c>
      <c r="AZ389" s="448" t="str">
        <f>_xlfn.IFNA(VLOOKUP($AP389,Programma!$F$3:$P$1101,11,0),"")</f>
        <v>_</v>
      </c>
      <c r="BA389" s="448" t="str">
        <f>_xlfn.IFNA(VLOOKUP($AP389,Programma!$F$3:$Q$1101,12,0),"")</f>
        <v>_</v>
      </c>
      <c r="BB389" s="448" t="str">
        <f>_xlfn.IFNA(VLOOKUP($AP389,Programma!$F$3:$R$1101,13,0),"")</f>
        <v>_</v>
      </c>
      <c r="BC389" s="448" t="str">
        <f>_xlfn.IFNA(VLOOKUP($AP389,Programma!$F$3:$S$1101,14,0),"")</f>
        <v>_</v>
      </c>
      <c r="BD389" s="448" t="str">
        <f>_xlfn.IFNA(VLOOKUP($AP389,Programma!$F$3:$T$1101,15,0),"")</f>
        <v>_</v>
      </c>
      <c r="BE389" s="448" t="str">
        <f>_xlfn.IFNA(VLOOKUP($AP389,Programma!$F$3:$U$1101,16,0),"")</f>
        <v>_</v>
      </c>
      <c r="BF389" s="448" t="str">
        <f>_xlfn.IFNA(VLOOKUP($AP389,Programma!$F$3:$V$1101,17,0),"")</f>
        <v>_</v>
      </c>
      <c r="BG389" s="448" t="str">
        <f>_xlfn.IFNA(VLOOKUP($AP389,Programma!$F$3:$W$1101,18,0),"")</f>
        <v>4w</v>
      </c>
      <c r="BH389" s="448" t="str">
        <f>_xlfn.IFNA(VLOOKUP($AP389,Programma!$F$3:$X$1101,19,0),"")</f>
        <v>1w</v>
      </c>
      <c r="BI389" s="448" t="str">
        <f>_xlfn.IFNA(VLOOKUP($AP389,Programma!$F$3:$Y$1101,20,0),"")</f>
        <v>_</v>
      </c>
      <c r="BJ389" s="449"/>
      <c r="BK389" s="447" t="str">
        <f>IF(Ruimtestaat[[#This Row],[Frequentie weekend]]="","",_xlfn.CONCAT(Ruimtestaat[[#This Row],[Ruimte code]],"-",Ruimtestaat[[#This Row],[Frequentie weekend]]," ",Ruimtestaat[[#This Row],[Vloer code]]))</f>
        <v/>
      </c>
      <c r="BL389" s="448" t="str">
        <f>_xlfn.IFNA(VLOOKUP($BK389,Programma!$F$3:$G$1101,2,0),"")</f>
        <v/>
      </c>
      <c r="BM389" s="448" t="str">
        <f>_xlfn.IFNA(VLOOKUP($BK389,Programma!$F$3:$H$1101,3,0),"")</f>
        <v/>
      </c>
      <c r="BN389" s="448" t="str">
        <f>_xlfn.IFNA(VLOOKUP($BK389,Programma!$F$3:$I$1101,4,0),"")</f>
        <v/>
      </c>
      <c r="BO389" s="448" t="str">
        <f>_xlfn.IFNA(VLOOKUP($BK389,Programma!$F$3:$J$1101,5,0),"")</f>
        <v/>
      </c>
      <c r="BP389" s="448" t="str">
        <f>_xlfn.IFNA(VLOOKUP($BK389,Programma!$F$3:$K$1101,6,0),"")</f>
        <v/>
      </c>
      <c r="BQ389" s="448" t="str">
        <f>_xlfn.IFNA(VLOOKUP($BK389,Programma!$F$3:$L$1101,7,0),"")</f>
        <v/>
      </c>
      <c r="BR389" s="448" t="str">
        <f>_xlfn.IFNA(VLOOKUP($BK389,Programma!$F$3:$M$1101,8,0),"")</f>
        <v/>
      </c>
      <c r="BS389" s="448" t="str">
        <f>_xlfn.IFNA(VLOOKUP($BK389,Programma!$F$3:$N$1101,9,0),"")</f>
        <v/>
      </c>
      <c r="BT389" s="448" t="str">
        <f>_xlfn.IFNA(VLOOKUP($BK389,Programma!$F$3:$O$1101,10,0),"")</f>
        <v/>
      </c>
      <c r="BU389" s="448" t="str">
        <f>_xlfn.IFNA(VLOOKUP($BK389,Programma!$F$3:$P$1101,11,0),"")</f>
        <v/>
      </c>
      <c r="BV389" s="448" t="str">
        <f>_xlfn.IFNA(VLOOKUP($BK389,Programma!$F$3:$Q$1101,12,0),"")</f>
        <v/>
      </c>
      <c r="BW389" s="448" t="str">
        <f>_xlfn.IFNA(VLOOKUP($BK389,Programma!$F$3:$R$1101,13,0),"")</f>
        <v/>
      </c>
      <c r="BX389" s="448" t="str">
        <f>_xlfn.IFNA(VLOOKUP($BK389,Programma!$F$3:$S$1101,14,0),"")</f>
        <v/>
      </c>
      <c r="BY389" s="448" t="str">
        <f>_xlfn.IFNA(VLOOKUP($BK389,Programma!$F$3:$T$1101,15,0),"")</f>
        <v/>
      </c>
      <c r="BZ389" s="448" t="str">
        <f>_xlfn.IFNA(VLOOKUP($BK389,Programma!$F$3:$U$1101,16,0),"")</f>
        <v/>
      </c>
      <c r="CA389" s="448" t="str">
        <f>_xlfn.IFNA(VLOOKUP($BK389,Programma!$F$3:$V$1101,17,0),"")</f>
        <v/>
      </c>
      <c r="CB389" s="448" t="str">
        <f>_xlfn.IFNA(VLOOKUP($BK389,Programma!$F$3:$W$1101,18,0),"")</f>
        <v/>
      </c>
      <c r="CC389" s="448" t="str">
        <f>_xlfn.IFNA(VLOOKUP($BK389,Programma!$F$3:$X$1101,19,0),"")</f>
        <v/>
      </c>
      <c r="CD389" s="448" t="str">
        <f>_xlfn.IFNA(VLOOKUP($BK389,Programma!$F$3:$Y$1101,20,0),"")</f>
        <v/>
      </c>
      <c r="CE389" s="327"/>
      <c r="CF389" s="327"/>
      <c r="CG389" s="327"/>
      <c r="CH389" s="327"/>
      <c r="CI389" s="327"/>
      <c r="CJ389" s="327"/>
      <c r="CK389" s="327"/>
      <c r="CL389" s="327"/>
      <c r="CM389" s="327"/>
      <c r="CN389" s="327"/>
      <c r="CO389" s="327"/>
      <c r="CP389" s="327"/>
      <c r="CQ389" s="327"/>
      <c r="CR389" s="327"/>
      <c r="CS389" s="327"/>
      <c r="CT389" s="327"/>
      <c r="CU389" s="327"/>
      <c r="CV389" s="327"/>
      <c r="CW389" s="327"/>
      <c r="CX389" s="327"/>
      <c r="CY389" s="327"/>
      <c r="CZ389" s="327"/>
      <c r="DA389" s="327"/>
      <c r="DB389" s="327"/>
      <c r="DC389" s="327"/>
      <c r="DD389" s="327"/>
      <c r="DE389" s="327"/>
      <c r="DF389" s="327"/>
      <c r="DG389" s="327"/>
      <c r="DH389" s="327"/>
      <c r="DI389" s="327"/>
      <c r="DJ389" s="327"/>
      <c r="DK389" s="327"/>
      <c r="DL389" s="327"/>
      <c r="DM389" s="327"/>
      <c r="DN389" s="327"/>
      <c r="DO389" s="327"/>
      <c r="DP389" s="327"/>
      <c r="DQ389" s="327"/>
      <c r="DR389" s="327"/>
      <c r="DS389" s="327"/>
      <c r="DT389" s="327"/>
      <c r="DU389" s="327"/>
      <c r="DV389" s="327"/>
      <c r="DW389" s="327"/>
      <c r="DX389" s="327"/>
      <c r="DY389" s="327"/>
      <c r="DZ389" s="327"/>
      <c r="EA389" s="327"/>
      <c r="EB389" s="327"/>
      <c r="EC389" s="327"/>
      <c r="ED389" s="327"/>
      <c r="EE389" s="327"/>
      <c r="EF389" s="327"/>
      <c r="EG389" s="327"/>
      <c r="EH389" s="327"/>
      <c r="EI389" s="327"/>
      <c r="EJ389" s="327"/>
      <c r="EK389" s="327"/>
      <c r="EL389" s="327"/>
      <c r="EM389" s="327"/>
      <c r="EN389" s="327"/>
      <c r="EO389" s="327"/>
      <c r="EP389" s="327"/>
      <c r="EQ389" s="327"/>
      <c r="ER389" s="327"/>
      <c r="ES389" s="327"/>
      <c r="ET389" s="327"/>
      <c r="EU389" s="327"/>
      <c r="EV389" s="327"/>
      <c r="EW389" s="327"/>
      <c r="EX389" s="327"/>
      <c r="EY389" s="327"/>
      <c r="EZ389" s="327"/>
      <c r="FA389" s="327"/>
      <c r="FB389" s="327"/>
      <c r="FC389" s="327"/>
      <c r="FD389" s="327"/>
      <c r="FE389" s="327"/>
      <c r="FF389" s="327"/>
      <c r="FG389" s="327"/>
      <c r="FH389" s="327"/>
      <c r="FI389" s="327"/>
      <c r="FJ389" s="327"/>
      <c r="FK389" s="327"/>
      <c r="FL389" s="327"/>
      <c r="FM389" s="327"/>
      <c r="FN389" s="327"/>
      <c r="FO389" s="327"/>
      <c r="FP389" s="327"/>
      <c r="FQ389" s="327"/>
      <c r="FR389" s="327"/>
      <c r="FS389" s="327"/>
      <c r="FT389" s="327"/>
      <c r="FU389" s="327"/>
      <c r="FV389" s="327"/>
      <c r="FW389" s="327"/>
      <c r="FX389" s="327"/>
      <c r="FY389" s="327"/>
      <c r="FZ389" s="327"/>
      <c r="GA389" s="327"/>
      <c r="GB389" s="327"/>
      <c r="GC389" s="327"/>
      <c r="GD389" s="327"/>
      <c r="GE389" s="327"/>
      <c r="GF389" s="327"/>
      <c r="GG389" s="327"/>
      <c r="GH389" s="327"/>
      <c r="GI389" s="327"/>
      <c r="GJ389" s="327"/>
      <c r="GK389" s="327"/>
      <c r="GL389" s="327"/>
      <c r="GM389" s="327"/>
      <c r="GN389" s="327"/>
      <c r="GO389" s="327"/>
      <c r="GP389" s="327"/>
      <c r="GQ389" s="327"/>
      <c r="GR389" s="327"/>
      <c r="GS389" s="327"/>
      <c r="GT389" s="327"/>
      <c r="GU389" s="327"/>
      <c r="GV389" s="327"/>
      <c r="GW389" s="327"/>
      <c r="GX389" s="327"/>
      <c r="GY389" s="327"/>
      <c r="GZ389" s="327"/>
      <c r="HA389" s="327"/>
      <c r="HB389" s="327"/>
      <c r="HC389" s="327"/>
      <c r="HD389" s="327"/>
      <c r="HE389" s="327"/>
      <c r="HF389" s="327"/>
      <c r="HG389" s="327"/>
      <c r="HH389" s="327"/>
      <c r="HI389" s="327"/>
      <c r="HJ389" s="327"/>
      <c r="HK389" s="327"/>
      <c r="HL389" s="327"/>
      <c r="HM389" s="327"/>
      <c r="HN389" s="327"/>
      <c r="HO389" s="327"/>
      <c r="HP389" s="327"/>
      <c r="HQ389" s="327"/>
      <c r="HR389" s="327"/>
      <c r="HS389" s="327"/>
    </row>
    <row r="390" spans="1:227" ht="15" customHeight="1">
      <c r="A390" s="327">
        <v>17</v>
      </c>
      <c r="B390" s="435" t="str">
        <f>VLOOKUP(Ruimtestaat[[#This Row],[Code]],Locaties[[Code]:[Locatie]],2,FALSE)</f>
        <v>IKC de Tjalk Kadelaan 208 (bijgebouw)</v>
      </c>
      <c r="C390" s="435" t="str">
        <f>VLOOKUP(Ruimtestaat[[#This Row],[Code]],Locaties[[#All],[Code]:[Adres]],4,FALSE)</f>
        <v>Kadelaan 208</v>
      </c>
      <c r="D390" s="435" t="str">
        <f>VLOOKUP(Ruimtestaat[[#This Row],[Code]],Locaties[[#All],[Code]:[Postcode]],5,FALSE)</f>
        <v>2725 BR</v>
      </c>
      <c r="E390" s="435" t="str">
        <f>VLOOKUP(Ruimtestaat[[#This Row],[Code]],Locaties[#All],6,FALSE)</f>
        <v>Zoetermeer</v>
      </c>
      <c r="F390" s="450"/>
      <c r="G390" s="330" t="s">
        <v>1678</v>
      </c>
      <c r="H390" s="330">
        <v>12</v>
      </c>
      <c r="I390" s="450" t="s">
        <v>1720</v>
      </c>
      <c r="J390" s="330">
        <v>5</v>
      </c>
      <c r="K390" s="450" t="str">
        <f>VLOOKUP(Ruimtestaat[[#This Row],[Ruimte code]],Ruimtegroepen[[#All],[Code]:[Ruimte omschrijving]],2,FALSE)</f>
        <v>Sanitair</v>
      </c>
      <c r="L390" s="330" t="s">
        <v>101</v>
      </c>
      <c r="M390" s="437" t="s">
        <v>1816</v>
      </c>
      <c r="N390" s="439">
        <v>4.4400000000000004</v>
      </c>
      <c r="O390" s="439"/>
      <c r="P390" s="439"/>
      <c r="Q390" s="439"/>
      <c r="R390" s="440" t="str">
        <f>VLOOKUP(Ruimtestaat[[#This Row],[Ruimte code]],Ruimtegroepen[],4,FALSE)</f>
        <v>Sa</v>
      </c>
      <c r="S390" s="434">
        <v>41</v>
      </c>
      <c r="T390" s="434" t="s">
        <v>2</v>
      </c>
      <c r="U390" s="434">
        <f>IF(S390&gt;0,IF(RIGHT(Ruimtestaat[[#This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90" s="434">
        <f>IF(U390&gt;0,VLOOKUP($J390,Ruimtegroepen[],3,FALSE)*VLOOKUP($L390,Vloersoorten[],3,FALSE)*VLOOKUP($T390,Frequenties[],3,FALSE)*VLOOKUP($A390,Locaties[],3,FALSE),0)</f>
        <v>0</v>
      </c>
      <c r="W390" s="434">
        <f>Ruimtestaat[[#This Row],[Uitvoeringen werkdagen]]*Ruimtestaat[[#This Row],[Oppervlak (netto)]]</f>
        <v>910.2</v>
      </c>
      <c r="X390" s="441">
        <f>IF(V390&gt;0,Ruimtestaat[[#This Row],[Prest. (m2 /jaar) werkdagen]]/Ruimtestaat[[#This Row],[Norm (m2/uur) werkdagen]],0)</f>
        <v>0</v>
      </c>
      <c r="Y390" s="442">
        <f>Ruimtestaat[[#This Row],[Uitvoeringen werkdagen]]*Ruimtestaat[[#This Row],[Gedeeltelijk]]</f>
        <v>0</v>
      </c>
      <c r="Z390" s="443" t="e">
        <f>IF(U390&gt;0,Ruimtestaat[[#This Row],[Prest. (m2 / jaar) werkdagen gedeeld]]/Ruimtestaat[[#This Row],[Norm (m2/uur) werkdagen]],0)</f>
        <v>#DIV/0!</v>
      </c>
      <c r="AA390" s="441" t="e">
        <f>Ruimtestaat[[#This Row],[uren / jaar werkdagen gedeeld]]*Tariefsopbouw!$E$35</f>
        <v>#DIV/0!</v>
      </c>
      <c r="AB390" s="441">
        <f>Ruimtestaat[[#This Row],[Uitvoeringen werkdagen]]*Ruimtestaat[[#This Row],[BSO]]</f>
        <v>0</v>
      </c>
      <c r="AC390" s="443" t="e">
        <f>IF(U390&gt;0,Ruimtestaat[[#This Row],[Prest. (m2 / jaar) werkdagen BSO]]/Ruimtestaat[[#This Row],[Norm (m2/uur) werkdagen]],0)</f>
        <v>#DIV/0!</v>
      </c>
      <c r="AD390" s="443" t="e">
        <f>Ruimtestaat[[#This Row],[uren / jaar werkdagen BSO]]*Tariefsopbouw!$E$35</f>
        <v>#DIV/0!</v>
      </c>
      <c r="AE390" s="444">
        <f>Ruimtestaat[[#This Row],[uren / jaar werkdagen]]*Tariefsopbouw!$E$35</f>
        <v>0</v>
      </c>
      <c r="AF390" s="434"/>
      <c r="AG390" s="434">
        <f>IF(Ruimtestaat[[#This Row],[Frequentie weekend]]&gt;0,VALUE(LEFT(AF390,1))*S390,0)</f>
        <v>0</v>
      </c>
      <c r="AH390" s="445">
        <f>IF($AG390&gt;0,VLOOKUP($J390,Ruimtegroepen[],3,FALSE)*VLOOKUP($L390,Vloersoorten[],3,FALSE)*VLOOKUP($AF390,Frequenties[],3,FALSE)*VLOOKUP(Ruimtestaat[[#This Row],[Code]],Locaties[],3,FALSE),0)</f>
        <v>0</v>
      </c>
      <c r="AI390" s="445">
        <f>Ruimtestaat[[#This Row],[Uitvoeringen weekend]]*Ruimtestaat[[#This Row],[Oppervlak (netto)]]</f>
        <v>0</v>
      </c>
      <c r="AJ390" s="445">
        <f>IF(AH390&gt;0,Ruimtestaat[[#This Row],[Prest. (m2 /jaar) weekend]]/Ruimtestaat[[#This Row],[Norm (m2/uur) weekend]],0)</f>
        <v>0</v>
      </c>
      <c r="AK390" s="444">
        <f>Ruimtestaat[[#This Row],[uren / jaar weekend]]*Tariefsopbouw!$D$40</f>
        <v>0</v>
      </c>
      <c r="AL390" s="441">
        <f>Ruimtestaat[[#This Row],[Prest. (m2 /jaar) weekend]]+Ruimtestaat[[#This Row],[Prest. (m2 /jaar) werkdagen]]</f>
        <v>910.2</v>
      </c>
      <c r="AM390" s="441">
        <f>Ruimtestaat[[#This Row],[uren / jaar weekend]]+Ruimtestaat[[#This Row],[uren / jaar werkdagen]]</f>
        <v>0</v>
      </c>
      <c r="AN390" s="446">
        <f>Ruimtestaat[[#This Row],[kosten / jaar weekend]]+Ruimtestaat[[#This Row],[kosten / jaar werkdagen]]</f>
        <v>0</v>
      </c>
      <c r="AO390" s="446"/>
      <c r="AP390" s="447" t="str">
        <f>IF(Ruimtestaat[[#This Row],[Frequentie werkdagen]]="","",_xlfn.CONCAT(Ruimtestaat[[#This Row],[Ruimte code]],"-",Ruimtestaat[[#This Row],[Frequentie werkdagen]]," ",Ruimtestaat[[#This Row],[Vloer code]]))</f>
        <v>5-5w S</v>
      </c>
      <c r="AQ390" s="448" t="str">
        <f>_xlfn.IFNA(VLOOKUP($AP390,Programma!$F$3:$G$1101,2,0),"")</f>
        <v>_</v>
      </c>
      <c r="AR390" s="448" t="str">
        <f>_xlfn.IFNA(VLOOKUP($AP390,Programma!$F$3:$H$1101,3,0),"")</f>
        <v>_</v>
      </c>
      <c r="AS390" s="448" t="str">
        <f>_xlfn.IFNA(VLOOKUP($AP390,Programma!$F$3:$I$1101,4,0),"")</f>
        <v>_</v>
      </c>
      <c r="AT390" s="448" t="str">
        <f>_xlfn.IFNA(VLOOKUP($AP390,Programma!$F$3:$J$1101,5,0),"")</f>
        <v>4w</v>
      </c>
      <c r="AU390" s="448" t="str">
        <f>_xlfn.IFNA(VLOOKUP($AP390,Programma!$F$3:$K$1101,6,0),"")</f>
        <v>1w</v>
      </c>
      <c r="AV390" s="448" t="str">
        <f>_xlfn.IFNA(VLOOKUP($AP390,Programma!$F$3:$L$1101,7,0),"")</f>
        <v>_</v>
      </c>
      <c r="AW390" s="448" t="str">
        <f>_xlfn.IFNA(VLOOKUP($AP390,Programma!$F$3:$M$1101,8,0),"")</f>
        <v>_</v>
      </c>
      <c r="AX390" s="448" t="str">
        <f>_xlfn.IFNA(VLOOKUP($AP390,Programma!$F$3:$N$1101,9,0),"")</f>
        <v>_</v>
      </c>
      <c r="AY390" s="448" t="str">
        <f>_xlfn.IFNA(VLOOKUP($AP390,Programma!$F$3:$O$1101,10,0),"")</f>
        <v>_</v>
      </c>
      <c r="AZ390" s="448" t="str">
        <f>_xlfn.IFNA(VLOOKUP($AP390,Programma!$F$3:$P$1101,11,0),"")</f>
        <v>_</v>
      </c>
      <c r="BA390" s="448" t="str">
        <f>_xlfn.IFNA(VLOOKUP($AP390,Programma!$F$3:$Q$1101,12,0),"")</f>
        <v>_</v>
      </c>
      <c r="BB390" s="448" t="str">
        <f>_xlfn.IFNA(VLOOKUP($AP390,Programma!$F$3:$R$1101,13,0),"")</f>
        <v>_</v>
      </c>
      <c r="BC390" s="448" t="str">
        <f>_xlfn.IFNA(VLOOKUP($AP390,Programma!$F$3:$S$1101,14,0),"")</f>
        <v>_</v>
      </c>
      <c r="BD390" s="448" t="str">
        <f>_xlfn.IFNA(VLOOKUP($AP390,Programma!$F$3:$T$1101,15,0),"")</f>
        <v>_</v>
      </c>
      <c r="BE390" s="448" t="str">
        <f>_xlfn.IFNA(VLOOKUP($AP390,Programma!$F$3:$U$1101,16,0),"")</f>
        <v>_</v>
      </c>
      <c r="BF390" s="448" t="str">
        <f>_xlfn.IFNA(VLOOKUP($AP390,Programma!$F$3:$V$1101,17,0),"")</f>
        <v>_</v>
      </c>
      <c r="BG390" s="448" t="str">
        <f>_xlfn.IFNA(VLOOKUP($AP390,Programma!$F$3:$W$1101,18,0),"")</f>
        <v>4w</v>
      </c>
      <c r="BH390" s="448" t="str">
        <f>_xlfn.IFNA(VLOOKUP($AP390,Programma!$F$3:$X$1101,19,0),"")</f>
        <v>1w</v>
      </c>
      <c r="BI390" s="448" t="str">
        <f>_xlfn.IFNA(VLOOKUP($AP390,Programma!$F$3:$Y$1101,20,0),"")</f>
        <v>_</v>
      </c>
      <c r="BJ390" s="449"/>
      <c r="BK390" s="447" t="str">
        <f>IF(Ruimtestaat[[#This Row],[Frequentie weekend]]="","",_xlfn.CONCAT(Ruimtestaat[[#This Row],[Ruimte code]],"-",Ruimtestaat[[#This Row],[Frequentie weekend]]," ",Ruimtestaat[[#This Row],[Vloer code]]))</f>
        <v/>
      </c>
      <c r="BL390" s="448" t="str">
        <f>_xlfn.IFNA(VLOOKUP($BK390,Programma!$F$3:$G$1101,2,0),"")</f>
        <v/>
      </c>
      <c r="BM390" s="448" t="str">
        <f>_xlfn.IFNA(VLOOKUP($BK390,Programma!$F$3:$H$1101,3,0),"")</f>
        <v/>
      </c>
      <c r="BN390" s="448" t="str">
        <f>_xlfn.IFNA(VLOOKUP($BK390,Programma!$F$3:$I$1101,4,0),"")</f>
        <v/>
      </c>
      <c r="BO390" s="448" t="str">
        <f>_xlfn.IFNA(VLOOKUP($BK390,Programma!$F$3:$J$1101,5,0),"")</f>
        <v/>
      </c>
      <c r="BP390" s="448" t="str">
        <f>_xlfn.IFNA(VLOOKUP($BK390,Programma!$F$3:$K$1101,6,0),"")</f>
        <v/>
      </c>
      <c r="BQ390" s="448" t="str">
        <f>_xlfn.IFNA(VLOOKUP($BK390,Programma!$F$3:$L$1101,7,0),"")</f>
        <v/>
      </c>
      <c r="BR390" s="448" t="str">
        <f>_xlfn.IFNA(VLOOKUP($BK390,Programma!$F$3:$M$1101,8,0),"")</f>
        <v/>
      </c>
      <c r="BS390" s="448" t="str">
        <f>_xlfn.IFNA(VLOOKUP($BK390,Programma!$F$3:$N$1101,9,0),"")</f>
        <v/>
      </c>
      <c r="BT390" s="448" t="str">
        <f>_xlfn.IFNA(VLOOKUP($BK390,Programma!$F$3:$O$1101,10,0),"")</f>
        <v/>
      </c>
      <c r="BU390" s="448" t="str">
        <f>_xlfn.IFNA(VLOOKUP($BK390,Programma!$F$3:$P$1101,11,0),"")</f>
        <v/>
      </c>
      <c r="BV390" s="448" t="str">
        <f>_xlfn.IFNA(VLOOKUP($BK390,Programma!$F$3:$Q$1101,12,0),"")</f>
        <v/>
      </c>
      <c r="BW390" s="448" t="str">
        <f>_xlfn.IFNA(VLOOKUP($BK390,Programma!$F$3:$R$1101,13,0),"")</f>
        <v/>
      </c>
      <c r="BX390" s="448" t="str">
        <f>_xlfn.IFNA(VLOOKUP($BK390,Programma!$F$3:$S$1101,14,0),"")</f>
        <v/>
      </c>
      <c r="BY390" s="448" t="str">
        <f>_xlfn.IFNA(VLOOKUP($BK390,Programma!$F$3:$T$1101,15,0),"")</f>
        <v/>
      </c>
      <c r="BZ390" s="448" t="str">
        <f>_xlfn.IFNA(VLOOKUP($BK390,Programma!$F$3:$U$1101,16,0),"")</f>
        <v/>
      </c>
      <c r="CA390" s="448" t="str">
        <f>_xlfn.IFNA(VLOOKUP($BK390,Programma!$F$3:$V$1101,17,0),"")</f>
        <v/>
      </c>
      <c r="CB390" s="448" t="str">
        <f>_xlfn.IFNA(VLOOKUP($BK390,Programma!$F$3:$W$1101,18,0),"")</f>
        <v/>
      </c>
      <c r="CC390" s="448" t="str">
        <f>_xlfn.IFNA(VLOOKUP($BK390,Programma!$F$3:$X$1101,19,0),"")</f>
        <v/>
      </c>
      <c r="CD390" s="448" t="str">
        <f>_xlfn.IFNA(VLOOKUP($BK390,Programma!$F$3:$Y$1101,20,0),"")</f>
        <v/>
      </c>
      <c r="CE390" s="327"/>
      <c r="CF390" s="327"/>
      <c r="CG390" s="327"/>
      <c r="CH390" s="327"/>
      <c r="CI390" s="327"/>
      <c r="CJ390" s="327"/>
      <c r="CK390" s="327"/>
      <c r="CL390" s="327"/>
      <c r="CM390" s="327"/>
      <c r="CN390" s="327"/>
      <c r="CO390" s="327"/>
      <c r="CP390" s="327"/>
      <c r="CQ390" s="327"/>
      <c r="CR390" s="327"/>
      <c r="CS390" s="327"/>
      <c r="CT390" s="327"/>
      <c r="CU390" s="327"/>
      <c r="CV390" s="327"/>
      <c r="CW390" s="327"/>
      <c r="CX390" s="327"/>
      <c r="CY390" s="327"/>
      <c r="CZ390" s="327"/>
      <c r="DA390" s="327"/>
      <c r="DB390" s="327"/>
      <c r="DC390" s="327"/>
      <c r="DD390" s="327"/>
      <c r="DE390" s="327"/>
      <c r="DF390" s="327"/>
      <c r="DG390" s="327"/>
      <c r="DH390" s="327"/>
      <c r="DI390" s="327"/>
      <c r="DJ390" s="327"/>
      <c r="DK390" s="327"/>
      <c r="DL390" s="327"/>
      <c r="DM390" s="327"/>
      <c r="DN390" s="327"/>
      <c r="DO390" s="327"/>
      <c r="DP390" s="327"/>
      <c r="DQ390" s="327"/>
      <c r="DR390" s="327"/>
      <c r="DS390" s="327"/>
      <c r="DT390" s="327"/>
      <c r="DU390" s="327"/>
      <c r="DV390" s="327"/>
      <c r="DW390" s="327"/>
      <c r="DX390" s="327"/>
      <c r="DY390" s="327"/>
      <c r="DZ390" s="327"/>
      <c r="EA390" s="327"/>
      <c r="EB390" s="327"/>
      <c r="EC390" s="327"/>
      <c r="ED390" s="327"/>
      <c r="EE390" s="327"/>
      <c r="EF390" s="327"/>
      <c r="EG390" s="327"/>
      <c r="EH390" s="327"/>
      <c r="EI390" s="327"/>
      <c r="EJ390" s="327"/>
      <c r="EK390" s="327"/>
      <c r="EL390" s="327"/>
      <c r="EM390" s="327"/>
      <c r="EN390" s="327"/>
      <c r="EO390" s="327"/>
      <c r="EP390" s="327"/>
      <c r="EQ390" s="327"/>
      <c r="ER390" s="327"/>
      <c r="ES390" s="327"/>
      <c r="ET390" s="327"/>
      <c r="EU390" s="327"/>
      <c r="EV390" s="327"/>
      <c r="EW390" s="327"/>
      <c r="EX390" s="327"/>
      <c r="EY390" s="327"/>
      <c r="EZ390" s="327"/>
      <c r="FA390" s="327"/>
      <c r="FB390" s="327"/>
      <c r="FC390" s="327"/>
      <c r="FD390" s="327"/>
      <c r="FE390" s="327"/>
      <c r="FF390" s="327"/>
      <c r="FG390" s="327"/>
      <c r="FH390" s="327"/>
      <c r="FI390" s="327"/>
      <c r="FJ390" s="327"/>
      <c r="FK390" s="327"/>
      <c r="FL390" s="327"/>
      <c r="FM390" s="327"/>
      <c r="FN390" s="327"/>
      <c r="FO390" s="327"/>
      <c r="FP390" s="327"/>
      <c r="FQ390" s="327"/>
      <c r="FR390" s="327"/>
      <c r="FS390" s="327"/>
      <c r="FT390" s="327"/>
      <c r="FU390" s="327"/>
      <c r="FV390" s="327"/>
      <c r="FW390" s="327"/>
      <c r="FX390" s="327"/>
      <c r="FY390" s="327"/>
      <c r="FZ390" s="327"/>
      <c r="GA390" s="327"/>
      <c r="GB390" s="327"/>
      <c r="GC390" s="327"/>
      <c r="GD390" s="327"/>
      <c r="GE390" s="327"/>
      <c r="GF390" s="327"/>
      <c r="GG390" s="327"/>
      <c r="GH390" s="327"/>
      <c r="GI390" s="327"/>
      <c r="GJ390" s="327"/>
      <c r="GK390" s="327"/>
      <c r="GL390" s="327"/>
      <c r="GM390" s="327"/>
      <c r="GN390" s="327"/>
      <c r="GO390" s="327"/>
      <c r="GP390" s="327"/>
      <c r="GQ390" s="327"/>
      <c r="GR390" s="327"/>
      <c r="GS390" s="327"/>
      <c r="GT390" s="327"/>
      <c r="GU390" s="327"/>
      <c r="GV390" s="327"/>
      <c r="GW390" s="327"/>
      <c r="GX390" s="327"/>
      <c r="GY390" s="327"/>
      <c r="GZ390" s="327"/>
      <c r="HA390" s="327"/>
      <c r="HB390" s="327"/>
      <c r="HC390" s="327"/>
      <c r="HD390" s="327"/>
      <c r="HE390" s="327"/>
      <c r="HF390" s="327"/>
      <c r="HG390" s="327"/>
      <c r="HH390" s="327"/>
      <c r="HI390" s="327"/>
      <c r="HJ390" s="327"/>
      <c r="HK390" s="327"/>
      <c r="HL390" s="327"/>
      <c r="HM390" s="327"/>
      <c r="HN390" s="327"/>
      <c r="HO390" s="327"/>
      <c r="HP390" s="327"/>
      <c r="HQ390" s="327"/>
      <c r="HR390" s="327"/>
      <c r="HS390" s="327"/>
    </row>
    <row r="391" spans="1:227" ht="15" customHeight="1">
      <c r="A391" s="327">
        <v>17</v>
      </c>
      <c r="B391" s="435" t="str">
        <f>VLOOKUP(Ruimtestaat[[#This Row],[Code]],Locaties[[Code]:[Locatie]],2,FALSE)</f>
        <v>IKC de Tjalk Kadelaan 208 (bijgebouw)</v>
      </c>
      <c r="C391" s="435" t="str">
        <f>VLOOKUP(Ruimtestaat[[#This Row],[Code]],Locaties[[#All],[Code]:[Adres]],4,FALSE)</f>
        <v>Kadelaan 208</v>
      </c>
      <c r="D391" s="435" t="str">
        <f>VLOOKUP(Ruimtestaat[[#This Row],[Code]],Locaties[[#All],[Code]:[Postcode]],5,FALSE)</f>
        <v>2725 BR</v>
      </c>
      <c r="E391" s="435" t="str">
        <f>VLOOKUP(Ruimtestaat[[#This Row],[Code]],Locaties[#All],6,FALSE)</f>
        <v>Zoetermeer</v>
      </c>
      <c r="F391" s="450"/>
      <c r="G391" s="330" t="s">
        <v>1678</v>
      </c>
      <c r="H391" s="330">
        <v>15</v>
      </c>
      <c r="I391" s="450" t="s">
        <v>1845</v>
      </c>
      <c r="J391" s="330">
        <v>16</v>
      </c>
      <c r="K391" s="450" t="str">
        <f>VLOOKUP(Ruimtestaat[[#This Row],[Ruimte code]],Ruimtegroepen[[#All],[Code]:[Ruimte omschrijving]],2,FALSE)</f>
        <v>Leslokalen</v>
      </c>
      <c r="L391" s="330" t="s">
        <v>101</v>
      </c>
      <c r="M391" s="437" t="s">
        <v>1816</v>
      </c>
      <c r="N391" s="439">
        <v>56.17</v>
      </c>
      <c r="O391" s="439"/>
      <c r="P391" s="439"/>
      <c r="Q391" s="439"/>
      <c r="R391" s="440" t="str">
        <f>VLOOKUP(Ruimtestaat[[#This Row],[Ruimte code]],Ruimtegroepen[],4,FALSE)</f>
        <v>Le</v>
      </c>
      <c r="S391" s="434">
        <v>40</v>
      </c>
      <c r="T391" s="434" t="s">
        <v>2</v>
      </c>
      <c r="U391" s="434">
        <f>IF(S391&gt;0,IF(RIGHT(Ruimtestaat[[#This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1" s="434">
        <f>IF(U391&gt;0,VLOOKUP($J391,Ruimtegroepen[],3,FALSE)*VLOOKUP($L391,Vloersoorten[],3,FALSE)*VLOOKUP($T391,Frequenties[],3,FALSE)*VLOOKUP($A391,Locaties[],3,FALSE),0)</f>
        <v>0</v>
      </c>
      <c r="W391" s="434">
        <f>Ruimtestaat[[#This Row],[Uitvoeringen werkdagen]]*Ruimtestaat[[#This Row],[Oppervlak (netto)]]</f>
        <v>11234</v>
      </c>
      <c r="X391" s="441">
        <f>IF(V391&gt;0,Ruimtestaat[[#This Row],[Prest. (m2 /jaar) werkdagen]]/Ruimtestaat[[#This Row],[Norm (m2/uur) werkdagen]],0)</f>
        <v>0</v>
      </c>
      <c r="Y391" s="442">
        <f>Ruimtestaat[[#This Row],[Uitvoeringen werkdagen]]*Ruimtestaat[[#This Row],[Gedeeltelijk]]</f>
        <v>0</v>
      </c>
      <c r="Z391" s="443" t="e">
        <f>IF(U391&gt;0,Ruimtestaat[[#This Row],[Prest. (m2 / jaar) werkdagen gedeeld]]/Ruimtestaat[[#This Row],[Norm (m2/uur) werkdagen]],0)</f>
        <v>#DIV/0!</v>
      </c>
      <c r="AA391" s="441" t="e">
        <f>Ruimtestaat[[#This Row],[uren / jaar werkdagen gedeeld]]*Tariefsopbouw!$E$35</f>
        <v>#DIV/0!</v>
      </c>
      <c r="AB391" s="441">
        <f>Ruimtestaat[[#This Row],[Uitvoeringen werkdagen]]*Ruimtestaat[[#This Row],[BSO]]</f>
        <v>0</v>
      </c>
      <c r="AC391" s="443" t="e">
        <f>IF(U391&gt;0,Ruimtestaat[[#This Row],[Prest. (m2 / jaar) werkdagen BSO]]/Ruimtestaat[[#This Row],[Norm (m2/uur) werkdagen]],0)</f>
        <v>#DIV/0!</v>
      </c>
      <c r="AD391" s="443" t="e">
        <f>Ruimtestaat[[#This Row],[uren / jaar werkdagen BSO]]*Tariefsopbouw!$E$35</f>
        <v>#DIV/0!</v>
      </c>
      <c r="AE391" s="444">
        <f>Ruimtestaat[[#This Row],[uren / jaar werkdagen]]*Tariefsopbouw!$E$35</f>
        <v>0</v>
      </c>
      <c r="AF391" s="434"/>
      <c r="AG391" s="434">
        <f>IF(Ruimtestaat[[#This Row],[Frequentie weekend]]&gt;0,VALUE(LEFT(AF391,1))*S391,0)</f>
        <v>0</v>
      </c>
      <c r="AH391" s="445">
        <f>IF($AG391&gt;0,VLOOKUP($J391,Ruimtegroepen[],3,FALSE)*VLOOKUP($L391,Vloersoorten[],3,FALSE)*VLOOKUP($AF391,Frequenties[],3,FALSE)*VLOOKUP(Ruimtestaat[[#This Row],[Code]],Locaties[],3,FALSE),0)</f>
        <v>0</v>
      </c>
      <c r="AI391" s="445">
        <f>Ruimtestaat[[#This Row],[Uitvoeringen weekend]]*Ruimtestaat[[#This Row],[Oppervlak (netto)]]</f>
        <v>0</v>
      </c>
      <c r="AJ391" s="445">
        <f>IF(AH391&gt;0,Ruimtestaat[[#This Row],[Prest. (m2 /jaar) weekend]]/Ruimtestaat[[#This Row],[Norm (m2/uur) weekend]],0)</f>
        <v>0</v>
      </c>
      <c r="AK391" s="444">
        <f>Ruimtestaat[[#This Row],[uren / jaar weekend]]*Tariefsopbouw!$D$40</f>
        <v>0</v>
      </c>
      <c r="AL391" s="441">
        <f>Ruimtestaat[[#This Row],[Prest. (m2 /jaar) weekend]]+Ruimtestaat[[#This Row],[Prest. (m2 /jaar) werkdagen]]</f>
        <v>11234</v>
      </c>
      <c r="AM391" s="441">
        <f>Ruimtestaat[[#This Row],[uren / jaar weekend]]+Ruimtestaat[[#This Row],[uren / jaar werkdagen]]</f>
        <v>0</v>
      </c>
      <c r="AN391" s="446">
        <f>Ruimtestaat[[#This Row],[kosten / jaar weekend]]+Ruimtestaat[[#This Row],[kosten / jaar werkdagen]]</f>
        <v>0</v>
      </c>
      <c r="AO391" s="446"/>
      <c r="AP391" s="447" t="str">
        <f>IF(Ruimtestaat[[#This Row],[Frequentie werkdagen]]="","",_xlfn.CONCAT(Ruimtestaat[[#This Row],[Ruimte code]],"-",Ruimtestaat[[#This Row],[Frequentie werkdagen]]," ",Ruimtestaat[[#This Row],[Vloer code]]))</f>
        <v>16-5w S</v>
      </c>
      <c r="AQ391" s="448" t="str">
        <f>_xlfn.IFNA(VLOOKUP($AP391,Programma!$F$3:$G$1101,2,0),"")</f>
        <v>_</v>
      </c>
      <c r="AR391" s="448" t="str">
        <f>_xlfn.IFNA(VLOOKUP($AP391,Programma!$F$3:$H$1101,3,0),"")</f>
        <v>_</v>
      </c>
      <c r="AS391" s="448" t="str">
        <f>_xlfn.IFNA(VLOOKUP($AP391,Programma!$F$3:$I$1101,4,0),"")</f>
        <v>4w</v>
      </c>
      <c r="AT391" s="448" t="str">
        <f>_xlfn.IFNA(VLOOKUP($AP391,Programma!$F$3:$J$1101,5,0),"")</f>
        <v>1w</v>
      </c>
      <c r="AU391" s="448" t="str">
        <f>_xlfn.IFNA(VLOOKUP($AP391,Programma!$F$3:$K$1101,6,0),"")</f>
        <v>1m</v>
      </c>
      <c r="AV391" s="448" t="str">
        <f>_xlfn.IFNA(VLOOKUP($AP391,Programma!$F$3:$L$1101,7,0),"")</f>
        <v>_</v>
      </c>
      <c r="AW391" s="448" t="str">
        <f>_xlfn.IFNA(VLOOKUP($AP391,Programma!$F$3:$M$1101,8,0),"")</f>
        <v>_</v>
      </c>
      <c r="AX391" s="448" t="str">
        <f>_xlfn.IFNA(VLOOKUP($AP391,Programma!$F$3:$N$1101,9,0),"")</f>
        <v>_</v>
      </c>
      <c r="AY391" s="448" t="str">
        <f>_xlfn.IFNA(VLOOKUP($AP391,Programma!$F$3:$O$1101,10,0),"")</f>
        <v>5w</v>
      </c>
      <c r="AZ391" s="448" t="str">
        <f>_xlfn.IFNA(VLOOKUP($AP391,Programma!$F$3:$P$1101,11,0),"")</f>
        <v>5w</v>
      </c>
      <c r="BA391" s="448" t="str">
        <f>_xlfn.IFNA(VLOOKUP($AP391,Programma!$F$3:$Q$1101,12,0),"")</f>
        <v>1w</v>
      </c>
      <c r="BB391" s="448" t="str">
        <f>_xlfn.IFNA(VLOOKUP($AP391,Programma!$F$3:$R$1101,13,0),"")</f>
        <v>1w</v>
      </c>
      <c r="BC391" s="448" t="str">
        <f>_xlfn.IFNA(VLOOKUP($AP391,Programma!$F$3:$S$1101,14,0),"")</f>
        <v>1m</v>
      </c>
      <c r="BD391" s="448" t="str">
        <f>_xlfn.IFNA(VLOOKUP($AP391,Programma!$F$3:$T$1101,15,0),"")</f>
        <v>2j</v>
      </c>
      <c r="BE391" s="448" t="str">
        <f>_xlfn.IFNA(VLOOKUP($AP391,Programma!$F$3:$U$1101,16,0),"")</f>
        <v>1j</v>
      </c>
      <c r="BF391" s="448" t="str">
        <f>_xlfn.IFNA(VLOOKUP($AP391,Programma!$F$3:$V$1101,17,0),"")</f>
        <v>_</v>
      </c>
      <c r="BG391" s="448" t="str">
        <f>_xlfn.IFNA(VLOOKUP($AP391,Programma!$F$3:$W$1101,18,0),"")</f>
        <v>_</v>
      </c>
      <c r="BH391" s="448" t="str">
        <f>_xlfn.IFNA(VLOOKUP($AP391,Programma!$F$3:$X$1101,19,0),"")</f>
        <v>_</v>
      </c>
      <c r="BI391" s="448" t="str">
        <f>_xlfn.IFNA(VLOOKUP($AP391,Programma!$F$3:$Y$1101,20,0),"")</f>
        <v>_</v>
      </c>
      <c r="BJ391" s="449"/>
      <c r="BK391" s="447" t="str">
        <f>IF(Ruimtestaat[[#This Row],[Frequentie weekend]]="","",_xlfn.CONCAT(Ruimtestaat[[#This Row],[Ruimte code]],"-",Ruimtestaat[[#This Row],[Frequentie weekend]]," ",Ruimtestaat[[#This Row],[Vloer code]]))</f>
        <v/>
      </c>
      <c r="BL391" s="448" t="str">
        <f>_xlfn.IFNA(VLOOKUP($BK391,Programma!$F$3:$G$1101,2,0),"")</f>
        <v/>
      </c>
      <c r="BM391" s="448" t="str">
        <f>_xlfn.IFNA(VLOOKUP($BK391,Programma!$F$3:$H$1101,3,0),"")</f>
        <v/>
      </c>
      <c r="BN391" s="448" t="str">
        <f>_xlfn.IFNA(VLOOKUP($BK391,Programma!$F$3:$I$1101,4,0),"")</f>
        <v/>
      </c>
      <c r="BO391" s="448" t="str">
        <f>_xlfn.IFNA(VLOOKUP($BK391,Programma!$F$3:$J$1101,5,0),"")</f>
        <v/>
      </c>
      <c r="BP391" s="448" t="str">
        <f>_xlfn.IFNA(VLOOKUP($BK391,Programma!$F$3:$K$1101,6,0),"")</f>
        <v/>
      </c>
      <c r="BQ391" s="448" t="str">
        <f>_xlfn.IFNA(VLOOKUP($BK391,Programma!$F$3:$L$1101,7,0),"")</f>
        <v/>
      </c>
      <c r="BR391" s="448" t="str">
        <f>_xlfn.IFNA(VLOOKUP($BK391,Programma!$F$3:$M$1101,8,0),"")</f>
        <v/>
      </c>
      <c r="BS391" s="448" t="str">
        <f>_xlfn.IFNA(VLOOKUP($BK391,Programma!$F$3:$N$1101,9,0),"")</f>
        <v/>
      </c>
      <c r="BT391" s="448" t="str">
        <f>_xlfn.IFNA(VLOOKUP($BK391,Programma!$F$3:$O$1101,10,0),"")</f>
        <v/>
      </c>
      <c r="BU391" s="448" t="str">
        <f>_xlfn.IFNA(VLOOKUP($BK391,Programma!$F$3:$P$1101,11,0),"")</f>
        <v/>
      </c>
      <c r="BV391" s="448" t="str">
        <f>_xlfn.IFNA(VLOOKUP($BK391,Programma!$F$3:$Q$1101,12,0),"")</f>
        <v/>
      </c>
      <c r="BW391" s="448" t="str">
        <f>_xlfn.IFNA(VLOOKUP($BK391,Programma!$F$3:$R$1101,13,0),"")</f>
        <v/>
      </c>
      <c r="BX391" s="448" t="str">
        <f>_xlfn.IFNA(VLOOKUP($BK391,Programma!$F$3:$S$1101,14,0),"")</f>
        <v/>
      </c>
      <c r="BY391" s="448" t="str">
        <f>_xlfn.IFNA(VLOOKUP($BK391,Programma!$F$3:$T$1101,15,0),"")</f>
        <v/>
      </c>
      <c r="BZ391" s="448" t="str">
        <f>_xlfn.IFNA(VLOOKUP($BK391,Programma!$F$3:$U$1101,16,0),"")</f>
        <v/>
      </c>
      <c r="CA391" s="448" t="str">
        <f>_xlfn.IFNA(VLOOKUP($BK391,Programma!$F$3:$V$1101,17,0),"")</f>
        <v/>
      </c>
      <c r="CB391" s="448" t="str">
        <f>_xlfn.IFNA(VLOOKUP($BK391,Programma!$F$3:$W$1101,18,0),"")</f>
        <v/>
      </c>
      <c r="CC391" s="448" t="str">
        <f>_xlfn.IFNA(VLOOKUP($BK391,Programma!$F$3:$X$1101,19,0),"")</f>
        <v/>
      </c>
      <c r="CD391" s="448" t="str">
        <f>_xlfn.IFNA(VLOOKUP($BK391,Programma!$F$3:$Y$1101,20,0),"")</f>
        <v/>
      </c>
      <c r="CE391" s="327"/>
      <c r="CF391" s="327"/>
      <c r="CG391" s="327"/>
      <c r="CH391" s="327"/>
      <c r="CI391" s="327"/>
      <c r="CJ391" s="327"/>
      <c r="CK391" s="327"/>
      <c r="CL391" s="327"/>
      <c r="CM391" s="327"/>
      <c r="CN391" s="327"/>
      <c r="CO391" s="327"/>
      <c r="CP391" s="327"/>
      <c r="CQ391" s="327"/>
      <c r="CR391" s="327"/>
      <c r="CS391" s="327"/>
      <c r="CT391" s="327"/>
      <c r="CU391" s="327"/>
      <c r="CV391" s="327"/>
      <c r="CW391" s="327"/>
      <c r="CX391" s="327"/>
      <c r="CY391" s="327"/>
      <c r="CZ391" s="327"/>
      <c r="DA391" s="327"/>
      <c r="DB391" s="327"/>
      <c r="DC391" s="327"/>
      <c r="DD391" s="327"/>
      <c r="DE391" s="327"/>
      <c r="DF391" s="327"/>
      <c r="DG391" s="327"/>
      <c r="DH391" s="327"/>
      <c r="DI391" s="327"/>
      <c r="DJ391" s="327"/>
      <c r="DK391" s="327"/>
      <c r="DL391" s="327"/>
      <c r="DM391" s="327"/>
      <c r="DN391" s="327"/>
      <c r="DO391" s="327"/>
      <c r="DP391" s="327"/>
      <c r="DQ391" s="327"/>
      <c r="DR391" s="327"/>
      <c r="DS391" s="327"/>
      <c r="DT391" s="327"/>
      <c r="DU391" s="327"/>
      <c r="DV391" s="327"/>
      <c r="DW391" s="327"/>
      <c r="DX391" s="327"/>
      <c r="DY391" s="327"/>
      <c r="DZ391" s="327"/>
      <c r="EA391" s="327"/>
      <c r="EB391" s="327"/>
      <c r="EC391" s="327"/>
      <c r="ED391" s="327"/>
      <c r="EE391" s="327"/>
      <c r="EF391" s="327"/>
      <c r="EG391" s="327"/>
      <c r="EH391" s="327"/>
      <c r="EI391" s="327"/>
      <c r="EJ391" s="327"/>
      <c r="EK391" s="327"/>
      <c r="EL391" s="327"/>
      <c r="EM391" s="327"/>
      <c r="EN391" s="327"/>
      <c r="EO391" s="327"/>
      <c r="EP391" s="327"/>
      <c r="EQ391" s="327"/>
      <c r="ER391" s="327"/>
      <c r="ES391" s="327"/>
      <c r="ET391" s="327"/>
      <c r="EU391" s="327"/>
      <c r="EV391" s="327"/>
      <c r="EW391" s="327"/>
      <c r="EX391" s="327"/>
      <c r="EY391" s="327"/>
      <c r="EZ391" s="327"/>
      <c r="FA391" s="327"/>
      <c r="FB391" s="327"/>
      <c r="FC391" s="327"/>
      <c r="FD391" s="327"/>
      <c r="FE391" s="327"/>
      <c r="FF391" s="327"/>
      <c r="FG391" s="327"/>
      <c r="FH391" s="327"/>
      <c r="FI391" s="327"/>
      <c r="FJ391" s="327"/>
      <c r="FK391" s="327"/>
      <c r="FL391" s="327"/>
      <c r="FM391" s="327"/>
      <c r="FN391" s="327"/>
      <c r="FO391" s="327"/>
      <c r="FP391" s="327"/>
      <c r="FQ391" s="327"/>
      <c r="FR391" s="327"/>
      <c r="FS391" s="327"/>
      <c r="FT391" s="327"/>
      <c r="FU391" s="327"/>
      <c r="FV391" s="327"/>
      <c r="FW391" s="327"/>
      <c r="FX391" s="327"/>
      <c r="FY391" s="327"/>
      <c r="FZ391" s="327"/>
      <c r="GA391" s="327"/>
      <c r="GB391" s="327"/>
      <c r="GC391" s="327"/>
      <c r="GD391" s="327"/>
      <c r="GE391" s="327"/>
      <c r="GF391" s="327"/>
      <c r="GG391" s="327"/>
      <c r="GH391" s="327"/>
      <c r="GI391" s="327"/>
      <c r="GJ391" s="327"/>
      <c r="GK391" s="327"/>
      <c r="GL391" s="327"/>
      <c r="GM391" s="327"/>
      <c r="GN391" s="327"/>
      <c r="GO391" s="327"/>
      <c r="GP391" s="327"/>
      <c r="GQ391" s="327"/>
      <c r="GR391" s="327"/>
      <c r="GS391" s="327"/>
      <c r="GT391" s="327"/>
      <c r="GU391" s="327"/>
      <c r="GV391" s="327"/>
      <c r="GW391" s="327"/>
      <c r="GX391" s="327"/>
      <c r="GY391" s="327"/>
      <c r="GZ391" s="327"/>
      <c r="HA391" s="327"/>
      <c r="HB391" s="327"/>
      <c r="HC391" s="327"/>
      <c r="HD391" s="327"/>
      <c r="HE391" s="327"/>
      <c r="HF391" s="327"/>
      <c r="HG391" s="327"/>
      <c r="HH391" s="327"/>
      <c r="HI391" s="327"/>
      <c r="HJ391" s="327"/>
      <c r="HK391" s="327"/>
      <c r="HL391" s="327"/>
      <c r="HM391" s="327"/>
      <c r="HN391" s="327"/>
      <c r="HO391" s="327"/>
      <c r="HP391" s="327"/>
      <c r="HQ391" s="327"/>
      <c r="HR391" s="327"/>
      <c r="HS391" s="327"/>
    </row>
    <row r="392" spans="1:227" ht="15" customHeight="1">
      <c r="A392" s="327">
        <v>17</v>
      </c>
      <c r="B392" s="435" t="str">
        <f>VLOOKUP(Ruimtestaat[[#This Row],[Code]],Locaties[[Code]:[Locatie]],2,FALSE)</f>
        <v>IKC de Tjalk Kadelaan 208 (bijgebouw)</v>
      </c>
      <c r="C392" s="435" t="str">
        <f>VLOOKUP(Ruimtestaat[[#This Row],[Code]],Locaties[[#All],[Code]:[Adres]],4,FALSE)</f>
        <v>Kadelaan 208</v>
      </c>
      <c r="D392" s="435" t="str">
        <f>VLOOKUP(Ruimtestaat[[#This Row],[Code]],Locaties[[#All],[Code]:[Postcode]],5,FALSE)</f>
        <v>2725 BR</v>
      </c>
      <c r="E392" s="435" t="str">
        <f>VLOOKUP(Ruimtestaat[[#This Row],[Code]],Locaties[#All],6,FALSE)</f>
        <v>Zoetermeer</v>
      </c>
      <c r="F392" s="450"/>
      <c r="G392" s="330" t="s">
        <v>1678</v>
      </c>
      <c r="H392" s="330">
        <v>17</v>
      </c>
      <c r="I392" s="450" t="s">
        <v>1720</v>
      </c>
      <c r="J392" s="330">
        <v>5</v>
      </c>
      <c r="K392" s="450" t="str">
        <f>VLOOKUP(Ruimtestaat[[#This Row],[Ruimte code]],Ruimtegroepen[[#All],[Code]:[Ruimte omschrijving]],2,FALSE)</f>
        <v>Sanitair</v>
      </c>
      <c r="L392" s="330" t="s">
        <v>101</v>
      </c>
      <c r="M392" s="437" t="s">
        <v>1816</v>
      </c>
      <c r="N392" s="439">
        <v>4.4400000000000004</v>
      </c>
      <c r="O392" s="439"/>
      <c r="P392" s="439"/>
      <c r="Q392" s="439"/>
      <c r="R392" s="440" t="str">
        <f>VLOOKUP(Ruimtestaat[[#This Row],[Ruimte code]],Ruimtegroepen[],4,FALSE)</f>
        <v>Sa</v>
      </c>
      <c r="S392" s="434">
        <v>41</v>
      </c>
      <c r="T392" s="434" t="s">
        <v>2</v>
      </c>
      <c r="U392" s="434">
        <f>IF(S392&gt;0,IF(RIGHT(Ruimtestaat[[#This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92" s="434">
        <f>IF(U392&gt;0,VLOOKUP($J392,Ruimtegroepen[],3,FALSE)*VLOOKUP($L392,Vloersoorten[],3,FALSE)*VLOOKUP($T392,Frequenties[],3,FALSE)*VLOOKUP($A392,Locaties[],3,FALSE),0)</f>
        <v>0</v>
      </c>
      <c r="W392" s="434">
        <f>Ruimtestaat[[#This Row],[Uitvoeringen werkdagen]]*Ruimtestaat[[#This Row],[Oppervlak (netto)]]</f>
        <v>910.2</v>
      </c>
      <c r="X392" s="441">
        <f>IF(V392&gt;0,Ruimtestaat[[#This Row],[Prest. (m2 /jaar) werkdagen]]/Ruimtestaat[[#This Row],[Norm (m2/uur) werkdagen]],0)</f>
        <v>0</v>
      </c>
      <c r="Y392" s="442">
        <f>Ruimtestaat[[#This Row],[Uitvoeringen werkdagen]]*Ruimtestaat[[#This Row],[Gedeeltelijk]]</f>
        <v>0</v>
      </c>
      <c r="Z392" s="443" t="e">
        <f>IF(U392&gt;0,Ruimtestaat[[#This Row],[Prest. (m2 / jaar) werkdagen gedeeld]]/Ruimtestaat[[#This Row],[Norm (m2/uur) werkdagen]],0)</f>
        <v>#DIV/0!</v>
      </c>
      <c r="AA392" s="441" t="e">
        <f>Ruimtestaat[[#This Row],[uren / jaar werkdagen gedeeld]]*Tariefsopbouw!$E$35</f>
        <v>#DIV/0!</v>
      </c>
      <c r="AB392" s="441">
        <f>Ruimtestaat[[#This Row],[Uitvoeringen werkdagen]]*Ruimtestaat[[#This Row],[BSO]]</f>
        <v>0</v>
      </c>
      <c r="AC392" s="443" t="e">
        <f>IF(U392&gt;0,Ruimtestaat[[#This Row],[Prest. (m2 / jaar) werkdagen BSO]]/Ruimtestaat[[#This Row],[Norm (m2/uur) werkdagen]],0)</f>
        <v>#DIV/0!</v>
      </c>
      <c r="AD392" s="443" t="e">
        <f>Ruimtestaat[[#This Row],[uren / jaar werkdagen BSO]]*Tariefsopbouw!$E$35</f>
        <v>#DIV/0!</v>
      </c>
      <c r="AE392" s="444">
        <f>Ruimtestaat[[#This Row],[uren / jaar werkdagen]]*Tariefsopbouw!$E$35</f>
        <v>0</v>
      </c>
      <c r="AF392" s="434"/>
      <c r="AG392" s="434">
        <f>IF(Ruimtestaat[[#This Row],[Frequentie weekend]]&gt;0,VALUE(LEFT(AF392,1))*S392,0)</f>
        <v>0</v>
      </c>
      <c r="AH392" s="445">
        <f>IF($AG392&gt;0,VLOOKUP($J392,Ruimtegroepen[],3,FALSE)*VLOOKUP($L392,Vloersoorten[],3,FALSE)*VLOOKUP($AF392,Frequenties[],3,FALSE)*VLOOKUP(Ruimtestaat[[#This Row],[Code]],Locaties[],3,FALSE),0)</f>
        <v>0</v>
      </c>
      <c r="AI392" s="445">
        <f>Ruimtestaat[[#This Row],[Uitvoeringen weekend]]*Ruimtestaat[[#This Row],[Oppervlak (netto)]]</f>
        <v>0</v>
      </c>
      <c r="AJ392" s="445">
        <f>IF(AH392&gt;0,Ruimtestaat[[#This Row],[Prest. (m2 /jaar) weekend]]/Ruimtestaat[[#This Row],[Norm (m2/uur) weekend]],0)</f>
        <v>0</v>
      </c>
      <c r="AK392" s="444">
        <f>Ruimtestaat[[#This Row],[uren / jaar weekend]]*Tariefsopbouw!$D$40</f>
        <v>0</v>
      </c>
      <c r="AL392" s="441">
        <f>Ruimtestaat[[#This Row],[Prest. (m2 /jaar) weekend]]+Ruimtestaat[[#This Row],[Prest. (m2 /jaar) werkdagen]]</f>
        <v>910.2</v>
      </c>
      <c r="AM392" s="441">
        <f>Ruimtestaat[[#This Row],[uren / jaar weekend]]+Ruimtestaat[[#This Row],[uren / jaar werkdagen]]</f>
        <v>0</v>
      </c>
      <c r="AN392" s="446">
        <f>Ruimtestaat[[#This Row],[kosten / jaar weekend]]+Ruimtestaat[[#This Row],[kosten / jaar werkdagen]]</f>
        <v>0</v>
      </c>
      <c r="AO392" s="446"/>
      <c r="AP392" s="447" t="str">
        <f>IF(Ruimtestaat[[#This Row],[Frequentie werkdagen]]="","",_xlfn.CONCAT(Ruimtestaat[[#This Row],[Ruimte code]],"-",Ruimtestaat[[#This Row],[Frequentie werkdagen]]," ",Ruimtestaat[[#This Row],[Vloer code]]))</f>
        <v>5-5w S</v>
      </c>
      <c r="AQ392" s="448" t="str">
        <f>_xlfn.IFNA(VLOOKUP($AP392,Programma!$F$3:$G$1101,2,0),"")</f>
        <v>_</v>
      </c>
      <c r="AR392" s="448" t="str">
        <f>_xlfn.IFNA(VLOOKUP($AP392,Programma!$F$3:$H$1101,3,0),"")</f>
        <v>_</v>
      </c>
      <c r="AS392" s="448" t="str">
        <f>_xlfn.IFNA(VLOOKUP($AP392,Programma!$F$3:$I$1101,4,0),"")</f>
        <v>_</v>
      </c>
      <c r="AT392" s="448" t="str">
        <f>_xlfn.IFNA(VLOOKUP($AP392,Programma!$F$3:$J$1101,5,0),"")</f>
        <v>4w</v>
      </c>
      <c r="AU392" s="448" t="str">
        <f>_xlfn.IFNA(VLOOKUP($AP392,Programma!$F$3:$K$1101,6,0),"")</f>
        <v>1w</v>
      </c>
      <c r="AV392" s="448" t="str">
        <f>_xlfn.IFNA(VLOOKUP($AP392,Programma!$F$3:$L$1101,7,0),"")</f>
        <v>_</v>
      </c>
      <c r="AW392" s="448" t="str">
        <f>_xlfn.IFNA(VLOOKUP($AP392,Programma!$F$3:$M$1101,8,0),"")</f>
        <v>_</v>
      </c>
      <c r="AX392" s="448" t="str">
        <f>_xlfn.IFNA(VLOOKUP($AP392,Programma!$F$3:$N$1101,9,0),"")</f>
        <v>_</v>
      </c>
      <c r="AY392" s="448" t="str">
        <f>_xlfn.IFNA(VLOOKUP($AP392,Programma!$F$3:$O$1101,10,0),"")</f>
        <v>_</v>
      </c>
      <c r="AZ392" s="448" t="str">
        <f>_xlfn.IFNA(VLOOKUP($AP392,Programma!$F$3:$P$1101,11,0),"")</f>
        <v>_</v>
      </c>
      <c r="BA392" s="448" t="str">
        <f>_xlfn.IFNA(VLOOKUP($AP392,Programma!$F$3:$Q$1101,12,0),"")</f>
        <v>_</v>
      </c>
      <c r="BB392" s="448" t="str">
        <f>_xlfn.IFNA(VLOOKUP($AP392,Programma!$F$3:$R$1101,13,0),"")</f>
        <v>_</v>
      </c>
      <c r="BC392" s="448" t="str">
        <f>_xlfn.IFNA(VLOOKUP($AP392,Programma!$F$3:$S$1101,14,0),"")</f>
        <v>_</v>
      </c>
      <c r="BD392" s="448" t="str">
        <f>_xlfn.IFNA(VLOOKUP($AP392,Programma!$F$3:$T$1101,15,0),"")</f>
        <v>_</v>
      </c>
      <c r="BE392" s="448" t="str">
        <f>_xlfn.IFNA(VLOOKUP($AP392,Programma!$F$3:$U$1101,16,0),"")</f>
        <v>_</v>
      </c>
      <c r="BF392" s="448" t="str">
        <f>_xlfn.IFNA(VLOOKUP($AP392,Programma!$F$3:$V$1101,17,0),"")</f>
        <v>_</v>
      </c>
      <c r="BG392" s="448" t="str">
        <f>_xlfn.IFNA(VLOOKUP($AP392,Programma!$F$3:$W$1101,18,0),"")</f>
        <v>4w</v>
      </c>
      <c r="BH392" s="448" t="str">
        <f>_xlfn.IFNA(VLOOKUP($AP392,Programma!$F$3:$X$1101,19,0),"")</f>
        <v>1w</v>
      </c>
      <c r="BI392" s="448" t="str">
        <f>_xlfn.IFNA(VLOOKUP($AP392,Programma!$F$3:$Y$1101,20,0),"")</f>
        <v>_</v>
      </c>
      <c r="BJ392" s="449"/>
      <c r="BK392" s="447" t="str">
        <f>IF(Ruimtestaat[[#This Row],[Frequentie weekend]]="","",_xlfn.CONCAT(Ruimtestaat[[#This Row],[Ruimte code]],"-",Ruimtestaat[[#This Row],[Frequentie weekend]]," ",Ruimtestaat[[#This Row],[Vloer code]]))</f>
        <v/>
      </c>
      <c r="BL392" s="448" t="str">
        <f>_xlfn.IFNA(VLOOKUP($BK392,Programma!$F$3:$G$1101,2,0),"")</f>
        <v/>
      </c>
      <c r="BM392" s="448" t="str">
        <f>_xlfn.IFNA(VLOOKUP($BK392,Programma!$F$3:$H$1101,3,0),"")</f>
        <v/>
      </c>
      <c r="BN392" s="448" t="str">
        <f>_xlfn.IFNA(VLOOKUP($BK392,Programma!$F$3:$I$1101,4,0),"")</f>
        <v/>
      </c>
      <c r="BO392" s="448" t="str">
        <f>_xlfn.IFNA(VLOOKUP($BK392,Programma!$F$3:$J$1101,5,0),"")</f>
        <v/>
      </c>
      <c r="BP392" s="448" t="str">
        <f>_xlfn.IFNA(VLOOKUP($BK392,Programma!$F$3:$K$1101,6,0),"")</f>
        <v/>
      </c>
      <c r="BQ392" s="448" t="str">
        <f>_xlfn.IFNA(VLOOKUP($BK392,Programma!$F$3:$L$1101,7,0),"")</f>
        <v/>
      </c>
      <c r="BR392" s="448" t="str">
        <f>_xlfn.IFNA(VLOOKUP($BK392,Programma!$F$3:$M$1101,8,0),"")</f>
        <v/>
      </c>
      <c r="BS392" s="448" t="str">
        <f>_xlfn.IFNA(VLOOKUP($BK392,Programma!$F$3:$N$1101,9,0),"")</f>
        <v/>
      </c>
      <c r="BT392" s="448" t="str">
        <f>_xlfn.IFNA(VLOOKUP($BK392,Programma!$F$3:$O$1101,10,0),"")</f>
        <v/>
      </c>
      <c r="BU392" s="448" t="str">
        <f>_xlfn.IFNA(VLOOKUP($BK392,Programma!$F$3:$P$1101,11,0),"")</f>
        <v/>
      </c>
      <c r="BV392" s="448" t="str">
        <f>_xlfn.IFNA(VLOOKUP($BK392,Programma!$F$3:$Q$1101,12,0),"")</f>
        <v/>
      </c>
      <c r="BW392" s="448" t="str">
        <f>_xlfn.IFNA(VLOOKUP($BK392,Programma!$F$3:$R$1101,13,0),"")</f>
        <v/>
      </c>
      <c r="BX392" s="448" t="str">
        <f>_xlfn.IFNA(VLOOKUP($BK392,Programma!$F$3:$S$1101,14,0),"")</f>
        <v/>
      </c>
      <c r="BY392" s="448" t="str">
        <f>_xlfn.IFNA(VLOOKUP($BK392,Programma!$F$3:$T$1101,15,0),"")</f>
        <v/>
      </c>
      <c r="BZ392" s="448" t="str">
        <f>_xlfn.IFNA(VLOOKUP($BK392,Programma!$F$3:$U$1101,16,0),"")</f>
        <v/>
      </c>
      <c r="CA392" s="448" t="str">
        <f>_xlfn.IFNA(VLOOKUP($BK392,Programma!$F$3:$V$1101,17,0),"")</f>
        <v/>
      </c>
      <c r="CB392" s="448" t="str">
        <f>_xlfn.IFNA(VLOOKUP($BK392,Programma!$F$3:$W$1101,18,0),"")</f>
        <v/>
      </c>
      <c r="CC392" s="448" t="str">
        <f>_xlfn.IFNA(VLOOKUP($BK392,Programma!$F$3:$X$1101,19,0),"")</f>
        <v/>
      </c>
      <c r="CD392" s="448" t="str">
        <f>_xlfn.IFNA(VLOOKUP($BK392,Programma!$F$3:$Y$1101,20,0),"")</f>
        <v/>
      </c>
      <c r="CE392" s="327"/>
      <c r="CF392" s="327"/>
      <c r="CG392" s="327"/>
      <c r="CH392" s="327"/>
      <c r="CI392" s="327"/>
      <c r="CJ392" s="327"/>
      <c r="CK392" s="327"/>
      <c r="CL392" s="327"/>
      <c r="CM392" s="327"/>
      <c r="CN392" s="327"/>
      <c r="CO392" s="327"/>
      <c r="CP392" s="327"/>
      <c r="CQ392" s="327"/>
      <c r="CR392" s="327"/>
      <c r="CS392" s="327"/>
      <c r="CT392" s="327"/>
      <c r="CU392" s="327"/>
      <c r="CV392" s="327"/>
      <c r="CW392" s="327"/>
      <c r="CX392" s="327"/>
      <c r="CY392" s="327"/>
      <c r="CZ392" s="327"/>
      <c r="DA392" s="327"/>
      <c r="DB392" s="327"/>
      <c r="DC392" s="327"/>
      <c r="DD392" s="327"/>
      <c r="DE392" s="327"/>
      <c r="DF392" s="327"/>
      <c r="DG392" s="327"/>
      <c r="DH392" s="327"/>
      <c r="DI392" s="327"/>
      <c r="DJ392" s="327"/>
      <c r="DK392" s="327"/>
      <c r="DL392" s="327"/>
      <c r="DM392" s="327"/>
      <c r="DN392" s="327"/>
      <c r="DO392" s="327"/>
      <c r="DP392" s="327"/>
      <c r="DQ392" s="327"/>
      <c r="DR392" s="327"/>
      <c r="DS392" s="327"/>
      <c r="DT392" s="327"/>
      <c r="DU392" s="327"/>
      <c r="DV392" s="327"/>
      <c r="DW392" s="327"/>
      <c r="DX392" s="327"/>
      <c r="DY392" s="327"/>
      <c r="DZ392" s="327"/>
      <c r="EA392" s="327"/>
      <c r="EB392" s="327"/>
      <c r="EC392" s="327"/>
      <c r="ED392" s="327"/>
      <c r="EE392" s="327"/>
      <c r="EF392" s="327"/>
      <c r="EG392" s="327"/>
      <c r="EH392" s="327"/>
      <c r="EI392" s="327"/>
      <c r="EJ392" s="327"/>
      <c r="EK392" s="327"/>
      <c r="EL392" s="327"/>
      <c r="EM392" s="327"/>
      <c r="EN392" s="327"/>
      <c r="EO392" s="327"/>
      <c r="EP392" s="327"/>
      <c r="EQ392" s="327"/>
      <c r="ER392" s="327"/>
      <c r="ES392" s="327"/>
      <c r="ET392" s="327"/>
      <c r="EU392" s="327"/>
      <c r="EV392" s="327"/>
      <c r="EW392" s="327"/>
      <c r="EX392" s="327"/>
      <c r="EY392" s="327"/>
      <c r="EZ392" s="327"/>
      <c r="FA392" s="327"/>
      <c r="FB392" s="327"/>
      <c r="FC392" s="327"/>
      <c r="FD392" s="327"/>
      <c r="FE392" s="327"/>
      <c r="FF392" s="327"/>
      <c r="FG392" s="327"/>
      <c r="FH392" s="327"/>
      <c r="FI392" s="327"/>
      <c r="FJ392" s="327"/>
      <c r="FK392" s="327"/>
      <c r="FL392" s="327"/>
      <c r="FM392" s="327"/>
      <c r="FN392" s="327"/>
      <c r="FO392" s="327"/>
      <c r="FP392" s="327"/>
      <c r="FQ392" s="327"/>
      <c r="FR392" s="327"/>
      <c r="FS392" s="327"/>
      <c r="FT392" s="327"/>
      <c r="FU392" s="327"/>
      <c r="FV392" s="327"/>
      <c r="FW392" s="327"/>
      <c r="FX392" s="327"/>
      <c r="FY392" s="327"/>
      <c r="FZ392" s="327"/>
      <c r="GA392" s="327"/>
      <c r="GB392" s="327"/>
      <c r="GC392" s="327"/>
      <c r="GD392" s="327"/>
      <c r="GE392" s="327"/>
      <c r="GF392" s="327"/>
      <c r="GG392" s="327"/>
      <c r="GH392" s="327"/>
      <c r="GI392" s="327"/>
      <c r="GJ392" s="327"/>
      <c r="GK392" s="327"/>
      <c r="GL392" s="327"/>
      <c r="GM392" s="327"/>
      <c r="GN392" s="327"/>
      <c r="GO392" s="327"/>
      <c r="GP392" s="327"/>
      <c r="GQ392" s="327"/>
      <c r="GR392" s="327"/>
      <c r="GS392" s="327"/>
      <c r="GT392" s="327"/>
      <c r="GU392" s="327"/>
      <c r="GV392" s="327"/>
      <c r="GW392" s="327"/>
      <c r="GX392" s="327"/>
      <c r="GY392" s="327"/>
      <c r="GZ392" s="327"/>
      <c r="HA392" s="327"/>
      <c r="HB392" s="327"/>
      <c r="HC392" s="327"/>
      <c r="HD392" s="327"/>
      <c r="HE392" s="327"/>
      <c r="HF392" s="327"/>
      <c r="HG392" s="327"/>
      <c r="HH392" s="327"/>
      <c r="HI392" s="327"/>
      <c r="HJ392" s="327"/>
      <c r="HK392" s="327"/>
      <c r="HL392" s="327"/>
      <c r="HM392" s="327"/>
      <c r="HN392" s="327"/>
      <c r="HO392" s="327"/>
      <c r="HP392" s="327"/>
      <c r="HQ392" s="327"/>
      <c r="HR392" s="327"/>
      <c r="HS392" s="327"/>
    </row>
    <row r="393" spans="1:227" ht="15" customHeight="1">
      <c r="A393" s="327">
        <v>17</v>
      </c>
      <c r="B393" s="435" t="str">
        <f>VLOOKUP(Ruimtestaat[[#This Row],[Code]],Locaties[[Code]:[Locatie]],2,FALSE)</f>
        <v>IKC de Tjalk Kadelaan 208 (bijgebouw)</v>
      </c>
      <c r="C393" s="435" t="str">
        <f>VLOOKUP(Ruimtestaat[[#This Row],[Code]],Locaties[[#All],[Code]:[Adres]],4,FALSE)</f>
        <v>Kadelaan 208</v>
      </c>
      <c r="D393" s="435" t="str">
        <f>VLOOKUP(Ruimtestaat[[#This Row],[Code]],Locaties[[#All],[Code]:[Postcode]],5,FALSE)</f>
        <v>2725 BR</v>
      </c>
      <c r="E393" s="435" t="str">
        <f>VLOOKUP(Ruimtestaat[[#This Row],[Code]],Locaties[#All],6,FALSE)</f>
        <v>Zoetermeer</v>
      </c>
      <c r="F393" s="450"/>
      <c r="G393" s="330" t="s">
        <v>1678</v>
      </c>
      <c r="H393" s="330">
        <v>18</v>
      </c>
      <c r="I393" s="450" t="s">
        <v>1720</v>
      </c>
      <c r="J393" s="330">
        <v>5</v>
      </c>
      <c r="K393" s="450" t="str">
        <f>VLOOKUP(Ruimtestaat[[#This Row],[Ruimte code]],Ruimtegroepen[[#All],[Code]:[Ruimte omschrijving]],2,FALSE)</f>
        <v>Sanitair</v>
      </c>
      <c r="L393" s="330" t="s">
        <v>101</v>
      </c>
      <c r="M393" s="437" t="s">
        <v>1816</v>
      </c>
      <c r="N393" s="439">
        <v>4.42</v>
      </c>
      <c r="O393" s="439"/>
      <c r="P393" s="439"/>
      <c r="Q393" s="439"/>
      <c r="R393" s="440" t="str">
        <f>VLOOKUP(Ruimtestaat[[#This Row],[Ruimte code]],Ruimtegroepen[],4,FALSE)</f>
        <v>Sa</v>
      </c>
      <c r="S393" s="434">
        <v>41</v>
      </c>
      <c r="T393" s="434" t="s">
        <v>2</v>
      </c>
      <c r="U393" s="434">
        <f>IF(S393&gt;0,IF(RIGHT(Ruimtestaat[[#This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93" s="434">
        <f>IF(U393&gt;0,VLOOKUP($J393,Ruimtegroepen[],3,FALSE)*VLOOKUP($L393,Vloersoorten[],3,FALSE)*VLOOKUP($T393,Frequenties[],3,FALSE)*VLOOKUP($A393,Locaties[],3,FALSE),0)</f>
        <v>0</v>
      </c>
      <c r="W393" s="434">
        <f>Ruimtestaat[[#This Row],[Uitvoeringen werkdagen]]*Ruimtestaat[[#This Row],[Oppervlak (netto)]]</f>
        <v>906.1</v>
      </c>
      <c r="X393" s="441">
        <f>IF(V393&gt;0,Ruimtestaat[[#This Row],[Prest. (m2 /jaar) werkdagen]]/Ruimtestaat[[#This Row],[Norm (m2/uur) werkdagen]],0)</f>
        <v>0</v>
      </c>
      <c r="Y393" s="442">
        <f>Ruimtestaat[[#This Row],[Uitvoeringen werkdagen]]*Ruimtestaat[[#This Row],[Gedeeltelijk]]</f>
        <v>0</v>
      </c>
      <c r="Z393" s="443" t="e">
        <f>IF(U393&gt;0,Ruimtestaat[[#This Row],[Prest. (m2 / jaar) werkdagen gedeeld]]/Ruimtestaat[[#This Row],[Norm (m2/uur) werkdagen]],0)</f>
        <v>#DIV/0!</v>
      </c>
      <c r="AA393" s="441" t="e">
        <f>Ruimtestaat[[#This Row],[uren / jaar werkdagen gedeeld]]*Tariefsopbouw!$E$35</f>
        <v>#DIV/0!</v>
      </c>
      <c r="AB393" s="441">
        <f>Ruimtestaat[[#This Row],[Uitvoeringen werkdagen]]*Ruimtestaat[[#This Row],[BSO]]</f>
        <v>0</v>
      </c>
      <c r="AC393" s="443" t="e">
        <f>IF(U393&gt;0,Ruimtestaat[[#This Row],[Prest. (m2 / jaar) werkdagen BSO]]/Ruimtestaat[[#This Row],[Norm (m2/uur) werkdagen]],0)</f>
        <v>#DIV/0!</v>
      </c>
      <c r="AD393" s="443" t="e">
        <f>Ruimtestaat[[#This Row],[uren / jaar werkdagen BSO]]*Tariefsopbouw!$E$35</f>
        <v>#DIV/0!</v>
      </c>
      <c r="AE393" s="444">
        <f>Ruimtestaat[[#This Row],[uren / jaar werkdagen]]*Tariefsopbouw!$E$35</f>
        <v>0</v>
      </c>
      <c r="AF393" s="434"/>
      <c r="AG393" s="434">
        <f>IF(Ruimtestaat[[#This Row],[Frequentie weekend]]&gt;0,VALUE(LEFT(AF393,1))*S393,0)</f>
        <v>0</v>
      </c>
      <c r="AH393" s="445">
        <f>IF($AG393&gt;0,VLOOKUP($J393,Ruimtegroepen[],3,FALSE)*VLOOKUP($L393,Vloersoorten[],3,FALSE)*VLOOKUP($AF393,Frequenties[],3,FALSE)*VLOOKUP(Ruimtestaat[[#This Row],[Code]],Locaties[],3,FALSE),0)</f>
        <v>0</v>
      </c>
      <c r="AI393" s="445">
        <f>Ruimtestaat[[#This Row],[Uitvoeringen weekend]]*Ruimtestaat[[#This Row],[Oppervlak (netto)]]</f>
        <v>0</v>
      </c>
      <c r="AJ393" s="445">
        <f>IF(AH393&gt;0,Ruimtestaat[[#This Row],[Prest. (m2 /jaar) weekend]]/Ruimtestaat[[#This Row],[Norm (m2/uur) weekend]],0)</f>
        <v>0</v>
      </c>
      <c r="AK393" s="444">
        <f>Ruimtestaat[[#This Row],[uren / jaar weekend]]*Tariefsopbouw!$D$40</f>
        <v>0</v>
      </c>
      <c r="AL393" s="441">
        <f>Ruimtestaat[[#This Row],[Prest. (m2 /jaar) weekend]]+Ruimtestaat[[#This Row],[Prest. (m2 /jaar) werkdagen]]</f>
        <v>906.1</v>
      </c>
      <c r="AM393" s="441">
        <f>Ruimtestaat[[#This Row],[uren / jaar weekend]]+Ruimtestaat[[#This Row],[uren / jaar werkdagen]]</f>
        <v>0</v>
      </c>
      <c r="AN393" s="446">
        <f>Ruimtestaat[[#This Row],[kosten / jaar weekend]]+Ruimtestaat[[#This Row],[kosten / jaar werkdagen]]</f>
        <v>0</v>
      </c>
      <c r="AO393" s="446"/>
      <c r="AP393" s="447" t="str">
        <f>IF(Ruimtestaat[[#This Row],[Frequentie werkdagen]]="","",_xlfn.CONCAT(Ruimtestaat[[#This Row],[Ruimte code]],"-",Ruimtestaat[[#This Row],[Frequentie werkdagen]]," ",Ruimtestaat[[#This Row],[Vloer code]]))</f>
        <v>5-5w S</v>
      </c>
      <c r="AQ393" s="448" t="str">
        <f>_xlfn.IFNA(VLOOKUP($AP393,Programma!$F$3:$G$1101,2,0),"")</f>
        <v>_</v>
      </c>
      <c r="AR393" s="448" t="str">
        <f>_xlfn.IFNA(VLOOKUP($AP393,Programma!$F$3:$H$1101,3,0),"")</f>
        <v>_</v>
      </c>
      <c r="AS393" s="448" t="str">
        <f>_xlfn.IFNA(VLOOKUP($AP393,Programma!$F$3:$I$1101,4,0),"")</f>
        <v>_</v>
      </c>
      <c r="AT393" s="448" t="str">
        <f>_xlfn.IFNA(VLOOKUP($AP393,Programma!$F$3:$J$1101,5,0),"")</f>
        <v>4w</v>
      </c>
      <c r="AU393" s="448" t="str">
        <f>_xlfn.IFNA(VLOOKUP($AP393,Programma!$F$3:$K$1101,6,0),"")</f>
        <v>1w</v>
      </c>
      <c r="AV393" s="448" t="str">
        <f>_xlfn.IFNA(VLOOKUP($AP393,Programma!$F$3:$L$1101,7,0),"")</f>
        <v>_</v>
      </c>
      <c r="AW393" s="448" t="str">
        <f>_xlfn.IFNA(VLOOKUP($AP393,Programma!$F$3:$M$1101,8,0),"")</f>
        <v>_</v>
      </c>
      <c r="AX393" s="448" t="str">
        <f>_xlfn.IFNA(VLOOKUP($AP393,Programma!$F$3:$N$1101,9,0),"")</f>
        <v>_</v>
      </c>
      <c r="AY393" s="448" t="str">
        <f>_xlfn.IFNA(VLOOKUP($AP393,Programma!$F$3:$O$1101,10,0),"")</f>
        <v>_</v>
      </c>
      <c r="AZ393" s="448" t="str">
        <f>_xlfn.IFNA(VLOOKUP($AP393,Programma!$F$3:$P$1101,11,0),"")</f>
        <v>_</v>
      </c>
      <c r="BA393" s="448" t="str">
        <f>_xlfn.IFNA(VLOOKUP($AP393,Programma!$F$3:$Q$1101,12,0),"")</f>
        <v>_</v>
      </c>
      <c r="BB393" s="448" t="str">
        <f>_xlfn.IFNA(VLOOKUP($AP393,Programma!$F$3:$R$1101,13,0),"")</f>
        <v>_</v>
      </c>
      <c r="BC393" s="448" t="str">
        <f>_xlfn.IFNA(VLOOKUP($AP393,Programma!$F$3:$S$1101,14,0),"")</f>
        <v>_</v>
      </c>
      <c r="BD393" s="448" t="str">
        <f>_xlfn.IFNA(VLOOKUP($AP393,Programma!$F$3:$T$1101,15,0),"")</f>
        <v>_</v>
      </c>
      <c r="BE393" s="448" t="str">
        <f>_xlfn.IFNA(VLOOKUP($AP393,Programma!$F$3:$U$1101,16,0),"")</f>
        <v>_</v>
      </c>
      <c r="BF393" s="448" t="str">
        <f>_xlfn.IFNA(VLOOKUP($AP393,Programma!$F$3:$V$1101,17,0),"")</f>
        <v>_</v>
      </c>
      <c r="BG393" s="448" t="str">
        <f>_xlfn.IFNA(VLOOKUP($AP393,Programma!$F$3:$W$1101,18,0),"")</f>
        <v>4w</v>
      </c>
      <c r="BH393" s="448" t="str">
        <f>_xlfn.IFNA(VLOOKUP($AP393,Programma!$F$3:$X$1101,19,0),"")</f>
        <v>1w</v>
      </c>
      <c r="BI393" s="448" t="str">
        <f>_xlfn.IFNA(VLOOKUP($AP393,Programma!$F$3:$Y$1101,20,0),"")</f>
        <v>_</v>
      </c>
      <c r="BJ393" s="449"/>
      <c r="BK393" s="447" t="str">
        <f>IF(Ruimtestaat[[#This Row],[Frequentie weekend]]="","",_xlfn.CONCAT(Ruimtestaat[[#This Row],[Ruimte code]],"-",Ruimtestaat[[#This Row],[Frequentie weekend]]," ",Ruimtestaat[[#This Row],[Vloer code]]))</f>
        <v/>
      </c>
      <c r="BL393" s="448" t="str">
        <f>_xlfn.IFNA(VLOOKUP($BK393,Programma!$F$3:$G$1101,2,0),"")</f>
        <v/>
      </c>
      <c r="BM393" s="448" t="str">
        <f>_xlfn.IFNA(VLOOKUP($BK393,Programma!$F$3:$H$1101,3,0),"")</f>
        <v/>
      </c>
      <c r="BN393" s="448" t="str">
        <f>_xlfn.IFNA(VLOOKUP($BK393,Programma!$F$3:$I$1101,4,0),"")</f>
        <v/>
      </c>
      <c r="BO393" s="448" t="str">
        <f>_xlfn.IFNA(VLOOKUP($BK393,Programma!$F$3:$J$1101,5,0),"")</f>
        <v/>
      </c>
      <c r="BP393" s="448" t="str">
        <f>_xlfn.IFNA(VLOOKUP($BK393,Programma!$F$3:$K$1101,6,0),"")</f>
        <v/>
      </c>
      <c r="BQ393" s="448" t="str">
        <f>_xlfn.IFNA(VLOOKUP($BK393,Programma!$F$3:$L$1101,7,0),"")</f>
        <v/>
      </c>
      <c r="BR393" s="448" t="str">
        <f>_xlfn.IFNA(VLOOKUP($BK393,Programma!$F$3:$M$1101,8,0),"")</f>
        <v/>
      </c>
      <c r="BS393" s="448" t="str">
        <f>_xlfn.IFNA(VLOOKUP($BK393,Programma!$F$3:$N$1101,9,0),"")</f>
        <v/>
      </c>
      <c r="BT393" s="448" t="str">
        <f>_xlfn.IFNA(VLOOKUP($BK393,Programma!$F$3:$O$1101,10,0),"")</f>
        <v/>
      </c>
      <c r="BU393" s="448" t="str">
        <f>_xlfn.IFNA(VLOOKUP($BK393,Programma!$F$3:$P$1101,11,0),"")</f>
        <v/>
      </c>
      <c r="BV393" s="448" t="str">
        <f>_xlfn.IFNA(VLOOKUP($BK393,Programma!$F$3:$Q$1101,12,0),"")</f>
        <v/>
      </c>
      <c r="BW393" s="448" t="str">
        <f>_xlfn.IFNA(VLOOKUP($BK393,Programma!$F$3:$R$1101,13,0),"")</f>
        <v/>
      </c>
      <c r="BX393" s="448" t="str">
        <f>_xlfn.IFNA(VLOOKUP($BK393,Programma!$F$3:$S$1101,14,0),"")</f>
        <v/>
      </c>
      <c r="BY393" s="448" t="str">
        <f>_xlfn.IFNA(VLOOKUP($BK393,Programma!$F$3:$T$1101,15,0),"")</f>
        <v/>
      </c>
      <c r="BZ393" s="448" t="str">
        <f>_xlfn.IFNA(VLOOKUP($BK393,Programma!$F$3:$U$1101,16,0),"")</f>
        <v/>
      </c>
      <c r="CA393" s="448" t="str">
        <f>_xlfn.IFNA(VLOOKUP($BK393,Programma!$F$3:$V$1101,17,0),"")</f>
        <v/>
      </c>
      <c r="CB393" s="448" t="str">
        <f>_xlfn.IFNA(VLOOKUP($BK393,Programma!$F$3:$W$1101,18,0),"")</f>
        <v/>
      </c>
      <c r="CC393" s="448" t="str">
        <f>_xlfn.IFNA(VLOOKUP($BK393,Programma!$F$3:$X$1101,19,0),"")</f>
        <v/>
      </c>
      <c r="CD393" s="448" t="str">
        <f>_xlfn.IFNA(VLOOKUP($BK393,Programma!$F$3:$Y$1101,20,0),"")</f>
        <v/>
      </c>
      <c r="CE393" s="327"/>
      <c r="CF393" s="327"/>
      <c r="CG393" s="327"/>
      <c r="CH393" s="327"/>
      <c r="CI393" s="327"/>
      <c r="CJ393" s="327"/>
      <c r="CK393" s="327"/>
      <c r="CL393" s="327"/>
      <c r="CM393" s="327"/>
      <c r="CN393" s="327"/>
      <c r="CO393" s="327"/>
      <c r="CP393" s="327"/>
      <c r="CQ393" s="327"/>
      <c r="CR393" s="327"/>
      <c r="CS393" s="327"/>
      <c r="CT393" s="327"/>
      <c r="CU393" s="327"/>
      <c r="CV393" s="327"/>
      <c r="CW393" s="327"/>
      <c r="CX393" s="327"/>
      <c r="CY393" s="327"/>
      <c r="CZ393" s="327"/>
      <c r="DA393" s="327"/>
      <c r="DB393" s="327"/>
      <c r="DC393" s="327"/>
      <c r="DD393" s="327"/>
      <c r="DE393" s="327"/>
      <c r="DF393" s="327"/>
      <c r="DG393" s="327"/>
      <c r="DH393" s="327"/>
      <c r="DI393" s="327"/>
      <c r="DJ393" s="327"/>
      <c r="DK393" s="327"/>
      <c r="DL393" s="327"/>
      <c r="DM393" s="327"/>
      <c r="DN393" s="327"/>
      <c r="DO393" s="327"/>
      <c r="DP393" s="327"/>
      <c r="DQ393" s="327"/>
      <c r="DR393" s="327"/>
      <c r="DS393" s="327"/>
      <c r="DT393" s="327"/>
      <c r="DU393" s="327"/>
      <c r="DV393" s="327"/>
      <c r="DW393" s="327"/>
      <c r="DX393" s="327"/>
      <c r="DY393" s="327"/>
      <c r="DZ393" s="327"/>
      <c r="EA393" s="327"/>
      <c r="EB393" s="327"/>
      <c r="EC393" s="327"/>
      <c r="ED393" s="327"/>
      <c r="EE393" s="327"/>
      <c r="EF393" s="327"/>
      <c r="EG393" s="327"/>
      <c r="EH393" s="327"/>
      <c r="EI393" s="327"/>
      <c r="EJ393" s="327"/>
      <c r="EK393" s="327"/>
      <c r="EL393" s="327"/>
      <c r="EM393" s="327"/>
      <c r="EN393" s="327"/>
      <c r="EO393" s="327"/>
      <c r="EP393" s="327"/>
      <c r="EQ393" s="327"/>
      <c r="ER393" s="327"/>
      <c r="ES393" s="327"/>
      <c r="ET393" s="327"/>
      <c r="EU393" s="327"/>
      <c r="EV393" s="327"/>
      <c r="EW393" s="327"/>
      <c r="EX393" s="327"/>
      <c r="EY393" s="327"/>
      <c r="EZ393" s="327"/>
      <c r="FA393" s="327"/>
      <c r="FB393" s="327"/>
      <c r="FC393" s="327"/>
      <c r="FD393" s="327"/>
      <c r="FE393" s="327"/>
      <c r="FF393" s="327"/>
      <c r="FG393" s="327"/>
      <c r="FH393" s="327"/>
      <c r="FI393" s="327"/>
      <c r="FJ393" s="327"/>
      <c r="FK393" s="327"/>
      <c r="FL393" s="327"/>
      <c r="FM393" s="327"/>
      <c r="FN393" s="327"/>
      <c r="FO393" s="327"/>
      <c r="FP393" s="327"/>
      <c r="FQ393" s="327"/>
      <c r="FR393" s="327"/>
      <c r="FS393" s="327"/>
      <c r="FT393" s="327"/>
      <c r="FU393" s="327"/>
      <c r="FV393" s="327"/>
      <c r="FW393" s="327"/>
      <c r="FX393" s="327"/>
      <c r="FY393" s="327"/>
      <c r="FZ393" s="327"/>
      <c r="GA393" s="327"/>
      <c r="GB393" s="327"/>
      <c r="GC393" s="327"/>
      <c r="GD393" s="327"/>
      <c r="GE393" s="327"/>
      <c r="GF393" s="327"/>
      <c r="GG393" s="327"/>
      <c r="GH393" s="327"/>
      <c r="GI393" s="327"/>
      <c r="GJ393" s="327"/>
      <c r="GK393" s="327"/>
      <c r="GL393" s="327"/>
      <c r="GM393" s="327"/>
      <c r="GN393" s="327"/>
      <c r="GO393" s="327"/>
      <c r="GP393" s="327"/>
      <c r="GQ393" s="327"/>
      <c r="GR393" s="327"/>
      <c r="GS393" s="327"/>
      <c r="GT393" s="327"/>
      <c r="GU393" s="327"/>
      <c r="GV393" s="327"/>
      <c r="GW393" s="327"/>
      <c r="GX393" s="327"/>
      <c r="GY393" s="327"/>
      <c r="GZ393" s="327"/>
      <c r="HA393" s="327"/>
      <c r="HB393" s="327"/>
      <c r="HC393" s="327"/>
      <c r="HD393" s="327"/>
      <c r="HE393" s="327"/>
      <c r="HF393" s="327"/>
      <c r="HG393" s="327"/>
      <c r="HH393" s="327"/>
      <c r="HI393" s="327"/>
      <c r="HJ393" s="327"/>
      <c r="HK393" s="327"/>
      <c r="HL393" s="327"/>
      <c r="HM393" s="327"/>
      <c r="HN393" s="327"/>
      <c r="HO393" s="327"/>
      <c r="HP393" s="327"/>
      <c r="HQ393" s="327"/>
      <c r="HR393" s="327"/>
      <c r="HS393" s="327"/>
    </row>
    <row r="394" spans="1:227" ht="15" customHeight="1">
      <c r="A394" s="327">
        <v>17</v>
      </c>
      <c r="B394" s="435" t="str">
        <f>VLOOKUP(Ruimtestaat[[#This Row],[Code]],Locaties[[Code]:[Locatie]],2,FALSE)</f>
        <v>IKC de Tjalk Kadelaan 208 (bijgebouw)</v>
      </c>
      <c r="C394" s="435" t="str">
        <f>VLOOKUP(Ruimtestaat[[#This Row],[Code]],Locaties[[#All],[Code]:[Adres]],4,FALSE)</f>
        <v>Kadelaan 208</v>
      </c>
      <c r="D394" s="435" t="str">
        <f>VLOOKUP(Ruimtestaat[[#This Row],[Code]],Locaties[[#All],[Code]:[Postcode]],5,FALSE)</f>
        <v>2725 BR</v>
      </c>
      <c r="E394" s="435" t="str">
        <f>VLOOKUP(Ruimtestaat[[#This Row],[Code]],Locaties[#All],6,FALSE)</f>
        <v>Zoetermeer</v>
      </c>
      <c r="F394" s="450"/>
      <c r="G394" s="330" t="s">
        <v>1678</v>
      </c>
      <c r="H394" s="330">
        <v>25</v>
      </c>
      <c r="I394" s="450" t="s">
        <v>1846</v>
      </c>
      <c r="J394" s="330">
        <v>16</v>
      </c>
      <c r="K394" s="450" t="str">
        <f>VLOOKUP(Ruimtestaat[[#This Row],[Ruimte code]],Ruimtegroepen[[#All],[Code]:[Ruimte omschrijving]],2,FALSE)</f>
        <v>Leslokalen</v>
      </c>
      <c r="L394" s="330" t="s">
        <v>101</v>
      </c>
      <c r="M394" s="437" t="s">
        <v>1816</v>
      </c>
      <c r="N394" s="439">
        <v>56.56</v>
      </c>
      <c r="O394" s="439"/>
      <c r="P394" s="439"/>
      <c r="Q394" s="439"/>
      <c r="R394" s="440" t="str">
        <f>VLOOKUP(Ruimtestaat[[#This Row],[Ruimte code]],Ruimtegroepen[],4,FALSE)</f>
        <v>Le</v>
      </c>
      <c r="S394" s="434">
        <v>40</v>
      </c>
      <c r="T394" s="434" t="s">
        <v>2</v>
      </c>
      <c r="U394" s="434">
        <f>IF(S394&gt;0,IF(RIGHT(Ruimtestaat[[#This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4" s="434">
        <f>IF(U394&gt;0,VLOOKUP($J394,Ruimtegroepen[],3,FALSE)*VLOOKUP($L394,Vloersoorten[],3,FALSE)*VLOOKUP($T394,Frequenties[],3,FALSE)*VLOOKUP($A394,Locaties[],3,FALSE),0)</f>
        <v>0</v>
      </c>
      <c r="W394" s="434">
        <f>Ruimtestaat[[#This Row],[Uitvoeringen werkdagen]]*Ruimtestaat[[#This Row],[Oppervlak (netto)]]</f>
        <v>11312</v>
      </c>
      <c r="X394" s="441">
        <f>IF(V394&gt;0,Ruimtestaat[[#This Row],[Prest. (m2 /jaar) werkdagen]]/Ruimtestaat[[#This Row],[Norm (m2/uur) werkdagen]],0)</f>
        <v>0</v>
      </c>
      <c r="Y394" s="442">
        <f>Ruimtestaat[[#This Row],[Uitvoeringen werkdagen]]*Ruimtestaat[[#This Row],[Gedeeltelijk]]</f>
        <v>0</v>
      </c>
      <c r="Z394" s="443" t="e">
        <f>IF(U394&gt;0,Ruimtestaat[[#This Row],[Prest. (m2 / jaar) werkdagen gedeeld]]/Ruimtestaat[[#This Row],[Norm (m2/uur) werkdagen]],0)</f>
        <v>#DIV/0!</v>
      </c>
      <c r="AA394" s="441" t="e">
        <f>Ruimtestaat[[#This Row],[uren / jaar werkdagen gedeeld]]*Tariefsopbouw!$E$35</f>
        <v>#DIV/0!</v>
      </c>
      <c r="AB394" s="441">
        <f>Ruimtestaat[[#This Row],[Uitvoeringen werkdagen]]*Ruimtestaat[[#This Row],[BSO]]</f>
        <v>0</v>
      </c>
      <c r="AC394" s="443" t="e">
        <f>IF(U394&gt;0,Ruimtestaat[[#This Row],[Prest. (m2 / jaar) werkdagen BSO]]/Ruimtestaat[[#This Row],[Norm (m2/uur) werkdagen]],0)</f>
        <v>#DIV/0!</v>
      </c>
      <c r="AD394" s="443" t="e">
        <f>Ruimtestaat[[#This Row],[uren / jaar werkdagen BSO]]*Tariefsopbouw!$E$35</f>
        <v>#DIV/0!</v>
      </c>
      <c r="AE394" s="444">
        <f>Ruimtestaat[[#This Row],[uren / jaar werkdagen]]*Tariefsopbouw!$E$35</f>
        <v>0</v>
      </c>
      <c r="AF394" s="434"/>
      <c r="AG394" s="434">
        <f>IF(Ruimtestaat[[#This Row],[Frequentie weekend]]&gt;0,VALUE(LEFT(AF394,1))*S394,0)</f>
        <v>0</v>
      </c>
      <c r="AH394" s="445">
        <f>IF($AG394&gt;0,VLOOKUP($J394,Ruimtegroepen[],3,FALSE)*VLOOKUP($L394,Vloersoorten[],3,FALSE)*VLOOKUP($AF394,Frequenties[],3,FALSE)*VLOOKUP(Ruimtestaat[[#This Row],[Code]],Locaties[],3,FALSE),0)</f>
        <v>0</v>
      </c>
      <c r="AI394" s="445">
        <f>Ruimtestaat[[#This Row],[Uitvoeringen weekend]]*Ruimtestaat[[#This Row],[Oppervlak (netto)]]</f>
        <v>0</v>
      </c>
      <c r="AJ394" s="445">
        <f>IF(AH394&gt;0,Ruimtestaat[[#This Row],[Prest. (m2 /jaar) weekend]]/Ruimtestaat[[#This Row],[Norm (m2/uur) weekend]],0)</f>
        <v>0</v>
      </c>
      <c r="AK394" s="444">
        <f>Ruimtestaat[[#This Row],[uren / jaar weekend]]*Tariefsopbouw!$D$40</f>
        <v>0</v>
      </c>
      <c r="AL394" s="441">
        <f>Ruimtestaat[[#This Row],[Prest. (m2 /jaar) weekend]]+Ruimtestaat[[#This Row],[Prest. (m2 /jaar) werkdagen]]</f>
        <v>11312</v>
      </c>
      <c r="AM394" s="441">
        <f>Ruimtestaat[[#This Row],[uren / jaar weekend]]+Ruimtestaat[[#This Row],[uren / jaar werkdagen]]</f>
        <v>0</v>
      </c>
      <c r="AN394" s="446">
        <f>Ruimtestaat[[#This Row],[kosten / jaar weekend]]+Ruimtestaat[[#This Row],[kosten / jaar werkdagen]]</f>
        <v>0</v>
      </c>
      <c r="AO394" s="446"/>
      <c r="AP394" s="447" t="str">
        <f>IF(Ruimtestaat[[#This Row],[Frequentie werkdagen]]="","",_xlfn.CONCAT(Ruimtestaat[[#This Row],[Ruimte code]],"-",Ruimtestaat[[#This Row],[Frequentie werkdagen]]," ",Ruimtestaat[[#This Row],[Vloer code]]))</f>
        <v>16-5w S</v>
      </c>
      <c r="AQ394" s="448" t="str">
        <f>_xlfn.IFNA(VLOOKUP($AP394,Programma!$F$3:$G$1101,2,0),"")</f>
        <v>_</v>
      </c>
      <c r="AR394" s="448" t="str">
        <f>_xlfn.IFNA(VLOOKUP($AP394,Programma!$F$3:$H$1101,3,0),"")</f>
        <v>_</v>
      </c>
      <c r="AS394" s="448" t="str">
        <f>_xlfn.IFNA(VLOOKUP($AP394,Programma!$F$3:$I$1101,4,0),"")</f>
        <v>4w</v>
      </c>
      <c r="AT394" s="448" t="str">
        <f>_xlfn.IFNA(VLOOKUP($AP394,Programma!$F$3:$J$1101,5,0),"")</f>
        <v>1w</v>
      </c>
      <c r="AU394" s="448" t="str">
        <f>_xlfn.IFNA(VLOOKUP($AP394,Programma!$F$3:$K$1101,6,0),"")</f>
        <v>1m</v>
      </c>
      <c r="AV394" s="448" t="str">
        <f>_xlfn.IFNA(VLOOKUP($AP394,Programma!$F$3:$L$1101,7,0),"")</f>
        <v>_</v>
      </c>
      <c r="AW394" s="448" t="str">
        <f>_xlfn.IFNA(VLOOKUP($AP394,Programma!$F$3:$M$1101,8,0),"")</f>
        <v>_</v>
      </c>
      <c r="AX394" s="448" t="str">
        <f>_xlfn.IFNA(VLOOKUP($AP394,Programma!$F$3:$N$1101,9,0),"")</f>
        <v>_</v>
      </c>
      <c r="AY394" s="448" t="str">
        <f>_xlfn.IFNA(VLOOKUP($AP394,Programma!$F$3:$O$1101,10,0),"")</f>
        <v>5w</v>
      </c>
      <c r="AZ394" s="448" t="str">
        <f>_xlfn.IFNA(VLOOKUP($AP394,Programma!$F$3:$P$1101,11,0),"")</f>
        <v>5w</v>
      </c>
      <c r="BA394" s="448" t="str">
        <f>_xlfn.IFNA(VLOOKUP($AP394,Programma!$F$3:$Q$1101,12,0),"")</f>
        <v>1w</v>
      </c>
      <c r="BB394" s="448" t="str">
        <f>_xlfn.IFNA(VLOOKUP($AP394,Programma!$F$3:$R$1101,13,0),"")</f>
        <v>1w</v>
      </c>
      <c r="BC394" s="448" t="str">
        <f>_xlfn.IFNA(VLOOKUP($AP394,Programma!$F$3:$S$1101,14,0),"")</f>
        <v>1m</v>
      </c>
      <c r="BD394" s="448" t="str">
        <f>_xlfn.IFNA(VLOOKUP($AP394,Programma!$F$3:$T$1101,15,0),"")</f>
        <v>2j</v>
      </c>
      <c r="BE394" s="448" t="str">
        <f>_xlfn.IFNA(VLOOKUP($AP394,Programma!$F$3:$U$1101,16,0),"")</f>
        <v>1j</v>
      </c>
      <c r="BF394" s="448" t="str">
        <f>_xlfn.IFNA(VLOOKUP($AP394,Programma!$F$3:$V$1101,17,0),"")</f>
        <v>_</v>
      </c>
      <c r="BG394" s="448" t="str">
        <f>_xlfn.IFNA(VLOOKUP($AP394,Programma!$F$3:$W$1101,18,0),"")</f>
        <v>_</v>
      </c>
      <c r="BH394" s="448" t="str">
        <f>_xlfn.IFNA(VLOOKUP($AP394,Programma!$F$3:$X$1101,19,0),"")</f>
        <v>_</v>
      </c>
      <c r="BI394" s="448" t="str">
        <f>_xlfn.IFNA(VLOOKUP($AP394,Programma!$F$3:$Y$1101,20,0),"")</f>
        <v>_</v>
      </c>
      <c r="BJ394" s="449"/>
      <c r="BK394" s="447" t="str">
        <f>IF(Ruimtestaat[[#This Row],[Frequentie weekend]]="","",_xlfn.CONCAT(Ruimtestaat[[#This Row],[Ruimte code]],"-",Ruimtestaat[[#This Row],[Frequentie weekend]]," ",Ruimtestaat[[#This Row],[Vloer code]]))</f>
        <v/>
      </c>
      <c r="BL394" s="448" t="str">
        <f>_xlfn.IFNA(VLOOKUP($BK394,Programma!$F$3:$G$1101,2,0),"")</f>
        <v/>
      </c>
      <c r="BM394" s="448" t="str">
        <f>_xlfn.IFNA(VLOOKUP($BK394,Programma!$F$3:$H$1101,3,0),"")</f>
        <v/>
      </c>
      <c r="BN394" s="448" t="str">
        <f>_xlfn.IFNA(VLOOKUP($BK394,Programma!$F$3:$I$1101,4,0),"")</f>
        <v/>
      </c>
      <c r="BO394" s="448" t="str">
        <f>_xlfn.IFNA(VLOOKUP($BK394,Programma!$F$3:$J$1101,5,0),"")</f>
        <v/>
      </c>
      <c r="BP394" s="448" t="str">
        <f>_xlfn.IFNA(VLOOKUP($BK394,Programma!$F$3:$K$1101,6,0),"")</f>
        <v/>
      </c>
      <c r="BQ394" s="448" t="str">
        <f>_xlfn.IFNA(VLOOKUP($BK394,Programma!$F$3:$L$1101,7,0),"")</f>
        <v/>
      </c>
      <c r="BR394" s="448" t="str">
        <f>_xlfn.IFNA(VLOOKUP($BK394,Programma!$F$3:$M$1101,8,0),"")</f>
        <v/>
      </c>
      <c r="BS394" s="448" t="str">
        <f>_xlfn.IFNA(VLOOKUP($BK394,Programma!$F$3:$N$1101,9,0),"")</f>
        <v/>
      </c>
      <c r="BT394" s="448" t="str">
        <f>_xlfn.IFNA(VLOOKUP($BK394,Programma!$F$3:$O$1101,10,0),"")</f>
        <v/>
      </c>
      <c r="BU394" s="448" t="str">
        <f>_xlfn.IFNA(VLOOKUP($BK394,Programma!$F$3:$P$1101,11,0),"")</f>
        <v/>
      </c>
      <c r="BV394" s="448" t="str">
        <f>_xlfn.IFNA(VLOOKUP($BK394,Programma!$F$3:$Q$1101,12,0),"")</f>
        <v/>
      </c>
      <c r="BW394" s="448" t="str">
        <f>_xlfn.IFNA(VLOOKUP($BK394,Programma!$F$3:$R$1101,13,0),"")</f>
        <v/>
      </c>
      <c r="BX394" s="448" t="str">
        <f>_xlfn.IFNA(VLOOKUP($BK394,Programma!$F$3:$S$1101,14,0),"")</f>
        <v/>
      </c>
      <c r="BY394" s="448" t="str">
        <f>_xlfn.IFNA(VLOOKUP($BK394,Programma!$F$3:$T$1101,15,0),"")</f>
        <v/>
      </c>
      <c r="BZ394" s="448" t="str">
        <f>_xlfn.IFNA(VLOOKUP($BK394,Programma!$F$3:$U$1101,16,0),"")</f>
        <v/>
      </c>
      <c r="CA394" s="448" t="str">
        <f>_xlfn.IFNA(VLOOKUP($BK394,Programma!$F$3:$V$1101,17,0),"")</f>
        <v/>
      </c>
      <c r="CB394" s="448" t="str">
        <f>_xlfn.IFNA(VLOOKUP($BK394,Programma!$F$3:$W$1101,18,0),"")</f>
        <v/>
      </c>
      <c r="CC394" s="448" t="str">
        <f>_xlfn.IFNA(VLOOKUP($BK394,Programma!$F$3:$X$1101,19,0),"")</f>
        <v/>
      </c>
      <c r="CD394" s="448" t="str">
        <f>_xlfn.IFNA(VLOOKUP($BK394,Programma!$F$3:$Y$1101,20,0),"")</f>
        <v/>
      </c>
      <c r="CE394" s="327"/>
      <c r="CF394" s="327"/>
      <c r="CG394" s="327"/>
      <c r="CH394" s="327"/>
      <c r="CI394" s="327"/>
      <c r="CJ394" s="327"/>
      <c r="CK394" s="327"/>
      <c r="CL394" s="327"/>
      <c r="CM394" s="327"/>
      <c r="CN394" s="327"/>
      <c r="CO394" s="327"/>
      <c r="CP394" s="327"/>
      <c r="CQ394" s="327"/>
      <c r="CR394" s="327"/>
      <c r="CS394" s="327"/>
      <c r="CT394" s="327"/>
      <c r="CU394" s="327"/>
      <c r="CV394" s="327"/>
      <c r="CW394" s="327"/>
      <c r="CX394" s="327"/>
      <c r="CY394" s="327"/>
      <c r="CZ394" s="327"/>
      <c r="DA394" s="327"/>
      <c r="DB394" s="327"/>
      <c r="DC394" s="327"/>
      <c r="DD394" s="327"/>
      <c r="DE394" s="327"/>
      <c r="DF394" s="327"/>
      <c r="DG394" s="327"/>
      <c r="DH394" s="327"/>
      <c r="DI394" s="327"/>
      <c r="DJ394" s="327"/>
      <c r="DK394" s="327"/>
      <c r="DL394" s="327"/>
      <c r="DM394" s="327"/>
      <c r="DN394" s="327"/>
      <c r="DO394" s="327"/>
      <c r="DP394" s="327"/>
      <c r="DQ394" s="327"/>
      <c r="DR394" s="327"/>
      <c r="DS394" s="327"/>
      <c r="DT394" s="327"/>
      <c r="DU394" s="327"/>
      <c r="DV394" s="327"/>
      <c r="DW394" s="327"/>
      <c r="DX394" s="327"/>
      <c r="DY394" s="327"/>
      <c r="DZ394" s="327"/>
      <c r="EA394" s="327"/>
      <c r="EB394" s="327"/>
      <c r="EC394" s="327"/>
      <c r="ED394" s="327"/>
      <c r="EE394" s="327"/>
      <c r="EF394" s="327"/>
      <c r="EG394" s="327"/>
      <c r="EH394" s="327"/>
      <c r="EI394" s="327"/>
      <c r="EJ394" s="327"/>
      <c r="EK394" s="327"/>
      <c r="EL394" s="327"/>
      <c r="EM394" s="327"/>
      <c r="EN394" s="327"/>
      <c r="EO394" s="327"/>
      <c r="EP394" s="327"/>
      <c r="EQ394" s="327"/>
      <c r="ER394" s="327"/>
      <c r="ES394" s="327"/>
      <c r="ET394" s="327"/>
      <c r="EU394" s="327"/>
      <c r="EV394" s="327"/>
      <c r="EW394" s="327"/>
      <c r="EX394" s="327"/>
      <c r="EY394" s="327"/>
      <c r="EZ394" s="327"/>
      <c r="FA394" s="327"/>
      <c r="FB394" s="327"/>
      <c r="FC394" s="327"/>
      <c r="FD394" s="327"/>
      <c r="FE394" s="327"/>
      <c r="FF394" s="327"/>
      <c r="FG394" s="327"/>
      <c r="FH394" s="327"/>
      <c r="FI394" s="327"/>
      <c r="FJ394" s="327"/>
      <c r="FK394" s="327"/>
      <c r="FL394" s="327"/>
      <c r="FM394" s="327"/>
      <c r="FN394" s="327"/>
      <c r="FO394" s="327"/>
      <c r="FP394" s="327"/>
      <c r="FQ394" s="327"/>
      <c r="FR394" s="327"/>
      <c r="FS394" s="327"/>
      <c r="FT394" s="327"/>
      <c r="FU394" s="327"/>
      <c r="FV394" s="327"/>
      <c r="FW394" s="327"/>
      <c r="FX394" s="327"/>
      <c r="FY394" s="327"/>
      <c r="FZ394" s="327"/>
      <c r="GA394" s="327"/>
      <c r="GB394" s="327"/>
      <c r="GC394" s="327"/>
      <c r="GD394" s="327"/>
      <c r="GE394" s="327"/>
      <c r="GF394" s="327"/>
      <c r="GG394" s="327"/>
      <c r="GH394" s="327"/>
      <c r="GI394" s="327"/>
      <c r="GJ394" s="327"/>
      <c r="GK394" s="327"/>
      <c r="GL394" s="327"/>
      <c r="GM394" s="327"/>
      <c r="GN394" s="327"/>
      <c r="GO394" s="327"/>
      <c r="GP394" s="327"/>
      <c r="GQ394" s="327"/>
      <c r="GR394" s="327"/>
      <c r="GS394" s="327"/>
      <c r="GT394" s="327"/>
      <c r="GU394" s="327"/>
      <c r="GV394" s="327"/>
      <c r="GW394" s="327"/>
      <c r="GX394" s="327"/>
      <c r="GY394" s="327"/>
      <c r="GZ394" s="327"/>
      <c r="HA394" s="327"/>
      <c r="HB394" s="327"/>
      <c r="HC394" s="327"/>
      <c r="HD394" s="327"/>
      <c r="HE394" s="327"/>
      <c r="HF394" s="327"/>
      <c r="HG394" s="327"/>
      <c r="HH394" s="327"/>
      <c r="HI394" s="327"/>
      <c r="HJ394" s="327"/>
      <c r="HK394" s="327"/>
      <c r="HL394" s="327"/>
      <c r="HM394" s="327"/>
      <c r="HN394" s="327"/>
      <c r="HO394" s="327"/>
      <c r="HP394" s="327"/>
      <c r="HQ394" s="327"/>
      <c r="HR394" s="327"/>
      <c r="HS394" s="327"/>
    </row>
    <row r="395" spans="1:227" ht="15" customHeight="1">
      <c r="A395" s="327">
        <v>17</v>
      </c>
      <c r="B395" s="435" t="str">
        <f>VLOOKUP(Ruimtestaat[[#This Row],[Code]],Locaties[[Code]:[Locatie]],2,FALSE)</f>
        <v>IKC de Tjalk Kadelaan 208 (bijgebouw)</v>
      </c>
      <c r="C395" s="435" t="str">
        <f>VLOOKUP(Ruimtestaat[[#This Row],[Code]],Locaties[[#All],[Code]:[Adres]],4,FALSE)</f>
        <v>Kadelaan 208</v>
      </c>
      <c r="D395" s="435" t="str">
        <f>VLOOKUP(Ruimtestaat[[#This Row],[Code]],Locaties[[#All],[Code]:[Postcode]],5,FALSE)</f>
        <v>2725 BR</v>
      </c>
      <c r="E395" s="435" t="str">
        <f>VLOOKUP(Ruimtestaat[[#This Row],[Code]],Locaties[#All],6,FALSE)</f>
        <v>Zoetermeer</v>
      </c>
      <c r="F395" s="450"/>
      <c r="G395" s="330" t="s">
        <v>1678</v>
      </c>
      <c r="H395" s="330">
        <v>37</v>
      </c>
      <c r="I395" s="450" t="s">
        <v>1724</v>
      </c>
      <c r="J395" s="330">
        <v>1</v>
      </c>
      <c r="K395" s="450" t="str">
        <f>VLOOKUP(Ruimtestaat[[#This Row],[Ruimte code]],Ruimtegroepen[[#All],[Code]:[Ruimte omschrijving]],2,FALSE)</f>
        <v>Magazijnen/bergingen</v>
      </c>
      <c r="L395" s="330" t="s">
        <v>101</v>
      </c>
      <c r="M395" s="437" t="s">
        <v>1816</v>
      </c>
      <c r="N395" s="439">
        <v>6.01</v>
      </c>
      <c r="O395" s="439"/>
      <c r="P395" s="439"/>
      <c r="Q395" s="439"/>
      <c r="R395" s="440" t="str">
        <f>VLOOKUP(Ruimtestaat[[#This Row],[Ruimte code]],Ruimtegroepen[],4,FALSE)</f>
        <v>Ve</v>
      </c>
      <c r="S395" s="434">
        <v>40</v>
      </c>
      <c r="T395" s="434" t="s">
        <v>2</v>
      </c>
      <c r="U395" s="434">
        <f>IF(S395&gt;0,IF(RIGHT(Ruimtestaat[[#This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5" s="434">
        <f>IF(U395&gt;0,VLOOKUP($J395,Ruimtegroepen[],3,FALSE)*VLOOKUP($L395,Vloersoorten[],3,FALSE)*VLOOKUP($T395,Frequenties[],3,FALSE)*VLOOKUP($A395,Locaties[],3,FALSE),0)</f>
        <v>0</v>
      </c>
      <c r="W395" s="434">
        <f>Ruimtestaat[[#This Row],[Uitvoeringen werkdagen]]*Ruimtestaat[[#This Row],[Oppervlak (netto)]]</f>
        <v>1202</v>
      </c>
      <c r="X395" s="441">
        <f>IF(V395&gt;0,Ruimtestaat[[#This Row],[Prest. (m2 /jaar) werkdagen]]/Ruimtestaat[[#This Row],[Norm (m2/uur) werkdagen]],0)</f>
        <v>0</v>
      </c>
      <c r="Y395" s="442">
        <f>Ruimtestaat[[#This Row],[Uitvoeringen werkdagen]]*Ruimtestaat[[#This Row],[Gedeeltelijk]]</f>
        <v>0</v>
      </c>
      <c r="Z395" s="443" t="e">
        <f>IF(U395&gt;0,Ruimtestaat[[#This Row],[Prest. (m2 / jaar) werkdagen gedeeld]]/Ruimtestaat[[#This Row],[Norm (m2/uur) werkdagen]],0)</f>
        <v>#DIV/0!</v>
      </c>
      <c r="AA395" s="441" t="e">
        <f>Ruimtestaat[[#This Row],[uren / jaar werkdagen gedeeld]]*Tariefsopbouw!$E$35</f>
        <v>#DIV/0!</v>
      </c>
      <c r="AB395" s="441">
        <f>Ruimtestaat[[#This Row],[Uitvoeringen werkdagen]]*Ruimtestaat[[#This Row],[BSO]]</f>
        <v>0</v>
      </c>
      <c r="AC395" s="443" t="e">
        <f>IF(U395&gt;0,Ruimtestaat[[#This Row],[Prest. (m2 / jaar) werkdagen BSO]]/Ruimtestaat[[#This Row],[Norm (m2/uur) werkdagen]],0)</f>
        <v>#DIV/0!</v>
      </c>
      <c r="AD395" s="443" t="e">
        <f>Ruimtestaat[[#This Row],[uren / jaar werkdagen BSO]]*Tariefsopbouw!$E$35</f>
        <v>#DIV/0!</v>
      </c>
      <c r="AE395" s="444">
        <f>Ruimtestaat[[#This Row],[uren / jaar werkdagen]]*Tariefsopbouw!$E$35</f>
        <v>0</v>
      </c>
      <c r="AF395" s="434"/>
      <c r="AG395" s="434">
        <f>IF(Ruimtestaat[[#This Row],[Frequentie weekend]]&gt;0,VALUE(LEFT(AF395,1))*S395,0)</f>
        <v>0</v>
      </c>
      <c r="AH395" s="445">
        <f>IF($AG395&gt;0,VLOOKUP($J395,Ruimtegroepen[],3,FALSE)*VLOOKUP($L395,Vloersoorten[],3,FALSE)*VLOOKUP($AF395,Frequenties[],3,FALSE)*VLOOKUP(Ruimtestaat[[#This Row],[Code]],Locaties[],3,FALSE),0)</f>
        <v>0</v>
      </c>
      <c r="AI395" s="445">
        <f>Ruimtestaat[[#This Row],[Uitvoeringen weekend]]*Ruimtestaat[[#This Row],[Oppervlak (netto)]]</f>
        <v>0</v>
      </c>
      <c r="AJ395" s="445">
        <f>IF(AH395&gt;0,Ruimtestaat[[#This Row],[Prest. (m2 /jaar) weekend]]/Ruimtestaat[[#This Row],[Norm (m2/uur) weekend]],0)</f>
        <v>0</v>
      </c>
      <c r="AK395" s="444">
        <f>Ruimtestaat[[#This Row],[uren / jaar weekend]]*Tariefsopbouw!$D$40</f>
        <v>0</v>
      </c>
      <c r="AL395" s="441">
        <f>Ruimtestaat[[#This Row],[Prest. (m2 /jaar) weekend]]+Ruimtestaat[[#This Row],[Prest. (m2 /jaar) werkdagen]]</f>
        <v>1202</v>
      </c>
      <c r="AM395" s="441">
        <f>Ruimtestaat[[#This Row],[uren / jaar weekend]]+Ruimtestaat[[#This Row],[uren / jaar werkdagen]]</f>
        <v>0</v>
      </c>
      <c r="AN395" s="446">
        <f>Ruimtestaat[[#This Row],[kosten / jaar weekend]]+Ruimtestaat[[#This Row],[kosten / jaar werkdagen]]</f>
        <v>0</v>
      </c>
      <c r="AO395" s="446"/>
      <c r="AP395" s="447" t="str">
        <f>IF(Ruimtestaat[[#This Row],[Frequentie werkdagen]]="","",_xlfn.CONCAT(Ruimtestaat[[#This Row],[Ruimte code]],"-",Ruimtestaat[[#This Row],[Frequentie werkdagen]]," ",Ruimtestaat[[#This Row],[Vloer code]]))</f>
        <v>1-5w S</v>
      </c>
      <c r="AQ395" s="448" t="str">
        <f>_xlfn.IFNA(VLOOKUP($AP395,Programma!$F$3:$G$1101,2,0),"")</f>
        <v>_</v>
      </c>
      <c r="AR395" s="448" t="str">
        <f>_xlfn.IFNA(VLOOKUP($AP395,Programma!$F$3:$H$1101,3,0),"")</f>
        <v>_</v>
      </c>
      <c r="AS395" s="448" t="str">
        <f>_xlfn.IFNA(VLOOKUP($AP395,Programma!$F$3:$I$1101,4,0),"")</f>
        <v>4w</v>
      </c>
      <c r="AT395" s="448" t="str">
        <f>_xlfn.IFNA(VLOOKUP($AP395,Programma!$F$3:$J$1101,5,0),"")</f>
        <v>1w</v>
      </c>
      <c r="AU395" s="448" t="str">
        <f>_xlfn.IFNA(VLOOKUP($AP395,Programma!$F$3:$K$1101,6,0),"")</f>
        <v>1j</v>
      </c>
      <c r="AV395" s="448" t="str">
        <f>_xlfn.IFNA(VLOOKUP($AP395,Programma!$F$3:$L$1101,7,0),"")</f>
        <v>_</v>
      </c>
      <c r="AW395" s="448" t="str">
        <f>_xlfn.IFNA(VLOOKUP($AP395,Programma!$F$3:$M$1101,8,0),"")</f>
        <v>_</v>
      </c>
      <c r="AX395" s="448" t="str">
        <f>_xlfn.IFNA(VLOOKUP($AP395,Programma!$F$3:$N$1101,9,0),"")</f>
        <v>_</v>
      </c>
      <c r="AY395" s="448" t="str">
        <f>_xlfn.IFNA(VLOOKUP($AP395,Programma!$F$3:$O$1101,10,0),"")</f>
        <v>_</v>
      </c>
      <c r="AZ395" s="448" t="str">
        <f>_xlfn.IFNA(VLOOKUP($AP395,Programma!$F$3:$P$1101,11,0),"")</f>
        <v>_</v>
      </c>
      <c r="BA395" s="448" t="str">
        <f>_xlfn.IFNA(VLOOKUP($AP395,Programma!$F$3:$Q$1101,12,0),"")</f>
        <v>_</v>
      </c>
      <c r="BB395" s="448" t="str">
        <f>_xlfn.IFNA(VLOOKUP($AP395,Programma!$F$3:$R$1101,13,0),"")</f>
        <v>_</v>
      </c>
      <c r="BC395" s="448" t="str">
        <f>_xlfn.IFNA(VLOOKUP($AP395,Programma!$F$3:$S$1101,14,0),"")</f>
        <v>5w</v>
      </c>
      <c r="BD395" s="448" t="str">
        <f>_xlfn.IFNA(VLOOKUP($AP395,Programma!$F$3:$T$1101,15,0),"")</f>
        <v>4j</v>
      </c>
      <c r="BE395" s="448" t="str">
        <f>_xlfn.IFNA(VLOOKUP($AP395,Programma!$F$3:$U$1101,16,0),"")</f>
        <v>4j</v>
      </c>
      <c r="BF395" s="448" t="str">
        <f>_xlfn.IFNA(VLOOKUP($AP395,Programma!$F$3:$V$1101,17,0),"")</f>
        <v>_</v>
      </c>
      <c r="BG395" s="448" t="str">
        <f>_xlfn.IFNA(VLOOKUP($AP395,Programma!$F$3:$W$1101,18,0),"")</f>
        <v>_</v>
      </c>
      <c r="BH395" s="448" t="str">
        <f>_xlfn.IFNA(VLOOKUP($AP395,Programma!$F$3:$X$1101,19,0),"")</f>
        <v>_</v>
      </c>
      <c r="BI395" s="448" t="str">
        <f>_xlfn.IFNA(VLOOKUP($AP395,Programma!$F$3:$Y$1101,20,0),"")</f>
        <v>_</v>
      </c>
      <c r="BJ395" s="449"/>
      <c r="BK395" s="447" t="str">
        <f>IF(Ruimtestaat[[#This Row],[Frequentie weekend]]="","",_xlfn.CONCAT(Ruimtestaat[[#This Row],[Ruimte code]],"-",Ruimtestaat[[#This Row],[Frequentie weekend]]," ",Ruimtestaat[[#This Row],[Vloer code]]))</f>
        <v/>
      </c>
      <c r="BL395" s="448" t="str">
        <f>_xlfn.IFNA(VLOOKUP($BK395,Programma!$F$3:$G$1101,2,0),"")</f>
        <v/>
      </c>
      <c r="BM395" s="448" t="str">
        <f>_xlfn.IFNA(VLOOKUP($BK395,Programma!$F$3:$H$1101,3,0),"")</f>
        <v/>
      </c>
      <c r="BN395" s="448" t="str">
        <f>_xlfn.IFNA(VLOOKUP($BK395,Programma!$F$3:$I$1101,4,0),"")</f>
        <v/>
      </c>
      <c r="BO395" s="448" t="str">
        <f>_xlfn.IFNA(VLOOKUP($BK395,Programma!$F$3:$J$1101,5,0),"")</f>
        <v/>
      </c>
      <c r="BP395" s="448" t="str">
        <f>_xlfn.IFNA(VLOOKUP($BK395,Programma!$F$3:$K$1101,6,0),"")</f>
        <v/>
      </c>
      <c r="BQ395" s="448" t="str">
        <f>_xlfn.IFNA(VLOOKUP($BK395,Programma!$F$3:$L$1101,7,0),"")</f>
        <v/>
      </c>
      <c r="BR395" s="448" t="str">
        <f>_xlfn.IFNA(VLOOKUP($BK395,Programma!$F$3:$M$1101,8,0),"")</f>
        <v/>
      </c>
      <c r="BS395" s="448" t="str">
        <f>_xlfn.IFNA(VLOOKUP($BK395,Programma!$F$3:$N$1101,9,0),"")</f>
        <v/>
      </c>
      <c r="BT395" s="448" t="str">
        <f>_xlfn.IFNA(VLOOKUP($BK395,Programma!$F$3:$O$1101,10,0),"")</f>
        <v/>
      </c>
      <c r="BU395" s="448" t="str">
        <f>_xlfn.IFNA(VLOOKUP($BK395,Programma!$F$3:$P$1101,11,0),"")</f>
        <v/>
      </c>
      <c r="BV395" s="448" t="str">
        <f>_xlfn.IFNA(VLOOKUP($BK395,Programma!$F$3:$Q$1101,12,0),"")</f>
        <v/>
      </c>
      <c r="BW395" s="448" t="str">
        <f>_xlfn.IFNA(VLOOKUP($BK395,Programma!$F$3:$R$1101,13,0),"")</f>
        <v/>
      </c>
      <c r="BX395" s="448" t="str">
        <f>_xlfn.IFNA(VLOOKUP($BK395,Programma!$F$3:$S$1101,14,0),"")</f>
        <v/>
      </c>
      <c r="BY395" s="448" t="str">
        <f>_xlfn.IFNA(VLOOKUP($BK395,Programma!$F$3:$T$1101,15,0),"")</f>
        <v/>
      </c>
      <c r="BZ395" s="448" t="str">
        <f>_xlfn.IFNA(VLOOKUP($BK395,Programma!$F$3:$U$1101,16,0),"")</f>
        <v/>
      </c>
      <c r="CA395" s="448" t="str">
        <f>_xlfn.IFNA(VLOOKUP($BK395,Programma!$F$3:$V$1101,17,0),"")</f>
        <v/>
      </c>
      <c r="CB395" s="448" t="str">
        <f>_xlfn.IFNA(VLOOKUP($BK395,Programma!$F$3:$W$1101,18,0),"")</f>
        <v/>
      </c>
      <c r="CC395" s="448" t="str">
        <f>_xlfn.IFNA(VLOOKUP($BK395,Programma!$F$3:$X$1101,19,0),"")</f>
        <v/>
      </c>
      <c r="CD395" s="448" t="str">
        <f>_xlfn.IFNA(VLOOKUP($BK395,Programma!$F$3:$Y$1101,20,0),"")</f>
        <v/>
      </c>
      <c r="CE395" s="327"/>
      <c r="CF395" s="327"/>
      <c r="CG395" s="327"/>
      <c r="CH395" s="327"/>
      <c r="CI395" s="327"/>
      <c r="CJ395" s="327"/>
      <c r="CK395" s="327"/>
      <c r="CL395" s="327"/>
      <c r="CM395" s="327"/>
      <c r="CN395" s="327"/>
      <c r="CO395" s="327"/>
      <c r="CP395" s="327"/>
      <c r="CQ395" s="327"/>
      <c r="CR395" s="327"/>
      <c r="CS395" s="327"/>
      <c r="CT395" s="327"/>
      <c r="CU395" s="327"/>
      <c r="CV395" s="327"/>
      <c r="CW395" s="327"/>
      <c r="CX395" s="327"/>
      <c r="CY395" s="327"/>
      <c r="CZ395" s="327"/>
      <c r="DA395" s="327"/>
      <c r="DB395" s="327"/>
      <c r="DC395" s="327"/>
      <c r="DD395" s="327"/>
      <c r="DE395" s="327"/>
      <c r="DF395" s="327"/>
      <c r="DG395" s="327"/>
      <c r="DH395" s="327"/>
      <c r="DI395" s="327"/>
      <c r="DJ395" s="327"/>
      <c r="DK395" s="327"/>
      <c r="DL395" s="327"/>
      <c r="DM395" s="327"/>
      <c r="DN395" s="327"/>
      <c r="DO395" s="327"/>
      <c r="DP395" s="327"/>
      <c r="DQ395" s="327"/>
      <c r="DR395" s="327"/>
      <c r="DS395" s="327"/>
      <c r="DT395" s="327"/>
      <c r="DU395" s="327"/>
      <c r="DV395" s="327"/>
      <c r="DW395" s="327"/>
      <c r="DX395" s="327"/>
      <c r="DY395" s="327"/>
      <c r="DZ395" s="327"/>
      <c r="EA395" s="327"/>
      <c r="EB395" s="327"/>
      <c r="EC395" s="327"/>
      <c r="ED395" s="327"/>
      <c r="EE395" s="327"/>
      <c r="EF395" s="327"/>
      <c r="EG395" s="327"/>
      <c r="EH395" s="327"/>
      <c r="EI395" s="327"/>
      <c r="EJ395" s="327"/>
      <c r="EK395" s="327"/>
      <c r="EL395" s="327"/>
      <c r="EM395" s="327"/>
      <c r="EN395" s="327"/>
      <c r="EO395" s="327"/>
      <c r="EP395" s="327"/>
      <c r="EQ395" s="327"/>
      <c r="ER395" s="327"/>
      <c r="ES395" s="327"/>
      <c r="ET395" s="327"/>
      <c r="EU395" s="327"/>
      <c r="EV395" s="327"/>
      <c r="EW395" s="327"/>
      <c r="EX395" s="327"/>
      <c r="EY395" s="327"/>
      <c r="EZ395" s="327"/>
      <c r="FA395" s="327"/>
      <c r="FB395" s="327"/>
      <c r="FC395" s="327"/>
      <c r="FD395" s="327"/>
      <c r="FE395" s="327"/>
      <c r="FF395" s="327"/>
      <c r="FG395" s="327"/>
      <c r="FH395" s="327"/>
      <c r="FI395" s="327"/>
      <c r="FJ395" s="327"/>
      <c r="FK395" s="327"/>
      <c r="FL395" s="327"/>
      <c r="FM395" s="327"/>
      <c r="FN395" s="327"/>
      <c r="FO395" s="327"/>
      <c r="FP395" s="327"/>
      <c r="FQ395" s="327"/>
      <c r="FR395" s="327"/>
      <c r="FS395" s="327"/>
      <c r="FT395" s="327"/>
      <c r="FU395" s="327"/>
      <c r="FV395" s="327"/>
      <c r="FW395" s="327"/>
      <c r="FX395" s="327"/>
      <c r="FY395" s="327"/>
      <c r="FZ395" s="327"/>
      <c r="GA395" s="327"/>
      <c r="GB395" s="327"/>
      <c r="GC395" s="327"/>
      <c r="GD395" s="327"/>
      <c r="GE395" s="327"/>
      <c r="GF395" s="327"/>
      <c r="GG395" s="327"/>
      <c r="GH395" s="327"/>
      <c r="GI395" s="327"/>
      <c r="GJ395" s="327"/>
      <c r="GK395" s="327"/>
      <c r="GL395" s="327"/>
      <c r="GM395" s="327"/>
      <c r="GN395" s="327"/>
      <c r="GO395" s="327"/>
      <c r="GP395" s="327"/>
      <c r="GQ395" s="327"/>
      <c r="GR395" s="327"/>
      <c r="GS395" s="327"/>
      <c r="GT395" s="327"/>
      <c r="GU395" s="327"/>
      <c r="GV395" s="327"/>
      <c r="GW395" s="327"/>
      <c r="GX395" s="327"/>
      <c r="GY395" s="327"/>
      <c r="GZ395" s="327"/>
      <c r="HA395" s="327"/>
      <c r="HB395" s="327"/>
      <c r="HC395" s="327"/>
      <c r="HD395" s="327"/>
      <c r="HE395" s="327"/>
      <c r="HF395" s="327"/>
      <c r="HG395" s="327"/>
      <c r="HH395" s="327"/>
      <c r="HI395" s="327"/>
      <c r="HJ395" s="327"/>
      <c r="HK395" s="327"/>
      <c r="HL395" s="327"/>
      <c r="HM395" s="327"/>
      <c r="HN395" s="327"/>
      <c r="HO395" s="327"/>
      <c r="HP395" s="327"/>
      <c r="HQ395" s="327"/>
      <c r="HR395" s="327"/>
      <c r="HS395" s="327"/>
    </row>
    <row r="396" spans="1:227" ht="15" customHeight="1">
      <c r="A396" s="327">
        <v>17</v>
      </c>
      <c r="B396" s="435" t="str">
        <f>VLOOKUP(Ruimtestaat[[#This Row],[Code]],Locaties[[Code]:[Locatie]],2,FALSE)</f>
        <v>IKC de Tjalk Kadelaan 208 (bijgebouw)</v>
      </c>
      <c r="C396" s="435" t="str">
        <f>VLOOKUP(Ruimtestaat[[#This Row],[Code]],Locaties[[#All],[Code]:[Adres]],4,FALSE)</f>
        <v>Kadelaan 208</v>
      </c>
      <c r="D396" s="435" t="str">
        <f>VLOOKUP(Ruimtestaat[[#This Row],[Code]],Locaties[[#All],[Code]:[Postcode]],5,FALSE)</f>
        <v>2725 BR</v>
      </c>
      <c r="E396" s="435" t="str">
        <f>VLOOKUP(Ruimtestaat[[#This Row],[Code]],Locaties[#All],6,FALSE)</f>
        <v>Zoetermeer</v>
      </c>
      <c r="F396" s="450"/>
      <c r="G396" s="330" t="s">
        <v>1678</v>
      </c>
      <c r="H396" s="330">
        <v>56</v>
      </c>
      <c r="I396" s="450" t="s">
        <v>1842</v>
      </c>
      <c r="J396" s="330">
        <v>16</v>
      </c>
      <c r="K396" s="450" t="str">
        <f>VLOOKUP(Ruimtestaat[[#This Row],[Ruimte code]],Ruimtegroepen[[#All],[Code]:[Ruimte omschrijving]],2,FALSE)</f>
        <v>Leslokalen</v>
      </c>
      <c r="L396" s="330" t="s">
        <v>101</v>
      </c>
      <c r="M396" s="437" t="s">
        <v>1816</v>
      </c>
      <c r="N396" s="439">
        <v>60.62</v>
      </c>
      <c r="O396" s="439"/>
      <c r="P396" s="439"/>
      <c r="Q396" s="439"/>
      <c r="R396" s="440" t="str">
        <f>VLOOKUP(Ruimtestaat[[#This Row],[Ruimte code]],Ruimtegroepen[],4,FALSE)</f>
        <v>Le</v>
      </c>
      <c r="S396" s="434">
        <v>40</v>
      </c>
      <c r="T396" s="434" t="s">
        <v>2</v>
      </c>
      <c r="U396" s="434">
        <f>IF(S396&gt;0,IF(RIGHT(Ruimtestaat[[#This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6" s="434">
        <f>IF(U396&gt;0,VLOOKUP($J396,Ruimtegroepen[],3,FALSE)*VLOOKUP($L396,Vloersoorten[],3,FALSE)*VLOOKUP($T396,Frequenties[],3,FALSE)*VLOOKUP($A396,Locaties[],3,FALSE),0)</f>
        <v>0</v>
      </c>
      <c r="W396" s="434">
        <f>Ruimtestaat[[#This Row],[Uitvoeringen werkdagen]]*Ruimtestaat[[#This Row],[Oppervlak (netto)]]</f>
        <v>12124</v>
      </c>
      <c r="X396" s="441">
        <f>IF(V396&gt;0,Ruimtestaat[[#This Row],[Prest. (m2 /jaar) werkdagen]]/Ruimtestaat[[#This Row],[Norm (m2/uur) werkdagen]],0)</f>
        <v>0</v>
      </c>
      <c r="Y396" s="442">
        <f>Ruimtestaat[[#This Row],[Uitvoeringen werkdagen]]*Ruimtestaat[[#This Row],[Gedeeltelijk]]</f>
        <v>0</v>
      </c>
      <c r="Z396" s="443" t="e">
        <f>IF(U396&gt;0,Ruimtestaat[[#This Row],[Prest. (m2 / jaar) werkdagen gedeeld]]/Ruimtestaat[[#This Row],[Norm (m2/uur) werkdagen]],0)</f>
        <v>#DIV/0!</v>
      </c>
      <c r="AA396" s="441" t="e">
        <f>Ruimtestaat[[#This Row],[uren / jaar werkdagen gedeeld]]*Tariefsopbouw!$E$35</f>
        <v>#DIV/0!</v>
      </c>
      <c r="AB396" s="441">
        <f>Ruimtestaat[[#This Row],[Uitvoeringen werkdagen]]*Ruimtestaat[[#This Row],[BSO]]</f>
        <v>0</v>
      </c>
      <c r="AC396" s="443" t="e">
        <f>IF(U396&gt;0,Ruimtestaat[[#This Row],[Prest. (m2 / jaar) werkdagen BSO]]/Ruimtestaat[[#This Row],[Norm (m2/uur) werkdagen]],0)</f>
        <v>#DIV/0!</v>
      </c>
      <c r="AD396" s="443" t="e">
        <f>Ruimtestaat[[#This Row],[uren / jaar werkdagen BSO]]*Tariefsopbouw!$E$35</f>
        <v>#DIV/0!</v>
      </c>
      <c r="AE396" s="444">
        <f>Ruimtestaat[[#This Row],[uren / jaar werkdagen]]*Tariefsopbouw!$E$35</f>
        <v>0</v>
      </c>
      <c r="AF396" s="434"/>
      <c r="AG396" s="434">
        <f>IF(Ruimtestaat[[#This Row],[Frequentie weekend]]&gt;0,VALUE(LEFT(AF396,1))*S396,0)</f>
        <v>0</v>
      </c>
      <c r="AH396" s="445">
        <f>IF($AG396&gt;0,VLOOKUP($J396,Ruimtegroepen[],3,FALSE)*VLOOKUP($L396,Vloersoorten[],3,FALSE)*VLOOKUP($AF396,Frequenties[],3,FALSE)*VLOOKUP(Ruimtestaat[[#This Row],[Code]],Locaties[],3,FALSE),0)</f>
        <v>0</v>
      </c>
      <c r="AI396" s="445">
        <f>Ruimtestaat[[#This Row],[Uitvoeringen weekend]]*Ruimtestaat[[#This Row],[Oppervlak (netto)]]</f>
        <v>0</v>
      </c>
      <c r="AJ396" s="445">
        <f>IF(AH396&gt;0,Ruimtestaat[[#This Row],[Prest. (m2 /jaar) weekend]]/Ruimtestaat[[#This Row],[Norm (m2/uur) weekend]],0)</f>
        <v>0</v>
      </c>
      <c r="AK396" s="444">
        <f>Ruimtestaat[[#This Row],[uren / jaar weekend]]*Tariefsopbouw!$D$40</f>
        <v>0</v>
      </c>
      <c r="AL396" s="441">
        <f>Ruimtestaat[[#This Row],[Prest. (m2 /jaar) weekend]]+Ruimtestaat[[#This Row],[Prest. (m2 /jaar) werkdagen]]</f>
        <v>12124</v>
      </c>
      <c r="AM396" s="441">
        <f>Ruimtestaat[[#This Row],[uren / jaar weekend]]+Ruimtestaat[[#This Row],[uren / jaar werkdagen]]</f>
        <v>0</v>
      </c>
      <c r="AN396" s="446">
        <f>Ruimtestaat[[#This Row],[kosten / jaar weekend]]+Ruimtestaat[[#This Row],[kosten / jaar werkdagen]]</f>
        <v>0</v>
      </c>
      <c r="AO396" s="446"/>
      <c r="AP396" s="447" t="str">
        <f>IF(Ruimtestaat[[#This Row],[Frequentie werkdagen]]="","",_xlfn.CONCAT(Ruimtestaat[[#This Row],[Ruimte code]],"-",Ruimtestaat[[#This Row],[Frequentie werkdagen]]," ",Ruimtestaat[[#This Row],[Vloer code]]))</f>
        <v>16-5w S</v>
      </c>
      <c r="AQ396" s="448" t="str">
        <f>_xlfn.IFNA(VLOOKUP($AP396,Programma!$F$3:$G$1101,2,0),"")</f>
        <v>_</v>
      </c>
      <c r="AR396" s="448" t="str">
        <f>_xlfn.IFNA(VLOOKUP($AP396,Programma!$F$3:$H$1101,3,0),"")</f>
        <v>_</v>
      </c>
      <c r="AS396" s="448" t="str">
        <f>_xlfn.IFNA(VLOOKUP($AP396,Programma!$F$3:$I$1101,4,0),"")</f>
        <v>4w</v>
      </c>
      <c r="AT396" s="448" t="str">
        <f>_xlfn.IFNA(VLOOKUP($AP396,Programma!$F$3:$J$1101,5,0),"")</f>
        <v>1w</v>
      </c>
      <c r="AU396" s="448" t="str">
        <f>_xlfn.IFNA(VLOOKUP($AP396,Programma!$F$3:$K$1101,6,0),"")</f>
        <v>1m</v>
      </c>
      <c r="AV396" s="448" t="str">
        <f>_xlfn.IFNA(VLOOKUP($AP396,Programma!$F$3:$L$1101,7,0),"")</f>
        <v>_</v>
      </c>
      <c r="AW396" s="448" t="str">
        <f>_xlfn.IFNA(VLOOKUP($AP396,Programma!$F$3:$M$1101,8,0),"")</f>
        <v>_</v>
      </c>
      <c r="AX396" s="448" t="str">
        <f>_xlfn.IFNA(VLOOKUP($AP396,Programma!$F$3:$N$1101,9,0),"")</f>
        <v>_</v>
      </c>
      <c r="AY396" s="448" t="str">
        <f>_xlfn.IFNA(VLOOKUP($AP396,Programma!$F$3:$O$1101,10,0),"")</f>
        <v>5w</v>
      </c>
      <c r="AZ396" s="448" t="str">
        <f>_xlfn.IFNA(VLOOKUP($AP396,Programma!$F$3:$P$1101,11,0),"")</f>
        <v>5w</v>
      </c>
      <c r="BA396" s="448" t="str">
        <f>_xlfn.IFNA(VLOOKUP($AP396,Programma!$F$3:$Q$1101,12,0),"")</f>
        <v>1w</v>
      </c>
      <c r="BB396" s="448" t="str">
        <f>_xlfn.IFNA(VLOOKUP($AP396,Programma!$F$3:$R$1101,13,0),"")</f>
        <v>1w</v>
      </c>
      <c r="BC396" s="448" t="str">
        <f>_xlfn.IFNA(VLOOKUP($AP396,Programma!$F$3:$S$1101,14,0),"")</f>
        <v>1m</v>
      </c>
      <c r="BD396" s="448" t="str">
        <f>_xlfn.IFNA(VLOOKUP($AP396,Programma!$F$3:$T$1101,15,0),"")</f>
        <v>2j</v>
      </c>
      <c r="BE396" s="448" t="str">
        <f>_xlfn.IFNA(VLOOKUP($AP396,Programma!$F$3:$U$1101,16,0),"")</f>
        <v>1j</v>
      </c>
      <c r="BF396" s="448" t="str">
        <f>_xlfn.IFNA(VLOOKUP($AP396,Programma!$F$3:$V$1101,17,0),"")</f>
        <v>_</v>
      </c>
      <c r="BG396" s="448" t="str">
        <f>_xlfn.IFNA(VLOOKUP($AP396,Programma!$F$3:$W$1101,18,0),"")</f>
        <v>_</v>
      </c>
      <c r="BH396" s="448" t="str">
        <f>_xlfn.IFNA(VLOOKUP($AP396,Programma!$F$3:$X$1101,19,0),"")</f>
        <v>_</v>
      </c>
      <c r="BI396" s="448" t="str">
        <f>_xlfn.IFNA(VLOOKUP($AP396,Programma!$F$3:$Y$1101,20,0),"")</f>
        <v>_</v>
      </c>
      <c r="BJ396" s="449"/>
      <c r="BK396" s="447" t="str">
        <f>IF(Ruimtestaat[[#This Row],[Frequentie weekend]]="","",_xlfn.CONCAT(Ruimtestaat[[#This Row],[Ruimte code]],"-",Ruimtestaat[[#This Row],[Frequentie weekend]]," ",Ruimtestaat[[#This Row],[Vloer code]]))</f>
        <v/>
      </c>
      <c r="BL396" s="448" t="str">
        <f>_xlfn.IFNA(VLOOKUP($BK396,Programma!$F$3:$G$1101,2,0),"")</f>
        <v/>
      </c>
      <c r="BM396" s="448" t="str">
        <f>_xlfn.IFNA(VLOOKUP($BK396,Programma!$F$3:$H$1101,3,0),"")</f>
        <v/>
      </c>
      <c r="BN396" s="448" t="str">
        <f>_xlfn.IFNA(VLOOKUP($BK396,Programma!$F$3:$I$1101,4,0),"")</f>
        <v/>
      </c>
      <c r="BO396" s="448" t="str">
        <f>_xlfn.IFNA(VLOOKUP($BK396,Programma!$F$3:$J$1101,5,0),"")</f>
        <v/>
      </c>
      <c r="BP396" s="448" t="str">
        <f>_xlfn.IFNA(VLOOKUP($BK396,Programma!$F$3:$K$1101,6,0),"")</f>
        <v/>
      </c>
      <c r="BQ396" s="448" t="str">
        <f>_xlfn.IFNA(VLOOKUP($BK396,Programma!$F$3:$L$1101,7,0),"")</f>
        <v/>
      </c>
      <c r="BR396" s="448" t="str">
        <f>_xlfn.IFNA(VLOOKUP($BK396,Programma!$F$3:$M$1101,8,0),"")</f>
        <v/>
      </c>
      <c r="BS396" s="448" t="str">
        <f>_xlfn.IFNA(VLOOKUP($BK396,Programma!$F$3:$N$1101,9,0),"")</f>
        <v/>
      </c>
      <c r="BT396" s="448" t="str">
        <f>_xlfn.IFNA(VLOOKUP($BK396,Programma!$F$3:$O$1101,10,0),"")</f>
        <v/>
      </c>
      <c r="BU396" s="448" t="str">
        <f>_xlfn.IFNA(VLOOKUP($BK396,Programma!$F$3:$P$1101,11,0),"")</f>
        <v/>
      </c>
      <c r="BV396" s="448" t="str">
        <f>_xlfn.IFNA(VLOOKUP($BK396,Programma!$F$3:$Q$1101,12,0),"")</f>
        <v/>
      </c>
      <c r="BW396" s="448" t="str">
        <f>_xlfn.IFNA(VLOOKUP($BK396,Programma!$F$3:$R$1101,13,0),"")</f>
        <v/>
      </c>
      <c r="BX396" s="448" t="str">
        <f>_xlfn.IFNA(VLOOKUP($BK396,Programma!$F$3:$S$1101,14,0),"")</f>
        <v/>
      </c>
      <c r="BY396" s="448" t="str">
        <f>_xlfn.IFNA(VLOOKUP($BK396,Programma!$F$3:$T$1101,15,0),"")</f>
        <v/>
      </c>
      <c r="BZ396" s="448" t="str">
        <f>_xlfn.IFNA(VLOOKUP($BK396,Programma!$F$3:$U$1101,16,0),"")</f>
        <v/>
      </c>
      <c r="CA396" s="448" t="str">
        <f>_xlfn.IFNA(VLOOKUP($BK396,Programma!$F$3:$V$1101,17,0),"")</f>
        <v/>
      </c>
      <c r="CB396" s="448" t="str">
        <f>_xlfn.IFNA(VLOOKUP($BK396,Programma!$F$3:$W$1101,18,0),"")</f>
        <v/>
      </c>
      <c r="CC396" s="448" t="str">
        <f>_xlfn.IFNA(VLOOKUP($BK396,Programma!$F$3:$X$1101,19,0),"")</f>
        <v/>
      </c>
      <c r="CD396" s="448" t="str">
        <f>_xlfn.IFNA(VLOOKUP($BK396,Programma!$F$3:$Y$1101,20,0),"")</f>
        <v/>
      </c>
      <c r="CE396" s="327"/>
      <c r="CF396" s="327"/>
      <c r="CG396" s="327"/>
      <c r="CH396" s="327"/>
      <c r="CI396" s="327"/>
      <c r="CJ396" s="327"/>
      <c r="CK396" s="327"/>
      <c r="CL396" s="327"/>
      <c r="CM396" s="327"/>
      <c r="CN396" s="327"/>
      <c r="CO396" s="327"/>
      <c r="CP396" s="327"/>
      <c r="CQ396" s="327"/>
      <c r="CR396" s="327"/>
      <c r="CS396" s="327"/>
      <c r="CT396" s="327"/>
      <c r="CU396" s="327"/>
      <c r="CV396" s="327"/>
      <c r="CW396" s="327"/>
      <c r="CX396" s="327"/>
      <c r="CY396" s="327"/>
      <c r="CZ396" s="327"/>
      <c r="DA396" s="327"/>
      <c r="DB396" s="327"/>
      <c r="DC396" s="327"/>
      <c r="DD396" s="327"/>
      <c r="DE396" s="327"/>
      <c r="DF396" s="327"/>
      <c r="DG396" s="327"/>
      <c r="DH396" s="327"/>
      <c r="DI396" s="327"/>
      <c r="DJ396" s="327"/>
      <c r="DK396" s="327"/>
      <c r="DL396" s="327"/>
      <c r="DM396" s="327"/>
      <c r="DN396" s="327"/>
      <c r="DO396" s="327"/>
      <c r="DP396" s="327"/>
      <c r="DQ396" s="327"/>
      <c r="DR396" s="327"/>
      <c r="DS396" s="327"/>
      <c r="DT396" s="327"/>
      <c r="DU396" s="327"/>
      <c r="DV396" s="327"/>
      <c r="DW396" s="327"/>
      <c r="DX396" s="327"/>
      <c r="DY396" s="327"/>
      <c r="DZ396" s="327"/>
      <c r="EA396" s="327"/>
      <c r="EB396" s="327"/>
      <c r="EC396" s="327"/>
      <c r="ED396" s="327"/>
      <c r="EE396" s="327"/>
      <c r="EF396" s="327"/>
      <c r="EG396" s="327"/>
      <c r="EH396" s="327"/>
      <c r="EI396" s="327"/>
      <c r="EJ396" s="327"/>
      <c r="EK396" s="327"/>
      <c r="EL396" s="327"/>
      <c r="EM396" s="327"/>
      <c r="EN396" s="327"/>
      <c r="EO396" s="327"/>
      <c r="EP396" s="327"/>
      <c r="EQ396" s="327"/>
      <c r="ER396" s="327"/>
      <c r="ES396" s="327"/>
      <c r="ET396" s="327"/>
      <c r="EU396" s="327"/>
      <c r="EV396" s="327"/>
      <c r="EW396" s="327"/>
      <c r="EX396" s="327"/>
      <c r="EY396" s="327"/>
      <c r="EZ396" s="327"/>
      <c r="FA396" s="327"/>
      <c r="FB396" s="327"/>
      <c r="FC396" s="327"/>
      <c r="FD396" s="327"/>
      <c r="FE396" s="327"/>
      <c r="FF396" s="327"/>
      <c r="FG396" s="327"/>
      <c r="FH396" s="327"/>
      <c r="FI396" s="327"/>
      <c r="FJ396" s="327"/>
      <c r="FK396" s="327"/>
      <c r="FL396" s="327"/>
      <c r="FM396" s="327"/>
      <c r="FN396" s="327"/>
      <c r="FO396" s="327"/>
      <c r="FP396" s="327"/>
      <c r="FQ396" s="327"/>
      <c r="FR396" s="327"/>
      <c r="FS396" s="327"/>
      <c r="FT396" s="327"/>
      <c r="FU396" s="327"/>
      <c r="FV396" s="327"/>
      <c r="FW396" s="327"/>
      <c r="FX396" s="327"/>
      <c r="FY396" s="327"/>
      <c r="FZ396" s="327"/>
      <c r="GA396" s="327"/>
      <c r="GB396" s="327"/>
      <c r="GC396" s="327"/>
      <c r="GD396" s="327"/>
      <c r="GE396" s="327"/>
      <c r="GF396" s="327"/>
      <c r="GG396" s="327"/>
      <c r="GH396" s="327"/>
      <c r="GI396" s="327"/>
      <c r="GJ396" s="327"/>
      <c r="GK396" s="327"/>
      <c r="GL396" s="327"/>
      <c r="GM396" s="327"/>
      <c r="GN396" s="327"/>
      <c r="GO396" s="327"/>
      <c r="GP396" s="327"/>
      <c r="GQ396" s="327"/>
      <c r="GR396" s="327"/>
      <c r="GS396" s="327"/>
      <c r="GT396" s="327"/>
      <c r="GU396" s="327"/>
      <c r="GV396" s="327"/>
      <c r="GW396" s="327"/>
      <c r="GX396" s="327"/>
      <c r="GY396" s="327"/>
      <c r="GZ396" s="327"/>
      <c r="HA396" s="327"/>
      <c r="HB396" s="327"/>
      <c r="HC396" s="327"/>
      <c r="HD396" s="327"/>
      <c r="HE396" s="327"/>
      <c r="HF396" s="327"/>
      <c r="HG396" s="327"/>
      <c r="HH396" s="327"/>
      <c r="HI396" s="327"/>
      <c r="HJ396" s="327"/>
      <c r="HK396" s="327"/>
      <c r="HL396" s="327"/>
      <c r="HM396" s="327"/>
      <c r="HN396" s="327"/>
      <c r="HO396" s="327"/>
      <c r="HP396" s="327"/>
      <c r="HQ396" s="327"/>
      <c r="HR396" s="327"/>
      <c r="HS396" s="327"/>
    </row>
    <row r="397" spans="1:227" ht="15" customHeight="1">
      <c r="A397" s="327">
        <v>17</v>
      </c>
      <c r="B397" s="435" t="str">
        <f>VLOOKUP(Ruimtestaat[[#This Row],[Code]],Locaties[[Code]:[Locatie]],2,FALSE)</f>
        <v>IKC de Tjalk Kadelaan 208 (bijgebouw)</v>
      </c>
      <c r="C397" s="435" t="str">
        <f>VLOOKUP(Ruimtestaat[[#This Row],[Code]],Locaties[[#All],[Code]:[Adres]],4,FALSE)</f>
        <v>Kadelaan 208</v>
      </c>
      <c r="D397" s="435" t="str">
        <f>VLOOKUP(Ruimtestaat[[#This Row],[Code]],Locaties[[#All],[Code]:[Postcode]],5,FALSE)</f>
        <v>2725 BR</v>
      </c>
      <c r="E397" s="435" t="str">
        <f>VLOOKUP(Ruimtestaat[[#This Row],[Code]],Locaties[#All],6,FALSE)</f>
        <v>Zoetermeer</v>
      </c>
      <c r="F397" s="450"/>
      <c r="G397" s="330" t="s">
        <v>1678</v>
      </c>
      <c r="H397" s="330" t="s">
        <v>1847</v>
      </c>
      <c r="I397" s="450" t="s">
        <v>1708</v>
      </c>
      <c r="J397" s="330">
        <v>6</v>
      </c>
      <c r="K397" s="450" t="str">
        <f>VLOOKUP(Ruimtestaat[[#This Row],[Ruimte code]],Ruimtegroepen[[#All],[Code]:[Ruimte omschrijving]],2,FALSE)</f>
        <v>Gangen/hallen</v>
      </c>
      <c r="L397" s="330" t="s">
        <v>101</v>
      </c>
      <c r="M397" s="437" t="s">
        <v>1816</v>
      </c>
      <c r="N397" s="439">
        <v>70.38</v>
      </c>
      <c r="O397" s="439"/>
      <c r="P397" s="439"/>
      <c r="Q397" s="439"/>
      <c r="R397" s="440" t="str">
        <f>VLOOKUP(Ruimtestaat[[#This Row],[Ruimte code]],Ruimtegroepen[],4,FALSE)</f>
        <v>Ve</v>
      </c>
      <c r="S397" s="434">
        <v>41</v>
      </c>
      <c r="T397" s="434" t="s">
        <v>2</v>
      </c>
      <c r="U397" s="434">
        <f>IF(S397&gt;0,IF(RIGHT(Ruimtestaat[[#This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97" s="434">
        <f>IF(U397&gt;0,VLOOKUP($J397,Ruimtegroepen[],3,FALSE)*VLOOKUP($L397,Vloersoorten[],3,FALSE)*VLOOKUP($T397,Frequenties[],3,FALSE)*VLOOKUP($A397,Locaties[],3,FALSE),0)</f>
        <v>0</v>
      </c>
      <c r="W397" s="434">
        <f>Ruimtestaat[[#This Row],[Uitvoeringen werkdagen]]*Ruimtestaat[[#This Row],[Oppervlak (netto)]]</f>
        <v>14427.9</v>
      </c>
      <c r="X397" s="441">
        <f>IF(V397&gt;0,Ruimtestaat[[#This Row],[Prest. (m2 /jaar) werkdagen]]/Ruimtestaat[[#This Row],[Norm (m2/uur) werkdagen]],0)</f>
        <v>0</v>
      </c>
      <c r="Y397" s="442">
        <f>Ruimtestaat[[#This Row],[Uitvoeringen werkdagen]]*Ruimtestaat[[#This Row],[Gedeeltelijk]]</f>
        <v>0</v>
      </c>
      <c r="Z397" s="443" t="e">
        <f>IF(U397&gt;0,Ruimtestaat[[#This Row],[Prest. (m2 / jaar) werkdagen gedeeld]]/Ruimtestaat[[#This Row],[Norm (m2/uur) werkdagen]],0)</f>
        <v>#DIV/0!</v>
      </c>
      <c r="AA397" s="441" t="e">
        <f>Ruimtestaat[[#This Row],[uren / jaar werkdagen gedeeld]]*Tariefsopbouw!$E$35</f>
        <v>#DIV/0!</v>
      </c>
      <c r="AB397" s="441">
        <f>Ruimtestaat[[#This Row],[Uitvoeringen werkdagen]]*Ruimtestaat[[#This Row],[BSO]]</f>
        <v>0</v>
      </c>
      <c r="AC397" s="443" t="e">
        <f>IF(U397&gt;0,Ruimtestaat[[#This Row],[Prest. (m2 / jaar) werkdagen BSO]]/Ruimtestaat[[#This Row],[Norm (m2/uur) werkdagen]],0)</f>
        <v>#DIV/0!</v>
      </c>
      <c r="AD397" s="443" t="e">
        <f>Ruimtestaat[[#This Row],[uren / jaar werkdagen BSO]]*Tariefsopbouw!$E$35</f>
        <v>#DIV/0!</v>
      </c>
      <c r="AE397" s="444">
        <f>Ruimtestaat[[#This Row],[uren / jaar werkdagen]]*Tariefsopbouw!$E$35</f>
        <v>0</v>
      </c>
      <c r="AF397" s="434"/>
      <c r="AG397" s="434">
        <f>IF(Ruimtestaat[[#This Row],[Frequentie weekend]]&gt;0,VALUE(LEFT(AF397,1))*S397,0)</f>
        <v>0</v>
      </c>
      <c r="AH397" s="445">
        <f>IF($AG397&gt;0,VLOOKUP($J397,Ruimtegroepen[],3,FALSE)*VLOOKUP($L397,Vloersoorten[],3,FALSE)*VLOOKUP($AF397,Frequenties[],3,FALSE)*VLOOKUP(Ruimtestaat[[#This Row],[Code]],Locaties[],3,FALSE),0)</f>
        <v>0</v>
      </c>
      <c r="AI397" s="445">
        <f>Ruimtestaat[[#This Row],[Uitvoeringen weekend]]*Ruimtestaat[[#This Row],[Oppervlak (netto)]]</f>
        <v>0</v>
      </c>
      <c r="AJ397" s="445">
        <f>IF(AH397&gt;0,Ruimtestaat[[#This Row],[Prest. (m2 /jaar) weekend]]/Ruimtestaat[[#This Row],[Norm (m2/uur) weekend]],0)</f>
        <v>0</v>
      </c>
      <c r="AK397" s="444">
        <f>Ruimtestaat[[#This Row],[uren / jaar weekend]]*Tariefsopbouw!$D$40</f>
        <v>0</v>
      </c>
      <c r="AL397" s="441">
        <f>Ruimtestaat[[#This Row],[Prest. (m2 /jaar) weekend]]+Ruimtestaat[[#This Row],[Prest. (m2 /jaar) werkdagen]]</f>
        <v>14427.9</v>
      </c>
      <c r="AM397" s="441">
        <f>Ruimtestaat[[#This Row],[uren / jaar weekend]]+Ruimtestaat[[#This Row],[uren / jaar werkdagen]]</f>
        <v>0</v>
      </c>
      <c r="AN397" s="446">
        <f>Ruimtestaat[[#This Row],[kosten / jaar weekend]]+Ruimtestaat[[#This Row],[kosten / jaar werkdagen]]</f>
        <v>0</v>
      </c>
      <c r="AO397" s="446"/>
      <c r="AP397" s="447" t="str">
        <f>IF(Ruimtestaat[[#This Row],[Frequentie werkdagen]]="","",_xlfn.CONCAT(Ruimtestaat[[#This Row],[Ruimte code]],"-",Ruimtestaat[[#This Row],[Frequentie werkdagen]]," ",Ruimtestaat[[#This Row],[Vloer code]]))</f>
        <v>6-5w S</v>
      </c>
      <c r="AQ397" s="448" t="str">
        <f>_xlfn.IFNA(VLOOKUP($AP397,Programma!$F$3:$G$1101,2,0),"")</f>
        <v>_</v>
      </c>
      <c r="AR397" s="448" t="str">
        <f>_xlfn.IFNA(VLOOKUP($AP397,Programma!$F$3:$H$1101,3,0),"")</f>
        <v>_</v>
      </c>
      <c r="AS397" s="448" t="str">
        <f>_xlfn.IFNA(VLOOKUP($AP397,Programma!$F$3:$I$1101,4,0),"")</f>
        <v>5w</v>
      </c>
      <c r="AT397" s="448" t="str">
        <f>_xlfn.IFNA(VLOOKUP($AP397,Programma!$F$3:$J$1101,5,0),"")</f>
        <v>_</v>
      </c>
      <c r="AU397" s="448" t="str">
        <f>_xlfn.IFNA(VLOOKUP($AP397,Programma!$F$3:$K$1101,6,0),"")</f>
        <v>5w</v>
      </c>
      <c r="AV397" s="448" t="str">
        <f>_xlfn.IFNA(VLOOKUP($AP397,Programma!$F$3:$L$1101,7,0),"")</f>
        <v>_</v>
      </c>
      <c r="AW397" s="448" t="str">
        <f>_xlfn.IFNA(VLOOKUP($AP397,Programma!$F$3:$M$1101,8,0),"")</f>
        <v>_</v>
      </c>
      <c r="AX397" s="448" t="str">
        <f>_xlfn.IFNA(VLOOKUP($AP397,Programma!$F$3:$N$1101,9,0),"")</f>
        <v>_</v>
      </c>
      <c r="AY397" s="448" t="str">
        <f>_xlfn.IFNA(VLOOKUP($AP397,Programma!$F$3:$O$1101,10,0),"")</f>
        <v>5w</v>
      </c>
      <c r="AZ397" s="448" t="str">
        <f>_xlfn.IFNA(VLOOKUP($AP397,Programma!$F$3:$P$1101,11,0),"")</f>
        <v>5w</v>
      </c>
      <c r="BA397" s="448" t="str">
        <f>_xlfn.IFNA(VLOOKUP($AP397,Programma!$F$3:$Q$1101,12,0),"")</f>
        <v>1w</v>
      </c>
      <c r="BB397" s="448" t="str">
        <f>_xlfn.IFNA(VLOOKUP($AP397,Programma!$F$3:$R$1101,13,0),"")</f>
        <v>1w</v>
      </c>
      <c r="BC397" s="448" t="str">
        <f>_xlfn.IFNA(VLOOKUP($AP397,Programma!$F$3:$S$1101,14,0),"")</f>
        <v>1m</v>
      </c>
      <c r="BD397" s="448" t="str">
        <f>_xlfn.IFNA(VLOOKUP($AP397,Programma!$F$3:$T$1101,15,0),"")</f>
        <v>2j</v>
      </c>
      <c r="BE397" s="448" t="str">
        <f>_xlfn.IFNA(VLOOKUP($AP397,Programma!$F$3:$U$1101,16,0),"")</f>
        <v>1j</v>
      </c>
      <c r="BF397" s="448" t="str">
        <f>_xlfn.IFNA(VLOOKUP($AP397,Programma!$F$3:$V$1101,17,0),"")</f>
        <v>_</v>
      </c>
      <c r="BG397" s="448" t="str">
        <f>_xlfn.IFNA(VLOOKUP($AP397,Programma!$F$3:$W$1101,18,0),"")</f>
        <v>_</v>
      </c>
      <c r="BH397" s="448" t="str">
        <f>_xlfn.IFNA(VLOOKUP($AP397,Programma!$F$3:$X$1101,19,0),"")</f>
        <v>_</v>
      </c>
      <c r="BI397" s="448" t="str">
        <f>_xlfn.IFNA(VLOOKUP($AP397,Programma!$F$3:$Y$1101,20,0),"")</f>
        <v>_</v>
      </c>
      <c r="BJ397" s="449"/>
      <c r="BK397" s="447" t="str">
        <f>IF(Ruimtestaat[[#This Row],[Frequentie weekend]]="","",_xlfn.CONCAT(Ruimtestaat[[#This Row],[Ruimte code]],"-",Ruimtestaat[[#This Row],[Frequentie weekend]]," ",Ruimtestaat[[#This Row],[Vloer code]]))</f>
        <v/>
      </c>
      <c r="BL397" s="448" t="str">
        <f>_xlfn.IFNA(VLOOKUP($BK397,Programma!$F$3:$G$1101,2,0),"")</f>
        <v/>
      </c>
      <c r="BM397" s="448" t="str">
        <f>_xlfn.IFNA(VLOOKUP($BK397,Programma!$F$3:$H$1101,3,0),"")</f>
        <v/>
      </c>
      <c r="BN397" s="448" t="str">
        <f>_xlfn.IFNA(VLOOKUP($BK397,Programma!$F$3:$I$1101,4,0),"")</f>
        <v/>
      </c>
      <c r="BO397" s="448" t="str">
        <f>_xlfn.IFNA(VLOOKUP($BK397,Programma!$F$3:$J$1101,5,0),"")</f>
        <v/>
      </c>
      <c r="BP397" s="448" t="str">
        <f>_xlfn.IFNA(VLOOKUP($BK397,Programma!$F$3:$K$1101,6,0),"")</f>
        <v/>
      </c>
      <c r="BQ397" s="448" t="str">
        <f>_xlfn.IFNA(VLOOKUP($BK397,Programma!$F$3:$L$1101,7,0),"")</f>
        <v/>
      </c>
      <c r="BR397" s="448" t="str">
        <f>_xlfn.IFNA(VLOOKUP($BK397,Programma!$F$3:$M$1101,8,0),"")</f>
        <v/>
      </c>
      <c r="BS397" s="448" t="str">
        <f>_xlfn.IFNA(VLOOKUP($BK397,Programma!$F$3:$N$1101,9,0),"")</f>
        <v/>
      </c>
      <c r="BT397" s="448" t="str">
        <f>_xlfn.IFNA(VLOOKUP($BK397,Programma!$F$3:$O$1101,10,0),"")</f>
        <v/>
      </c>
      <c r="BU397" s="448" t="str">
        <f>_xlfn.IFNA(VLOOKUP($BK397,Programma!$F$3:$P$1101,11,0),"")</f>
        <v/>
      </c>
      <c r="BV397" s="448" t="str">
        <f>_xlfn.IFNA(VLOOKUP($BK397,Programma!$F$3:$Q$1101,12,0),"")</f>
        <v/>
      </c>
      <c r="BW397" s="448" t="str">
        <f>_xlfn.IFNA(VLOOKUP($BK397,Programma!$F$3:$R$1101,13,0),"")</f>
        <v/>
      </c>
      <c r="BX397" s="448" t="str">
        <f>_xlfn.IFNA(VLOOKUP($BK397,Programma!$F$3:$S$1101,14,0),"")</f>
        <v/>
      </c>
      <c r="BY397" s="448" t="str">
        <f>_xlfn.IFNA(VLOOKUP($BK397,Programma!$F$3:$T$1101,15,0),"")</f>
        <v/>
      </c>
      <c r="BZ397" s="448" t="str">
        <f>_xlfn.IFNA(VLOOKUP($BK397,Programma!$F$3:$U$1101,16,0),"")</f>
        <v/>
      </c>
      <c r="CA397" s="448" t="str">
        <f>_xlfn.IFNA(VLOOKUP($BK397,Programma!$F$3:$V$1101,17,0),"")</f>
        <v/>
      </c>
      <c r="CB397" s="448" t="str">
        <f>_xlfn.IFNA(VLOOKUP($BK397,Programma!$F$3:$W$1101,18,0),"")</f>
        <v/>
      </c>
      <c r="CC397" s="448" t="str">
        <f>_xlfn.IFNA(VLOOKUP($BK397,Programma!$F$3:$X$1101,19,0),"")</f>
        <v/>
      </c>
      <c r="CD397" s="448" t="str">
        <f>_xlfn.IFNA(VLOOKUP($BK397,Programma!$F$3:$Y$1101,20,0),"")</f>
        <v/>
      </c>
      <c r="CE397" s="327"/>
      <c r="CF397" s="327"/>
      <c r="CG397" s="327"/>
      <c r="CH397" s="327"/>
      <c r="CI397" s="327"/>
      <c r="CJ397" s="327"/>
      <c r="CK397" s="327"/>
      <c r="CL397" s="327"/>
      <c r="CM397" s="327"/>
      <c r="CN397" s="327"/>
      <c r="CO397" s="327"/>
      <c r="CP397" s="327"/>
      <c r="CQ397" s="327"/>
      <c r="CR397" s="327"/>
      <c r="CS397" s="327"/>
      <c r="CT397" s="327"/>
      <c r="CU397" s="327"/>
      <c r="CV397" s="327"/>
      <c r="CW397" s="327"/>
      <c r="CX397" s="327"/>
      <c r="CY397" s="327"/>
      <c r="CZ397" s="327"/>
      <c r="DA397" s="327"/>
      <c r="DB397" s="327"/>
      <c r="DC397" s="327"/>
      <c r="DD397" s="327"/>
      <c r="DE397" s="327"/>
      <c r="DF397" s="327"/>
      <c r="DG397" s="327"/>
      <c r="DH397" s="327"/>
      <c r="DI397" s="327"/>
      <c r="DJ397" s="327"/>
      <c r="DK397" s="327"/>
      <c r="DL397" s="327"/>
      <c r="DM397" s="327"/>
      <c r="DN397" s="327"/>
      <c r="DO397" s="327"/>
      <c r="DP397" s="327"/>
      <c r="DQ397" s="327"/>
      <c r="DR397" s="327"/>
      <c r="DS397" s="327"/>
      <c r="DT397" s="327"/>
      <c r="DU397" s="327"/>
      <c r="DV397" s="327"/>
      <c r="DW397" s="327"/>
      <c r="DX397" s="327"/>
      <c r="DY397" s="327"/>
      <c r="DZ397" s="327"/>
      <c r="EA397" s="327"/>
      <c r="EB397" s="327"/>
      <c r="EC397" s="327"/>
      <c r="ED397" s="327"/>
      <c r="EE397" s="327"/>
      <c r="EF397" s="327"/>
      <c r="EG397" s="327"/>
      <c r="EH397" s="327"/>
      <c r="EI397" s="327"/>
      <c r="EJ397" s="327"/>
      <c r="EK397" s="327"/>
      <c r="EL397" s="327"/>
      <c r="EM397" s="327"/>
      <c r="EN397" s="327"/>
      <c r="EO397" s="327"/>
      <c r="EP397" s="327"/>
      <c r="EQ397" s="327"/>
      <c r="ER397" s="327"/>
      <c r="ES397" s="327"/>
      <c r="ET397" s="327"/>
      <c r="EU397" s="327"/>
      <c r="EV397" s="327"/>
      <c r="EW397" s="327"/>
      <c r="EX397" s="327"/>
      <c r="EY397" s="327"/>
      <c r="EZ397" s="327"/>
      <c r="FA397" s="327"/>
      <c r="FB397" s="327"/>
      <c r="FC397" s="327"/>
      <c r="FD397" s="327"/>
      <c r="FE397" s="327"/>
      <c r="FF397" s="327"/>
      <c r="FG397" s="327"/>
      <c r="FH397" s="327"/>
      <c r="FI397" s="327"/>
      <c r="FJ397" s="327"/>
      <c r="FK397" s="327"/>
      <c r="FL397" s="327"/>
      <c r="FM397" s="327"/>
      <c r="FN397" s="327"/>
      <c r="FO397" s="327"/>
      <c r="FP397" s="327"/>
      <c r="FQ397" s="327"/>
      <c r="FR397" s="327"/>
      <c r="FS397" s="327"/>
      <c r="FT397" s="327"/>
      <c r="FU397" s="327"/>
      <c r="FV397" s="327"/>
      <c r="FW397" s="327"/>
      <c r="FX397" s="327"/>
      <c r="FY397" s="327"/>
      <c r="FZ397" s="327"/>
      <c r="GA397" s="327"/>
      <c r="GB397" s="327"/>
      <c r="GC397" s="327"/>
      <c r="GD397" s="327"/>
      <c r="GE397" s="327"/>
      <c r="GF397" s="327"/>
      <c r="GG397" s="327"/>
      <c r="GH397" s="327"/>
      <c r="GI397" s="327"/>
      <c r="GJ397" s="327"/>
      <c r="GK397" s="327"/>
      <c r="GL397" s="327"/>
      <c r="GM397" s="327"/>
      <c r="GN397" s="327"/>
      <c r="GO397" s="327"/>
      <c r="GP397" s="327"/>
      <c r="GQ397" s="327"/>
      <c r="GR397" s="327"/>
      <c r="GS397" s="327"/>
      <c r="GT397" s="327"/>
      <c r="GU397" s="327"/>
      <c r="GV397" s="327"/>
      <c r="GW397" s="327"/>
      <c r="GX397" s="327"/>
      <c r="GY397" s="327"/>
      <c r="GZ397" s="327"/>
      <c r="HA397" s="327"/>
      <c r="HB397" s="327"/>
      <c r="HC397" s="327"/>
      <c r="HD397" s="327"/>
      <c r="HE397" s="327"/>
      <c r="HF397" s="327"/>
      <c r="HG397" s="327"/>
      <c r="HH397" s="327"/>
      <c r="HI397" s="327"/>
      <c r="HJ397" s="327"/>
      <c r="HK397" s="327"/>
      <c r="HL397" s="327"/>
      <c r="HM397" s="327"/>
      <c r="HN397" s="327"/>
      <c r="HO397" s="327"/>
      <c r="HP397" s="327"/>
      <c r="HQ397" s="327"/>
      <c r="HR397" s="327"/>
      <c r="HS397" s="327"/>
    </row>
    <row r="398" spans="1:227" ht="15" customHeight="1">
      <c r="A398" s="327">
        <v>17</v>
      </c>
      <c r="B398" s="435" t="str">
        <f>VLOOKUP(Ruimtestaat[[#This Row],[Code]],Locaties[[Code]:[Locatie]],2,FALSE)</f>
        <v>IKC de Tjalk Kadelaan 208 (bijgebouw)</v>
      </c>
      <c r="C398" s="435" t="str">
        <f>VLOOKUP(Ruimtestaat[[#This Row],[Code]],Locaties[[#All],[Code]:[Adres]],4,FALSE)</f>
        <v>Kadelaan 208</v>
      </c>
      <c r="D398" s="435" t="str">
        <f>VLOOKUP(Ruimtestaat[[#This Row],[Code]],Locaties[[#All],[Code]:[Postcode]],5,FALSE)</f>
        <v>2725 BR</v>
      </c>
      <c r="E398" s="435" t="str">
        <f>VLOOKUP(Ruimtestaat[[#This Row],[Code]],Locaties[#All],6,FALSE)</f>
        <v>Zoetermeer</v>
      </c>
      <c r="F398" s="450"/>
      <c r="G398" s="330" t="s">
        <v>1678</v>
      </c>
      <c r="H398" s="330" t="s">
        <v>1848</v>
      </c>
      <c r="I398" s="450" t="s">
        <v>1708</v>
      </c>
      <c r="J398" s="330">
        <v>6</v>
      </c>
      <c r="K398" s="450" t="str">
        <f>VLOOKUP(Ruimtestaat[[#This Row],[Ruimte code]],Ruimtegroepen[[#All],[Code]:[Ruimte omschrijving]],2,FALSE)</f>
        <v>Gangen/hallen</v>
      </c>
      <c r="L398" s="330" t="s">
        <v>101</v>
      </c>
      <c r="M398" s="437" t="s">
        <v>1816</v>
      </c>
      <c r="N398" s="439">
        <v>116.67</v>
      </c>
      <c r="O398" s="439"/>
      <c r="P398" s="439"/>
      <c r="Q398" s="439"/>
      <c r="R398" s="440" t="str">
        <f>VLOOKUP(Ruimtestaat[[#This Row],[Ruimte code]],Ruimtegroepen[],4,FALSE)</f>
        <v>Ve</v>
      </c>
      <c r="S398" s="434">
        <v>41</v>
      </c>
      <c r="T398" s="434" t="s">
        <v>2</v>
      </c>
      <c r="U398" s="434">
        <f>IF(S398&gt;0,IF(RIGHT(Ruimtestaat[[#This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398" s="434">
        <f>IF(U398&gt;0,VLOOKUP($J398,Ruimtegroepen[],3,FALSE)*VLOOKUP($L398,Vloersoorten[],3,FALSE)*VLOOKUP($T398,Frequenties[],3,FALSE)*VLOOKUP($A398,Locaties[],3,FALSE),0)</f>
        <v>0</v>
      </c>
      <c r="W398" s="434">
        <f>Ruimtestaat[[#This Row],[Uitvoeringen werkdagen]]*Ruimtestaat[[#This Row],[Oppervlak (netto)]]</f>
        <v>23917.35</v>
      </c>
      <c r="X398" s="441">
        <f>IF(V398&gt;0,Ruimtestaat[[#This Row],[Prest. (m2 /jaar) werkdagen]]/Ruimtestaat[[#This Row],[Norm (m2/uur) werkdagen]],0)</f>
        <v>0</v>
      </c>
      <c r="Y398" s="442">
        <f>Ruimtestaat[[#This Row],[Uitvoeringen werkdagen]]*Ruimtestaat[[#This Row],[Gedeeltelijk]]</f>
        <v>0</v>
      </c>
      <c r="Z398" s="443" t="e">
        <f>IF(U398&gt;0,Ruimtestaat[[#This Row],[Prest. (m2 / jaar) werkdagen gedeeld]]/Ruimtestaat[[#This Row],[Norm (m2/uur) werkdagen]],0)</f>
        <v>#DIV/0!</v>
      </c>
      <c r="AA398" s="441" t="e">
        <f>Ruimtestaat[[#This Row],[uren / jaar werkdagen gedeeld]]*Tariefsopbouw!$E$35</f>
        <v>#DIV/0!</v>
      </c>
      <c r="AB398" s="441">
        <f>Ruimtestaat[[#This Row],[Uitvoeringen werkdagen]]*Ruimtestaat[[#This Row],[BSO]]</f>
        <v>0</v>
      </c>
      <c r="AC398" s="443" t="e">
        <f>IF(U398&gt;0,Ruimtestaat[[#This Row],[Prest. (m2 / jaar) werkdagen BSO]]/Ruimtestaat[[#This Row],[Norm (m2/uur) werkdagen]],0)</f>
        <v>#DIV/0!</v>
      </c>
      <c r="AD398" s="443" t="e">
        <f>Ruimtestaat[[#This Row],[uren / jaar werkdagen BSO]]*Tariefsopbouw!$E$35</f>
        <v>#DIV/0!</v>
      </c>
      <c r="AE398" s="444">
        <f>Ruimtestaat[[#This Row],[uren / jaar werkdagen]]*Tariefsopbouw!$E$35</f>
        <v>0</v>
      </c>
      <c r="AF398" s="434"/>
      <c r="AG398" s="434">
        <f>IF(Ruimtestaat[[#This Row],[Frequentie weekend]]&gt;0,VALUE(LEFT(AF398,1))*S398,0)</f>
        <v>0</v>
      </c>
      <c r="AH398" s="445">
        <f>IF($AG398&gt;0,VLOOKUP($J398,Ruimtegroepen[],3,FALSE)*VLOOKUP($L398,Vloersoorten[],3,FALSE)*VLOOKUP($AF398,Frequenties[],3,FALSE)*VLOOKUP(Ruimtestaat[[#This Row],[Code]],Locaties[],3,FALSE),0)</f>
        <v>0</v>
      </c>
      <c r="AI398" s="445">
        <f>Ruimtestaat[[#This Row],[Uitvoeringen weekend]]*Ruimtestaat[[#This Row],[Oppervlak (netto)]]</f>
        <v>0</v>
      </c>
      <c r="AJ398" s="445">
        <f>IF(AH398&gt;0,Ruimtestaat[[#This Row],[Prest. (m2 /jaar) weekend]]/Ruimtestaat[[#This Row],[Norm (m2/uur) weekend]],0)</f>
        <v>0</v>
      </c>
      <c r="AK398" s="444">
        <f>Ruimtestaat[[#This Row],[uren / jaar weekend]]*Tariefsopbouw!$D$40</f>
        <v>0</v>
      </c>
      <c r="AL398" s="441">
        <f>Ruimtestaat[[#This Row],[Prest. (m2 /jaar) weekend]]+Ruimtestaat[[#This Row],[Prest. (m2 /jaar) werkdagen]]</f>
        <v>23917.35</v>
      </c>
      <c r="AM398" s="441">
        <f>Ruimtestaat[[#This Row],[uren / jaar weekend]]+Ruimtestaat[[#This Row],[uren / jaar werkdagen]]</f>
        <v>0</v>
      </c>
      <c r="AN398" s="446">
        <f>Ruimtestaat[[#This Row],[kosten / jaar weekend]]+Ruimtestaat[[#This Row],[kosten / jaar werkdagen]]</f>
        <v>0</v>
      </c>
      <c r="AO398" s="446"/>
      <c r="AP398" s="447" t="str">
        <f>IF(Ruimtestaat[[#This Row],[Frequentie werkdagen]]="","",_xlfn.CONCAT(Ruimtestaat[[#This Row],[Ruimte code]],"-",Ruimtestaat[[#This Row],[Frequentie werkdagen]]," ",Ruimtestaat[[#This Row],[Vloer code]]))</f>
        <v>6-5w S</v>
      </c>
      <c r="AQ398" s="448" t="str">
        <f>_xlfn.IFNA(VLOOKUP($AP398,Programma!$F$3:$G$1101,2,0),"")</f>
        <v>_</v>
      </c>
      <c r="AR398" s="448" t="str">
        <f>_xlfn.IFNA(VLOOKUP($AP398,Programma!$F$3:$H$1101,3,0),"")</f>
        <v>_</v>
      </c>
      <c r="AS398" s="448" t="str">
        <f>_xlfn.IFNA(VLOOKUP($AP398,Programma!$F$3:$I$1101,4,0),"")</f>
        <v>5w</v>
      </c>
      <c r="AT398" s="448" t="str">
        <f>_xlfn.IFNA(VLOOKUP($AP398,Programma!$F$3:$J$1101,5,0),"")</f>
        <v>_</v>
      </c>
      <c r="AU398" s="448" t="str">
        <f>_xlfn.IFNA(VLOOKUP($AP398,Programma!$F$3:$K$1101,6,0),"")</f>
        <v>5w</v>
      </c>
      <c r="AV398" s="448" t="str">
        <f>_xlfn.IFNA(VLOOKUP($AP398,Programma!$F$3:$L$1101,7,0),"")</f>
        <v>_</v>
      </c>
      <c r="AW398" s="448" t="str">
        <f>_xlfn.IFNA(VLOOKUP($AP398,Programma!$F$3:$M$1101,8,0),"")</f>
        <v>_</v>
      </c>
      <c r="AX398" s="448" t="str">
        <f>_xlfn.IFNA(VLOOKUP($AP398,Programma!$F$3:$N$1101,9,0),"")</f>
        <v>_</v>
      </c>
      <c r="AY398" s="448" t="str">
        <f>_xlfn.IFNA(VLOOKUP($AP398,Programma!$F$3:$O$1101,10,0),"")</f>
        <v>5w</v>
      </c>
      <c r="AZ398" s="448" t="str">
        <f>_xlfn.IFNA(VLOOKUP($AP398,Programma!$F$3:$P$1101,11,0),"")</f>
        <v>5w</v>
      </c>
      <c r="BA398" s="448" t="str">
        <f>_xlfn.IFNA(VLOOKUP($AP398,Programma!$F$3:$Q$1101,12,0),"")</f>
        <v>1w</v>
      </c>
      <c r="BB398" s="448" t="str">
        <f>_xlfn.IFNA(VLOOKUP($AP398,Programma!$F$3:$R$1101,13,0),"")</f>
        <v>1w</v>
      </c>
      <c r="BC398" s="448" t="str">
        <f>_xlfn.IFNA(VLOOKUP($AP398,Programma!$F$3:$S$1101,14,0),"")</f>
        <v>1m</v>
      </c>
      <c r="BD398" s="448" t="str">
        <f>_xlfn.IFNA(VLOOKUP($AP398,Programma!$F$3:$T$1101,15,0),"")</f>
        <v>2j</v>
      </c>
      <c r="BE398" s="448" t="str">
        <f>_xlfn.IFNA(VLOOKUP($AP398,Programma!$F$3:$U$1101,16,0),"")</f>
        <v>1j</v>
      </c>
      <c r="BF398" s="448" t="str">
        <f>_xlfn.IFNA(VLOOKUP($AP398,Programma!$F$3:$V$1101,17,0),"")</f>
        <v>_</v>
      </c>
      <c r="BG398" s="448" t="str">
        <f>_xlfn.IFNA(VLOOKUP($AP398,Programma!$F$3:$W$1101,18,0),"")</f>
        <v>_</v>
      </c>
      <c r="BH398" s="448" t="str">
        <f>_xlfn.IFNA(VLOOKUP($AP398,Programma!$F$3:$X$1101,19,0),"")</f>
        <v>_</v>
      </c>
      <c r="BI398" s="448" t="str">
        <f>_xlfn.IFNA(VLOOKUP($AP398,Programma!$F$3:$Y$1101,20,0),"")</f>
        <v>_</v>
      </c>
      <c r="BJ398" s="449"/>
      <c r="BK398" s="447" t="str">
        <f>IF(Ruimtestaat[[#This Row],[Frequentie weekend]]="","",_xlfn.CONCAT(Ruimtestaat[[#This Row],[Ruimte code]],"-",Ruimtestaat[[#This Row],[Frequentie weekend]]," ",Ruimtestaat[[#This Row],[Vloer code]]))</f>
        <v/>
      </c>
      <c r="BL398" s="448" t="str">
        <f>_xlfn.IFNA(VLOOKUP($BK398,Programma!$F$3:$G$1101,2,0),"")</f>
        <v/>
      </c>
      <c r="BM398" s="448" t="str">
        <f>_xlfn.IFNA(VLOOKUP($BK398,Programma!$F$3:$H$1101,3,0),"")</f>
        <v/>
      </c>
      <c r="BN398" s="448" t="str">
        <f>_xlfn.IFNA(VLOOKUP($BK398,Programma!$F$3:$I$1101,4,0),"")</f>
        <v/>
      </c>
      <c r="BO398" s="448" t="str">
        <f>_xlfn.IFNA(VLOOKUP($BK398,Programma!$F$3:$J$1101,5,0),"")</f>
        <v/>
      </c>
      <c r="BP398" s="448" t="str">
        <f>_xlfn.IFNA(VLOOKUP($BK398,Programma!$F$3:$K$1101,6,0),"")</f>
        <v/>
      </c>
      <c r="BQ398" s="448" t="str">
        <f>_xlfn.IFNA(VLOOKUP($BK398,Programma!$F$3:$L$1101,7,0),"")</f>
        <v/>
      </c>
      <c r="BR398" s="448" t="str">
        <f>_xlfn.IFNA(VLOOKUP($BK398,Programma!$F$3:$M$1101,8,0),"")</f>
        <v/>
      </c>
      <c r="BS398" s="448" t="str">
        <f>_xlfn.IFNA(VLOOKUP($BK398,Programma!$F$3:$N$1101,9,0),"")</f>
        <v/>
      </c>
      <c r="BT398" s="448" t="str">
        <f>_xlfn.IFNA(VLOOKUP($BK398,Programma!$F$3:$O$1101,10,0),"")</f>
        <v/>
      </c>
      <c r="BU398" s="448" t="str">
        <f>_xlfn.IFNA(VLOOKUP($BK398,Programma!$F$3:$P$1101,11,0),"")</f>
        <v/>
      </c>
      <c r="BV398" s="448" t="str">
        <f>_xlfn.IFNA(VLOOKUP($BK398,Programma!$F$3:$Q$1101,12,0),"")</f>
        <v/>
      </c>
      <c r="BW398" s="448" t="str">
        <f>_xlfn.IFNA(VLOOKUP($BK398,Programma!$F$3:$R$1101,13,0),"")</f>
        <v/>
      </c>
      <c r="BX398" s="448" t="str">
        <f>_xlfn.IFNA(VLOOKUP($BK398,Programma!$F$3:$S$1101,14,0),"")</f>
        <v/>
      </c>
      <c r="BY398" s="448" t="str">
        <f>_xlfn.IFNA(VLOOKUP($BK398,Programma!$F$3:$T$1101,15,0),"")</f>
        <v/>
      </c>
      <c r="BZ398" s="448" t="str">
        <f>_xlfn.IFNA(VLOOKUP($BK398,Programma!$F$3:$U$1101,16,0),"")</f>
        <v/>
      </c>
      <c r="CA398" s="448" t="str">
        <f>_xlfn.IFNA(VLOOKUP($BK398,Programma!$F$3:$V$1101,17,0),"")</f>
        <v/>
      </c>
      <c r="CB398" s="448" t="str">
        <f>_xlfn.IFNA(VLOOKUP($BK398,Programma!$F$3:$W$1101,18,0),"")</f>
        <v/>
      </c>
      <c r="CC398" s="448" t="str">
        <f>_xlfn.IFNA(VLOOKUP($BK398,Programma!$F$3:$X$1101,19,0),"")</f>
        <v/>
      </c>
      <c r="CD398" s="448" t="str">
        <f>_xlfn.IFNA(VLOOKUP($BK398,Programma!$F$3:$Y$1101,20,0),"")</f>
        <v/>
      </c>
      <c r="CE398" s="327"/>
      <c r="CF398" s="327"/>
      <c r="CG398" s="327"/>
      <c r="CH398" s="327"/>
      <c r="CI398" s="327"/>
      <c r="CJ398" s="327"/>
      <c r="CK398" s="327"/>
      <c r="CL398" s="327"/>
      <c r="CM398" s="327"/>
      <c r="CN398" s="327"/>
      <c r="CO398" s="327"/>
      <c r="CP398" s="327"/>
      <c r="CQ398" s="327"/>
      <c r="CR398" s="327"/>
      <c r="CS398" s="327"/>
      <c r="CT398" s="327"/>
      <c r="CU398" s="327"/>
      <c r="CV398" s="327"/>
      <c r="CW398" s="327"/>
      <c r="CX398" s="327"/>
      <c r="CY398" s="327"/>
      <c r="CZ398" s="327"/>
      <c r="DA398" s="327"/>
      <c r="DB398" s="327"/>
      <c r="DC398" s="327"/>
      <c r="DD398" s="327"/>
      <c r="DE398" s="327"/>
      <c r="DF398" s="327"/>
      <c r="DG398" s="327"/>
      <c r="DH398" s="327"/>
      <c r="DI398" s="327"/>
      <c r="DJ398" s="327"/>
      <c r="DK398" s="327"/>
      <c r="DL398" s="327"/>
      <c r="DM398" s="327"/>
      <c r="DN398" s="327"/>
      <c r="DO398" s="327"/>
      <c r="DP398" s="327"/>
      <c r="DQ398" s="327"/>
      <c r="DR398" s="327"/>
      <c r="DS398" s="327"/>
      <c r="DT398" s="327"/>
      <c r="DU398" s="327"/>
      <c r="DV398" s="327"/>
      <c r="DW398" s="327"/>
      <c r="DX398" s="327"/>
      <c r="DY398" s="327"/>
      <c r="DZ398" s="327"/>
      <c r="EA398" s="327"/>
      <c r="EB398" s="327"/>
      <c r="EC398" s="327"/>
      <c r="ED398" s="327"/>
      <c r="EE398" s="327"/>
      <c r="EF398" s="327"/>
      <c r="EG398" s="327"/>
      <c r="EH398" s="327"/>
      <c r="EI398" s="327"/>
      <c r="EJ398" s="327"/>
      <c r="EK398" s="327"/>
      <c r="EL398" s="327"/>
      <c r="EM398" s="327"/>
      <c r="EN398" s="327"/>
      <c r="EO398" s="327"/>
      <c r="EP398" s="327"/>
      <c r="EQ398" s="327"/>
      <c r="ER398" s="327"/>
      <c r="ES398" s="327"/>
      <c r="ET398" s="327"/>
      <c r="EU398" s="327"/>
      <c r="EV398" s="327"/>
      <c r="EW398" s="327"/>
      <c r="EX398" s="327"/>
      <c r="EY398" s="327"/>
      <c r="EZ398" s="327"/>
      <c r="FA398" s="327"/>
      <c r="FB398" s="327"/>
      <c r="FC398" s="327"/>
      <c r="FD398" s="327"/>
      <c r="FE398" s="327"/>
      <c r="FF398" s="327"/>
      <c r="FG398" s="327"/>
      <c r="FH398" s="327"/>
      <c r="FI398" s="327"/>
      <c r="FJ398" s="327"/>
      <c r="FK398" s="327"/>
      <c r="FL398" s="327"/>
      <c r="FM398" s="327"/>
      <c r="FN398" s="327"/>
      <c r="FO398" s="327"/>
      <c r="FP398" s="327"/>
      <c r="FQ398" s="327"/>
      <c r="FR398" s="327"/>
      <c r="FS398" s="327"/>
      <c r="FT398" s="327"/>
      <c r="FU398" s="327"/>
      <c r="FV398" s="327"/>
      <c r="FW398" s="327"/>
      <c r="FX398" s="327"/>
      <c r="FY398" s="327"/>
      <c r="FZ398" s="327"/>
      <c r="GA398" s="327"/>
      <c r="GB398" s="327"/>
      <c r="GC398" s="327"/>
      <c r="GD398" s="327"/>
      <c r="GE398" s="327"/>
      <c r="GF398" s="327"/>
      <c r="GG398" s="327"/>
      <c r="GH398" s="327"/>
      <c r="GI398" s="327"/>
      <c r="GJ398" s="327"/>
      <c r="GK398" s="327"/>
      <c r="GL398" s="327"/>
      <c r="GM398" s="327"/>
      <c r="GN398" s="327"/>
      <c r="GO398" s="327"/>
      <c r="GP398" s="327"/>
      <c r="GQ398" s="327"/>
      <c r="GR398" s="327"/>
      <c r="GS398" s="327"/>
      <c r="GT398" s="327"/>
      <c r="GU398" s="327"/>
      <c r="GV398" s="327"/>
      <c r="GW398" s="327"/>
      <c r="GX398" s="327"/>
      <c r="GY398" s="327"/>
      <c r="GZ398" s="327"/>
      <c r="HA398" s="327"/>
      <c r="HB398" s="327"/>
      <c r="HC398" s="327"/>
      <c r="HD398" s="327"/>
      <c r="HE398" s="327"/>
      <c r="HF398" s="327"/>
      <c r="HG398" s="327"/>
      <c r="HH398" s="327"/>
      <c r="HI398" s="327"/>
      <c r="HJ398" s="327"/>
      <c r="HK398" s="327"/>
      <c r="HL398" s="327"/>
      <c r="HM398" s="327"/>
      <c r="HN398" s="327"/>
      <c r="HO398" s="327"/>
      <c r="HP398" s="327"/>
      <c r="HQ398" s="327"/>
      <c r="HR398" s="327"/>
      <c r="HS398" s="327"/>
    </row>
    <row r="399" spans="1:227" ht="15" customHeight="1">
      <c r="A399" s="327">
        <v>17</v>
      </c>
      <c r="B399" s="435" t="str">
        <f>VLOOKUP(Ruimtestaat[[#This Row],[Code]],Locaties[[Code]:[Locatie]],2,FALSE)</f>
        <v>IKC de Tjalk Kadelaan 208 (bijgebouw)</v>
      </c>
      <c r="C399" s="435" t="str">
        <f>VLOOKUP(Ruimtestaat[[#This Row],[Code]],Locaties[[#All],[Code]:[Adres]],4,FALSE)</f>
        <v>Kadelaan 208</v>
      </c>
      <c r="D399" s="435" t="str">
        <f>VLOOKUP(Ruimtestaat[[#This Row],[Code]],Locaties[[#All],[Code]:[Postcode]],5,FALSE)</f>
        <v>2725 BR</v>
      </c>
      <c r="E399" s="435" t="str">
        <f>VLOOKUP(Ruimtestaat[[#This Row],[Code]],Locaties[#All],6,FALSE)</f>
        <v>Zoetermeer</v>
      </c>
      <c r="F399" s="450"/>
      <c r="G399" s="330" t="s">
        <v>1678</v>
      </c>
      <c r="H399" s="330">
        <v>5</v>
      </c>
      <c r="I399" s="450" t="s">
        <v>1842</v>
      </c>
      <c r="J399" s="330">
        <v>16</v>
      </c>
      <c r="K399" s="450" t="str">
        <f>VLOOKUP(Ruimtestaat[[#This Row],[Ruimte code]],Ruimtegroepen[[#All],[Code]:[Ruimte omschrijving]],2,FALSE)</f>
        <v>Leslokalen</v>
      </c>
      <c r="L399" s="330" t="s">
        <v>101</v>
      </c>
      <c r="M399" s="437" t="s">
        <v>1816</v>
      </c>
      <c r="N399" s="439">
        <v>56.52</v>
      </c>
      <c r="O399" s="439"/>
      <c r="P399" s="439"/>
      <c r="Q399" s="439"/>
      <c r="R399" s="440" t="str">
        <f>VLOOKUP(Ruimtestaat[[#This Row],[Ruimte code]],Ruimtegroepen[],4,FALSE)</f>
        <v>Le</v>
      </c>
      <c r="S399" s="434">
        <v>40</v>
      </c>
      <c r="T399" s="434" t="s">
        <v>2</v>
      </c>
      <c r="U399" s="434">
        <f>IF(S399&gt;0,IF(RIGHT(Ruimtestaat[[#This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9" s="434">
        <f>IF(U399&gt;0,VLOOKUP($J399,Ruimtegroepen[],3,FALSE)*VLOOKUP($L399,Vloersoorten[],3,FALSE)*VLOOKUP($T399,Frequenties[],3,FALSE)*VLOOKUP($A399,Locaties[],3,FALSE),0)</f>
        <v>0</v>
      </c>
      <c r="W399" s="434">
        <f>Ruimtestaat[[#This Row],[Uitvoeringen werkdagen]]*Ruimtestaat[[#This Row],[Oppervlak (netto)]]</f>
        <v>11304</v>
      </c>
      <c r="X399" s="441">
        <f>IF(V399&gt;0,Ruimtestaat[[#This Row],[Prest. (m2 /jaar) werkdagen]]/Ruimtestaat[[#This Row],[Norm (m2/uur) werkdagen]],0)</f>
        <v>0</v>
      </c>
      <c r="Y399" s="442">
        <f>Ruimtestaat[[#This Row],[Uitvoeringen werkdagen]]*Ruimtestaat[[#This Row],[Gedeeltelijk]]</f>
        <v>0</v>
      </c>
      <c r="Z399" s="443" t="e">
        <f>IF(U399&gt;0,Ruimtestaat[[#This Row],[Prest. (m2 / jaar) werkdagen gedeeld]]/Ruimtestaat[[#This Row],[Norm (m2/uur) werkdagen]],0)</f>
        <v>#DIV/0!</v>
      </c>
      <c r="AA399" s="441" t="e">
        <f>Ruimtestaat[[#This Row],[uren / jaar werkdagen gedeeld]]*Tariefsopbouw!$E$35</f>
        <v>#DIV/0!</v>
      </c>
      <c r="AB399" s="441">
        <f>Ruimtestaat[[#This Row],[Uitvoeringen werkdagen]]*Ruimtestaat[[#This Row],[BSO]]</f>
        <v>0</v>
      </c>
      <c r="AC399" s="443" t="e">
        <f>IF(U399&gt;0,Ruimtestaat[[#This Row],[Prest. (m2 / jaar) werkdagen BSO]]/Ruimtestaat[[#This Row],[Norm (m2/uur) werkdagen]],0)</f>
        <v>#DIV/0!</v>
      </c>
      <c r="AD399" s="443" t="e">
        <f>Ruimtestaat[[#This Row],[uren / jaar werkdagen BSO]]*Tariefsopbouw!$E$35</f>
        <v>#DIV/0!</v>
      </c>
      <c r="AE399" s="444">
        <f>Ruimtestaat[[#This Row],[uren / jaar werkdagen]]*Tariefsopbouw!$E$35</f>
        <v>0</v>
      </c>
      <c r="AF399" s="434"/>
      <c r="AG399" s="434">
        <f>IF(Ruimtestaat[[#This Row],[Frequentie weekend]]&gt;0,VALUE(LEFT(AF399,1))*S399,0)</f>
        <v>0</v>
      </c>
      <c r="AH399" s="445">
        <f>IF($AG399&gt;0,VLOOKUP($J399,Ruimtegroepen[],3,FALSE)*VLOOKUP($L399,Vloersoorten[],3,FALSE)*VLOOKUP($AF399,Frequenties[],3,FALSE)*VLOOKUP(Ruimtestaat[[#This Row],[Code]],Locaties[],3,FALSE),0)</f>
        <v>0</v>
      </c>
      <c r="AI399" s="445">
        <f>Ruimtestaat[[#This Row],[Uitvoeringen weekend]]*Ruimtestaat[[#This Row],[Oppervlak (netto)]]</f>
        <v>0</v>
      </c>
      <c r="AJ399" s="445">
        <f>IF(AH399&gt;0,Ruimtestaat[[#This Row],[Prest. (m2 /jaar) weekend]]/Ruimtestaat[[#This Row],[Norm (m2/uur) weekend]],0)</f>
        <v>0</v>
      </c>
      <c r="AK399" s="444">
        <f>Ruimtestaat[[#This Row],[uren / jaar weekend]]*Tariefsopbouw!$D$40</f>
        <v>0</v>
      </c>
      <c r="AL399" s="441">
        <f>Ruimtestaat[[#This Row],[Prest. (m2 /jaar) weekend]]+Ruimtestaat[[#This Row],[Prest. (m2 /jaar) werkdagen]]</f>
        <v>11304</v>
      </c>
      <c r="AM399" s="441">
        <f>Ruimtestaat[[#This Row],[uren / jaar weekend]]+Ruimtestaat[[#This Row],[uren / jaar werkdagen]]</f>
        <v>0</v>
      </c>
      <c r="AN399" s="446">
        <f>Ruimtestaat[[#This Row],[kosten / jaar weekend]]+Ruimtestaat[[#This Row],[kosten / jaar werkdagen]]</f>
        <v>0</v>
      </c>
      <c r="AO399" s="446"/>
      <c r="AP399" s="447" t="str">
        <f>IF(Ruimtestaat[[#This Row],[Frequentie werkdagen]]="","",_xlfn.CONCAT(Ruimtestaat[[#This Row],[Ruimte code]],"-",Ruimtestaat[[#This Row],[Frequentie werkdagen]]," ",Ruimtestaat[[#This Row],[Vloer code]]))</f>
        <v>16-5w S</v>
      </c>
      <c r="AQ399" s="448" t="str">
        <f>_xlfn.IFNA(VLOOKUP($AP399,Programma!$F$3:$G$1101,2,0),"")</f>
        <v>_</v>
      </c>
      <c r="AR399" s="448" t="str">
        <f>_xlfn.IFNA(VLOOKUP($AP399,Programma!$F$3:$H$1101,3,0),"")</f>
        <v>_</v>
      </c>
      <c r="AS399" s="448" t="str">
        <f>_xlfn.IFNA(VLOOKUP($AP399,Programma!$F$3:$I$1101,4,0),"")</f>
        <v>4w</v>
      </c>
      <c r="AT399" s="448" t="str">
        <f>_xlfn.IFNA(VLOOKUP($AP399,Programma!$F$3:$J$1101,5,0),"")</f>
        <v>1w</v>
      </c>
      <c r="AU399" s="448" t="str">
        <f>_xlfn.IFNA(VLOOKUP($AP399,Programma!$F$3:$K$1101,6,0),"")</f>
        <v>1m</v>
      </c>
      <c r="AV399" s="448" t="str">
        <f>_xlfn.IFNA(VLOOKUP($AP399,Programma!$F$3:$L$1101,7,0),"")</f>
        <v>_</v>
      </c>
      <c r="AW399" s="448" t="str">
        <f>_xlfn.IFNA(VLOOKUP($AP399,Programma!$F$3:$M$1101,8,0),"")</f>
        <v>_</v>
      </c>
      <c r="AX399" s="448" t="str">
        <f>_xlfn.IFNA(VLOOKUP($AP399,Programma!$F$3:$N$1101,9,0),"")</f>
        <v>_</v>
      </c>
      <c r="AY399" s="448" t="str">
        <f>_xlfn.IFNA(VLOOKUP($AP399,Programma!$F$3:$O$1101,10,0),"")</f>
        <v>5w</v>
      </c>
      <c r="AZ399" s="448" t="str">
        <f>_xlfn.IFNA(VLOOKUP($AP399,Programma!$F$3:$P$1101,11,0),"")</f>
        <v>5w</v>
      </c>
      <c r="BA399" s="448" t="str">
        <f>_xlfn.IFNA(VLOOKUP($AP399,Programma!$F$3:$Q$1101,12,0),"")</f>
        <v>1w</v>
      </c>
      <c r="BB399" s="448" t="str">
        <f>_xlfn.IFNA(VLOOKUP($AP399,Programma!$F$3:$R$1101,13,0),"")</f>
        <v>1w</v>
      </c>
      <c r="BC399" s="448" t="str">
        <f>_xlfn.IFNA(VLOOKUP($AP399,Programma!$F$3:$S$1101,14,0),"")</f>
        <v>1m</v>
      </c>
      <c r="BD399" s="448" t="str">
        <f>_xlfn.IFNA(VLOOKUP($AP399,Programma!$F$3:$T$1101,15,0),"")</f>
        <v>2j</v>
      </c>
      <c r="BE399" s="448" t="str">
        <f>_xlfn.IFNA(VLOOKUP($AP399,Programma!$F$3:$U$1101,16,0),"")</f>
        <v>1j</v>
      </c>
      <c r="BF399" s="448" t="str">
        <f>_xlfn.IFNA(VLOOKUP($AP399,Programma!$F$3:$V$1101,17,0),"")</f>
        <v>_</v>
      </c>
      <c r="BG399" s="448" t="str">
        <f>_xlfn.IFNA(VLOOKUP($AP399,Programma!$F$3:$W$1101,18,0),"")</f>
        <v>_</v>
      </c>
      <c r="BH399" s="448" t="str">
        <f>_xlfn.IFNA(VLOOKUP($AP399,Programma!$F$3:$X$1101,19,0),"")</f>
        <v>_</v>
      </c>
      <c r="BI399" s="448" t="str">
        <f>_xlfn.IFNA(VLOOKUP($AP399,Programma!$F$3:$Y$1101,20,0),"")</f>
        <v>_</v>
      </c>
      <c r="BJ399" s="449"/>
      <c r="BK399" s="447" t="str">
        <f>IF(Ruimtestaat[[#This Row],[Frequentie weekend]]="","",_xlfn.CONCAT(Ruimtestaat[[#This Row],[Ruimte code]],"-",Ruimtestaat[[#This Row],[Frequentie weekend]]," ",Ruimtestaat[[#This Row],[Vloer code]]))</f>
        <v/>
      </c>
      <c r="BL399" s="448" t="str">
        <f>_xlfn.IFNA(VLOOKUP($BK399,Programma!$F$3:$G$1101,2,0),"")</f>
        <v/>
      </c>
      <c r="BM399" s="448" t="str">
        <f>_xlfn.IFNA(VLOOKUP($BK399,Programma!$F$3:$H$1101,3,0),"")</f>
        <v/>
      </c>
      <c r="BN399" s="448" t="str">
        <f>_xlfn.IFNA(VLOOKUP($BK399,Programma!$F$3:$I$1101,4,0),"")</f>
        <v/>
      </c>
      <c r="BO399" s="448" t="str">
        <f>_xlfn.IFNA(VLOOKUP($BK399,Programma!$F$3:$J$1101,5,0),"")</f>
        <v/>
      </c>
      <c r="BP399" s="448" t="str">
        <f>_xlfn.IFNA(VLOOKUP($BK399,Programma!$F$3:$K$1101,6,0),"")</f>
        <v/>
      </c>
      <c r="BQ399" s="448" t="str">
        <f>_xlfn.IFNA(VLOOKUP($BK399,Programma!$F$3:$L$1101,7,0),"")</f>
        <v/>
      </c>
      <c r="BR399" s="448" t="str">
        <f>_xlfn.IFNA(VLOOKUP($BK399,Programma!$F$3:$M$1101,8,0),"")</f>
        <v/>
      </c>
      <c r="BS399" s="448" t="str">
        <f>_xlfn.IFNA(VLOOKUP($BK399,Programma!$F$3:$N$1101,9,0),"")</f>
        <v/>
      </c>
      <c r="BT399" s="448" t="str">
        <f>_xlfn.IFNA(VLOOKUP($BK399,Programma!$F$3:$O$1101,10,0),"")</f>
        <v/>
      </c>
      <c r="BU399" s="448" t="str">
        <f>_xlfn.IFNA(VLOOKUP($BK399,Programma!$F$3:$P$1101,11,0),"")</f>
        <v/>
      </c>
      <c r="BV399" s="448" t="str">
        <f>_xlfn.IFNA(VLOOKUP($BK399,Programma!$F$3:$Q$1101,12,0),"")</f>
        <v/>
      </c>
      <c r="BW399" s="448" t="str">
        <f>_xlfn.IFNA(VLOOKUP($BK399,Programma!$F$3:$R$1101,13,0),"")</f>
        <v/>
      </c>
      <c r="BX399" s="448" t="str">
        <f>_xlfn.IFNA(VLOOKUP($BK399,Programma!$F$3:$S$1101,14,0),"")</f>
        <v/>
      </c>
      <c r="BY399" s="448" t="str">
        <f>_xlfn.IFNA(VLOOKUP($BK399,Programma!$F$3:$T$1101,15,0),"")</f>
        <v/>
      </c>
      <c r="BZ399" s="448" t="str">
        <f>_xlfn.IFNA(VLOOKUP($BK399,Programma!$F$3:$U$1101,16,0),"")</f>
        <v/>
      </c>
      <c r="CA399" s="448" t="str">
        <f>_xlfn.IFNA(VLOOKUP($BK399,Programma!$F$3:$V$1101,17,0),"")</f>
        <v/>
      </c>
      <c r="CB399" s="448" t="str">
        <f>_xlfn.IFNA(VLOOKUP($BK399,Programma!$F$3:$W$1101,18,0),"")</f>
        <v/>
      </c>
      <c r="CC399" s="448" t="str">
        <f>_xlfn.IFNA(VLOOKUP($BK399,Programma!$F$3:$X$1101,19,0),"")</f>
        <v/>
      </c>
      <c r="CD399" s="448" t="str">
        <f>_xlfn.IFNA(VLOOKUP($BK399,Programma!$F$3:$Y$1101,20,0),"")</f>
        <v/>
      </c>
      <c r="CE399" s="327"/>
      <c r="CF399" s="327"/>
      <c r="CG399" s="327"/>
      <c r="CH399" s="327"/>
      <c r="CI399" s="327"/>
      <c r="CJ399" s="327"/>
      <c r="CK399" s="327"/>
      <c r="CL399" s="327"/>
      <c r="CM399" s="327"/>
      <c r="CN399" s="327"/>
      <c r="CO399" s="327"/>
      <c r="CP399" s="327"/>
      <c r="CQ399" s="327"/>
      <c r="CR399" s="327"/>
      <c r="CS399" s="327"/>
      <c r="CT399" s="327"/>
      <c r="CU399" s="327"/>
      <c r="CV399" s="327"/>
      <c r="CW399" s="327"/>
      <c r="CX399" s="327"/>
      <c r="CY399" s="327"/>
      <c r="CZ399" s="327"/>
      <c r="DA399" s="327"/>
      <c r="DB399" s="327"/>
      <c r="DC399" s="327"/>
      <c r="DD399" s="327"/>
      <c r="DE399" s="327"/>
      <c r="DF399" s="327"/>
      <c r="DG399" s="327"/>
      <c r="DH399" s="327"/>
      <c r="DI399" s="327"/>
      <c r="DJ399" s="327"/>
      <c r="DK399" s="327"/>
      <c r="DL399" s="327"/>
      <c r="DM399" s="327"/>
      <c r="DN399" s="327"/>
      <c r="DO399" s="327"/>
      <c r="DP399" s="327"/>
      <c r="DQ399" s="327"/>
      <c r="DR399" s="327"/>
      <c r="DS399" s="327"/>
      <c r="DT399" s="327"/>
      <c r="DU399" s="327"/>
      <c r="DV399" s="327"/>
      <c r="DW399" s="327"/>
      <c r="DX399" s="327"/>
      <c r="DY399" s="327"/>
      <c r="DZ399" s="327"/>
      <c r="EA399" s="327"/>
      <c r="EB399" s="327"/>
      <c r="EC399" s="327"/>
      <c r="ED399" s="327"/>
      <c r="EE399" s="327"/>
      <c r="EF399" s="327"/>
      <c r="EG399" s="327"/>
      <c r="EH399" s="327"/>
      <c r="EI399" s="327"/>
      <c r="EJ399" s="327"/>
      <c r="EK399" s="327"/>
      <c r="EL399" s="327"/>
      <c r="EM399" s="327"/>
      <c r="EN399" s="327"/>
      <c r="EO399" s="327"/>
      <c r="EP399" s="327"/>
      <c r="EQ399" s="327"/>
      <c r="ER399" s="327"/>
      <c r="ES399" s="327"/>
      <c r="ET399" s="327"/>
      <c r="EU399" s="327"/>
      <c r="EV399" s="327"/>
      <c r="EW399" s="327"/>
      <c r="EX399" s="327"/>
      <c r="EY399" s="327"/>
      <c r="EZ399" s="327"/>
      <c r="FA399" s="327"/>
      <c r="FB399" s="327"/>
      <c r="FC399" s="327"/>
      <c r="FD399" s="327"/>
      <c r="FE399" s="327"/>
      <c r="FF399" s="327"/>
      <c r="FG399" s="327"/>
      <c r="FH399" s="327"/>
      <c r="FI399" s="327"/>
      <c r="FJ399" s="327"/>
      <c r="FK399" s="327"/>
      <c r="FL399" s="327"/>
      <c r="FM399" s="327"/>
      <c r="FN399" s="327"/>
      <c r="FO399" s="327"/>
      <c r="FP399" s="327"/>
      <c r="FQ399" s="327"/>
      <c r="FR399" s="327"/>
      <c r="FS399" s="327"/>
      <c r="FT399" s="327"/>
      <c r="FU399" s="327"/>
      <c r="FV399" s="327"/>
      <c r="FW399" s="327"/>
      <c r="FX399" s="327"/>
      <c r="FY399" s="327"/>
      <c r="FZ399" s="327"/>
      <c r="GA399" s="327"/>
      <c r="GB399" s="327"/>
      <c r="GC399" s="327"/>
      <c r="GD399" s="327"/>
      <c r="GE399" s="327"/>
      <c r="GF399" s="327"/>
      <c r="GG399" s="327"/>
      <c r="GH399" s="327"/>
      <c r="GI399" s="327"/>
      <c r="GJ399" s="327"/>
      <c r="GK399" s="327"/>
      <c r="GL399" s="327"/>
      <c r="GM399" s="327"/>
      <c r="GN399" s="327"/>
      <c r="GO399" s="327"/>
      <c r="GP399" s="327"/>
      <c r="GQ399" s="327"/>
      <c r="GR399" s="327"/>
      <c r="GS399" s="327"/>
      <c r="GT399" s="327"/>
      <c r="GU399" s="327"/>
      <c r="GV399" s="327"/>
      <c r="GW399" s="327"/>
      <c r="GX399" s="327"/>
      <c r="GY399" s="327"/>
      <c r="GZ399" s="327"/>
      <c r="HA399" s="327"/>
      <c r="HB399" s="327"/>
      <c r="HC399" s="327"/>
      <c r="HD399" s="327"/>
      <c r="HE399" s="327"/>
      <c r="HF399" s="327"/>
      <c r="HG399" s="327"/>
      <c r="HH399" s="327"/>
      <c r="HI399" s="327"/>
      <c r="HJ399" s="327"/>
      <c r="HK399" s="327"/>
      <c r="HL399" s="327"/>
      <c r="HM399" s="327"/>
      <c r="HN399" s="327"/>
      <c r="HO399" s="327"/>
      <c r="HP399" s="327"/>
      <c r="HQ399" s="327"/>
      <c r="HR399" s="327"/>
      <c r="HS399" s="327"/>
    </row>
    <row r="400" spans="1:227" ht="15" customHeight="1">
      <c r="A400" s="327">
        <v>17</v>
      </c>
      <c r="B400" s="435" t="str">
        <f>VLOOKUP(Ruimtestaat[[#This Row],[Code]],Locaties[[Code]:[Locatie]],2,FALSE)</f>
        <v>IKC de Tjalk Kadelaan 208 (bijgebouw)</v>
      </c>
      <c r="C400" s="435" t="str">
        <f>VLOOKUP(Ruimtestaat[[#This Row],[Code]],Locaties[[#All],[Code]:[Adres]],4,FALSE)</f>
        <v>Kadelaan 208</v>
      </c>
      <c r="D400" s="435" t="str">
        <f>VLOOKUP(Ruimtestaat[[#This Row],[Code]],Locaties[[#All],[Code]:[Postcode]],5,FALSE)</f>
        <v>2725 BR</v>
      </c>
      <c r="E400" s="435" t="str">
        <f>VLOOKUP(Ruimtestaat[[#This Row],[Code]],Locaties[#All],6,FALSE)</f>
        <v>Zoetermeer</v>
      </c>
      <c r="F400" s="450"/>
      <c r="G400" s="330" t="s">
        <v>1678</v>
      </c>
      <c r="H400" s="330">
        <v>3</v>
      </c>
      <c r="I400" s="450" t="s">
        <v>1720</v>
      </c>
      <c r="J400" s="330">
        <v>5</v>
      </c>
      <c r="K400" s="450" t="str">
        <f>VLOOKUP(Ruimtestaat[[#This Row],[Ruimte code]],Ruimtegroepen[[#All],[Code]:[Ruimte omschrijving]],2,FALSE)</f>
        <v>Sanitair</v>
      </c>
      <c r="L400" s="330" t="s">
        <v>101</v>
      </c>
      <c r="M400" s="437" t="s">
        <v>1816</v>
      </c>
      <c r="N400" s="439">
        <v>6.04</v>
      </c>
      <c r="O400" s="439"/>
      <c r="P400" s="439"/>
      <c r="Q400" s="439"/>
      <c r="R400" s="440" t="str">
        <f>VLOOKUP(Ruimtestaat[[#This Row],[Ruimte code]],Ruimtegroepen[],4,FALSE)</f>
        <v>Sa</v>
      </c>
      <c r="S400" s="434">
        <v>41</v>
      </c>
      <c r="T400" s="434" t="s">
        <v>2</v>
      </c>
      <c r="U400" s="434">
        <f>IF(S400&gt;0,IF(RIGHT(Ruimtestaat[[#This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00" s="434">
        <f>IF(U400&gt;0,VLOOKUP($J400,Ruimtegroepen[],3,FALSE)*VLOOKUP($L400,Vloersoorten[],3,FALSE)*VLOOKUP($T400,Frequenties[],3,FALSE)*VLOOKUP($A400,Locaties[],3,FALSE),0)</f>
        <v>0</v>
      </c>
      <c r="W400" s="434">
        <f>Ruimtestaat[[#This Row],[Uitvoeringen werkdagen]]*Ruimtestaat[[#This Row],[Oppervlak (netto)]]</f>
        <v>1238.2</v>
      </c>
      <c r="X400" s="441">
        <f>IF(V400&gt;0,Ruimtestaat[[#This Row],[Prest. (m2 /jaar) werkdagen]]/Ruimtestaat[[#This Row],[Norm (m2/uur) werkdagen]],0)</f>
        <v>0</v>
      </c>
      <c r="Y400" s="442">
        <f>Ruimtestaat[[#This Row],[Uitvoeringen werkdagen]]*Ruimtestaat[[#This Row],[Gedeeltelijk]]</f>
        <v>0</v>
      </c>
      <c r="Z400" s="443" t="e">
        <f>IF(U400&gt;0,Ruimtestaat[[#This Row],[Prest. (m2 / jaar) werkdagen gedeeld]]/Ruimtestaat[[#This Row],[Norm (m2/uur) werkdagen]],0)</f>
        <v>#DIV/0!</v>
      </c>
      <c r="AA400" s="441" t="e">
        <f>Ruimtestaat[[#This Row],[uren / jaar werkdagen gedeeld]]*Tariefsopbouw!$E$35</f>
        <v>#DIV/0!</v>
      </c>
      <c r="AB400" s="441">
        <f>Ruimtestaat[[#This Row],[Uitvoeringen werkdagen]]*Ruimtestaat[[#This Row],[BSO]]</f>
        <v>0</v>
      </c>
      <c r="AC400" s="443" t="e">
        <f>IF(U400&gt;0,Ruimtestaat[[#This Row],[Prest. (m2 / jaar) werkdagen BSO]]/Ruimtestaat[[#This Row],[Norm (m2/uur) werkdagen]],0)</f>
        <v>#DIV/0!</v>
      </c>
      <c r="AD400" s="443" t="e">
        <f>Ruimtestaat[[#This Row],[uren / jaar werkdagen BSO]]*Tariefsopbouw!$E$35</f>
        <v>#DIV/0!</v>
      </c>
      <c r="AE400" s="444">
        <f>Ruimtestaat[[#This Row],[uren / jaar werkdagen]]*Tariefsopbouw!$E$35</f>
        <v>0</v>
      </c>
      <c r="AF400" s="434"/>
      <c r="AG400" s="434">
        <f>IF(Ruimtestaat[[#This Row],[Frequentie weekend]]&gt;0,VALUE(LEFT(AF400,1))*S400,0)</f>
        <v>0</v>
      </c>
      <c r="AH400" s="445">
        <f>IF($AG400&gt;0,VLOOKUP($J400,Ruimtegroepen[],3,FALSE)*VLOOKUP($L400,Vloersoorten[],3,FALSE)*VLOOKUP($AF400,Frequenties[],3,FALSE)*VLOOKUP(Ruimtestaat[[#This Row],[Code]],Locaties[],3,FALSE),0)</f>
        <v>0</v>
      </c>
      <c r="AI400" s="445">
        <f>Ruimtestaat[[#This Row],[Uitvoeringen weekend]]*Ruimtestaat[[#This Row],[Oppervlak (netto)]]</f>
        <v>0</v>
      </c>
      <c r="AJ400" s="445">
        <f>IF(AH400&gt;0,Ruimtestaat[[#This Row],[Prest. (m2 /jaar) weekend]]/Ruimtestaat[[#This Row],[Norm (m2/uur) weekend]],0)</f>
        <v>0</v>
      </c>
      <c r="AK400" s="444">
        <f>Ruimtestaat[[#This Row],[uren / jaar weekend]]*Tariefsopbouw!$D$40</f>
        <v>0</v>
      </c>
      <c r="AL400" s="441">
        <f>Ruimtestaat[[#This Row],[Prest. (m2 /jaar) weekend]]+Ruimtestaat[[#This Row],[Prest. (m2 /jaar) werkdagen]]</f>
        <v>1238.2</v>
      </c>
      <c r="AM400" s="441">
        <f>Ruimtestaat[[#This Row],[uren / jaar weekend]]+Ruimtestaat[[#This Row],[uren / jaar werkdagen]]</f>
        <v>0</v>
      </c>
      <c r="AN400" s="446">
        <f>Ruimtestaat[[#This Row],[kosten / jaar weekend]]+Ruimtestaat[[#This Row],[kosten / jaar werkdagen]]</f>
        <v>0</v>
      </c>
      <c r="AO400" s="446"/>
      <c r="AP400" s="447" t="str">
        <f>IF(Ruimtestaat[[#This Row],[Frequentie werkdagen]]="","",_xlfn.CONCAT(Ruimtestaat[[#This Row],[Ruimte code]],"-",Ruimtestaat[[#This Row],[Frequentie werkdagen]]," ",Ruimtestaat[[#This Row],[Vloer code]]))</f>
        <v>5-5w S</v>
      </c>
      <c r="AQ400" s="448" t="str">
        <f>_xlfn.IFNA(VLOOKUP($AP400,Programma!$F$3:$G$1101,2,0),"")</f>
        <v>_</v>
      </c>
      <c r="AR400" s="448" t="str">
        <f>_xlfn.IFNA(VLOOKUP($AP400,Programma!$F$3:$H$1101,3,0),"")</f>
        <v>_</v>
      </c>
      <c r="AS400" s="448" t="str">
        <f>_xlfn.IFNA(VLOOKUP($AP400,Programma!$F$3:$I$1101,4,0),"")</f>
        <v>_</v>
      </c>
      <c r="AT400" s="448" t="str">
        <f>_xlfn.IFNA(VLOOKUP($AP400,Programma!$F$3:$J$1101,5,0),"")</f>
        <v>4w</v>
      </c>
      <c r="AU400" s="448" t="str">
        <f>_xlfn.IFNA(VLOOKUP($AP400,Programma!$F$3:$K$1101,6,0),"")</f>
        <v>1w</v>
      </c>
      <c r="AV400" s="448" t="str">
        <f>_xlfn.IFNA(VLOOKUP($AP400,Programma!$F$3:$L$1101,7,0),"")</f>
        <v>_</v>
      </c>
      <c r="AW400" s="448" t="str">
        <f>_xlfn.IFNA(VLOOKUP($AP400,Programma!$F$3:$M$1101,8,0),"")</f>
        <v>_</v>
      </c>
      <c r="AX400" s="448" t="str">
        <f>_xlfn.IFNA(VLOOKUP($AP400,Programma!$F$3:$N$1101,9,0),"")</f>
        <v>_</v>
      </c>
      <c r="AY400" s="448" t="str">
        <f>_xlfn.IFNA(VLOOKUP($AP400,Programma!$F$3:$O$1101,10,0),"")</f>
        <v>_</v>
      </c>
      <c r="AZ400" s="448" t="str">
        <f>_xlfn.IFNA(VLOOKUP($AP400,Programma!$F$3:$P$1101,11,0),"")</f>
        <v>_</v>
      </c>
      <c r="BA400" s="448" t="str">
        <f>_xlfn.IFNA(VLOOKUP($AP400,Programma!$F$3:$Q$1101,12,0),"")</f>
        <v>_</v>
      </c>
      <c r="BB400" s="448" t="str">
        <f>_xlfn.IFNA(VLOOKUP($AP400,Programma!$F$3:$R$1101,13,0),"")</f>
        <v>_</v>
      </c>
      <c r="BC400" s="448" t="str">
        <f>_xlfn.IFNA(VLOOKUP($AP400,Programma!$F$3:$S$1101,14,0),"")</f>
        <v>_</v>
      </c>
      <c r="BD400" s="448" t="str">
        <f>_xlfn.IFNA(VLOOKUP($AP400,Programma!$F$3:$T$1101,15,0),"")</f>
        <v>_</v>
      </c>
      <c r="BE400" s="448" t="str">
        <f>_xlfn.IFNA(VLOOKUP($AP400,Programma!$F$3:$U$1101,16,0),"")</f>
        <v>_</v>
      </c>
      <c r="BF400" s="448" t="str">
        <f>_xlfn.IFNA(VLOOKUP($AP400,Programma!$F$3:$V$1101,17,0),"")</f>
        <v>_</v>
      </c>
      <c r="BG400" s="448" t="str">
        <f>_xlfn.IFNA(VLOOKUP($AP400,Programma!$F$3:$W$1101,18,0),"")</f>
        <v>4w</v>
      </c>
      <c r="BH400" s="448" t="str">
        <f>_xlfn.IFNA(VLOOKUP($AP400,Programma!$F$3:$X$1101,19,0),"")</f>
        <v>1w</v>
      </c>
      <c r="BI400" s="448" t="str">
        <f>_xlfn.IFNA(VLOOKUP($AP400,Programma!$F$3:$Y$1101,20,0),"")</f>
        <v>_</v>
      </c>
      <c r="BJ400" s="449"/>
      <c r="BK400" s="447" t="str">
        <f>IF(Ruimtestaat[[#This Row],[Frequentie weekend]]="","",_xlfn.CONCAT(Ruimtestaat[[#This Row],[Ruimte code]],"-",Ruimtestaat[[#This Row],[Frequentie weekend]]," ",Ruimtestaat[[#This Row],[Vloer code]]))</f>
        <v/>
      </c>
      <c r="BL400" s="448" t="str">
        <f>_xlfn.IFNA(VLOOKUP($BK400,Programma!$F$3:$G$1101,2,0),"")</f>
        <v/>
      </c>
      <c r="BM400" s="448" t="str">
        <f>_xlfn.IFNA(VLOOKUP($BK400,Programma!$F$3:$H$1101,3,0),"")</f>
        <v/>
      </c>
      <c r="BN400" s="448" t="str">
        <f>_xlfn.IFNA(VLOOKUP($BK400,Programma!$F$3:$I$1101,4,0),"")</f>
        <v/>
      </c>
      <c r="BO400" s="448" t="str">
        <f>_xlfn.IFNA(VLOOKUP($BK400,Programma!$F$3:$J$1101,5,0),"")</f>
        <v/>
      </c>
      <c r="BP400" s="448" t="str">
        <f>_xlfn.IFNA(VLOOKUP($BK400,Programma!$F$3:$K$1101,6,0),"")</f>
        <v/>
      </c>
      <c r="BQ400" s="448" t="str">
        <f>_xlfn.IFNA(VLOOKUP($BK400,Programma!$F$3:$L$1101,7,0),"")</f>
        <v/>
      </c>
      <c r="BR400" s="448" t="str">
        <f>_xlfn.IFNA(VLOOKUP($BK400,Programma!$F$3:$M$1101,8,0),"")</f>
        <v/>
      </c>
      <c r="BS400" s="448" t="str">
        <f>_xlfn.IFNA(VLOOKUP($BK400,Programma!$F$3:$N$1101,9,0),"")</f>
        <v/>
      </c>
      <c r="BT400" s="448" t="str">
        <f>_xlfn.IFNA(VLOOKUP($BK400,Programma!$F$3:$O$1101,10,0),"")</f>
        <v/>
      </c>
      <c r="BU400" s="448" t="str">
        <f>_xlfn.IFNA(VLOOKUP($BK400,Programma!$F$3:$P$1101,11,0),"")</f>
        <v/>
      </c>
      <c r="BV400" s="448" t="str">
        <f>_xlfn.IFNA(VLOOKUP($BK400,Programma!$F$3:$Q$1101,12,0),"")</f>
        <v/>
      </c>
      <c r="BW400" s="448" t="str">
        <f>_xlfn.IFNA(VLOOKUP($BK400,Programma!$F$3:$R$1101,13,0),"")</f>
        <v/>
      </c>
      <c r="BX400" s="448" t="str">
        <f>_xlfn.IFNA(VLOOKUP($BK400,Programma!$F$3:$S$1101,14,0),"")</f>
        <v/>
      </c>
      <c r="BY400" s="448" t="str">
        <f>_xlfn.IFNA(VLOOKUP($BK400,Programma!$F$3:$T$1101,15,0),"")</f>
        <v/>
      </c>
      <c r="BZ400" s="448" t="str">
        <f>_xlfn.IFNA(VLOOKUP($BK400,Programma!$F$3:$U$1101,16,0),"")</f>
        <v/>
      </c>
      <c r="CA400" s="448" t="str">
        <f>_xlfn.IFNA(VLOOKUP($BK400,Programma!$F$3:$V$1101,17,0),"")</f>
        <v/>
      </c>
      <c r="CB400" s="448" t="str">
        <f>_xlfn.IFNA(VLOOKUP($BK400,Programma!$F$3:$W$1101,18,0),"")</f>
        <v/>
      </c>
      <c r="CC400" s="448" t="str">
        <f>_xlfn.IFNA(VLOOKUP($BK400,Programma!$F$3:$X$1101,19,0),"")</f>
        <v/>
      </c>
      <c r="CD400" s="448" t="str">
        <f>_xlfn.IFNA(VLOOKUP($BK400,Programma!$F$3:$Y$1101,20,0),"")</f>
        <v/>
      </c>
      <c r="CE400" s="327"/>
      <c r="CF400" s="327"/>
      <c r="CG400" s="327"/>
      <c r="CH400" s="327"/>
      <c r="CI400" s="327"/>
      <c r="CJ400" s="327"/>
      <c r="CK400" s="327"/>
      <c r="CL400" s="327"/>
      <c r="CM400" s="327"/>
      <c r="CN400" s="327"/>
      <c r="CO400" s="327"/>
      <c r="CP400" s="327"/>
      <c r="CQ400" s="327"/>
      <c r="CR400" s="327"/>
      <c r="CS400" s="327"/>
      <c r="CT400" s="327"/>
      <c r="CU400" s="327"/>
      <c r="CV400" s="327"/>
      <c r="CW400" s="327"/>
      <c r="CX400" s="327"/>
      <c r="CY400" s="327"/>
      <c r="CZ400" s="327"/>
      <c r="DA400" s="327"/>
      <c r="DB400" s="327"/>
      <c r="DC400" s="327"/>
      <c r="DD400" s="327"/>
      <c r="DE400" s="327"/>
      <c r="DF400" s="327"/>
      <c r="DG400" s="327"/>
      <c r="DH400" s="327"/>
      <c r="DI400" s="327"/>
      <c r="DJ400" s="327"/>
      <c r="DK400" s="327"/>
      <c r="DL400" s="327"/>
      <c r="DM400" s="327"/>
      <c r="DN400" s="327"/>
      <c r="DO400" s="327"/>
      <c r="DP400" s="327"/>
      <c r="DQ400" s="327"/>
      <c r="DR400" s="327"/>
      <c r="DS400" s="327"/>
      <c r="DT400" s="327"/>
      <c r="DU400" s="327"/>
      <c r="DV400" s="327"/>
      <c r="DW400" s="327"/>
      <c r="DX400" s="327"/>
      <c r="DY400" s="327"/>
      <c r="DZ400" s="327"/>
      <c r="EA400" s="327"/>
      <c r="EB400" s="327"/>
      <c r="EC400" s="327"/>
      <c r="ED400" s="327"/>
      <c r="EE400" s="327"/>
      <c r="EF400" s="327"/>
      <c r="EG400" s="327"/>
      <c r="EH400" s="327"/>
      <c r="EI400" s="327"/>
      <c r="EJ400" s="327"/>
      <c r="EK400" s="327"/>
      <c r="EL400" s="327"/>
      <c r="EM400" s="327"/>
      <c r="EN400" s="327"/>
      <c r="EO400" s="327"/>
      <c r="EP400" s="327"/>
      <c r="EQ400" s="327"/>
      <c r="ER400" s="327"/>
      <c r="ES400" s="327"/>
      <c r="ET400" s="327"/>
      <c r="EU400" s="327"/>
      <c r="EV400" s="327"/>
      <c r="EW400" s="327"/>
      <c r="EX400" s="327"/>
      <c r="EY400" s="327"/>
      <c r="EZ400" s="327"/>
      <c r="FA400" s="327"/>
      <c r="FB400" s="327"/>
      <c r="FC400" s="327"/>
      <c r="FD400" s="327"/>
      <c r="FE400" s="327"/>
      <c r="FF400" s="327"/>
      <c r="FG400" s="327"/>
      <c r="FH400" s="327"/>
      <c r="FI400" s="327"/>
      <c r="FJ400" s="327"/>
      <c r="FK400" s="327"/>
      <c r="FL400" s="327"/>
      <c r="FM400" s="327"/>
      <c r="FN400" s="327"/>
      <c r="FO400" s="327"/>
      <c r="FP400" s="327"/>
      <c r="FQ400" s="327"/>
      <c r="FR400" s="327"/>
      <c r="FS400" s="327"/>
      <c r="FT400" s="327"/>
      <c r="FU400" s="327"/>
      <c r="FV400" s="327"/>
      <c r="FW400" s="327"/>
      <c r="FX400" s="327"/>
      <c r="FY400" s="327"/>
      <c r="FZ400" s="327"/>
      <c r="GA400" s="327"/>
      <c r="GB400" s="327"/>
      <c r="GC400" s="327"/>
      <c r="GD400" s="327"/>
      <c r="GE400" s="327"/>
      <c r="GF400" s="327"/>
      <c r="GG400" s="327"/>
      <c r="GH400" s="327"/>
      <c r="GI400" s="327"/>
      <c r="GJ400" s="327"/>
      <c r="GK400" s="327"/>
      <c r="GL400" s="327"/>
      <c r="GM400" s="327"/>
      <c r="GN400" s="327"/>
      <c r="GO400" s="327"/>
      <c r="GP400" s="327"/>
      <c r="GQ400" s="327"/>
      <c r="GR400" s="327"/>
      <c r="GS400" s="327"/>
      <c r="GT400" s="327"/>
      <c r="GU400" s="327"/>
      <c r="GV400" s="327"/>
      <c r="GW400" s="327"/>
      <c r="GX400" s="327"/>
      <c r="GY400" s="327"/>
      <c r="GZ400" s="327"/>
      <c r="HA400" s="327"/>
      <c r="HB400" s="327"/>
      <c r="HC400" s="327"/>
      <c r="HD400" s="327"/>
      <c r="HE400" s="327"/>
      <c r="HF400" s="327"/>
      <c r="HG400" s="327"/>
      <c r="HH400" s="327"/>
      <c r="HI400" s="327"/>
      <c r="HJ400" s="327"/>
      <c r="HK400" s="327"/>
      <c r="HL400" s="327"/>
      <c r="HM400" s="327"/>
      <c r="HN400" s="327"/>
      <c r="HO400" s="327"/>
      <c r="HP400" s="327"/>
      <c r="HQ400" s="327"/>
      <c r="HR400" s="327"/>
      <c r="HS400" s="327"/>
    </row>
    <row r="401" spans="1:227" ht="15" customHeight="1">
      <c r="A401" s="327">
        <v>17</v>
      </c>
      <c r="B401" s="435" t="str">
        <f>VLOOKUP(Ruimtestaat[[#This Row],[Code]],Locaties[[Code]:[Locatie]],2,FALSE)</f>
        <v>IKC de Tjalk Kadelaan 208 (bijgebouw)</v>
      </c>
      <c r="C401" s="435" t="str">
        <f>VLOOKUP(Ruimtestaat[[#This Row],[Code]],Locaties[[#All],[Code]:[Adres]],4,FALSE)</f>
        <v>Kadelaan 208</v>
      </c>
      <c r="D401" s="435" t="str">
        <f>VLOOKUP(Ruimtestaat[[#This Row],[Code]],Locaties[[#All],[Code]:[Postcode]],5,FALSE)</f>
        <v>2725 BR</v>
      </c>
      <c r="E401" s="435" t="str">
        <f>VLOOKUP(Ruimtestaat[[#This Row],[Code]],Locaties[#All],6,FALSE)</f>
        <v>Zoetermeer</v>
      </c>
      <c r="F401" s="450"/>
      <c r="G401" s="330" t="s">
        <v>1678</v>
      </c>
      <c r="H401" s="330">
        <v>9</v>
      </c>
      <c r="I401" s="450" t="s">
        <v>1849</v>
      </c>
      <c r="J401" s="330">
        <v>16</v>
      </c>
      <c r="K401" s="450" t="str">
        <f>VLOOKUP(Ruimtestaat[[#This Row],[Ruimte code]],Ruimtegroepen[[#All],[Code]:[Ruimte omschrijving]],2,FALSE)</f>
        <v>Leslokalen</v>
      </c>
      <c r="L401" s="330" t="s">
        <v>101</v>
      </c>
      <c r="M401" s="437" t="s">
        <v>1816</v>
      </c>
      <c r="N401" s="439">
        <v>28.04</v>
      </c>
      <c r="O401" s="439"/>
      <c r="P401" s="439"/>
      <c r="Q401" s="439"/>
      <c r="R401" s="440" t="str">
        <f>VLOOKUP(Ruimtestaat[[#This Row],[Ruimte code]],Ruimtegroepen[],4,FALSE)</f>
        <v>Le</v>
      </c>
      <c r="S401" s="434">
        <v>40</v>
      </c>
      <c r="T401" s="434" t="s">
        <v>2</v>
      </c>
      <c r="U401" s="434">
        <f>IF(S401&gt;0,IF(RIGHT(Ruimtestaat[[#This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1" s="434">
        <f>IF(U401&gt;0,VLOOKUP($J401,Ruimtegroepen[],3,FALSE)*VLOOKUP($L401,Vloersoorten[],3,FALSE)*VLOOKUP($T401,Frequenties[],3,FALSE)*VLOOKUP($A401,Locaties[],3,FALSE),0)</f>
        <v>0</v>
      </c>
      <c r="W401" s="434">
        <f>Ruimtestaat[[#This Row],[Uitvoeringen werkdagen]]*Ruimtestaat[[#This Row],[Oppervlak (netto)]]</f>
        <v>5608</v>
      </c>
      <c r="X401" s="441">
        <f>IF(V401&gt;0,Ruimtestaat[[#This Row],[Prest. (m2 /jaar) werkdagen]]/Ruimtestaat[[#This Row],[Norm (m2/uur) werkdagen]],0)</f>
        <v>0</v>
      </c>
      <c r="Y401" s="442">
        <f>Ruimtestaat[[#This Row],[Uitvoeringen werkdagen]]*Ruimtestaat[[#This Row],[Gedeeltelijk]]</f>
        <v>0</v>
      </c>
      <c r="Z401" s="443" t="e">
        <f>IF(U401&gt;0,Ruimtestaat[[#This Row],[Prest. (m2 / jaar) werkdagen gedeeld]]/Ruimtestaat[[#This Row],[Norm (m2/uur) werkdagen]],0)</f>
        <v>#DIV/0!</v>
      </c>
      <c r="AA401" s="441" t="e">
        <f>Ruimtestaat[[#This Row],[uren / jaar werkdagen gedeeld]]*Tariefsopbouw!$E$35</f>
        <v>#DIV/0!</v>
      </c>
      <c r="AB401" s="441">
        <f>Ruimtestaat[[#This Row],[Uitvoeringen werkdagen]]*Ruimtestaat[[#This Row],[BSO]]</f>
        <v>0</v>
      </c>
      <c r="AC401" s="443" t="e">
        <f>IF(U401&gt;0,Ruimtestaat[[#This Row],[Prest. (m2 / jaar) werkdagen BSO]]/Ruimtestaat[[#This Row],[Norm (m2/uur) werkdagen]],0)</f>
        <v>#DIV/0!</v>
      </c>
      <c r="AD401" s="443" t="e">
        <f>Ruimtestaat[[#This Row],[uren / jaar werkdagen BSO]]*Tariefsopbouw!$E$35</f>
        <v>#DIV/0!</v>
      </c>
      <c r="AE401" s="444">
        <f>Ruimtestaat[[#This Row],[uren / jaar werkdagen]]*Tariefsopbouw!$E$35</f>
        <v>0</v>
      </c>
      <c r="AF401" s="434"/>
      <c r="AG401" s="434">
        <f>IF(Ruimtestaat[[#This Row],[Frequentie weekend]]&gt;0,VALUE(LEFT(AF401,1))*S401,0)</f>
        <v>0</v>
      </c>
      <c r="AH401" s="445">
        <f>IF($AG401&gt;0,VLOOKUP($J401,Ruimtegroepen[],3,FALSE)*VLOOKUP($L401,Vloersoorten[],3,FALSE)*VLOOKUP($AF401,Frequenties[],3,FALSE)*VLOOKUP(Ruimtestaat[[#This Row],[Code]],Locaties[],3,FALSE),0)</f>
        <v>0</v>
      </c>
      <c r="AI401" s="445">
        <f>Ruimtestaat[[#This Row],[Uitvoeringen weekend]]*Ruimtestaat[[#This Row],[Oppervlak (netto)]]</f>
        <v>0</v>
      </c>
      <c r="AJ401" s="445">
        <f>IF(AH401&gt;0,Ruimtestaat[[#This Row],[Prest. (m2 /jaar) weekend]]/Ruimtestaat[[#This Row],[Norm (m2/uur) weekend]],0)</f>
        <v>0</v>
      </c>
      <c r="AK401" s="444">
        <f>Ruimtestaat[[#This Row],[uren / jaar weekend]]*Tariefsopbouw!$D$40</f>
        <v>0</v>
      </c>
      <c r="AL401" s="441">
        <f>Ruimtestaat[[#This Row],[Prest. (m2 /jaar) weekend]]+Ruimtestaat[[#This Row],[Prest. (m2 /jaar) werkdagen]]</f>
        <v>5608</v>
      </c>
      <c r="AM401" s="441">
        <f>Ruimtestaat[[#This Row],[uren / jaar weekend]]+Ruimtestaat[[#This Row],[uren / jaar werkdagen]]</f>
        <v>0</v>
      </c>
      <c r="AN401" s="446">
        <f>Ruimtestaat[[#This Row],[kosten / jaar weekend]]+Ruimtestaat[[#This Row],[kosten / jaar werkdagen]]</f>
        <v>0</v>
      </c>
      <c r="AO401" s="446"/>
      <c r="AP401" s="447" t="str">
        <f>IF(Ruimtestaat[[#This Row],[Frequentie werkdagen]]="","",_xlfn.CONCAT(Ruimtestaat[[#This Row],[Ruimte code]],"-",Ruimtestaat[[#This Row],[Frequentie werkdagen]]," ",Ruimtestaat[[#This Row],[Vloer code]]))</f>
        <v>16-5w S</v>
      </c>
      <c r="AQ401" s="448" t="str">
        <f>_xlfn.IFNA(VLOOKUP($AP401,Programma!$F$3:$G$1101,2,0),"")</f>
        <v>_</v>
      </c>
      <c r="AR401" s="448" t="str">
        <f>_xlfn.IFNA(VLOOKUP($AP401,Programma!$F$3:$H$1101,3,0),"")</f>
        <v>_</v>
      </c>
      <c r="AS401" s="448" t="str">
        <f>_xlfn.IFNA(VLOOKUP($AP401,Programma!$F$3:$I$1101,4,0),"")</f>
        <v>4w</v>
      </c>
      <c r="AT401" s="448" t="str">
        <f>_xlfn.IFNA(VLOOKUP($AP401,Programma!$F$3:$J$1101,5,0),"")</f>
        <v>1w</v>
      </c>
      <c r="AU401" s="448" t="str">
        <f>_xlfn.IFNA(VLOOKUP($AP401,Programma!$F$3:$K$1101,6,0),"")</f>
        <v>1m</v>
      </c>
      <c r="AV401" s="448" t="str">
        <f>_xlfn.IFNA(VLOOKUP($AP401,Programma!$F$3:$L$1101,7,0),"")</f>
        <v>_</v>
      </c>
      <c r="AW401" s="448" t="str">
        <f>_xlfn.IFNA(VLOOKUP($AP401,Programma!$F$3:$M$1101,8,0),"")</f>
        <v>_</v>
      </c>
      <c r="AX401" s="448" t="str">
        <f>_xlfn.IFNA(VLOOKUP($AP401,Programma!$F$3:$N$1101,9,0),"")</f>
        <v>_</v>
      </c>
      <c r="AY401" s="448" t="str">
        <f>_xlfn.IFNA(VLOOKUP($AP401,Programma!$F$3:$O$1101,10,0),"")</f>
        <v>5w</v>
      </c>
      <c r="AZ401" s="448" t="str">
        <f>_xlfn.IFNA(VLOOKUP($AP401,Programma!$F$3:$P$1101,11,0),"")</f>
        <v>5w</v>
      </c>
      <c r="BA401" s="448" t="str">
        <f>_xlfn.IFNA(VLOOKUP($AP401,Programma!$F$3:$Q$1101,12,0),"")</f>
        <v>1w</v>
      </c>
      <c r="BB401" s="448" t="str">
        <f>_xlfn.IFNA(VLOOKUP($AP401,Programma!$F$3:$R$1101,13,0),"")</f>
        <v>1w</v>
      </c>
      <c r="BC401" s="448" t="str">
        <f>_xlfn.IFNA(VLOOKUP($AP401,Programma!$F$3:$S$1101,14,0),"")</f>
        <v>1m</v>
      </c>
      <c r="BD401" s="448" t="str">
        <f>_xlfn.IFNA(VLOOKUP($AP401,Programma!$F$3:$T$1101,15,0),"")</f>
        <v>2j</v>
      </c>
      <c r="BE401" s="448" t="str">
        <f>_xlfn.IFNA(VLOOKUP($AP401,Programma!$F$3:$U$1101,16,0),"")</f>
        <v>1j</v>
      </c>
      <c r="BF401" s="448" t="str">
        <f>_xlfn.IFNA(VLOOKUP($AP401,Programma!$F$3:$V$1101,17,0),"")</f>
        <v>_</v>
      </c>
      <c r="BG401" s="448" t="str">
        <f>_xlfn.IFNA(VLOOKUP($AP401,Programma!$F$3:$W$1101,18,0),"")</f>
        <v>_</v>
      </c>
      <c r="BH401" s="448" t="str">
        <f>_xlfn.IFNA(VLOOKUP($AP401,Programma!$F$3:$X$1101,19,0),"")</f>
        <v>_</v>
      </c>
      <c r="BI401" s="448" t="str">
        <f>_xlfn.IFNA(VLOOKUP($AP401,Programma!$F$3:$Y$1101,20,0),"")</f>
        <v>_</v>
      </c>
      <c r="BJ401" s="449"/>
      <c r="BK401" s="447" t="str">
        <f>IF(Ruimtestaat[[#This Row],[Frequentie weekend]]="","",_xlfn.CONCAT(Ruimtestaat[[#This Row],[Ruimte code]],"-",Ruimtestaat[[#This Row],[Frequentie weekend]]," ",Ruimtestaat[[#This Row],[Vloer code]]))</f>
        <v/>
      </c>
      <c r="BL401" s="448" t="str">
        <f>_xlfn.IFNA(VLOOKUP($BK401,Programma!$F$3:$G$1101,2,0),"")</f>
        <v/>
      </c>
      <c r="BM401" s="448" t="str">
        <f>_xlfn.IFNA(VLOOKUP($BK401,Programma!$F$3:$H$1101,3,0),"")</f>
        <v/>
      </c>
      <c r="BN401" s="448" t="str">
        <f>_xlfn.IFNA(VLOOKUP($BK401,Programma!$F$3:$I$1101,4,0),"")</f>
        <v/>
      </c>
      <c r="BO401" s="448" t="str">
        <f>_xlfn.IFNA(VLOOKUP($BK401,Programma!$F$3:$J$1101,5,0),"")</f>
        <v/>
      </c>
      <c r="BP401" s="448" t="str">
        <f>_xlfn.IFNA(VLOOKUP($BK401,Programma!$F$3:$K$1101,6,0),"")</f>
        <v/>
      </c>
      <c r="BQ401" s="448" t="str">
        <f>_xlfn.IFNA(VLOOKUP($BK401,Programma!$F$3:$L$1101,7,0),"")</f>
        <v/>
      </c>
      <c r="BR401" s="448" t="str">
        <f>_xlfn.IFNA(VLOOKUP($BK401,Programma!$F$3:$M$1101,8,0),"")</f>
        <v/>
      </c>
      <c r="BS401" s="448" t="str">
        <f>_xlfn.IFNA(VLOOKUP($BK401,Programma!$F$3:$N$1101,9,0),"")</f>
        <v/>
      </c>
      <c r="BT401" s="448" t="str">
        <f>_xlfn.IFNA(VLOOKUP($BK401,Programma!$F$3:$O$1101,10,0),"")</f>
        <v/>
      </c>
      <c r="BU401" s="448" t="str">
        <f>_xlfn.IFNA(VLOOKUP($BK401,Programma!$F$3:$P$1101,11,0),"")</f>
        <v/>
      </c>
      <c r="BV401" s="448" t="str">
        <f>_xlfn.IFNA(VLOOKUP($BK401,Programma!$F$3:$Q$1101,12,0),"")</f>
        <v/>
      </c>
      <c r="BW401" s="448" t="str">
        <f>_xlfn.IFNA(VLOOKUP($BK401,Programma!$F$3:$R$1101,13,0),"")</f>
        <v/>
      </c>
      <c r="BX401" s="448" t="str">
        <f>_xlfn.IFNA(VLOOKUP($BK401,Programma!$F$3:$S$1101,14,0),"")</f>
        <v/>
      </c>
      <c r="BY401" s="448" t="str">
        <f>_xlfn.IFNA(VLOOKUP($BK401,Programma!$F$3:$T$1101,15,0),"")</f>
        <v/>
      </c>
      <c r="BZ401" s="448" t="str">
        <f>_xlfn.IFNA(VLOOKUP($BK401,Programma!$F$3:$U$1101,16,0),"")</f>
        <v/>
      </c>
      <c r="CA401" s="448" t="str">
        <f>_xlfn.IFNA(VLOOKUP($BK401,Programma!$F$3:$V$1101,17,0),"")</f>
        <v/>
      </c>
      <c r="CB401" s="448" t="str">
        <f>_xlfn.IFNA(VLOOKUP($BK401,Programma!$F$3:$W$1101,18,0),"")</f>
        <v/>
      </c>
      <c r="CC401" s="448" t="str">
        <f>_xlfn.IFNA(VLOOKUP($BK401,Programma!$F$3:$X$1101,19,0),"")</f>
        <v/>
      </c>
      <c r="CD401" s="448" t="str">
        <f>_xlfn.IFNA(VLOOKUP($BK401,Programma!$F$3:$Y$1101,20,0),"")</f>
        <v/>
      </c>
      <c r="CE401" s="327"/>
      <c r="CF401" s="327"/>
      <c r="CG401" s="327"/>
      <c r="CH401" s="327"/>
      <c r="CI401" s="327"/>
      <c r="CJ401" s="327"/>
      <c r="CK401" s="327"/>
      <c r="CL401" s="327"/>
      <c r="CM401" s="327"/>
      <c r="CN401" s="327"/>
      <c r="CO401" s="327"/>
      <c r="CP401" s="327"/>
      <c r="CQ401" s="327"/>
      <c r="CR401" s="327"/>
      <c r="CS401" s="327"/>
      <c r="CT401" s="327"/>
      <c r="CU401" s="327"/>
      <c r="CV401" s="327"/>
      <c r="CW401" s="327"/>
      <c r="CX401" s="327"/>
      <c r="CY401" s="327"/>
      <c r="CZ401" s="327"/>
      <c r="DA401" s="327"/>
      <c r="DB401" s="327"/>
      <c r="DC401" s="327"/>
      <c r="DD401" s="327"/>
      <c r="DE401" s="327"/>
      <c r="DF401" s="327"/>
      <c r="DG401" s="327"/>
      <c r="DH401" s="327"/>
      <c r="DI401" s="327"/>
      <c r="DJ401" s="327"/>
      <c r="DK401" s="327"/>
      <c r="DL401" s="327"/>
      <c r="DM401" s="327"/>
      <c r="DN401" s="327"/>
      <c r="DO401" s="327"/>
      <c r="DP401" s="327"/>
      <c r="DQ401" s="327"/>
      <c r="DR401" s="327"/>
      <c r="DS401" s="327"/>
      <c r="DT401" s="327"/>
      <c r="DU401" s="327"/>
      <c r="DV401" s="327"/>
      <c r="DW401" s="327"/>
      <c r="DX401" s="327"/>
      <c r="DY401" s="327"/>
      <c r="DZ401" s="327"/>
      <c r="EA401" s="327"/>
      <c r="EB401" s="327"/>
      <c r="EC401" s="327"/>
      <c r="ED401" s="327"/>
      <c r="EE401" s="327"/>
      <c r="EF401" s="327"/>
      <c r="EG401" s="327"/>
      <c r="EH401" s="327"/>
      <c r="EI401" s="327"/>
      <c r="EJ401" s="327"/>
      <c r="EK401" s="327"/>
      <c r="EL401" s="327"/>
      <c r="EM401" s="327"/>
      <c r="EN401" s="327"/>
      <c r="EO401" s="327"/>
      <c r="EP401" s="327"/>
      <c r="EQ401" s="327"/>
      <c r="ER401" s="327"/>
      <c r="ES401" s="327"/>
      <c r="ET401" s="327"/>
      <c r="EU401" s="327"/>
      <c r="EV401" s="327"/>
      <c r="EW401" s="327"/>
      <c r="EX401" s="327"/>
      <c r="EY401" s="327"/>
      <c r="EZ401" s="327"/>
      <c r="FA401" s="327"/>
      <c r="FB401" s="327"/>
      <c r="FC401" s="327"/>
      <c r="FD401" s="327"/>
      <c r="FE401" s="327"/>
      <c r="FF401" s="327"/>
      <c r="FG401" s="327"/>
      <c r="FH401" s="327"/>
      <c r="FI401" s="327"/>
      <c r="FJ401" s="327"/>
      <c r="FK401" s="327"/>
      <c r="FL401" s="327"/>
      <c r="FM401" s="327"/>
      <c r="FN401" s="327"/>
      <c r="FO401" s="327"/>
      <c r="FP401" s="327"/>
      <c r="FQ401" s="327"/>
      <c r="FR401" s="327"/>
      <c r="FS401" s="327"/>
      <c r="FT401" s="327"/>
      <c r="FU401" s="327"/>
      <c r="FV401" s="327"/>
      <c r="FW401" s="327"/>
      <c r="FX401" s="327"/>
      <c r="FY401" s="327"/>
      <c r="FZ401" s="327"/>
      <c r="GA401" s="327"/>
      <c r="GB401" s="327"/>
      <c r="GC401" s="327"/>
      <c r="GD401" s="327"/>
      <c r="GE401" s="327"/>
      <c r="GF401" s="327"/>
      <c r="GG401" s="327"/>
      <c r="GH401" s="327"/>
      <c r="GI401" s="327"/>
      <c r="GJ401" s="327"/>
      <c r="GK401" s="327"/>
      <c r="GL401" s="327"/>
      <c r="GM401" s="327"/>
      <c r="GN401" s="327"/>
      <c r="GO401" s="327"/>
      <c r="GP401" s="327"/>
      <c r="GQ401" s="327"/>
      <c r="GR401" s="327"/>
      <c r="GS401" s="327"/>
      <c r="GT401" s="327"/>
      <c r="GU401" s="327"/>
      <c r="GV401" s="327"/>
      <c r="GW401" s="327"/>
      <c r="GX401" s="327"/>
      <c r="GY401" s="327"/>
      <c r="GZ401" s="327"/>
      <c r="HA401" s="327"/>
      <c r="HB401" s="327"/>
      <c r="HC401" s="327"/>
      <c r="HD401" s="327"/>
      <c r="HE401" s="327"/>
      <c r="HF401" s="327"/>
      <c r="HG401" s="327"/>
      <c r="HH401" s="327"/>
      <c r="HI401" s="327"/>
      <c r="HJ401" s="327"/>
      <c r="HK401" s="327"/>
      <c r="HL401" s="327"/>
      <c r="HM401" s="327"/>
      <c r="HN401" s="327"/>
      <c r="HO401" s="327"/>
      <c r="HP401" s="327"/>
      <c r="HQ401" s="327"/>
      <c r="HR401" s="327"/>
      <c r="HS401" s="327"/>
    </row>
    <row r="402" spans="1:227" ht="15" customHeight="1">
      <c r="A402" s="327">
        <v>17</v>
      </c>
      <c r="B402" s="435" t="str">
        <f>VLOOKUP(Ruimtestaat[[#This Row],[Code]],Locaties[[Code]:[Locatie]],2,FALSE)</f>
        <v>IKC de Tjalk Kadelaan 208 (bijgebouw)</v>
      </c>
      <c r="C402" s="435" t="str">
        <f>VLOOKUP(Ruimtestaat[[#This Row],[Code]],Locaties[[#All],[Code]:[Adres]],4,FALSE)</f>
        <v>Kadelaan 208</v>
      </c>
      <c r="D402" s="435" t="str">
        <f>VLOOKUP(Ruimtestaat[[#This Row],[Code]],Locaties[[#All],[Code]:[Postcode]],5,FALSE)</f>
        <v>2725 BR</v>
      </c>
      <c r="E402" s="435" t="str">
        <f>VLOOKUP(Ruimtestaat[[#This Row],[Code]],Locaties[#All],6,FALSE)</f>
        <v>Zoetermeer</v>
      </c>
      <c r="F402" s="450"/>
      <c r="G402" s="330" t="s">
        <v>1678</v>
      </c>
      <c r="H402" s="330">
        <v>72</v>
      </c>
      <c r="I402" s="450" t="s">
        <v>1850</v>
      </c>
      <c r="J402" s="330">
        <v>6</v>
      </c>
      <c r="K402" s="450" t="str">
        <f>VLOOKUP(Ruimtestaat[[#This Row],[Ruimte code]],Ruimtegroepen[[#All],[Code]:[Ruimte omschrijving]],2,FALSE)</f>
        <v>Gangen/hallen</v>
      </c>
      <c r="L402" s="330" t="s">
        <v>101</v>
      </c>
      <c r="M402" s="437" t="s">
        <v>1816</v>
      </c>
      <c r="N402" s="439">
        <v>27.73</v>
      </c>
      <c r="O402" s="439"/>
      <c r="P402" s="439"/>
      <c r="Q402" s="439"/>
      <c r="R402" s="440" t="str">
        <f>VLOOKUP(Ruimtestaat[[#This Row],[Ruimte code]],Ruimtegroepen[],4,FALSE)</f>
        <v>Ve</v>
      </c>
      <c r="S402" s="434">
        <v>41</v>
      </c>
      <c r="T402" s="434" t="s">
        <v>2</v>
      </c>
      <c r="U402" s="434">
        <f>IF(S402&gt;0,IF(RIGHT(Ruimtestaat[[#This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02" s="434">
        <f>IF(U402&gt;0,VLOOKUP($J402,Ruimtegroepen[],3,FALSE)*VLOOKUP($L402,Vloersoorten[],3,FALSE)*VLOOKUP($T402,Frequenties[],3,FALSE)*VLOOKUP($A402,Locaties[],3,FALSE),0)</f>
        <v>0</v>
      </c>
      <c r="W402" s="434">
        <f>Ruimtestaat[[#This Row],[Uitvoeringen werkdagen]]*Ruimtestaat[[#This Row],[Oppervlak (netto)]]</f>
        <v>5684.65</v>
      </c>
      <c r="X402" s="441">
        <f>IF(V402&gt;0,Ruimtestaat[[#This Row],[Prest. (m2 /jaar) werkdagen]]/Ruimtestaat[[#This Row],[Norm (m2/uur) werkdagen]],0)</f>
        <v>0</v>
      </c>
      <c r="Y402" s="442">
        <f>Ruimtestaat[[#This Row],[Uitvoeringen werkdagen]]*Ruimtestaat[[#This Row],[Gedeeltelijk]]</f>
        <v>0</v>
      </c>
      <c r="Z402" s="443" t="e">
        <f>IF(U402&gt;0,Ruimtestaat[[#This Row],[Prest. (m2 / jaar) werkdagen gedeeld]]/Ruimtestaat[[#This Row],[Norm (m2/uur) werkdagen]],0)</f>
        <v>#DIV/0!</v>
      </c>
      <c r="AA402" s="441" t="e">
        <f>Ruimtestaat[[#This Row],[uren / jaar werkdagen gedeeld]]*Tariefsopbouw!$E$35</f>
        <v>#DIV/0!</v>
      </c>
      <c r="AB402" s="441">
        <f>Ruimtestaat[[#This Row],[Uitvoeringen werkdagen]]*Ruimtestaat[[#This Row],[BSO]]</f>
        <v>0</v>
      </c>
      <c r="AC402" s="443" t="e">
        <f>IF(U402&gt;0,Ruimtestaat[[#This Row],[Prest. (m2 / jaar) werkdagen BSO]]/Ruimtestaat[[#This Row],[Norm (m2/uur) werkdagen]],0)</f>
        <v>#DIV/0!</v>
      </c>
      <c r="AD402" s="443" t="e">
        <f>Ruimtestaat[[#This Row],[uren / jaar werkdagen BSO]]*Tariefsopbouw!$E$35</f>
        <v>#DIV/0!</v>
      </c>
      <c r="AE402" s="444">
        <f>Ruimtestaat[[#This Row],[uren / jaar werkdagen]]*Tariefsopbouw!$E$35</f>
        <v>0</v>
      </c>
      <c r="AF402" s="434"/>
      <c r="AG402" s="434">
        <f>IF(Ruimtestaat[[#This Row],[Frequentie weekend]]&gt;0,VALUE(LEFT(AF402,1))*S402,0)</f>
        <v>0</v>
      </c>
      <c r="AH402" s="445">
        <f>IF($AG402&gt;0,VLOOKUP($J402,Ruimtegroepen[],3,FALSE)*VLOOKUP($L402,Vloersoorten[],3,FALSE)*VLOOKUP($AF402,Frequenties[],3,FALSE)*VLOOKUP(Ruimtestaat[[#This Row],[Code]],Locaties[],3,FALSE),0)</f>
        <v>0</v>
      </c>
      <c r="AI402" s="445">
        <f>Ruimtestaat[[#This Row],[Uitvoeringen weekend]]*Ruimtestaat[[#This Row],[Oppervlak (netto)]]</f>
        <v>0</v>
      </c>
      <c r="AJ402" s="445">
        <f>IF(AH402&gt;0,Ruimtestaat[[#This Row],[Prest. (m2 /jaar) weekend]]/Ruimtestaat[[#This Row],[Norm (m2/uur) weekend]],0)</f>
        <v>0</v>
      </c>
      <c r="AK402" s="444">
        <f>Ruimtestaat[[#This Row],[uren / jaar weekend]]*Tariefsopbouw!$D$40</f>
        <v>0</v>
      </c>
      <c r="AL402" s="441">
        <f>Ruimtestaat[[#This Row],[Prest. (m2 /jaar) weekend]]+Ruimtestaat[[#This Row],[Prest. (m2 /jaar) werkdagen]]</f>
        <v>5684.65</v>
      </c>
      <c r="AM402" s="441">
        <f>Ruimtestaat[[#This Row],[uren / jaar weekend]]+Ruimtestaat[[#This Row],[uren / jaar werkdagen]]</f>
        <v>0</v>
      </c>
      <c r="AN402" s="446">
        <f>Ruimtestaat[[#This Row],[kosten / jaar weekend]]+Ruimtestaat[[#This Row],[kosten / jaar werkdagen]]</f>
        <v>0</v>
      </c>
      <c r="AO402" s="446"/>
      <c r="AP402" s="447" t="str">
        <f>IF(Ruimtestaat[[#This Row],[Frequentie werkdagen]]="","",_xlfn.CONCAT(Ruimtestaat[[#This Row],[Ruimte code]],"-",Ruimtestaat[[#This Row],[Frequentie werkdagen]]," ",Ruimtestaat[[#This Row],[Vloer code]]))</f>
        <v>6-5w S</v>
      </c>
      <c r="AQ402" s="448" t="str">
        <f>_xlfn.IFNA(VLOOKUP($AP402,Programma!$F$3:$G$1101,2,0),"")</f>
        <v>_</v>
      </c>
      <c r="AR402" s="448" t="str">
        <f>_xlfn.IFNA(VLOOKUP($AP402,Programma!$F$3:$H$1101,3,0),"")</f>
        <v>_</v>
      </c>
      <c r="AS402" s="448" t="str">
        <f>_xlfn.IFNA(VLOOKUP($AP402,Programma!$F$3:$I$1101,4,0),"")</f>
        <v>5w</v>
      </c>
      <c r="AT402" s="448" t="str">
        <f>_xlfn.IFNA(VLOOKUP($AP402,Programma!$F$3:$J$1101,5,0),"")</f>
        <v>_</v>
      </c>
      <c r="AU402" s="448" t="str">
        <f>_xlfn.IFNA(VLOOKUP($AP402,Programma!$F$3:$K$1101,6,0),"")</f>
        <v>5w</v>
      </c>
      <c r="AV402" s="448" t="str">
        <f>_xlfn.IFNA(VLOOKUP($AP402,Programma!$F$3:$L$1101,7,0),"")</f>
        <v>_</v>
      </c>
      <c r="AW402" s="448" t="str">
        <f>_xlfn.IFNA(VLOOKUP($AP402,Programma!$F$3:$M$1101,8,0),"")</f>
        <v>_</v>
      </c>
      <c r="AX402" s="448" t="str">
        <f>_xlfn.IFNA(VLOOKUP($AP402,Programma!$F$3:$N$1101,9,0),"")</f>
        <v>_</v>
      </c>
      <c r="AY402" s="448" t="str">
        <f>_xlfn.IFNA(VLOOKUP($AP402,Programma!$F$3:$O$1101,10,0),"")</f>
        <v>5w</v>
      </c>
      <c r="AZ402" s="448" t="str">
        <f>_xlfn.IFNA(VLOOKUP($AP402,Programma!$F$3:$P$1101,11,0),"")</f>
        <v>5w</v>
      </c>
      <c r="BA402" s="448" t="str">
        <f>_xlfn.IFNA(VLOOKUP($AP402,Programma!$F$3:$Q$1101,12,0),"")</f>
        <v>1w</v>
      </c>
      <c r="BB402" s="448" t="str">
        <f>_xlfn.IFNA(VLOOKUP($AP402,Programma!$F$3:$R$1101,13,0),"")</f>
        <v>1w</v>
      </c>
      <c r="BC402" s="448" t="str">
        <f>_xlfn.IFNA(VLOOKUP($AP402,Programma!$F$3:$S$1101,14,0),"")</f>
        <v>1m</v>
      </c>
      <c r="BD402" s="448" t="str">
        <f>_xlfn.IFNA(VLOOKUP($AP402,Programma!$F$3:$T$1101,15,0),"")</f>
        <v>2j</v>
      </c>
      <c r="BE402" s="448" t="str">
        <f>_xlfn.IFNA(VLOOKUP($AP402,Programma!$F$3:$U$1101,16,0),"")</f>
        <v>1j</v>
      </c>
      <c r="BF402" s="448" t="str">
        <f>_xlfn.IFNA(VLOOKUP($AP402,Programma!$F$3:$V$1101,17,0),"")</f>
        <v>_</v>
      </c>
      <c r="BG402" s="448" t="str">
        <f>_xlfn.IFNA(VLOOKUP($AP402,Programma!$F$3:$W$1101,18,0),"")</f>
        <v>_</v>
      </c>
      <c r="BH402" s="448" t="str">
        <f>_xlfn.IFNA(VLOOKUP($AP402,Programma!$F$3:$X$1101,19,0),"")</f>
        <v>_</v>
      </c>
      <c r="BI402" s="448" t="str">
        <f>_xlfn.IFNA(VLOOKUP($AP402,Programma!$F$3:$Y$1101,20,0),"")</f>
        <v>_</v>
      </c>
      <c r="BJ402" s="449"/>
      <c r="BK402" s="447" t="str">
        <f>IF(Ruimtestaat[[#This Row],[Frequentie weekend]]="","",_xlfn.CONCAT(Ruimtestaat[[#This Row],[Ruimte code]],"-",Ruimtestaat[[#This Row],[Frequentie weekend]]," ",Ruimtestaat[[#This Row],[Vloer code]]))</f>
        <v/>
      </c>
      <c r="BL402" s="448" t="str">
        <f>_xlfn.IFNA(VLOOKUP($BK402,Programma!$F$3:$G$1101,2,0),"")</f>
        <v/>
      </c>
      <c r="BM402" s="448" t="str">
        <f>_xlfn.IFNA(VLOOKUP($BK402,Programma!$F$3:$H$1101,3,0),"")</f>
        <v/>
      </c>
      <c r="BN402" s="448" t="str">
        <f>_xlfn.IFNA(VLOOKUP($BK402,Programma!$F$3:$I$1101,4,0),"")</f>
        <v/>
      </c>
      <c r="BO402" s="448" t="str">
        <f>_xlfn.IFNA(VLOOKUP($BK402,Programma!$F$3:$J$1101,5,0),"")</f>
        <v/>
      </c>
      <c r="BP402" s="448" t="str">
        <f>_xlfn.IFNA(VLOOKUP($BK402,Programma!$F$3:$K$1101,6,0),"")</f>
        <v/>
      </c>
      <c r="BQ402" s="448" t="str">
        <f>_xlfn.IFNA(VLOOKUP($BK402,Programma!$F$3:$L$1101,7,0),"")</f>
        <v/>
      </c>
      <c r="BR402" s="448" t="str">
        <f>_xlfn.IFNA(VLOOKUP($BK402,Programma!$F$3:$M$1101,8,0),"")</f>
        <v/>
      </c>
      <c r="BS402" s="448" t="str">
        <f>_xlfn.IFNA(VLOOKUP($BK402,Programma!$F$3:$N$1101,9,0),"")</f>
        <v/>
      </c>
      <c r="BT402" s="448" t="str">
        <f>_xlfn.IFNA(VLOOKUP($BK402,Programma!$F$3:$O$1101,10,0),"")</f>
        <v/>
      </c>
      <c r="BU402" s="448" t="str">
        <f>_xlfn.IFNA(VLOOKUP($BK402,Programma!$F$3:$P$1101,11,0),"")</f>
        <v/>
      </c>
      <c r="BV402" s="448" t="str">
        <f>_xlfn.IFNA(VLOOKUP($BK402,Programma!$F$3:$Q$1101,12,0),"")</f>
        <v/>
      </c>
      <c r="BW402" s="448" t="str">
        <f>_xlfn.IFNA(VLOOKUP($BK402,Programma!$F$3:$R$1101,13,0),"")</f>
        <v/>
      </c>
      <c r="BX402" s="448" t="str">
        <f>_xlfn.IFNA(VLOOKUP($BK402,Programma!$F$3:$S$1101,14,0),"")</f>
        <v/>
      </c>
      <c r="BY402" s="448" t="str">
        <f>_xlfn.IFNA(VLOOKUP($BK402,Programma!$F$3:$T$1101,15,0),"")</f>
        <v/>
      </c>
      <c r="BZ402" s="448" t="str">
        <f>_xlfn.IFNA(VLOOKUP($BK402,Programma!$F$3:$U$1101,16,0),"")</f>
        <v/>
      </c>
      <c r="CA402" s="448" t="str">
        <f>_xlfn.IFNA(VLOOKUP($BK402,Programma!$F$3:$V$1101,17,0),"")</f>
        <v/>
      </c>
      <c r="CB402" s="448" t="str">
        <f>_xlfn.IFNA(VLOOKUP($BK402,Programma!$F$3:$W$1101,18,0),"")</f>
        <v/>
      </c>
      <c r="CC402" s="448" t="str">
        <f>_xlfn.IFNA(VLOOKUP($BK402,Programma!$F$3:$X$1101,19,0),"")</f>
        <v/>
      </c>
      <c r="CD402" s="448" t="str">
        <f>_xlfn.IFNA(VLOOKUP($BK402,Programma!$F$3:$Y$1101,20,0),"")</f>
        <v/>
      </c>
      <c r="CE402" s="327"/>
      <c r="CF402" s="327"/>
      <c r="CG402" s="327"/>
      <c r="CH402" s="327"/>
      <c r="CI402" s="327"/>
      <c r="CJ402" s="327"/>
      <c r="CK402" s="327"/>
      <c r="CL402" s="327"/>
      <c r="CM402" s="327"/>
      <c r="CN402" s="327"/>
      <c r="CO402" s="327"/>
      <c r="CP402" s="327"/>
      <c r="CQ402" s="327"/>
      <c r="CR402" s="327"/>
      <c r="CS402" s="327"/>
      <c r="CT402" s="327"/>
      <c r="CU402" s="327"/>
      <c r="CV402" s="327"/>
      <c r="CW402" s="327"/>
      <c r="CX402" s="327"/>
      <c r="CY402" s="327"/>
      <c r="CZ402" s="327"/>
      <c r="DA402" s="327"/>
      <c r="DB402" s="327"/>
      <c r="DC402" s="327"/>
      <c r="DD402" s="327"/>
      <c r="DE402" s="327"/>
      <c r="DF402" s="327"/>
      <c r="DG402" s="327"/>
      <c r="DH402" s="327"/>
      <c r="DI402" s="327"/>
      <c r="DJ402" s="327"/>
      <c r="DK402" s="327"/>
      <c r="DL402" s="327"/>
      <c r="DM402" s="327"/>
      <c r="DN402" s="327"/>
      <c r="DO402" s="327"/>
      <c r="DP402" s="327"/>
      <c r="DQ402" s="327"/>
      <c r="DR402" s="327"/>
      <c r="DS402" s="327"/>
      <c r="DT402" s="327"/>
      <c r="DU402" s="327"/>
      <c r="DV402" s="327"/>
      <c r="DW402" s="327"/>
      <c r="DX402" s="327"/>
      <c r="DY402" s="327"/>
      <c r="DZ402" s="327"/>
      <c r="EA402" s="327"/>
      <c r="EB402" s="327"/>
      <c r="EC402" s="327"/>
      <c r="ED402" s="327"/>
      <c r="EE402" s="327"/>
      <c r="EF402" s="327"/>
      <c r="EG402" s="327"/>
      <c r="EH402" s="327"/>
      <c r="EI402" s="327"/>
      <c r="EJ402" s="327"/>
      <c r="EK402" s="327"/>
      <c r="EL402" s="327"/>
      <c r="EM402" s="327"/>
      <c r="EN402" s="327"/>
      <c r="EO402" s="327"/>
      <c r="EP402" s="327"/>
      <c r="EQ402" s="327"/>
      <c r="ER402" s="327"/>
      <c r="ES402" s="327"/>
      <c r="ET402" s="327"/>
      <c r="EU402" s="327"/>
      <c r="EV402" s="327"/>
      <c r="EW402" s="327"/>
      <c r="EX402" s="327"/>
      <c r="EY402" s="327"/>
      <c r="EZ402" s="327"/>
      <c r="FA402" s="327"/>
      <c r="FB402" s="327"/>
      <c r="FC402" s="327"/>
      <c r="FD402" s="327"/>
      <c r="FE402" s="327"/>
      <c r="FF402" s="327"/>
      <c r="FG402" s="327"/>
      <c r="FH402" s="327"/>
      <c r="FI402" s="327"/>
      <c r="FJ402" s="327"/>
      <c r="FK402" s="327"/>
      <c r="FL402" s="327"/>
      <c r="FM402" s="327"/>
      <c r="FN402" s="327"/>
      <c r="FO402" s="327"/>
      <c r="FP402" s="327"/>
      <c r="FQ402" s="327"/>
      <c r="FR402" s="327"/>
      <c r="FS402" s="327"/>
      <c r="FT402" s="327"/>
      <c r="FU402" s="327"/>
      <c r="FV402" s="327"/>
      <c r="FW402" s="327"/>
      <c r="FX402" s="327"/>
      <c r="FY402" s="327"/>
      <c r="FZ402" s="327"/>
      <c r="GA402" s="327"/>
      <c r="GB402" s="327"/>
      <c r="GC402" s="327"/>
      <c r="GD402" s="327"/>
      <c r="GE402" s="327"/>
      <c r="GF402" s="327"/>
      <c r="GG402" s="327"/>
      <c r="GH402" s="327"/>
      <c r="GI402" s="327"/>
      <c r="GJ402" s="327"/>
      <c r="GK402" s="327"/>
      <c r="GL402" s="327"/>
      <c r="GM402" s="327"/>
      <c r="GN402" s="327"/>
      <c r="GO402" s="327"/>
      <c r="GP402" s="327"/>
      <c r="GQ402" s="327"/>
      <c r="GR402" s="327"/>
      <c r="GS402" s="327"/>
      <c r="GT402" s="327"/>
      <c r="GU402" s="327"/>
      <c r="GV402" s="327"/>
      <c r="GW402" s="327"/>
      <c r="GX402" s="327"/>
      <c r="GY402" s="327"/>
      <c r="GZ402" s="327"/>
      <c r="HA402" s="327"/>
      <c r="HB402" s="327"/>
      <c r="HC402" s="327"/>
      <c r="HD402" s="327"/>
      <c r="HE402" s="327"/>
      <c r="HF402" s="327"/>
      <c r="HG402" s="327"/>
      <c r="HH402" s="327"/>
      <c r="HI402" s="327"/>
      <c r="HJ402" s="327"/>
      <c r="HK402" s="327"/>
      <c r="HL402" s="327"/>
      <c r="HM402" s="327"/>
      <c r="HN402" s="327"/>
      <c r="HO402" s="327"/>
      <c r="HP402" s="327"/>
      <c r="HQ402" s="327"/>
      <c r="HR402" s="327"/>
      <c r="HS402" s="327"/>
    </row>
    <row r="403" spans="1:227" ht="15" customHeight="1">
      <c r="A403" s="327">
        <v>17</v>
      </c>
      <c r="B403" s="435" t="str">
        <f>VLOOKUP(Ruimtestaat[[#This Row],[Code]],Locaties[[Code]:[Locatie]],2,FALSE)</f>
        <v>IKC de Tjalk Kadelaan 208 (bijgebouw)</v>
      </c>
      <c r="C403" s="435" t="str">
        <f>VLOOKUP(Ruimtestaat[[#This Row],[Code]],Locaties[[#All],[Code]:[Adres]],4,FALSE)</f>
        <v>Kadelaan 208</v>
      </c>
      <c r="D403" s="435" t="str">
        <f>VLOOKUP(Ruimtestaat[[#This Row],[Code]],Locaties[[#All],[Code]:[Postcode]],5,FALSE)</f>
        <v>2725 BR</v>
      </c>
      <c r="E403" s="435" t="str">
        <f>VLOOKUP(Ruimtestaat[[#This Row],[Code]],Locaties[#All],6,FALSE)</f>
        <v>Zoetermeer</v>
      </c>
      <c r="F403" s="450"/>
      <c r="G403" s="330" t="s">
        <v>1678</v>
      </c>
      <c r="H403" s="330">
        <v>70</v>
      </c>
      <c r="I403" s="450" t="s">
        <v>1851</v>
      </c>
      <c r="J403" s="330">
        <v>1</v>
      </c>
      <c r="K403" s="450" t="str">
        <f>VLOOKUP(Ruimtestaat[[#This Row],[Ruimte code]],Ruimtegroepen[[#All],[Code]:[Ruimte omschrijving]],2,FALSE)</f>
        <v>Magazijnen/bergingen</v>
      </c>
      <c r="L403" s="330" t="s">
        <v>101</v>
      </c>
      <c r="M403" s="437" t="s">
        <v>1816</v>
      </c>
      <c r="N403" s="439">
        <v>6.45</v>
      </c>
      <c r="O403" s="439"/>
      <c r="P403" s="439"/>
      <c r="Q403" s="439"/>
      <c r="R403" s="440" t="str">
        <f>VLOOKUP(Ruimtestaat[[#This Row],[Ruimte code]],Ruimtegroepen[],4,FALSE)</f>
        <v>Ve</v>
      </c>
      <c r="S403" s="434">
        <v>40</v>
      </c>
      <c r="T403" s="434" t="s">
        <v>2</v>
      </c>
      <c r="U403" s="434">
        <f>IF(S403&gt;0,IF(RIGHT(Ruimtestaat[[#This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3" s="434">
        <f>IF(U403&gt;0,VLOOKUP($J403,Ruimtegroepen[],3,FALSE)*VLOOKUP($L403,Vloersoorten[],3,FALSE)*VLOOKUP($T403,Frequenties[],3,FALSE)*VLOOKUP($A403,Locaties[],3,FALSE),0)</f>
        <v>0</v>
      </c>
      <c r="W403" s="434">
        <f>Ruimtestaat[[#This Row],[Uitvoeringen werkdagen]]*Ruimtestaat[[#This Row],[Oppervlak (netto)]]</f>
        <v>1290</v>
      </c>
      <c r="X403" s="441">
        <f>IF(V403&gt;0,Ruimtestaat[[#This Row],[Prest. (m2 /jaar) werkdagen]]/Ruimtestaat[[#This Row],[Norm (m2/uur) werkdagen]],0)</f>
        <v>0</v>
      </c>
      <c r="Y403" s="442">
        <f>Ruimtestaat[[#This Row],[Uitvoeringen werkdagen]]*Ruimtestaat[[#This Row],[Gedeeltelijk]]</f>
        <v>0</v>
      </c>
      <c r="Z403" s="443" t="e">
        <f>IF(U403&gt;0,Ruimtestaat[[#This Row],[Prest. (m2 / jaar) werkdagen gedeeld]]/Ruimtestaat[[#This Row],[Norm (m2/uur) werkdagen]],0)</f>
        <v>#DIV/0!</v>
      </c>
      <c r="AA403" s="441" t="e">
        <f>Ruimtestaat[[#This Row],[uren / jaar werkdagen gedeeld]]*Tariefsopbouw!$E$35</f>
        <v>#DIV/0!</v>
      </c>
      <c r="AB403" s="441">
        <f>Ruimtestaat[[#This Row],[Uitvoeringen werkdagen]]*Ruimtestaat[[#This Row],[BSO]]</f>
        <v>0</v>
      </c>
      <c r="AC403" s="443" t="e">
        <f>IF(U403&gt;0,Ruimtestaat[[#This Row],[Prest. (m2 / jaar) werkdagen BSO]]/Ruimtestaat[[#This Row],[Norm (m2/uur) werkdagen]],0)</f>
        <v>#DIV/0!</v>
      </c>
      <c r="AD403" s="443" t="e">
        <f>Ruimtestaat[[#This Row],[uren / jaar werkdagen BSO]]*Tariefsopbouw!$E$35</f>
        <v>#DIV/0!</v>
      </c>
      <c r="AE403" s="444">
        <f>Ruimtestaat[[#This Row],[uren / jaar werkdagen]]*Tariefsopbouw!$E$35</f>
        <v>0</v>
      </c>
      <c r="AF403" s="434"/>
      <c r="AG403" s="434">
        <f>IF(Ruimtestaat[[#This Row],[Frequentie weekend]]&gt;0,VALUE(LEFT(AF403,1))*S403,0)</f>
        <v>0</v>
      </c>
      <c r="AH403" s="445">
        <f>IF($AG403&gt;0,VLOOKUP($J403,Ruimtegroepen[],3,FALSE)*VLOOKUP($L403,Vloersoorten[],3,FALSE)*VLOOKUP($AF403,Frequenties[],3,FALSE)*VLOOKUP(Ruimtestaat[[#This Row],[Code]],Locaties[],3,FALSE),0)</f>
        <v>0</v>
      </c>
      <c r="AI403" s="445">
        <f>Ruimtestaat[[#This Row],[Uitvoeringen weekend]]*Ruimtestaat[[#This Row],[Oppervlak (netto)]]</f>
        <v>0</v>
      </c>
      <c r="AJ403" s="445">
        <f>IF(AH403&gt;0,Ruimtestaat[[#This Row],[Prest. (m2 /jaar) weekend]]/Ruimtestaat[[#This Row],[Norm (m2/uur) weekend]],0)</f>
        <v>0</v>
      </c>
      <c r="AK403" s="444">
        <f>Ruimtestaat[[#This Row],[uren / jaar weekend]]*Tariefsopbouw!$D$40</f>
        <v>0</v>
      </c>
      <c r="AL403" s="441">
        <f>Ruimtestaat[[#This Row],[Prest. (m2 /jaar) weekend]]+Ruimtestaat[[#This Row],[Prest. (m2 /jaar) werkdagen]]</f>
        <v>1290</v>
      </c>
      <c r="AM403" s="441">
        <f>Ruimtestaat[[#This Row],[uren / jaar weekend]]+Ruimtestaat[[#This Row],[uren / jaar werkdagen]]</f>
        <v>0</v>
      </c>
      <c r="AN403" s="446">
        <f>Ruimtestaat[[#This Row],[kosten / jaar weekend]]+Ruimtestaat[[#This Row],[kosten / jaar werkdagen]]</f>
        <v>0</v>
      </c>
      <c r="AO403" s="446"/>
      <c r="AP403" s="447" t="str">
        <f>IF(Ruimtestaat[[#This Row],[Frequentie werkdagen]]="","",_xlfn.CONCAT(Ruimtestaat[[#This Row],[Ruimte code]],"-",Ruimtestaat[[#This Row],[Frequentie werkdagen]]," ",Ruimtestaat[[#This Row],[Vloer code]]))</f>
        <v>1-5w S</v>
      </c>
      <c r="AQ403" s="448" t="str">
        <f>_xlfn.IFNA(VLOOKUP($AP403,Programma!$F$3:$G$1101,2,0),"")</f>
        <v>_</v>
      </c>
      <c r="AR403" s="448" t="str">
        <f>_xlfn.IFNA(VLOOKUP($AP403,Programma!$F$3:$H$1101,3,0),"")</f>
        <v>_</v>
      </c>
      <c r="AS403" s="448" t="str">
        <f>_xlfn.IFNA(VLOOKUP($AP403,Programma!$F$3:$I$1101,4,0),"")</f>
        <v>4w</v>
      </c>
      <c r="AT403" s="448" t="str">
        <f>_xlfn.IFNA(VLOOKUP($AP403,Programma!$F$3:$J$1101,5,0),"")</f>
        <v>1w</v>
      </c>
      <c r="AU403" s="448" t="str">
        <f>_xlfn.IFNA(VLOOKUP($AP403,Programma!$F$3:$K$1101,6,0),"")</f>
        <v>1j</v>
      </c>
      <c r="AV403" s="448" t="str">
        <f>_xlfn.IFNA(VLOOKUP($AP403,Programma!$F$3:$L$1101,7,0),"")</f>
        <v>_</v>
      </c>
      <c r="AW403" s="448" t="str">
        <f>_xlfn.IFNA(VLOOKUP($AP403,Programma!$F$3:$M$1101,8,0),"")</f>
        <v>_</v>
      </c>
      <c r="AX403" s="448" t="str">
        <f>_xlfn.IFNA(VLOOKUP($AP403,Programma!$F$3:$N$1101,9,0),"")</f>
        <v>_</v>
      </c>
      <c r="AY403" s="448" t="str">
        <f>_xlfn.IFNA(VLOOKUP($AP403,Programma!$F$3:$O$1101,10,0),"")</f>
        <v>_</v>
      </c>
      <c r="AZ403" s="448" t="str">
        <f>_xlfn.IFNA(VLOOKUP($AP403,Programma!$F$3:$P$1101,11,0),"")</f>
        <v>_</v>
      </c>
      <c r="BA403" s="448" t="str">
        <f>_xlfn.IFNA(VLOOKUP($AP403,Programma!$F$3:$Q$1101,12,0),"")</f>
        <v>_</v>
      </c>
      <c r="BB403" s="448" t="str">
        <f>_xlfn.IFNA(VLOOKUP($AP403,Programma!$F$3:$R$1101,13,0),"")</f>
        <v>_</v>
      </c>
      <c r="BC403" s="448" t="str">
        <f>_xlfn.IFNA(VLOOKUP($AP403,Programma!$F$3:$S$1101,14,0),"")</f>
        <v>5w</v>
      </c>
      <c r="BD403" s="448" t="str">
        <f>_xlfn.IFNA(VLOOKUP($AP403,Programma!$F$3:$T$1101,15,0),"")</f>
        <v>4j</v>
      </c>
      <c r="BE403" s="448" t="str">
        <f>_xlfn.IFNA(VLOOKUP($AP403,Programma!$F$3:$U$1101,16,0),"")</f>
        <v>4j</v>
      </c>
      <c r="BF403" s="448" t="str">
        <f>_xlfn.IFNA(VLOOKUP($AP403,Programma!$F$3:$V$1101,17,0),"")</f>
        <v>_</v>
      </c>
      <c r="BG403" s="448" t="str">
        <f>_xlfn.IFNA(VLOOKUP($AP403,Programma!$F$3:$W$1101,18,0),"")</f>
        <v>_</v>
      </c>
      <c r="BH403" s="448" t="str">
        <f>_xlfn.IFNA(VLOOKUP($AP403,Programma!$F$3:$X$1101,19,0),"")</f>
        <v>_</v>
      </c>
      <c r="BI403" s="448" t="str">
        <f>_xlfn.IFNA(VLOOKUP($AP403,Programma!$F$3:$Y$1101,20,0),"")</f>
        <v>_</v>
      </c>
      <c r="BJ403" s="449"/>
      <c r="BK403" s="447" t="str">
        <f>IF(Ruimtestaat[[#This Row],[Frequentie weekend]]="","",_xlfn.CONCAT(Ruimtestaat[[#This Row],[Ruimte code]],"-",Ruimtestaat[[#This Row],[Frequentie weekend]]," ",Ruimtestaat[[#This Row],[Vloer code]]))</f>
        <v/>
      </c>
      <c r="BL403" s="448" t="str">
        <f>_xlfn.IFNA(VLOOKUP($BK403,Programma!$F$3:$G$1101,2,0),"")</f>
        <v/>
      </c>
      <c r="BM403" s="448" t="str">
        <f>_xlfn.IFNA(VLOOKUP($BK403,Programma!$F$3:$H$1101,3,0),"")</f>
        <v/>
      </c>
      <c r="BN403" s="448" t="str">
        <f>_xlfn.IFNA(VLOOKUP($BK403,Programma!$F$3:$I$1101,4,0),"")</f>
        <v/>
      </c>
      <c r="BO403" s="448" t="str">
        <f>_xlfn.IFNA(VLOOKUP($BK403,Programma!$F$3:$J$1101,5,0),"")</f>
        <v/>
      </c>
      <c r="BP403" s="448" t="str">
        <f>_xlfn.IFNA(VLOOKUP($BK403,Programma!$F$3:$K$1101,6,0),"")</f>
        <v/>
      </c>
      <c r="BQ403" s="448" t="str">
        <f>_xlfn.IFNA(VLOOKUP($BK403,Programma!$F$3:$L$1101,7,0),"")</f>
        <v/>
      </c>
      <c r="BR403" s="448" t="str">
        <f>_xlfn.IFNA(VLOOKUP($BK403,Programma!$F$3:$M$1101,8,0),"")</f>
        <v/>
      </c>
      <c r="BS403" s="448" t="str">
        <f>_xlfn.IFNA(VLOOKUP($BK403,Programma!$F$3:$N$1101,9,0),"")</f>
        <v/>
      </c>
      <c r="BT403" s="448" t="str">
        <f>_xlfn.IFNA(VLOOKUP($BK403,Programma!$F$3:$O$1101,10,0),"")</f>
        <v/>
      </c>
      <c r="BU403" s="448" t="str">
        <f>_xlfn.IFNA(VLOOKUP($BK403,Programma!$F$3:$P$1101,11,0),"")</f>
        <v/>
      </c>
      <c r="BV403" s="448" t="str">
        <f>_xlfn.IFNA(VLOOKUP($BK403,Programma!$F$3:$Q$1101,12,0),"")</f>
        <v/>
      </c>
      <c r="BW403" s="448" t="str">
        <f>_xlfn.IFNA(VLOOKUP($BK403,Programma!$F$3:$R$1101,13,0),"")</f>
        <v/>
      </c>
      <c r="BX403" s="448" t="str">
        <f>_xlfn.IFNA(VLOOKUP($BK403,Programma!$F$3:$S$1101,14,0),"")</f>
        <v/>
      </c>
      <c r="BY403" s="448" t="str">
        <f>_xlfn.IFNA(VLOOKUP($BK403,Programma!$F$3:$T$1101,15,0),"")</f>
        <v/>
      </c>
      <c r="BZ403" s="448" t="str">
        <f>_xlfn.IFNA(VLOOKUP($BK403,Programma!$F$3:$U$1101,16,0),"")</f>
        <v/>
      </c>
      <c r="CA403" s="448" t="str">
        <f>_xlfn.IFNA(VLOOKUP($BK403,Programma!$F$3:$V$1101,17,0),"")</f>
        <v/>
      </c>
      <c r="CB403" s="448" t="str">
        <f>_xlfn.IFNA(VLOOKUP($BK403,Programma!$F$3:$W$1101,18,0),"")</f>
        <v/>
      </c>
      <c r="CC403" s="448" t="str">
        <f>_xlfn.IFNA(VLOOKUP($BK403,Programma!$F$3:$X$1101,19,0),"")</f>
        <v/>
      </c>
      <c r="CD403" s="448" t="str">
        <f>_xlfn.IFNA(VLOOKUP($BK403,Programma!$F$3:$Y$1101,20,0),"")</f>
        <v/>
      </c>
      <c r="CE403" s="327"/>
      <c r="CF403" s="327"/>
      <c r="CG403" s="327"/>
      <c r="CH403" s="327"/>
      <c r="CI403" s="327"/>
      <c r="CJ403" s="327"/>
      <c r="CK403" s="327"/>
      <c r="CL403" s="327"/>
      <c r="CM403" s="327"/>
      <c r="CN403" s="327"/>
      <c r="CO403" s="327"/>
      <c r="CP403" s="327"/>
      <c r="CQ403" s="327"/>
      <c r="CR403" s="327"/>
      <c r="CS403" s="327"/>
      <c r="CT403" s="327"/>
      <c r="CU403" s="327"/>
      <c r="CV403" s="327"/>
      <c r="CW403" s="327"/>
      <c r="CX403" s="327"/>
      <c r="CY403" s="327"/>
      <c r="CZ403" s="327"/>
      <c r="DA403" s="327"/>
      <c r="DB403" s="327"/>
      <c r="DC403" s="327"/>
      <c r="DD403" s="327"/>
      <c r="DE403" s="327"/>
      <c r="DF403" s="327"/>
      <c r="DG403" s="327"/>
      <c r="DH403" s="327"/>
      <c r="DI403" s="327"/>
      <c r="DJ403" s="327"/>
      <c r="DK403" s="327"/>
      <c r="DL403" s="327"/>
      <c r="DM403" s="327"/>
      <c r="DN403" s="327"/>
      <c r="DO403" s="327"/>
      <c r="DP403" s="327"/>
      <c r="DQ403" s="327"/>
      <c r="DR403" s="327"/>
      <c r="DS403" s="327"/>
      <c r="DT403" s="327"/>
      <c r="DU403" s="327"/>
      <c r="DV403" s="327"/>
      <c r="DW403" s="327"/>
      <c r="DX403" s="327"/>
      <c r="DY403" s="327"/>
      <c r="DZ403" s="327"/>
      <c r="EA403" s="327"/>
      <c r="EB403" s="327"/>
      <c r="EC403" s="327"/>
      <c r="ED403" s="327"/>
      <c r="EE403" s="327"/>
      <c r="EF403" s="327"/>
      <c r="EG403" s="327"/>
      <c r="EH403" s="327"/>
      <c r="EI403" s="327"/>
      <c r="EJ403" s="327"/>
      <c r="EK403" s="327"/>
      <c r="EL403" s="327"/>
      <c r="EM403" s="327"/>
      <c r="EN403" s="327"/>
      <c r="EO403" s="327"/>
      <c r="EP403" s="327"/>
      <c r="EQ403" s="327"/>
      <c r="ER403" s="327"/>
      <c r="ES403" s="327"/>
      <c r="ET403" s="327"/>
      <c r="EU403" s="327"/>
      <c r="EV403" s="327"/>
      <c r="EW403" s="327"/>
      <c r="EX403" s="327"/>
      <c r="EY403" s="327"/>
      <c r="EZ403" s="327"/>
      <c r="FA403" s="327"/>
      <c r="FB403" s="327"/>
      <c r="FC403" s="327"/>
      <c r="FD403" s="327"/>
      <c r="FE403" s="327"/>
      <c r="FF403" s="327"/>
      <c r="FG403" s="327"/>
      <c r="FH403" s="327"/>
      <c r="FI403" s="327"/>
      <c r="FJ403" s="327"/>
      <c r="FK403" s="327"/>
      <c r="FL403" s="327"/>
      <c r="FM403" s="327"/>
      <c r="FN403" s="327"/>
      <c r="FO403" s="327"/>
      <c r="FP403" s="327"/>
      <c r="FQ403" s="327"/>
      <c r="FR403" s="327"/>
      <c r="FS403" s="327"/>
      <c r="FT403" s="327"/>
      <c r="FU403" s="327"/>
      <c r="FV403" s="327"/>
      <c r="FW403" s="327"/>
      <c r="FX403" s="327"/>
      <c r="FY403" s="327"/>
      <c r="FZ403" s="327"/>
      <c r="GA403" s="327"/>
      <c r="GB403" s="327"/>
      <c r="GC403" s="327"/>
      <c r="GD403" s="327"/>
      <c r="GE403" s="327"/>
      <c r="GF403" s="327"/>
      <c r="GG403" s="327"/>
      <c r="GH403" s="327"/>
      <c r="GI403" s="327"/>
      <c r="GJ403" s="327"/>
      <c r="GK403" s="327"/>
      <c r="GL403" s="327"/>
      <c r="GM403" s="327"/>
      <c r="GN403" s="327"/>
      <c r="GO403" s="327"/>
      <c r="GP403" s="327"/>
      <c r="GQ403" s="327"/>
      <c r="GR403" s="327"/>
      <c r="GS403" s="327"/>
      <c r="GT403" s="327"/>
      <c r="GU403" s="327"/>
      <c r="GV403" s="327"/>
      <c r="GW403" s="327"/>
      <c r="GX403" s="327"/>
      <c r="GY403" s="327"/>
      <c r="GZ403" s="327"/>
      <c r="HA403" s="327"/>
      <c r="HB403" s="327"/>
      <c r="HC403" s="327"/>
      <c r="HD403" s="327"/>
      <c r="HE403" s="327"/>
      <c r="HF403" s="327"/>
      <c r="HG403" s="327"/>
      <c r="HH403" s="327"/>
      <c r="HI403" s="327"/>
      <c r="HJ403" s="327"/>
      <c r="HK403" s="327"/>
      <c r="HL403" s="327"/>
      <c r="HM403" s="327"/>
      <c r="HN403" s="327"/>
      <c r="HO403" s="327"/>
      <c r="HP403" s="327"/>
      <c r="HQ403" s="327"/>
      <c r="HR403" s="327"/>
      <c r="HS403" s="327"/>
    </row>
    <row r="404" spans="1:227" ht="15" customHeight="1">
      <c r="A404" s="327">
        <v>17</v>
      </c>
      <c r="B404" s="435" t="str">
        <f>VLOOKUP(Ruimtestaat[[#This Row],[Code]],Locaties[[Code]:[Locatie]],2,FALSE)</f>
        <v>IKC de Tjalk Kadelaan 208 (bijgebouw)</v>
      </c>
      <c r="C404" s="435" t="str">
        <f>VLOOKUP(Ruimtestaat[[#This Row],[Code]],Locaties[[#All],[Code]:[Adres]],4,FALSE)</f>
        <v>Kadelaan 208</v>
      </c>
      <c r="D404" s="435" t="str">
        <f>VLOOKUP(Ruimtestaat[[#This Row],[Code]],Locaties[[#All],[Code]:[Postcode]],5,FALSE)</f>
        <v>2725 BR</v>
      </c>
      <c r="E404" s="435" t="str">
        <f>VLOOKUP(Ruimtestaat[[#This Row],[Code]],Locaties[#All],6,FALSE)</f>
        <v>Zoetermeer</v>
      </c>
      <c r="F404" s="450"/>
      <c r="G404" s="330" t="s">
        <v>1678</v>
      </c>
      <c r="H404" s="330">
        <v>71</v>
      </c>
      <c r="I404" s="450" t="s">
        <v>1852</v>
      </c>
      <c r="J404" s="330">
        <v>20</v>
      </c>
      <c r="K404" s="450" t="str">
        <f>VLOOKUP(Ruimtestaat[[#This Row],[Ruimte code]],Ruimtegroepen[[#All],[Code]:[Ruimte omschrijving]],2,FALSE)</f>
        <v>Niet in Onderhoud</v>
      </c>
      <c r="L404" s="330" t="s">
        <v>101</v>
      </c>
      <c r="M404" s="437" t="s">
        <v>1816</v>
      </c>
      <c r="N404" s="439"/>
      <c r="O404" s="439">
        <v>0</v>
      </c>
      <c r="P404" s="439"/>
      <c r="Q404" s="439"/>
      <c r="R404" s="440">
        <f>VLOOKUP(Ruimtestaat[[#This Row],[Ruimte code]],Ruimtegroepen[],4,FALSE)</f>
        <v>0</v>
      </c>
      <c r="S404" s="434"/>
      <c r="T404" s="434"/>
      <c r="U404" s="434">
        <f>IF(S404&gt;0,IF(RIGHT(Ruimtestaat[[#This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04" s="434">
        <f>IF(U404&gt;0,VLOOKUP($J404,Ruimtegroepen[],3,FALSE)*VLOOKUP($L404,Vloersoorten[],3,FALSE)*VLOOKUP($T404,Frequenties[],3,FALSE)*VLOOKUP($A404,Locaties[],3,FALSE),0)</f>
        <v>0</v>
      </c>
      <c r="W404" s="434">
        <f>Ruimtestaat[[#This Row],[Uitvoeringen werkdagen]]*Ruimtestaat[[#This Row],[Oppervlak (netto)]]</f>
        <v>0</v>
      </c>
      <c r="X404" s="441">
        <f>IF(V404&gt;0,Ruimtestaat[[#This Row],[Prest. (m2 /jaar) werkdagen]]/Ruimtestaat[[#This Row],[Norm (m2/uur) werkdagen]],0)</f>
        <v>0</v>
      </c>
      <c r="Y404" s="442">
        <f>Ruimtestaat[[#This Row],[Uitvoeringen werkdagen]]*Ruimtestaat[[#This Row],[Gedeeltelijk]]</f>
        <v>0</v>
      </c>
      <c r="Z404" s="443">
        <f>IF(U404&gt;0,Ruimtestaat[[#This Row],[Prest. (m2 / jaar) werkdagen gedeeld]]/Ruimtestaat[[#This Row],[Norm (m2/uur) werkdagen]],0)</f>
        <v>0</v>
      </c>
      <c r="AA404" s="441">
        <f>Ruimtestaat[[#This Row],[uren / jaar werkdagen gedeeld]]*Tariefsopbouw!$E$35</f>
        <v>0</v>
      </c>
      <c r="AB404" s="441">
        <f>Ruimtestaat[[#This Row],[Uitvoeringen werkdagen]]*Ruimtestaat[[#This Row],[BSO]]</f>
        <v>0</v>
      </c>
      <c r="AC404" s="443">
        <f>IF(U404&gt;0,Ruimtestaat[[#This Row],[Prest. (m2 / jaar) werkdagen BSO]]/Ruimtestaat[[#This Row],[Norm (m2/uur) werkdagen]],0)</f>
        <v>0</v>
      </c>
      <c r="AD404" s="443">
        <f>Ruimtestaat[[#This Row],[uren / jaar werkdagen BSO]]*Tariefsopbouw!$E$35</f>
        <v>0</v>
      </c>
      <c r="AE404" s="444">
        <f>Ruimtestaat[[#This Row],[uren / jaar werkdagen]]*Tariefsopbouw!$E$35</f>
        <v>0</v>
      </c>
      <c r="AF404" s="434"/>
      <c r="AG404" s="434">
        <f>IF(Ruimtestaat[[#This Row],[Frequentie weekend]]&gt;0,VALUE(LEFT(AF404,1))*S404,0)</f>
        <v>0</v>
      </c>
      <c r="AH404" s="445">
        <f>IF($AG404&gt;0,VLOOKUP($J404,Ruimtegroepen[],3,FALSE)*VLOOKUP($L404,Vloersoorten[],3,FALSE)*VLOOKUP($AF404,Frequenties[],3,FALSE)*VLOOKUP(Ruimtestaat[[#This Row],[Code]],Locaties[],3,FALSE),0)</f>
        <v>0</v>
      </c>
      <c r="AI404" s="445">
        <f>Ruimtestaat[[#This Row],[Uitvoeringen weekend]]*Ruimtestaat[[#This Row],[Oppervlak (netto)]]</f>
        <v>0</v>
      </c>
      <c r="AJ404" s="445">
        <f>IF(AH404&gt;0,Ruimtestaat[[#This Row],[Prest. (m2 /jaar) weekend]]/Ruimtestaat[[#This Row],[Norm (m2/uur) weekend]],0)</f>
        <v>0</v>
      </c>
      <c r="AK404" s="444">
        <f>Ruimtestaat[[#This Row],[uren / jaar weekend]]*Tariefsopbouw!$D$40</f>
        <v>0</v>
      </c>
      <c r="AL404" s="441">
        <f>Ruimtestaat[[#This Row],[Prest. (m2 /jaar) weekend]]+Ruimtestaat[[#This Row],[Prest. (m2 /jaar) werkdagen]]</f>
        <v>0</v>
      </c>
      <c r="AM404" s="441">
        <f>Ruimtestaat[[#This Row],[uren / jaar weekend]]+Ruimtestaat[[#This Row],[uren / jaar werkdagen]]</f>
        <v>0</v>
      </c>
      <c r="AN404" s="446">
        <f>Ruimtestaat[[#This Row],[kosten / jaar weekend]]+Ruimtestaat[[#This Row],[kosten / jaar werkdagen]]</f>
        <v>0</v>
      </c>
      <c r="AO404" s="446"/>
      <c r="AP404" s="447" t="str">
        <f>IF(Ruimtestaat[[#This Row],[Frequentie werkdagen]]="","",_xlfn.CONCAT(Ruimtestaat[[#This Row],[Ruimte code]],"-",Ruimtestaat[[#This Row],[Frequentie werkdagen]]," ",Ruimtestaat[[#This Row],[Vloer code]]))</f>
        <v/>
      </c>
      <c r="AQ404" s="448" t="str">
        <f>_xlfn.IFNA(VLOOKUP($AP404,Programma!$F$3:$G$1101,2,0),"")</f>
        <v/>
      </c>
      <c r="AR404" s="448" t="str">
        <f>_xlfn.IFNA(VLOOKUP($AP404,Programma!$F$3:$H$1101,3,0),"")</f>
        <v/>
      </c>
      <c r="AS404" s="448" t="str">
        <f>_xlfn.IFNA(VLOOKUP($AP404,Programma!$F$3:$I$1101,4,0),"")</f>
        <v/>
      </c>
      <c r="AT404" s="448" t="str">
        <f>_xlfn.IFNA(VLOOKUP($AP404,Programma!$F$3:$J$1101,5,0),"")</f>
        <v/>
      </c>
      <c r="AU404" s="448" t="str">
        <f>_xlfn.IFNA(VLOOKUP($AP404,Programma!$F$3:$K$1101,6,0),"")</f>
        <v/>
      </c>
      <c r="AV404" s="448" t="str">
        <f>_xlfn.IFNA(VLOOKUP($AP404,Programma!$F$3:$L$1101,7,0),"")</f>
        <v/>
      </c>
      <c r="AW404" s="448" t="str">
        <f>_xlfn.IFNA(VLOOKUP($AP404,Programma!$F$3:$M$1101,8,0),"")</f>
        <v/>
      </c>
      <c r="AX404" s="448" t="str">
        <f>_xlfn.IFNA(VLOOKUP($AP404,Programma!$F$3:$N$1101,9,0),"")</f>
        <v/>
      </c>
      <c r="AY404" s="448" t="str">
        <f>_xlfn.IFNA(VLOOKUP($AP404,Programma!$F$3:$O$1101,10,0),"")</f>
        <v/>
      </c>
      <c r="AZ404" s="448" t="str">
        <f>_xlfn.IFNA(VLOOKUP($AP404,Programma!$F$3:$P$1101,11,0),"")</f>
        <v/>
      </c>
      <c r="BA404" s="448" t="str">
        <f>_xlfn.IFNA(VLOOKUP($AP404,Programma!$F$3:$Q$1101,12,0),"")</f>
        <v/>
      </c>
      <c r="BB404" s="448" t="str">
        <f>_xlfn.IFNA(VLOOKUP($AP404,Programma!$F$3:$R$1101,13,0),"")</f>
        <v/>
      </c>
      <c r="BC404" s="448" t="str">
        <f>_xlfn.IFNA(VLOOKUP($AP404,Programma!$F$3:$S$1101,14,0),"")</f>
        <v/>
      </c>
      <c r="BD404" s="448" t="str">
        <f>_xlfn.IFNA(VLOOKUP($AP404,Programma!$F$3:$T$1101,15,0),"")</f>
        <v/>
      </c>
      <c r="BE404" s="448" t="str">
        <f>_xlfn.IFNA(VLOOKUP($AP404,Programma!$F$3:$U$1101,16,0),"")</f>
        <v/>
      </c>
      <c r="BF404" s="448" t="str">
        <f>_xlfn.IFNA(VLOOKUP($AP404,Programma!$F$3:$V$1101,17,0),"")</f>
        <v/>
      </c>
      <c r="BG404" s="448" t="str">
        <f>_xlfn.IFNA(VLOOKUP($AP404,Programma!$F$3:$W$1101,18,0),"")</f>
        <v/>
      </c>
      <c r="BH404" s="448" t="str">
        <f>_xlfn.IFNA(VLOOKUP($AP404,Programma!$F$3:$X$1101,19,0),"")</f>
        <v/>
      </c>
      <c r="BI404" s="448" t="str">
        <f>_xlfn.IFNA(VLOOKUP($AP404,Programma!$F$3:$Y$1101,20,0),"")</f>
        <v/>
      </c>
      <c r="BJ404" s="449"/>
      <c r="BK404" s="447" t="str">
        <f>IF(Ruimtestaat[[#This Row],[Frequentie weekend]]="","",_xlfn.CONCAT(Ruimtestaat[[#This Row],[Ruimte code]],"-",Ruimtestaat[[#This Row],[Frequentie weekend]]," ",Ruimtestaat[[#This Row],[Vloer code]]))</f>
        <v/>
      </c>
      <c r="BL404" s="448" t="str">
        <f>_xlfn.IFNA(VLOOKUP($BK404,Programma!$F$3:$G$1101,2,0),"")</f>
        <v/>
      </c>
      <c r="BM404" s="448" t="str">
        <f>_xlfn.IFNA(VLOOKUP($BK404,Programma!$F$3:$H$1101,3,0),"")</f>
        <v/>
      </c>
      <c r="BN404" s="448" t="str">
        <f>_xlfn.IFNA(VLOOKUP($BK404,Programma!$F$3:$I$1101,4,0),"")</f>
        <v/>
      </c>
      <c r="BO404" s="448" t="str">
        <f>_xlfn.IFNA(VLOOKUP($BK404,Programma!$F$3:$J$1101,5,0),"")</f>
        <v/>
      </c>
      <c r="BP404" s="448" t="str">
        <f>_xlfn.IFNA(VLOOKUP($BK404,Programma!$F$3:$K$1101,6,0),"")</f>
        <v/>
      </c>
      <c r="BQ404" s="448" t="str">
        <f>_xlfn.IFNA(VLOOKUP($BK404,Programma!$F$3:$L$1101,7,0),"")</f>
        <v/>
      </c>
      <c r="BR404" s="448" t="str">
        <f>_xlfn.IFNA(VLOOKUP($BK404,Programma!$F$3:$M$1101,8,0),"")</f>
        <v/>
      </c>
      <c r="BS404" s="448" t="str">
        <f>_xlfn.IFNA(VLOOKUP($BK404,Programma!$F$3:$N$1101,9,0),"")</f>
        <v/>
      </c>
      <c r="BT404" s="448" t="str">
        <f>_xlfn.IFNA(VLOOKUP($BK404,Programma!$F$3:$O$1101,10,0),"")</f>
        <v/>
      </c>
      <c r="BU404" s="448" t="str">
        <f>_xlfn.IFNA(VLOOKUP($BK404,Programma!$F$3:$P$1101,11,0),"")</f>
        <v/>
      </c>
      <c r="BV404" s="448" t="str">
        <f>_xlfn.IFNA(VLOOKUP($BK404,Programma!$F$3:$Q$1101,12,0),"")</f>
        <v/>
      </c>
      <c r="BW404" s="448" t="str">
        <f>_xlfn.IFNA(VLOOKUP($BK404,Programma!$F$3:$R$1101,13,0),"")</f>
        <v/>
      </c>
      <c r="BX404" s="448" t="str">
        <f>_xlfn.IFNA(VLOOKUP($BK404,Programma!$F$3:$S$1101,14,0),"")</f>
        <v/>
      </c>
      <c r="BY404" s="448" t="str">
        <f>_xlfn.IFNA(VLOOKUP($BK404,Programma!$F$3:$T$1101,15,0),"")</f>
        <v/>
      </c>
      <c r="BZ404" s="448" t="str">
        <f>_xlfn.IFNA(VLOOKUP($BK404,Programma!$F$3:$U$1101,16,0),"")</f>
        <v/>
      </c>
      <c r="CA404" s="448" t="str">
        <f>_xlfn.IFNA(VLOOKUP($BK404,Programma!$F$3:$V$1101,17,0),"")</f>
        <v/>
      </c>
      <c r="CB404" s="448" t="str">
        <f>_xlfn.IFNA(VLOOKUP($BK404,Programma!$F$3:$W$1101,18,0),"")</f>
        <v/>
      </c>
      <c r="CC404" s="448" t="str">
        <f>_xlfn.IFNA(VLOOKUP($BK404,Programma!$F$3:$X$1101,19,0),"")</f>
        <v/>
      </c>
      <c r="CD404" s="448" t="str">
        <f>_xlfn.IFNA(VLOOKUP($BK404,Programma!$F$3:$Y$1101,20,0),"")</f>
        <v/>
      </c>
      <c r="CE404" s="327"/>
      <c r="CF404" s="327"/>
      <c r="CG404" s="327"/>
      <c r="CH404" s="327"/>
      <c r="CI404" s="327"/>
      <c r="CJ404" s="327"/>
      <c r="CK404" s="327"/>
      <c r="CL404" s="327"/>
      <c r="CM404" s="327"/>
      <c r="CN404" s="327"/>
      <c r="CO404" s="327"/>
      <c r="CP404" s="327"/>
      <c r="CQ404" s="327"/>
      <c r="CR404" s="327"/>
      <c r="CS404" s="327"/>
      <c r="CT404" s="327"/>
      <c r="CU404" s="327"/>
      <c r="CV404" s="327"/>
      <c r="CW404" s="327"/>
      <c r="CX404" s="327"/>
      <c r="CY404" s="327"/>
      <c r="CZ404" s="327"/>
      <c r="DA404" s="327"/>
      <c r="DB404" s="327"/>
      <c r="DC404" s="327"/>
      <c r="DD404" s="327"/>
      <c r="DE404" s="327"/>
      <c r="DF404" s="327"/>
      <c r="DG404" s="327"/>
      <c r="DH404" s="327"/>
      <c r="DI404" s="327"/>
      <c r="DJ404" s="327"/>
      <c r="DK404" s="327"/>
      <c r="DL404" s="327"/>
      <c r="DM404" s="327"/>
      <c r="DN404" s="327"/>
      <c r="DO404" s="327"/>
      <c r="DP404" s="327"/>
      <c r="DQ404" s="327"/>
      <c r="DR404" s="327"/>
      <c r="DS404" s="327"/>
      <c r="DT404" s="327"/>
      <c r="DU404" s="327"/>
      <c r="DV404" s="327"/>
      <c r="DW404" s="327"/>
      <c r="DX404" s="327"/>
      <c r="DY404" s="327"/>
      <c r="DZ404" s="327"/>
      <c r="EA404" s="327"/>
      <c r="EB404" s="327"/>
      <c r="EC404" s="327"/>
      <c r="ED404" s="327"/>
      <c r="EE404" s="327"/>
      <c r="EF404" s="327"/>
      <c r="EG404" s="327"/>
      <c r="EH404" s="327"/>
      <c r="EI404" s="327"/>
      <c r="EJ404" s="327"/>
      <c r="EK404" s="327"/>
      <c r="EL404" s="327"/>
      <c r="EM404" s="327"/>
      <c r="EN404" s="327"/>
      <c r="EO404" s="327"/>
      <c r="EP404" s="327"/>
      <c r="EQ404" s="327"/>
      <c r="ER404" s="327"/>
      <c r="ES404" s="327"/>
      <c r="ET404" s="327"/>
      <c r="EU404" s="327"/>
      <c r="EV404" s="327"/>
      <c r="EW404" s="327"/>
      <c r="EX404" s="327"/>
      <c r="EY404" s="327"/>
      <c r="EZ404" s="327"/>
      <c r="FA404" s="327"/>
      <c r="FB404" s="327"/>
      <c r="FC404" s="327"/>
      <c r="FD404" s="327"/>
      <c r="FE404" s="327"/>
      <c r="FF404" s="327"/>
      <c r="FG404" s="327"/>
      <c r="FH404" s="327"/>
      <c r="FI404" s="327"/>
      <c r="FJ404" s="327"/>
      <c r="FK404" s="327"/>
      <c r="FL404" s="327"/>
      <c r="FM404" s="327"/>
      <c r="FN404" s="327"/>
      <c r="FO404" s="327"/>
      <c r="FP404" s="327"/>
      <c r="FQ404" s="327"/>
      <c r="FR404" s="327"/>
      <c r="FS404" s="327"/>
      <c r="FT404" s="327"/>
      <c r="FU404" s="327"/>
      <c r="FV404" s="327"/>
      <c r="FW404" s="327"/>
      <c r="FX404" s="327"/>
      <c r="FY404" s="327"/>
      <c r="FZ404" s="327"/>
      <c r="GA404" s="327"/>
      <c r="GB404" s="327"/>
      <c r="GC404" s="327"/>
      <c r="GD404" s="327"/>
      <c r="GE404" s="327"/>
      <c r="GF404" s="327"/>
      <c r="GG404" s="327"/>
      <c r="GH404" s="327"/>
      <c r="GI404" s="327"/>
      <c r="GJ404" s="327"/>
      <c r="GK404" s="327"/>
      <c r="GL404" s="327"/>
      <c r="GM404" s="327"/>
      <c r="GN404" s="327"/>
      <c r="GO404" s="327"/>
      <c r="GP404" s="327"/>
      <c r="GQ404" s="327"/>
      <c r="GR404" s="327"/>
      <c r="GS404" s="327"/>
      <c r="GT404" s="327"/>
      <c r="GU404" s="327"/>
      <c r="GV404" s="327"/>
      <c r="GW404" s="327"/>
      <c r="GX404" s="327"/>
      <c r="GY404" s="327"/>
      <c r="GZ404" s="327"/>
      <c r="HA404" s="327"/>
      <c r="HB404" s="327"/>
      <c r="HC404" s="327"/>
      <c r="HD404" s="327"/>
      <c r="HE404" s="327"/>
      <c r="HF404" s="327"/>
      <c r="HG404" s="327"/>
      <c r="HH404" s="327"/>
      <c r="HI404" s="327"/>
      <c r="HJ404" s="327"/>
      <c r="HK404" s="327"/>
      <c r="HL404" s="327"/>
      <c r="HM404" s="327"/>
      <c r="HN404" s="327"/>
      <c r="HO404" s="327"/>
      <c r="HP404" s="327"/>
      <c r="HQ404" s="327"/>
      <c r="HR404" s="327"/>
      <c r="HS404" s="327"/>
    </row>
    <row r="405" spans="1:227" ht="15" customHeight="1">
      <c r="A405" s="327">
        <v>17</v>
      </c>
      <c r="B405" s="435" t="str">
        <f>VLOOKUP(Ruimtestaat[[#This Row],[Code]],Locaties[[Code]:[Locatie]],2,FALSE)</f>
        <v>IKC de Tjalk Kadelaan 208 (bijgebouw)</v>
      </c>
      <c r="C405" s="435" t="str">
        <f>VLOOKUP(Ruimtestaat[[#This Row],[Code]],Locaties[[#All],[Code]:[Adres]],4,FALSE)</f>
        <v>Kadelaan 208</v>
      </c>
      <c r="D405" s="435" t="str">
        <f>VLOOKUP(Ruimtestaat[[#This Row],[Code]],Locaties[[#All],[Code]:[Postcode]],5,FALSE)</f>
        <v>2725 BR</v>
      </c>
      <c r="E405" s="435" t="str">
        <f>VLOOKUP(Ruimtestaat[[#This Row],[Code]],Locaties[#All],6,FALSE)</f>
        <v>Zoetermeer</v>
      </c>
      <c r="F405" s="450"/>
      <c r="G405" s="330" t="s">
        <v>1678</v>
      </c>
      <c r="H405" s="330">
        <v>68</v>
      </c>
      <c r="I405" s="450" t="s">
        <v>1724</v>
      </c>
      <c r="J405" s="330">
        <v>1</v>
      </c>
      <c r="K405" s="450" t="str">
        <f>VLOOKUP(Ruimtestaat[[#This Row],[Ruimte code]],Ruimtegroepen[[#All],[Code]:[Ruimte omschrijving]],2,FALSE)</f>
        <v>Magazijnen/bergingen</v>
      </c>
      <c r="L405" s="330" t="s">
        <v>101</v>
      </c>
      <c r="M405" s="437" t="s">
        <v>1816</v>
      </c>
      <c r="N405" s="439">
        <v>1.99</v>
      </c>
      <c r="O405" s="439"/>
      <c r="P405" s="439"/>
      <c r="Q405" s="439"/>
      <c r="R405" s="440" t="str">
        <f>VLOOKUP(Ruimtestaat[[#This Row],[Ruimte code]],Ruimtegroepen[],4,FALSE)</f>
        <v>Ve</v>
      </c>
      <c r="S405" s="434">
        <v>40</v>
      </c>
      <c r="T405" s="434" t="s">
        <v>2</v>
      </c>
      <c r="U405" s="434">
        <f>IF(S405&gt;0,IF(RIGHT(Ruimtestaat[[#This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5" s="434">
        <f>IF(U405&gt;0,VLOOKUP($J405,Ruimtegroepen[],3,FALSE)*VLOOKUP($L405,Vloersoorten[],3,FALSE)*VLOOKUP($T405,Frequenties[],3,FALSE)*VLOOKUP($A405,Locaties[],3,FALSE),0)</f>
        <v>0</v>
      </c>
      <c r="W405" s="434">
        <f>Ruimtestaat[[#This Row],[Uitvoeringen werkdagen]]*Ruimtestaat[[#This Row],[Oppervlak (netto)]]</f>
        <v>398</v>
      </c>
      <c r="X405" s="441">
        <f>IF(V405&gt;0,Ruimtestaat[[#This Row],[Prest. (m2 /jaar) werkdagen]]/Ruimtestaat[[#This Row],[Norm (m2/uur) werkdagen]],0)</f>
        <v>0</v>
      </c>
      <c r="Y405" s="442">
        <f>Ruimtestaat[[#This Row],[Uitvoeringen werkdagen]]*Ruimtestaat[[#This Row],[Gedeeltelijk]]</f>
        <v>0</v>
      </c>
      <c r="Z405" s="443" t="e">
        <f>IF(U405&gt;0,Ruimtestaat[[#This Row],[Prest. (m2 / jaar) werkdagen gedeeld]]/Ruimtestaat[[#This Row],[Norm (m2/uur) werkdagen]],0)</f>
        <v>#DIV/0!</v>
      </c>
      <c r="AA405" s="441" t="e">
        <f>Ruimtestaat[[#This Row],[uren / jaar werkdagen gedeeld]]*Tariefsopbouw!$E$35</f>
        <v>#DIV/0!</v>
      </c>
      <c r="AB405" s="441">
        <f>Ruimtestaat[[#This Row],[Uitvoeringen werkdagen]]*Ruimtestaat[[#This Row],[BSO]]</f>
        <v>0</v>
      </c>
      <c r="AC405" s="443" t="e">
        <f>IF(U405&gt;0,Ruimtestaat[[#This Row],[Prest. (m2 / jaar) werkdagen BSO]]/Ruimtestaat[[#This Row],[Norm (m2/uur) werkdagen]],0)</f>
        <v>#DIV/0!</v>
      </c>
      <c r="AD405" s="443" t="e">
        <f>Ruimtestaat[[#This Row],[uren / jaar werkdagen BSO]]*Tariefsopbouw!$E$35</f>
        <v>#DIV/0!</v>
      </c>
      <c r="AE405" s="444">
        <f>Ruimtestaat[[#This Row],[uren / jaar werkdagen]]*Tariefsopbouw!$E$35</f>
        <v>0</v>
      </c>
      <c r="AF405" s="434"/>
      <c r="AG405" s="434">
        <f>IF(Ruimtestaat[[#This Row],[Frequentie weekend]]&gt;0,VALUE(LEFT(AF405,1))*S405,0)</f>
        <v>0</v>
      </c>
      <c r="AH405" s="445">
        <f>IF($AG405&gt;0,VLOOKUP($J405,Ruimtegroepen[],3,FALSE)*VLOOKUP($L405,Vloersoorten[],3,FALSE)*VLOOKUP($AF405,Frequenties[],3,FALSE)*VLOOKUP(Ruimtestaat[[#This Row],[Code]],Locaties[],3,FALSE),0)</f>
        <v>0</v>
      </c>
      <c r="AI405" s="445">
        <f>Ruimtestaat[[#This Row],[Uitvoeringen weekend]]*Ruimtestaat[[#This Row],[Oppervlak (netto)]]</f>
        <v>0</v>
      </c>
      <c r="AJ405" s="445">
        <f>IF(AH405&gt;0,Ruimtestaat[[#This Row],[Prest. (m2 /jaar) weekend]]/Ruimtestaat[[#This Row],[Norm (m2/uur) weekend]],0)</f>
        <v>0</v>
      </c>
      <c r="AK405" s="444">
        <f>Ruimtestaat[[#This Row],[uren / jaar weekend]]*Tariefsopbouw!$D$40</f>
        <v>0</v>
      </c>
      <c r="AL405" s="441">
        <f>Ruimtestaat[[#This Row],[Prest. (m2 /jaar) weekend]]+Ruimtestaat[[#This Row],[Prest. (m2 /jaar) werkdagen]]</f>
        <v>398</v>
      </c>
      <c r="AM405" s="441">
        <f>Ruimtestaat[[#This Row],[uren / jaar weekend]]+Ruimtestaat[[#This Row],[uren / jaar werkdagen]]</f>
        <v>0</v>
      </c>
      <c r="AN405" s="446">
        <f>Ruimtestaat[[#This Row],[kosten / jaar weekend]]+Ruimtestaat[[#This Row],[kosten / jaar werkdagen]]</f>
        <v>0</v>
      </c>
      <c r="AO405" s="446"/>
      <c r="AP405" s="447" t="str">
        <f>IF(Ruimtestaat[[#This Row],[Frequentie werkdagen]]="","",_xlfn.CONCAT(Ruimtestaat[[#This Row],[Ruimte code]],"-",Ruimtestaat[[#This Row],[Frequentie werkdagen]]," ",Ruimtestaat[[#This Row],[Vloer code]]))</f>
        <v>1-5w S</v>
      </c>
      <c r="AQ405" s="448" t="str">
        <f>_xlfn.IFNA(VLOOKUP($AP405,Programma!$F$3:$G$1101,2,0),"")</f>
        <v>_</v>
      </c>
      <c r="AR405" s="448" t="str">
        <f>_xlfn.IFNA(VLOOKUP($AP405,Programma!$F$3:$H$1101,3,0),"")</f>
        <v>_</v>
      </c>
      <c r="AS405" s="448" t="str">
        <f>_xlfn.IFNA(VLOOKUP($AP405,Programma!$F$3:$I$1101,4,0),"")</f>
        <v>4w</v>
      </c>
      <c r="AT405" s="448" t="str">
        <f>_xlfn.IFNA(VLOOKUP($AP405,Programma!$F$3:$J$1101,5,0),"")</f>
        <v>1w</v>
      </c>
      <c r="AU405" s="448" t="str">
        <f>_xlfn.IFNA(VLOOKUP($AP405,Programma!$F$3:$K$1101,6,0),"")</f>
        <v>1j</v>
      </c>
      <c r="AV405" s="448" t="str">
        <f>_xlfn.IFNA(VLOOKUP($AP405,Programma!$F$3:$L$1101,7,0),"")</f>
        <v>_</v>
      </c>
      <c r="AW405" s="448" t="str">
        <f>_xlfn.IFNA(VLOOKUP($AP405,Programma!$F$3:$M$1101,8,0),"")</f>
        <v>_</v>
      </c>
      <c r="AX405" s="448" t="str">
        <f>_xlfn.IFNA(VLOOKUP($AP405,Programma!$F$3:$N$1101,9,0),"")</f>
        <v>_</v>
      </c>
      <c r="AY405" s="448" t="str">
        <f>_xlfn.IFNA(VLOOKUP($AP405,Programma!$F$3:$O$1101,10,0),"")</f>
        <v>_</v>
      </c>
      <c r="AZ405" s="448" t="str">
        <f>_xlfn.IFNA(VLOOKUP($AP405,Programma!$F$3:$P$1101,11,0),"")</f>
        <v>_</v>
      </c>
      <c r="BA405" s="448" t="str">
        <f>_xlfn.IFNA(VLOOKUP($AP405,Programma!$F$3:$Q$1101,12,0),"")</f>
        <v>_</v>
      </c>
      <c r="BB405" s="448" t="str">
        <f>_xlfn.IFNA(VLOOKUP($AP405,Programma!$F$3:$R$1101,13,0),"")</f>
        <v>_</v>
      </c>
      <c r="BC405" s="448" t="str">
        <f>_xlfn.IFNA(VLOOKUP($AP405,Programma!$F$3:$S$1101,14,0),"")</f>
        <v>5w</v>
      </c>
      <c r="BD405" s="448" t="str">
        <f>_xlfn.IFNA(VLOOKUP($AP405,Programma!$F$3:$T$1101,15,0),"")</f>
        <v>4j</v>
      </c>
      <c r="BE405" s="448" t="str">
        <f>_xlfn.IFNA(VLOOKUP($AP405,Programma!$F$3:$U$1101,16,0),"")</f>
        <v>4j</v>
      </c>
      <c r="BF405" s="448" t="str">
        <f>_xlfn.IFNA(VLOOKUP($AP405,Programma!$F$3:$V$1101,17,0),"")</f>
        <v>_</v>
      </c>
      <c r="BG405" s="448" t="str">
        <f>_xlfn.IFNA(VLOOKUP($AP405,Programma!$F$3:$W$1101,18,0),"")</f>
        <v>_</v>
      </c>
      <c r="BH405" s="448" t="str">
        <f>_xlfn.IFNA(VLOOKUP($AP405,Programma!$F$3:$X$1101,19,0),"")</f>
        <v>_</v>
      </c>
      <c r="BI405" s="448" t="str">
        <f>_xlfn.IFNA(VLOOKUP($AP405,Programma!$F$3:$Y$1101,20,0),"")</f>
        <v>_</v>
      </c>
      <c r="BJ405" s="449"/>
      <c r="BK405" s="447" t="str">
        <f>IF(Ruimtestaat[[#This Row],[Frequentie weekend]]="","",_xlfn.CONCAT(Ruimtestaat[[#This Row],[Ruimte code]],"-",Ruimtestaat[[#This Row],[Frequentie weekend]]," ",Ruimtestaat[[#This Row],[Vloer code]]))</f>
        <v/>
      </c>
      <c r="BL405" s="448" t="str">
        <f>_xlfn.IFNA(VLOOKUP($BK405,Programma!$F$3:$G$1101,2,0),"")</f>
        <v/>
      </c>
      <c r="BM405" s="448" t="str">
        <f>_xlfn.IFNA(VLOOKUP($BK405,Programma!$F$3:$H$1101,3,0),"")</f>
        <v/>
      </c>
      <c r="BN405" s="448" t="str">
        <f>_xlfn.IFNA(VLOOKUP($BK405,Programma!$F$3:$I$1101,4,0),"")</f>
        <v/>
      </c>
      <c r="BO405" s="448" t="str">
        <f>_xlfn.IFNA(VLOOKUP($BK405,Programma!$F$3:$J$1101,5,0),"")</f>
        <v/>
      </c>
      <c r="BP405" s="448" t="str">
        <f>_xlfn.IFNA(VLOOKUP($BK405,Programma!$F$3:$K$1101,6,0),"")</f>
        <v/>
      </c>
      <c r="BQ405" s="448" t="str">
        <f>_xlfn.IFNA(VLOOKUP($BK405,Programma!$F$3:$L$1101,7,0),"")</f>
        <v/>
      </c>
      <c r="BR405" s="448" t="str">
        <f>_xlfn.IFNA(VLOOKUP($BK405,Programma!$F$3:$M$1101,8,0),"")</f>
        <v/>
      </c>
      <c r="BS405" s="448" t="str">
        <f>_xlfn.IFNA(VLOOKUP($BK405,Programma!$F$3:$N$1101,9,0),"")</f>
        <v/>
      </c>
      <c r="BT405" s="448" t="str">
        <f>_xlfn.IFNA(VLOOKUP($BK405,Programma!$F$3:$O$1101,10,0),"")</f>
        <v/>
      </c>
      <c r="BU405" s="448" t="str">
        <f>_xlfn.IFNA(VLOOKUP($BK405,Programma!$F$3:$P$1101,11,0),"")</f>
        <v/>
      </c>
      <c r="BV405" s="448" t="str">
        <f>_xlfn.IFNA(VLOOKUP($BK405,Programma!$F$3:$Q$1101,12,0),"")</f>
        <v/>
      </c>
      <c r="BW405" s="448" t="str">
        <f>_xlfn.IFNA(VLOOKUP($BK405,Programma!$F$3:$R$1101,13,0),"")</f>
        <v/>
      </c>
      <c r="BX405" s="448" t="str">
        <f>_xlfn.IFNA(VLOOKUP($BK405,Programma!$F$3:$S$1101,14,0),"")</f>
        <v/>
      </c>
      <c r="BY405" s="448" t="str">
        <f>_xlfn.IFNA(VLOOKUP($BK405,Programma!$F$3:$T$1101,15,0),"")</f>
        <v/>
      </c>
      <c r="BZ405" s="448" t="str">
        <f>_xlfn.IFNA(VLOOKUP($BK405,Programma!$F$3:$U$1101,16,0),"")</f>
        <v/>
      </c>
      <c r="CA405" s="448" t="str">
        <f>_xlfn.IFNA(VLOOKUP($BK405,Programma!$F$3:$V$1101,17,0),"")</f>
        <v/>
      </c>
      <c r="CB405" s="448" t="str">
        <f>_xlfn.IFNA(VLOOKUP($BK405,Programma!$F$3:$W$1101,18,0),"")</f>
        <v/>
      </c>
      <c r="CC405" s="448" t="str">
        <f>_xlfn.IFNA(VLOOKUP($BK405,Programma!$F$3:$X$1101,19,0),"")</f>
        <v/>
      </c>
      <c r="CD405" s="448" t="str">
        <f>_xlfn.IFNA(VLOOKUP($BK405,Programma!$F$3:$Y$1101,20,0),"")</f>
        <v/>
      </c>
      <c r="CE405" s="327"/>
      <c r="CF405" s="327"/>
      <c r="CG405" s="327"/>
      <c r="CH405" s="327"/>
      <c r="CI405" s="327"/>
      <c r="CJ405" s="327"/>
      <c r="CK405" s="327"/>
      <c r="CL405" s="327"/>
      <c r="CM405" s="327"/>
      <c r="CN405" s="327"/>
      <c r="CO405" s="327"/>
      <c r="CP405" s="327"/>
      <c r="CQ405" s="327"/>
      <c r="CR405" s="327"/>
      <c r="CS405" s="327"/>
      <c r="CT405" s="327"/>
      <c r="CU405" s="327"/>
      <c r="CV405" s="327"/>
      <c r="CW405" s="327"/>
      <c r="CX405" s="327"/>
      <c r="CY405" s="327"/>
      <c r="CZ405" s="327"/>
      <c r="DA405" s="327"/>
      <c r="DB405" s="327"/>
      <c r="DC405" s="327"/>
      <c r="DD405" s="327"/>
      <c r="DE405" s="327"/>
      <c r="DF405" s="327"/>
      <c r="DG405" s="327"/>
      <c r="DH405" s="327"/>
      <c r="DI405" s="327"/>
      <c r="DJ405" s="327"/>
      <c r="DK405" s="327"/>
      <c r="DL405" s="327"/>
      <c r="DM405" s="327"/>
      <c r="DN405" s="327"/>
      <c r="DO405" s="327"/>
      <c r="DP405" s="327"/>
      <c r="DQ405" s="327"/>
      <c r="DR405" s="327"/>
      <c r="DS405" s="327"/>
      <c r="DT405" s="327"/>
      <c r="DU405" s="327"/>
      <c r="DV405" s="327"/>
      <c r="DW405" s="327"/>
      <c r="DX405" s="327"/>
      <c r="DY405" s="327"/>
      <c r="DZ405" s="327"/>
      <c r="EA405" s="327"/>
      <c r="EB405" s="327"/>
      <c r="EC405" s="327"/>
      <c r="ED405" s="327"/>
      <c r="EE405" s="327"/>
      <c r="EF405" s="327"/>
      <c r="EG405" s="327"/>
      <c r="EH405" s="327"/>
      <c r="EI405" s="327"/>
      <c r="EJ405" s="327"/>
      <c r="EK405" s="327"/>
      <c r="EL405" s="327"/>
      <c r="EM405" s="327"/>
      <c r="EN405" s="327"/>
      <c r="EO405" s="327"/>
      <c r="EP405" s="327"/>
      <c r="EQ405" s="327"/>
      <c r="ER405" s="327"/>
      <c r="ES405" s="327"/>
      <c r="ET405" s="327"/>
      <c r="EU405" s="327"/>
      <c r="EV405" s="327"/>
      <c r="EW405" s="327"/>
      <c r="EX405" s="327"/>
      <c r="EY405" s="327"/>
      <c r="EZ405" s="327"/>
      <c r="FA405" s="327"/>
      <c r="FB405" s="327"/>
      <c r="FC405" s="327"/>
      <c r="FD405" s="327"/>
      <c r="FE405" s="327"/>
      <c r="FF405" s="327"/>
      <c r="FG405" s="327"/>
      <c r="FH405" s="327"/>
      <c r="FI405" s="327"/>
      <c r="FJ405" s="327"/>
      <c r="FK405" s="327"/>
      <c r="FL405" s="327"/>
      <c r="FM405" s="327"/>
      <c r="FN405" s="327"/>
      <c r="FO405" s="327"/>
      <c r="FP405" s="327"/>
      <c r="FQ405" s="327"/>
      <c r="FR405" s="327"/>
      <c r="FS405" s="327"/>
      <c r="FT405" s="327"/>
      <c r="FU405" s="327"/>
      <c r="FV405" s="327"/>
      <c r="FW405" s="327"/>
      <c r="FX405" s="327"/>
      <c r="FY405" s="327"/>
      <c r="FZ405" s="327"/>
      <c r="GA405" s="327"/>
      <c r="GB405" s="327"/>
      <c r="GC405" s="327"/>
      <c r="GD405" s="327"/>
      <c r="GE405" s="327"/>
      <c r="GF405" s="327"/>
      <c r="GG405" s="327"/>
      <c r="GH405" s="327"/>
      <c r="GI405" s="327"/>
      <c r="GJ405" s="327"/>
      <c r="GK405" s="327"/>
      <c r="GL405" s="327"/>
      <c r="GM405" s="327"/>
      <c r="GN405" s="327"/>
      <c r="GO405" s="327"/>
      <c r="GP405" s="327"/>
      <c r="GQ405" s="327"/>
      <c r="GR405" s="327"/>
      <c r="GS405" s="327"/>
      <c r="GT405" s="327"/>
      <c r="GU405" s="327"/>
      <c r="GV405" s="327"/>
      <c r="GW405" s="327"/>
      <c r="GX405" s="327"/>
      <c r="GY405" s="327"/>
      <c r="GZ405" s="327"/>
      <c r="HA405" s="327"/>
      <c r="HB405" s="327"/>
      <c r="HC405" s="327"/>
      <c r="HD405" s="327"/>
      <c r="HE405" s="327"/>
      <c r="HF405" s="327"/>
      <c r="HG405" s="327"/>
      <c r="HH405" s="327"/>
      <c r="HI405" s="327"/>
      <c r="HJ405" s="327"/>
      <c r="HK405" s="327"/>
      <c r="HL405" s="327"/>
      <c r="HM405" s="327"/>
      <c r="HN405" s="327"/>
      <c r="HO405" s="327"/>
      <c r="HP405" s="327"/>
      <c r="HQ405" s="327"/>
      <c r="HR405" s="327"/>
      <c r="HS405" s="327"/>
    </row>
    <row r="406" spans="1:227" ht="15" customHeight="1">
      <c r="A406" s="327">
        <v>17</v>
      </c>
      <c r="B406" s="435" t="str">
        <f>VLOOKUP(Ruimtestaat[[#This Row],[Code]],Locaties[[Code]:[Locatie]],2,FALSE)</f>
        <v>IKC de Tjalk Kadelaan 208 (bijgebouw)</v>
      </c>
      <c r="C406" s="435" t="str">
        <f>VLOOKUP(Ruimtestaat[[#This Row],[Code]],Locaties[[#All],[Code]:[Adres]],4,FALSE)</f>
        <v>Kadelaan 208</v>
      </c>
      <c r="D406" s="435" t="str">
        <f>VLOOKUP(Ruimtestaat[[#This Row],[Code]],Locaties[[#All],[Code]:[Postcode]],5,FALSE)</f>
        <v>2725 BR</v>
      </c>
      <c r="E406" s="435" t="str">
        <f>VLOOKUP(Ruimtestaat[[#This Row],[Code]],Locaties[#All],6,FALSE)</f>
        <v>Zoetermeer</v>
      </c>
      <c r="F406" s="450"/>
      <c r="G406" s="330" t="s">
        <v>1678</v>
      </c>
      <c r="H406" s="330">
        <v>69</v>
      </c>
      <c r="I406" s="450" t="s">
        <v>1724</v>
      </c>
      <c r="J406" s="330">
        <v>1</v>
      </c>
      <c r="K406" s="450" t="str">
        <f>VLOOKUP(Ruimtestaat[[#This Row],[Ruimte code]],Ruimtegroepen[[#All],[Code]:[Ruimte omschrijving]],2,FALSE)</f>
        <v>Magazijnen/bergingen</v>
      </c>
      <c r="L406" s="330" t="s">
        <v>101</v>
      </c>
      <c r="M406" s="437" t="s">
        <v>1816</v>
      </c>
      <c r="N406" s="439">
        <v>1.99</v>
      </c>
      <c r="O406" s="439"/>
      <c r="P406" s="439"/>
      <c r="Q406" s="439"/>
      <c r="R406" s="440" t="str">
        <f>VLOOKUP(Ruimtestaat[[#This Row],[Ruimte code]],Ruimtegroepen[],4,FALSE)</f>
        <v>Ve</v>
      </c>
      <c r="S406" s="434">
        <v>40</v>
      </c>
      <c r="T406" s="434" t="s">
        <v>2</v>
      </c>
      <c r="U406" s="434">
        <f>IF(S406&gt;0,IF(RIGHT(Ruimtestaat[[#This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6" s="434">
        <f>IF(U406&gt;0,VLOOKUP($J406,Ruimtegroepen[],3,FALSE)*VLOOKUP($L406,Vloersoorten[],3,FALSE)*VLOOKUP($T406,Frequenties[],3,FALSE)*VLOOKUP($A406,Locaties[],3,FALSE),0)</f>
        <v>0</v>
      </c>
      <c r="W406" s="434">
        <f>Ruimtestaat[[#This Row],[Uitvoeringen werkdagen]]*Ruimtestaat[[#This Row],[Oppervlak (netto)]]</f>
        <v>398</v>
      </c>
      <c r="X406" s="441">
        <f>IF(V406&gt;0,Ruimtestaat[[#This Row],[Prest. (m2 /jaar) werkdagen]]/Ruimtestaat[[#This Row],[Norm (m2/uur) werkdagen]],0)</f>
        <v>0</v>
      </c>
      <c r="Y406" s="442">
        <f>Ruimtestaat[[#This Row],[Uitvoeringen werkdagen]]*Ruimtestaat[[#This Row],[Gedeeltelijk]]</f>
        <v>0</v>
      </c>
      <c r="Z406" s="443" t="e">
        <f>IF(U406&gt;0,Ruimtestaat[[#This Row],[Prest. (m2 / jaar) werkdagen gedeeld]]/Ruimtestaat[[#This Row],[Norm (m2/uur) werkdagen]],0)</f>
        <v>#DIV/0!</v>
      </c>
      <c r="AA406" s="441" t="e">
        <f>Ruimtestaat[[#This Row],[uren / jaar werkdagen gedeeld]]*Tariefsopbouw!$E$35</f>
        <v>#DIV/0!</v>
      </c>
      <c r="AB406" s="441">
        <f>Ruimtestaat[[#This Row],[Uitvoeringen werkdagen]]*Ruimtestaat[[#This Row],[BSO]]</f>
        <v>0</v>
      </c>
      <c r="AC406" s="443" t="e">
        <f>IF(U406&gt;0,Ruimtestaat[[#This Row],[Prest. (m2 / jaar) werkdagen BSO]]/Ruimtestaat[[#This Row],[Norm (m2/uur) werkdagen]],0)</f>
        <v>#DIV/0!</v>
      </c>
      <c r="AD406" s="443" t="e">
        <f>Ruimtestaat[[#This Row],[uren / jaar werkdagen BSO]]*Tariefsopbouw!$E$35</f>
        <v>#DIV/0!</v>
      </c>
      <c r="AE406" s="444">
        <f>Ruimtestaat[[#This Row],[uren / jaar werkdagen]]*Tariefsopbouw!$E$35</f>
        <v>0</v>
      </c>
      <c r="AF406" s="434"/>
      <c r="AG406" s="434">
        <f>IF(Ruimtestaat[[#This Row],[Frequentie weekend]]&gt;0,VALUE(LEFT(AF406,1))*S406,0)</f>
        <v>0</v>
      </c>
      <c r="AH406" s="445">
        <f>IF($AG406&gt;0,VLOOKUP($J406,Ruimtegroepen[],3,FALSE)*VLOOKUP($L406,Vloersoorten[],3,FALSE)*VLOOKUP($AF406,Frequenties[],3,FALSE)*VLOOKUP(Ruimtestaat[[#This Row],[Code]],Locaties[],3,FALSE),0)</f>
        <v>0</v>
      </c>
      <c r="AI406" s="445">
        <f>Ruimtestaat[[#This Row],[Uitvoeringen weekend]]*Ruimtestaat[[#This Row],[Oppervlak (netto)]]</f>
        <v>0</v>
      </c>
      <c r="AJ406" s="445">
        <f>IF(AH406&gt;0,Ruimtestaat[[#This Row],[Prest. (m2 /jaar) weekend]]/Ruimtestaat[[#This Row],[Norm (m2/uur) weekend]],0)</f>
        <v>0</v>
      </c>
      <c r="AK406" s="444">
        <f>Ruimtestaat[[#This Row],[uren / jaar weekend]]*Tariefsopbouw!$D$40</f>
        <v>0</v>
      </c>
      <c r="AL406" s="441">
        <f>Ruimtestaat[[#This Row],[Prest. (m2 /jaar) weekend]]+Ruimtestaat[[#This Row],[Prest. (m2 /jaar) werkdagen]]</f>
        <v>398</v>
      </c>
      <c r="AM406" s="441">
        <f>Ruimtestaat[[#This Row],[uren / jaar weekend]]+Ruimtestaat[[#This Row],[uren / jaar werkdagen]]</f>
        <v>0</v>
      </c>
      <c r="AN406" s="446">
        <f>Ruimtestaat[[#This Row],[kosten / jaar weekend]]+Ruimtestaat[[#This Row],[kosten / jaar werkdagen]]</f>
        <v>0</v>
      </c>
      <c r="AO406" s="446"/>
      <c r="AP406" s="447" t="str">
        <f>IF(Ruimtestaat[[#This Row],[Frequentie werkdagen]]="","",_xlfn.CONCAT(Ruimtestaat[[#This Row],[Ruimte code]],"-",Ruimtestaat[[#This Row],[Frequentie werkdagen]]," ",Ruimtestaat[[#This Row],[Vloer code]]))</f>
        <v>1-5w S</v>
      </c>
      <c r="AQ406" s="448" t="str">
        <f>_xlfn.IFNA(VLOOKUP($AP406,Programma!$F$3:$G$1101,2,0),"")</f>
        <v>_</v>
      </c>
      <c r="AR406" s="448" t="str">
        <f>_xlfn.IFNA(VLOOKUP($AP406,Programma!$F$3:$H$1101,3,0),"")</f>
        <v>_</v>
      </c>
      <c r="AS406" s="448" t="str">
        <f>_xlfn.IFNA(VLOOKUP($AP406,Programma!$F$3:$I$1101,4,0),"")</f>
        <v>4w</v>
      </c>
      <c r="AT406" s="448" t="str">
        <f>_xlfn.IFNA(VLOOKUP($AP406,Programma!$F$3:$J$1101,5,0),"")</f>
        <v>1w</v>
      </c>
      <c r="AU406" s="448" t="str">
        <f>_xlfn.IFNA(VLOOKUP($AP406,Programma!$F$3:$K$1101,6,0),"")</f>
        <v>1j</v>
      </c>
      <c r="AV406" s="448" t="str">
        <f>_xlfn.IFNA(VLOOKUP($AP406,Programma!$F$3:$L$1101,7,0),"")</f>
        <v>_</v>
      </c>
      <c r="AW406" s="448" t="str">
        <f>_xlfn.IFNA(VLOOKUP($AP406,Programma!$F$3:$M$1101,8,0),"")</f>
        <v>_</v>
      </c>
      <c r="AX406" s="448" t="str">
        <f>_xlfn.IFNA(VLOOKUP($AP406,Programma!$F$3:$N$1101,9,0),"")</f>
        <v>_</v>
      </c>
      <c r="AY406" s="448" t="str">
        <f>_xlfn.IFNA(VLOOKUP($AP406,Programma!$F$3:$O$1101,10,0),"")</f>
        <v>_</v>
      </c>
      <c r="AZ406" s="448" t="str">
        <f>_xlfn.IFNA(VLOOKUP($AP406,Programma!$F$3:$P$1101,11,0),"")</f>
        <v>_</v>
      </c>
      <c r="BA406" s="448" t="str">
        <f>_xlfn.IFNA(VLOOKUP($AP406,Programma!$F$3:$Q$1101,12,0),"")</f>
        <v>_</v>
      </c>
      <c r="BB406" s="448" t="str">
        <f>_xlfn.IFNA(VLOOKUP($AP406,Programma!$F$3:$R$1101,13,0),"")</f>
        <v>_</v>
      </c>
      <c r="BC406" s="448" t="str">
        <f>_xlfn.IFNA(VLOOKUP($AP406,Programma!$F$3:$S$1101,14,0),"")</f>
        <v>5w</v>
      </c>
      <c r="BD406" s="448" t="str">
        <f>_xlfn.IFNA(VLOOKUP($AP406,Programma!$F$3:$T$1101,15,0),"")</f>
        <v>4j</v>
      </c>
      <c r="BE406" s="448" t="str">
        <f>_xlfn.IFNA(VLOOKUP($AP406,Programma!$F$3:$U$1101,16,0),"")</f>
        <v>4j</v>
      </c>
      <c r="BF406" s="448" t="str">
        <f>_xlfn.IFNA(VLOOKUP($AP406,Programma!$F$3:$V$1101,17,0),"")</f>
        <v>_</v>
      </c>
      <c r="BG406" s="448" t="str">
        <f>_xlfn.IFNA(VLOOKUP($AP406,Programma!$F$3:$W$1101,18,0),"")</f>
        <v>_</v>
      </c>
      <c r="BH406" s="448" t="str">
        <f>_xlfn.IFNA(VLOOKUP($AP406,Programma!$F$3:$X$1101,19,0),"")</f>
        <v>_</v>
      </c>
      <c r="BI406" s="448" t="str">
        <f>_xlfn.IFNA(VLOOKUP($AP406,Programma!$F$3:$Y$1101,20,0),"")</f>
        <v>_</v>
      </c>
      <c r="BJ406" s="449"/>
      <c r="BK406" s="447" t="str">
        <f>IF(Ruimtestaat[[#This Row],[Frequentie weekend]]="","",_xlfn.CONCAT(Ruimtestaat[[#This Row],[Ruimte code]],"-",Ruimtestaat[[#This Row],[Frequentie weekend]]," ",Ruimtestaat[[#This Row],[Vloer code]]))</f>
        <v/>
      </c>
      <c r="BL406" s="448" t="str">
        <f>_xlfn.IFNA(VLOOKUP($BK406,Programma!$F$3:$G$1101,2,0),"")</f>
        <v/>
      </c>
      <c r="BM406" s="448" t="str">
        <f>_xlfn.IFNA(VLOOKUP($BK406,Programma!$F$3:$H$1101,3,0),"")</f>
        <v/>
      </c>
      <c r="BN406" s="448" t="str">
        <f>_xlfn.IFNA(VLOOKUP($BK406,Programma!$F$3:$I$1101,4,0),"")</f>
        <v/>
      </c>
      <c r="BO406" s="448" t="str">
        <f>_xlfn.IFNA(VLOOKUP($BK406,Programma!$F$3:$J$1101,5,0),"")</f>
        <v/>
      </c>
      <c r="BP406" s="448" t="str">
        <f>_xlfn.IFNA(VLOOKUP($BK406,Programma!$F$3:$K$1101,6,0),"")</f>
        <v/>
      </c>
      <c r="BQ406" s="448" t="str">
        <f>_xlfn.IFNA(VLOOKUP($BK406,Programma!$F$3:$L$1101,7,0),"")</f>
        <v/>
      </c>
      <c r="BR406" s="448" t="str">
        <f>_xlfn.IFNA(VLOOKUP($BK406,Programma!$F$3:$M$1101,8,0),"")</f>
        <v/>
      </c>
      <c r="BS406" s="448" t="str">
        <f>_xlfn.IFNA(VLOOKUP($BK406,Programma!$F$3:$N$1101,9,0),"")</f>
        <v/>
      </c>
      <c r="BT406" s="448" t="str">
        <f>_xlfn.IFNA(VLOOKUP($BK406,Programma!$F$3:$O$1101,10,0),"")</f>
        <v/>
      </c>
      <c r="BU406" s="448" t="str">
        <f>_xlfn.IFNA(VLOOKUP($BK406,Programma!$F$3:$P$1101,11,0),"")</f>
        <v/>
      </c>
      <c r="BV406" s="448" t="str">
        <f>_xlfn.IFNA(VLOOKUP($BK406,Programma!$F$3:$Q$1101,12,0),"")</f>
        <v/>
      </c>
      <c r="BW406" s="448" t="str">
        <f>_xlfn.IFNA(VLOOKUP($BK406,Programma!$F$3:$R$1101,13,0),"")</f>
        <v/>
      </c>
      <c r="BX406" s="448" t="str">
        <f>_xlfn.IFNA(VLOOKUP($BK406,Programma!$F$3:$S$1101,14,0),"")</f>
        <v/>
      </c>
      <c r="BY406" s="448" t="str">
        <f>_xlfn.IFNA(VLOOKUP($BK406,Programma!$F$3:$T$1101,15,0),"")</f>
        <v/>
      </c>
      <c r="BZ406" s="448" t="str">
        <f>_xlfn.IFNA(VLOOKUP($BK406,Programma!$F$3:$U$1101,16,0),"")</f>
        <v/>
      </c>
      <c r="CA406" s="448" t="str">
        <f>_xlfn.IFNA(VLOOKUP($BK406,Programma!$F$3:$V$1101,17,0),"")</f>
        <v/>
      </c>
      <c r="CB406" s="448" t="str">
        <f>_xlfn.IFNA(VLOOKUP($BK406,Programma!$F$3:$W$1101,18,0),"")</f>
        <v/>
      </c>
      <c r="CC406" s="448" t="str">
        <f>_xlfn.IFNA(VLOOKUP($BK406,Programma!$F$3:$X$1101,19,0),"")</f>
        <v/>
      </c>
      <c r="CD406" s="448" t="str">
        <f>_xlfn.IFNA(VLOOKUP($BK406,Programma!$F$3:$Y$1101,20,0),"")</f>
        <v/>
      </c>
      <c r="CE406" s="327"/>
      <c r="CF406" s="327"/>
      <c r="CG406" s="327"/>
      <c r="CH406" s="327"/>
      <c r="CI406" s="327"/>
      <c r="CJ406" s="327"/>
      <c r="CK406" s="327"/>
      <c r="CL406" s="327"/>
      <c r="CM406" s="327"/>
      <c r="CN406" s="327"/>
      <c r="CO406" s="327"/>
      <c r="CP406" s="327"/>
      <c r="CQ406" s="327"/>
      <c r="CR406" s="327"/>
      <c r="CS406" s="327"/>
      <c r="CT406" s="327"/>
      <c r="CU406" s="327"/>
      <c r="CV406" s="327"/>
      <c r="CW406" s="327"/>
      <c r="CX406" s="327"/>
      <c r="CY406" s="327"/>
      <c r="CZ406" s="327"/>
      <c r="DA406" s="327"/>
      <c r="DB406" s="327"/>
      <c r="DC406" s="327"/>
      <c r="DD406" s="327"/>
      <c r="DE406" s="327"/>
      <c r="DF406" s="327"/>
      <c r="DG406" s="327"/>
      <c r="DH406" s="327"/>
      <c r="DI406" s="327"/>
      <c r="DJ406" s="327"/>
      <c r="DK406" s="327"/>
      <c r="DL406" s="327"/>
      <c r="DM406" s="327"/>
      <c r="DN406" s="327"/>
      <c r="DO406" s="327"/>
      <c r="DP406" s="327"/>
      <c r="DQ406" s="327"/>
      <c r="DR406" s="327"/>
      <c r="DS406" s="327"/>
      <c r="DT406" s="327"/>
      <c r="DU406" s="327"/>
      <c r="DV406" s="327"/>
      <c r="DW406" s="327"/>
      <c r="DX406" s="327"/>
      <c r="DY406" s="327"/>
      <c r="DZ406" s="327"/>
      <c r="EA406" s="327"/>
      <c r="EB406" s="327"/>
      <c r="EC406" s="327"/>
      <c r="ED406" s="327"/>
      <c r="EE406" s="327"/>
      <c r="EF406" s="327"/>
      <c r="EG406" s="327"/>
      <c r="EH406" s="327"/>
      <c r="EI406" s="327"/>
      <c r="EJ406" s="327"/>
      <c r="EK406" s="327"/>
      <c r="EL406" s="327"/>
      <c r="EM406" s="327"/>
      <c r="EN406" s="327"/>
      <c r="EO406" s="327"/>
      <c r="EP406" s="327"/>
      <c r="EQ406" s="327"/>
      <c r="ER406" s="327"/>
      <c r="ES406" s="327"/>
      <c r="ET406" s="327"/>
      <c r="EU406" s="327"/>
      <c r="EV406" s="327"/>
      <c r="EW406" s="327"/>
      <c r="EX406" s="327"/>
      <c r="EY406" s="327"/>
      <c r="EZ406" s="327"/>
      <c r="FA406" s="327"/>
      <c r="FB406" s="327"/>
      <c r="FC406" s="327"/>
      <c r="FD406" s="327"/>
      <c r="FE406" s="327"/>
      <c r="FF406" s="327"/>
      <c r="FG406" s="327"/>
      <c r="FH406" s="327"/>
      <c r="FI406" s="327"/>
      <c r="FJ406" s="327"/>
      <c r="FK406" s="327"/>
      <c r="FL406" s="327"/>
      <c r="FM406" s="327"/>
      <c r="FN406" s="327"/>
      <c r="FO406" s="327"/>
      <c r="FP406" s="327"/>
      <c r="FQ406" s="327"/>
      <c r="FR406" s="327"/>
      <c r="FS406" s="327"/>
      <c r="FT406" s="327"/>
      <c r="FU406" s="327"/>
      <c r="FV406" s="327"/>
      <c r="FW406" s="327"/>
      <c r="FX406" s="327"/>
      <c r="FY406" s="327"/>
      <c r="FZ406" s="327"/>
      <c r="GA406" s="327"/>
      <c r="GB406" s="327"/>
      <c r="GC406" s="327"/>
      <c r="GD406" s="327"/>
      <c r="GE406" s="327"/>
      <c r="GF406" s="327"/>
      <c r="GG406" s="327"/>
      <c r="GH406" s="327"/>
      <c r="GI406" s="327"/>
      <c r="GJ406" s="327"/>
      <c r="GK406" s="327"/>
      <c r="GL406" s="327"/>
      <c r="GM406" s="327"/>
      <c r="GN406" s="327"/>
      <c r="GO406" s="327"/>
      <c r="GP406" s="327"/>
      <c r="GQ406" s="327"/>
      <c r="GR406" s="327"/>
      <c r="GS406" s="327"/>
      <c r="GT406" s="327"/>
      <c r="GU406" s="327"/>
      <c r="GV406" s="327"/>
      <c r="GW406" s="327"/>
      <c r="GX406" s="327"/>
      <c r="GY406" s="327"/>
      <c r="GZ406" s="327"/>
      <c r="HA406" s="327"/>
      <c r="HB406" s="327"/>
      <c r="HC406" s="327"/>
      <c r="HD406" s="327"/>
      <c r="HE406" s="327"/>
      <c r="HF406" s="327"/>
      <c r="HG406" s="327"/>
      <c r="HH406" s="327"/>
      <c r="HI406" s="327"/>
      <c r="HJ406" s="327"/>
      <c r="HK406" s="327"/>
      <c r="HL406" s="327"/>
      <c r="HM406" s="327"/>
      <c r="HN406" s="327"/>
      <c r="HO406" s="327"/>
      <c r="HP406" s="327"/>
      <c r="HQ406" s="327"/>
      <c r="HR406" s="327"/>
      <c r="HS406" s="327"/>
    </row>
    <row r="407" spans="1:227" ht="15" customHeight="1">
      <c r="A407" s="327">
        <v>17</v>
      </c>
      <c r="B407" s="435" t="str">
        <f>VLOOKUP(Ruimtestaat[[#This Row],[Code]],Locaties[[Code]:[Locatie]],2,FALSE)</f>
        <v>IKC de Tjalk Kadelaan 208 (bijgebouw)</v>
      </c>
      <c r="C407" s="435" t="str">
        <f>VLOOKUP(Ruimtestaat[[#This Row],[Code]],Locaties[[#All],[Code]:[Adres]],4,FALSE)</f>
        <v>Kadelaan 208</v>
      </c>
      <c r="D407" s="435" t="str">
        <f>VLOOKUP(Ruimtestaat[[#This Row],[Code]],Locaties[[#All],[Code]:[Postcode]],5,FALSE)</f>
        <v>2725 BR</v>
      </c>
      <c r="E407" s="435" t="str">
        <f>VLOOKUP(Ruimtestaat[[#This Row],[Code]],Locaties[#All],6,FALSE)</f>
        <v>Zoetermeer</v>
      </c>
      <c r="F407" s="450"/>
      <c r="G407" s="330" t="s">
        <v>1678</v>
      </c>
      <c r="H407" s="330">
        <v>19</v>
      </c>
      <c r="I407" s="450" t="s">
        <v>1793</v>
      </c>
      <c r="J407" s="330">
        <v>5</v>
      </c>
      <c r="K407" s="450" t="str">
        <f>VLOOKUP(Ruimtestaat[[#This Row],[Ruimte code]],Ruimtegroepen[[#All],[Code]:[Ruimte omschrijving]],2,FALSE)</f>
        <v>Sanitair</v>
      </c>
      <c r="L407" s="330" t="s">
        <v>101</v>
      </c>
      <c r="M407" s="437" t="s">
        <v>1816</v>
      </c>
      <c r="N407" s="439">
        <v>4.33</v>
      </c>
      <c r="O407" s="439"/>
      <c r="P407" s="439"/>
      <c r="Q407" s="439"/>
      <c r="R407" s="440" t="str">
        <f>VLOOKUP(Ruimtestaat[[#This Row],[Ruimte code]],Ruimtegroepen[],4,FALSE)</f>
        <v>Sa</v>
      </c>
      <c r="S407" s="434">
        <v>41</v>
      </c>
      <c r="T407" s="434" t="s">
        <v>2</v>
      </c>
      <c r="U407" s="434">
        <f>IF(S407&gt;0,IF(RIGHT(Ruimtestaat[[#This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07" s="434">
        <f>IF(U407&gt;0,VLOOKUP($J407,Ruimtegroepen[],3,FALSE)*VLOOKUP($L407,Vloersoorten[],3,FALSE)*VLOOKUP($T407,Frequenties[],3,FALSE)*VLOOKUP($A407,Locaties[],3,FALSE),0)</f>
        <v>0</v>
      </c>
      <c r="W407" s="434">
        <f>Ruimtestaat[[#This Row],[Uitvoeringen werkdagen]]*Ruimtestaat[[#This Row],[Oppervlak (netto)]]</f>
        <v>887.65</v>
      </c>
      <c r="X407" s="441">
        <f>IF(V407&gt;0,Ruimtestaat[[#This Row],[Prest. (m2 /jaar) werkdagen]]/Ruimtestaat[[#This Row],[Norm (m2/uur) werkdagen]],0)</f>
        <v>0</v>
      </c>
      <c r="Y407" s="442">
        <f>Ruimtestaat[[#This Row],[Uitvoeringen werkdagen]]*Ruimtestaat[[#This Row],[Gedeeltelijk]]</f>
        <v>0</v>
      </c>
      <c r="Z407" s="443" t="e">
        <f>IF(U407&gt;0,Ruimtestaat[[#This Row],[Prest. (m2 / jaar) werkdagen gedeeld]]/Ruimtestaat[[#This Row],[Norm (m2/uur) werkdagen]],0)</f>
        <v>#DIV/0!</v>
      </c>
      <c r="AA407" s="441" t="e">
        <f>Ruimtestaat[[#This Row],[uren / jaar werkdagen gedeeld]]*Tariefsopbouw!$E$35</f>
        <v>#DIV/0!</v>
      </c>
      <c r="AB407" s="441">
        <f>Ruimtestaat[[#This Row],[Uitvoeringen werkdagen]]*Ruimtestaat[[#This Row],[BSO]]</f>
        <v>0</v>
      </c>
      <c r="AC407" s="443" t="e">
        <f>IF(U407&gt;0,Ruimtestaat[[#This Row],[Prest. (m2 / jaar) werkdagen BSO]]/Ruimtestaat[[#This Row],[Norm (m2/uur) werkdagen]],0)</f>
        <v>#DIV/0!</v>
      </c>
      <c r="AD407" s="443" t="e">
        <f>Ruimtestaat[[#This Row],[uren / jaar werkdagen BSO]]*Tariefsopbouw!$E$35</f>
        <v>#DIV/0!</v>
      </c>
      <c r="AE407" s="444">
        <f>Ruimtestaat[[#This Row],[uren / jaar werkdagen]]*Tariefsopbouw!$E$35</f>
        <v>0</v>
      </c>
      <c r="AF407" s="434"/>
      <c r="AG407" s="434">
        <f>IF(Ruimtestaat[[#This Row],[Frequentie weekend]]&gt;0,VALUE(LEFT(AF407,1))*S407,0)</f>
        <v>0</v>
      </c>
      <c r="AH407" s="445">
        <f>IF($AG407&gt;0,VLOOKUP($J407,Ruimtegroepen[],3,FALSE)*VLOOKUP($L407,Vloersoorten[],3,FALSE)*VLOOKUP($AF407,Frequenties[],3,FALSE)*VLOOKUP(Ruimtestaat[[#This Row],[Code]],Locaties[],3,FALSE),0)</f>
        <v>0</v>
      </c>
      <c r="AI407" s="445">
        <f>Ruimtestaat[[#This Row],[Uitvoeringen weekend]]*Ruimtestaat[[#This Row],[Oppervlak (netto)]]</f>
        <v>0</v>
      </c>
      <c r="AJ407" s="445">
        <f>IF(AH407&gt;0,Ruimtestaat[[#This Row],[Prest. (m2 /jaar) weekend]]/Ruimtestaat[[#This Row],[Norm (m2/uur) weekend]],0)</f>
        <v>0</v>
      </c>
      <c r="AK407" s="444">
        <f>Ruimtestaat[[#This Row],[uren / jaar weekend]]*Tariefsopbouw!$D$40</f>
        <v>0</v>
      </c>
      <c r="AL407" s="441">
        <f>Ruimtestaat[[#This Row],[Prest. (m2 /jaar) weekend]]+Ruimtestaat[[#This Row],[Prest. (m2 /jaar) werkdagen]]</f>
        <v>887.65</v>
      </c>
      <c r="AM407" s="441">
        <f>Ruimtestaat[[#This Row],[uren / jaar weekend]]+Ruimtestaat[[#This Row],[uren / jaar werkdagen]]</f>
        <v>0</v>
      </c>
      <c r="AN407" s="446">
        <f>Ruimtestaat[[#This Row],[kosten / jaar weekend]]+Ruimtestaat[[#This Row],[kosten / jaar werkdagen]]</f>
        <v>0</v>
      </c>
      <c r="AO407" s="446"/>
      <c r="AP407" s="447" t="str">
        <f>IF(Ruimtestaat[[#This Row],[Frequentie werkdagen]]="","",_xlfn.CONCAT(Ruimtestaat[[#This Row],[Ruimte code]],"-",Ruimtestaat[[#This Row],[Frequentie werkdagen]]," ",Ruimtestaat[[#This Row],[Vloer code]]))</f>
        <v>5-5w S</v>
      </c>
      <c r="AQ407" s="448" t="str">
        <f>_xlfn.IFNA(VLOOKUP($AP407,Programma!$F$3:$G$1101,2,0),"")</f>
        <v>_</v>
      </c>
      <c r="AR407" s="448" t="str">
        <f>_xlfn.IFNA(VLOOKUP($AP407,Programma!$F$3:$H$1101,3,0),"")</f>
        <v>_</v>
      </c>
      <c r="AS407" s="448" t="str">
        <f>_xlfn.IFNA(VLOOKUP($AP407,Programma!$F$3:$I$1101,4,0),"")</f>
        <v>_</v>
      </c>
      <c r="AT407" s="448" t="str">
        <f>_xlfn.IFNA(VLOOKUP($AP407,Programma!$F$3:$J$1101,5,0),"")</f>
        <v>4w</v>
      </c>
      <c r="AU407" s="448" t="str">
        <f>_xlfn.IFNA(VLOOKUP($AP407,Programma!$F$3:$K$1101,6,0),"")</f>
        <v>1w</v>
      </c>
      <c r="AV407" s="448" t="str">
        <f>_xlfn.IFNA(VLOOKUP($AP407,Programma!$F$3:$L$1101,7,0),"")</f>
        <v>_</v>
      </c>
      <c r="AW407" s="448" t="str">
        <f>_xlfn.IFNA(VLOOKUP($AP407,Programma!$F$3:$M$1101,8,0),"")</f>
        <v>_</v>
      </c>
      <c r="AX407" s="448" t="str">
        <f>_xlfn.IFNA(VLOOKUP($AP407,Programma!$F$3:$N$1101,9,0),"")</f>
        <v>_</v>
      </c>
      <c r="AY407" s="448" t="str">
        <f>_xlfn.IFNA(VLOOKUP($AP407,Programma!$F$3:$O$1101,10,0),"")</f>
        <v>_</v>
      </c>
      <c r="AZ407" s="448" t="str">
        <f>_xlfn.IFNA(VLOOKUP($AP407,Programma!$F$3:$P$1101,11,0),"")</f>
        <v>_</v>
      </c>
      <c r="BA407" s="448" t="str">
        <f>_xlfn.IFNA(VLOOKUP($AP407,Programma!$F$3:$Q$1101,12,0),"")</f>
        <v>_</v>
      </c>
      <c r="BB407" s="448" t="str">
        <f>_xlfn.IFNA(VLOOKUP($AP407,Programma!$F$3:$R$1101,13,0),"")</f>
        <v>_</v>
      </c>
      <c r="BC407" s="448" t="str">
        <f>_xlfn.IFNA(VLOOKUP($AP407,Programma!$F$3:$S$1101,14,0),"")</f>
        <v>_</v>
      </c>
      <c r="BD407" s="448" t="str">
        <f>_xlfn.IFNA(VLOOKUP($AP407,Programma!$F$3:$T$1101,15,0),"")</f>
        <v>_</v>
      </c>
      <c r="BE407" s="448" t="str">
        <f>_xlfn.IFNA(VLOOKUP($AP407,Programma!$F$3:$U$1101,16,0),"")</f>
        <v>_</v>
      </c>
      <c r="BF407" s="448" t="str">
        <f>_xlfn.IFNA(VLOOKUP($AP407,Programma!$F$3:$V$1101,17,0),"")</f>
        <v>_</v>
      </c>
      <c r="BG407" s="448" t="str">
        <f>_xlfn.IFNA(VLOOKUP($AP407,Programma!$F$3:$W$1101,18,0),"")</f>
        <v>4w</v>
      </c>
      <c r="BH407" s="448" t="str">
        <f>_xlfn.IFNA(VLOOKUP($AP407,Programma!$F$3:$X$1101,19,0),"")</f>
        <v>1w</v>
      </c>
      <c r="BI407" s="448" t="str">
        <f>_xlfn.IFNA(VLOOKUP($AP407,Programma!$F$3:$Y$1101,20,0),"")</f>
        <v>_</v>
      </c>
      <c r="BJ407" s="449"/>
      <c r="BK407" s="447" t="str">
        <f>IF(Ruimtestaat[[#This Row],[Frequentie weekend]]="","",_xlfn.CONCAT(Ruimtestaat[[#This Row],[Ruimte code]],"-",Ruimtestaat[[#This Row],[Frequentie weekend]]," ",Ruimtestaat[[#This Row],[Vloer code]]))</f>
        <v/>
      </c>
      <c r="BL407" s="448" t="str">
        <f>_xlfn.IFNA(VLOOKUP($BK407,Programma!$F$3:$G$1101,2,0),"")</f>
        <v/>
      </c>
      <c r="BM407" s="448" t="str">
        <f>_xlfn.IFNA(VLOOKUP($BK407,Programma!$F$3:$H$1101,3,0),"")</f>
        <v/>
      </c>
      <c r="BN407" s="448" t="str">
        <f>_xlfn.IFNA(VLOOKUP($BK407,Programma!$F$3:$I$1101,4,0),"")</f>
        <v/>
      </c>
      <c r="BO407" s="448" t="str">
        <f>_xlfn.IFNA(VLOOKUP($BK407,Programma!$F$3:$J$1101,5,0),"")</f>
        <v/>
      </c>
      <c r="BP407" s="448" t="str">
        <f>_xlfn.IFNA(VLOOKUP($BK407,Programma!$F$3:$K$1101,6,0),"")</f>
        <v/>
      </c>
      <c r="BQ407" s="448" t="str">
        <f>_xlfn.IFNA(VLOOKUP($BK407,Programma!$F$3:$L$1101,7,0),"")</f>
        <v/>
      </c>
      <c r="BR407" s="448" t="str">
        <f>_xlfn.IFNA(VLOOKUP($BK407,Programma!$F$3:$M$1101,8,0),"")</f>
        <v/>
      </c>
      <c r="BS407" s="448" t="str">
        <f>_xlfn.IFNA(VLOOKUP($BK407,Programma!$F$3:$N$1101,9,0),"")</f>
        <v/>
      </c>
      <c r="BT407" s="448" t="str">
        <f>_xlfn.IFNA(VLOOKUP($BK407,Programma!$F$3:$O$1101,10,0),"")</f>
        <v/>
      </c>
      <c r="BU407" s="448" t="str">
        <f>_xlfn.IFNA(VLOOKUP($BK407,Programma!$F$3:$P$1101,11,0),"")</f>
        <v/>
      </c>
      <c r="BV407" s="448" t="str">
        <f>_xlfn.IFNA(VLOOKUP($BK407,Programma!$F$3:$Q$1101,12,0),"")</f>
        <v/>
      </c>
      <c r="BW407" s="448" t="str">
        <f>_xlfn.IFNA(VLOOKUP($BK407,Programma!$F$3:$R$1101,13,0),"")</f>
        <v/>
      </c>
      <c r="BX407" s="448" t="str">
        <f>_xlfn.IFNA(VLOOKUP($BK407,Programma!$F$3:$S$1101,14,0),"")</f>
        <v/>
      </c>
      <c r="BY407" s="448" t="str">
        <f>_xlfn.IFNA(VLOOKUP($BK407,Programma!$F$3:$T$1101,15,0),"")</f>
        <v/>
      </c>
      <c r="BZ407" s="448" t="str">
        <f>_xlfn.IFNA(VLOOKUP($BK407,Programma!$F$3:$U$1101,16,0),"")</f>
        <v/>
      </c>
      <c r="CA407" s="448" t="str">
        <f>_xlfn.IFNA(VLOOKUP($BK407,Programma!$F$3:$V$1101,17,0),"")</f>
        <v/>
      </c>
      <c r="CB407" s="448" t="str">
        <f>_xlfn.IFNA(VLOOKUP($BK407,Programma!$F$3:$W$1101,18,0),"")</f>
        <v/>
      </c>
      <c r="CC407" s="448" t="str">
        <f>_xlfn.IFNA(VLOOKUP($BK407,Programma!$F$3:$X$1101,19,0),"")</f>
        <v/>
      </c>
      <c r="CD407" s="448" t="str">
        <f>_xlfn.IFNA(VLOOKUP($BK407,Programma!$F$3:$Y$1101,20,0),"")</f>
        <v/>
      </c>
      <c r="CE407" s="327"/>
      <c r="CF407" s="327"/>
      <c r="CG407" s="327"/>
      <c r="CH407" s="327"/>
      <c r="CI407" s="327"/>
      <c r="CJ407" s="327"/>
      <c r="CK407" s="327"/>
      <c r="CL407" s="327"/>
      <c r="CM407" s="327"/>
      <c r="CN407" s="327"/>
      <c r="CO407" s="327"/>
      <c r="CP407" s="327"/>
      <c r="CQ407" s="327"/>
      <c r="CR407" s="327"/>
      <c r="CS407" s="327"/>
      <c r="CT407" s="327"/>
      <c r="CU407" s="327"/>
      <c r="CV407" s="327"/>
      <c r="CW407" s="327"/>
      <c r="CX407" s="327"/>
      <c r="CY407" s="327"/>
      <c r="CZ407" s="327"/>
      <c r="DA407" s="327"/>
      <c r="DB407" s="327"/>
      <c r="DC407" s="327"/>
      <c r="DD407" s="327"/>
      <c r="DE407" s="327"/>
      <c r="DF407" s="327"/>
      <c r="DG407" s="327"/>
      <c r="DH407" s="327"/>
      <c r="DI407" s="327"/>
      <c r="DJ407" s="327"/>
      <c r="DK407" s="327"/>
      <c r="DL407" s="327"/>
      <c r="DM407" s="327"/>
      <c r="DN407" s="327"/>
      <c r="DO407" s="327"/>
      <c r="DP407" s="327"/>
      <c r="DQ407" s="327"/>
      <c r="DR407" s="327"/>
      <c r="DS407" s="327"/>
      <c r="DT407" s="327"/>
      <c r="DU407" s="327"/>
      <c r="DV407" s="327"/>
      <c r="DW407" s="327"/>
      <c r="DX407" s="327"/>
      <c r="DY407" s="327"/>
      <c r="DZ407" s="327"/>
      <c r="EA407" s="327"/>
      <c r="EB407" s="327"/>
      <c r="EC407" s="327"/>
      <c r="ED407" s="327"/>
      <c r="EE407" s="327"/>
      <c r="EF407" s="327"/>
      <c r="EG407" s="327"/>
      <c r="EH407" s="327"/>
      <c r="EI407" s="327"/>
      <c r="EJ407" s="327"/>
      <c r="EK407" s="327"/>
      <c r="EL407" s="327"/>
      <c r="EM407" s="327"/>
      <c r="EN407" s="327"/>
      <c r="EO407" s="327"/>
      <c r="EP407" s="327"/>
      <c r="EQ407" s="327"/>
      <c r="ER407" s="327"/>
      <c r="ES407" s="327"/>
      <c r="ET407" s="327"/>
      <c r="EU407" s="327"/>
      <c r="EV407" s="327"/>
      <c r="EW407" s="327"/>
      <c r="EX407" s="327"/>
      <c r="EY407" s="327"/>
      <c r="EZ407" s="327"/>
      <c r="FA407" s="327"/>
      <c r="FB407" s="327"/>
      <c r="FC407" s="327"/>
      <c r="FD407" s="327"/>
      <c r="FE407" s="327"/>
      <c r="FF407" s="327"/>
      <c r="FG407" s="327"/>
      <c r="FH407" s="327"/>
      <c r="FI407" s="327"/>
      <c r="FJ407" s="327"/>
      <c r="FK407" s="327"/>
      <c r="FL407" s="327"/>
      <c r="FM407" s="327"/>
      <c r="FN407" s="327"/>
      <c r="FO407" s="327"/>
      <c r="FP407" s="327"/>
      <c r="FQ407" s="327"/>
      <c r="FR407" s="327"/>
      <c r="FS407" s="327"/>
      <c r="FT407" s="327"/>
      <c r="FU407" s="327"/>
      <c r="FV407" s="327"/>
      <c r="FW407" s="327"/>
      <c r="FX407" s="327"/>
      <c r="FY407" s="327"/>
      <c r="FZ407" s="327"/>
      <c r="GA407" s="327"/>
      <c r="GB407" s="327"/>
      <c r="GC407" s="327"/>
      <c r="GD407" s="327"/>
      <c r="GE407" s="327"/>
      <c r="GF407" s="327"/>
      <c r="GG407" s="327"/>
      <c r="GH407" s="327"/>
      <c r="GI407" s="327"/>
      <c r="GJ407" s="327"/>
      <c r="GK407" s="327"/>
      <c r="GL407" s="327"/>
      <c r="GM407" s="327"/>
      <c r="GN407" s="327"/>
      <c r="GO407" s="327"/>
      <c r="GP407" s="327"/>
      <c r="GQ407" s="327"/>
      <c r="GR407" s="327"/>
      <c r="GS407" s="327"/>
      <c r="GT407" s="327"/>
      <c r="GU407" s="327"/>
      <c r="GV407" s="327"/>
      <c r="GW407" s="327"/>
      <c r="GX407" s="327"/>
      <c r="GY407" s="327"/>
      <c r="GZ407" s="327"/>
      <c r="HA407" s="327"/>
      <c r="HB407" s="327"/>
      <c r="HC407" s="327"/>
      <c r="HD407" s="327"/>
      <c r="HE407" s="327"/>
      <c r="HF407" s="327"/>
      <c r="HG407" s="327"/>
      <c r="HH407" s="327"/>
      <c r="HI407" s="327"/>
      <c r="HJ407" s="327"/>
      <c r="HK407" s="327"/>
      <c r="HL407" s="327"/>
      <c r="HM407" s="327"/>
      <c r="HN407" s="327"/>
      <c r="HO407" s="327"/>
      <c r="HP407" s="327"/>
      <c r="HQ407" s="327"/>
      <c r="HR407" s="327"/>
      <c r="HS407" s="327"/>
    </row>
    <row r="408" spans="1:227" ht="15" customHeight="1">
      <c r="A408" s="327">
        <v>17</v>
      </c>
      <c r="B408" s="435" t="str">
        <f>VLOOKUP(Ruimtestaat[[#This Row],[Code]],Locaties[[Code]:[Locatie]],2,FALSE)</f>
        <v>IKC de Tjalk Kadelaan 208 (bijgebouw)</v>
      </c>
      <c r="C408" s="435" t="str">
        <f>VLOOKUP(Ruimtestaat[[#This Row],[Code]],Locaties[[#All],[Code]:[Adres]],4,FALSE)</f>
        <v>Kadelaan 208</v>
      </c>
      <c r="D408" s="435" t="str">
        <f>VLOOKUP(Ruimtestaat[[#This Row],[Code]],Locaties[[#All],[Code]:[Postcode]],5,FALSE)</f>
        <v>2725 BR</v>
      </c>
      <c r="E408" s="435" t="str">
        <f>VLOOKUP(Ruimtestaat[[#This Row],[Code]],Locaties[#All],6,FALSE)</f>
        <v>Zoetermeer</v>
      </c>
      <c r="F408" s="450"/>
      <c r="G408" s="330" t="s">
        <v>1678</v>
      </c>
      <c r="H408" s="330">
        <v>23</v>
      </c>
      <c r="I408" s="450" t="s">
        <v>1851</v>
      </c>
      <c r="J408" s="330">
        <v>1</v>
      </c>
      <c r="K408" s="450" t="str">
        <f>VLOOKUP(Ruimtestaat[[#This Row],[Ruimte code]],Ruimtegroepen[[#All],[Code]:[Ruimte omschrijving]],2,FALSE)</f>
        <v>Magazijnen/bergingen</v>
      </c>
      <c r="L408" s="330" t="s">
        <v>101</v>
      </c>
      <c r="M408" s="437" t="s">
        <v>1816</v>
      </c>
      <c r="N408" s="439">
        <v>3.88</v>
      </c>
      <c r="O408" s="439"/>
      <c r="P408" s="439"/>
      <c r="Q408" s="439"/>
      <c r="R408" s="440" t="str">
        <f>VLOOKUP(Ruimtestaat[[#This Row],[Ruimte code]],Ruimtegroepen[],4,FALSE)</f>
        <v>Ve</v>
      </c>
      <c r="S408" s="434">
        <v>40</v>
      </c>
      <c r="T408" s="434" t="s">
        <v>2</v>
      </c>
      <c r="U408" s="434">
        <f>IF(S408&gt;0,IF(RIGHT(Ruimtestaat[[#This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8" s="434">
        <f>IF(U408&gt;0,VLOOKUP($J408,Ruimtegroepen[],3,FALSE)*VLOOKUP($L408,Vloersoorten[],3,FALSE)*VLOOKUP($T408,Frequenties[],3,FALSE)*VLOOKUP($A408,Locaties[],3,FALSE),0)</f>
        <v>0</v>
      </c>
      <c r="W408" s="434">
        <f>Ruimtestaat[[#This Row],[Uitvoeringen werkdagen]]*Ruimtestaat[[#This Row],[Oppervlak (netto)]]</f>
        <v>776</v>
      </c>
      <c r="X408" s="441">
        <f>IF(V408&gt;0,Ruimtestaat[[#This Row],[Prest. (m2 /jaar) werkdagen]]/Ruimtestaat[[#This Row],[Norm (m2/uur) werkdagen]],0)</f>
        <v>0</v>
      </c>
      <c r="Y408" s="442">
        <f>Ruimtestaat[[#This Row],[Uitvoeringen werkdagen]]*Ruimtestaat[[#This Row],[Gedeeltelijk]]</f>
        <v>0</v>
      </c>
      <c r="Z408" s="443" t="e">
        <f>IF(U408&gt;0,Ruimtestaat[[#This Row],[Prest. (m2 / jaar) werkdagen gedeeld]]/Ruimtestaat[[#This Row],[Norm (m2/uur) werkdagen]],0)</f>
        <v>#DIV/0!</v>
      </c>
      <c r="AA408" s="441" t="e">
        <f>Ruimtestaat[[#This Row],[uren / jaar werkdagen gedeeld]]*Tariefsopbouw!$E$35</f>
        <v>#DIV/0!</v>
      </c>
      <c r="AB408" s="441">
        <f>Ruimtestaat[[#This Row],[Uitvoeringen werkdagen]]*Ruimtestaat[[#This Row],[BSO]]</f>
        <v>0</v>
      </c>
      <c r="AC408" s="443" t="e">
        <f>IF(U408&gt;0,Ruimtestaat[[#This Row],[Prest. (m2 / jaar) werkdagen BSO]]/Ruimtestaat[[#This Row],[Norm (m2/uur) werkdagen]],0)</f>
        <v>#DIV/0!</v>
      </c>
      <c r="AD408" s="443" t="e">
        <f>Ruimtestaat[[#This Row],[uren / jaar werkdagen BSO]]*Tariefsopbouw!$E$35</f>
        <v>#DIV/0!</v>
      </c>
      <c r="AE408" s="444">
        <f>Ruimtestaat[[#This Row],[uren / jaar werkdagen]]*Tariefsopbouw!$E$35</f>
        <v>0</v>
      </c>
      <c r="AF408" s="434"/>
      <c r="AG408" s="434">
        <f>IF(Ruimtestaat[[#This Row],[Frequentie weekend]]&gt;0,VALUE(LEFT(AF408,1))*S408,0)</f>
        <v>0</v>
      </c>
      <c r="AH408" s="445">
        <f>IF($AG408&gt;0,VLOOKUP($J408,Ruimtegroepen[],3,FALSE)*VLOOKUP($L408,Vloersoorten[],3,FALSE)*VLOOKUP($AF408,Frequenties[],3,FALSE)*VLOOKUP(Ruimtestaat[[#This Row],[Code]],Locaties[],3,FALSE),0)</f>
        <v>0</v>
      </c>
      <c r="AI408" s="445">
        <f>Ruimtestaat[[#This Row],[Uitvoeringen weekend]]*Ruimtestaat[[#This Row],[Oppervlak (netto)]]</f>
        <v>0</v>
      </c>
      <c r="AJ408" s="445">
        <f>IF(AH408&gt;0,Ruimtestaat[[#This Row],[Prest. (m2 /jaar) weekend]]/Ruimtestaat[[#This Row],[Norm (m2/uur) weekend]],0)</f>
        <v>0</v>
      </c>
      <c r="AK408" s="444">
        <f>Ruimtestaat[[#This Row],[uren / jaar weekend]]*Tariefsopbouw!$D$40</f>
        <v>0</v>
      </c>
      <c r="AL408" s="441">
        <f>Ruimtestaat[[#This Row],[Prest. (m2 /jaar) weekend]]+Ruimtestaat[[#This Row],[Prest. (m2 /jaar) werkdagen]]</f>
        <v>776</v>
      </c>
      <c r="AM408" s="441">
        <f>Ruimtestaat[[#This Row],[uren / jaar weekend]]+Ruimtestaat[[#This Row],[uren / jaar werkdagen]]</f>
        <v>0</v>
      </c>
      <c r="AN408" s="446">
        <f>Ruimtestaat[[#This Row],[kosten / jaar weekend]]+Ruimtestaat[[#This Row],[kosten / jaar werkdagen]]</f>
        <v>0</v>
      </c>
      <c r="AO408" s="446"/>
      <c r="AP408" s="447" t="str">
        <f>IF(Ruimtestaat[[#This Row],[Frequentie werkdagen]]="","",_xlfn.CONCAT(Ruimtestaat[[#This Row],[Ruimte code]],"-",Ruimtestaat[[#This Row],[Frequentie werkdagen]]," ",Ruimtestaat[[#This Row],[Vloer code]]))</f>
        <v>1-5w S</v>
      </c>
      <c r="AQ408" s="448" t="str">
        <f>_xlfn.IFNA(VLOOKUP($AP408,Programma!$F$3:$G$1101,2,0),"")</f>
        <v>_</v>
      </c>
      <c r="AR408" s="448" t="str">
        <f>_xlfn.IFNA(VLOOKUP($AP408,Programma!$F$3:$H$1101,3,0),"")</f>
        <v>_</v>
      </c>
      <c r="AS408" s="448" t="str">
        <f>_xlfn.IFNA(VLOOKUP($AP408,Programma!$F$3:$I$1101,4,0),"")</f>
        <v>4w</v>
      </c>
      <c r="AT408" s="448" t="str">
        <f>_xlfn.IFNA(VLOOKUP($AP408,Programma!$F$3:$J$1101,5,0),"")</f>
        <v>1w</v>
      </c>
      <c r="AU408" s="448" t="str">
        <f>_xlfn.IFNA(VLOOKUP($AP408,Programma!$F$3:$K$1101,6,0),"")</f>
        <v>1j</v>
      </c>
      <c r="AV408" s="448" t="str">
        <f>_xlfn.IFNA(VLOOKUP($AP408,Programma!$F$3:$L$1101,7,0),"")</f>
        <v>_</v>
      </c>
      <c r="AW408" s="448" t="str">
        <f>_xlfn.IFNA(VLOOKUP($AP408,Programma!$F$3:$M$1101,8,0),"")</f>
        <v>_</v>
      </c>
      <c r="AX408" s="448" t="str">
        <f>_xlfn.IFNA(VLOOKUP($AP408,Programma!$F$3:$N$1101,9,0),"")</f>
        <v>_</v>
      </c>
      <c r="AY408" s="448" t="str">
        <f>_xlfn.IFNA(VLOOKUP($AP408,Programma!$F$3:$O$1101,10,0),"")</f>
        <v>_</v>
      </c>
      <c r="AZ408" s="448" t="str">
        <f>_xlfn.IFNA(VLOOKUP($AP408,Programma!$F$3:$P$1101,11,0),"")</f>
        <v>_</v>
      </c>
      <c r="BA408" s="448" t="str">
        <f>_xlfn.IFNA(VLOOKUP($AP408,Programma!$F$3:$Q$1101,12,0),"")</f>
        <v>_</v>
      </c>
      <c r="BB408" s="448" t="str">
        <f>_xlfn.IFNA(VLOOKUP($AP408,Programma!$F$3:$R$1101,13,0),"")</f>
        <v>_</v>
      </c>
      <c r="BC408" s="448" t="str">
        <f>_xlfn.IFNA(VLOOKUP($AP408,Programma!$F$3:$S$1101,14,0),"")</f>
        <v>5w</v>
      </c>
      <c r="BD408" s="448" t="str">
        <f>_xlfn.IFNA(VLOOKUP($AP408,Programma!$F$3:$T$1101,15,0),"")</f>
        <v>4j</v>
      </c>
      <c r="BE408" s="448" t="str">
        <f>_xlfn.IFNA(VLOOKUP($AP408,Programma!$F$3:$U$1101,16,0),"")</f>
        <v>4j</v>
      </c>
      <c r="BF408" s="448" t="str">
        <f>_xlfn.IFNA(VLOOKUP($AP408,Programma!$F$3:$V$1101,17,0),"")</f>
        <v>_</v>
      </c>
      <c r="BG408" s="448" t="str">
        <f>_xlfn.IFNA(VLOOKUP($AP408,Programma!$F$3:$W$1101,18,0),"")</f>
        <v>_</v>
      </c>
      <c r="BH408" s="448" t="str">
        <f>_xlfn.IFNA(VLOOKUP($AP408,Programma!$F$3:$X$1101,19,0),"")</f>
        <v>_</v>
      </c>
      <c r="BI408" s="448" t="str">
        <f>_xlfn.IFNA(VLOOKUP($AP408,Programma!$F$3:$Y$1101,20,0),"")</f>
        <v>_</v>
      </c>
      <c r="BJ408" s="449"/>
      <c r="BK408" s="447" t="str">
        <f>IF(Ruimtestaat[[#This Row],[Frequentie weekend]]="","",_xlfn.CONCAT(Ruimtestaat[[#This Row],[Ruimte code]],"-",Ruimtestaat[[#This Row],[Frequentie weekend]]," ",Ruimtestaat[[#This Row],[Vloer code]]))</f>
        <v/>
      </c>
      <c r="BL408" s="448" t="str">
        <f>_xlfn.IFNA(VLOOKUP($BK408,Programma!$F$3:$G$1101,2,0),"")</f>
        <v/>
      </c>
      <c r="BM408" s="448" t="str">
        <f>_xlfn.IFNA(VLOOKUP($BK408,Programma!$F$3:$H$1101,3,0),"")</f>
        <v/>
      </c>
      <c r="BN408" s="448" t="str">
        <f>_xlfn.IFNA(VLOOKUP($BK408,Programma!$F$3:$I$1101,4,0),"")</f>
        <v/>
      </c>
      <c r="BO408" s="448" t="str">
        <f>_xlfn.IFNA(VLOOKUP($BK408,Programma!$F$3:$J$1101,5,0),"")</f>
        <v/>
      </c>
      <c r="BP408" s="448" t="str">
        <f>_xlfn.IFNA(VLOOKUP($BK408,Programma!$F$3:$K$1101,6,0),"")</f>
        <v/>
      </c>
      <c r="BQ408" s="448" t="str">
        <f>_xlfn.IFNA(VLOOKUP($BK408,Programma!$F$3:$L$1101,7,0),"")</f>
        <v/>
      </c>
      <c r="BR408" s="448" t="str">
        <f>_xlfn.IFNA(VLOOKUP($BK408,Programma!$F$3:$M$1101,8,0),"")</f>
        <v/>
      </c>
      <c r="BS408" s="448" t="str">
        <f>_xlfn.IFNA(VLOOKUP($BK408,Programma!$F$3:$N$1101,9,0),"")</f>
        <v/>
      </c>
      <c r="BT408" s="448" t="str">
        <f>_xlfn.IFNA(VLOOKUP($BK408,Programma!$F$3:$O$1101,10,0),"")</f>
        <v/>
      </c>
      <c r="BU408" s="448" t="str">
        <f>_xlfn.IFNA(VLOOKUP($BK408,Programma!$F$3:$P$1101,11,0),"")</f>
        <v/>
      </c>
      <c r="BV408" s="448" t="str">
        <f>_xlfn.IFNA(VLOOKUP($BK408,Programma!$F$3:$Q$1101,12,0),"")</f>
        <v/>
      </c>
      <c r="BW408" s="448" t="str">
        <f>_xlfn.IFNA(VLOOKUP($BK408,Programma!$F$3:$R$1101,13,0),"")</f>
        <v/>
      </c>
      <c r="BX408" s="448" t="str">
        <f>_xlfn.IFNA(VLOOKUP($BK408,Programma!$F$3:$S$1101,14,0),"")</f>
        <v/>
      </c>
      <c r="BY408" s="448" t="str">
        <f>_xlfn.IFNA(VLOOKUP($BK408,Programma!$F$3:$T$1101,15,0),"")</f>
        <v/>
      </c>
      <c r="BZ408" s="448" t="str">
        <f>_xlfn.IFNA(VLOOKUP($BK408,Programma!$F$3:$U$1101,16,0),"")</f>
        <v/>
      </c>
      <c r="CA408" s="448" t="str">
        <f>_xlfn.IFNA(VLOOKUP($BK408,Programma!$F$3:$V$1101,17,0),"")</f>
        <v/>
      </c>
      <c r="CB408" s="448" t="str">
        <f>_xlfn.IFNA(VLOOKUP($BK408,Programma!$F$3:$W$1101,18,0),"")</f>
        <v/>
      </c>
      <c r="CC408" s="448" t="str">
        <f>_xlfn.IFNA(VLOOKUP($BK408,Programma!$F$3:$X$1101,19,0),"")</f>
        <v/>
      </c>
      <c r="CD408" s="448" t="str">
        <f>_xlfn.IFNA(VLOOKUP($BK408,Programma!$F$3:$Y$1101,20,0),"")</f>
        <v/>
      </c>
      <c r="CE408" s="327"/>
      <c r="CF408" s="327"/>
      <c r="CG408" s="327"/>
      <c r="CH408" s="327"/>
      <c r="CI408" s="327"/>
      <c r="CJ408" s="327"/>
      <c r="CK408" s="327"/>
      <c r="CL408" s="327"/>
      <c r="CM408" s="327"/>
      <c r="CN408" s="327"/>
      <c r="CO408" s="327"/>
      <c r="CP408" s="327"/>
      <c r="CQ408" s="327"/>
      <c r="CR408" s="327"/>
      <c r="CS408" s="327"/>
      <c r="CT408" s="327"/>
      <c r="CU408" s="327"/>
      <c r="CV408" s="327"/>
      <c r="CW408" s="327"/>
      <c r="CX408" s="327"/>
      <c r="CY408" s="327"/>
      <c r="CZ408" s="327"/>
      <c r="DA408" s="327"/>
      <c r="DB408" s="327"/>
      <c r="DC408" s="327"/>
      <c r="DD408" s="327"/>
      <c r="DE408" s="327"/>
      <c r="DF408" s="327"/>
      <c r="DG408" s="327"/>
      <c r="DH408" s="327"/>
      <c r="DI408" s="327"/>
      <c r="DJ408" s="327"/>
      <c r="DK408" s="327"/>
      <c r="DL408" s="327"/>
      <c r="DM408" s="327"/>
      <c r="DN408" s="327"/>
      <c r="DO408" s="327"/>
      <c r="DP408" s="327"/>
      <c r="DQ408" s="327"/>
      <c r="DR408" s="327"/>
      <c r="DS408" s="327"/>
      <c r="DT408" s="327"/>
      <c r="DU408" s="327"/>
      <c r="DV408" s="327"/>
      <c r="DW408" s="327"/>
      <c r="DX408" s="327"/>
      <c r="DY408" s="327"/>
      <c r="DZ408" s="327"/>
      <c r="EA408" s="327"/>
      <c r="EB408" s="327"/>
      <c r="EC408" s="327"/>
      <c r="ED408" s="327"/>
      <c r="EE408" s="327"/>
      <c r="EF408" s="327"/>
      <c r="EG408" s="327"/>
      <c r="EH408" s="327"/>
      <c r="EI408" s="327"/>
      <c r="EJ408" s="327"/>
      <c r="EK408" s="327"/>
      <c r="EL408" s="327"/>
      <c r="EM408" s="327"/>
      <c r="EN408" s="327"/>
      <c r="EO408" s="327"/>
      <c r="EP408" s="327"/>
      <c r="EQ408" s="327"/>
      <c r="ER408" s="327"/>
      <c r="ES408" s="327"/>
      <c r="ET408" s="327"/>
      <c r="EU408" s="327"/>
      <c r="EV408" s="327"/>
      <c r="EW408" s="327"/>
      <c r="EX408" s="327"/>
      <c r="EY408" s="327"/>
      <c r="EZ408" s="327"/>
      <c r="FA408" s="327"/>
      <c r="FB408" s="327"/>
      <c r="FC408" s="327"/>
      <c r="FD408" s="327"/>
      <c r="FE408" s="327"/>
      <c r="FF408" s="327"/>
      <c r="FG408" s="327"/>
      <c r="FH408" s="327"/>
      <c r="FI408" s="327"/>
      <c r="FJ408" s="327"/>
      <c r="FK408" s="327"/>
      <c r="FL408" s="327"/>
      <c r="FM408" s="327"/>
      <c r="FN408" s="327"/>
      <c r="FO408" s="327"/>
      <c r="FP408" s="327"/>
      <c r="FQ408" s="327"/>
      <c r="FR408" s="327"/>
      <c r="FS408" s="327"/>
      <c r="FT408" s="327"/>
      <c r="FU408" s="327"/>
      <c r="FV408" s="327"/>
      <c r="FW408" s="327"/>
      <c r="FX408" s="327"/>
      <c r="FY408" s="327"/>
      <c r="FZ408" s="327"/>
      <c r="GA408" s="327"/>
      <c r="GB408" s="327"/>
      <c r="GC408" s="327"/>
      <c r="GD408" s="327"/>
      <c r="GE408" s="327"/>
      <c r="GF408" s="327"/>
      <c r="GG408" s="327"/>
      <c r="GH408" s="327"/>
      <c r="GI408" s="327"/>
      <c r="GJ408" s="327"/>
      <c r="GK408" s="327"/>
      <c r="GL408" s="327"/>
      <c r="GM408" s="327"/>
      <c r="GN408" s="327"/>
      <c r="GO408" s="327"/>
      <c r="GP408" s="327"/>
      <c r="GQ408" s="327"/>
      <c r="GR408" s="327"/>
      <c r="GS408" s="327"/>
      <c r="GT408" s="327"/>
      <c r="GU408" s="327"/>
      <c r="GV408" s="327"/>
      <c r="GW408" s="327"/>
      <c r="GX408" s="327"/>
      <c r="GY408" s="327"/>
      <c r="GZ408" s="327"/>
      <c r="HA408" s="327"/>
      <c r="HB408" s="327"/>
      <c r="HC408" s="327"/>
      <c r="HD408" s="327"/>
      <c r="HE408" s="327"/>
      <c r="HF408" s="327"/>
      <c r="HG408" s="327"/>
      <c r="HH408" s="327"/>
      <c r="HI408" s="327"/>
      <c r="HJ408" s="327"/>
      <c r="HK408" s="327"/>
      <c r="HL408" s="327"/>
      <c r="HM408" s="327"/>
      <c r="HN408" s="327"/>
      <c r="HO408" s="327"/>
      <c r="HP408" s="327"/>
      <c r="HQ408" s="327"/>
      <c r="HR408" s="327"/>
      <c r="HS408" s="327"/>
    </row>
    <row r="409" spans="1:227" ht="15" customHeight="1">
      <c r="A409" s="327">
        <v>17</v>
      </c>
      <c r="B409" s="435" t="str">
        <f>VLOOKUP(Ruimtestaat[[#This Row],[Code]],Locaties[[Code]:[Locatie]],2,FALSE)</f>
        <v>IKC de Tjalk Kadelaan 208 (bijgebouw)</v>
      </c>
      <c r="C409" s="435" t="str">
        <f>VLOOKUP(Ruimtestaat[[#This Row],[Code]],Locaties[[#All],[Code]:[Adres]],4,FALSE)</f>
        <v>Kadelaan 208</v>
      </c>
      <c r="D409" s="435" t="str">
        <f>VLOOKUP(Ruimtestaat[[#This Row],[Code]],Locaties[[#All],[Code]:[Postcode]],5,FALSE)</f>
        <v>2725 BR</v>
      </c>
      <c r="E409" s="435" t="str">
        <f>VLOOKUP(Ruimtestaat[[#This Row],[Code]],Locaties[#All],6,FALSE)</f>
        <v>Zoetermeer</v>
      </c>
      <c r="F409" s="450"/>
      <c r="G409" s="330" t="s">
        <v>1678</v>
      </c>
      <c r="H409" s="330">
        <v>67</v>
      </c>
      <c r="I409" s="450" t="s">
        <v>1677</v>
      </c>
      <c r="J409" s="330">
        <v>15</v>
      </c>
      <c r="K409" s="450" t="str">
        <f>VLOOKUP(Ruimtestaat[[#This Row],[Ruimte code]],Ruimtegroepen[[#All],[Code]:[Ruimte omschrijving]],2,FALSE)</f>
        <v>Keuken/pantry</v>
      </c>
      <c r="L409" s="330" t="s">
        <v>101</v>
      </c>
      <c r="M409" s="437" t="s">
        <v>1816</v>
      </c>
      <c r="N409" s="439">
        <v>14.22</v>
      </c>
      <c r="O409" s="439"/>
      <c r="P409" s="439"/>
      <c r="Q409" s="439"/>
      <c r="R409" s="440" t="str">
        <f>VLOOKUP(Ruimtestaat[[#This Row],[Ruimte code]],Ruimtegroepen[],4,FALSE)</f>
        <v>Ve</v>
      </c>
      <c r="S409" s="434">
        <v>41</v>
      </c>
      <c r="T409" s="434" t="s">
        <v>2</v>
      </c>
      <c r="U409" s="434">
        <f>IF(S409&gt;0,IF(RIGHT(Ruimtestaat[[#This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09" s="434">
        <f>IF(U409&gt;0,VLOOKUP($J409,Ruimtegroepen[],3,FALSE)*VLOOKUP($L409,Vloersoorten[],3,FALSE)*VLOOKUP($T409,Frequenties[],3,FALSE)*VLOOKUP($A409,Locaties[],3,FALSE),0)</f>
        <v>0</v>
      </c>
      <c r="W409" s="434">
        <f>Ruimtestaat[[#This Row],[Uitvoeringen werkdagen]]*Ruimtestaat[[#This Row],[Oppervlak (netto)]]</f>
        <v>2915.1</v>
      </c>
      <c r="X409" s="441">
        <f>IF(V409&gt;0,Ruimtestaat[[#This Row],[Prest. (m2 /jaar) werkdagen]]/Ruimtestaat[[#This Row],[Norm (m2/uur) werkdagen]],0)</f>
        <v>0</v>
      </c>
      <c r="Y409" s="442">
        <f>Ruimtestaat[[#This Row],[Uitvoeringen werkdagen]]*Ruimtestaat[[#This Row],[Gedeeltelijk]]</f>
        <v>0</v>
      </c>
      <c r="Z409" s="443" t="e">
        <f>IF(U409&gt;0,Ruimtestaat[[#This Row],[Prest. (m2 / jaar) werkdagen gedeeld]]/Ruimtestaat[[#This Row],[Norm (m2/uur) werkdagen]],0)</f>
        <v>#DIV/0!</v>
      </c>
      <c r="AA409" s="441" t="e">
        <f>Ruimtestaat[[#This Row],[uren / jaar werkdagen gedeeld]]*Tariefsopbouw!$E$35</f>
        <v>#DIV/0!</v>
      </c>
      <c r="AB409" s="441">
        <f>Ruimtestaat[[#This Row],[Uitvoeringen werkdagen]]*Ruimtestaat[[#This Row],[BSO]]</f>
        <v>0</v>
      </c>
      <c r="AC409" s="443" t="e">
        <f>IF(U409&gt;0,Ruimtestaat[[#This Row],[Prest. (m2 / jaar) werkdagen BSO]]/Ruimtestaat[[#This Row],[Norm (m2/uur) werkdagen]],0)</f>
        <v>#DIV/0!</v>
      </c>
      <c r="AD409" s="443" t="e">
        <f>Ruimtestaat[[#This Row],[uren / jaar werkdagen BSO]]*Tariefsopbouw!$E$35</f>
        <v>#DIV/0!</v>
      </c>
      <c r="AE409" s="444">
        <f>Ruimtestaat[[#This Row],[uren / jaar werkdagen]]*Tariefsopbouw!$E$35</f>
        <v>0</v>
      </c>
      <c r="AF409" s="434"/>
      <c r="AG409" s="434">
        <f>IF(Ruimtestaat[[#This Row],[Frequentie weekend]]&gt;0,VALUE(LEFT(AF409,1))*S409,0)</f>
        <v>0</v>
      </c>
      <c r="AH409" s="445">
        <f>IF($AG409&gt;0,VLOOKUP($J409,Ruimtegroepen[],3,FALSE)*VLOOKUP($L409,Vloersoorten[],3,FALSE)*VLOOKUP($AF409,Frequenties[],3,FALSE)*VLOOKUP(Ruimtestaat[[#This Row],[Code]],Locaties[],3,FALSE),0)</f>
        <v>0</v>
      </c>
      <c r="AI409" s="445">
        <f>Ruimtestaat[[#This Row],[Uitvoeringen weekend]]*Ruimtestaat[[#This Row],[Oppervlak (netto)]]</f>
        <v>0</v>
      </c>
      <c r="AJ409" s="445">
        <f>IF(AH409&gt;0,Ruimtestaat[[#This Row],[Prest. (m2 /jaar) weekend]]/Ruimtestaat[[#This Row],[Norm (m2/uur) weekend]],0)</f>
        <v>0</v>
      </c>
      <c r="AK409" s="444">
        <f>Ruimtestaat[[#This Row],[uren / jaar weekend]]*Tariefsopbouw!$D$40</f>
        <v>0</v>
      </c>
      <c r="AL409" s="441">
        <f>Ruimtestaat[[#This Row],[Prest. (m2 /jaar) weekend]]+Ruimtestaat[[#This Row],[Prest. (m2 /jaar) werkdagen]]</f>
        <v>2915.1</v>
      </c>
      <c r="AM409" s="441">
        <f>Ruimtestaat[[#This Row],[uren / jaar weekend]]+Ruimtestaat[[#This Row],[uren / jaar werkdagen]]</f>
        <v>0</v>
      </c>
      <c r="AN409" s="446">
        <f>Ruimtestaat[[#This Row],[kosten / jaar weekend]]+Ruimtestaat[[#This Row],[kosten / jaar werkdagen]]</f>
        <v>0</v>
      </c>
      <c r="AO409" s="446"/>
      <c r="AP409" s="447" t="str">
        <f>IF(Ruimtestaat[[#This Row],[Frequentie werkdagen]]="","",_xlfn.CONCAT(Ruimtestaat[[#This Row],[Ruimte code]],"-",Ruimtestaat[[#This Row],[Frequentie werkdagen]]," ",Ruimtestaat[[#This Row],[Vloer code]]))</f>
        <v>15-5w S</v>
      </c>
      <c r="AQ409" s="448" t="str">
        <f>_xlfn.IFNA(VLOOKUP($AP409,Programma!$F$3:$G$1101,2,0),"")</f>
        <v>_</v>
      </c>
      <c r="AR409" s="448" t="str">
        <f>_xlfn.IFNA(VLOOKUP($AP409,Programma!$F$3:$H$1101,3,0),"")</f>
        <v>_</v>
      </c>
      <c r="AS409" s="448" t="str">
        <f>_xlfn.IFNA(VLOOKUP($AP409,Programma!$F$3:$I$1101,4,0),"")</f>
        <v>5w</v>
      </c>
      <c r="AT409" s="448" t="str">
        <f>_xlfn.IFNA(VLOOKUP($AP409,Programma!$F$3:$J$1101,5,0),"")</f>
        <v>_</v>
      </c>
      <c r="AU409" s="448" t="str">
        <f>_xlfn.IFNA(VLOOKUP($AP409,Programma!$F$3:$K$1101,6,0),"")</f>
        <v>5w</v>
      </c>
      <c r="AV409" s="448" t="str">
        <f>_xlfn.IFNA(VLOOKUP($AP409,Programma!$F$3:$L$1101,7,0),"")</f>
        <v>_</v>
      </c>
      <c r="AW409" s="448" t="str">
        <f>_xlfn.IFNA(VLOOKUP($AP409,Programma!$F$3:$M$1101,8,0),"")</f>
        <v>_</v>
      </c>
      <c r="AX409" s="448" t="str">
        <f>_xlfn.IFNA(VLOOKUP($AP409,Programma!$F$3:$N$1101,9,0),"")</f>
        <v>_</v>
      </c>
      <c r="AY409" s="448" t="str">
        <f>_xlfn.IFNA(VLOOKUP($AP409,Programma!$F$3:$O$1101,10,0),"")</f>
        <v>5w</v>
      </c>
      <c r="AZ409" s="448" t="str">
        <f>_xlfn.IFNA(VLOOKUP($AP409,Programma!$F$3:$P$1101,11,0),"")</f>
        <v>5w</v>
      </c>
      <c r="BA409" s="448" t="str">
        <f>_xlfn.IFNA(VLOOKUP($AP409,Programma!$F$3:$Q$1101,12,0),"")</f>
        <v>1w</v>
      </c>
      <c r="BB409" s="448" t="str">
        <f>_xlfn.IFNA(VLOOKUP($AP409,Programma!$F$3:$R$1101,13,0),"")</f>
        <v>1w</v>
      </c>
      <c r="BC409" s="448" t="str">
        <f>_xlfn.IFNA(VLOOKUP($AP409,Programma!$F$3:$S$1101,14,0),"")</f>
        <v>1m</v>
      </c>
      <c r="BD409" s="448" t="str">
        <f>_xlfn.IFNA(VLOOKUP($AP409,Programma!$F$3:$T$1101,15,0),"")</f>
        <v>2j</v>
      </c>
      <c r="BE409" s="448" t="str">
        <f>_xlfn.IFNA(VLOOKUP($AP409,Programma!$F$3:$U$1101,16,0),"")</f>
        <v>1j</v>
      </c>
      <c r="BF409" s="448" t="str">
        <f>_xlfn.IFNA(VLOOKUP($AP409,Programma!$F$3:$V$1101,17,0),"")</f>
        <v>_</v>
      </c>
      <c r="BG409" s="448" t="str">
        <f>_xlfn.IFNA(VLOOKUP($AP409,Programma!$F$3:$W$1101,18,0),"")</f>
        <v>_</v>
      </c>
      <c r="BH409" s="448" t="str">
        <f>_xlfn.IFNA(VLOOKUP($AP409,Programma!$F$3:$X$1101,19,0),"")</f>
        <v>_</v>
      </c>
      <c r="BI409" s="448" t="str">
        <f>_xlfn.IFNA(VLOOKUP($AP409,Programma!$F$3:$Y$1101,20,0),"")</f>
        <v>_</v>
      </c>
      <c r="BJ409" s="449"/>
      <c r="BK409" s="447" t="str">
        <f>IF(Ruimtestaat[[#This Row],[Frequentie weekend]]="","",_xlfn.CONCAT(Ruimtestaat[[#This Row],[Ruimte code]],"-",Ruimtestaat[[#This Row],[Frequentie weekend]]," ",Ruimtestaat[[#This Row],[Vloer code]]))</f>
        <v/>
      </c>
      <c r="BL409" s="448" t="str">
        <f>_xlfn.IFNA(VLOOKUP($BK409,Programma!$F$3:$G$1101,2,0),"")</f>
        <v/>
      </c>
      <c r="BM409" s="448" t="str">
        <f>_xlfn.IFNA(VLOOKUP($BK409,Programma!$F$3:$H$1101,3,0),"")</f>
        <v/>
      </c>
      <c r="BN409" s="448" t="str">
        <f>_xlfn.IFNA(VLOOKUP($BK409,Programma!$F$3:$I$1101,4,0),"")</f>
        <v/>
      </c>
      <c r="BO409" s="448" t="str">
        <f>_xlfn.IFNA(VLOOKUP($BK409,Programma!$F$3:$J$1101,5,0),"")</f>
        <v/>
      </c>
      <c r="BP409" s="448" t="str">
        <f>_xlfn.IFNA(VLOOKUP($BK409,Programma!$F$3:$K$1101,6,0),"")</f>
        <v/>
      </c>
      <c r="BQ409" s="448" t="str">
        <f>_xlfn.IFNA(VLOOKUP($BK409,Programma!$F$3:$L$1101,7,0),"")</f>
        <v/>
      </c>
      <c r="BR409" s="448" t="str">
        <f>_xlfn.IFNA(VLOOKUP($BK409,Programma!$F$3:$M$1101,8,0),"")</f>
        <v/>
      </c>
      <c r="BS409" s="448" t="str">
        <f>_xlfn.IFNA(VLOOKUP($BK409,Programma!$F$3:$N$1101,9,0),"")</f>
        <v/>
      </c>
      <c r="BT409" s="448" t="str">
        <f>_xlfn.IFNA(VLOOKUP($BK409,Programma!$F$3:$O$1101,10,0),"")</f>
        <v/>
      </c>
      <c r="BU409" s="448" t="str">
        <f>_xlfn.IFNA(VLOOKUP($BK409,Programma!$F$3:$P$1101,11,0),"")</f>
        <v/>
      </c>
      <c r="BV409" s="448" t="str">
        <f>_xlfn.IFNA(VLOOKUP($BK409,Programma!$F$3:$Q$1101,12,0),"")</f>
        <v/>
      </c>
      <c r="BW409" s="448" t="str">
        <f>_xlfn.IFNA(VLOOKUP($BK409,Programma!$F$3:$R$1101,13,0),"")</f>
        <v/>
      </c>
      <c r="BX409" s="448" t="str">
        <f>_xlfn.IFNA(VLOOKUP($BK409,Programma!$F$3:$S$1101,14,0),"")</f>
        <v/>
      </c>
      <c r="BY409" s="448" t="str">
        <f>_xlfn.IFNA(VLOOKUP($BK409,Programma!$F$3:$T$1101,15,0),"")</f>
        <v/>
      </c>
      <c r="BZ409" s="448" t="str">
        <f>_xlfn.IFNA(VLOOKUP($BK409,Programma!$F$3:$U$1101,16,0),"")</f>
        <v/>
      </c>
      <c r="CA409" s="448" t="str">
        <f>_xlfn.IFNA(VLOOKUP($BK409,Programma!$F$3:$V$1101,17,0),"")</f>
        <v/>
      </c>
      <c r="CB409" s="448" t="str">
        <f>_xlfn.IFNA(VLOOKUP($BK409,Programma!$F$3:$W$1101,18,0),"")</f>
        <v/>
      </c>
      <c r="CC409" s="448" t="str">
        <f>_xlfn.IFNA(VLOOKUP($BK409,Programma!$F$3:$X$1101,19,0),"")</f>
        <v/>
      </c>
      <c r="CD409" s="448" t="str">
        <f>_xlfn.IFNA(VLOOKUP($BK409,Programma!$F$3:$Y$1101,20,0),"")</f>
        <v/>
      </c>
      <c r="CE409" s="327"/>
      <c r="CF409" s="327"/>
      <c r="CG409" s="327"/>
      <c r="CH409" s="327"/>
      <c r="CI409" s="327"/>
      <c r="CJ409" s="327"/>
      <c r="CK409" s="327"/>
      <c r="CL409" s="327"/>
      <c r="CM409" s="327"/>
      <c r="CN409" s="327"/>
      <c r="CO409" s="327"/>
      <c r="CP409" s="327"/>
      <c r="CQ409" s="327"/>
      <c r="CR409" s="327"/>
      <c r="CS409" s="327"/>
      <c r="CT409" s="327"/>
      <c r="CU409" s="327"/>
      <c r="CV409" s="327"/>
      <c r="CW409" s="327"/>
      <c r="CX409" s="327"/>
      <c r="CY409" s="327"/>
      <c r="CZ409" s="327"/>
      <c r="DA409" s="327"/>
      <c r="DB409" s="327"/>
      <c r="DC409" s="327"/>
      <c r="DD409" s="327"/>
      <c r="DE409" s="327"/>
      <c r="DF409" s="327"/>
      <c r="DG409" s="327"/>
      <c r="DH409" s="327"/>
      <c r="DI409" s="327"/>
      <c r="DJ409" s="327"/>
      <c r="DK409" s="327"/>
      <c r="DL409" s="327"/>
      <c r="DM409" s="327"/>
      <c r="DN409" s="327"/>
      <c r="DO409" s="327"/>
      <c r="DP409" s="327"/>
      <c r="DQ409" s="327"/>
      <c r="DR409" s="327"/>
      <c r="DS409" s="327"/>
      <c r="DT409" s="327"/>
      <c r="DU409" s="327"/>
      <c r="DV409" s="327"/>
      <c r="DW409" s="327"/>
      <c r="DX409" s="327"/>
      <c r="DY409" s="327"/>
      <c r="DZ409" s="327"/>
      <c r="EA409" s="327"/>
      <c r="EB409" s="327"/>
      <c r="EC409" s="327"/>
      <c r="ED409" s="327"/>
      <c r="EE409" s="327"/>
      <c r="EF409" s="327"/>
      <c r="EG409" s="327"/>
      <c r="EH409" s="327"/>
      <c r="EI409" s="327"/>
      <c r="EJ409" s="327"/>
      <c r="EK409" s="327"/>
      <c r="EL409" s="327"/>
      <c r="EM409" s="327"/>
      <c r="EN409" s="327"/>
      <c r="EO409" s="327"/>
      <c r="EP409" s="327"/>
      <c r="EQ409" s="327"/>
      <c r="ER409" s="327"/>
      <c r="ES409" s="327"/>
      <c r="ET409" s="327"/>
      <c r="EU409" s="327"/>
      <c r="EV409" s="327"/>
      <c r="EW409" s="327"/>
      <c r="EX409" s="327"/>
      <c r="EY409" s="327"/>
      <c r="EZ409" s="327"/>
      <c r="FA409" s="327"/>
      <c r="FB409" s="327"/>
      <c r="FC409" s="327"/>
      <c r="FD409" s="327"/>
      <c r="FE409" s="327"/>
      <c r="FF409" s="327"/>
      <c r="FG409" s="327"/>
      <c r="FH409" s="327"/>
      <c r="FI409" s="327"/>
      <c r="FJ409" s="327"/>
      <c r="FK409" s="327"/>
      <c r="FL409" s="327"/>
      <c r="FM409" s="327"/>
      <c r="FN409" s="327"/>
      <c r="FO409" s="327"/>
      <c r="FP409" s="327"/>
      <c r="FQ409" s="327"/>
      <c r="FR409" s="327"/>
      <c r="FS409" s="327"/>
      <c r="FT409" s="327"/>
      <c r="FU409" s="327"/>
      <c r="FV409" s="327"/>
      <c r="FW409" s="327"/>
      <c r="FX409" s="327"/>
      <c r="FY409" s="327"/>
      <c r="FZ409" s="327"/>
      <c r="GA409" s="327"/>
      <c r="GB409" s="327"/>
      <c r="GC409" s="327"/>
      <c r="GD409" s="327"/>
      <c r="GE409" s="327"/>
      <c r="GF409" s="327"/>
      <c r="GG409" s="327"/>
      <c r="GH409" s="327"/>
      <c r="GI409" s="327"/>
      <c r="GJ409" s="327"/>
      <c r="GK409" s="327"/>
      <c r="GL409" s="327"/>
      <c r="GM409" s="327"/>
      <c r="GN409" s="327"/>
      <c r="GO409" s="327"/>
      <c r="GP409" s="327"/>
      <c r="GQ409" s="327"/>
      <c r="GR409" s="327"/>
      <c r="GS409" s="327"/>
      <c r="GT409" s="327"/>
      <c r="GU409" s="327"/>
      <c r="GV409" s="327"/>
      <c r="GW409" s="327"/>
      <c r="GX409" s="327"/>
      <c r="GY409" s="327"/>
      <c r="GZ409" s="327"/>
      <c r="HA409" s="327"/>
      <c r="HB409" s="327"/>
      <c r="HC409" s="327"/>
      <c r="HD409" s="327"/>
      <c r="HE409" s="327"/>
      <c r="HF409" s="327"/>
      <c r="HG409" s="327"/>
      <c r="HH409" s="327"/>
      <c r="HI409" s="327"/>
      <c r="HJ409" s="327"/>
      <c r="HK409" s="327"/>
      <c r="HL409" s="327"/>
      <c r="HM409" s="327"/>
      <c r="HN409" s="327"/>
      <c r="HO409" s="327"/>
      <c r="HP409" s="327"/>
      <c r="HQ409" s="327"/>
      <c r="HR409" s="327"/>
      <c r="HS409" s="327"/>
    </row>
    <row r="410" spans="1:227" ht="15" customHeight="1">
      <c r="A410" s="327">
        <v>17</v>
      </c>
      <c r="B410" s="435" t="str">
        <f>VLOOKUP(Ruimtestaat[[#This Row],[Code]],Locaties[[Code]:[Locatie]],2,FALSE)</f>
        <v>IKC de Tjalk Kadelaan 208 (bijgebouw)</v>
      </c>
      <c r="C410" s="435" t="str">
        <f>VLOOKUP(Ruimtestaat[[#This Row],[Code]],Locaties[[#All],[Code]:[Adres]],4,FALSE)</f>
        <v>Kadelaan 208</v>
      </c>
      <c r="D410" s="435" t="str">
        <f>VLOOKUP(Ruimtestaat[[#This Row],[Code]],Locaties[[#All],[Code]:[Postcode]],5,FALSE)</f>
        <v>2725 BR</v>
      </c>
      <c r="E410" s="435" t="str">
        <f>VLOOKUP(Ruimtestaat[[#This Row],[Code]],Locaties[#All],6,FALSE)</f>
        <v>Zoetermeer</v>
      </c>
      <c r="F410" s="450"/>
      <c r="G410" s="330" t="s">
        <v>1678</v>
      </c>
      <c r="H410" s="330">
        <v>65</v>
      </c>
      <c r="I410" s="450" t="s">
        <v>1724</v>
      </c>
      <c r="J410" s="330">
        <v>1</v>
      </c>
      <c r="K410" s="450" t="str">
        <f>VLOOKUP(Ruimtestaat[[#This Row],[Ruimte code]],Ruimtegroepen[[#All],[Code]:[Ruimte omschrijving]],2,FALSE)</f>
        <v>Magazijnen/bergingen</v>
      </c>
      <c r="L410" s="330" t="s">
        <v>101</v>
      </c>
      <c r="M410" s="437" t="s">
        <v>1816</v>
      </c>
      <c r="N410" s="439">
        <v>5.14</v>
      </c>
      <c r="O410" s="439"/>
      <c r="P410" s="439"/>
      <c r="Q410" s="439"/>
      <c r="R410" s="440" t="str">
        <f>VLOOKUP(Ruimtestaat[[#This Row],[Ruimte code]],Ruimtegroepen[],4,FALSE)</f>
        <v>Ve</v>
      </c>
      <c r="S410" s="434">
        <v>40</v>
      </c>
      <c r="T410" s="434" t="s">
        <v>2</v>
      </c>
      <c r="U410" s="434">
        <f>IF(S410&gt;0,IF(RIGHT(Ruimtestaat[[#This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0" s="434">
        <f>IF(U410&gt;0,VLOOKUP($J410,Ruimtegroepen[],3,FALSE)*VLOOKUP($L410,Vloersoorten[],3,FALSE)*VLOOKUP($T410,Frequenties[],3,FALSE)*VLOOKUP($A410,Locaties[],3,FALSE),0)</f>
        <v>0</v>
      </c>
      <c r="W410" s="434">
        <f>Ruimtestaat[[#This Row],[Uitvoeringen werkdagen]]*Ruimtestaat[[#This Row],[Oppervlak (netto)]]</f>
        <v>1028</v>
      </c>
      <c r="X410" s="441">
        <f>IF(V410&gt;0,Ruimtestaat[[#This Row],[Prest. (m2 /jaar) werkdagen]]/Ruimtestaat[[#This Row],[Norm (m2/uur) werkdagen]],0)</f>
        <v>0</v>
      </c>
      <c r="Y410" s="442">
        <f>Ruimtestaat[[#This Row],[Uitvoeringen werkdagen]]*Ruimtestaat[[#This Row],[Gedeeltelijk]]</f>
        <v>0</v>
      </c>
      <c r="Z410" s="443" t="e">
        <f>IF(U410&gt;0,Ruimtestaat[[#This Row],[Prest. (m2 / jaar) werkdagen gedeeld]]/Ruimtestaat[[#This Row],[Norm (m2/uur) werkdagen]],0)</f>
        <v>#DIV/0!</v>
      </c>
      <c r="AA410" s="441" t="e">
        <f>Ruimtestaat[[#This Row],[uren / jaar werkdagen gedeeld]]*Tariefsopbouw!$E$35</f>
        <v>#DIV/0!</v>
      </c>
      <c r="AB410" s="441">
        <f>Ruimtestaat[[#This Row],[Uitvoeringen werkdagen]]*Ruimtestaat[[#This Row],[BSO]]</f>
        <v>0</v>
      </c>
      <c r="AC410" s="443" t="e">
        <f>IF(U410&gt;0,Ruimtestaat[[#This Row],[Prest. (m2 / jaar) werkdagen BSO]]/Ruimtestaat[[#This Row],[Norm (m2/uur) werkdagen]],0)</f>
        <v>#DIV/0!</v>
      </c>
      <c r="AD410" s="443" t="e">
        <f>Ruimtestaat[[#This Row],[uren / jaar werkdagen BSO]]*Tariefsopbouw!$E$35</f>
        <v>#DIV/0!</v>
      </c>
      <c r="AE410" s="444">
        <f>Ruimtestaat[[#This Row],[uren / jaar werkdagen]]*Tariefsopbouw!$E$35</f>
        <v>0</v>
      </c>
      <c r="AF410" s="434"/>
      <c r="AG410" s="434">
        <f>IF(Ruimtestaat[[#This Row],[Frequentie weekend]]&gt;0,VALUE(LEFT(AF410,1))*S410,0)</f>
        <v>0</v>
      </c>
      <c r="AH410" s="445">
        <f>IF($AG410&gt;0,VLOOKUP($J410,Ruimtegroepen[],3,FALSE)*VLOOKUP($L410,Vloersoorten[],3,FALSE)*VLOOKUP($AF410,Frequenties[],3,FALSE)*VLOOKUP(Ruimtestaat[[#This Row],[Code]],Locaties[],3,FALSE),0)</f>
        <v>0</v>
      </c>
      <c r="AI410" s="445">
        <f>Ruimtestaat[[#This Row],[Uitvoeringen weekend]]*Ruimtestaat[[#This Row],[Oppervlak (netto)]]</f>
        <v>0</v>
      </c>
      <c r="AJ410" s="445">
        <f>IF(AH410&gt;0,Ruimtestaat[[#This Row],[Prest. (m2 /jaar) weekend]]/Ruimtestaat[[#This Row],[Norm (m2/uur) weekend]],0)</f>
        <v>0</v>
      </c>
      <c r="AK410" s="444">
        <f>Ruimtestaat[[#This Row],[uren / jaar weekend]]*Tariefsopbouw!$D$40</f>
        <v>0</v>
      </c>
      <c r="AL410" s="441">
        <f>Ruimtestaat[[#This Row],[Prest. (m2 /jaar) weekend]]+Ruimtestaat[[#This Row],[Prest. (m2 /jaar) werkdagen]]</f>
        <v>1028</v>
      </c>
      <c r="AM410" s="441">
        <f>Ruimtestaat[[#This Row],[uren / jaar weekend]]+Ruimtestaat[[#This Row],[uren / jaar werkdagen]]</f>
        <v>0</v>
      </c>
      <c r="AN410" s="446">
        <f>Ruimtestaat[[#This Row],[kosten / jaar weekend]]+Ruimtestaat[[#This Row],[kosten / jaar werkdagen]]</f>
        <v>0</v>
      </c>
      <c r="AO410" s="446"/>
      <c r="AP410" s="447" t="str">
        <f>IF(Ruimtestaat[[#This Row],[Frequentie werkdagen]]="","",_xlfn.CONCAT(Ruimtestaat[[#This Row],[Ruimte code]],"-",Ruimtestaat[[#This Row],[Frequentie werkdagen]]," ",Ruimtestaat[[#This Row],[Vloer code]]))</f>
        <v>1-5w S</v>
      </c>
      <c r="AQ410" s="448" t="str">
        <f>_xlfn.IFNA(VLOOKUP($AP410,Programma!$F$3:$G$1101,2,0),"")</f>
        <v>_</v>
      </c>
      <c r="AR410" s="448" t="str">
        <f>_xlfn.IFNA(VLOOKUP($AP410,Programma!$F$3:$H$1101,3,0),"")</f>
        <v>_</v>
      </c>
      <c r="AS410" s="448" t="str">
        <f>_xlfn.IFNA(VLOOKUP($AP410,Programma!$F$3:$I$1101,4,0),"")</f>
        <v>4w</v>
      </c>
      <c r="AT410" s="448" t="str">
        <f>_xlfn.IFNA(VLOOKUP($AP410,Programma!$F$3:$J$1101,5,0),"")</f>
        <v>1w</v>
      </c>
      <c r="AU410" s="448" t="str">
        <f>_xlfn.IFNA(VLOOKUP($AP410,Programma!$F$3:$K$1101,6,0),"")</f>
        <v>1j</v>
      </c>
      <c r="AV410" s="448" t="str">
        <f>_xlfn.IFNA(VLOOKUP($AP410,Programma!$F$3:$L$1101,7,0),"")</f>
        <v>_</v>
      </c>
      <c r="AW410" s="448" t="str">
        <f>_xlfn.IFNA(VLOOKUP($AP410,Programma!$F$3:$M$1101,8,0),"")</f>
        <v>_</v>
      </c>
      <c r="AX410" s="448" t="str">
        <f>_xlfn.IFNA(VLOOKUP($AP410,Programma!$F$3:$N$1101,9,0),"")</f>
        <v>_</v>
      </c>
      <c r="AY410" s="448" t="str">
        <f>_xlfn.IFNA(VLOOKUP($AP410,Programma!$F$3:$O$1101,10,0),"")</f>
        <v>_</v>
      </c>
      <c r="AZ410" s="448" t="str">
        <f>_xlfn.IFNA(VLOOKUP($AP410,Programma!$F$3:$P$1101,11,0),"")</f>
        <v>_</v>
      </c>
      <c r="BA410" s="448" t="str">
        <f>_xlfn.IFNA(VLOOKUP($AP410,Programma!$F$3:$Q$1101,12,0),"")</f>
        <v>_</v>
      </c>
      <c r="BB410" s="448" t="str">
        <f>_xlfn.IFNA(VLOOKUP($AP410,Programma!$F$3:$R$1101,13,0),"")</f>
        <v>_</v>
      </c>
      <c r="BC410" s="448" t="str">
        <f>_xlfn.IFNA(VLOOKUP($AP410,Programma!$F$3:$S$1101,14,0),"")</f>
        <v>5w</v>
      </c>
      <c r="BD410" s="448" t="str">
        <f>_xlfn.IFNA(VLOOKUP($AP410,Programma!$F$3:$T$1101,15,0),"")</f>
        <v>4j</v>
      </c>
      <c r="BE410" s="448" t="str">
        <f>_xlfn.IFNA(VLOOKUP($AP410,Programma!$F$3:$U$1101,16,0),"")</f>
        <v>4j</v>
      </c>
      <c r="BF410" s="448" t="str">
        <f>_xlfn.IFNA(VLOOKUP($AP410,Programma!$F$3:$V$1101,17,0),"")</f>
        <v>_</v>
      </c>
      <c r="BG410" s="448" t="str">
        <f>_xlfn.IFNA(VLOOKUP($AP410,Programma!$F$3:$W$1101,18,0),"")</f>
        <v>_</v>
      </c>
      <c r="BH410" s="448" t="str">
        <f>_xlfn.IFNA(VLOOKUP($AP410,Programma!$F$3:$X$1101,19,0),"")</f>
        <v>_</v>
      </c>
      <c r="BI410" s="448" t="str">
        <f>_xlfn.IFNA(VLOOKUP($AP410,Programma!$F$3:$Y$1101,20,0),"")</f>
        <v>_</v>
      </c>
      <c r="BJ410" s="449"/>
      <c r="BK410" s="447" t="str">
        <f>IF(Ruimtestaat[[#This Row],[Frequentie weekend]]="","",_xlfn.CONCAT(Ruimtestaat[[#This Row],[Ruimte code]],"-",Ruimtestaat[[#This Row],[Frequentie weekend]]," ",Ruimtestaat[[#This Row],[Vloer code]]))</f>
        <v/>
      </c>
      <c r="BL410" s="448" t="str">
        <f>_xlfn.IFNA(VLOOKUP($BK410,Programma!$F$3:$G$1101,2,0),"")</f>
        <v/>
      </c>
      <c r="BM410" s="448" t="str">
        <f>_xlfn.IFNA(VLOOKUP($BK410,Programma!$F$3:$H$1101,3,0),"")</f>
        <v/>
      </c>
      <c r="BN410" s="448" t="str">
        <f>_xlfn.IFNA(VLOOKUP($BK410,Programma!$F$3:$I$1101,4,0),"")</f>
        <v/>
      </c>
      <c r="BO410" s="448" t="str">
        <f>_xlfn.IFNA(VLOOKUP($BK410,Programma!$F$3:$J$1101,5,0),"")</f>
        <v/>
      </c>
      <c r="BP410" s="448" t="str">
        <f>_xlfn.IFNA(VLOOKUP($BK410,Programma!$F$3:$K$1101,6,0),"")</f>
        <v/>
      </c>
      <c r="BQ410" s="448" t="str">
        <f>_xlfn.IFNA(VLOOKUP($BK410,Programma!$F$3:$L$1101,7,0),"")</f>
        <v/>
      </c>
      <c r="BR410" s="448" t="str">
        <f>_xlfn.IFNA(VLOOKUP($BK410,Programma!$F$3:$M$1101,8,0),"")</f>
        <v/>
      </c>
      <c r="BS410" s="448" t="str">
        <f>_xlfn.IFNA(VLOOKUP($BK410,Programma!$F$3:$N$1101,9,0),"")</f>
        <v/>
      </c>
      <c r="BT410" s="448" t="str">
        <f>_xlfn.IFNA(VLOOKUP($BK410,Programma!$F$3:$O$1101,10,0),"")</f>
        <v/>
      </c>
      <c r="BU410" s="448" t="str">
        <f>_xlfn.IFNA(VLOOKUP($BK410,Programma!$F$3:$P$1101,11,0),"")</f>
        <v/>
      </c>
      <c r="BV410" s="448" t="str">
        <f>_xlfn.IFNA(VLOOKUP($BK410,Programma!$F$3:$Q$1101,12,0),"")</f>
        <v/>
      </c>
      <c r="BW410" s="448" t="str">
        <f>_xlfn.IFNA(VLOOKUP($BK410,Programma!$F$3:$R$1101,13,0),"")</f>
        <v/>
      </c>
      <c r="BX410" s="448" t="str">
        <f>_xlfn.IFNA(VLOOKUP($BK410,Programma!$F$3:$S$1101,14,0),"")</f>
        <v/>
      </c>
      <c r="BY410" s="448" t="str">
        <f>_xlfn.IFNA(VLOOKUP($BK410,Programma!$F$3:$T$1101,15,0),"")</f>
        <v/>
      </c>
      <c r="BZ410" s="448" t="str">
        <f>_xlfn.IFNA(VLOOKUP($BK410,Programma!$F$3:$U$1101,16,0),"")</f>
        <v/>
      </c>
      <c r="CA410" s="448" t="str">
        <f>_xlfn.IFNA(VLOOKUP($BK410,Programma!$F$3:$V$1101,17,0),"")</f>
        <v/>
      </c>
      <c r="CB410" s="448" t="str">
        <f>_xlfn.IFNA(VLOOKUP($BK410,Programma!$F$3:$W$1101,18,0),"")</f>
        <v/>
      </c>
      <c r="CC410" s="448" t="str">
        <f>_xlfn.IFNA(VLOOKUP($BK410,Programma!$F$3:$X$1101,19,0),"")</f>
        <v/>
      </c>
      <c r="CD410" s="448" t="str">
        <f>_xlfn.IFNA(VLOOKUP($BK410,Programma!$F$3:$Y$1101,20,0),"")</f>
        <v/>
      </c>
      <c r="CE410" s="327"/>
      <c r="CF410" s="327"/>
      <c r="CG410" s="327"/>
      <c r="CH410" s="327"/>
      <c r="CI410" s="327"/>
      <c r="CJ410" s="327"/>
      <c r="CK410" s="327"/>
      <c r="CL410" s="327"/>
      <c r="CM410" s="327"/>
      <c r="CN410" s="327"/>
      <c r="CO410" s="327"/>
      <c r="CP410" s="327"/>
      <c r="CQ410" s="327"/>
      <c r="CR410" s="327"/>
      <c r="CS410" s="327"/>
      <c r="CT410" s="327"/>
      <c r="CU410" s="327"/>
      <c r="CV410" s="327"/>
      <c r="CW410" s="327"/>
      <c r="CX410" s="327"/>
      <c r="CY410" s="327"/>
      <c r="CZ410" s="327"/>
      <c r="DA410" s="327"/>
      <c r="DB410" s="327"/>
      <c r="DC410" s="327"/>
      <c r="DD410" s="327"/>
      <c r="DE410" s="327"/>
      <c r="DF410" s="327"/>
      <c r="DG410" s="327"/>
      <c r="DH410" s="327"/>
      <c r="DI410" s="327"/>
      <c r="DJ410" s="327"/>
      <c r="DK410" s="327"/>
      <c r="DL410" s="327"/>
      <c r="DM410" s="327"/>
      <c r="DN410" s="327"/>
      <c r="DO410" s="327"/>
      <c r="DP410" s="327"/>
      <c r="DQ410" s="327"/>
      <c r="DR410" s="327"/>
      <c r="DS410" s="327"/>
      <c r="DT410" s="327"/>
      <c r="DU410" s="327"/>
      <c r="DV410" s="327"/>
      <c r="DW410" s="327"/>
      <c r="DX410" s="327"/>
      <c r="DY410" s="327"/>
      <c r="DZ410" s="327"/>
      <c r="EA410" s="327"/>
      <c r="EB410" s="327"/>
      <c r="EC410" s="327"/>
      <c r="ED410" s="327"/>
      <c r="EE410" s="327"/>
      <c r="EF410" s="327"/>
      <c r="EG410" s="327"/>
      <c r="EH410" s="327"/>
      <c r="EI410" s="327"/>
      <c r="EJ410" s="327"/>
      <c r="EK410" s="327"/>
      <c r="EL410" s="327"/>
      <c r="EM410" s="327"/>
      <c r="EN410" s="327"/>
      <c r="EO410" s="327"/>
      <c r="EP410" s="327"/>
      <c r="EQ410" s="327"/>
      <c r="ER410" s="327"/>
      <c r="ES410" s="327"/>
      <c r="ET410" s="327"/>
      <c r="EU410" s="327"/>
      <c r="EV410" s="327"/>
      <c r="EW410" s="327"/>
      <c r="EX410" s="327"/>
      <c r="EY410" s="327"/>
      <c r="EZ410" s="327"/>
      <c r="FA410" s="327"/>
      <c r="FB410" s="327"/>
      <c r="FC410" s="327"/>
      <c r="FD410" s="327"/>
      <c r="FE410" s="327"/>
      <c r="FF410" s="327"/>
      <c r="FG410" s="327"/>
      <c r="FH410" s="327"/>
      <c r="FI410" s="327"/>
      <c r="FJ410" s="327"/>
      <c r="FK410" s="327"/>
      <c r="FL410" s="327"/>
      <c r="FM410" s="327"/>
      <c r="FN410" s="327"/>
      <c r="FO410" s="327"/>
      <c r="FP410" s="327"/>
      <c r="FQ410" s="327"/>
      <c r="FR410" s="327"/>
      <c r="FS410" s="327"/>
      <c r="FT410" s="327"/>
      <c r="FU410" s="327"/>
      <c r="FV410" s="327"/>
      <c r="FW410" s="327"/>
      <c r="FX410" s="327"/>
      <c r="FY410" s="327"/>
      <c r="FZ410" s="327"/>
      <c r="GA410" s="327"/>
      <c r="GB410" s="327"/>
      <c r="GC410" s="327"/>
      <c r="GD410" s="327"/>
      <c r="GE410" s="327"/>
      <c r="GF410" s="327"/>
      <c r="GG410" s="327"/>
      <c r="GH410" s="327"/>
      <c r="GI410" s="327"/>
      <c r="GJ410" s="327"/>
      <c r="GK410" s="327"/>
      <c r="GL410" s="327"/>
      <c r="GM410" s="327"/>
      <c r="GN410" s="327"/>
      <c r="GO410" s="327"/>
      <c r="GP410" s="327"/>
      <c r="GQ410" s="327"/>
      <c r="GR410" s="327"/>
      <c r="GS410" s="327"/>
      <c r="GT410" s="327"/>
      <c r="GU410" s="327"/>
      <c r="GV410" s="327"/>
      <c r="GW410" s="327"/>
      <c r="GX410" s="327"/>
      <c r="GY410" s="327"/>
      <c r="GZ410" s="327"/>
      <c r="HA410" s="327"/>
      <c r="HB410" s="327"/>
      <c r="HC410" s="327"/>
      <c r="HD410" s="327"/>
      <c r="HE410" s="327"/>
      <c r="HF410" s="327"/>
      <c r="HG410" s="327"/>
      <c r="HH410" s="327"/>
      <c r="HI410" s="327"/>
      <c r="HJ410" s="327"/>
      <c r="HK410" s="327"/>
      <c r="HL410" s="327"/>
      <c r="HM410" s="327"/>
      <c r="HN410" s="327"/>
      <c r="HO410" s="327"/>
      <c r="HP410" s="327"/>
      <c r="HQ410" s="327"/>
      <c r="HR410" s="327"/>
      <c r="HS410" s="327"/>
    </row>
    <row r="411" spans="1:227" ht="15" customHeight="1">
      <c r="A411" s="327">
        <v>17</v>
      </c>
      <c r="B411" s="435" t="str">
        <f>VLOOKUP(Ruimtestaat[[#This Row],[Code]],Locaties[[Code]:[Locatie]],2,FALSE)</f>
        <v>IKC de Tjalk Kadelaan 208 (bijgebouw)</v>
      </c>
      <c r="C411" s="435" t="str">
        <f>VLOOKUP(Ruimtestaat[[#This Row],[Code]],Locaties[[#All],[Code]:[Adres]],4,FALSE)</f>
        <v>Kadelaan 208</v>
      </c>
      <c r="D411" s="435" t="str">
        <f>VLOOKUP(Ruimtestaat[[#This Row],[Code]],Locaties[[#All],[Code]:[Postcode]],5,FALSE)</f>
        <v>2725 BR</v>
      </c>
      <c r="E411" s="435" t="str">
        <f>VLOOKUP(Ruimtestaat[[#This Row],[Code]],Locaties[#All],6,FALSE)</f>
        <v>Zoetermeer</v>
      </c>
      <c r="F411" s="450"/>
      <c r="G411" s="330" t="s">
        <v>1678</v>
      </c>
      <c r="H411" s="330">
        <v>66</v>
      </c>
      <c r="I411" s="450" t="s">
        <v>1724</v>
      </c>
      <c r="J411" s="330">
        <v>1</v>
      </c>
      <c r="K411" s="450" t="str">
        <f>VLOOKUP(Ruimtestaat[[#This Row],[Ruimte code]],Ruimtegroepen[[#All],[Code]:[Ruimte omschrijving]],2,FALSE)</f>
        <v>Magazijnen/bergingen</v>
      </c>
      <c r="L411" s="330" t="s">
        <v>101</v>
      </c>
      <c r="M411" s="437" t="s">
        <v>1816</v>
      </c>
      <c r="N411" s="439">
        <v>5.14</v>
      </c>
      <c r="O411" s="439"/>
      <c r="P411" s="439"/>
      <c r="Q411" s="439"/>
      <c r="R411" s="440" t="str">
        <f>VLOOKUP(Ruimtestaat[[#This Row],[Ruimte code]],Ruimtegroepen[],4,FALSE)</f>
        <v>Ve</v>
      </c>
      <c r="S411" s="434">
        <v>40</v>
      </c>
      <c r="T411" s="434" t="s">
        <v>2</v>
      </c>
      <c r="U411" s="434">
        <f>IF(S411&gt;0,IF(RIGHT(Ruimtestaat[[#This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1" s="434">
        <f>IF(U411&gt;0,VLOOKUP($J411,Ruimtegroepen[],3,FALSE)*VLOOKUP($L411,Vloersoorten[],3,FALSE)*VLOOKUP($T411,Frequenties[],3,FALSE)*VLOOKUP($A411,Locaties[],3,FALSE),0)</f>
        <v>0</v>
      </c>
      <c r="W411" s="434">
        <f>Ruimtestaat[[#This Row],[Uitvoeringen werkdagen]]*Ruimtestaat[[#This Row],[Oppervlak (netto)]]</f>
        <v>1028</v>
      </c>
      <c r="X411" s="441">
        <f>IF(V411&gt;0,Ruimtestaat[[#This Row],[Prest. (m2 /jaar) werkdagen]]/Ruimtestaat[[#This Row],[Norm (m2/uur) werkdagen]],0)</f>
        <v>0</v>
      </c>
      <c r="Y411" s="442">
        <f>Ruimtestaat[[#This Row],[Uitvoeringen werkdagen]]*Ruimtestaat[[#This Row],[Gedeeltelijk]]</f>
        <v>0</v>
      </c>
      <c r="Z411" s="443" t="e">
        <f>IF(U411&gt;0,Ruimtestaat[[#This Row],[Prest. (m2 / jaar) werkdagen gedeeld]]/Ruimtestaat[[#This Row],[Norm (m2/uur) werkdagen]],0)</f>
        <v>#DIV/0!</v>
      </c>
      <c r="AA411" s="441" t="e">
        <f>Ruimtestaat[[#This Row],[uren / jaar werkdagen gedeeld]]*Tariefsopbouw!$E$35</f>
        <v>#DIV/0!</v>
      </c>
      <c r="AB411" s="441">
        <f>Ruimtestaat[[#This Row],[Uitvoeringen werkdagen]]*Ruimtestaat[[#This Row],[BSO]]</f>
        <v>0</v>
      </c>
      <c r="AC411" s="443" t="e">
        <f>IF(U411&gt;0,Ruimtestaat[[#This Row],[Prest. (m2 / jaar) werkdagen BSO]]/Ruimtestaat[[#This Row],[Norm (m2/uur) werkdagen]],0)</f>
        <v>#DIV/0!</v>
      </c>
      <c r="AD411" s="443" t="e">
        <f>Ruimtestaat[[#This Row],[uren / jaar werkdagen BSO]]*Tariefsopbouw!$E$35</f>
        <v>#DIV/0!</v>
      </c>
      <c r="AE411" s="444">
        <f>Ruimtestaat[[#This Row],[uren / jaar werkdagen]]*Tariefsopbouw!$E$35</f>
        <v>0</v>
      </c>
      <c r="AF411" s="434"/>
      <c r="AG411" s="434">
        <f>IF(Ruimtestaat[[#This Row],[Frequentie weekend]]&gt;0,VALUE(LEFT(AF411,1))*S411,0)</f>
        <v>0</v>
      </c>
      <c r="AH411" s="445">
        <f>IF($AG411&gt;0,VLOOKUP($J411,Ruimtegroepen[],3,FALSE)*VLOOKUP($L411,Vloersoorten[],3,FALSE)*VLOOKUP($AF411,Frequenties[],3,FALSE)*VLOOKUP(Ruimtestaat[[#This Row],[Code]],Locaties[],3,FALSE),0)</f>
        <v>0</v>
      </c>
      <c r="AI411" s="445">
        <f>Ruimtestaat[[#This Row],[Uitvoeringen weekend]]*Ruimtestaat[[#This Row],[Oppervlak (netto)]]</f>
        <v>0</v>
      </c>
      <c r="AJ411" s="445">
        <f>IF(AH411&gt;0,Ruimtestaat[[#This Row],[Prest. (m2 /jaar) weekend]]/Ruimtestaat[[#This Row],[Norm (m2/uur) weekend]],0)</f>
        <v>0</v>
      </c>
      <c r="AK411" s="444">
        <f>Ruimtestaat[[#This Row],[uren / jaar weekend]]*Tariefsopbouw!$D$40</f>
        <v>0</v>
      </c>
      <c r="AL411" s="441">
        <f>Ruimtestaat[[#This Row],[Prest. (m2 /jaar) weekend]]+Ruimtestaat[[#This Row],[Prest. (m2 /jaar) werkdagen]]</f>
        <v>1028</v>
      </c>
      <c r="AM411" s="441">
        <f>Ruimtestaat[[#This Row],[uren / jaar weekend]]+Ruimtestaat[[#This Row],[uren / jaar werkdagen]]</f>
        <v>0</v>
      </c>
      <c r="AN411" s="446">
        <f>Ruimtestaat[[#This Row],[kosten / jaar weekend]]+Ruimtestaat[[#This Row],[kosten / jaar werkdagen]]</f>
        <v>0</v>
      </c>
      <c r="AO411" s="446"/>
      <c r="AP411" s="447" t="str">
        <f>IF(Ruimtestaat[[#This Row],[Frequentie werkdagen]]="","",_xlfn.CONCAT(Ruimtestaat[[#This Row],[Ruimte code]],"-",Ruimtestaat[[#This Row],[Frequentie werkdagen]]," ",Ruimtestaat[[#This Row],[Vloer code]]))</f>
        <v>1-5w S</v>
      </c>
      <c r="AQ411" s="448" t="str">
        <f>_xlfn.IFNA(VLOOKUP($AP411,Programma!$F$3:$G$1101,2,0),"")</f>
        <v>_</v>
      </c>
      <c r="AR411" s="448" t="str">
        <f>_xlfn.IFNA(VLOOKUP($AP411,Programma!$F$3:$H$1101,3,0),"")</f>
        <v>_</v>
      </c>
      <c r="AS411" s="448" t="str">
        <f>_xlfn.IFNA(VLOOKUP($AP411,Programma!$F$3:$I$1101,4,0),"")</f>
        <v>4w</v>
      </c>
      <c r="AT411" s="448" t="str">
        <f>_xlfn.IFNA(VLOOKUP($AP411,Programma!$F$3:$J$1101,5,0),"")</f>
        <v>1w</v>
      </c>
      <c r="AU411" s="448" t="str">
        <f>_xlfn.IFNA(VLOOKUP($AP411,Programma!$F$3:$K$1101,6,0),"")</f>
        <v>1j</v>
      </c>
      <c r="AV411" s="448" t="str">
        <f>_xlfn.IFNA(VLOOKUP($AP411,Programma!$F$3:$L$1101,7,0),"")</f>
        <v>_</v>
      </c>
      <c r="AW411" s="448" t="str">
        <f>_xlfn.IFNA(VLOOKUP($AP411,Programma!$F$3:$M$1101,8,0),"")</f>
        <v>_</v>
      </c>
      <c r="AX411" s="448" t="str">
        <f>_xlfn.IFNA(VLOOKUP($AP411,Programma!$F$3:$N$1101,9,0),"")</f>
        <v>_</v>
      </c>
      <c r="AY411" s="448" t="str">
        <f>_xlfn.IFNA(VLOOKUP($AP411,Programma!$F$3:$O$1101,10,0),"")</f>
        <v>_</v>
      </c>
      <c r="AZ411" s="448" t="str">
        <f>_xlfn.IFNA(VLOOKUP($AP411,Programma!$F$3:$P$1101,11,0),"")</f>
        <v>_</v>
      </c>
      <c r="BA411" s="448" t="str">
        <f>_xlfn.IFNA(VLOOKUP($AP411,Programma!$F$3:$Q$1101,12,0),"")</f>
        <v>_</v>
      </c>
      <c r="BB411" s="448" t="str">
        <f>_xlfn.IFNA(VLOOKUP($AP411,Programma!$F$3:$R$1101,13,0),"")</f>
        <v>_</v>
      </c>
      <c r="BC411" s="448" t="str">
        <f>_xlfn.IFNA(VLOOKUP($AP411,Programma!$F$3:$S$1101,14,0),"")</f>
        <v>5w</v>
      </c>
      <c r="BD411" s="448" t="str">
        <f>_xlfn.IFNA(VLOOKUP($AP411,Programma!$F$3:$T$1101,15,0),"")</f>
        <v>4j</v>
      </c>
      <c r="BE411" s="448" t="str">
        <f>_xlfn.IFNA(VLOOKUP($AP411,Programma!$F$3:$U$1101,16,0),"")</f>
        <v>4j</v>
      </c>
      <c r="BF411" s="448" t="str">
        <f>_xlfn.IFNA(VLOOKUP($AP411,Programma!$F$3:$V$1101,17,0),"")</f>
        <v>_</v>
      </c>
      <c r="BG411" s="448" t="str">
        <f>_xlfn.IFNA(VLOOKUP($AP411,Programma!$F$3:$W$1101,18,0),"")</f>
        <v>_</v>
      </c>
      <c r="BH411" s="448" t="str">
        <f>_xlfn.IFNA(VLOOKUP($AP411,Programma!$F$3:$X$1101,19,0),"")</f>
        <v>_</v>
      </c>
      <c r="BI411" s="448" t="str">
        <f>_xlfn.IFNA(VLOOKUP($AP411,Programma!$F$3:$Y$1101,20,0),"")</f>
        <v>_</v>
      </c>
      <c r="BJ411" s="449"/>
      <c r="BK411" s="447" t="str">
        <f>IF(Ruimtestaat[[#This Row],[Frequentie weekend]]="","",_xlfn.CONCAT(Ruimtestaat[[#This Row],[Ruimte code]],"-",Ruimtestaat[[#This Row],[Frequentie weekend]]," ",Ruimtestaat[[#This Row],[Vloer code]]))</f>
        <v/>
      </c>
      <c r="BL411" s="448" t="str">
        <f>_xlfn.IFNA(VLOOKUP($BK411,Programma!$F$3:$G$1101,2,0),"")</f>
        <v/>
      </c>
      <c r="BM411" s="448" t="str">
        <f>_xlfn.IFNA(VLOOKUP($BK411,Programma!$F$3:$H$1101,3,0),"")</f>
        <v/>
      </c>
      <c r="BN411" s="448" t="str">
        <f>_xlfn.IFNA(VLOOKUP($BK411,Programma!$F$3:$I$1101,4,0),"")</f>
        <v/>
      </c>
      <c r="BO411" s="448" t="str">
        <f>_xlfn.IFNA(VLOOKUP($BK411,Programma!$F$3:$J$1101,5,0),"")</f>
        <v/>
      </c>
      <c r="BP411" s="448" t="str">
        <f>_xlfn.IFNA(VLOOKUP($BK411,Programma!$F$3:$K$1101,6,0),"")</f>
        <v/>
      </c>
      <c r="BQ411" s="448" t="str">
        <f>_xlfn.IFNA(VLOOKUP($BK411,Programma!$F$3:$L$1101,7,0),"")</f>
        <v/>
      </c>
      <c r="BR411" s="448" t="str">
        <f>_xlfn.IFNA(VLOOKUP($BK411,Programma!$F$3:$M$1101,8,0),"")</f>
        <v/>
      </c>
      <c r="BS411" s="448" t="str">
        <f>_xlfn.IFNA(VLOOKUP($BK411,Programma!$F$3:$N$1101,9,0),"")</f>
        <v/>
      </c>
      <c r="BT411" s="448" t="str">
        <f>_xlfn.IFNA(VLOOKUP($BK411,Programma!$F$3:$O$1101,10,0),"")</f>
        <v/>
      </c>
      <c r="BU411" s="448" t="str">
        <f>_xlfn.IFNA(VLOOKUP($BK411,Programma!$F$3:$P$1101,11,0),"")</f>
        <v/>
      </c>
      <c r="BV411" s="448" t="str">
        <f>_xlfn.IFNA(VLOOKUP($BK411,Programma!$F$3:$Q$1101,12,0),"")</f>
        <v/>
      </c>
      <c r="BW411" s="448" t="str">
        <f>_xlfn.IFNA(VLOOKUP($BK411,Programma!$F$3:$R$1101,13,0),"")</f>
        <v/>
      </c>
      <c r="BX411" s="448" t="str">
        <f>_xlfn.IFNA(VLOOKUP($BK411,Programma!$F$3:$S$1101,14,0),"")</f>
        <v/>
      </c>
      <c r="BY411" s="448" t="str">
        <f>_xlfn.IFNA(VLOOKUP($BK411,Programma!$F$3:$T$1101,15,0),"")</f>
        <v/>
      </c>
      <c r="BZ411" s="448" t="str">
        <f>_xlfn.IFNA(VLOOKUP($BK411,Programma!$F$3:$U$1101,16,0),"")</f>
        <v/>
      </c>
      <c r="CA411" s="448" t="str">
        <f>_xlfn.IFNA(VLOOKUP($BK411,Programma!$F$3:$V$1101,17,0),"")</f>
        <v/>
      </c>
      <c r="CB411" s="448" t="str">
        <f>_xlfn.IFNA(VLOOKUP($BK411,Programma!$F$3:$W$1101,18,0),"")</f>
        <v/>
      </c>
      <c r="CC411" s="448" t="str">
        <f>_xlfn.IFNA(VLOOKUP($BK411,Programma!$F$3:$X$1101,19,0),"")</f>
        <v/>
      </c>
      <c r="CD411" s="448" t="str">
        <f>_xlfn.IFNA(VLOOKUP($BK411,Programma!$F$3:$Y$1101,20,0),"")</f>
        <v/>
      </c>
      <c r="CE411" s="327"/>
      <c r="CF411" s="327"/>
      <c r="CG411" s="327"/>
      <c r="CH411" s="327"/>
      <c r="CI411" s="327"/>
      <c r="CJ411" s="327"/>
      <c r="CK411" s="327"/>
      <c r="CL411" s="327"/>
      <c r="CM411" s="327"/>
      <c r="CN411" s="327"/>
      <c r="CO411" s="327"/>
      <c r="CP411" s="327"/>
      <c r="CQ411" s="327"/>
      <c r="CR411" s="327"/>
      <c r="CS411" s="327"/>
      <c r="CT411" s="327"/>
      <c r="CU411" s="327"/>
      <c r="CV411" s="327"/>
      <c r="CW411" s="327"/>
      <c r="CX411" s="327"/>
      <c r="CY411" s="327"/>
      <c r="CZ411" s="327"/>
      <c r="DA411" s="327"/>
      <c r="DB411" s="327"/>
      <c r="DC411" s="327"/>
      <c r="DD411" s="327"/>
      <c r="DE411" s="327"/>
      <c r="DF411" s="327"/>
      <c r="DG411" s="327"/>
      <c r="DH411" s="327"/>
      <c r="DI411" s="327"/>
      <c r="DJ411" s="327"/>
      <c r="DK411" s="327"/>
      <c r="DL411" s="327"/>
      <c r="DM411" s="327"/>
      <c r="DN411" s="327"/>
      <c r="DO411" s="327"/>
      <c r="DP411" s="327"/>
      <c r="DQ411" s="327"/>
      <c r="DR411" s="327"/>
      <c r="DS411" s="327"/>
      <c r="DT411" s="327"/>
      <c r="DU411" s="327"/>
      <c r="DV411" s="327"/>
      <c r="DW411" s="327"/>
      <c r="DX411" s="327"/>
      <c r="DY411" s="327"/>
      <c r="DZ411" s="327"/>
      <c r="EA411" s="327"/>
      <c r="EB411" s="327"/>
      <c r="EC411" s="327"/>
      <c r="ED411" s="327"/>
      <c r="EE411" s="327"/>
      <c r="EF411" s="327"/>
      <c r="EG411" s="327"/>
      <c r="EH411" s="327"/>
      <c r="EI411" s="327"/>
      <c r="EJ411" s="327"/>
      <c r="EK411" s="327"/>
      <c r="EL411" s="327"/>
      <c r="EM411" s="327"/>
      <c r="EN411" s="327"/>
      <c r="EO411" s="327"/>
      <c r="EP411" s="327"/>
      <c r="EQ411" s="327"/>
      <c r="ER411" s="327"/>
      <c r="ES411" s="327"/>
      <c r="ET411" s="327"/>
      <c r="EU411" s="327"/>
      <c r="EV411" s="327"/>
      <c r="EW411" s="327"/>
      <c r="EX411" s="327"/>
      <c r="EY411" s="327"/>
      <c r="EZ411" s="327"/>
      <c r="FA411" s="327"/>
      <c r="FB411" s="327"/>
      <c r="FC411" s="327"/>
      <c r="FD411" s="327"/>
      <c r="FE411" s="327"/>
      <c r="FF411" s="327"/>
      <c r="FG411" s="327"/>
      <c r="FH411" s="327"/>
      <c r="FI411" s="327"/>
      <c r="FJ411" s="327"/>
      <c r="FK411" s="327"/>
      <c r="FL411" s="327"/>
      <c r="FM411" s="327"/>
      <c r="FN411" s="327"/>
      <c r="FO411" s="327"/>
      <c r="FP411" s="327"/>
      <c r="FQ411" s="327"/>
      <c r="FR411" s="327"/>
      <c r="FS411" s="327"/>
      <c r="FT411" s="327"/>
      <c r="FU411" s="327"/>
      <c r="FV411" s="327"/>
      <c r="FW411" s="327"/>
      <c r="FX411" s="327"/>
      <c r="FY411" s="327"/>
      <c r="FZ411" s="327"/>
      <c r="GA411" s="327"/>
      <c r="GB411" s="327"/>
      <c r="GC411" s="327"/>
      <c r="GD411" s="327"/>
      <c r="GE411" s="327"/>
      <c r="GF411" s="327"/>
      <c r="GG411" s="327"/>
      <c r="GH411" s="327"/>
      <c r="GI411" s="327"/>
      <c r="GJ411" s="327"/>
      <c r="GK411" s="327"/>
      <c r="GL411" s="327"/>
      <c r="GM411" s="327"/>
      <c r="GN411" s="327"/>
      <c r="GO411" s="327"/>
      <c r="GP411" s="327"/>
      <c r="GQ411" s="327"/>
      <c r="GR411" s="327"/>
      <c r="GS411" s="327"/>
      <c r="GT411" s="327"/>
      <c r="GU411" s="327"/>
      <c r="GV411" s="327"/>
      <c r="GW411" s="327"/>
      <c r="GX411" s="327"/>
      <c r="GY411" s="327"/>
      <c r="GZ411" s="327"/>
      <c r="HA411" s="327"/>
      <c r="HB411" s="327"/>
      <c r="HC411" s="327"/>
      <c r="HD411" s="327"/>
      <c r="HE411" s="327"/>
      <c r="HF411" s="327"/>
      <c r="HG411" s="327"/>
      <c r="HH411" s="327"/>
      <c r="HI411" s="327"/>
      <c r="HJ411" s="327"/>
      <c r="HK411" s="327"/>
      <c r="HL411" s="327"/>
      <c r="HM411" s="327"/>
      <c r="HN411" s="327"/>
      <c r="HO411" s="327"/>
      <c r="HP411" s="327"/>
      <c r="HQ411" s="327"/>
      <c r="HR411" s="327"/>
      <c r="HS411" s="327"/>
    </row>
    <row r="412" spans="1:227" ht="15" customHeight="1">
      <c r="A412" s="327">
        <v>17</v>
      </c>
      <c r="B412" s="435" t="str">
        <f>VLOOKUP(Ruimtestaat[[#This Row],[Code]],Locaties[[Code]:[Locatie]],2,FALSE)</f>
        <v>IKC de Tjalk Kadelaan 208 (bijgebouw)</v>
      </c>
      <c r="C412" s="435" t="str">
        <f>VLOOKUP(Ruimtestaat[[#This Row],[Code]],Locaties[[#All],[Code]:[Adres]],4,FALSE)</f>
        <v>Kadelaan 208</v>
      </c>
      <c r="D412" s="435" t="str">
        <f>VLOOKUP(Ruimtestaat[[#This Row],[Code]],Locaties[[#All],[Code]:[Postcode]],5,FALSE)</f>
        <v>2725 BR</v>
      </c>
      <c r="E412" s="435" t="str">
        <f>VLOOKUP(Ruimtestaat[[#This Row],[Code]],Locaties[#All],6,FALSE)</f>
        <v>Zoetermeer</v>
      </c>
      <c r="F412" s="450"/>
      <c r="G412" s="330" t="s">
        <v>1678</v>
      </c>
      <c r="H412" s="330">
        <v>58</v>
      </c>
      <c r="I412" s="450" t="s">
        <v>1697</v>
      </c>
      <c r="J412" s="330">
        <v>4</v>
      </c>
      <c r="K412" s="450" t="str">
        <f>VLOOKUP(Ruimtestaat[[#This Row],[Ruimte code]],Ruimtegroepen[[#All],[Code]:[Ruimte omschrijving]],2,FALSE)</f>
        <v>Vergader/spreekkamers</v>
      </c>
      <c r="L412" s="330" t="s">
        <v>101</v>
      </c>
      <c r="M412" s="437" t="s">
        <v>1816</v>
      </c>
      <c r="N412" s="439">
        <v>12.63</v>
      </c>
      <c r="O412" s="439"/>
      <c r="P412" s="439"/>
      <c r="Q412" s="439"/>
      <c r="R412" s="440" t="str">
        <f>VLOOKUP(Ruimtestaat[[#This Row],[Ruimte code]],Ruimtegroepen[],4,FALSE)</f>
        <v>Bu</v>
      </c>
      <c r="S412" s="434">
        <v>40</v>
      </c>
      <c r="T412" s="434" t="s">
        <v>2</v>
      </c>
      <c r="U412" s="434">
        <f>IF(S412&gt;0,IF(RIGHT(Ruimtestaat[[#This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2" s="434">
        <f>IF(U412&gt;0,VLOOKUP($J412,Ruimtegroepen[],3,FALSE)*VLOOKUP($L412,Vloersoorten[],3,FALSE)*VLOOKUP($T412,Frequenties[],3,FALSE)*VLOOKUP($A412,Locaties[],3,FALSE),0)</f>
        <v>0</v>
      </c>
      <c r="W412" s="434">
        <f>Ruimtestaat[[#This Row],[Uitvoeringen werkdagen]]*Ruimtestaat[[#This Row],[Oppervlak (netto)]]</f>
        <v>2526</v>
      </c>
      <c r="X412" s="441">
        <f>IF(V412&gt;0,Ruimtestaat[[#This Row],[Prest. (m2 /jaar) werkdagen]]/Ruimtestaat[[#This Row],[Norm (m2/uur) werkdagen]],0)</f>
        <v>0</v>
      </c>
      <c r="Y412" s="442">
        <f>Ruimtestaat[[#This Row],[Uitvoeringen werkdagen]]*Ruimtestaat[[#This Row],[Gedeeltelijk]]</f>
        <v>0</v>
      </c>
      <c r="Z412" s="443" t="e">
        <f>IF(U412&gt;0,Ruimtestaat[[#This Row],[Prest. (m2 / jaar) werkdagen gedeeld]]/Ruimtestaat[[#This Row],[Norm (m2/uur) werkdagen]],0)</f>
        <v>#DIV/0!</v>
      </c>
      <c r="AA412" s="441" t="e">
        <f>Ruimtestaat[[#This Row],[uren / jaar werkdagen gedeeld]]*Tariefsopbouw!$E$35</f>
        <v>#DIV/0!</v>
      </c>
      <c r="AB412" s="441">
        <f>Ruimtestaat[[#This Row],[Uitvoeringen werkdagen]]*Ruimtestaat[[#This Row],[BSO]]</f>
        <v>0</v>
      </c>
      <c r="AC412" s="443" t="e">
        <f>IF(U412&gt;0,Ruimtestaat[[#This Row],[Prest. (m2 / jaar) werkdagen BSO]]/Ruimtestaat[[#This Row],[Norm (m2/uur) werkdagen]],0)</f>
        <v>#DIV/0!</v>
      </c>
      <c r="AD412" s="443" t="e">
        <f>Ruimtestaat[[#This Row],[uren / jaar werkdagen BSO]]*Tariefsopbouw!$E$35</f>
        <v>#DIV/0!</v>
      </c>
      <c r="AE412" s="444">
        <f>Ruimtestaat[[#This Row],[uren / jaar werkdagen]]*Tariefsopbouw!$E$35</f>
        <v>0</v>
      </c>
      <c r="AF412" s="434"/>
      <c r="AG412" s="434">
        <f>IF(Ruimtestaat[[#This Row],[Frequentie weekend]]&gt;0,VALUE(LEFT(AF412,1))*S412,0)</f>
        <v>0</v>
      </c>
      <c r="AH412" s="445">
        <f>IF($AG412&gt;0,VLOOKUP($J412,Ruimtegroepen[],3,FALSE)*VLOOKUP($L412,Vloersoorten[],3,FALSE)*VLOOKUP($AF412,Frequenties[],3,FALSE)*VLOOKUP(Ruimtestaat[[#This Row],[Code]],Locaties[],3,FALSE),0)</f>
        <v>0</v>
      </c>
      <c r="AI412" s="445">
        <f>Ruimtestaat[[#This Row],[Uitvoeringen weekend]]*Ruimtestaat[[#This Row],[Oppervlak (netto)]]</f>
        <v>0</v>
      </c>
      <c r="AJ412" s="445">
        <f>IF(AH412&gt;0,Ruimtestaat[[#This Row],[Prest. (m2 /jaar) weekend]]/Ruimtestaat[[#This Row],[Norm (m2/uur) weekend]],0)</f>
        <v>0</v>
      </c>
      <c r="AK412" s="444">
        <f>Ruimtestaat[[#This Row],[uren / jaar weekend]]*Tariefsopbouw!$D$40</f>
        <v>0</v>
      </c>
      <c r="AL412" s="441">
        <f>Ruimtestaat[[#This Row],[Prest. (m2 /jaar) weekend]]+Ruimtestaat[[#This Row],[Prest. (m2 /jaar) werkdagen]]</f>
        <v>2526</v>
      </c>
      <c r="AM412" s="441">
        <f>Ruimtestaat[[#This Row],[uren / jaar weekend]]+Ruimtestaat[[#This Row],[uren / jaar werkdagen]]</f>
        <v>0</v>
      </c>
      <c r="AN412" s="446">
        <f>Ruimtestaat[[#This Row],[kosten / jaar weekend]]+Ruimtestaat[[#This Row],[kosten / jaar werkdagen]]</f>
        <v>0</v>
      </c>
      <c r="AO412" s="446"/>
      <c r="AP412" s="447" t="str">
        <f>IF(Ruimtestaat[[#This Row],[Frequentie werkdagen]]="","",_xlfn.CONCAT(Ruimtestaat[[#This Row],[Ruimte code]],"-",Ruimtestaat[[#This Row],[Frequentie werkdagen]]," ",Ruimtestaat[[#This Row],[Vloer code]]))</f>
        <v>4-5w S</v>
      </c>
      <c r="AQ412" s="448" t="str">
        <f>_xlfn.IFNA(VLOOKUP($AP412,Programma!$F$3:$G$1101,2,0),"")</f>
        <v>_</v>
      </c>
      <c r="AR412" s="448" t="str">
        <f>_xlfn.IFNA(VLOOKUP($AP412,Programma!$F$3:$H$1101,3,0),"")</f>
        <v>_</v>
      </c>
      <c r="AS412" s="448" t="str">
        <f>_xlfn.IFNA(VLOOKUP($AP412,Programma!$F$3:$I$1101,4,0),"")</f>
        <v>4w</v>
      </c>
      <c r="AT412" s="448" t="str">
        <f>_xlfn.IFNA(VLOOKUP($AP412,Programma!$F$3:$J$1101,5,0),"")</f>
        <v>1w</v>
      </c>
      <c r="AU412" s="448" t="str">
        <f>_xlfn.IFNA(VLOOKUP($AP412,Programma!$F$3:$K$1101,6,0),"")</f>
        <v>2j</v>
      </c>
      <c r="AV412" s="448" t="str">
        <f>_xlfn.IFNA(VLOOKUP($AP412,Programma!$F$3:$L$1101,7,0),"")</f>
        <v>_</v>
      </c>
      <c r="AW412" s="448" t="str">
        <f>_xlfn.IFNA(VLOOKUP($AP412,Programma!$F$3:$M$1101,8,0),"")</f>
        <v>_</v>
      </c>
      <c r="AX412" s="448" t="str">
        <f>_xlfn.IFNA(VLOOKUP($AP412,Programma!$F$3:$N$1101,9,0),"")</f>
        <v>_</v>
      </c>
      <c r="AY412" s="448" t="str">
        <f>_xlfn.IFNA(VLOOKUP($AP412,Programma!$F$3:$O$1101,10,0),"")</f>
        <v>5w</v>
      </c>
      <c r="AZ412" s="448" t="str">
        <f>_xlfn.IFNA(VLOOKUP($AP412,Programma!$F$3:$P$1101,11,0),"")</f>
        <v>5w</v>
      </c>
      <c r="BA412" s="448" t="str">
        <f>_xlfn.IFNA(VLOOKUP($AP412,Programma!$F$3:$Q$1101,12,0),"")</f>
        <v>1w</v>
      </c>
      <c r="BB412" s="448" t="str">
        <f>_xlfn.IFNA(VLOOKUP($AP412,Programma!$F$3:$R$1101,13,0),"")</f>
        <v>1w</v>
      </c>
      <c r="BC412" s="448" t="str">
        <f>_xlfn.IFNA(VLOOKUP($AP412,Programma!$F$3:$S$1101,14,0),"")</f>
        <v>1m</v>
      </c>
      <c r="BD412" s="448" t="str">
        <f>_xlfn.IFNA(VLOOKUP($AP412,Programma!$F$3:$T$1101,15,0),"")</f>
        <v>2j</v>
      </c>
      <c r="BE412" s="448" t="str">
        <f>_xlfn.IFNA(VLOOKUP($AP412,Programma!$F$3:$U$1101,16,0),"")</f>
        <v>1j</v>
      </c>
      <c r="BF412" s="448" t="str">
        <f>_xlfn.IFNA(VLOOKUP($AP412,Programma!$F$3:$V$1101,17,0),"")</f>
        <v>_</v>
      </c>
      <c r="BG412" s="448" t="str">
        <f>_xlfn.IFNA(VLOOKUP($AP412,Programma!$F$3:$W$1101,18,0),"")</f>
        <v>_</v>
      </c>
      <c r="BH412" s="448" t="str">
        <f>_xlfn.IFNA(VLOOKUP($AP412,Programma!$F$3:$X$1101,19,0),"")</f>
        <v>_</v>
      </c>
      <c r="BI412" s="448" t="str">
        <f>_xlfn.IFNA(VLOOKUP($AP412,Programma!$F$3:$Y$1101,20,0),"")</f>
        <v>_</v>
      </c>
      <c r="BJ412" s="449"/>
      <c r="BK412" s="447" t="str">
        <f>IF(Ruimtestaat[[#This Row],[Frequentie weekend]]="","",_xlfn.CONCAT(Ruimtestaat[[#This Row],[Ruimte code]],"-",Ruimtestaat[[#This Row],[Frequentie weekend]]," ",Ruimtestaat[[#This Row],[Vloer code]]))</f>
        <v/>
      </c>
      <c r="BL412" s="448" t="str">
        <f>_xlfn.IFNA(VLOOKUP($BK412,Programma!$F$3:$G$1101,2,0),"")</f>
        <v/>
      </c>
      <c r="BM412" s="448" t="str">
        <f>_xlfn.IFNA(VLOOKUP($BK412,Programma!$F$3:$H$1101,3,0),"")</f>
        <v/>
      </c>
      <c r="BN412" s="448" t="str">
        <f>_xlfn.IFNA(VLOOKUP($BK412,Programma!$F$3:$I$1101,4,0),"")</f>
        <v/>
      </c>
      <c r="BO412" s="448" t="str">
        <f>_xlfn.IFNA(VLOOKUP($BK412,Programma!$F$3:$J$1101,5,0),"")</f>
        <v/>
      </c>
      <c r="BP412" s="448" t="str">
        <f>_xlfn.IFNA(VLOOKUP($BK412,Programma!$F$3:$K$1101,6,0),"")</f>
        <v/>
      </c>
      <c r="BQ412" s="448" t="str">
        <f>_xlfn.IFNA(VLOOKUP($BK412,Programma!$F$3:$L$1101,7,0),"")</f>
        <v/>
      </c>
      <c r="BR412" s="448" t="str">
        <f>_xlfn.IFNA(VLOOKUP($BK412,Programma!$F$3:$M$1101,8,0),"")</f>
        <v/>
      </c>
      <c r="BS412" s="448" t="str">
        <f>_xlfn.IFNA(VLOOKUP($BK412,Programma!$F$3:$N$1101,9,0),"")</f>
        <v/>
      </c>
      <c r="BT412" s="448" t="str">
        <f>_xlfn.IFNA(VLOOKUP($BK412,Programma!$F$3:$O$1101,10,0),"")</f>
        <v/>
      </c>
      <c r="BU412" s="448" t="str">
        <f>_xlfn.IFNA(VLOOKUP($BK412,Programma!$F$3:$P$1101,11,0),"")</f>
        <v/>
      </c>
      <c r="BV412" s="448" t="str">
        <f>_xlfn.IFNA(VLOOKUP($BK412,Programma!$F$3:$Q$1101,12,0),"")</f>
        <v/>
      </c>
      <c r="BW412" s="448" t="str">
        <f>_xlfn.IFNA(VLOOKUP($BK412,Programma!$F$3:$R$1101,13,0),"")</f>
        <v/>
      </c>
      <c r="BX412" s="448" t="str">
        <f>_xlfn.IFNA(VLOOKUP($BK412,Programma!$F$3:$S$1101,14,0),"")</f>
        <v/>
      </c>
      <c r="BY412" s="448" t="str">
        <f>_xlfn.IFNA(VLOOKUP($BK412,Programma!$F$3:$T$1101,15,0),"")</f>
        <v/>
      </c>
      <c r="BZ412" s="448" t="str">
        <f>_xlfn.IFNA(VLOOKUP($BK412,Programma!$F$3:$U$1101,16,0),"")</f>
        <v/>
      </c>
      <c r="CA412" s="448" t="str">
        <f>_xlfn.IFNA(VLOOKUP($BK412,Programma!$F$3:$V$1101,17,0),"")</f>
        <v/>
      </c>
      <c r="CB412" s="448" t="str">
        <f>_xlfn.IFNA(VLOOKUP($BK412,Programma!$F$3:$W$1101,18,0),"")</f>
        <v/>
      </c>
      <c r="CC412" s="448" t="str">
        <f>_xlfn.IFNA(VLOOKUP($BK412,Programma!$F$3:$X$1101,19,0),"")</f>
        <v/>
      </c>
      <c r="CD412" s="448" t="str">
        <f>_xlfn.IFNA(VLOOKUP($BK412,Programma!$F$3:$Y$1101,20,0),"")</f>
        <v/>
      </c>
      <c r="CE412" s="327"/>
      <c r="CF412" s="327"/>
      <c r="CG412" s="327"/>
      <c r="CH412" s="327"/>
      <c r="CI412" s="327"/>
      <c r="CJ412" s="327"/>
      <c r="CK412" s="327"/>
      <c r="CL412" s="327"/>
      <c r="CM412" s="327"/>
      <c r="CN412" s="327"/>
      <c r="CO412" s="327"/>
      <c r="CP412" s="327"/>
      <c r="CQ412" s="327"/>
      <c r="CR412" s="327"/>
      <c r="CS412" s="327"/>
      <c r="CT412" s="327"/>
      <c r="CU412" s="327"/>
      <c r="CV412" s="327"/>
      <c r="CW412" s="327"/>
      <c r="CX412" s="327"/>
      <c r="CY412" s="327"/>
      <c r="CZ412" s="327"/>
      <c r="DA412" s="327"/>
      <c r="DB412" s="327"/>
      <c r="DC412" s="327"/>
      <c r="DD412" s="327"/>
      <c r="DE412" s="327"/>
      <c r="DF412" s="327"/>
      <c r="DG412" s="327"/>
      <c r="DH412" s="327"/>
      <c r="DI412" s="327"/>
      <c r="DJ412" s="327"/>
      <c r="DK412" s="327"/>
      <c r="DL412" s="327"/>
      <c r="DM412" s="327"/>
      <c r="DN412" s="327"/>
      <c r="DO412" s="327"/>
      <c r="DP412" s="327"/>
      <c r="DQ412" s="327"/>
      <c r="DR412" s="327"/>
      <c r="DS412" s="327"/>
      <c r="DT412" s="327"/>
      <c r="DU412" s="327"/>
      <c r="DV412" s="327"/>
      <c r="DW412" s="327"/>
      <c r="DX412" s="327"/>
      <c r="DY412" s="327"/>
      <c r="DZ412" s="327"/>
      <c r="EA412" s="327"/>
      <c r="EB412" s="327"/>
      <c r="EC412" s="327"/>
      <c r="ED412" s="327"/>
      <c r="EE412" s="327"/>
      <c r="EF412" s="327"/>
      <c r="EG412" s="327"/>
      <c r="EH412" s="327"/>
      <c r="EI412" s="327"/>
      <c r="EJ412" s="327"/>
      <c r="EK412" s="327"/>
      <c r="EL412" s="327"/>
      <c r="EM412" s="327"/>
      <c r="EN412" s="327"/>
      <c r="EO412" s="327"/>
      <c r="EP412" s="327"/>
      <c r="EQ412" s="327"/>
      <c r="ER412" s="327"/>
      <c r="ES412" s="327"/>
      <c r="ET412" s="327"/>
      <c r="EU412" s="327"/>
      <c r="EV412" s="327"/>
      <c r="EW412" s="327"/>
      <c r="EX412" s="327"/>
      <c r="EY412" s="327"/>
      <c r="EZ412" s="327"/>
      <c r="FA412" s="327"/>
      <c r="FB412" s="327"/>
      <c r="FC412" s="327"/>
      <c r="FD412" s="327"/>
      <c r="FE412" s="327"/>
      <c r="FF412" s="327"/>
      <c r="FG412" s="327"/>
      <c r="FH412" s="327"/>
      <c r="FI412" s="327"/>
      <c r="FJ412" s="327"/>
      <c r="FK412" s="327"/>
      <c r="FL412" s="327"/>
      <c r="FM412" s="327"/>
      <c r="FN412" s="327"/>
      <c r="FO412" s="327"/>
      <c r="FP412" s="327"/>
      <c r="FQ412" s="327"/>
      <c r="FR412" s="327"/>
      <c r="FS412" s="327"/>
      <c r="FT412" s="327"/>
      <c r="FU412" s="327"/>
      <c r="FV412" s="327"/>
      <c r="FW412" s="327"/>
      <c r="FX412" s="327"/>
      <c r="FY412" s="327"/>
      <c r="FZ412" s="327"/>
      <c r="GA412" s="327"/>
      <c r="GB412" s="327"/>
      <c r="GC412" s="327"/>
      <c r="GD412" s="327"/>
      <c r="GE412" s="327"/>
      <c r="GF412" s="327"/>
      <c r="GG412" s="327"/>
      <c r="GH412" s="327"/>
      <c r="GI412" s="327"/>
      <c r="GJ412" s="327"/>
      <c r="GK412" s="327"/>
      <c r="GL412" s="327"/>
      <c r="GM412" s="327"/>
      <c r="GN412" s="327"/>
      <c r="GO412" s="327"/>
      <c r="GP412" s="327"/>
      <c r="GQ412" s="327"/>
      <c r="GR412" s="327"/>
      <c r="GS412" s="327"/>
      <c r="GT412" s="327"/>
      <c r="GU412" s="327"/>
      <c r="GV412" s="327"/>
      <c r="GW412" s="327"/>
      <c r="GX412" s="327"/>
      <c r="GY412" s="327"/>
      <c r="GZ412" s="327"/>
      <c r="HA412" s="327"/>
      <c r="HB412" s="327"/>
      <c r="HC412" s="327"/>
      <c r="HD412" s="327"/>
      <c r="HE412" s="327"/>
      <c r="HF412" s="327"/>
      <c r="HG412" s="327"/>
      <c r="HH412" s="327"/>
      <c r="HI412" s="327"/>
      <c r="HJ412" s="327"/>
      <c r="HK412" s="327"/>
      <c r="HL412" s="327"/>
      <c r="HM412" s="327"/>
      <c r="HN412" s="327"/>
      <c r="HO412" s="327"/>
      <c r="HP412" s="327"/>
      <c r="HQ412" s="327"/>
      <c r="HR412" s="327"/>
      <c r="HS412" s="327"/>
    </row>
    <row r="413" spans="1:227" ht="15" customHeight="1">
      <c r="A413" s="327">
        <v>17</v>
      </c>
      <c r="B413" s="435" t="str">
        <f>VLOOKUP(Ruimtestaat[[#This Row],[Code]],Locaties[[Code]:[Locatie]],2,FALSE)</f>
        <v>IKC de Tjalk Kadelaan 208 (bijgebouw)</v>
      </c>
      <c r="C413" s="435" t="str">
        <f>VLOOKUP(Ruimtestaat[[#This Row],[Code]],Locaties[[#All],[Code]:[Adres]],4,FALSE)</f>
        <v>Kadelaan 208</v>
      </c>
      <c r="D413" s="435" t="str">
        <f>VLOOKUP(Ruimtestaat[[#This Row],[Code]],Locaties[[#All],[Code]:[Postcode]],5,FALSE)</f>
        <v>2725 BR</v>
      </c>
      <c r="E413" s="435" t="str">
        <f>VLOOKUP(Ruimtestaat[[#This Row],[Code]],Locaties[#All],6,FALSE)</f>
        <v>Zoetermeer</v>
      </c>
      <c r="F413" s="450"/>
      <c r="G413" s="330" t="s">
        <v>1678</v>
      </c>
      <c r="H413" s="330">
        <v>57</v>
      </c>
      <c r="I413" s="450" t="s">
        <v>1697</v>
      </c>
      <c r="J413" s="330">
        <v>4</v>
      </c>
      <c r="K413" s="450" t="str">
        <f>VLOOKUP(Ruimtestaat[[#This Row],[Ruimte code]],Ruimtegroepen[[#All],[Code]:[Ruimte omschrijving]],2,FALSE)</f>
        <v>Vergader/spreekkamers</v>
      </c>
      <c r="L413" s="330" t="s">
        <v>101</v>
      </c>
      <c r="M413" s="437" t="s">
        <v>1816</v>
      </c>
      <c r="N413" s="439">
        <v>12.63</v>
      </c>
      <c r="O413" s="439"/>
      <c r="P413" s="439"/>
      <c r="Q413" s="439"/>
      <c r="R413" s="440" t="str">
        <f>VLOOKUP(Ruimtestaat[[#This Row],[Ruimte code]],Ruimtegroepen[],4,FALSE)</f>
        <v>Bu</v>
      </c>
      <c r="S413" s="434">
        <v>40</v>
      </c>
      <c r="T413" s="434" t="s">
        <v>2</v>
      </c>
      <c r="U413" s="434">
        <f>IF(S413&gt;0,IF(RIGHT(Ruimtestaat[[#This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3" s="434">
        <f>IF(U413&gt;0,VLOOKUP($J413,Ruimtegroepen[],3,FALSE)*VLOOKUP($L413,Vloersoorten[],3,FALSE)*VLOOKUP($T413,Frequenties[],3,FALSE)*VLOOKUP($A413,Locaties[],3,FALSE),0)</f>
        <v>0</v>
      </c>
      <c r="W413" s="434">
        <f>Ruimtestaat[[#This Row],[Uitvoeringen werkdagen]]*Ruimtestaat[[#This Row],[Oppervlak (netto)]]</f>
        <v>2526</v>
      </c>
      <c r="X413" s="441">
        <f>IF(V413&gt;0,Ruimtestaat[[#This Row],[Prest. (m2 /jaar) werkdagen]]/Ruimtestaat[[#This Row],[Norm (m2/uur) werkdagen]],0)</f>
        <v>0</v>
      </c>
      <c r="Y413" s="442">
        <f>Ruimtestaat[[#This Row],[Uitvoeringen werkdagen]]*Ruimtestaat[[#This Row],[Gedeeltelijk]]</f>
        <v>0</v>
      </c>
      <c r="Z413" s="443" t="e">
        <f>IF(U413&gt;0,Ruimtestaat[[#This Row],[Prest. (m2 / jaar) werkdagen gedeeld]]/Ruimtestaat[[#This Row],[Norm (m2/uur) werkdagen]],0)</f>
        <v>#DIV/0!</v>
      </c>
      <c r="AA413" s="441" t="e">
        <f>Ruimtestaat[[#This Row],[uren / jaar werkdagen gedeeld]]*Tariefsopbouw!$E$35</f>
        <v>#DIV/0!</v>
      </c>
      <c r="AB413" s="441">
        <f>Ruimtestaat[[#This Row],[Uitvoeringen werkdagen]]*Ruimtestaat[[#This Row],[BSO]]</f>
        <v>0</v>
      </c>
      <c r="AC413" s="443" t="e">
        <f>IF(U413&gt;0,Ruimtestaat[[#This Row],[Prest. (m2 / jaar) werkdagen BSO]]/Ruimtestaat[[#This Row],[Norm (m2/uur) werkdagen]],0)</f>
        <v>#DIV/0!</v>
      </c>
      <c r="AD413" s="443" t="e">
        <f>Ruimtestaat[[#This Row],[uren / jaar werkdagen BSO]]*Tariefsopbouw!$E$35</f>
        <v>#DIV/0!</v>
      </c>
      <c r="AE413" s="444">
        <f>Ruimtestaat[[#This Row],[uren / jaar werkdagen]]*Tariefsopbouw!$E$35</f>
        <v>0</v>
      </c>
      <c r="AF413" s="434"/>
      <c r="AG413" s="434">
        <f>IF(Ruimtestaat[[#This Row],[Frequentie weekend]]&gt;0,VALUE(LEFT(AF413,1))*S413,0)</f>
        <v>0</v>
      </c>
      <c r="AH413" s="445">
        <f>IF($AG413&gt;0,VLOOKUP($J413,Ruimtegroepen[],3,FALSE)*VLOOKUP($L413,Vloersoorten[],3,FALSE)*VLOOKUP($AF413,Frequenties[],3,FALSE)*VLOOKUP(Ruimtestaat[[#This Row],[Code]],Locaties[],3,FALSE),0)</f>
        <v>0</v>
      </c>
      <c r="AI413" s="445">
        <f>Ruimtestaat[[#This Row],[Uitvoeringen weekend]]*Ruimtestaat[[#This Row],[Oppervlak (netto)]]</f>
        <v>0</v>
      </c>
      <c r="AJ413" s="445">
        <f>IF(AH413&gt;0,Ruimtestaat[[#This Row],[Prest. (m2 /jaar) weekend]]/Ruimtestaat[[#This Row],[Norm (m2/uur) weekend]],0)</f>
        <v>0</v>
      </c>
      <c r="AK413" s="444">
        <f>Ruimtestaat[[#This Row],[uren / jaar weekend]]*Tariefsopbouw!$D$40</f>
        <v>0</v>
      </c>
      <c r="AL413" s="441">
        <f>Ruimtestaat[[#This Row],[Prest. (m2 /jaar) weekend]]+Ruimtestaat[[#This Row],[Prest. (m2 /jaar) werkdagen]]</f>
        <v>2526</v>
      </c>
      <c r="AM413" s="441">
        <f>Ruimtestaat[[#This Row],[uren / jaar weekend]]+Ruimtestaat[[#This Row],[uren / jaar werkdagen]]</f>
        <v>0</v>
      </c>
      <c r="AN413" s="446">
        <f>Ruimtestaat[[#This Row],[kosten / jaar weekend]]+Ruimtestaat[[#This Row],[kosten / jaar werkdagen]]</f>
        <v>0</v>
      </c>
      <c r="AO413" s="446"/>
      <c r="AP413" s="447" t="str">
        <f>IF(Ruimtestaat[[#This Row],[Frequentie werkdagen]]="","",_xlfn.CONCAT(Ruimtestaat[[#This Row],[Ruimte code]],"-",Ruimtestaat[[#This Row],[Frequentie werkdagen]]," ",Ruimtestaat[[#This Row],[Vloer code]]))</f>
        <v>4-5w S</v>
      </c>
      <c r="AQ413" s="448" t="str">
        <f>_xlfn.IFNA(VLOOKUP($AP413,Programma!$F$3:$G$1101,2,0),"")</f>
        <v>_</v>
      </c>
      <c r="AR413" s="448" t="str">
        <f>_xlfn.IFNA(VLOOKUP($AP413,Programma!$F$3:$H$1101,3,0),"")</f>
        <v>_</v>
      </c>
      <c r="AS413" s="448" t="str">
        <f>_xlfn.IFNA(VLOOKUP($AP413,Programma!$F$3:$I$1101,4,0),"")</f>
        <v>4w</v>
      </c>
      <c r="AT413" s="448" t="str">
        <f>_xlfn.IFNA(VLOOKUP($AP413,Programma!$F$3:$J$1101,5,0),"")</f>
        <v>1w</v>
      </c>
      <c r="AU413" s="448" t="str">
        <f>_xlfn.IFNA(VLOOKUP($AP413,Programma!$F$3:$K$1101,6,0),"")</f>
        <v>2j</v>
      </c>
      <c r="AV413" s="448" t="str">
        <f>_xlfn.IFNA(VLOOKUP($AP413,Programma!$F$3:$L$1101,7,0),"")</f>
        <v>_</v>
      </c>
      <c r="AW413" s="448" t="str">
        <f>_xlfn.IFNA(VLOOKUP($AP413,Programma!$F$3:$M$1101,8,0),"")</f>
        <v>_</v>
      </c>
      <c r="AX413" s="448" t="str">
        <f>_xlfn.IFNA(VLOOKUP($AP413,Programma!$F$3:$N$1101,9,0),"")</f>
        <v>_</v>
      </c>
      <c r="AY413" s="448" t="str">
        <f>_xlfn.IFNA(VLOOKUP($AP413,Programma!$F$3:$O$1101,10,0),"")</f>
        <v>5w</v>
      </c>
      <c r="AZ413" s="448" t="str">
        <f>_xlfn.IFNA(VLOOKUP($AP413,Programma!$F$3:$P$1101,11,0),"")</f>
        <v>5w</v>
      </c>
      <c r="BA413" s="448" t="str">
        <f>_xlfn.IFNA(VLOOKUP($AP413,Programma!$F$3:$Q$1101,12,0),"")</f>
        <v>1w</v>
      </c>
      <c r="BB413" s="448" t="str">
        <f>_xlfn.IFNA(VLOOKUP($AP413,Programma!$F$3:$R$1101,13,0),"")</f>
        <v>1w</v>
      </c>
      <c r="BC413" s="448" t="str">
        <f>_xlfn.IFNA(VLOOKUP($AP413,Programma!$F$3:$S$1101,14,0),"")</f>
        <v>1m</v>
      </c>
      <c r="BD413" s="448" t="str">
        <f>_xlfn.IFNA(VLOOKUP($AP413,Programma!$F$3:$T$1101,15,0),"")</f>
        <v>2j</v>
      </c>
      <c r="BE413" s="448" t="str">
        <f>_xlfn.IFNA(VLOOKUP($AP413,Programma!$F$3:$U$1101,16,0),"")</f>
        <v>1j</v>
      </c>
      <c r="BF413" s="448" t="str">
        <f>_xlfn.IFNA(VLOOKUP($AP413,Programma!$F$3:$V$1101,17,0),"")</f>
        <v>_</v>
      </c>
      <c r="BG413" s="448" t="str">
        <f>_xlfn.IFNA(VLOOKUP($AP413,Programma!$F$3:$W$1101,18,0),"")</f>
        <v>_</v>
      </c>
      <c r="BH413" s="448" t="str">
        <f>_xlfn.IFNA(VLOOKUP($AP413,Programma!$F$3:$X$1101,19,0),"")</f>
        <v>_</v>
      </c>
      <c r="BI413" s="448" t="str">
        <f>_xlfn.IFNA(VLOOKUP($AP413,Programma!$F$3:$Y$1101,20,0),"")</f>
        <v>_</v>
      </c>
      <c r="BJ413" s="449"/>
      <c r="BK413" s="447" t="str">
        <f>IF(Ruimtestaat[[#This Row],[Frequentie weekend]]="","",_xlfn.CONCAT(Ruimtestaat[[#This Row],[Ruimte code]],"-",Ruimtestaat[[#This Row],[Frequentie weekend]]," ",Ruimtestaat[[#This Row],[Vloer code]]))</f>
        <v/>
      </c>
      <c r="BL413" s="448" t="str">
        <f>_xlfn.IFNA(VLOOKUP($BK413,Programma!$F$3:$G$1101,2,0),"")</f>
        <v/>
      </c>
      <c r="BM413" s="448" t="str">
        <f>_xlfn.IFNA(VLOOKUP($BK413,Programma!$F$3:$H$1101,3,0),"")</f>
        <v/>
      </c>
      <c r="BN413" s="448" t="str">
        <f>_xlfn.IFNA(VLOOKUP($BK413,Programma!$F$3:$I$1101,4,0),"")</f>
        <v/>
      </c>
      <c r="BO413" s="448" t="str">
        <f>_xlfn.IFNA(VLOOKUP($BK413,Programma!$F$3:$J$1101,5,0),"")</f>
        <v/>
      </c>
      <c r="BP413" s="448" t="str">
        <f>_xlfn.IFNA(VLOOKUP($BK413,Programma!$F$3:$K$1101,6,0),"")</f>
        <v/>
      </c>
      <c r="BQ413" s="448" t="str">
        <f>_xlfn.IFNA(VLOOKUP($BK413,Programma!$F$3:$L$1101,7,0),"")</f>
        <v/>
      </c>
      <c r="BR413" s="448" t="str">
        <f>_xlfn.IFNA(VLOOKUP($BK413,Programma!$F$3:$M$1101,8,0),"")</f>
        <v/>
      </c>
      <c r="BS413" s="448" t="str">
        <f>_xlfn.IFNA(VLOOKUP($BK413,Programma!$F$3:$N$1101,9,0),"")</f>
        <v/>
      </c>
      <c r="BT413" s="448" t="str">
        <f>_xlfn.IFNA(VLOOKUP($BK413,Programma!$F$3:$O$1101,10,0),"")</f>
        <v/>
      </c>
      <c r="BU413" s="448" t="str">
        <f>_xlfn.IFNA(VLOOKUP($BK413,Programma!$F$3:$P$1101,11,0),"")</f>
        <v/>
      </c>
      <c r="BV413" s="448" t="str">
        <f>_xlfn.IFNA(VLOOKUP($BK413,Programma!$F$3:$Q$1101,12,0),"")</f>
        <v/>
      </c>
      <c r="BW413" s="448" t="str">
        <f>_xlfn.IFNA(VLOOKUP($BK413,Programma!$F$3:$R$1101,13,0),"")</f>
        <v/>
      </c>
      <c r="BX413" s="448" t="str">
        <f>_xlfn.IFNA(VLOOKUP($BK413,Programma!$F$3:$S$1101,14,0),"")</f>
        <v/>
      </c>
      <c r="BY413" s="448" t="str">
        <f>_xlfn.IFNA(VLOOKUP($BK413,Programma!$F$3:$T$1101,15,0),"")</f>
        <v/>
      </c>
      <c r="BZ413" s="448" t="str">
        <f>_xlfn.IFNA(VLOOKUP($BK413,Programma!$F$3:$U$1101,16,0),"")</f>
        <v/>
      </c>
      <c r="CA413" s="448" t="str">
        <f>_xlfn.IFNA(VLOOKUP($BK413,Programma!$F$3:$V$1101,17,0),"")</f>
        <v/>
      </c>
      <c r="CB413" s="448" t="str">
        <f>_xlfn.IFNA(VLOOKUP($BK413,Programma!$F$3:$W$1101,18,0),"")</f>
        <v/>
      </c>
      <c r="CC413" s="448" t="str">
        <f>_xlfn.IFNA(VLOOKUP($BK413,Programma!$F$3:$X$1101,19,0),"")</f>
        <v/>
      </c>
      <c r="CD413" s="448" t="str">
        <f>_xlfn.IFNA(VLOOKUP($BK413,Programma!$F$3:$Y$1101,20,0),"")</f>
        <v/>
      </c>
      <c r="CE413" s="327"/>
      <c r="CF413" s="327"/>
      <c r="CG413" s="327"/>
      <c r="CH413" s="327"/>
      <c r="CI413" s="327"/>
      <c r="CJ413" s="327"/>
      <c r="CK413" s="327"/>
      <c r="CL413" s="327"/>
      <c r="CM413" s="327"/>
      <c r="CN413" s="327"/>
      <c r="CO413" s="327"/>
      <c r="CP413" s="327"/>
      <c r="CQ413" s="327"/>
      <c r="CR413" s="327"/>
      <c r="CS413" s="327"/>
      <c r="CT413" s="327"/>
      <c r="CU413" s="327"/>
      <c r="CV413" s="327"/>
      <c r="CW413" s="327"/>
      <c r="CX413" s="327"/>
      <c r="CY413" s="327"/>
      <c r="CZ413" s="327"/>
      <c r="DA413" s="327"/>
      <c r="DB413" s="327"/>
      <c r="DC413" s="327"/>
      <c r="DD413" s="327"/>
      <c r="DE413" s="327"/>
      <c r="DF413" s="327"/>
      <c r="DG413" s="327"/>
      <c r="DH413" s="327"/>
      <c r="DI413" s="327"/>
      <c r="DJ413" s="327"/>
      <c r="DK413" s="327"/>
      <c r="DL413" s="327"/>
      <c r="DM413" s="327"/>
      <c r="DN413" s="327"/>
      <c r="DO413" s="327"/>
      <c r="DP413" s="327"/>
      <c r="DQ413" s="327"/>
      <c r="DR413" s="327"/>
      <c r="DS413" s="327"/>
      <c r="DT413" s="327"/>
      <c r="DU413" s="327"/>
      <c r="DV413" s="327"/>
      <c r="DW413" s="327"/>
      <c r="DX413" s="327"/>
      <c r="DY413" s="327"/>
      <c r="DZ413" s="327"/>
      <c r="EA413" s="327"/>
      <c r="EB413" s="327"/>
      <c r="EC413" s="327"/>
      <c r="ED413" s="327"/>
      <c r="EE413" s="327"/>
      <c r="EF413" s="327"/>
      <c r="EG413" s="327"/>
      <c r="EH413" s="327"/>
      <c r="EI413" s="327"/>
      <c r="EJ413" s="327"/>
      <c r="EK413" s="327"/>
      <c r="EL413" s="327"/>
      <c r="EM413" s="327"/>
      <c r="EN413" s="327"/>
      <c r="EO413" s="327"/>
      <c r="EP413" s="327"/>
      <c r="EQ413" s="327"/>
      <c r="ER413" s="327"/>
      <c r="ES413" s="327"/>
      <c r="ET413" s="327"/>
      <c r="EU413" s="327"/>
      <c r="EV413" s="327"/>
      <c r="EW413" s="327"/>
      <c r="EX413" s="327"/>
      <c r="EY413" s="327"/>
      <c r="EZ413" s="327"/>
      <c r="FA413" s="327"/>
      <c r="FB413" s="327"/>
      <c r="FC413" s="327"/>
      <c r="FD413" s="327"/>
      <c r="FE413" s="327"/>
      <c r="FF413" s="327"/>
      <c r="FG413" s="327"/>
      <c r="FH413" s="327"/>
      <c r="FI413" s="327"/>
      <c r="FJ413" s="327"/>
      <c r="FK413" s="327"/>
      <c r="FL413" s="327"/>
      <c r="FM413" s="327"/>
      <c r="FN413" s="327"/>
      <c r="FO413" s="327"/>
      <c r="FP413" s="327"/>
      <c r="FQ413" s="327"/>
      <c r="FR413" s="327"/>
      <c r="FS413" s="327"/>
      <c r="FT413" s="327"/>
      <c r="FU413" s="327"/>
      <c r="FV413" s="327"/>
      <c r="FW413" s="327"/>
      <c r="FX413" s="327"/>
      <c r="FY413" s="327"/>
      <c r="FZ413" s="327"/>
      <c r="GA413" s="327"/>
      <c r="GB413" s="327"/>
      <c r="GC413" s="327"/>
      <c r="GD413" s="327"/>
      <c r="GE413" s="327"/>
      <c r="GF413" s="327"/>
      <c r="GG413" s="327"/>
      <c r="GH413" s="327"/>
      <c r="GI413" s="327"/>
      <c r="GJ413" s="327"/>
      <c r="GK413" s="327"/>
      <c r="GL413" s="327"/>
      <c r="GM413" s="327"/>
      <c r="GN413" s="327"/>
      <c r="GO413" s="327"/>
      <c r="GP413" s="327"/>
      <c r="GQ413" s="327"/>
      <c r="GR413" s="327"/>
      <c r="GS413" s="327"/>
      <c r="GT413" s="327"/>
      <c r="GU413" s="327"/>
      <c r="GV413" s="327"/>
      <c r="GW413" s="327"/>
      <c r="GX413" s="327"/>
      <c r="GY413" s="327"/>
      <c r="GZ413" s="327"/>
      <c r="HA413" s="327"/>
      <c r="HB413" s="327"/>
      <c r="HC413" s="327"/>
      <c r="HD413" s="327"/>
      <c r="HE413" s="327"/>
      <c r="HF413" s="327"/>
      <c r="HG413" s="327"/>
      <c r="HH413" s="327"/>
      <c r="HI413" s="327"/>
      <c r="HJ413" s="327"/>
      <c r="HK413" s="327"/>
      <c r="HL413" s="327"/>
      <c r="HM413" s="327"/>
      <c r="HN413" s="327"/>
      <c r="HO413" s="327"/>
      <c r="HP413" s="327"/>
      <c r="HQ413" s="327"/>
      <c r="HR413" s="327"/>
      <c r="HS413" s="327"/>
    </row>
    <row r="414" spans="1:227" ht="15" customHeight="1">
      <c r="A414" s="327">
        <v>17</v>
      </c>
      <c r="B414" s="435" t="str">
        <f>VLOOKUP(Ruimtestaat[[#This Row],[Code]],Locaties[[Code]:[Locatie]],2,FALSE)</f>
        <v>IKC de Tjalk Kadelaan 208 (bijgebouw)</v>
      </c>
      <c r="C414" s="435" t="str">
        <f>VLOOKUP(Ruimtestaat[[#This Row],[Code]],Locaties[[#All],[Code]:[Adres]],4,FALSE)</f>
        <v>Kadelaan 208</v>
      </c>
      <c r="D414" s="435" t="str">
        <f>VLOOKUP(Ruimtestaat[[#This Row],[Code]],Locaties[[#All],[Code]:[Postcode]],5,FALSE)</f>
        <v>2725 BR</v>
      </c>
      <c r="E414" s="435" t="str">
        <f>VLOOKUP(Ruimtestaat[[#This Row],[Code]],Locaties[#All],6,FALSE)</f>
        <v>Zoetermeer</v>
      </c>
      <c r="F414" s="450"/>
      <c r="G414" s="330" t="s">
        <v>1678</v>
      </c>
      <c r="H414" s="330">
        <v>36</v>
      </c>
      <c r="I414" s="450" t="s">
        <v>1724</v>
      </c>
      <c r="J414" s="330">
        <v>1</v>
      </c>
      <c r="K414" s="450" t="str">
        <f>VLOOKUP(Ruimtestaat[[#This Row],[Ruimte code]],Ruimtegroepen[[#All],[Code]:[Ruimte omschrijving]],2,FALSE)</f>
        <v>Magazijnen/bergingen</v>
      </c>
      <c r="L414" s="330" t="s">
        <v>101</v>
      </c>
      <c r="M414" s="437" t="s">
        <v>1816</v>
      </c>
      <c r="N414" s="439">
        <v>5.04</v>
      </c>
      <c r="O414" s="439"/>
      <c r="P414" s="439"/>
      <c r="Q414" s="439"/>
      <c r="R414" s="440" t="str">
        <f>VLOOKUP(Ruimtestaat[[#This Row],[Ruimte code]],Ruimtegroepen[],4,FALSE)</f>
        <v>Ve</v>
      </c>
      <c r="S414" s="434">
        <v>40</v>
      </c>
      <c r="T414" s="434" t="s">
        <v>2</v>
      </c>
      <c r="U414" s="434">
        <f>IF(S414&gt;0,IF(RIGHT(Ruimtestaat[[#This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4" s="434">
        <f>IF(U414&gt;0,VLOOKUP($J414,Ruimtegroepen[],3,FALSE)*VLOOKUP($L414,Vloersoorten[],3,FALSE)*VLOOKUP($T414,Frequenties[],3,FALSE)*VLOOKUP($A414,Locaties[],3,FALSE),0)</f>
        <v>0</v>
      </c>
      <c r="W414" s="434">
        <f>Ruimtestaat[[#This Row],[Uitvoeringen werkdagen]]*Ruimtestaat[[#This Row],[Oppervlak (netto)]]</f>
        <v>1008</v>
      </c>
      <c r="X414" s="441">
        <f>IF(V414&gt;0,Ruimtestaat[[#This Row],[Prest. (m2 /jaar) werkdagen]]/Ruimtestaat[[#This Row],[Norm (m2/uur) werkdagen]],0)</f>
        <v>0</v>
      </c>
      <c r="Y414" s="442">
        <f>Ruimtestaat[[#This Row],[Uitvoeringen werkdagen]]*Ruimtestaat[[#This Row],[Gedeeltelijk]]</f>
        <v>0</v>
      </c>
      <c r="Z414" s="443" t="e">
        <f>IF(U414&gt;0,Ruimtestaat[[#This Row],[Prest. (m2 / jaar) werkdagen gedeeld]]/Ruimtestaat[[#This Row],[Norm (m2/uur) werkdagen]],0)</f>
        <v>#DIV/0!</v>
      </c>
      <c r="AA414" s="441" t="e">
        <f>Ruimtestaat[[#This Row],[uren / jaar werkdagen gedeeld]]*Tariefsopbouw!$E$35</f>
        <v>#DIV/0!</v>
      </c>
      <c r="AB414" s="441">
        <f>Ruimtestaat[[#This Row],[Uitvoeringen werkdagen]]*Ruimtestaat[[#This Row],[BSO]]</f>
        <v>0</v>
      </c>
      <c r="AC414" s="443" t="e">
        <f>IF(U414&gt;0,Ruimtestaat[[#This Row],[Prest. (m2 / jaar) werkdagen BSO]]/Ruimtestaat[[#This Row],[Norm (m2/uur) werkdagen]],0)</f>
        <v>#DIV/0!</v>
      </c>
      <c r="AD414" s="443" t="e">
        <f>Ruimtestaat[[#This Row],[uren / jaar werkdagen BSO]]*Tariefsopbouw!$E$35</f>
        <v>#DIV/0!</v>
      </c>
      <c r="AE414" s="444">
        <f>Ruimtestaat[[#This Row],[uren / jaar werkdagen]]*Tariefsopbouw!$E$35</f>
        <v>0</v>
      </c>
      <c r="AF414" s="434"/>
      <c r="AG414" s="434">
        <f>IF(Ruimtestaat[[#This Row],[Frequentie weekend]]&gt;0,VALUE(LEFT(AF414,1))*S414,0)</f>
        <v>0</v>
      </c>
      <c r="AH414" s="445">
        <f>IF($AG414&gt;0,VLOOKUP($J414,Ruimtegroepen[],3,FALSE)*VLOOKUP($L414,Vloersoorten[],3,FALSE)*VLOOKUP($AF414,Frequenties[],3,FALSE)*VLOOKUP(Ruimtestaat[[#This Row],[Code]],Locaties[],3,FALSE),0)</f>
        <v>0</v>
      </c>
      <c r="AI414" s="445">
        <f>Ruimtestaat[[#This Row],[Uitvoeringen weekend]]*Ruimtestaat[[#This Row],[Oppervlak (netto)]]</f>
        <v>0</v>
      </c>
      <c r="AJ414" s="445">
        <f>IF(AH414&gt;0,Ruimtestaat[[#This Row],[Prest. (m2 /jaar) weekend]]/Ruimtestaat[[#This Row],[Norm (m2/uur) weekend]],0)</f>
        <v>0</v>
      </c>
      <c r="AK414" s="444">
        <f>Ruimtestaat[[#This Row],[uren / jaar weekend]]*Tariefsopbouw!$D$40</f>
        <v>0</v>
      </c>
      <c r="AL414" s="441">
        <f>Ruimtestaat[[#This Row],[Prest. (m2 /jaar) weekend]]+Ruimtestaat[[#This Row],[Prest. (m2 /jaar) werkdagen]]</f>
        <v>1008</v>
      </c>
      <c r="AM414" s="441">
        <f>Ruimtestaat[[#This Row],[uren / jaar weekend]]+Ruimtestaat[[#This Row],[uren / jaar werkdagen]]</f>
        <v>0</v>
      </c>
      <c r="AN414" s="446">
        <f>Ruimtestaat[[#This Row],[kosten / jaar weekend]]+Ruimtestaat[[#This Row],[kosten / jaar werkdagen]]</f>
        <v>0</v>
      </c>
      <c r="AO414" s="446"/>
      <c r="AP414" s="447" t="str">
        <f>IF(Ruimtestaat[[#This Row],[Frequentie werkdagen]]="","",_xlfn.CONCAT(Ruimtestaat[[#This Row],[Ruimte code]],"-",Ruimtestaat[[#This Row],[Frequentie werkdagen]]," ",Ruimtestaat[[#This Row],[Vloer code]]))</f>
        <v>1-5w S</v>
      </c>
      <c r="AQ414" s="448" t="str">
        <f>_xlfn.IFNA(VLOOKUP($AP414,Programma!$F$3:$G$1101,2,0),"")</f>
        <v>_</v>
      </c>
      <c r="AR414" s="448" t="str">
        <f>_xlfn.IFNA(VLOOKUP($AP414,Programma!$F$3:$H$1101,3,0),"")</f>
        <v>_</v>
      </c>
      <c r="AS414" s="448" t="str">
        <f>_xlfn.IFNA(VLOOKUP($AP414,Programma!$F$3:$I$1101,4,0),"")</f>
        <v>4w</v>
      </c>
      <c r="AT414" s="448" t="str">
        <f>_xlfn.IFNA(VLOOKUP($AP414,Programma!$F$3:$J$1101,5,0),"")</f>
        <v>1w</v>
      </c>
      <c r="AU414" s="448" t="str">
        <f>_xlfn.IFNA(VLOOKUP($AP414,Programma!$F$3:$K$1101,6,0),"")</f>
        <v>1j</v>
      </c>
      <c r="AV414" s="448" t="str">
        <f>_xlfn.IFNA(VLOOKUP($AP414,Programma!$F$3:$L$1101,7,0),"")</f>
        <v>_</v>
      </c>
      <c r="AW414" s="448" t="str">
        <f>_xlfn.IFNA(VLOOKUP($AP414,Programma!$F$3:$M$1101,8,0),"")</f>
        <v>_</v>
      </c>
      <c r="AX414" s="448" t="str">
        <f>_xlfn.IFNA(VLOOKUP($AP414,Programma!$F$3:$N$1101,9,0),"")</f>
        <v>_</v>
      </c>
      <c r="AY414" s="448" t="str">
        <f>_xlfn.IFNA(VLOOKUP($AP414,Programma!$F$3:$O$1101,10,0),"")</f>
        <v>_</v>
      </c>
      <c r="AZ414" s="448" t="str">
        <f>_xlfn.IFNA(VLOOKUP($AP414,Programma!$F$3:$P$1101,11,0),"")</f>
        <v>_</v>
      </c>
      <c r="BA414" s="448" t="str">
        <f>_xlfn.IFNA(VLOOKUP($AP414,Programma!$F$3:$Q$1101,12,0),"")</f>
        <v>_</v>
      </c>
      <c r="BB414" s="448" t="str">
        <f>_xlfn.IFNA(VLOOKUP($AP414,Programma!$F$3:$R$1101,13,0),"")</f>
        <v>_</v>
      </c>
      <c r="BC414" s="448" t="str">
        <f>_xlfn.IFNA(VLOOKUP($AP414,Programma!$F$3:$S$1101,14,0),"")</f>
        <v>5w</v>
      </c>
      <c r="BD414" s="448" t="str">
        <f>_xlfn.IFNA(VLOOKUP($AP414,Programma!$F$3:$T$1101,15,0),"")</f>
        <v>4j</v>
      </c>
      <c r="BE414" s="448" t="str">
        <f>_xlfn.IFNA(VLOOKUP($AP414,Programma!$F$3:$U$1101,16,0),"")</f>
        <v>4j</v>
      </c>
      <c r="BF414" s="448" t="str">
        <f>_xlfn.IFNA(VLOOKUP($AP414,Programma!$F$3:$V$1101,17,0),"")</f>
        <v>_</v>
      </c>
      <c r="BG414" s="448" t="str">
        <f>_xlfn.IFNA(VLOOKUP($AP414,Programma!$F$3:$W$1101,18,0),"")</f>
        <v>_</v>
      </c>
      <c r="BH414" s="448" t="str">
        <f>_xlfn.IFNA(VLOOKUP($AP414,Programma!$F$3:$X$1101,19,0),"")</f>
        <v>_</v>
      </c>
      <c r="BI414" s="448" t="str">
        <f>_xlfn.IFNA(VLOOKUP($AP414,Programma!$F$3:$Y$1101,20,0),"")</f>
        <v>_</v>
      </c>
      <c r="BJ414" s="449"/>
      <c r="BK414" s="447" t="str">
        <f>IF(Ruimtestaat[[#This Row],[Frequentie weekend]]="","",_xlfn.CONCAT(Ruimtestaat[[#This Row],[Ruimte code]],"-",Ruimtestaat[[#This Row],[Frequentie weekend]]," ",Ruimtestaat[[#This Row],[Vloer code]]))</f>
        <v/>
      </c>
      <c r="BL414" s="448" t="str">
        <f>_xlfn.IFNA(VLOOKUP($BK414,Programma!$F$3:$G$1101,2,0),"")</f>
        <v/>
      </c>
      <c r="BM414" s="448" t="str">
        <f>_xlfn.IFNA(VLOOKUP($BK414,Programma!$F$3:$H$1101,3,0),"")</f>
        <v/>
      </c>
      <c r="BN414" s="448" t="str">
        <f>_xlfn.IFNA(VLOOKUP($BK414,Programma!$F$3:$I$1101,4,0),"")</f>
        <v/>
      </c>
      <c r="BO414" s="448" t="str">
        <f>_xlfn.IFNA(VLOOKUP($BK414,Programma!$F$3:$J$1101,5,0),"")</f>
        <v/>
      </c>
      <c r="BP414" s="448" t="str">
        <f>_xlfn.IFNA(VLOOKUP($BK414,Programma!$F$3:$K$1101,6,0),"")</f>
        <v/>
      </c>
      <c r="BQ414" s="448" t="str">
        <f>_xlfn.IFNA(VLOOKUP($BK414,Programma!$F$3:$L$1101,7,0),"")</f>
        <v/>
      </c>
      <c r="BR414" s="448" t="str">
        <f>_xlfn.IFNA(VLOOKUP($BK414,Programma!$F$3:$M$1101,8,0),"")</f>
        <v/>
      </c>
      <c r="BS414" s="448" t="str">
        <f>_xlfn.IFNA(VLOOKUP($BK414,Programma!$F$3:$N$1101,9,0),"")</f>
        <v/>
      </c>
      <c r="BT414" s="448" t="str">
        <f>_xlfn.IFNA(VLOOKUP($BK414,Programma!$F$3:$O$1101,10,0),"")</f>
        <v/>
      </c>
      <c r="BU414" s="448" t="str">
        <f>_xlfn.IFNA(VLOOKUP($BK414,Programma!$F$3:$P$1101,11,0),"")</f>
        <v/>
      </c>
      <c r="BV414" s="448" t="str">
        <f>_xlfn.IFNA(VLOOKUP($BK414,Programma!$F$3:$Q$1101,12,0),"")</f>
        <v/>
      </c>
      <c r="BW414" s="448" t="str">
        <f>_xlfn.IFNA(VLOOKUP($BK414,Programma!$F$3:$R$1101,13,0),"")</f>
        <v/>
      </c>
      <c r="BX414" s="448" t="str">
        <f>_xlfn.IFNA(VLOOKUP($BK414,Programma!$F$3:$S$1101,14,0),"")</f>
        <v/>
      </c>
      <c r="BY414" s="448" t="str">
        <f>_xlfn.IFNA(VLOOKUP($BK414,Programma!$F$3:$T$1101,15,0),"")</f>
        <v/>
      </c>
      <c r="BZ414" s="448" t="str">
        <f>_xlfn.IFNA(VLOOKUP($BK414,Programma!$F$3:$U$1101,16,0),"")</f>
        <v/>
      </c>
      <c r="CA414" s="448" t="str">
        <f>_xlfn.IFNA(VLOOKUP($BK414,Programma!$F$3:$V$1101,17,0),"")</f>
        <v/>
      </c>
      <c r="CB414" s="448" t="str">
        <f>_xlfn.IFNA(VLOOKUP($BK414,Programma!$F$3:$W$1101,18,0),"")</f>
        <v/>
      </c>
      <c r="CC414" s="448" t="str">
        <f>_xlfn.IFNA(VLOOKUP($BK414,Programma!$F$3:$X$1101,19,0),"")</f>
        <v/>
      </c>
      <c r="CD414" s="448" t="str">
        <f>_xlfn.IFNA(VLOOKUP($BK414,Programma!$F$3:$Y$1101,20,0),"")</f>
        <v/>
      </c>
      <c r="CE414" s="327"/>
      <c r="CF414" s="327"/>
      <c r="CG414" s="327"/>
      <c r="CH414" s="327"/>
      <c r="CI414" s="327"/>
      <c r="CJ414" s="327"/>
      <c r="CK414" s="327"/>
      <c r="CL414" s="327"/>
      <c r="CM414" s="327"/>
      <c r="CN414" s="327"/>
      <c r="CO414" s="327"/>
      <c r="CP414" s="327"/>
      <c r="CQ414" s="327"/>
      <c r="CR414" s="327"/>
      <c r="CS414" s="327"/>
      <c r="CT414" s="327"/>
      <c r="CU414" s="327"/>
      <c r="CV414" s="327"/>
      <c r="CW414" s="327"/>
      <c r="CX414" s="327"/>
      <c r="CY414" s="327"/>
      <c r="CZ414" s="327"/>
      <c r="DA414" s="327"/>
      <c r="DB414" s="327"/>
      <c r="DC414" s="327"/>
      <c r="DD414" s="327"/>
      <c r="DE414" s="327"/>
      <c r="DF414" s="327"/>
      <c r="DG414" s="327"/>
      <c r="DH414" s="327"/>
      <c r="DI414" s="327"/>
      <c r="DJ414" s="327"/>
      <c r="DK414" s="327"/>
      <c r="DL414" s="327"/>
      <c r="DM414" s="327"/>
      <c r="DN414" s="327"/>
      <c r="DO414" s="327"/>
      <c r="DP414" s="327"/>
      <c r="DQ414" s="327"/>
      <c r="DR414" s="327"/>
      <c r="DS414" s="327"/>
      <c r="DT414" s="327"/>
      <c r="DU414" s="327"/>
      <c r="DV414" s="327"/>
      <c r="DW414" s="327"/>
      <c r="DX414" s="327"/>
      <c r="DY414" s="327"/>
      <c r="DZ414" s="327"/>
      <c r="EA414" s="327"/>
      <c r="EB414" s="327"/>
      <c r="EC414" s="327"/>
      <c r="ED414" s="327"/>
      <c r="EE414" s="327"/>
      <c r="EF414" s="327"/>
      <c r="EG414" s="327"/>
      <c r="EH414" s="327"/>
      <c r="EI414" s="327"/>
      <c r="EJ414" s="327"/>
      <c r="EK414" s="327"/>
      <c r="EL414" s="327"/>
      <c r="EM414" s="327"/>
      <c r="EN414" s="327"/>
      <c r="EO414" s="327"/>
      <c r="EP414" s="327"/>
      <c r="EQ414" s="327"/>
      <c r="ER414" s="327"/>
      <c r="ES414" s="327"/>
      <c r="ET414" s="327"/>
      <c r="EU414" s="327"/>
      <c r="EV414" s="327"/>
      <c r="EW414" s="327"/>
      <c r="EX414" s="327"/>
      <c r="EY414" s="327"/>
      <c r="EZ414" s="327"/>
      <c r="FA414" s="327"/>
      <c r="FB414" s="327"/>
      <c r="FC414" s="327"/>
      <c r="FD414" s="327"/>
      <c r="FE414" s="327"/>
      <c r="FF414" s="327"/>
      <c r="FG414" s="327"/>
      <c r="FH414" s="327"/>
      <c r="FI414" s="327"/>
      <c r="FJ414" s="327"/>
      <c r="FK414" s="327"/>
      <c r="FL414" s="327"/>
      <c r="FM414" s="327"/>
      <c r="FN414" s="327"/>
      <c r="FO414" s="327"/>
      <c r="FP414" s="327"/>
      <c r="FQ414" s="327"/>
      <c r="FR414" s="327"/>
      <c r="FS414" s="327"/>
      <c r="FT414" s="327"/>
      <c r="FU414" s="327"/>
      <c r="FV414" s="327"/>
      <c r="FW414" s="327"/>
      <c r="FX414" s="327"/>
      <c r="FY414" s="327"/>
      <c r="FZ414" s="327"/>
      <c r="GA414" s="327"/>
      <c r="GB414" s="327"/>
      <c r="GC414" s="327"/>
      <c r="GD414" s="327"/>
      <c r="GE414" s="327"/>
      <c r="GF414" s="327"/>
      <c r="GG414" s="327"/>
      <c r="GH414" s="327"/>
      <c r="GI414" s="327"/>
      <c r="GJ414" s="327"/>
      <c r="GK414" s="327"/>
      <c r="GL414" s="327"/>
      <c r="GM414" s="327"/>
      <c r="GN414" s="327"/>
      <c r="GO414" s="327"/>
      <c r="GP414" s="327"/>
      <c r="GQ414" s="327"/>
      <c r="GR414" s="327"/>
      <c r="GS414" s="327"/>
      <c r="GT414" s="327"/>
      <c r="GU414" s="327"/>
      <c r="GV414" s="327"/>
      <c r="GW414" s="327"/>
      <c r="GX414" s="327"/>
      <c r="GY414" s="327"/>
      <c r="GZ414" s="327"/>
      <c r="HA414" s="327"/>
      <c r="HB414" s="327"/>
      <c r="HC414" s="327"/>
      <c r="HD414" s="327"/>
      <c r="HE414" s="327"/>
      <c r="HF414" s="327"/>
      <c r="HG414" s="327"/>
      <c r="HH414" s="327"/>
      <c r="HI414" s="327"/>
      <c r="HJ414" s="327"/>
      <c r="HK414" s="327"/>
      <c r="HL414" s="327"/>
      <c r="HM414" s="327"/>
      <c r="HN414" s="327"/>
      <c r="HO414" s="327"/>
      <c r="HP414" s="327"/>
      <c r="HQ414" s="327"/>
      <c r="HR414" s="327"/>
      <c r="HS414" s="327"/>
    </row>
    <row r="415" spans="1:227" ht="15" customHeight="1">
      <c r="A415" s="327">
        <v>17</v>
      </c>
      <c r="B415" s="435" t="str">
        <f>VLOOKUP(Ruimtestaat[[#This Row],[Code]],Locaties[[Code]:[Locatie]],2,FALSE)</f>
        <v>IKC de Tjalk Kadelaan 208 (bijgebouw)</v>
      </c>
      <c r="C415" s="435" t="str">
        <f>VLOOKUP(Ruimtestaat[[#This Row],[Code]],Locaties[[#All],[Code]:[Adres]],4,FALSE)</f>
        <v>Kadelaan 208</v>
      </c>
      <c r="D415" s="435" t="str">
        <f>VLOOKUP(Ruimtestaat[[#This Row],[Code]],Locaties[[#All],[Code]:[Postcode]],5,FALSE)</f>
        <v>2725 BR</v>
      </c>
      <c r="E415" s="435" t="str">
        <f>VLOOKUP(Ruimtestaat[[#This Row],[Code]],Locaties[#All],6,FALSE)</f>
        <v>Zoetermeer</v>
      </c>
      <c r="F415" s="450"/>
      <c r="G415" s="330" t="s">
        <v>1678</v>
      </c>
      <c r="H415" s="330">
        <v>38</v>
      </c>
      <c r="I415" s="450" t="s">
        <v>1853</v>
      </c>
      <c r="J415" s="330">
        <v>16</v>
      </c>
      <c r="K415" s="450" t="str">
        <f>VLOOKUP(Ruimtestaat[[#This Row],[Ruimte code]],Ruimtegroepen[[#All],[Code]:[Ruimte omschrijving]],2,FALSE)</f>
        <v>Leslokalen</v>
      </c>
      <c r="L415" s="330" t="s">
        <v>101</v>
      </c>
      <c r="M415" s="437" t="s">
        <v>1816</v>
      </c>
      <c r="N415" s="439">
        <v>56.42</v>
      </c>
      <c r="O415" s="439"/>
      <c r="P415" s="439"/>
      <c r="Q415" s="439"/>
      <c r="R415" s="440" t="str">
        <f>VLOOKUP(Ruimtestaat[[#This Row],[Ruimte code]],Ruimtegroepen[],4,FALSE)</f>
        <v>Le</v>
      </c>
      <c r="S415" s="434">
        <v>40</v>
      </c>
      <c r="T415" s="434" t="s">
        <v>2</v>
      </c>
      <c r="U415" s="434">
        <f>IF(S415&gt;0,IF(RIGHT(Ruimtestaat[[#This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5" s="434">
        <f>IF(U415&gt;0,VLOOKUP($J415,Ruimtegroepen[],3,FALSE)*VLOOKUP($L415,Vloersoorten[],3,FALSE)*VLOOKUP($T415,Frequenties[],3,FALSE)*VLOOKUP($A415,Locaties[],3,FALSE),0)</f>
        <v>0</v>
      </c>
      <c r="W415" s="434">
        <f>Ruimtestaat[[#This Row],[Uitvoeringen werkdagen]]*Ruimtestaat[[#This Row],[Oppervlak (netto)]]</f>
        <v>11284</v>
      </c>
      <c r="X415" s="441">
        <f>IF(V415&gt;0,Ruimtestaat[[#This Row],[Prest. (m2 /jaar) werkdagen]]/Ruimtestaat[[#This Row],[Norm (m2/uur) werkdagen]],0)</f>
        <v>0</v>
      </c>
      <c r="Y415" s="442">
        <f>Ruimtestaat[[#This Row],[Uitvoeringen werkdagen]]*Ruimtestaat[[#This Row],[Gedeeltelijk]]</f>
        <v>0</v>
      </c>
      <c r="Z415" s="443" t="e">
        <f>IF(U415&gt;0,Ruimtestaat[[#This Row],[Prest. (m2 / jaar) werkdagen gedeeld]]/Ruimtestaat[[#This Row],[Norm (m2/uur) werkdagen]],0)</f>
        <v>#DIV/0!</v>
      </c>
      <c r="AA415" s="441" t="e">
        <f>Ruimtestaat[[#This Row],[uren / jaar werkdagen gedeeld]]*Tariefsopbouw!$E$35</f>
        <v>#DIV/0!</v>
      </c>
      <c r="AB415" s="441">
        <f>Ruimtestaat[[#This Row],[Uitvoeringen werkdagen]]*Ruimtestaat[[#This Row],[BSO]]</f>
        <v>0</v>
      </c>
      <c r="AC415" s="443" t="e">
        <f>IF(U415&gt;0,Ruimtestaat[[#This Row],[Prest. (m2 / jaar) werkdagen BSO]]/Ruimtestaat[[#This Row],[Norm (m2/uur) werkdagen]],0)</f>
        <v>#DIV/0!</v>
      </c>
      <c r="AD415" s="443" t="e">
        <f>Ruimtestaat[[#This Row],[uren / jaar werkdagen BSO]]*Tariefsopbouw!$E$35</f>
        <v>#DIV/0!</v>
      </c>
      <c r="AE415" s="444">
        <f>Ruimtestaat[[#This Row],[uren / jaar werkdagen]]*Tariefsopbouw!$E$35</f>
        <v>0</v>
      </c>
      <c r="AF415" s="434"/>
      <c r="AG415" s="434">
        <f>IF(Ruimtestaat[[#This Row],[Frequentie weekend]]&gt;0,VALUE(LEFT(AF415,1))*S415,0)</f>
        <v>0</v>
      </c>
      <c r="AH415" s="445">
        <f>IF($AG415&gt;0,VLOOKUP($J415,Ruimtegroepen[],3,FALSE)*VLOOKUP($L415,Vloersoorten[],3,FALSE)*VLOOKUP($AF415,Frequenties[],3,FALSE)*VLOOKUP(Ruimtestaat[[#This Row],[Code]],Locaties[],3,FALSE),0)</f>
        <v>0</v>
      </c>
      <c r="AI415" s="445">
        <f>Ruimtestaat[[#This Row],[Uitvoeringen weekend]]*Ruimtestaat[[#This Row],[Oppervlak (netto)]]</f>
        <v>0</v>
      </c>
      <c r="AJ415" s="445">
        <f>IF(AH415&gt;0,Ruimtestaat[[#This Row],[Prest. (m2 /jaar) weekend]]/Ruimtestaat[[#This Row],[Norm (m2/uur) weekend]],0)</f>
        <v>0</v>
      </c>
      <c r="AK415" s="444">
        <f>Ruimtestaat[[#This Row],[uren / jaar weekend]]*Tariefsopbouw!$D$40</f>
        <v>0</v>
      </c>
      <c r="AL415" s="441">
        <f>Ruimtestaat[[#This Row],[Prest. (m2 /jaar) weekend]]+Ruimtestaat[[#This Row],[Prest. (m2 /jaar) werkdagen]]</f>
        <v>11284</v>
      </c>
      <c r="AM415" s="441">
        <f>Ruimtestaat[[#This Row],[uren / jaar weekend]]+Ruimtestaat[[#This Row],[uren / jaar werkdagen]]</f>
        <v>0</v>
      </c>
      <c r="AN415" s="446">
        <f>Ruimtestaat[[#This Row],[kosten / jaar weekend]]+Ruimtestaat[[#This Row],[kosten / jaar werkdagen]]</f>
        <v>0</v>
      </c>
      <c r="AO415" s="446"/>
      <c r="AP415" s="447" t="str">
        <f>IF(Ruimtestaat[[#This Row],[Frequentie werkdagen]]="","",_xlfn.CONCAT(Ruimtestaat[[#This Row],[Ruimte code]],"-",Ruimtestaat[[#This Row],[Frequentie werkdagen]]," ",Ruimtestaat[[#This Row],[Vloer code]]))</f>
        <v>16-5w S</v>
      </c>
      <c r="AQ415" s="448" t="str">
        <f>_xlfn.IFNA(VLOOKUP($AP415,Programma!$F$3:$G$1101,2,0),"")</f>
        <v>_</v>
      </c>
      <c r="AR415" s="448" t="str">
        <f>_xlfn.IFNA(VLOOKUP($AP415,Programma!$F$3:$H$1101,3,0),"")</f>
        <v>_</v>
      </c>
      <c r="AS415" s="448" t="str">
        <f>_xlfn.IFNA(VLOOKUP($AP415,Programma!$F$3:$I$1101,4,0),"")</f>
        <v>4w</v>
      </c>
      <c r="AT415" s="448" t="str">
        <f>_xlfn.IFNA(VLOOKUP($AP415,Programma!$F$3:$J$1101,5,0),"")</f>
        <v>1w</v>
      </c>
      <c r="AU415" s="448" t="str">
        <f>_xlfn.IFNA(VLOOKUP($AP415,Programma!$F$3:$K$1101,6,0),"")</f>
        <v>1m</v>
      </c>
      <c r="AV415" s="448" t="str">
        <f>_xlfn.IFNA(VLOOKUP($AP415,Programma!$F$3:$L$1101,7,0),"")</f>
        <v>_</v>
      </c>
      <c r="AW415" s="448" t="str">
        <f>_xlfn.IFNA(VLOOKUP($AP415,Programma!$F$3:$M$1101,8,0),"")</f>
        <v>_</v>
      </c>
      <c r="AX415" s="448" t="str">
        <f>_xlfn.IFNA(VLOOKUP($AP415,Programma!$F$3:$N$1101,9,0),"")</f>
        <v>_</v>
      </c>
      <c r="AY415" s="448" t="str">
        <f>_xlfn.IFNA(VLOOKUP($AP415,Programma!$F$3:$O$1101,10,0),"")</f>
        <v>5w</v>
      </c>
      <c r="AZ415" s="448" t="str">
        <f>_xlfn.IFNA(VLOOKUP($AP415,Programma!$F$3:$P$1101,11,0),"")</f>
        <v>5w</v>
      </c>
      <c r="BA415" s="448" t="str">
        <f>_xlfn.IFNA(VLOOKUP($AP415,Programma!$F$3:$Q$1101,12,0),"")</f>
        <v>1w</v>
      </c>
      <c r="BB415" s="448" t="str">
        <f>_xlfn.IFNA(VLOOKUP($AP415,Programma!$F$3:$R$1101,13,0),"")</f>
        <v>1w</v>
      </c>
      <c r="BC415" s="448" t="str">
        <f>_xlfn.IFNA(VLOOKUP($AP415,Programma!$F$3:$S$1101,14,0),"")</f>
        <v>1m</v>
      </c>
      <c r="BD415" s="448" t="str">
        <f>_xlfn.IFNA(VLOOKUP($AP415,Programma!$F$3:$T$1101,15,0),"")</f>
        <v>2j</v>
      </c>
      <c r="BE415" s="448" t="str">
        <f>_xlfn.IFNA(VLOOKUP($AP415,Programma!$F$3:$U$1101,16,0),"")</f>
        <v>1j</v>
      </c>
      <c r="BF415" s="448" t="str">
        <f>_xlfn.IFNA(VLOOKUP($AP415,Programma!$F$3:$V$1101,17,0),"")</f>
        <v>_</v>
      </c>
      <c r="BG415" s="448" t="str">
        <f>_xlfn.IFNA(VLOOKUP($AP415,Programma!$F$3:$W$1101,18,0),"")</f>
        <v>_</v>
      </c>
      <c r="BH415" s="448" t="str">
        <f>_xlfn.IFNA(VLOOKUP($AP415,Programma!$F$3:$X$1101,19,0),"")</f>
        <v>_</v>
      </c>
      <c r="BI415" s="448" t="str">
        <f>_xlfn.IFNA(VLOOKUP($AP415,Programma!$F$3:$Y$1101,20,0),"")</f>
        <v>_</v>
      </c>
      <c r="BJ415" s="449"/>
      <c r="BK415" s="447" t="str">
        <f>IF(Ruimtestaat[[#This Row],[Frequentie weekend]]="","",_xlfn.CONCAT(Ruimtestaat[[#This Row],[Ruimte code]],"-",Ruimtestaat[[#This Row],[Frequentie weekend]]," ",Ruimtestaat[[#This Row],[Vloer code]]))</f>
        <v/>
      </c>
      <c r="BL415" s="448" t="str">
        <f>_xlfn.IFNA(VLOOKUP($BK415,Programma!$F$3:$G$1101,2,0),"")</f>
        <v/>
      </c>
      <c r="BM415" s="448" t="str">
        <f>_xlfn.IFNA(VLOOKUP($BK415,Programma!$F$3:$H$1101,3,0),"")</f>
        <v/>
      </c>
      <c r="BN415" s="448" t="str">
        <f>_xlfn.IFNA(VLOOKUP($BK415,Programma!$F$3:$I$1101,4,0),"")</f>
        <v/>
      </c>
      <c r="BO415" s="448" t="str">
        <f>_xlfn.IFNA(VLOOKUP($BK415,Programma!$F$3:$J$1101,5,0),"")</f>
        <v/>
      </c>
      <c r="BP415" s="448" t="str">
        <f>_xlfn.IFNA(VLOOKUP($BK415,Programma!$F$3:$K$1101,6,0),"")</f>
        <v/>
      </c>
      <c r="BQ415" s="448" t="str">
        <f>_xlfn.IFNA(VLOOKUP($BK415,Programma!$F$3:$L$1101,7,0),"")</f>
        <v/>
      </c>
      <c r="BR415" s="448" t="str">
        <f>_xlfn.IFNA(VLOOKUP($BK415,Programma!$F$3:$M$1101,8,0),"")</f>
        <v/>
      </c>
      <c r="BS415" s="448" t="str">
        <f>_xlfn.IFNA(VLOOKUP($BK415,Programma!$F$3:$N$1101,9,0),"")</f>
        <v/>
      </c>
      <c r="BT415" s="448" t="str">
        <f>_xlfn.IFNA(VLOOKUP($BK415,Programma!$F$3:$O$1101,10,0),"")</f>
        <v/>
      </c>
      <c r="BU415" s="448" t="str">
        <f>_xlfn.IFNA(VLOOKUP($BK415,Programma!$F$3:$P$1101,11,0),"")</f>
        <v/>
      </c>
      <c r="BV415" s="448" t="str">
        <f>_xlfn.IFNA(VLOOKUP($BK415,Programma!$F$3:$Q$1101,12,0),"")</f>
        <v/>
      </c>
      <c r="BW415" s="448" t="str">
        <f>_xlfn.IFNA(VLOOKUP($BK415,Programma!$F$3:$R$1101,13,0),"")</f>
        <v/>
      </c>
      <c r="BX415" s="448" t="str">
        <f>_xlfn.IFNA(VLOOKUP($BK415,Programma!$F$3:$S$1101,14,0),"")</f>
        <v/>
      </c>
      <c r="BY415" s="448" t="str">
        <f>_xlfn.IFNA(VLOOKUP($BK415,Programma!$F$3:$T$1101,15,0),"")</f>
        <v/>
      </c>
      <c r="BZ415" s="448" t="str">
        <f>_xlfn.IFNA(VLOOKUP($BK415,Programma!$F$3:$U$1101,16,0),"")</f>
        <v/>
      </c>
      <c r="CA415" s="448" t="str">
        <f>_xlfn.IFNA(VLOOKUP($BK415,Programma!$F$3:$V$1101,17,0),"")</f>
        <v/>
      </c>
      <c r="CB415" s="448" t="str">
        <f>_xlfn.IFNA(VLOOKUP($BK415,Programma!$F$3:$W$1101,18,0),"")</f>
        <v/>
      </c>
      <c r="CC415" s="448" t="str">
        <f>_xlfn.IFNA(VLOOKUP($BK415,Programma!$F$3:$X$1101,19,0),"")</f>
        <v/>
      </c>
      <c r="CD415" s="448" t="str">
        <f>_xlfn.IFNA(VLOOKUP($BK415,Programma!$F$3:$Y$1101,20,0),"")</f>
        <v/>
      </c>
      <c r="CE415" s="327"/>
      <c r="CF415" s="327"/>
      <c r="CG415" s="327"/>
      <c r="CH415" s="327"/>
      <c r="CI415" s="327"/>
      <c r="CJ415" s="327"/>
      <c r="CK415" s="327"/>
      <c r="CL415" s="327"/>
      <c r="CM415" s="327"/>
      <c r="CN415" s="327"/>
      <c r="CO415" s="327"/>
      <c r="CP415" s="327"/>
      <c r="CQ415" s="327"/>
      <c r="CR415" s="327"/>
      <c r="CS415" s="327"/>
      <c r="CT415" s="327"/>
      <c r="CU415" s="327"/>
      <c r="CV415" s="327"/>
      <c r="CW415" s="327"/>
      <c r="CX415" s="327"/>
      <c r="CY415" s="327"/>
      <c r="CZ415" s="327"/>
      <c r="DA415" s="327"/>
      <c r="DB415" s="327"/>
      <c r="DC415" s="327"/>
      <c r="DD415" s="327"/>
      <c r="DE415" s="327"/>
      <c r="DF415" s="327"/>
      <c r="DG415" s="327"/>
      <c r="DH415" s="327"/>
      <c r="DI415" s="327"/>
      <c r="DJ415" s="327"/>
      <c r="DK415" s="327"/>
      <c r="DL415" s="327"/>
      <c r="DM415" s="327"/>
      <c r="DN415" s="327"/>
      <c r="DO415" s="327"/>
      <c r="DP415" s="327"/>
      <c r="DQ415" s="327"/>
      <c r="DR415" s="327"/>
      <c r="DS415" s="327"/>
      <c r="DT415" s="327"/>
      <c r="DU415" s="327"/>
      <c r="DV415" s="327"/>
      <c r="DW415" s="327"/>
      <c r="DX415" s="327"/>
      <c r="DY415" s="327"/>
      <c r="DZ415" s="327"/>
      <c r="EA415" s="327"/>
      <c r="EB415" s="327"/>
      <c r="EC415" s="327"/>
      <c r="ED415" s="327"/>
      <c r="EE415" s="327"/>
      <c r="EF415" s="327"/>
      <c r="EG415" s="327"/>
      <c r="EH415" s="327"/>
      <c r="EI415" s="327"/>
      <c r="EJ415" s="327"/>
      <c r="EK415" s="327"/>
      <c r="EL415" s="327"/>
      <c r="EM415" s="327"/>
      <c r="EN415" s="327"/>
      <c r="EO415" s="327"/>
      <c r="EP415" s="327"/>
      <c r="EQ415" s="327"/>
      <c r="ER415" s="327"/>
      <c r="ES415" s="327"/>
      <c r="ET415" s="327"/>
      <c r="EU415" s="327"/>
      <c r="EV415" s="327"/>
      <c r="EW415" s="327"/>
      <c r="EX415" s="327"/>
      <c r="EY415" s="327"/>
      <c r="EZ415" s="327"/>
      <c r="FA415" s="327"/>
      <c r="FB415" s="327"/>
      <c r="FC415" s="327"/>
      <c r="FD415" s="327"/>
      <c r="FE415" s="327"/>
      <c r="FF415" s="327"/>
      <c r="FG415" s="327"/>
      <c r="FH415" s="327"/>
      <c r="FI415" s="327"/>
      <c r="FJ415" s="327"/>
      <c r="FK415" s="327"/>
      <c r="FL415" s="327"/>
      <c r="FM415" s="327"/>
      <c r="FN415" s="327"/>
      <c r="FO415" s="327"/>
      <c r="FP415" s="327"/>
      <c r="FQ415" s="327"/>
      <c r="FR415" s="327"/>
      <c r="FS415" s="327"/>
      <c r="FT415" s="327"/>
      <c r="FU415" s="327"/>
      <c r="FV415" s="327"/>
      <c r="FW415" s="327"/>
      <c r="FX415" s="327"/>
      <c r="FY415" s="327"/>
      <c r="FZ415" s="327"/>
      <c r="GA415" s="327"/>
      <c r="GB415" s="327"/>
      <c r="GC415" s="327"/>
      <c r="GD415" s="327"/>
      <c r="GE415" s="327"/>
      <c r="GF415" s="327"/>
      <c r="GG415" s="327"/>
      <c r="GH415" s="327"/>
      <c r="GI415" s="327"/>
      <c r="GJ415" s="327"/>
      <c r="GK415" s="327"/>
      <c r="GL415" s="327"/>
      <c r="GM415" s="327"/>
      <c r="GN415" s="327"/>
      <c r="GO415" s="327"/>
      <c r="GP415" s="327"/>
      <c r="GQ415" s="327"/>
      <c r="GR415" s="327"/>
      <c r="GS415" s="327"/>
      <c r="GT415" s="327"/>
      <c r="GU415" s="327"/>
      <c r="GV415" s="327"/>
      <c r="GW415" s="327"/>
      <c r="GX415" s="327"/>
      <c r="GY415" s="327"/>
      <c r="GZ415" s="327"/>
      <c r="HA415" s="327"/>
      <c r="HB415" s="327"/>
      <c r="HC415" s="327"/>
      <c r="HD415" s="327"/>
      <c r="HE415" s="327"/>
      <c r="HF415" s="327"/>
      <c r="HG415" s="327"/>
      <c r="HH415" s="327"/>
      <c r="HI415" s="327"/>
      <c r="HJ415" s="327"/>
      <c r="HK415" s="327"/>
      <c r="HL415" s="327"/>
      <c r="HM415" s="327"/>
      <c r="HN415" s="327"/>
      <c r="HO415" s="327"/>
      <c r="HP415" s="327"/>
      <c r="HQ415" s="327"/>
      <c r="HR415" s="327"/>
      <c r="HS415" s="327"/>
    </row>
    <row r="416" spans="1:227" ht="15" customHeight="1">
      <c r="A416" s="327">
        <v>17</v>
      </c>
      <c r="B416" s="435" t="str">
        <f>VLOOKUP(Ruimtestaat[[#This Row],[Code]],Locaties[[Code]:[Locatie]],2,FALSE)</f>
        <v>IKC de Tjalk Kadelaan 208 (bijgebouw)</v>
      </c>
      <c r="C416" s="435" t="str">
        <f>VLOOKUP(Ruimtestaat[[#This Row],[Code]],Locaties[[#All],[Code]:[Adres]],4,FALSE)</f>
        <v>Kadelaan 208</v>
      </c>
      <c r="D416" s="435" t="str">
        <f>VLOOKUP(Ruimtestaat[[#This Row],[Code]],Locaties[[#All],[Code]:[Postcode]],5,FALSE)</f>
        <v>2725 BR</v>
      </c>
      <c r="E416" s="435" t="str">
        <f>VLOOKUP(Ruimtestaat[[#This Row],[Code]],Locaties[#All],6,FALSE)</f>
        <v>Zoetermeer</v>
      </c>
      <c r="F416" s="450"/>
      <c r="G416" s="330" t="s">
        <v>1678</v>
      </c>
      <c r="H416" s="330">
        <v>39</v>
      </c>
      <c r="I416" s="450" t="s">
        <v>1854</v>
      </c>
      <c r="J416" s="330">
        <v>16</v>
      </c>
      <c r="K416" s="450" t="str">
        <f>VLOOKUP(Ruimtestaat[[#This Row],[Ruimte code]],Ruimtegroepen[[#All],[Code]:[Ruimte omschrijving]],2,FALSE)</f>
        <v>Leslokalen</v>
      </c>
      <c r="L416" s="330" t="s">
        <v>101</v>
      </c>
      <c r="M416" s="437" t="s">
        <v>1816</v>
      </c>
      <c r="N416" s="439">
        <v>56.52</v>
      </c>
      <c r="O416" s="439"/>
      <c r="P416" s="439"/>
      <c r="Q416" s="439"/>
      <c r="R416" s="440" t="str">
        <f>VLOOKUP(Ruimtestaat[[#This Row],[Ruimte code]],Ruimtegroepen[],4,FALSE)</f>
        <v>Le</v>
      </c>
      <c r="S416" s="434">
        <v>40</v>
      </c>
      <c r="T416" s="434" t="s">
        <v>2</v>
      </c>
      <c r="U416" s="434">
        <f>IF(S416&gt;0,IF(RIGHT(Ruimtestaat[[#This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6" s="434">
        <f>IF(U416&gt;0,VLOOKUP($J416,Ruimtegroepen[],3,FALSE)*VLOOKUP($L416,Vloersoorten[],3,FALSE)*VLOOKUP($T416,Frequenties[],3,FALSE)*VLOOKUP($A416,Locaties[],3,FALSE),0)</f>
        <v>0</v>
      </c>
      <c r="W416" s="434">
        <f>Ruimtestaat[[#This Row],[Uitvoeringen werkdagen]]*Ruimtestaat[[#This Row],[Oppervlak (netto)]]</f>
        <v>11304</v>
      </c>
      <c r="X416" s="441">
        <f>IF(V416&gt;0,Ruimtestaat[[#This Row],[Prest. (m2 /jaar) werkdagen]]/Ruimtestaat[[#This Row],[Norm (m2/uur) werkdagen]],0)</f>
        <v>0</v>
      </c>
      <c r="Y416" s="442">
        <f>Ruimtestaat[[#This Row],[Uitvoeringen werkdagen]]*Ruimtestaat[[#This Row],[Gedeeltelijk]]</f>
        <v>0</v>
      </c>
      <c r="Z416" s="443" t="e">
        <f>IF(U416&gt;0,Ruimtestaat[[#This Row],[Prest. (m2 / jaar) werkdagen gedeeld]]/Ruimtestaat[[#This Row],[Norm (m2/uur) werkdagen]],0)</f>
        <v>#DIV/0!</v>
      </c>
      <c r="AA416" s="441" t="e">
        <f>Ruimtestaat[[#This Row],[uren / jaar werkdagen gedeeld]]*Tariefsopbouw!$E$35</f>
        <v>#DIV/0!</v>
      </c>
      <c r="AB416" s="441">
        <f>Ruimtestaat[[#This Row],[Uitvoeringen werkdagen]]*Ruimtestaat[[#This Row],[BSO]]</f>
        <v>0</v>
      </c>
      <c r="AC416" s="443" t="e">
        <f>IF(U416&gt;0,Ruimtestaat[[#This Row],[Prest. (m2 / jaar) werkdagen BSO]]/Ruimtestaat[[#This Row],[Norm (m2/uur) werkdagen]],0)</f>
        <v>#DIV/0!</v>
      </c>
      <c r="AD416" s="443" t="e">
        <f>Ruimtestaat[[#This Row],[uren / jaar werkdagen BSO]]*Tariefsopbouw!$E$35</f>
        <v>#DIV/0!</v>
      </c>
      <c r="AE416" s="444">
        <f>Ruimtestaat[[#This Row],[uren / jaar werkdagen]]*Tariefsopbouw!$E$35</f>
        <v>0</v>
      </c>
      <c r="AF416" s="434"/>
      <c r="AG416" s="434">
        <f>IF(Ruimtestaat[[#This Row],[Frequentie weekend]]&gt;0,VALUE(LEFT(AF416,1))*S416,0)</f>
        <v>0</v>
      </c>
      <c r="AH416" s="445">
        <f>IF($AG416&gt;0,VLOOKUP($J416,Ruimtegroepen[],3,FALSE)*VLOOKUP($L416,Vloersoorten[],3,FALSE)*VLOOKUP($AF416,Frequenties[],3,FALSE)*VLOOKUP(Ruimtestaat[[#This Row],[Code]],Locaties[],3,FALSE),0)</f>
        <v>0</v>
      </c>
      <c r="AI416" s="445">
        <f>Ruimtestaat[[#This Row],[Uitvoeringen weekend]]*Ruimtestaat[[#This Row],[Oppervlak (netto)]]</f>
        <v>0</v>
      </c>
      <c r="AJ416" s="445">
        <f>IF(AH416&gt;0,Ruimtestaat[[#This Row],[Prest. (m2 /jaar) weekend]]/Ruimtestaat[[#This Row],[Norm (m2/uur) weekend]],0)</f>
        <v>0</v>
      </c>
      <c r="AK416" s="444">
        <f>Ruimtestaat[[#This Row],[uren / jaar weekend]]*Tariefsopbouw!$D$40</f>
        <v>0</v>
      </c>
      <c r="AL416" s="441">
        <f>Ruimtestaat[[#This Row],[Prest. (m2 /jaar) weekend]]+Ruimtestaat[[#This Row],[Prest. (m2 /jaar) werkdagen]]</f>
        <v>11304</v>
      </c>
      <c r="AM416" s="441">
        <f>Ruimtestaat[[#This Row],[uren / jaar weekend]]+Ruimtestaat[[#This Row],[uren / jaar werkdagen]]</f>
        <v>0</v>
      </c>
      <c r="AN416" s="446">
        <f>Ruimtestaat[[#This Row],[kosten / jaar weekend]]+Ruimtestaat[[#This Row],[kosten / jaar werkdagen]]</f>
        <v>0</v>
      </c>
      <c r="AO416" s="446"/>
      <c r="AP416" s="447" t="str">
        <f>IF(Ruimtestaat[[#This Row],[Frequentie werkdagen]]="","",_xlfn.CONCAT(Ruimtestaat[[#This Row],[Ruimte code]],"-",Ruimtestaat[[#This Row],[Frequentie werkdagen]]," ",Ruimtestaat[[#This Row],[Vloer code]]))</f>
        <v>16-5w S</v>
      </c>
      <c r="AQ416" s="448" t="str">
        <f>_xlfn.IFNA(VLOOKUP($AP416,Programma!$F$3:$G$1101,2,0),"")</f>
        <v>_</v>
      </c>
      <c r="AR416" s="448" t="str">
        <f>_xlfn.IFNA(VLOOKUP($AP416,Programma!$F$3:$H$1101,3,0),"")</f>
        <v>_</v>
      </c>
      <c r="AS416" s="448" t="str">
        <f>_xlfn.IFNA(VLOOKUP($AP416,Programma!$F$3:$I$1101,4,0),"")</f>
        <v>4w</v>
      </c>
      <c r="AT416" s="448" t="str">
        <f>_xlfn.IFNA(VLOOKUP($AP416,Programma!$F$3:$J$1101,5,0),"")</f>
        <v>1w</v>
      </c>
      <c r="AU416" s="448" t="str">
        <f>_xlfn.IFNA(VLOOKUP($AP416,Programma!$F$3:$K$1101,6,0),"")</f>
        <v>1m</v>
      </c>
      <c r="AV416" s="448" t="str">
        <f>_xlfn.IFNA(VLOOKUP($AP416,Programma!$F$3:$L$1101,7,0),"")</f>
        <v>_</v>
      </c>
      <c r="AW416" s="448" t="str">
        <f>_xlfn.IFNA(VLOOKUP($AP416,Programma!$F$3:$M$1101,8,0),"")</f>
        <v>_</v>
      </c>
      <c r="AX416" s="448" t="str">
        <f>_xlfn.IFNA(VLOOKUP($AP416,Programma!$F$3:$N$1101,9,0),"")</f>
        <v>_</v>
      </c>
      <c r="AY416" s="448" t="str">
        <f>_xlfn.IFNA(VLOOKUP($AP416,Programma!$F$3:$O$1101,10,0),"")</f>
        <v>5w</v>
      </c>
      <c r="AZ416" s="448" t="str">
        <f>_xlfn.IFNA(VLOOKUP($AP416,Programma!$F$3:$P$1101,11,0),"")</f>
        <v>5w</v>
      </c>
      <c r="BA416" s="448" t="str">
        <f>_xlfn.IFNA(VLOOKUP($AP416,Programma!$F$3:$Q$1101,12,0),"")</f>
        <v>1w</v>
      </c>
      <c r="BB416" s="448" t="str">
        <f>_xlfn.IFNA(VLOOKUP($AP416,Programma!$F$3:$R$1101,13,0),"")</f>
        <v>1w</v>
      </c>
      <c r="BC416" s="448" t="str">
        <f>_xlfn.IFNA(VLOOKUP($AP416,Programma!$F$3:$S$1101,14,0),"")</f>
        <v>1m</v>
      </c>
      <c r="BD416" s="448" t="str">
        <f>_xlfn.IFNA(VLOOKUP($AP416,Programma!$F$3:$T$1101,15,0),"")</f>
        <v>2j</v>
      </c>
      <c r="BE416" s="448" t="str">
        <f>_xlfn.IFNA(VLOOKUP($AP416,Programma!$F$3:$U$1101,16,0),"")</f>
        <v>1j</v>
      </c>
      <c r="BF416" s="448" t="str">
        <f>_xlfn.IFNA(VLOOKUP($AP416,Programma!$F$3:$V$1101,17,0),"")</f>
        <v>_</v>
      </c>
      <c r="BG416" s="448" t="str">
        <f>_xlfn.IFNA(VLOOKUP($AP416,Programma!$F$3:$W$1101,18,0),"")</f>
        <v>_</v>
      </c>
      <c r="BH416" s="448" t="str">
        <f>_xlfn.IFNA(VLOOKUP($AP416,Programma!$F$3:$X$1101,19,0),"")</f>
        <v>_</v>
      </c>
      <c r="BI416" s="448" t="str">
        <f>_xlfn.IFNA(VLOOKUP($AP416,Programma!$F$3:$Y$1101,20,0),"")</f>
        <v>_</v>
      </c>
      <c r="BJ416" s="449"/>
      <c r="BK416" s="447" t="str">
        <f>IF(Ruimtestaat[[#This Row],[Frequentie weekend]]="","",_xlfn.CONCAT(Ruimtestaat[[#This Row],[Ruimte code]],"-",Ruimtestaat[[#This Row],[Frequentie weekend]]," ",Ruimtestaat[[#This Row],[Vloer code]]))</f>
        <v/>
      </c>
      <c r="BL416" s="448" t="str">
        <f>_xlfn.IFNA(VLOOKUP($BK416,Programma!$F$3:$G$1101,2,0),"")</f>
        <v/>
      </c>
      <c r="BM416" s="448" t="str">
        <f>_xlfn.IFNA(VLOOKUP($BK416,Programma!$F$3:$H$1101,3,0),"")</f>
        <v/>
      </c>
      <c r="BN416" s="448" t="str">
        <f>_xlfn.IFNA(VLOOKUP($BK416,Programma!$F$3:$I$1101,4,0),"")</f>
        <v/>
      </c>
      <c r="BO416" s="448" t="str">
        <f>_xlfn.IFNA(VLOOKUP($BK416,Programma!$F$3:$J$1101,5,0),"")</f>
        <v/>
      </c>
      <c r="BP416" s="448" t="str">
        <f>_xlfn.IFNA(VLOOKUP($BK416,Programma!$F$3:$K$1101,6,0),"")</f>
        <v/>
      </c>
      <c r="BQ416" s="448" t="str">
        <f>_xlfn.IFNA(VLOOKUP($BK416,Programma!$F$3:$L$1101,7,0),"")</f>
        <v/>
      </c>
      <c r="BR416" s="448" t="str">
        <f>_xlfn.IFNA(VLOOKUP($BK416,Programma!$F$3:$M$1101,8,0),"")</f>
        <v/>
      </c>
      <c r="BS416" s="448" t="str">
        <f>_xlfn.IFNA(VLOOKUP($BK416,Programma!$F$3:$N$1101,9,0),"")</f>
        <v/>
      </c>
      <c r="BT416" s="448" t="str">
        <f>_xlfn.IFNA(VLOOKUP($BK416,Programma!$F$3:$O$1101,10,0),"")</f>
        <v/>
      </c>
      <c r="BU416" s="448" t="str">
        <f>_xlfn.IFNA(VLOOKUP($BK416,Programma!$F$3:$P$1101,11,0),"")</f>
        <v/>
      </c>
      <c r="BV416" s="448" t="str">
        <f>_xlfn.IFNA(VLOOKUP($BK416,Programma!$F$3:$Q$1101,12,0),"")</f>
        <v/>
      </c>
      <c r="BW416" s="448" t="str">
        <f>_xlfn.IFNA(VLOOKUP($BK416,Programma!$F$3:$R$1101,13,0),"")</f>
        <v/>
      </c>
      <c r="BX416" s="448" t="str">
        <f>_xlfn.IFNA(VLOOKUP($BK416,Programma!$F$3:$S$1101,14,0),"")</f>
        <v/>
      </c>
      <c r="BY416" s="448" t="str">
        <f>_xlfn.IFNA(VLOOKUP($BK416,Programma!$F$3:$T$1101,15,0),"")</f>
        <v/>
      </c>
      <c r="BZ416" s="448" t="str">
        <f>_xlfn.IFNA(VLOOKUP($BK416,Programma!$F$3:$U$1101,16,0),"")</f>
        <v/>
      </c>
      <c r="CA416" s="448" t="str">
        <f>_xlfn.IFNA(VLOOKUP($BK416,Programma!$F$3:$V$1101,17,0),"")</f>
        <v/>
      </c>
      <c r="CB416" s="448" t="str">
        <f>_xlfn.IFNA(VLOOKUP($BK416,Programma!$F$3:$W$1101,18,0),"")</f>
        <v/>
      </c>
      <c r="CC416" s="448" t="str">
        <f>_xlfn.IFNA(VLOOKUP($BK416,Programma!$F$3:$X$1101,19,0),"")</f>
        <v/>
      </c>
      <c r="CD416" s="448" t="str">
        <f>_xlfn.IFNA(VLOOKUP($BK416,Programma!$F$3:$Y$1101,20,0),"")</f>
        <v/>
      </c>
      <c r="CE416" s="327"/>
      <c r="CF416" s="327"/>
      <c r="CG416" s="327"/>
      <c r="CH416" s="327"/>
      <c r="CI416" s="327"/>
      <c r="CJ416" s="327"/>
      <c r="CK416" s="327"/>
      <c r="CL416" s="327"/>
      <c r="CM416" s="327"/>
      <c r="CN416" s="327"/>
      <c r="CO416" s="327"/>
      <c r="CP416" s="327"/>
      <c r="CQ416" s="327"/>
      <c r="CR416" s="327"/>
      <c r="CS416" s="327"/>
      <c r="CT416" s="327"/>
      <c r="CU416" s="327"/>
      <c r="CV416" s="327"/>
      <c r="CW416" s="327"/>
      <c r="CX416" s="327"/>
      <c r="CY416" s="327"/>
      <c r="CZ416" s="327"/>
      <c r="DA416" s="327"/>
      <c r="DB416" s="327"/>
      <c r="DC416" s="327"/>
      <c r="DD416" s="327"/>
      <c r="DE416" s="327"/>
      <c r="DF416" s="327"/>
      <c r="DG416" s="327"/>
      <c r="DH416" s="327"/>
      <c r="DI416" s="327"/>
      <c r="DJ416" s="327"/>
      <c r="DK416" s="327"/>
      <c r="DL416" s="327"/>
      <c r="DM416" s="327"/>
      <c r="DN416" s="327"/>
      <c r="DO416" s="327"/>
      <c r="DP416" s="327"/>
      <c r="DQ416" s="327"/>
      <c r="DR416" s="327"/>
      <c r="DS416" s="327"/>
      <c r="DT416" s="327"/>
      <c r="DU416" s="327"/>
      <c r="DV416" s="327"/>
      <c r="DW416" s="327"/>
      <c r="DX416" s="327"/>
      <c r="DY416" s="327"/>
      <c r="DZ416" s="327"/>
      <c r="EA416" s="327"/>
      <c r="EB416" s="327"/>
      <c r="EC416" s="327"/>
      <c r="ED416" s="327"/>
      <c r="EE416" s="327"/>
      <c r="EF416" s="327"/>
      <c r="EG416" s="327"/>
      <c r="EH416" s="327"/>
      <c r="EI416" s="327"/>
      <c r="EJ416" s="327"/>
      <c r="EK416" s="327"/>
      <c r="EL416" s="327"/>
      <c r="EM416" s="327"/>
      <c r="EN416" s="327"/>
      <c r="EO416" s="327"/>
      <c r="EP416" s="327"/>
      <c r="EQ416" s="327"/>
      <c r="ER416" s="327"/>
      <c r="ES416" s="327"/>
      <c r="ET416" s="327"/>
      <c r="EU416" s="327"/>
      <c r="EV416" s="327"/>
      <c r="EW416" s="327"/>
      <c r="EX416" s="327"/>
      <c r="EY416" s="327"/>
      <c r="EZ416" s="327"/>
      <c r="FA416" s="327"/>
      <c r="FB416" s="327"/>
      <c r="FC416" s="327"/>
      <c r="FD416" s="327"/>
      <c r="FE416" s="327"/>
      <c r="FF416" s="327"/>
      <c r="FG416" s="327"/>
      <c r="FH416" s="327"/>
      <c r="FI416" s="327"/>
      <c r="FJ416" s="327"/>
      <c r="FK416" s="327"/>
      <c r="FL416" s="327"/>
      <c r="FM416" s="327"/>
      <c r="FN416" s="327"/>
      <c r="FO416" s="327"/>
      <c r="FP416" s="327"/>
      <c r="FQ416" s="327"/>
      <c r="FR416" s="327"/>
      <c r="FS416" s="327"/>
      <c r="FT416" s="327"/>
      <c r="FU416" s="327"/>
      <c r="FV416" s="327"/>
      <c r="FW416" s="327"/>
      <c r="FX416" s="327"/>
      <c r="FY416" s="327"/>
      <c r="FZ416" s="327"/>
      <c r="GA416" s="327"/>
      <c r="GB416" s="327"/>
      <c r="GC416" s="327"/>
      <c r="GD416" s="327"/>
      <c r="GE416" s="327"/>
      <c r="GF416" s="327"/>
      <c r="GG416" s="327"/>
      <c r="GH416" s="327"/>
      <c r="GI416" s="327"/>
      <c r="GJ416" s="327"/>
      <c r="GK416" s="327"/>
      <c r="GL416" s="327"/>
      <c r="GM416" s="327"/>
      <c r="GN416" s="327"/>
      <c r="GO416" s="327"/>
      <c r="GP416" s="327"/>
      <c r="GQ416" s="327"/>
      <c r="GR416" s="327"/>
      <c r="GS416" s="327"/>
      <c r="GT416" s="327"/>
      <c r="GU416" s="327"/>
      <c r="GV416" s="327"/>
      <c r="GW416" s="327"/>
      <c r="GX416" s="327"/>
      <c r="GY416" s="327"/>
      <c r="GZ416" s="327"/>
      <c r="HA416" s="327"/>
      <c r="HB416" s="327"/>
      <c r="HC416" s="327"/>
      <c r="HD416" s="327"/>
      <c r="HE416" s="327"/>
      <c r="HF416" s="327"/>
      <c r="HG416" s="327"/>
      <c r="HH416" s="327"/>
      <c r="HI416" s="327"/>
      <c r="HJ416" s="327"/>
      <c r="HK416" s="327"/>
      <c r="HL416" s="327"/>
      <c r="HM416" s="327"/>
      <c r="HN416" s="327"/>
      <c r="HO416" s="327"/>
      <c r="HP416" s="327"/>
      <c r="HQ416" s="327"/>
      <c r="HR416" s="327"/>
      <c r="HS416" s="327"/>
    </row>
    <row r="417" spans="1:227" ht="15" customHeight="1">
      <c r="A417" s="327">
        <v>17</v>
      </c>
      <c r="B417" s="435" t="str">
        <f>VLOOKUP(Ruimtestaat[[#This Row],[Code]],Locaties[[Code]:[Locatie]],2,FALSE)</f>
        <v>IKC de Tjalk Kadelaan 208 (bijgebouw)</v>
      </c>
      <c r="C417" s="435" t="str">
        <f>VLOOKUP(Ruimtestaat[[#This Row],[Code]],Locaties[[#All],[Code]:[Adres]],4,FALSE)</f>
        <v>Kadelaan 208</v>
      </c>
      <c r="D417" s="435" t="str">
        <f>VLOOKUP(Ruimtestaat[[#This Row],[Code]],Locaties[[#All],[Code]:[Postcode]],5,FALSE)</f>
        <v>2725 BR</v>
      </c>
      <c r="E417" s="435" t="str">
        <f>VLOOKUP(Ruimtestaat[[#This Row],[Code]],Locaties[#All],6,FALSE)</f>
        <v>Zoetermeer</v>
      </c>
      <c r="F417" s="450"/>
      <c r="G417" s="330" t="s">
        <v>1678</v>
      </c>
      <c r="H417" s="330">
        <v>40</v>
      </c>
      <c r="I417" s="450" t="s">
        <v>1720</v>
      </c>
      <c r="J417" s="330">
        <v>5</v>
      </c>
      <c r="K417" s="450" t="str">
        <f>VLOOKUP(Ruimtestaat[[#This Row],[Ruimte code]],Ruimtegroepen[[#All],[Code]:[Ruimte omschrijving]],2,FALSE)</f>
        <v>Sanitair</v>
      </c>
      <c r="L417" s="330" t="s">
        <v>101</v>
      </c>
      <c r="M417" s="437" t="s">
        <v>1816</v>
      </c>
      <c r="N417" s="439">
        <v>4.41</v>
      </c>
      <c r="O417" s="439"/>
      <c r="P417" s="439"/>
      <c r="Q417" s="439"/>
      <c r="R417" s="440" t="str">
        <f>VLOOKUP(Ruimtestaat[[#This Row],[Ruimte code]],Ruimtegroepen[],4,FALSE)</f>
        <v>Sa</v>
      </c>
      <c r="S417" s="434">
        <v>41</v>
      </c>
      <c r="T417" s="434" t="s">
        <v>2</v>
      </c>
      <c r="U417" s="434">
        <f>IF(S417&gt;0,IF(RIGHT(Ruimtestaat[[#This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17" s="434">
        <f>IF(U417&gt;0,VLOOKUP($J417,Ruimtegroepen[],3,FALSE)*VLOOKUP($L417,Vloersoorten[],3,FALSE)*VLOOKUP($T417,Frequenties[],3,FALSE)*VLOOKUP($A417,Locaties[],3,FALSE),0)</f>
        <v>0</v>
      </c>
      <c r="W417" s="434">
        <f>Ruimtestaat[[#This Row],[Uitvoeringen werkdagen]]*Ruimtestaat[[#This Row],[Oppervlak (netto)]]</f>
        <v>904.05000000000007</v>
      </c>
      <c r="X417" s="441">
        <f>IF(V417&gt;0,Ruimtestaat[[#This Row],[Prest. (m2 /jaar) werkdagen]]/Ruimtestaat[[#This Row],[Norm (m2/uur) werkdagen]],0)</f>
        <v>0</v>
      </c>
      <c r="Y417" s="442">
        <f>Ruimtestaat[[#This Row],[Uitvoeringen werkdagen]]*Ruimtestaat[[#This Row],[Gedeeltelijk]]</f>
        <v>0</v>
      </c>
      <c r="Z417" s="443" t="e">
        <f>IF(U417&gt;0,Ruimtestaat[[#This Row],[Prest. (m2 / jaar) werkdagen gedeeld]]/Ruimtestaat[[#This Row],[Norm (m2/uur) werkdagen]],0)</f>
        <v>#DIV/0!</v>
      </c>
      <c r="AA417" s="441" t="e">
        <f>Ruimtestaat[[#This Row],[uren / jaar werkdagen gedeeld]]*Tariefsopbouw!$E$35</f>
        <v>#DIV/0!</v>
      </c>
      <c r="AB417" s="441">
        <f>Ruimtestaat[[#This Row],[Uitvoeringen werkdagen]]*Ruimtestaat[[#This Row],[BSO]]</f>
        <v>0</v>
      </c>
      <c r="AC417" s="443" t="e">
        <f>IF(U417&gt;0,Ruimtestaat[[#This Row],[Prest. (m2 / jaar) werkdagen BSO]]/Ruimtestaat[[#This Row],[Norm (m2/uur) werkdagen]],0)</f>
        <v>#DIV/0!</v>
      </c>
      <c r="AD417" s="443" t="e">
        <f>Ruimtestaat[[#This Row],[uren / jaar werkdagen BSO]]*Tariefsopbouw!$E$35</f>
        <v>#DIV/0!</v>
      </c>
      <c r="AE417" s="444">
        <f>Ruimtestaat[[#This Row],[uren / jaar werkdagen]]*Tariefsopbouw!$E$35</f>
        <v>0</v>
      </c>
      <c r="AF417" s="434"/>
      <c r="AG417" s="434">
        <f>IF(Ruimtestaat[[#This Row],[Frequentie weekend]]&gt;0,VALUE(LEFT(AF417,1))*S417,0)</f>
        <v>0</v>
      </c>
      <c r="AH417" s="445">
        <f>IF($AG417&gt;0,VLOOKUP($J417,Ruimtegroepen[],3,FALSE)*VLOOKUP($L417,Vloersoorten[],3,FALSE)*VLOOKUP($AF417,Frequenties[],3,FALSE)*VLOOKUP(Ruimtestaat[[#This Row],[Code]],Locaties[],3,FALSE),0)</f>
        <v>0</v>
      </c>
      <c r="AI417" s="445">
        <f>Ruimtestaat[[#This Row],[Uitvoeringen weekend]]*Ruimtestaat[[#This Row],[Oppervlak (netto)]]</f>
        <v>0</v>
      </c>
      <c r="AJ417" s="445">
        <f>IF(AH417&gt;0,Ruimtestaat[[#This Row],[Prest. (m2 /jaar) weekend]]/Ruimtestaat[[#This Row],[Norm (m2/uur) weekend]],0)</f>
        <v>0</v>
      </c>
      <c r="AK417" s="444">
        <f>Ruimtestaat[[#This Row],[uren / jaar weekend]]*Tariefsopbouw!$D$40</f>
        <v>0</v>
      </c>
      <c r="AL417" s="441">
        <f>Ruimtestaat[[#This Row],[Prest. (m2 /jaar) weekend]]+Ruimtestaat[[#This Row],[Prest. (m2 /jaar) werkdagen]]</f>
        <v>904.05000000000007</v>
      </c>
      <c r="AM417" s="441">
        <f>Ruimtestaat[[#This Row],[uren / jaar weekend]]+Ruimtestaat[[#This Row],[uren / jaar werkdagen]]</f>
        <v>0</v>
      </c>
      <c r="AN417" s="446">
        <f>Ruimtestaat[[#This Row],[kosten / jaar weekend]]+Ruimtestaat[[#This Row],[kosten / jaar werkdagen]]</f>
        <v>0</v>
      </c>
      <c r="AO417" s="446"/>
      <c r="AP417" s="447" t="str">
        <f>IF(Ruimtestaat[[#This Row],[Frequentie werkdagen]]="","",_xlfn.CONCAT(Ruimtestaat[[#This Row],[Ruimte code]],"-",Ruimtestaat[[#This Row],[Frequentie werkdagen]]," ",Ruimtestaat[[#This Row],[Vloer code]]))</f>
        <v>5-5w S</v>
      </c>
      <c r="AQ417" s="448" t="str">
        <f>_xlfn.IFNA(VLOOKUP($AP417,Programma!$F$3:$G$1101,2,0),"")</f>
        <v>_</v>
      </c>
      <c r="AR417" s="448" t="str">
        <f>_xlfn.IFNA(VLOOKUP($AP417,Programma!$F$3:$H$1101,3,0),"")</f>
        <v>_</v>
      </c>
      <c r="AS417" s="448" t="str">
        <f>_xlfn.IFNA(VLOOKUP($AP417,Programma!$F$3:$I$1101,4,0),"")</f>
        <v>_</v>
      </c>
      <c r="AT417" s="448" t="str">
        <f>_xlfn.IFNA(VLOOKUP($AP417,Programma!$F$3:$J$1101,5,0),"")</f>
        <v>4w</v>
      </c>
      <c r="AU417" s="448" t="str">
        <f>_xlfn.IFNA(VLOOKUP($AP417,Programma!$F$3:$K$1101,6,0),"")</f>
        <v>1w</v>
      </c>
      <c r="AV417" s="448" t="str">
        <f>_xlfn.IFNA(VLOOKUP($AP417,Programma!$F$3:$L$1101,7,0),"")</f>
        <v>_</v>
      </c>
      <c r="AW417" s="448" t="str">
        <f>_xlfn.IFNA(VLOOKUP($AP417,Programma!$F$3:$M$1101,8,0),"")</f>
        <v>_</v>
      </c>
      <c r="AX417" s="448" t="str">
        <f>_xlfn.IFNA(VLOOKUP($AP417,Programma!$F$3:$N$1101,9,0),"")</f>
        <v>_</v>
      </c>
      <c r="AY417" s="448" t="str">
        <f>_xlfn.IFNA(VLOOKUP($AP417,Programma!$F$3:$O$1101,10,0),"")</f>
        <v>_</v>
      </c>
      <c r="AZ417" s="448" t="str">
        <f>_xlfn.IFNA(VLOOKUP($AP417,Programma!$F$3:$P$1101,11,0),"")</f>
        <v>_</v>
      </c>
      <c r="BA417" s="448" t="str">
        <f>_xlfn.IFNA(VLOOKUP($AP417,Programma!$F$3:$Q$1101,12,0),"")</f>
        <v>_</v>
      </c>
      <c r="BB417" s="448" t="str">
        <f>_xlfn.IFNA(VLOOKUP($AP417,Programma!$F$3:$R$1101,13,0),"")</f>
        <v>_</v>
      </c>
      <c r="BC417" s="448" t="str">
        <f>_xlfn.IFNA(VLOOKUP($AP417,Programma!$F$3:$S$1101,14,0),"")</f>
        <v>_</v>
      </c>
      <c r="BD417" s="448" t="str">
        <f>_xlfn.IFNA(VLOOKUP($AP417,Programma!$F$3:$T$1101,15,0),"")</f>
        <v>_</v>
      </c>
      <c r="BE417" s="448" t="str">
        <f>_xlfn.IFNA(VLOOKUP($AP417,Programma!$F$3:$U$1101,16,0),"")</f>
        <v>_</v>
      </c>
      <c r="BF417" s="448" t="str">
        <f>_xlfn.IFNA(VLOOKUP($AP417,Programma!$F$3:$V$1101,17,0),"")</f>
        <v>_</v>
      </c>
      <c r="BG417" s="448" t="str">
        <f>_xlfn.IFNA(VLOOKUP($AP417,Programma!$F$3:$W$1101,18,0),"")</f>
        <v>4w</v>
      </c>
      <c r="BH417" s="448" t="str">
        <f>_xlfn.IFNA(VLOOKUP($AP417,Programma!$F$3:$X$1101,19,0),"")</f>
        <v>1w</v>
      </c>
      <c r="BI417" s="448" t="str">
        <f>_xlfn.IFNA(VLOOKUP($AP417,Programma!$F$3:$Y$1101,20,0),"")</f>
        <v>_</v>
      </c>
      <c r="BJ417" s="449"/>
      <c r="BK417" s="447" t="str">
        <f>IF(Ruimtestaat[[#This Row],[Frequentie weekend]]="","",_xlfn.CONCAT(Ruimtestaat[[#This Row],[Ruimte code]],"-",Ruimtestaat[[#This Row],[Frequentie weekend]]," ",Ruimtestaat[[#This Row],[Vloer code]]))</f>
        <v/>
      </c>
      <c r="BL417" s="448" t="str">
        <f>_xlfn.IFNA(VLOOKUP($BK417,Programma!$F$3:$G$1101,2,0),"")</f>
        <v/>
      </c>
      <c r="BM417" s="448" t="str">
        <f>_xlfn.IFNA(VLOOKUP($BK417,Programma!$F$3:$H$1101,3,0),"")</f>
        <v/>
      </c>
      <c r="BN417" s="448" t="str">
        <f>_xlfn.IFNA(VLOOKUP($BK417,Programma!$F$3:$I$1101,4,0),"")</f>
        <v/>
      </c>
      <c r="BO417" s="448" t="str">
        <f>_xlfn.IFNA(VLOOKUP($BK417,Programma!$F$3:$J$1101,5,0),"")</f>
        <v/>
      </c>
      <c r="BP417" s="448" t="str">
        <f>_xlfn.IFNA(VLOOKUP($BK417,Programma!$F$3:$K$1101,6,0),"")</f>
        <v/>
      </c>
      <c r="BQ417" s="448" t="str">
        <f>_xlfn.IFNA(VLOOKUP($BK417,Programma!$F$3:$L$1101,7,0),"")</f>
        <v/>
      </c>
      <c r="BR417" s="448" t="str">
        <f>_xlfn.IFNA(VLOOKUP($BK417,Programma!$F$3:$M$1101,8,0),"")</f>
        <v/>
      </c>
      <c r="BS417" s="448" t="str">
        <f>_xlfn.IFNA(VLOOKUP($BK417,Programma!$F$3:$N$1101,9,0),"")</f>
        <v/>
      </c>
      <c r="BT417" s="448" t="str">
        <f>_xlfn.IFNA(VLOOKUP($BK417,Programma!$F$3:$O$1101,10,0),"")</f>
        <v/>
      </c>
      <c r="BU417" s="448" t="str">
        <f>_xlfn.IFNA(VLOOKUP($BK417,Programma!$F$3:$P$1101,11,0),"")</f>
        <v/>
      </c>
      <c r="BV417" s="448" t="str">
        <f>_xlfn.IFNA(VLOOKUP($BK417,Programma!$F$3:$Q$1101,12,0),"")</f>
        <v/>
      </c>
      <c r="BW417" s="448" t="str">
        <f>_xlfn.IFNA(VLOOKUP($BK417,Programma!$F$3:$R$1101,13,0),"")</f>
        <v/>
      </c>
      <c r="BX417" s="448" t="str">
        <f>_xlfn.IFNA(VLOOKUP($BK417,Programma!$F$3:$S$1101,14,0),"")</f>
        <v/>
      </c>
      <c r="BY417" s="448" t="str">
        <f>_xlfn.IFNA(VLOOKUP($BK417,Programma!$F$3:$T$1101,15,0),"")</f>
        <v/>
      </c>
      <c r="BZ417" s="448" t="str">
        <f>_xlfn.IFNA(VLOOKUP($BK417,Programma!$F$3:$U$1101,16,0),"")</f>
        <v/>
      </c>
      <c r="CA417" s="448" t="str">
        <f>_xlfn.IFNA(VLOOKUP($BK417,Programma!$F$3:$V$1101,17,0),"")</f>
        <v/>
      </c>
      <c r="CB417" s="448" t="str">
        <f>_xlfn.IFNA(VLOOKUP($BK417,Programma!$F$3:$W$1101,18,0),"")</f>
        <v/>
      </c>
      <c r="CC417" s="448" t="str">
        <f>_xlfn.IFNA(VLOOKUP($BK417,Programma!$F$3:$X$1101,19,0),"")</f>
        <v/>
      </c>
      <c r="CD417" s="448" t="str">
        <f>_xlfn.IFNA(VLOOKUP($BK417,Programma!$F$3:$Y$1101,20,0),"")</f>
        <v/>
      </c>
      <c r="CE417" s="327"/>
      <c r="CF417" s="327"/>
      <c r="CG417" s="327"/>
      <c r="CH417" s="327"/>
      <c r="CI417" s="327"/>
      <c r="CJ417" s="327"/>
      <c r="CK417" s="327"/>
      <c r="CL417" s="327"/>
      <c r="CM417" s="327"/>
      <c r="CN417" s="327"/>
      <c r="CO417" s="327"/>
      <c r="CP417" s="327"/>
      <c r="CQ417" s="327"/>
      <c r="CR417" s="327"/>
      <c r="CS417" s="327"/>
      <c r="CT417" s="327"/>
      <c r="CU417" s="327"/>
      <c r="CV417" s="327"/>
      <c r="CW417" s="327"/>
      <c r="CX417" s="327"/>
      <c r="CY417" s="327"/>
      <c r="CZ417" s="327"/>
      <c r="DA417" s="327"/>
      <c r="DB417" s="327"/>
      <c r="DC417" s="327"/>
      <c r="DD417" s="327"/>
      <c r="DE417" s="327"/>
      <c r="DF417" s="327"/>
      <c r="DG417" s="327"/>
      <c r="DH417" s="327"/>
      <c r="DI417" s="327"/>
      <c r="DJ417" s="327"/>
      <c r="DK417" s="327"/>
      <c r="DL417" s="327"/>
      <c r="DM417" s="327"/>
      <c r="DN417" s="327"/>
      <c r="DO417" s="327"/>
      <c r="DP417" s="327"/>
      <c r="DQ417" s="327"/>
      <c r="DR417" s="327"/>
      <c r="DS417" s="327"/>
      <c r="DT417" s="327"/>
      <c r="DU417" s="327"/>
      <c r="DV417" s="327"/>
      <c r="DW417" s="327"/>
      <c r="DX417" s="327"/>
      <c r="DY417" s="327"/>
      <c r="DZ417" s="327"/>
      <c r="EA417" s="327"/>
      <c r="EB417" s="327"/>
      <c r="EC417" s="327"/>
      <c r="ED417" s="327"/>
      <c r="EE417" s="327"/>
      <c r="EF417" s="327"/>
      <c r="EG417" s="327"/>
      <c r="EH417" s="327"/>
      <c r="EI417" s="327"/>
      <c r="EJ417" s="327"/>
      <c r="EK417" s="327"/>
      <c r="EL417" s="327"/>
      <c r="EM417" s="327"/>
      <c r="EN417" s="327"/>
      <c r="EO417" s="327"/>
      <c r="EP417" s="327"/>
      <c r="EQ417" s="327"/>
      <c r="ER417" s="327"/>
      <c r="ES417" s="327"/>
      <c r="ET417" s="327"/>
      <c r="EU417" s="327"/>
      <c r="EV417" s="327"/>
      <c r="EW417" s="327"/>
      <c r="EX417" s="327"/>
      <c r="EY417" s="327"/>
      <c r="EZ417" s="327"/>
      <c r="FA417" s="327"/>
      <c r="FB417" s="327"/>
      <c r="FC417" s="327"/>
      <c r="FD417" s="327"/>
      <c r="FE417" s="327"/>
      <c r="FF417" s="327"/>
      <c r="FG417" s="327"/>
      <c r="FH417" s="327"/>
      <c r="FI417" s="327"/>
      <c r="FJ417" s="327"/>
      <c r="FK417" s="327"/>
      <c r="FL417" s="327"/>
      <c r="FM417" s="327"/>
      <c r="FN417" s="327"/>
      <c r="FO417" s="327"/>
      <c r="FP417" s="327"/>
      <c r="FQ417" s="327"/>
      <c r="FR417" s="327"/>
      <c r="FS417" s="327"/>
      <c r="FT417" s="327"/>
      <c r="FU417" s="327"/>
      <c r="FV417" s="327"/>
      <c r="FW417" s="327"/>
      <c r="FX417" s="327"/>
      <c r="FY417" s="327"/>
      <c r="FZ417" s="327"/>
      <c r="GA417" s="327"/>
      <c r="GB417" s="327"/>
      <c r="GC417" s="327"/>
      <c r="GD417" s="327"/>
      <c r="GE417" s="327"/>
      <c r="GF417" s="327"/>
      <c r="GG417" s="327"/>
      <c r="GH417" s="327"/>
      <c r="GI417" s="327"/>
      <c r="GJ417" s="327"/>
      <c r="GK417" s="327"/>
      <c r="GL417" s="327"/>
      <c r="GM417" s="327"/>
      <c r="GN417" s="327"/>
      <c r="GO417" s="327"/>
      <c r="GP417" s="327"/>
      <c r="GQ417" s="327"/>
      <c r="GR417" s="327"/>
      <c r="GS417" s="327"/>
      <c r="GT417" s="327"/>
      <c r="GU417" s="327"/>
      <c r="GV417" s="327"/>
      <c r="GW417" s="327"/>
      <c r="GX417" s="327"/>
      <c r="GY417" s="327"/>
      <c r="GZ417" s="327"/>
      <c r="HA417" s="327"/>
      <c r="HB417" s="327"/>
      <c r="HC417" s="327"/>
      <c r="HD417" s="327"/>
      <c r="HE417" s="327"/>
      <c r="HF417" s="327"/>
      <c r="HG417" s="327"/>
      <c r="HH417" s="327"/>
      <c r="HI417" s="327"/>
      <c r="HJ417" s="327"/>
      <c r="HK417" s="327"/>
      <c r="HL417" s="327"/>
      <c r="HM417" s="327"/>
      <c r="HN417" s="327"/>
      <c r="HO417" s="327"/>
      <c r="HP417" s="327"/>
      <c r="HQ417" s="327"/>
      <c r="HR417" s="327"/>
      <c r="HS417" s="327"/>
    </row>
    <row r="418" spans="1:227" ht="15" customHeight="1">
      <c r="A418" s="327">
        <v>17</v>
      </c>
      <c r="B418" s="435" t="str">
        <f>VLOOKUP(Ruimtestaat[[#This Row],[Code]],Locaties[[Code]:[Locatie]],2,FALSE)</f>
        <v>IKC de Tjalk Kadelaan 208 (bijgebouw)</v>
      </c>
      <c r="C418" s="435" t="str">
        <f>VLOOKUP(Ruimtestaat[[#This Row],[Code]],Locaties[[#All],[Code]:[Adres]],4,FALSE)</f>
        <v>Kadelaan 208</v>
      </c>
      <c r="D418" s="435" t="str">
        <f>VLOOKUP(Ruimtestaat[[#This Row],[Code]],Locaties[[#All],[Code]:[Postcode]],5,FALSE)</f>
        <v>2725 BR</v>
      </c>
      <c r="E418" s="435" t="str">
        <f>VLOOKUP(Ruimtestaat[[#This Row],[Code]],Locaties[#All],6,FALSE)</f>
        <v>Zoetermeer</v>
      </c>
      <c r="F418" s="450"/>
      <c r="G418" s="330" t="s">
        <v>1678</v>
      </c>
      <c r="H418" s="330">
        <v>41</v>
      </c>
      <c r="I418" s="450" t="s">
        <v>1720</v>
      </c>
      <c r="J418" s="330">
        <v>5</v>
      </c>
      <c r="K418" s="450" t="str">
        <f>VLOOKUP(Ruimtestaat[[#This Row],[Ruimte code]],Ruimtegroepen[[#All],[Code]:[Ruimte omschrijving]],2,FALSE)</f>
        <v>Sanitair</v>
      </c>
      <c r="L418" s="330" t="s">
        <v>101</v>
      </c>
      <c r="M418" s="437" t="s">
        <v>1816</v>
      </c>
      <c r="N418" s="439">
        <v>4.49</v>
      </c>
      <c r="O418" s="439"/>
      <c r="P418" s="439"/>
      <c r="Q418" s="439"/>
      <c r="R418" s="440" t="str">
        <f>VLOOKUP(Ruimtestaat[[#This Row],[Ruimte code]],Ruimtegroepen[],4,FALSE)</f>
        <v>Sa</v>
      </c>
      <c r="S418" s="434">
        <v>41</v>
      </c>
      <c r="T418" s="434" t="s">
        <v>2</v>
      </c>
      <c r="U418" s="434">
        <f>IF(S418&gt;0,IF(RIGHT(Ruimtestaat[[#This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18" s="434">
        <f>IF(U418&gt;0,VLOOKUP($J418,Ruimtegroepen[],3,FALSE)*VLOOKUP($L418,Vloersoorten[],3,FALSE)*VLOOKUP($T418,Frequenties[],3,FALSE)*VLOOKUP($A418,Locaties[],3,FALSE),0)</f>
        <v>0</v>
      </c>
      <c r="W418" s="434">
        <f>Ruimtestaat[[#This Row],[Uitvoeringen werkdagen]]*Ruimtestaat[[#This Row],[Oppervlak (netto)]]</f>
        <v>920.45</v>
      </c>
      <c r="X418" s="441">
        <f>IF(V418&gt;0,Ruimtestaat[[#This Row],[Prest. (m2 /jaar) werkdagen]]/Ruimtestaat[[#This Row],[Norm (m2/uur) werkdagen]],0)</f>
        <v>0</v>
      </c>
      <c r="Y418" s="442">
        <f>Ruimtestaat[[#This Row],[Uitvoeringen werkdagen]]*Ruimtestaat[[#This Row],[Gedeeltelijk]]</f>
        <v>0</v>
      </c>
      <c r="Z418" s="443" t="e">
        <f>IF(U418&gt;0,Ruimtestaat[[#This Row],[Prest. (m2 / jaar) werkdagen gedeeld]]/Ruimtestaat[[#This Row],[Norm (m2/uur) werkdagen]],0)</f>
        <v>#DIV/0!</v>
      </c>
      <c r="AA418" s="441" t="e">
        <f>Ruimtestaat[[#This Row],[uren / jaar werkdagen gedeeld]]*Tariefsopbouw!$E$35</f>
        <v>#DIV/0!</v>
      </c>
      <c r="AB418" s="441">
        <f>Ruimtestaat[[#This Row],[Uitvoeringen werkdagen]]*Ruimtestaat[[#This Row],[BSO]]</f>
        <v>0</v>
      </c>
      <c r="AC418" s="443" t="e">
        <f>IF(U418&gt;0,Ruimtestaat[[#This Row],[Prest. (m2 / jaar) werkdagen BSO]]/Ruimtestaat[[#This Row],[Norm (m2/uur) werkdagen]],0)</f>
        <v>#DIV/0!</v>
      </c>
      <c r="AD418" s="443" t="e">
        <f>Ruimtestaat[[#This Row],[uren / jaar werkdagen BSO]]*Tariefsopbouw!$E$35</f>
        <v>#DIV/0!</v>
      </c>
      <c r="AE418" s="444">
        <f>Ruimtestaat[[#This Row],[uren / jaar werkdagen]]*Tariefsopbouw!$E$35</f>
        <v>0</v>
      </c>
      <c r="AF418" s="434"/>
      <c r="AG418" s="434">
        <f>IF(Ruimtestaat[[#This Row],[Frequentie weekend]]&gt;0,VALUE(LEFT(AF418,1))*S418,0)</f>
        <v>0</v>
      </c>
      <c r="AH418" s="445">
        <f>IF($AG418&gt;0,VLOOKUP($J418,Ruimtegroepen[],3,FALSE)*VLOOKUP($L418,Vloersoorten[],3,FALSE)*VLOOKUP($AF418,Frequenties[],3,FALSE)*VLOOKUP(Ruimtestaat[[#This Row],[Code]],Locaties[],3,FALSE),0)</f>
        <v>0</v>
      </c>
      <c r="AI418" s="445">
        <f>Ruimtestaat[[#This Row],[Uitvoeringen weekend]]*Ruimtestaat[[#This Row],[Oppervlak (netto)]]</f>
        <v>0</v>
      </c>
      <c r="AJ418" s="445">
        <f>IF(AH418&gt;0,Ruimtestaat[[#This Row],[Prest. (m2 /jaar) weekend]]/Ruimtestaat[[#This Row],[Norm (m2/uur) weekend]],0)</f>
        <v>0</v>
      </c>
      <c r="AK418" s="444">
        <f>Ruimtestaat[[#This Row],[uren / jaar weekend]]*Tariefsopbouw!$D$40</f>
        <v>0</v>
      </c>
      <c r="AL418" s="441">
        <f>Ruimtestaat[[#This Row],[Prest. (m2 /jaar) weekend]]+Ruimtestaat[[#This Row],[Prest. (m2 /jaar) werkdagen]]</f>
        <v>920.45</v>
      </c>
      <c r="AM418" s="441">
        <f>Ruimtestaat[[#This Row],[uren / jaar weekend]]+Ruimtestaat[[#This Row],[uren / jaar werkdagen]]</f>
        <v>0</v>
      </c>
      <c r="AN418" s="446">
        <f>Ruimtestaat[[#This Row],[kosten / jaar weekend]]+Ruimtestaat[[#This Row],[kosten / jaar werkdagen]]</f>
        <v>0</v>
      </c>
      <c r="AO418" s="446"/>
      <c r="AP418" s="447" t="str">
        <f>IF(Ruimtestaat[[#This Row],[Frequentie werkdagen]]="","",_xlfn.CONCAT(Ruimtestaat[[#This Row],[Ruimte code]],"-",Ruimtestaat[[#This Row],[Frequentie werkdagen]]," ",Ruimtestaat[[#This Row],[Vloer code]]))</f>
        <v>5-5w S</v>
      </c>
      <c r="AQ418" s="448" t="str">
        <f>_xlfn.IFNA(VLOOKUP($AP418,Programma!$F$3:$G$1101,2,0),"")</f>
        <v>_</v>
      </c>
      <c r="AR418" s="448" t="str">
        <f>_xlfn.IFNA(VLOOKUP($AP418,Programma!$F$3:$H$1101,3,0),"")</f>
        <v>_</v>
      </c>
      <c r="AS418" s="448" t="str">
        <f>_xlfn.IFNA(VLOOKUP($AP418,Programma!$F$3:$I$1101,4,0),"")</f>
        <v>_</v>
      </c>
      <c r="AT418" s="448" t="str">
        <f>_xlfn.IFNA(VLOOKUP($AP418,Programma!$F$3:$J$1101,5,0),"")</f>
        <v>4w</v>
      </c>
      <c r="AU418" s="448" t="str">
        <f>_xlfn.IFNA(VLOOKUP($AP418,Programma!$F$3:$K$1101,6,0),"")</f>
        <v>1w</v>
      </c>
      <c r="AV418" s="448" t="str">
        <f>_xlfn.IFNA(VLOOKUP($AP418,Programma!$F$3:$L$1101,7,0),"")</f>
        <v>_</v>
      </c>
      <c r="AW418" s="448" t="str">
        <f>_xlfn.IFNA(VLOOKUP($AP418,Programma!$F$3:$M$1101,8,0),"")</f>
        <v>_</v>
      </c>
      <c r="AX418" s="448" t="str">
        <f>_xlfn.IFNA(VLOOKUP($AP418,Programma!$F$3:$N$1101,9,0),"")</f>
        <v>_</v>
      </c>
      <c r="AY418" s="448" t="str">
        <f>_xlfn.IFNA(VLOOKUP($AP418,Programma!$F$3:$O$1101,10,0),"")</f>
        <v>_</v>
      </c>
      <c r="AZ418" s="448" t="str">
        <f>_xlfn.IFNA(VLOOKUP($AP418,Programma!$F$3:$P$1101,11,0),"")</f>
        <v>_</v>
      </c>
      <c r="BA418" s="448" t="str">
        <f>_xlfn.IFNA(VLOOKUP($AP418,Programma!$F$3:$Q$1101,12,0),"")</f>
        <v>_</v>
      </c>
      <c r="BB418" s="448" t="str">
        <f>_xlfn.IFNA(VLOOKUP($AP418,Programma!$F$3:$R$1101,13,0),"")</f>
        <v>_</v>
      </c>
      <c r="BC418" s="448" t="str">
        <f>_xlfn.IFNA(VLOOKUP($AP418,Programma!$F$3:$S$1101,14,0),"")</f>
        <v>_</v>
      </c>
      <c r="BD418" s="448" t="str">
        <f>_xlfn.IFNA(VLOOKUP($AP418,Programma!$F$3:$T$1101,15,0),"")</f>
        <v>_</v>
      </c>
      <c r="BE418" s="448" t="str">
        <f>_xlfn.IFNA(VLOOKUP($AP418,Programma!$F$3:$U$1101,16,0),"")</f>
        <v>_</v>
      </c>
      <c r="BF418" s="448" t="str">
        <f>_xlfn.IFNA(VLOOKUP($AP418,Programma!$F$3:$V$1101,17,0),"")</f>
        <v>_</v>
      </c>
      <c r="BG418" s="448" t="str">
        <f>_xlfn.IFNA(VLOOKUP($AP418,Programma!$F$3:$W$1101,18,0),"")</f>
        <v>4w</v>
      </c>
      <c r="BH418" s="448" t="str">
        <f>_xlfn.IFNA(VLOOKUP($AP418,Programma!$F$3:$X$1101,19,0),"")</f>
        <v>1w</v>
      </c>
      <c r="BI418" s="448" t="str">
        <f>_xlfn.IFNA(VLOOKUP($AP418,Programma!$F$3:$Y$1101,20,0),"")</f>
        <v>_</v>
      </c>
      <c r="BJ418" s="449"/>
      <c r="BK418" s="447" t="str">
        <f>IF(Ruimtestaat[[#This Row],[Frequentie weekend]]="","",_xlfn.CONCAT(Ruimtestaat[[#This Row],[Ruimte code]],"-",Ruimtestaat[[#This Row],[Frequentie weekend]]," ",Ruimtestaat[[#This Row],[Vloer code]]))</f>
        <v/>
      </c>
      <c r="BL418" s="448" t="str">
        <f>_xlfn.IFNA(VLOOKUP($BK418,Programma!$F$3:$G$1101,2,0),"")</f>
        <v/>
      </c>
      <c r="BM418" s="448" t="str">
        <f>_xlfn.IFNA(VLOOKUP($BK418,Programma!$F$3:$H$1101,3,0),"")</f>
        <v/>
      </c>
      <c r="BN418" s="448" t="str">
        <f>_xlfn.IFNA(VLOOKUP($BK418,Programma!$F$3:$I$1101,4,0),"")</f>
        <v/>
      </c>
      <c r="BO418" s="448" t="str">
        <f>_xlfn.IFNA(VLOOKUP($BK418,Programma!$F$3:$J$1101,5,0),"")</f>
        <v/>
      </c>
      <c r="BP418" s="448" t="str">
        <f>_xlfn.IFNA(VLOOKUP($BK418,Programma!$F$3:$K$1101,6,0),"")</f>
        <v/>
      </c>
      <c r="BQ418" s="448" t="str">
        <f>_xlfn.IFNA(VLOOKUP($BK418,Programma!$F$3:$L$1101,7,0),"")</f>
        <v/>
      </c>
      <c r="BR418" s="448" t="str">
        <f>_xlfn.IFNA(VLOOKUP($BK418,Programma!$F$3:$M$1101,8,0),"")</f>
        <v/>
      </c>
      <c r="BS418" s="448" t="str">
        <f>_xlfn.IFNA(VLOOKUP($BK418,Programma!$F$3:$N$1101,9,0),"")</f>
        <v/>
      </c>
      <c r="BT418" s="448" t="str">
        <f>_xlfn.IFNA(VLOOKUP($BK418,Programma!$F$3:$O$1101,10,0),"")</f>
        <v/>
      </c>
      <c r="BU418" s="448" t="str">
        <f>_xlfn.IFNA(VLOOKUP($BK418,Programma!$F$3:$P$1101,11,0),"")</f>
        <v/>
      </c>
      <c r="BV418" s="448" t="str">
        <f>_xlfn.IFNA(VLOOKUP($BK418,Programma!$F$3:$Q$1101,12,0),"")</f>
        <v/>
      </c>
      <c r="BW418" s="448" t="str">
        <f>_xlfn.IFNA(VLOOKUP($BK418,Programma!$F$3:$R$1101,13,0),"")</f>
        <v/>
      </c>
      <c r="BX418" s="448" t="str">
        <f>_xlfn.IFNA(VLOOKUP($BK418,Programma!$F$3:$S$1101,14,0),"")</f>
        <v/>
      </c>
      <c r="BY418" s="448" t="str">
        <f>_xlfn.IFNA(VLOOKUP($BK418,Programma!$F$3:$T$1101,15,0),"")</f>
        <v/>
      </c>
      <c r="BZ418" s="448" t="str">
        <f>_xlfn.IFNA(VLOOKUP($BK418,Programma!$F$3:$U$1101,16,0),"")</f>
        <v/>
      </c>
      <c r="CA418" s="448" t="str">
        <f>_xlfn.IFNA(VLOOKUP($BK418,Programma!$F$3:$V$1101,17,0),"")</f>
        <v/>
      </c>
      <c r="CB418" s="448" t="str">
        <f>_xlfn.IFNA(VLOOKUP($BK418,Programma!$F$3:$W$1101,18,0),"")</f>
        <v/>
      </c>
      <c r="CC418" s="448" t="str">
        <f>_xlfn.IFNA(VLOOKUP($BK418,Programma!$F$3:$X$1101,19,0),"")</f>
        <v/>
      </c>
      <c r="CD418" s="448" t="str">
        <f>_xlfn.IFNA(VLOOKUP($BK418,Programma!$F$3:$Y$1101,20,0),"")</f>
        <v/>
      </c>
      <c r="CE418" s="327"/>
      <c r="CF418" s="327"/>
      <c r="CG418" s="327"/>
      <c r="CH418" s="327"/>
      <c r="CI418" s="327"/>
      <c r="CJ418" s="327"/>
      <c r="CK418" s="327"/>
      <c r="CL418" s="327"/>
      <c r="CM418" s="327"/>
      <c r="CN418" s="327"/>
      <c r="CO418" s="327"/>
      <c r="CP418" s="327"/>
      <c r="CQ418" s="327"/>
      <c r="CR418" s="327"/>
      <c r="CS418" s="327"/>
      <c r="CT418" s="327"/>
      <c r="CU418" s="327"/>
      <c r="CV418" s="327"/>
      <c r="CW418" s="327"/>
      <c r="CX418" s="327"/>
      <c r="CY418" s="327"/>
      <c r="CZ418" s="327"/>
      <c r="DA418" s="327"/>
      <c r="DB418" s="327"/>
      <c r="DC418" s="327"/>
      <c r="DD418" s="327"/>
      <c r="DE418" s="327"/>
      <c r="DF418" s="327"/>
      <c r="DG418" s="327"/>
      <c r="DH418" s="327"/>
      <c r="DI418" s="327"/>
      <c r="DJ418" s="327"/>
      <c r="DK418" s="327"/>
      <c r="DL418" s="327"/>
      <c r="DM418" s="327"/>
      <c r="DN418" s="327"/>
      <c r="DO418" s="327"/>
      <c r="DP418" s="327"/>
      <c r="DQ418" s="327"/>
      <c r="DR418" s="327"/>
      <c r="DS418" s="327"/>
      <c r="DT418" s="327"/>
      <c r="DU418" s="327"/>
      <c r="DV418" s="327"/>
      <c r="DW418" s="327"/>
      <c r="DX418" s="327"/>
      <c r="DY418" s="327"/>
      <c r="DZ418" s="327"/>
      <c r="EA418" s="327"/>
      <c r="EB418" s="327"/>
      <c r="EC418" s="327"/>
      <c r="ED418" s="327"/>
      <c r="EE418" s="327"/>
      <c r="EF418" s="327"/>
      <c r="EG418" s="327"/>
      <c r="EH418" s="327"/>
      <c r="EI418" s="327"/>
      <c r="EJ418" s="327"/>
      <c r="EK418" s="327"/>
      <c r="EL418" s="327"/>
      <c r="EM418" s="327"/>
      <c r="EN418" s="327"/>
      <c r="EO418" s="327"/>
      <c r="EP418" s="327"/>
      <c r="EQ418" s="327"/>
      <c r="ER418" s="327"/>
      <c r="ES418" s="327"/>
      <c r="ET418" s="327"/>
      <c r="EU418" s="327"/>
      <c r="EV418" s="327"/>
      <c r="EW418" s="327"/>
      <c r="EX418" s="327"/>
      <c r="EY418" s="327"/>
      <c r="EZ418" s="327"/>
      <c r="FA418" s="327"/>
      <c r="FB418" s="327"/>
      <c r="FC418" s="327"/>
      <c r="FD418" s="327"/>
      <c r="FE418" s="327"/>
      <c r="FF418" s="327"/>
      <c r="FG418" s="327"/>
      <c r="FH418" s="327"/>
      <c r="FI418" s="327"/>
      <c r="FJ418" s="327"/>
      <c r="FK418" s="327"/>
      <c r="FL418" s="327"/>
      <c r="FM418" s="327"/>
      <c r="FN418" s="327"/>
      <c r="FO418" s="327"/>
      <c r="FP418" s="327"/>
      <c r="FQ418" s="327"/>
      <c r="FR418" s="327"/>
      <c r="FS418" s="327"/>
      <c r="FT418" s="327"/>
      <c r="FU418" s="327"/>
      <c r="FV418" s="327"/>
      <c r="FW418" s="327"/>
      <c r="FX418" s="327"/>
      <c r="FY418" s="327"/>
      <c r="FZ418" s="327"/>
      <c r="GA418" s="327"/>
      <c r="GB418" s="327"/>
      <c r="GC418" s="327"/>
      <c r="GD418" s="327"/>
      <c r="GE418" s="327"/>
      <c r="GF418" s="327"/>
      <c r="GG418" s="327"/>
      <c r="GH418" s="327"/>
      <c r="GI418" s="327"/>
      <c r="GJ418" s="327"/>
      <c r="GK418" s="327"/>
      <c r="GL418" s="327"/>
      <c r="GM418" s="327"/>
      <c r="GN418" s="327"/>
      <c r="GO418" s="327"/>
      <c r="GP418" s="327"/>
      <c r="GQ418" s="327"/>
      <c r="GR418" s="327"/>
      <c r="GS418" s="327"/>
      <c r="GT418" s="327"/>
      <c r="GU418" s="327"/>
      <c r="GV418" s="327"/>
      <c r="GW418" s="327"/>
      <c r="GX418" s="327"/>
      <c r="GY418" s="327"/>
      <c r="GZ418" s="327"/>
      <c r="HA418" s="327"/>
      <c r="HB418" s="327"/>
      <c r="HC418" s="327"/>
      <c r="HD418" s="327"/>
      <c r="HE418" s="327"/>
      <c r="HF418" s="327"/>
      <c r="HG418" s="327"/>
      <c r="HH418" s="327"/>
      <c r="HI418" s="327"/>
      <c r="HJ418" s="327"/>
      <c r="HK418" s="327"/>
      <c r="HL418" s="327"/>
      <c r="HM418" s="327"/>
      <c r="HN418" s="327"/>
      <c r="HO418" s="327"/>
      <c r="HP418" s="327"/>
      <c r="HQ418" s="327"/>
      <c r="HR418" s="327"/>
      <c r="HS418" s="327"/>
    </row>
    <row r="419" spans="1:227" ht="15" customHeight="1">
      <c r="A419" s="327">
        <v>17</v>
      </c>
      <c r="B419" s="435" t="str">
        <f>VLOOKUP(Ruimtestaat[[#This Row],[Code]],Locaties[[Code]:[Locatie]],2,FALSE)</f>
        <v>IKC de Tjalk Kadelaan 208 (bijgebouw)</v>
      </c>
      <c r="C419" s="435" t="str">
        <f>VLOOKUP(Ruimtestaat[[#This Row],[Code]],Locaties[[#All],[Code]:[Adres]],4,FALSE)</f>
        <v>Kadelaan 208</v>
      </c>
      <c r="D419" s="435" t="str">
        <f>VLOOKUP(Ruimtestaat[[#This Row],[Code]],Locaties[[#All],[Code]:[Postcode]],5,FALSE)</f>
        <v>2725 BR</v>
      </c>
      <c r="E419" s="435" t="str">
        <f>VLOOKUP(Ruimtestaat[[#This Row],[Code]],Locaties[#All],6,FALSE)</f>
        <v>Zoetermeer</v>
      </c>
      <c r="F419" s="450"/>
      <c r="G419" s="330" t="s">
        <v>1678</v>
      </c>
      <c r="H419" s="330">
        <v>74</v>
      </c>
      <c r="I419" s="450" t="s">
        <v>1855</v>
      </c>
      <c r="J419" s="330">
        <v>16</v>
      </c>
      <c r="K419" s="450" t="str">
        <f>VLOOKUP(Ruimtestaat[[#This Row],[Ruimte code]],Ruimtegroepen[[#All],[Code]:[Ruimte omschrijving]],2,FALSE)</f>
        <v>Leslokalen</v>
      </c>
      <c r="L419" s="330" t="s">
        <v>101</v>
      </c>
      <c r="M419" s="437" t="s">
        <v>1816</v>
      </c>
      <c r="N419" s="439">
        <v>47.17</v>
      </c>
      <c r="O419" s="439"/>
      <c r="P419" s="439"/>
      <c r="Q419" s="439"/>
      <c r="R419" s="440" t="str">
        <f>VLOOKUP(Ruimtestaat[[#This Row],[Ruimte code]],Ruimtegroepen[],4,FALSE)</f>
        <v>Le</v>
      </c>
      <c r="S419" s="434">
        <v>40</v>
      </c>
      <c r="T419" s="434" t="s">
        <v>2</v>
      </c>
      <c r="U419" s="434">
        <f>IF(S419&gt;0,IF(RIGHT(Ruimtestaat[[#This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9" s="434">
        <f>IF(U419&gt;0,VLOOKUP($J419,Ruimtegroepen[],3,FALSE)*VLOOKUP($L419,Vloersoorten[],3,FALSE)*VLOOKUP($T419,Frequenties[],3,FALSE)*VLOOKUP($A419,Locaties[],3,FALSE),0)</f>
        <v>0</v>
      </c>
      <c r="W419" s="434">
        <f>Ruimtestaat[[#This Row],[Uitvoeringen werkdagen]]*Ruimtestaat[[#This Row],[Oppervlak (netto)]]</f>
        <v>9434</v>
      </c>
      <c r="X419" s="441">
        <f>IF(V419&gt;0,Ruimtestaat[[#This Row],[Prest. (m2 /jaar) werkdagen]]/Ruimtestaat[[#This Row],[Norm (m2/uur) werkdagen]],0)</f>
        <v>0</v>
      </c>
      <c r="Y419" s="442">
        <f>Ruimtestaat[[#This Row],[Uitvoeringen werkdagen]]*Ruimtestaat[[#This Row],[Gedeeltelijk]]</f>
        <v>0</v>
      </c>
      <c r="Z419" s="443" t="e">
        <f>IF(U419&gt;0,Ruimtestaat[[#This Row],[Prest. (m2 / jaar) werkdagen gedeeld]]/Ruimtestaat[[#This Row],[Norm (m2/uur) werkdagen]],0)</f>
        <v>#DIV/0!</v>
      </c>
      <c r="AA419" s="441" t="e">
        <f>Ruimtestaat[[#This Row],[uren / jaar werkdagen gedeeld]]*Tariefsopbouw!$E$35</f>
        <v>#DIV/0!</v>
      </c>
      <c r="AB419" s="441">
        <f>Ruimtestaat[[#This Row],[Uitvoeringen werkdagen]]*Ruimtestaat[[#This Row],[BSO]]</f>
        <v>0</v>
      </c>
      <c r="AC419" s="443" t="e">
        <f>IF(U419&gt;0,Ruimtestaat[[#This Row],[Prest. (m2 / jaar) werkdagen BSO]]/Ruimtestaat[[#This Row],[Norm (m2/uur) werkdagen]],0)</f>
        <v>#DIV/0!</v>
      </c>
      <c r="AD419" s="443" t="e">
        <f>Ruimtestaat[[#This Row],[uren / jaar werkdagen BSO]]*Tariefsopbouw!$E$35</f>
        <v>#DIV/0!</v>
      </c>
      <c r="AE419" s="444">
        <f>Ruimtestaat[[#This Row],[uren / jaar werkdagen]]*Tariefsopbouw!$E$35</f>
        <v>0</v>
      </c>
      <c r="AF419" s="434"/>
      <c r="AG419" s="434">
        <f>IF(Ruimtestaat[[#This Row],[Frequentie weekend]]&gt;0,VALUE(LEFT(AF419,1))*S419,0)</f>
        <v>0</v>
      </c>
      <c r="AH419" s="445">
        <f>IF($AG419&gt;0,VLOOKUP($J419,Ruimtegroepen[],3,FALSE)*VLOOKUP($L419,Vloersoorten[],3,FALSE)*VLOOKUP($AF419,Frequenties[],3,FALSE)*VLOOKUP(Ruimtestaat[[#This Row],[Code]],Locaties[],3,FALSE),0)</f>
        <v>0</v>
      </c>
      <c r="AI419" s="445">
        <f>Ruimtestaat[[#This Row],[Uitvoeringen weekend]]*Ruimtestaat[[#This Row],[Oppervlak (netto)]]</f>
        <v>0</v>
      </c>
      <c r="AJ419" s="445">
        <f>IF(AH419&gt;0,Ruimtestaat[[#This Row],[Prest. (m2 /jaar) weekend]]/Ruimtestaat[[#This Row],[Norm (m2/uur) weekend]],0)</f>
        <v>0</v>
      </c>
      <c r="AK419" s="444">
        <f>Ruimtestaat[[#This Row],[uren / jaar weekend]]*Tariefsopbouw!$D$40</f>
        <v>0</v>
      </c>
      <c r="AL419" s="441">
        <f>Ruimtestaat[[#This Row],[Prest. (m2 /jaar) weekend]]+Ruimtestaat[[#This Row],[Prest. (m2 /jaar) werkdagen]]</f>
        <v>9434</v>
      </c>
      <c r="AM419" s="441">
        <f>Ruimtestaat[[#This Row],[uren / jaar weekend]]+Ruimtestaat[[#This Row],[uren / jaar werkdagen]]</f>
        <v>0</v>
      </c>
      <c r="AN419" s="446">
        <f>Ruimtestaat[[#This Row],[kosten / jaar weekend]]+Ruimtestaat[[#This Row],[kosten / jaar werkdagen]]</f>
        <v>0</v>
      </c>
      <c r="AO419" s="446"/>
      <c r="AP419" s="447" t="str">
        <f>IF(Ruimtestaat[[#This Row],[Frequentie werkdagen]]="","",_xlfn.CONCAT(Ruimtestaat[[#This Row],[Ruimte code]],"-",Ruimtestaat[[#This Row],[Frequentie werkdagen]]," ",Ruimtestaat[[#This Row],[Vloer code]]))</f>
        <v>16-5w S</v>
      </c>
      <c r="AQ419" s="448" t="str">
        <f>_xlfn.IFNA(VLOOKUP($AP419,Programma!$F$3:$G$1101,2,0),"")</f>
        <v>_</v>
      </c>
      <c r="AR419" s="448" t="str">
        <f>_xlfn.IFNA(VLOOKUP($AP419,Programma!$F$3:$H$1101,3,0),"")</f>
        <v>_</v>
      </c>
      <c r="AS419" s="448" t="str">
        <f>_xlfn.IFNA(VLOOKUP($AP419,Programma!$F$3:$I$1101,4,0),"")</f>
        <v>4w</v>
      </c>
      <c r="AT419" s="448" t="str">
        <f>_xlfn.IFNA(VLOOKUP($AP419,Programma!$F$3:$J$1101,5,0),"")</f>
        <v>1w</v>
      </c>
      <c r="AU419" s="448" t="str">
        <f>_xlfn.IFNA(VLOOKUP($AP419,Programma!$F$3:$K$1101,6,0),"")</f>
        <v>1m</v>
      </c>
      <c r="AV419" s="448" t="str">
        <f>_xlfn.IFNA(VLOOKUP($AP419,Programma!$F$3:$L$1101,7,0),"")</f>
        <v>_</v>
      </c>
      <c r="AW419" s="448" t="str">
        <f>_xlfn.IFNA(VLOOKUP($AP419,Programma!$F$3:$M$1101,8,0),"")</f>
        <v>_</v>
      </c>
      <c r="AX419" s="448" t="str">
        <f>_xlfn.IFNA(VLOOKUP($AP419,Programma!$F$3:$N$1101,9,0),"")</f>
        <v>_</v>
      </c>
      <c r="AY419" s="448" t="str">
        <f>_xlfn.IFNA(VLOOKUP($AP419,Programma!$F$3:$O$1101,10,0),"")</f>
        <v>5w</v>
      </c>
      <c r="AZ419" s="448" t="str">
        <f>_xlfn.IFNA(VLOOKUP($AP419,Programma!$F$3:$P$1101,11,0),"")</f>
        <v>5w</v>
      </c>
      <c r="BA419" s="448" t="str">
        <f>_xlfn.IFNA(VLOOKUP($AP419,Programma!$F$3:$Q$1101,12,0),"")</f>
        <v>1w</v>
      </c>
      <c r="BB419" s="448" t="str">
        <f>_xlfn.IFNA(VLOOKUP($AP419,Programma!$F$3:$R$1101,13,0),"")</f>
        <v>1w</v>
      </c>
      <c r="BC419" s="448" t="str">
        <f>_xlfn.IFNA(VLOOKUP($AP419,Programma!$F$3:$S$1101,14,0),"")</f>
        <v>1m</v>
      </c>
      <c r="BD419" s="448" t="str">
        <f>_xlfn.IFNA(VLOOKUP($AP419,Programma!$F$3:$T$1101,15,0),"")</f>
        <v>2j</v>
      </c>
      <c r="BE419" s="448" t="str">
        <f>_xlfn.IFNA(VLOOKUP($AP419,Programma!$F$3:$U$1101,16,0),"")</f>
        <v>1j</v>
      </c>
      <c r="BF419" s="448" t="str">
        <f>_xlfn.IFNA(VLOOKUP($AP419,Programma!$F$3:$V$1101,17,0),"")</f>
        <v>_</v>
      </c>
      <c r="BG419" s="448" t="str">
        <f>_xlfn.IFNA(VLOOKUP($AP419,Programma!$F$3:$W$1101,18,0),"")</f>
        <v>_</v>
      </c>
      <c r="BH419" s="448" t="str">
        <f>_xlfn.IFNA(VLOOKUP($AP419,Programma!$F$3:$X$1101,19,0),"")</f>
        <v>_</v>
      </c>
      <c r="BI419" s="448" t="str">
        <f>_xlfn.IFNA(VLOOKUP($AP419,Programma!$F$3:$Y$1101,20,0),"")</f>
        <v>_</v>
      </c>
      <c r="BJ419" s="449"/>
      <c r="BK419" s="447" t="str">
        <f>IF(Ruimtestaat[[#This Row],[Frequentie weekend]]="","",_xlfn.CONCAT(Ruimtestaat[[#This Row],[Ruimte code]],"-",Ruimtestaat[[#This Row],[Frequentie weekend]]," ",Ruimtestaat[[#This Row],[Vloer code]]))</f>
        <v/>
      </c>
      <c r="BL419" s="448" t="str">
        <f>_xlfn.IFNA(VLOOKUP($BK419,Programma!$F$3:$G$1101,2,0),"")</f>
        <v/>
      </c>
      <c r="BM419" s="448" t="str">
        <f>_xlfn.IFNA(VLOOKUP($BK419,Programma!$F$3:$H$1101,3,0),"")</f>
        <v/>
      </c>
      <c r="BN419" s="448" t="str">
        <f>_xlfn.IFNA(VLOOKUP($BK419,Programma!$F$3:$I$1101,4,0),"")</f>
        <v/>
      </c>
      <c r="BO419" s="448" t="str">
        <f>_xlfn.IFNA(VLOOKUP($BK419,Programma!$F$3:$J$1101,5,0),"")</f>
        <v/>
      </c>
      <c r="BP419" s="448" t="str">
        <f>_xlfn.IFNA(VLOOKUP($BK419,Programma!$F$3:$K$1101,6,0),"")</f>
        <v/>
      </c>
      <c r="BQ419" s="448" t="str">
        <f>_xlfn.IFNA(VLOOKUP($BK419,Programma!$F$3:$L$1101,7,0),"")</f>
        <v/>
      </c>
      <c r="BR419" s="448" t="str">
        <f>_xlfn.IFNA(VLOOKUP($BK419,Programma!$F$3:$M$1101,8,0),"")</f>
        <v/>
      </c>
      <c r="BS419" s="448" t="str">
        <f>_xlfn.IFNA(VLOOKUP($BK419,Programma!$F$3:$N$1101,9,0),"")</f>
        <v/>
      </c>
      <c r="BT419" s="448" t="str">
        <f>_xlfn.IFNA(VLOOKUP($BK419,Programma!$F$3:$O$1101,10,0),"")</f>
        <v/>
      </c>
      <c r="BU419" s="448" t="str">
        <f>_xlfn.IFNA(VLOOKUP($BK419,Programma!$F$3:$P$1101,11,0),"")</f>
        <v/>
      </c>
      <c r="BV419" s="448" t="str">
        <f>_xlfn.IFNA(VLOOKUP($BK419,Programma!$F$3:$Q$1101,12,0),"")</f>
        <v/>
      </c>
      <c r="BW419" s="448" t="str">
        <f>_xlfn.IFNA(VLOOKUP($BK419,Programma!$F$3:$R$1101,13,0),"")</f>
        <v/>
      </c>
      <c r="BX419" s="448" t="str">
        <f>_xlfn.IFNA(VLOOKUP($BK419,Programma!$F$3:$S$1101,14,0),"")</f>
        <v/>
      </c>
      <c r="BY419" s="448" t="str">
        <f>_xlfn.IFNA(VLOOKUP($BK419,Programma!$F$3:$T$1101,15,0),"")</f>
        <v/>
      </c>
      <c r="BZ419" s="448" t="str">
        <f>_xlfn.IFNA(VLOOKUP($BK419,Programma!$F$3:$U$1101,16,0),"")</f>
        <v/>
      </c>
      <c r="CA419" s="448" t="str">
        <f>_xlfn.IFNA(VLOOKUP($BK419,Programma!$F$3:$V$1101,17,0),"")</f>
        <v/>
      </c>
      <c r="CB419" s="448" t="str">
        <f>_xlfn.IFNA(VLOOKUP($BK419,Programma!$F$3:$W$1101,18,0),"")</f>
        <v/>
      </c>
      <c r="CC419" s="448" t="str">
        <f>_xlfn.IFNA(VLOOKUP($BK419,Programma!$F$3:$X$1101,19,0),"")</f>
        <v/>
      </c>
      <c r="CD419" s="448" t="str">
        <f>_xlfn.IFNA(VLOOKUP($BK419,Programma!$F$3:$Y$1101,20,0),"")</f>
        <v/>
      </c>
      <c r="CE419" s="327"/>
      <c r="CF419" s="327"/>
      <c r="CG419" s="327"/>
      <c r="CH419" s="327"/>
      <c r="CI419" s="327"/>
      <c r="CJ419" s="327"/>
      <c r="CK419" s="327"/>
      <c r="CL419" s="327"/>
      <c r="CM419" s="327"/>
      <c r="CN419" s="327"/>
      <c r="CO419" s="327"/>
      <c r="CP419" s="327"/>
      <c r="CQ419" s="327"/>
      <c r="CR419" s="327"/>
      <c r="CS419" s="327"/>
      <c r="CT419" s="327"/>
      <c r="CU419" s="327"/>
      <c r="CV419" s="327"/>
      <c r="CW419" s="327"/>
      <c r="CX419" s="327"/>
      <c r="CY419" s="327"/>
      <c r="CZ419" s="327"/>
      <c r="DA419" s="327"/>
      <c r="DB419" s="327"/>
      <c r="DC419" s="327"/>
      <c r="DD419" s="327"/>
      <c r="DE419" s="327"/>
      <c r="DF419" s="327"/>
      <c r="DG419" s="327"/>
      <c r="DH419" s="327"/>
      <c r="DI419" s="327"/>
      <c r="DJ419" s="327"/>
      <c r="DK419" s="327"/>
      <c r="DL419" s="327"/>
      <c r="DM419" s="327"/>
      <c r="DN419" s="327"/>
      <c r="DO419" s="327"/>
      <c r="DP419" s="327"/>
      <c r="DQ419" s="327"/>
      <c r="DR419" s="327"/>
      <c r="DS419" s="327"/>
      <c r="DT419" s="327"/>
      <c r="DU419" s="327"/>
      <c r="DV419" s="327"/>
      <c r="DW419" s="327"/>
      <c r="DX419" s="327"/>
      <c r="DY419" s="327"/>
      <c r="DZ419" s="327"/>
      <c r="EA419" s="327"/>
      <c r="EB419" s="327"/>
      <c r="EC419" s="327"/>
      <c r="ED419" s="327"/>
      <c r="EE419" s="327"/>
      <c r="EF419" s="327"/>
      <c r="EG419" s="327"/>
      <c r="EH419" s="327"/>
      <c r="EI419" s="327"/>
      <c r="EJ419" s="327"/>
      <c r="EK419" s="327"/>
      <c r="EL419" s="327"/>
      <c r="EM419" s="327"/>
      <c r="EN419" s="327"/>
      <c r="EO419" s="327"/>
      <c r="EP419" s="327"/>
      <c r="EQ419" s="327"/>
      <c r="ER419" s="327"/>
      <c r="ES419" s="327"/>
      <c r="ET419" s="327"/>
      <c r="EU419" s="327"/>
      <c r="EV419" s="327"/>
      <c r="EW419" s="327"/>
      <c r="EX419" s="327"/>
      <c r="EY419" s="327"/>
      <c r="EZ419" s="327"/>
      <c r="FA419" s="327"/>
      <c r="FB419" s="327"/>
      <c r="FC419" s="327"/>
      <c r="FD419" s="327"/>
      <c r="FE419" s="327"/>
      <c r="FF419" s="327"/>
      <c r="FG419" s="327"/>
      <c r="FH419" s="327"/>
      <c r="FI419" s="327"/>
      <c r="FJ419" s="327"/>
      <c r="FK419" s="327"/>
      <c r="FL419" s="327"/>
      <c r="FM419" s="327"/>
      <c r="FN419" s="327"/>
      <c r="FO419" s="327"/>
      <c r="FP419" s="327"/>
      <c r="FQ419" s="327"/>
      <c r="FR419" s="327"/>
      <c r="FS419" s="327"/>
      <c r="FT419" s="327"/>
      <c r="FU419" s="327"/>
      <c r="FV419" s="327"/>
      <c r="FW419" s="327"/>
      <c r="FX419" s="327"/>
      <c r="FY419" s="327"/>
      <c r="FZ419" s="327"/>
      <c r="GA419" s="327"/>
      <c r="GB419" s="327"/>
      <c r="GC419" s="327"/>
      <c r="GD419" s="327"/>
      <c r="GE419" s="327"/>
      <c r="GF419" s="327"/>
      <c r="GG419" s="327"/>
      <c r="GH419" s="327"/>
      <c r="GI419" s="327"/>
      <c r="GJ419" s="327"/>
      <c r="GK419" s="327"/>
      <c r="GL419" s="327"/>
      <c r="GM419" s="327"/>
      <c r="GN419" s="327"/>
      <c r="GO419" s="327"/>
      <c r="GP419" s="327"/>
      <c r="GQ419" s="327"/>
      <c r="GR419" s="327"/>
      <c r="GS419" s="327"/>
      <c r="GT419" s="327"/>
      <c r="GU419" s="327"/>
      <c r="GV419" s="327"/>
      <c r="GW419" s="327"/>
      <c r="GX419" s="327"/>
      <c r="GY419" s="327"/>
      <c r="GZ419" s="327"/>
      <c r="HA419" s="327"/>
      <c r="HB419" s="327"/>
      <c r="HC419" s="327"/>
      <c r="HD419" s="327"/>
      <c r="HE419" s="327"/>
      <c r="HF419" s="327"/>
      <c r="HG419" s="327"/>
      <c r="HH419" s="327"/>
      <c r="HI419" s="327"/>
      <c r="HJ419" s="327"/>
      <c r="HK419" s="327"/>
      <c r="HL419" s="327"/>
      <c r="HM419" s="327"/>
      <c r="HN419" s="327"/>
      <c r="HO419" s="327"/>
      <c r="HP419" s="327"/>
      <c r="HQ419" s="327"/>
      <c r="HR419" s="327"/>
      <c r="HS419" s="327"/>
    </row>
    <row r="420" spans="1:227" ht="15" customHeight="1">
      <c r="A420" s="327">
        <v>17</v>
      </c>
      <c r="B420" s="435" t="str">
        <f>VLOOKUP(Ruimtestaat[[#This Row],[Code]],Locaties[[Code]:[Locatie]],2,FALSE)</f>
        <v>IKC de Tjalk Kadelaan 208 (bijgebouw)</v>
      </c>
      <c r="C420" s="435" t="str">
        <f>VLOOKUP(Ruimtestaat[[#This Row],[Code]],Locaties[[#All],[Code]:[Adres]],4,FALSE)</f>
        <v>Kadelaan 208</v>
      </c>
      <c r="D420" s="435" t="str">
        <f>VLOOKUP(Ruimtestaat[[#This Row],[Code]],Locaties[[#All],[Code]:[Postcode]],5,FALSE)</f>
        <v>2725 BR</v>
      </c>
      <c r="E420" s="435" t="str">
        <f>VLOOKUP(Ruimtestaat[[#This Row],[Code]],Locaties[#All],6,FALSE)</f>
        <v>Zoetermeer</v>
      </c>
      <c r="F420" s="450"/>
      <c r="G420" s="330" t="s">
        <v>1678</v>
      </c>
      <c r="H420" s="330">
        <v>79</v>
      </c>
      <c r="I420" s="450" t="s">
        <v>1856</v>
      </c>
      <c r="J420" s="330">
        <v>9</v>
      </c>
      <c r="K420" s="450" t="str">
        <f>VLOOKUP(Ruimtestaat[[#This Row],[Ruimte code]],Ruimtegroepen[[#All],[Code]:[Ruimte omschrijving]],2,FALSE)</f>
        <v>Bibliotheek/OLC</v>
      </c>
      <c r="L420" s="330" t="s">
        <v>101</v>
      </c>
      <c r="M420" s="437" t="s">
        <v>1816</v>
      </c>
      <c r="N420" s="439">
        <v>69.19</v>
      </c>
      <c r="O420" s="439"/>
      <c r="P420" s="439"/>
      <c r="Q420" s="439"/>
      <c r="R420" s="440" t="str">
        <f>VLOOKUP(Ruimtestaat[[#This Row],[Ruimte code]],Ruimtegroepen[],4,FALSE)</f>
        <v>Le</v>
      </c>
      <c r="S420" s="434">
        <v>40</v>
      </c>
      <c r="T420" s="434" t="s">
        <v>2</v>
      </c>
      <c r="U420" s="434">
        <f>IF(S420&gt;0,IF(RIGHT(Ruimtestaat[[#This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0" s="434">
        <f>IF(U420&gt;0,VLOOKUP($J420,Ruimtegroepen[],3,FALSE)*VLOOKUP($L420,Vloersoorten[],3,FALSE)*VLOOKUP($T420,Frequenties[],3,FALSE)*VLOOKUP($A420,Locaties[],3,FALSE),0)</f>
        <v>0</v>
      </c>
      <c r="W420" s="434">
        <f>Ruimtestaat[[#This Row],[Uitvoeringen werkdagen]]*Ruimtestaat[[#This Row],[Oppervlak (netto)]]</f>
        <v>13838</v>
      </c>
      <c r="X420" s="441">
        <f>IF(V420&gt;0,Ruimtestaat[[#This Row],[Prest. (m2 /jaar) werkdagen]]/Ruimtestaat[[#This Row],[Norm (m2/uur) werkdagen]],0)</f>
        <v>0</v>
      </c>
      <c r="Y420" s="442">
        <f>Ruimtestaat[[#This Row],[Uitvoeringen werkdagen]]*Ruimtestaat[[#This Row],[Gedeeltelijk]]</f>
        <v>0</v>
      </c>
      <c r="Z420" s="443" t="e">
        <f>IF(U420&gt;0,Ruimtestaat[[#This Row],[Prest. (m2 / jaar) werkdagen gedeeld]]/Ruimtestaat[[#This Row],[Norm (m2/uur) werkdagen]],0)</f>
        <v>#DIV/0!</v>
      </c>
      <c r="AA420" s="441" t="e">
        <f>Ruimtestaat[[#This Row],[uren / jaar werkdagen gedeeld]]*Tariefsopbouw!$E$35</f>
        <v>#DIV/0!</v>
      </c>
      <c r="AB420" s="441">
        <f>Ruimtestaat[[#This Row],[Uitvoeringen werkdagen]]*Ruimtestaat[[#This Row],[BSO]]</f>
        <v>0</v>
      </c>
      <c r="AC420" s="443" t="e">
        <f>IF(U420&gt;0,Ruimtestaat[[#This Row],[Prest. (m2 / jaar) werkdagen BSO]]/Ruimtestaat[[#This Row],[Norm (m2/uur) werkdagen]],0)</f>
        <v>#DIV/0!</v>
      </c>
      <c r="AD420" s="443" t="e">
        <f>Ruimtestaat[[#This Row],[uren / jaar werkdagen BSO]]*Tariefsopbouw!$E$35</f>
        <v>#DIV/0!</v>
      </c>
      <c r="AE420" s="444">
        <f>Ruimtestaat[[#This Row],[uren / jaar werkdagen]]*Tariefsopbouw!$E$35</f>
        <v>0</v>
      </c>
      <c r="AF420" s="434"/>
      <c r="AG420" s="434">
        <f>IF(Ruimtestaat[[#This Row],[Frequentie weekend]]&gt;0,VALUE(LEFT(AF420,1))*S420,0)</f>
        <v>0</v>
      </c>
      <c r="AH420" s="445">
        <f>IF($AG420&gt;0,VLOOKUP($J420,Ruimtegroepen[],3,FALSE)*VLOOKUP($L420,Vloersoorten[],3,FALSE)*VLOOKUP($AF420,Frequenties[],3,FALSE)*VLOOKUP(Ruimtestaat[[#This Row],[Code]],Locaties[],3,FALSE),0)</f>
        <v>0</v>
      </c>
      <c r="AI420" s="445">
        <f>Ruimtestaat[[#This Row],[Uitvoeringen weekend]]*Ruimtestaat[[#This Row],[Oppervlak (netto)]]</f>
        <v>0</v>
      </c>
      <c r="AJ420" s="445">
        <f>IF(AH420&gt;0,Ruimtestaat[[#This Row],[Prest. (m2 /jaar) weekend]]/Ruimtestaat[[#This Row],[Norm (m2/uur) weekend]],0)</f>
        <v>0</v>
      </c>
      <c r="AK420" s="444">
        <f>Ruimtestaat[[#This Row],[uren / jaar weekend]]*Tariefsopbouw!$D$40</f>
        <v>0</v>
      </c>
      <c r="AL420" s="441">
        <f>Ruimtestaat[[#This Row],[Prest. (m2 /jaar) weekend]]+Ruimtestaat[[#This Row],[Prest. (m2 /jaar) werkdagen]]</f>
        <v>13838</v>
      </c>
      <c r="AM420" s="441">
        <f>Ruimtestaat[[#This Row],[uren / jaar weekend]]+Ruimtestaat[[#This Row],[uren / jaar werkdagen]]</f>
        <v>0</v>
      </c>
      <c r="AN420" s="446">
        <f>Ruimtestaat[[#This Row],[kosten / jaar weekend]]+Ruimtestaat[[#This Row],[kosten / jaar werkdagen]]</f>
        <v>0</v>
      </c>
      <c r="AO420" s="446"/>
      <c r="AP420" s="447" t="str">
        <f>IF(Ruimtestaat[[#This Row],[Frequentie werkdagen]]="","",_xlfn.CONCAT(Ruimtestaat[[#This Row],[Ruimte code]],"-",Ruimtestaat[[#This Row],[Frequentie werkdagen]]," ",Ruimtestaat[[#This Row],[Vloer code]]))</f>
        <v>9-5w S</v>
      </c>
      <c r="AQ420" s="448" t="str">
        <f>_xlfn.IFNA(VLOOKUP($AP420,Programma!$F$3:$G$1101,2,0),"")</f>
        <v>_</v>
      </c>
      <c r="AR420" s="448" t="str">
        <f>_xlfn.IFNA(VLOOKUP($AP420,Programma!$F$3:$H$1101,3,0),"")</f>
        <v>_</v>
      </c>
      <c r="AS420" s="448" t="str">
        <f>_xlfn.IFNA(VLOOKUP($AP420,Programma!$F$3:$I$1101,4,0),"")</f>
        <v>4w</v>
      </c>
      <c r="AT420" s="448" t="str">
        <f>_xlfn.IFNA(VLOOKUP($AP420,Programma!$F$3:$J$1101,5,0),"")</f>
        <v>1w</v>
      </c>
      <c r="AU420" s="448" t="str">
        <f>_xlfn.IFNA(VLOOKUP($AP420,Programma!$F$3:$K$1101,6,0),"")</f>
        <v>4j</v>
      </c>
      <c r="AV420" s="448" t="str">
        <f>_xlfn.IFNA(VLOOKUP($AP420,Programma!$F$3:$L$1101,7,0),"")</f>
        <v>_</v>
      </c>
      <c r="AW420" s="448" t="str">
        <f>_xlfn.IFNA(VLOOKUP($AP420,Programma!$F$3:$M$1101,8,0),"")</f>
        <v>_</v>
      </c>
      <c r="AX420" s="448" t="str">
        <f>_xlfn.IFNA(VLOOKUP($AP420,Programma!$F$3:$N$1101,9,0),"")</f>
        <v>_</v>
      </c>
      <c r="AY420" s="448" t="str">
        <f>_xlfn.IFNA(VLOOKUP($AP420,Programma!$F$3:$O$1101,10,0),"")</f>
        <v>5w</v>
      </c>
      <c r="AZ420" s="448" t="str">
        <f>_xlfn.IFNA(VLOOKUP($AP420,Programma!$F$3:$P$1101,11,0),"")</f>
        <v>5w</v>
      </c>
      <c r="BA420" s="448" t="str">
        <f>_xlfn.IFNA(VLOOKUP($AP420,Programma!$F$3:$Q$1101,12,0),"")</f>
        <v>1w</v>
      </c>
      <c r="BB420" s="448" t="str">
        <f>_xlfn.IFNA(VLOOKUP($AP420,Programma!$F$3:$R$1101,13,0),"")</f>
        <v>1w</v>
      </c>
      <c r="BC420" s="448" t="str">
        <f>_xlfn.IFNA(VLOOKUP($AP420,Programma!$F$3:$S$1101,14,0),"")</f>
        <v>1m</v>
      </c>
      <c r="BD420" s="448" t="str">
        <f>_xlfn.IFNA(VLOOKUP($AP420,Programma!$F$3:$T$1101,15,0),"")</f>
        <v>2j</v>
      </c>
      <c r="BE420" s="448" t="str">
        <f>_xlfn.IFNA(VLOOKUP($AP420,Programma!$F$3:$U$1101,16,0),"")</f>
        <v>1j</v>
      </c>
      <c r="BF420" s="448" t="str">
        <f>_xlfn.IFNA(VLOOKUP($AP420,Programma!$F$3:$V$1101,17,0),"")</f>
        <v>_</v>
      </c>
      <c r="BG420" s="448" t="str">
        <f>_xlfn.IFNA(VLOOKUP($AP420,Programma!$F$3:$W$1101,18,0),"")</f>
        <v>_</v>
      </c>
      <c r="BH420" s="448" t="str">
        <f>_xlfn.IFNA(VLOOKUP($AP420,Programma!$F$3:$X$1101,19,0),"")</f>
        <v>_</v>
      </c>
      <c r="BI420" s="448" t="str">
        <f>_xlfn.IFNA(VLOOKUP($AP420,Programma!$F$3:$Y$1101,20,0),"")</f>
        <v>_</v>
      </c>
      <c r="BJ420" s="449"/>
      <c r="BK420" s="447" t="str">
        <f>IF(Ruimtestaat[[#This Row],[Frequentie weekend]]="","",_xlfn.CONCAT(Ruimtestaat[[#This Row],[Ruimte code]],"-",Ruimtestaat[[#This Row],[Frequentie weekend]]," ",Ruimtestaat[[#This Row],[Vloer code]]))</f>
        <v/>
      </c>
      <c r="BL420" s="448" t="str">
        <f>_xlfn.IFNA(VLOOKUP($BK420,Programma!$F$3:$G$1101,2,0),"")</f>
        <v/>
      </c>
      <c r="BM420" s="448" t="str">
        <f>_xlfn.IFNA(VLOOKUP($BK420,Programma!$F$3:$H$1101,3,0),"")</f>
        <v/>
      </c>
      <c r="BN420" s="448" t="str">
        <f>_xlfn.IFNA(VLOOKUP($BK420,Programma!$F$3:$I$1101,4,0),"")</f>
        <v/>
      </c>
      <c r="BO420" s="448" t="str">
        <f>_xlfn.IFNA(VLOOKUP($BK420,Programma!$F$3:$J$1101,5,0),"")</f>
        <v/>
      </c>
      <c r="BP420" s="448" t="str">
        <f>_xlfn.IFNA(VLOOKUP($BK420,Programma!$F$3:$K$1101,6,0),"")</f>
        <v/>
      </c>
      <c r="BQ420" s="448" t="str">
        <f>_xlfn.IFNA(VLOOKUP($BK420,Programma!$F$3:$L$1101,7,0),"")</f>
        <v/>
      </c>
      <c r="BR420" s="448" t="str">
        <f>_xlfn.IFNA(VLOOKUP($BK420,Programma!$F$3:$M$1101,8,0),"")</f>
        <v/>
      </c>
      <c r="BS420" s="448" t="str">
        <f>_xlfn.IFNA(VLOOKUP($BK420,Programma!$F$3:$N$1101,9,0),"")</f>
        <v/>
      </c>
      <c r="BT420" s="448" t="str">
        <f>_xlfn.IFNA(VLOOKUP($BK420,Programma!$F$3:$O$1101,10,0),"")</f>
        <v/>
      </c>
      <c r="BU420" s="448" t="str">
        <f>_xlfn.IFNA(VLOOKUP($BK420,Programma!$F$3:$P$1101,11,0),"")</f>
        <v/>
      </c>
      <c r="BV420" s="448" t="str">
        <f>_xlfn.IFNA(VLOOKUP($BK420,Programma!$F$3:$Q$1101,12,0),"")</f>
        <v/>
      </c>
      <c r="BW420" s="448" t="str">
        <f>_xlfn.IFNA(VLOOKUP($BK420,Programma!$F$3:$R$1101,13,0),"")</f>
        <v/>
      </c>
      <c r="BX420" s="448" t="str">
        <f>_xlfn.IFNA(VLOOKUP($BK420,Programma!$F$3:$S$1101,14,0),"")</f>
        <v/>
      </c>
      <c r="BY420" s="448" t="str">
        <f>_xlfn.IFNA(VLOOKUP($BK420,Programma!$F$3:$T$1101,15,0),"")</f>
        <v/>
      </c>
      <c r="BZ420" s="448" t="str">
        <f>_xlfn.IFNA(VLOOKUP($BK420,Programma!$F$3:$U$1101,16,0),"")</f>
        <v/>
      </c>
      <c r="CA420" s="448" t="str">
        <f>_xlfn.IFNA(VLOOKUP($BK420,Programma!$F$3:$V$1101,17,0),"")</f>
        <v/>
      </c>
      <c r="CB420" s="448" t="str">
        <f>_xlfn.IFNA(VLOOKUP($BK420,Programma!$F$3:$W$1101,18,0),"")</f>
        <v/>
      </c>
      <c r="CC420" s="448" t="str">
        <f>_xlfn.IFNA(VLOOKUP($BK420,Programma!$F$3:$X$1101,19,0),"")</f>
        <v/>
      </c>
      <c r="CD420" s="448" t="str">
        <f>_xlfn.IFNA(VLOOKUP($BK420,Programma!$F$3:$Y$1101,20,0),"")</f>
        <v/>
      </c>
      <c r="CE420" s="327"/>
      <c r="CF420" s="327"/>
      <c r="CG420" s="327"/>
      <c r="CH420" s="327"/>
      <c r="CI420" s="327"/>
      <c r="CJ420" s="327"/>
      <c r="CK420" s="327"/>
      <c r="CL420" s="327"/>
      <c r="CM420" s="327"/>
      <c r="CN420" s="327"/>
      <c r="CO420" s="327"/>
      <c r="CP420" s="327"/>
      <c r="CQ420" s="327"/>
      <c r="CR420" s="327"/>
      <c r="CS420" s="327"/>
      <c r="CT420" s="327"/>
      <c r="CU420" s="327"/>
      <c r="CV420" s="327"/>
      <c r="CW420" s="327"/>
      <c r="CX420" s="327"/>
      <c r="CY420" s="327"/>
      <c r="CZ420" s="327"/>
      <c r="DA420" s="327"/>
      <c r="DB420" s="327"/>
      <c r="DC420" s="327"/>
      <c r="DD420" s="327"/>
      <c r="DE420" s="327"/>
      <c r="DF420" s="327"/>
      <c r="DG420" s="327"/>
      <c r="DH420" s="327"/>
      <c r="DI420" s="327"/>
      <c r="DJ420" s="327"/>
      <c r="DK420" s="327"/>
      <c r="DL420" s="327"/>
      <c r="DM420" s="327"/>
      <c r="DN420" s="327"/>
      <c r="DO420" s="327"/>
      <c r="DP420" s="327"/>
      <c r="DQ420" s="327"/>
      <c r="DR420" s="327"/>
      <c r="DS420" s="327"/>
      <c r="DT420" s="327"/>
      <c r="DU420" s="327"/>
      <c r="DV420" s="327"/>
      <c r="DW420" s="327"/>
      <c r="DX420" s="327"/>
      <c r="DY420" s="327"/>
      <c r="DZ420" s="327"/>
      <c r="EA420" s="327"/>
      <c r="EB420" s="327"/>
      <c r="EC420" s="327"/>
      <c r="ED420" s="327"/>
      <c r="EE420" s="327"/>
      <c r="EF420" s="327"/>
      <c r="EG420" s="327"/>
      <c r="EH420" s="327"/>
      <c r="EI420" s="327"/>
      <c r="EJ420" s="327"/>
      <c r="EK420" s="327"/>
      <c r="EL420" s="327"/>
      <c r="EM420" s="327"/>
      <c r="EN420" s="327"/>
      <c r="EO420" s="327"/>
      <c r="EP420" s="327"/>
      <c r="EQ420" s="327"/>
      <c r="ER420" s="327"/>
      <c r="ES420" s="327"/>
      <c r="ET420" s="327"/>
      <c r="EU420" s="327"/>
      <c r="EV420" s="327"/>
      <c r="EW420" s="327"/>
      <c r="EX420" s="327"/>
      <c r="EY420" s="327"/>
      <c r="EZ420" s="327"/>
      <c r="FA420" s="327"/>
      <c r="FB420" s="327"/>
      <c r="FC420" s="327"/>
      <c r="FD420" s="327"/>
      <c r="FE420" s="327"/>
      <c r="FF420" s="327"/>
      <c r="FG420" s="327"/>
      <c r="FH420" s="327"/>
      <c r="FI420" s="327"/>
      <c r="FJ420" s="327"/>
      <c r="FK420" s="327"/>
      <c r="FL420" s="327"/>
      <c r="FM420" s="327"/>
      <c r="FN420" s="327"/>
      <c r="FO420" s="327"/>
      <c r="FP420" s="327"/>
      <c r="FQ420" s="327"/>
      <c r="FR420" s="327"/>
      <c r="FS420" s="327"/>
      <c r="FT420" s="327"/>
      <c r="FU420" s="327"/>
      <c r="FV420" s="327"/>
      <c r="FW420" s="327"/>
      <c r="FX420" s="327"/>
      <c r="FY420" s="327"/>
      <c r="FZ420" s="327"/>
      <c r="GA420" s="327"/>
      <c r="GB420" s="327"/>
      <c r="GC420" s="327"/>
      <c r="GD420" s="327"/>
      <c r="GE420" s="327"/>
      <c r="GF420" s="327"/>
      <c r="GG420" s="327"/>
      <c r="GH420" s="327"/>
      <c r="GI420" s="327"/>
      <c r="GJ420" s="327"/>
      <c r="GK420" s="327"/>
      <c r="GL420" s="327"/>
      <c r="GM420" s="327"/>
      <c r="GN420" s="327"/>
      <c r="GO420" s="327"/>
      <c r="GP420" s="327"/>
      <c r="GQ420" s="327"/>
      <c r="GR420" s="327"/>
      <c r="GS420" s="327"/>
      <c r="GT420" s="327"/>
      <c r="GU420" s="327"/>
      <c r="GV420" s="327"/>
      <c r="GW420" s="327"/>
      <c r="GX420" s="327"/>
      <c r="GY420" s="327"/>
      <c r="GZ420" s="327"/>
      <c r="HA420" s="327"/>
      <c r="HB420" s="327"/>
      <c r="HC420" s="327"/>
      <c r="HD420" s="327"/>
      <c r="HE420" s="327"/>
      <c r="HF420" s="327"/>
      <c r="HG420" s="327"/>
      <c r="HH420" s="327"/>
      <c r="HI420" s="327"/>
      <c r="HJ420" s="327"/>
      <c r="HK420" s="327"/>
      <c r="HL420" s="327"/>
      <c r="HM420" s="327"/>
      <c r="HN420" s="327"/>
      <c r="HO420" s="327"/>
      <c r="HP420" s="327"/>
      <c r="HQ420" s="327"/>
      <c r="HR420" s="327"/>
      <c r="HS420" s="327"/>
    </row>
    <row r="421" spans="1:227" ht="15" customHeight="1">
      <c r="A421" s="327">
        <v>17</v>
      </c>
      <c r="B421" s="435" t="str">
        <f>VLOOKUP(Ruimtestaat[[#This Row],[Code]],Locaties[[Code]:[Locatie]],2,FALSE)</f>
        <v>IKC de Tjalk Kadelaan 208 (bijgebouw)</v>
      </c>
      <c r="C421" s="435" t="str">
        <f>VLOOKUP(Ruimtestaat[[#This Row],[Code]],Locaties[[#All],[Code]:[Adres]],4,FALSE)</f>
        <v>Kadelaan 208</v>
      </c>
      <c r="D421" s="435" t="str">
        <f>VLOOKUP(Ruimtestaat[[#This Row],[Code]],Locaties[[#All],[Code]:[Postcode]],5,FALSE)</f>
        <v>2725 BR</v>
      </c>
      <c r="E421" s="435" t="str">
        <f>VLOOKUP(Ruimtestaat[[#This Row],[Code]],Locaties[#All],6,FALSE)</f>
        <v>Zoetermeer</v>
      </c>
      <c r="F421" s="450"/>
      <c r="G421" s="330" t="s">
        <v>1678</v>
      </c>
      <c r="H421" s="330">
        <v>80</v>
      </c>
      <c r="I421" s="450" t="s">
        <v>1745</v>
      </c>
      <c r="J421" s="330">
        <v>12</v>
      </c>
      <c r="K421" s="450" t="str">
        <f>VLOOKUP(Ruimtestaat[[#This Row],[Ruimte code]],Ruimtegroepen[[#All],[Code]:[Ruimte omschrijving]],2,FALSE)</f>
        <v>Kantine/Aula</v>
      </c>
      <c r="L421" s="330" t="s">
        <v>101</v>
      </c>
      <c r="M421" s="437" t="s">
        <v>1816</v>
      </c>
      <c r="N421" s="439">
        <v>140.30000000000001</v>
      </c>
      <c r="O421" s="439"/>
      <c r="P421" s="439"/>
      <c r="Q421" s="439"/>
      <c r="R421" s="440" t="str">
        <f>VLOOKUP(Ruimtestaat[[#This Row],[Ruimte code]],Ruimtegroepen[],4,FALSE)</f>
        <v>Ve</v>
      </c>
      <c r="S421" s="434">
        <v>41</v>
      </c>
      <c r="T421" s="434" t="s">
        <v>2</v>
      </c>
      <c r="U421" s="434">
        <f>IF(S421&gt;0,IF(RIGHT(Ruimtestaat[[#This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21" s="434">
        <f>IF(U421&gt;0,VLOOKUP($J421,Ruimtegroepen[],3,FALSE)*VLOOKUP($L421,Vloersoorten[],3,FALSE)*VLOOKUP($T421,Frequenties[],3,FALSE)*VLOOKUP($A421,Locaties[],3,FALSE),0)</f>
        <v>0</v>
      </c>
      <c r="W421" s="434">
        <f>Ruimtestaat[[#This Row],[Uitvoeringen werkdagen]]*Ruimtestaat[[#This Row],[Oppervlak (netto)]]</f>
        <v>28761.500000000004</v>
      </c>
      <c r="X421" s="441">
        <f>IF(V421&gt;0,Ruimtestaat[[#This Row],[Prest. (m2 /jaar) werkdagen]]/Ruimtestaat[[#This Row],[Norm (m2/uur) werkdagen]],0)</f>
        <v>0</v>
      </c>
      <c r="Y421" s="442">
        <f>Ruimtestaat[[#This Row],[Uitvoeringen werkdagen]]*Ruimtestaat[[#This Row],[Gedeeltelijk]]</f>
        <v>0</v>
      </c>
      <c r="Z421" s="443" t="e">
        <f>IF(U421&gt;0,Ruimtestaat[[#This Row],[Prest. (m2 / jaar) werkdagen gedeeld]]/Ruimtestaat[[#This Row],[Norm (m2/uur) werkdagen]],0)</f>
        <v>#DIV/0!</v>
      </c>
      <c r="AA421" s="441" t="e">
        <f>Ruimtestaat[[#This Row],[uren / jaar werkdagen gedeeld]]*Tariefsopbouw!$E$35</f>
        <v>#DIV/0!</v>
      </c>
      <c r="AB421" s="441">
        <f>Ruimtestaat[[#This Row],[Uitvoeringen werkdagen]]*Ruimtestaat[[#This Row],[BSO]]</f>
        <v>0</v>
      </c>
      <c r="AC421" s="443" t="e">
        <f>IF(U421&gt;0,Ruimtestaat[[#This Row],[Prest. (m2 / jaar) werkdagen BSO]]/Ruimtestaat[[#This Row],[Norm (m2/uur) werkdagen]],0)</f>
        <v>#DIV/0!</v>
      </c>
      <c r="AD421" s="443" t="e">
        <f>Ruimtestaat[[#This Row],[uren / jaar werkdagen BSO]]*Tariefsopbouw!$E$35</f>
        <v>#DIV/0!</v>
      </c>
      <c r="AE421" s="444">
        <f>Ruimtestaat[[#This Row],[uren / jaar werkdagen]]*Tariefsopbouw!$E$35</f>
        <v>0</v>
      </c>
      <c r="AF421" s="434"/>
      <c r="AG421" s="434">
        <f>IF(Ruimtestaat[[#This Row],[Frequentie weekend]]&gt;0,VALUE(LEFT(AF421,1))*S421,0)</f>
        <v>0</v>
      </c>
      <c r="AH421" s="445">
        <f>IF($AG421&gt;0,VLOOKUP($J421,Ruimtegroepen[],3,FALSE)*VLOOKUP($L421,Vloersoorten[],3,FALSE)*VLOOKUP($AF421,Frequenties[],3,FALSE)*VLOOKUP(Ruimtestaat[[#This Row],[Code]],Locaties[],3,FALSE),0)</f>
        <v>0</v>
      </c>
      <c r="AI421" s="445">
        <f>Ruimtestaat[[#This Row],[Uitvoeringen weekend]]*Ruimtestaat[[#This Row],[Oppervlak (netto)]]</f>
        <v>0</v>
      </c>
      <c r="AJ421" s="445">
        <f>IF(AH421&gt;0,Ruimtestaat[[#This Row],[Prest. (m2 /jaar) weekend]]/Ruimtestaat[[#This Row],[Norm (m2/uur) weekend]],0)</f>
        <v>0</v>
      </c>
      <c r="AK421" s="444">
        <f>Ruimtestaat[[#This Row],[uren / jaar weekend]]*Tariefsopbouw!$D$40</f>
        <v>0</v>
      </c>
      <c r="AL421" s="441">
        <f>Ruimtestaat[[#This Row],[Prest. (m2 /jaar) weekend]]+Ruimtestaat[[#This Row],[Prest. (m2 /jaar) werkdagen]]</f>
        <v>28761.500000000004</v>
      </c>
      <c r="AM421" s="441">
        <f>Ruimtestaat[[#This Row],[uren / jaar weekend]]+Ruimtestaat[[#This Row],[uren / jaar werkdagen]]</f>
        <v>0</v>
      </c>
      <c r="AN421" s="446">
        <f>Ruimtestaat[[#This Row],[kosten / jaar weekend]]+Ruimtestaat[[#This Row],[kosten / jaar werkdagen]]</f>
        <v>0</v>
      </c>
      <c r="AO421" s="446"/>
      <c r="AP421" s="447" t="str">
        <f>IF(Ruimtestaat[[#This Row],[Frequentie werkdagen]]="","",_xlfn.CONCAT(Ruimtestaat[[#This Row],[Ruimte code]],"-",Ruimtestaat[[#This Row],[Frequentie werkdagen]]," ",Ruimtestaat[[#This Row],[Vloer code]]))</f>
        <v>12-5w S</v>
      </c>
      <c r="AQ421" s="448" t="str">
        <f>_xlfn.IFNA(VLOOKUP($AP421,Programma!$F$3:$G$1101,2,0),"")</f>
        <v>_</v>
      </c>
      <c r="AR421" s="448" t="str">
        <f>_xlfn.IFNA(VLOOKUP($AP421,Programma!$F$3:$H$1101,3,0),"")</f>
        <v>_</v>
      </c>
      <c r="AS421" s="448" t="str">
        <f>_xlfn.IFNA(VLOOKUP($AP421,Programma!$F$3:$I$1101,4,0),"")</f>
        <v>5w</v>
      </c>
      <c r="AT421" s="448" t="str">
        <f>_xlfn.IFNA(VLOOKUP($AP421,Programma!$F$3:$J$1101,5,0),"")</f>
        <v>_</v>
      </c>
      <c r="AU421" s="448" t="str">
        <f>_xlfn.IFNA(VLOOKUP($AP421,Programma!$F$3:$K$1101,6,0),"")</f>
        <v>5w</v>
      </c>
      <c r="AV421" s="448" t="str">
        <f>_xlfn.IFNA(VLOOKUP($AP421,Programma!$F$3:$L$1101,7,0),"")</f>
        <v>_</v>
      </c>
      <c r="AW421" s="448" t="str">
        <f>_xlfn.IFNA(VLOOKUP($AP421,Programma!$F$3:$M$1101,8,0),"")</f>
        <v>_</v>
      </c>
      <c r="AX421" s="448" t="str">
        <f>_xlfn.IFNA(VLOOKUP($AP421,Programma!$F$3:$N$1101,9,0),"")</f>
        <v>_</v>
      </c>
      <c r="AY421" s="448" t="str">
        <f>_xlfn.IFNA(VLOOKUP($AP421,Programma!$F$3:$O$1101,10,0),"")</f>
        <v>5w</v>
      </c>
      <c r="AZ421" s="448" t="str">
        <f>_xlfn.IFNA(VLOOKUP($AP421,Programma!$F$3:$P$1101,11,0),"")</f>
        <v>5w</v>
      </c>
      <c r="BA421" s="448" t="str">
        <f>_xlfn.IFNA(VLOOKUP($AP421,Programma!$F$3:$Q$1101,12,0),"")</f>
        <v>1w</v>
      </c>
      <c r="BB421" s="448" t="str">
        <f>_xlfn.IFNA(VLOOKUP($AP421,Programma!$F$3:$R$1101,13,0),"")</f>
        <v>1w</v>
      </c>
      <c r="BC421" s="448" t="str">
        <f>_xlfn.IFNA(VLOOKUP($AP421,Programma!$F$3:$S$1101,14,0),"")</f>
        <v>1m</v>
      </c>
      <c r="BD421" s="448" t="str">
        <f>_xlfn.IFNA(VLOOKUP($AP421,Programma!$F$3:$T$1101,15,0),"")</f>
        <v>2j</v>
      </c>
      <c r="BE421" s="448" t="str">
        <f>_xlfn.IFNA(VLOOKUP($AP421,Programma!$F$3:$U$1101,16,0),"")</f>
        <v>1j</v>
      </c>
      <c r="BF421" s="448" t="str">
        <f>_xlfn.IFNA(VLOOKUP($AP421,Programma!$F$3:$V$1101,17,0),"")</f>
        <v>_</v>
      </c>
      <c r="BG421" s="448" t="str">
        <f>_xlfn.IFNA(VLOOKUP($AP421,Programma!$F$3:$W$1101,18,0),"")</f>
        <v>_</v>
      </c>
      <c r="BH421" s="448" t="str">
        <f>_xlfn.IFNA(VLOOKUP($AP421,Programma!$F$3:$X$1101,19,0),"")</f>
        <v>_</v>
      </c>
      <c r="BI421" s="448" t="str">
        <f>_xlfn.IFNA(VLOOKUP($AP421,Programma!$F$3:$Y$1101,20,0),"")</f>
        <v>_</v>
      </c>
      <c r="BJ421" s="449"/>
      <c r="BK421" s="447" t="str">
        <f>IF(Ruimtestaat[[#This Row],[Frequentie weekend]]="","",_xlfn.CONCAT(Ruimtestaat[[#This Row],[Ruimte code]],"-",Ruimtestaat[[#This Row],[Frequentie weekend]]," ",Ruimtestaat[[#This Row],[Vloer code]]))</f>
        <v/>
      </c>
      <c r="BL421" s="448" t="str">
        <f>_xlfn.IFNA(VLOOKUP($BK421,Programma!$F$3:$G$1101,2,0),"")</f>
        <v/>
      </c>
      <c r="BM421" s="448" t="str">
        <f>_xlfn.IFNA(VLOOKUP($BK421,Programma!$F$3:$H$1101,3,0),"")</f>
        <v/>
      </c>
      <c r="BN421" s="448" t="str">
        <f>_xlfn.IFNA(VLOOKUP($BK421,Programma!$F$3:$I$1101,4,0),"")</f>
        <v/>
      </c>
      <c r="BO421" s="448" t="str">
        <f>_xlfn.IFNA(VLOOKUP($BK421,Programma!$F$3:$J$1101,5,0),"")</f>
        <v/>
      </c>
      <c r="BP421" s="448" t="str">
        <f>_xlfn.IFNA(VLOOKUP($BK421,Programma!$F$3:$K$1101,6,0),"")</f>
        <v/>
      </c>
      <c r="BQ421" s="448" t="str">
        <f>_xlfn.IFNA(VLOOKUP($BK421,Programma!$F$3:$L$1101,7,0),"")</f>
        <v/>
      </c>
      <c r="BR421" s="448" t="str">
        <f>_xlfn.IFNA(VLOOKUP($BK421,Programma!$F$3:$M$1101,8,0),"")</f>
        <v/>
      </c>
      <c r="BS421" s="448" t="str">
        <f>_xlfn.IFNA(VLOOKUP($BK421,Programma!$F$3:$N$1101,9,0),"")</f>
        <v/>
      </c>
      <c r="BT421" s="448" t="str">
        <f>_xlfn.IFNA(VLOOKUP($BK421,Programma!$F$3:$O$1101,10,0),"")</f>
        <v/>
      </c>
      <c r="BU421" s="448" t="str">
        <f>_xlfn.IFNA(VLOOKUP($BK421,Programma!$F$3:$P$1101,11,0),"")</f>
        <v/>
      </c>
      <c r="BV421" s="448" t="str">
        <f>_xlfn.IFNA(VLOOKUP($BK421,Programma!$F$3:$Q$1101,12,0),"")</f>
        <v/>
      </c>
      <c r="BW421" s="448" t="str">
        <f>_xlfn.IFNA(VLOOKUP($BK421,Programma!$F$3:$R$1101,13,0),"")</f>
        <v/>
      </c>
      <c r="BX421" s="448" t="str">
        <f>_xlfn.IFNA(VLOOKUP($BK421,Programma!$F$3:$S$1101,14,0),"")</f>
        <v/>
      </c>
      <c r="BY421" s="448" t="str">
        <f>_xlfn.IFNA(VLOOKUP($BK421,Programma!$F$3:$T$1101,15,0),"")</f>
        <v/>
      </c>
      <c r="BZ421" s="448" t="str">
        <f>_xlfn.IFNA(VLOOKUP($BK421,Programma!$F$3:$U$1101,16,0),"")</f>
        <v/>
      </c>
      <c r="CA421" s="448" t="str">
        <f>_xlfn.IFNA(VLOOKUP($BK421,Programma!$F$3:$V$1101,17,0),"")</f>
        <v/>
      </c>
      <c r="CB421" s="448" t="str">
        <f>_xlfn.IFNA(VLOOKUP($BK421,Programma!$F$3:$W$1101,18,0),"")</f>
        <v/>
      </c>
      <c r="CC421" s="448" t="str">
        <f>_xlfn.IFNA(VLOOKUP($BK421,Programma!$F$3:$X$1101,19,0),"")</f>
        <v/>
      </c>
      <c r="CD421" s="448" t="str">
        <f>_xlfn.IFNA(VLOOKUP($BK421,Programma!$F$3:$Y$1101,20,0),"")</f>
        <v/>
      </c>
      <c r="CE421" s="327"/>
      <c r="CF421" s="327"/>
      <c r="CG421" s="327"/>
      <c r="CH421" s="327"/>
      <c r="CI421" s="327"/>
      <c r="CJ421" s="327"/>
      <c r="CK421" s="327"/>
      <c r="CL421" s="327"/>
      <c r="CM421" s="327"/>
      <c r="CN421" s="327"/>
      <c r="CO421" s="327"/>
      <c r="CP421" s="327"/>
      <c r="CQ421" s="327"/>
      <c r="CR421" s="327"/>
      <c r="CS421" s="327"/>
      <c r="CT421" s="327"/>
      <c r="CU421" s="327"/>
      <c r="CV421" s="327"/>
      <c r="CW421" s="327"/>
      <c r="CX421" s="327"/>
      <c r="CY421" s="327"/>
      <c r="CZ421" s="327"/>
      <c r="DA421" s="327"/>
      <c r="DB421" s="327"/>
      <c r="DC421" s="327"/>
      <c r="DD421" s="327"/>
      <c r="DE421" s="327"/>
      <c r="DF421" s="327"/>
      <c r="DG421" s="327"/>
      <c r="DH421" s="327"/>
      <c r="DI421" s="327"/>
      <c r="DJ421" s="327"/>
      <c r="DK421" s="327"/>
      <c r="DL421" s="327"/>
      <c r="DM421" s="327"/>
      <c r="DN421" s="327"/>
      <c r="DO421" s="327"/>
      <c r="DP421" s="327"/>
      <c r="DQ421" s="327"/>
      <c r="DR421" s="327"/>
      <c r="DS421" s="327"/>
      <c r="DT421" s="327"/>
      <c r="DU421" s="327"/>
      <c r="DV421" s="327"/>
      <c r="DW421" s="327"/>
      <c r="DX421" s="327"/>
      <c r="DY421" s="327"/>
      <c r="DZ421" s="327"/>
      <c r="EA421" s="327"/>
      <c r="EB421" s="327"/>
      <c r="EC421" s="327"/>
      <c r="ED421" s="327"/>
      <c r="EE421" s="327"/>
      <c r="EF421" s="327"/>
      <c r="EG421" s="327"/>
      <c r="EH421" s="327"/>
      <c r="EI421" s="327"/>
      <c r="EJ421" s="327"/>
      <c r="EK421" s="327"/>
      <c r="EL421" s="327"/>
      <c r="EM421" s="327"/>
      <c r="EN421" s="327"/>
      <c r="EO421" s="327"/>
      <c r="EP421" s="327"/>
      <c r="EQ421" s="327"/>
      <c r="ER421" s="327"/>
      <c r="ES421" s="327"/>
      <c r="ET421" s="327"/>
      <c r="EU421" s="327"/>
      <c r="EV421" s="327"/>
      <c r="EW421" s="327"/>
      <c r="EX421" s="327"/>
      <c r="EY421" s="327"/>
      <c r="EZ421" s="327"/>
      <c r="FA421" s="327"/>
      <c r="FB421" s="327"/>
      <c r="FC421" s="327"/>
      <c r="FD421" s="327"/>
      <c r="FE421" s="327"/>
      <c r="FF421" s="327"/>
      <c r="FG421" s="327"/>
      <c r="FH421" s="327"/>
      <c r="FI421" s="327"/>
      <c r="FJ421" s="327"/>
      <c r="FK421" s="327"/>
      <c r="FL421" s="327"/>
      <c r="FM421" s="327"/>
      <c r="FN421" s="327"/>
      <c r="FO421" s="327"/>
      <c r="FP421" s="327"/>
      <c r="FQ421" s="327"/>
      <c r="FR421" s="327"/>
      <c r="FS421" s="327"/>
      <c r="FT421" s="327"/>
      <c r="FU421" s="327"/>
      <c r="FV421" s="327"/>
      <c r="FW421" s="327"/>
      <c r="FX421" s="327"/>
      <c r="FY421" s="327"/>
      <c r="FZ421" s="327"/>
      <c r="GA421" s="327"/>
      <c r="GB421" s="327"/>
      <c r="GC421" s="327"/>
      <c r="GD421" s="327"/>
      <c r="GE421" s="327"/>
      <c r="GF421" s="327"/>
      <c r="GG421" s="327"/>
      <c r="GH421" s="327"/>
      <c r="GI421" s="327"/>
      <c r="GJ421" s="327"/>
      <c r="GK421" s="327"/>
      <c r="GL421" s="327"/>
      <c r="GM421" s="327"/>
      <c r="GN421" s="327"/>
      <c r="GO421" s="327"/>
      <c r="GP421" s="327"/>
      <c r="GQ421" s="327"/>
      <c r="GR421" s="327"/>
      <c r="GS421" s="327"/>
      <c r="GT421" s="327"/>
      <c r="GU421" s="327"/>
      <c r="GV421" s="327"/>
      <c r="GW421" s="327"/>
      <c r="GX421" s="327"/>
      <c r="GY421" s="327"/>
      <c r="GZ421" s="327"/>
      <c r="HA421" s="327"/>
      <c r="HB421" s="327"/>
      <c r="HC421" s="327"/>
      <c r="HD421" s="327"/>
      <c r="HE421" s="327"/>
      <c r="HF421" s="327"/>
      <c r="HG421" s="327"/>
      <c r="HH421" s="327"/>
      <c r="HI421" s="327"/>
      <c r="HJ421" s="327"/>
      <c r="HK421" s="327"/>
      <c r="HL421" s="327"/>
      <c r="HM421" s="327"/>
      <c r="HN421" s="327"/>
      <c r="HO421" s="327"/>
      <c r="HP421" s="327"/>
      <c r="HQ421" s="327"/>
      <c r="HR421" s="327"/>
      <c r="HS421" s="327"/>
    </row>
    <row r="422" spans="1:227" ht="15" customHeight="1">
      <c r="A422" s="327">
        <v>17</v>
      </c>
      <c r="B422" s="435" t="str">
        <f>VLOOKUP(Ruimtestaat[[#This Row],[Code]],Locaties[[Code]:[Locatie]],2,FALSE)</f>
        <v>IKC de Tjalk Kadelaan 208 (bijgebouw)</v>
      </c>
      <c r="C422" s="435" t="str">
        <f>VLOOKUP(Ruimtestaat[[#This Row],[Code]],Locaties[[#All],[Code]:[Adres]],4,FALSE)</f>
        <v>Kadelaan 208</v>
      </c>
      <c r="D422" s="435" t="str">
        <f>VLOOKUP(Ruimtestaat[[#This Row],[Code]],Locaties[[#All],[Code]:[Postcode]],5,FALSE)</f>
        <v>2725 BR</v>
      </c>
      <c r="E422" s="435" t="str">
        <f>VLOOKUP(Ruimtestaat[[#This Row],[Code]],Locaties[#All],6,FALSE)</f>
        <v>Zoetermeer</v>
      </c>
      <c r="F422" s="450"/>
      <c r="G422" s="330" t="s">
        <v>1678</v>
      </c>
      <c r="I422" s="450" t="s">
        <v>1783</v>
      </c>
      <c r="J422" s="330">
        <v>10</v>
      </c>
      <c r="K422" s="450" t="str">
        <f>VLOOKUP(Ruimtestaat[[#This Row],[Ruimte code]],Ruimtegroepen[[#All],[Code]:[Ruimte omschrijving]],2,FALSE)</f>
        <v>Trappenhuizen/lift</v>
      </c>
      <c r="L422" s="330" t="s">
        <v>101</v>
      </c>
      <c r="M422" s="437" t="s">
        <v>1816</v>
      </c>
      <c r="N422" s="439">
        <v>2</v>
      </c>
      <c r="O422" s="439"/>
      <c r="P422" s="439"/>
      <c r="Q422" s="439"/>
      <c r="R422" s="440" t="str">
        <f>VLOOKUP(Ruimtestaat[[#This Row],[Ruimte code]],Ruimtegroepen[],4,FALSE)</f>
        <v>Ve</v>
      </c>
      <c r="S422" s="434">
        <v>41</v>
      </c>
      <c r="T422" s="434" t="s">
        <v>2</v>
      </c>
      <c r="U422" s="434">
        <f>IF(S422&gt;0,IF(RIGHT(Ruimtestaat[[#This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22" s="434">
        <f>IF(U422&gt;0,VLOOKUP($J422,Ruimtegroepen[],3,FALSE)*VLOOKUP($L422,Vloersoorten[],3,FALSE)*VLOOKUP($T422,Frequenties[],3,FALSE)*VLOOKUP($A422,Locaties[],3,FALSE),0)</f>
        <v>0</v>
      </c>
      <c r="W422" s="434">
        <f>Ruimtestaat[[#This Row],[Uitvoeringen werkdagen]]*Ruimtestaat[[#This Row],[Oppervlak (netto)]]</f>
        <v>410</v>
      </c>
      <c r="X422" s="441">
        <f>IF(V422&gt;0,Ruimtestaat[[#This Row],[Prest. (m2 /jaar) werkdagen]]/Ruimtestaat[[#This Row],[Norm (m2/uur) werkdagen]],0)</f>
        <v>0</v>
      </c>
      <c r="Y422" s="442">
        <f>Ruimtestaat[[#This Row],[Uitvoeringen werkdagen]]*Ruimtestaat[[#This Row],[Gedeeltelijk]]</f>
        <v>0</v>
      </c>
      <c r="Z422" s="443" t="e">
        <f>IF(U422&gt;0,Ruimtestaat[[#This Row],[Prest. (m2 / jaar) werkdagen gedeeld]]/Ruimtestaat[[#This Row],[Norm (m2/uur) werkdagen]],0)</f>
        <v>#DIV/0!</v>
      </c>
      <c r="AA422" s="441" t="e">
        <f>Ruimtestaat[[#This Row],[uren / jaar werkdagen gedeeld]]*Tariefsopbouw!$E$35</f>
        <v>#DIV/0!</v>
      </c>
      <c r="AB422" s="441">
        <f>Ruimtestaat[[#This Row],[Uitvoeringen werkdagen]]*Ruimtestaat[[#This Row],[BSO]]</f>
        <v>0</v>
      </c>
      <c r="AC422" s="443" t="e">
        <f>IF(U422&gt;0,Ruimtestaat[[#This Row],[Prest. (m2 / jaar) werkdagen BSO]]/Ruimtestaat[[#This Row],[Norm (m2/uur) werkdagen]],0)</f>
        <v>#DIV/0!</v>
      </c>
      <c r="AD422" s="443" t="e">
        <f>Ruimtestaat[[#This Row],[uren / jaar werkdagen BSO]]*Tariefsopbouw!$E$35</f>
        <v>#DIV/0!</v>
      </c>
      <c r="AE422" s="444">
        <f>Ruimtestaat[[#This Row],[uren / jaar werkdagen]]*Tariefsopbouw!$E$35</f>
        <v>0</v>
      </c>
      <c r="AF422" s="434"/>
      <c r="AG422" s="434">
        <f>IF(Ruimtestaat[[#This Row],[Frequentie weekend]]&gt;0,VALUE(LEFT(AF422,1))*S422,0)</f>
        <v>0</v>
      </c>
      <c r="AH422" s="445">
        <f>IF($AG422&gt;0,VLOOKUP($J422,Ruimtegroepen[],3,FALSE)*VLOOKUP($L422,Vloersoorten[],3,FALSE)*VLOOKUP($AF422,Frequenties[],3,FALSE)*VLOOKUP(Ruimtestaat[[#This Row],[Code]],Locaties[],3,FALSE),0)</f>
        <v>0</v>
      </c>
      <c r="AI422" s="445">
        <f>Ruimtestaat[[#This Row],[Uitvoeringen weekend]]*Ruimtestaat[[#This Row],[Oppervlak (netto)]]</f>
        <v>0</v>
      </c>
      <c r="AJ422" s="445">
        <f>IF(AH422&gt;0,Ruimtestaat[[#This Row],[Prest. (m2 /jaar) weekend]]/Ruimtestaat[[#This Row],[Norm (m2/uur) weekend]],0)</f>
        <v>0</v>
      </c>
      <c r="AK422" s="444">
        <f>Ruimtestaat[[#This Row],[uren / jaar weekend]]*Tariefsopbouw!$D$40</f>
        <v>0</v>
      </c>
      <c r="AL422" s="441">
        <f>Ruimtestaat[[#This Row],[Prest. (m2 /jaar) weekend]]+Ruimtestaat[[#This Row],[Prest. (m2 /jaar) werkdagen]]</f>
        <v>410</v>
      </c>
      <c r="AM422" s="441">
        <f>Ruimtestaat[[#This Row],[uren / jaar weekend]]+Ruimtestaat[[#This Row],[uren / jaar werkdagen]]</f>
        <v>0</v>
      </c>
      <c r="AN422" s="446">
        <f>Ruimtestaat[[#This Row],[kosten / jaar weekend]]+Ruimtestaat[[#This Row],[kosten / jaar werkdagen]]</f>
        <v>0</v>
      </c>
      <c r="AO422" s="446"/>
      <c r="AP422" s="447" t="str">
        <f>IF(Ruimtestaat[[#This Row],[Frequentie werkdagen]]="","",_xlfn.CONCAT(Ruimtestaat[[#This Row],[Ruimte code]],"-",Ruimtestaat[[#This Row],[Frequentie werkdagen]]," ",Ruimtestaat[[#This Row],[Vloer code]]))</f>
        <v>10-5w S</v>
      </c>
      <c r="AQ422" s="448" t="str">
        <f>_xlfn.IFNA(VLOOKUP($AP422,Programma!$F$3:$G$1101,2,0),"")</f>
        <v>_</v>
      </c>
      <c r="AR422" s="448" t="str">
        <f>_xlfn.IFNA(VLOOKUP($AP422,Programma!$F$3:$H$1101,3,0),"")</f>
        <v>_</v>
      </c>
      <c r="AS422" s="448" t="str">
        <f>_xlfn.IFNA(VLOOKUP($AP422,Programma!$F$3:$I$1101,4,0),"")</f>
        <v>4w</v>
      </c>
      <c r="AT422" s="448" t="str">
        <f>_xlfn.IFNA(VLOOKUP($AP422,Programma!$F$3:$J$1101,5,0),"")</f>
        <v>1w</v>
      </c>
      <c r="AU422" s="448" t="str">
        <f>_xlfn.IFNA(VLOOKUP($AP422,Programma!$F$3:$K$1101,6,0),"")</f>
        <v>4j</v>
      </c>
      <c r="AV422" s="448" t="str">
        <f>_xlfn.IFNA(VLOOKUP($AP422,Programma!$F$3:$L$1101,7,0),"")</f>
        <v>_</v>
      </c>
      <c r="AW422" s="448" t="str">
        <f>_xlfn.IFNA(VLOOKUP($AP422,Programma!$F$3:$M$1101,8,0),"")</f>
        <v>_</v>
      </c>
      <c r="AX422" s="448" t="str">
        <f>_xlfn.IFNA(VLOOKUP($AP422,Programma!$F$3:$N$1101,9,0),"")</f>
        <v>_</v>
      </c>
      <c r="AY422" s="448" t="str">
        <f>_xlfn.IFNA(VLOOKUP($AP422,Programma!$F$3:$O$1101,10,0),"")</f>
        <v>5w</v>
      </c>
      <c r="AZ422" s="448" t="str">
        <f>_xlfn.IFNA(VLOOKUP($AP422,Programma!$F$3:$P$1101,11,0),"")</f>
        <v>5w</v>
      </c>
      <c r="BA422" s="448" t="str">
        <f>_xlfn.IFNA(VLOOKUP($AP422,Programma!$F$3:$Q$1101,12,0),"")</f>
        <v>1w</v>
      </c>
      <c r="BB422" s="448" t="str">
        <f>_xlfn.IFNA(VLOOKUP($AP422,Programma!$F$3:$R$1101,13,0),"")</f>
        <v>1w</v>
      </c>
      <c r="BC422" s="448" t="str">
        <f>_xlfn.IFNA(VLOOKUP($AP422,Programma!$F$3:$S$1101,14,0),"")</f>
        <v>1m</v>
      </c>
      <c r="BD422" s="448" t="str">
        <f>_xlfn.IFNA(VLOOKUP($AP422,Programma!$F$3:$T$1101,15,0),"")</f>
        <v>2j</v>
      </c>
      <c r="BE422" s="448" t="str">
        <f>_xlfn.IFNA(VLOOKUP($AP422,Programma!$F$3:$U$1101,16,0),"")</f>
        <v>1j</v>
      </c>
      <c r="BF422" s="448" t="str">
        <f>_xlfn.IFNA(VLOOKUP($AP422,Programma!$F$3:$V$1101,17,0),"")</f>
        <v>_</v>
      </c>
      <c r="BG422" s="448" t="str">
        <f>_xlfn.IFNA(VLOOKUP($AP422,Programma!$F$3:$W$1101,18,0),"")</f>
        <v>_</v>
      </c>
      <c r="BH422" s="448" t="str">
        <f>_xlfn.IFNA(VLOOKUP($AP422,Programma!$F$3:$X$1101,19,0),"")</f>
        <v>_</v>
      </c>
      <c r="BI422" s="448" t="str">
        <f>_xlfn.IFNA(VLOOKUP($AP422,Programma!$F$3:$Y$1101,20,0),"")</f>
        <v>_</v>
      </c>
      <c r="BJ422" s="449"/>
      <c r="BK422" s="447" t="str">
        <f>IF(Ruimtestaat[[#This Row],[Frequentie weekend]]="","",_xlfn.CONCAT(Ruimtestaat[[#This Row],[Ruimte code]],"-",Ruimtestaat[[#This Row],[Frequentie weekend]]," ",Ruimtestaat[[#This Row],[Vloer code]]))</f>
        <v/>
      </c>
      <c r="BL422" s="448" t="str">
        <f>_xlfn.IFNA(VLOOKUP($BK422,Programma!$F$3:$G$1101,2,0),"")</f>
        <v/>
      </c>
      <c r="BM422" s="448" t="str">
        <f>_xlfn.IFNA(VLOOKUP($BK422,Programma!$F$3:$H$1101,3,0),"")</f>
        <v/>
      </c>
      <c r="BN422" s="448" t="str">
        <f>_xlfn.IFNA(VLOOKUP($BK422,Programma!$F$3:$I$1101,4,0),"")</f>
        <v/>
      </c>
      <c r="BO422" s="448" t="str">
        <f>_xlfn.IFNA(VLOOKUP($BK422,Programma!$F$3:$J$1101,5,0),"")</f>
        <v/>
      </c>
      <c r="BP422" s="448" t="str">
        <f>_xlfn.IFNA(VLOOKUP($BK422,Programma!$F$3:$K$1101,6,0),"")</f>
        <v/>
      </c>
      <c r="BQ422" s="448" t="str">
        <f>_xlfn.IFNA(VLOOKUP($BK422,Programma!$F$3:$L$1101,7,0),"")</f>
        <v/>
      </c>
      <c r="BR422" s="448" t="str">
        <f>_xlfn.IFNA(VLOOKUP($BK422,Programma!$F$3:$M$1101,8,0),"")</f>
        <v/>
      </c>
      <c r="BS422" s="448" t="str">
        <f>_xlfn.IFNA(VLOOKUP($BK422,Programma!$F$3:$N$1101,9,0),"")</f>
        <v/>
      </c>
      <c r="BT422" s="448" t="str">
        <f>_xlfn.IFNA(VLOOKUP($BK422,Programma!$F$3:$O$1101,10,0),"")</f>
        <v/>
      </c>
      <c r="BU422" s="448" t="str">
        <f>_xlfn.IFNA(VLOOKUP($BK422,Programma!$F$3:$P$1101,11,0),"")</f>
        <v/>
      </c>
      <c r="BV422" s="448" t="str">
        <f>_xlfn.IFNA(VLOOKUP($BK422,Programma!$F$3:$Q$1101,12,0),"")</f>
        <v/>
      </c>
      <c r="BW422" s="448" t="str">
        <f>_xlfn.IFNA(VLOOKUP($BK422,Programma!$F$3:$R$1101,13,0),"")</f>
        <v/>
      </c>
      <c r="BX422" s="448" t="str">
        <f>_xlfn.IFNA(VLOOKUP($BK422,Programma!$F$3:$S$1101,14,0),"")</f>
        <v/>
      </c>
      <c r="BY422" s="448" t="str">
        <f>_xlfn.IFNA(VLOOKUP($BK422,Programma!$F$3:$T$1101,15,0),"")</f>
        <v/>
      </c>
      <c r="BZ422" s="448" t="str">
        <f>_xlfn.IFNA(VLOOKUP($BK422,Programma!$F$3:$U$1101,16,0),"")</f>
        <v/>
      </c>
      <c r="CA422" s="448" t="str">
        <f>_xlfn.IFNA(VLOOKUP($BK422,Programma!$F$3:$V$1101,17,0),"")</f>
        <v/>
      </c>
      <c r="CB422" s="448" t="str">
        <f>_xlfn.IFNA(VLOOKUP($BK422,Programma!$F$3:$W$1101,18,0),"")</f>
        <v/>
      </c>
      <c r="CC422" s="448" t="str">
        <f>_xlfn.IFNA(VLOOKUP($BK422,Programma!$F$3:$X$1101,19,0),"")</f>
        <v/>
      </c>
      <c r="CD422" s="448" t="str">
        <f>_xlfn.IFNA(VLOOKUP($BK422,Programma!$F$3:$Y$1101,20,0),"")</f>
        <v/>
      </c>
      <c r="CE422" s="327"/>
      <c r="CF422" s="327"/>
      <c r="CG422" s="327"/>
      <c r="CH422" s="327"/>
      <c r="CI422" s="327"/>
      <c r="CJ422" s="327"/>
      <c r="CK422" s="327"/>
      <c r="CL422" s="327"/>
      <c r="CM422" s="327"/>
      <c r="CN422" s="327"/>
      <c r="CO422" s="327"/>
      <c r="CP422" s="327"/>
      <c r="CQ422" s="327"/>
      <c r="CR422" s="327"/>
      <c r="CS422" s="327"/>
      <c r="CT422" s="327"/>
      <c r="CU422" s="327"/>
      <c r="CV422" s="327"/>
      <c r="CW422" s="327"/>
      <c r="CX422" s="327"/>
      <c r="CY422" s="327"/>
      <c r="CZ422" s="327"/>
      <c r="DA422" s="327"/>
      <c r="DB422" s="327"/>
      <c r="DC422" s="327"/>
      <c r="DD422" s="327"/>
      <c r="DE422" s="327"/>
      <c r="DF422" s="327"/>
      <c r="DG422" s="327"/>
      <c r="DH422" s="327"/>
      <c r="DI422" s="327"/>
      <c r="DJ422" s="327"/>
      <c r="DK422" s="327"/>
      <c r="DL422" s="327"/>
      <c r="DM422" s="327"/>
      <c r="DN422" s="327"/>
      <c r="DO422" s="327"/>
      <c r="DP422" s="327"/>
      <c r="DQ422" s="327"/>
      <c r="DR422" s="327"/>
      <c r="DS422" s="327"/>
      <c r="DT422" s="327"/>
      <c r="DU422" s="327"/>
      <c r="DV422" s="327"/>
      <c r="DW422" s="327"/>
      <c r="DX422" s="327"/>
      <c r="DY422" s="327"/>
      <c r="DZ422" s="327"/>
      <c r="EA422" s="327"/>
      <c r="EB422" s="327"/>
      <c r="EC422" s="327"/>
      <c r="ED422" s="327"/>
      <c r="EE422" s="327"/>
      <c r="EF422" s="327"/>
      <c r="EG422" s="327"/>
      <c r="EH422" s="327"/>
      <c r="EI422" s="327"/>
      <c r="EJ422" s="327"/>
      <c r="EK422" s="327"/>
      <c r="EL422" s="327"/>
      <c r="EM422" s="327"/>
      <c r="EN422" s="327"/>
      <c r="EO422" s="327"/>
      <c r="EP422" s="327"/>
      <c r="EQ422" s="327"/>
      <c r="ER422" s="327"/>
      <c r="ES422" s="327"/>
      <c r="ET422" s="327"/>
      <c r="EU422" s="327"/>
      <c r="EV422" s="327"/>
      <c r="EW422" s="327"/>
      <c r="EX422" s="327"/>
      <c r="EY422" s="327"/>
      <c r="EZ422" s="327"/>
      <c r="FA422" s="327"/>
      <c r="FB422" s="327"/>
      <c r="FC422" s="327"/>
      <c r="FD422" s="327"/>
      <c r="FE422" s="327"/>
      <c r="FF422" s="327"/>
      <c r="FG422" s="327"/>
      <c r="FH422" s="327"/>
      <c r="FI422" s="327"/>
      <c r="FJ422" s="327"/>
      <c r="FK422" s="327"/>
      <c r="FL422" s="327"/>
      <c r="FM422" s="327"/>
      <c r="FN422" s="327"/>
      <c r="FO422" s="327"/>
      <c r="FP422" s="327"/>
      <c r="FQ422" s="327"/>
      <c r="FR422" s="327"/>
      <c r="FS422" s="327"/>
      <c r="FT422" s="327"/>
      <c r="FU422" s="327"/>
      <c r="FV422" s="327"/>
      <c r="FW422" s="327"/>
      <c r="FX422" s="327"/>
      <c r="FY422" s="327"/>
      <c r="FZ422" s="327"/>
      <c r="GA422" s="327"/>
      <c r="GB422" s="327"/>
      <c r="GC422" s="327"/>
      <c r="GD422" s="327"/>
      <c r="GE422" s="327"/>
      <c r="GF422" s="327"/>
      <c r="GG422" s="327"/>
      <c r="GH422" s="327"/>
      <c r="GI422" s="327"/>
      <c r="GJ422" s="327"/>
      <c r="GK422" s="327"/>
      <c r="GL422" s="327"/>
      <c r="GM422" s="327"/>
      <c r="GN422" s="327"/>
      <c r="GO422" s="327"/>
      <c r="GP422" s="327"/>
      <c r="GQ422" s="327"/>
      <c r="GR422" s="327"/>
      <c r="GS422" s="327"/>
      <c r="GT422" s="327"/>
      <c r="GU422" s="327"/>
      <c r="GV422" s="327"/>
      <c r="GW422" s="327"/>
      <c r="GX422" s="327"/>
      <c r="GY422" s="327"/>
      <c r="GZ422" s="327"/>
      <c r="HA422" s="327"/>
      <c r="HB422" s="327"/>
      <c r="HC422" s="327"/>
      <c r="HD422" s="327"/>
      <c r="HE422" s="327"/>
      <c r="HF422" s="327"/>
      <c r="HG422" s="327"/>
      <c r="HH422" s="327"/>
      <c r="HI422" s="327"/>
      <c r="HJ422" s="327"/>
      <c r="HK422" s="327"/>
      <c r="HL422" s="327"/>
      <c r="HM422" s="327"/>
      <c r="HN422" s="327"/>
      <c r="HO422" s="327"/>
      <c r="HP422" s="327"/>
      <c r="HQ422" s="327"/>
      <c r="HR422" s="327"/>
      <c r="HS422" s="327"/>
    </row>
    <row r="423" spans="1:227" ht="15" customHeight="1">
      <c r="A423" s="327">
        <v>17</v>
      </c>
      <c r="B423" s="435" t="str">
        <f>VLOOKUP(Ruimtestaat[[#This Row],[Code]],Locaties[[Code]:[Locatie]],2,FALSE)</f>
        <v>IKC de Tjalk Kadelaan 208 (bijgebouw)</v>
      </c>
      <c r="C423" s="435" t="str">
        <f>VLOOKUP(Ruimtestaat[[#This Row],[Code]],Locaties[[#All],[Code]:[Adres]],4,FALSE)</f>
        <v>Kadelaan 208</v>
      </c>
      <c r="D423" s="435" t="str">
        <f>VLOOKUP(Ruimtestaat[[#This Row],[Code]],Locaties[[#All],[Code]:[Postcode]],5,FALSE)</f>
        <v>2725 BR</v>
      </c>
      <c r="E423" s="435" t="str">
        <f>VLOOKUP(Ruimtestaat[[#This Row],[Code]],Locaties[#All],6,FALSE)</f>
        <v>Zoetermeer</v>
      </c>
      <c r="F423" s="450"/>
      <c r="G423" s="330" t="s">
        <v>1678</v>
      </c>
      <c r="H423" s="330">
        <v>87</v>
      </c>
      <c r="I423" s="450" t="s">
        <v>1708</v>
      </c>
      <c r="J423" s="330">
        <v>6</v>
      </c>
      <c r="K423" s="450" t="str">
        <f>VLOOKUP(Ruimtestaat[[#This Row],[Ruimte code]],Ruimtegroepen[[#All],[Code]:[Ruimte omschrijving]],2,FALSE)</f>
        <v>Gangen/hallen</v>
      </c>
      <c r="L423" s="330" t="s">
        <v>101</v>
      </c>
      <c r="M423" s="437" t="s">
        <v>1816</v>
      </c>
      <c r="N423" s="439">
        <v>31.67</v>
      </c>
      <c r="O423" s="439"/>
      <c r="P423" s="439"/>
      <c r="Q423" s="439"/>
      <c r="R423" s="440" t="str">
        <f>VLOOKUP(Ruimtestaat[[#This Row],[Ruimte code]],Ruimtegroepen[],4,FALSE)</f>
        <v>Ve</v>
      </c>
      <c r="S423" s="434">
        <v>41</v>
      </c>
      <c r="T423" s="434" t="s">
        <v>2</v>
      </c>
      <c r="U423" s="434">
        <f>IF(S423&gt;0,IF(RIGHT(Ruimtestaat[[#This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23" s="434">
        <f>IF(U423&gt;0,VLOOKUP($J423,Ruimtegroepen[],3,FALSE)*VLOOKUP($L423,Vloersoorten[],3,FALSE)*VLOOKUP($T423,Frequenties[],3,FALSE)*VLOOKUP($A423,Locaties[],3,FALSE),0)</f>
        <v>0</v>
      </c>
      <c r="W423" s="434">
        <f>Ruimtestaat[[#This Row],[Uitvoeringen werkdagen]]*Ruimtestaat[[#This Row],[Oppervlak (netto)]]</f>
        <v>6492.35</v>
      </c>
      <c r="X423" s="441">
        <f>IF(V423&gt;0,Ruimtestaat[[#This Row],[Prest. (m2 /jaar) werkdagen]]/Ruimtestaat[[#This Row],[Norm (m2/uur) werkdagen]],0)</f>
        <v>0</v>
      </c>
      <c r="Y423" s="442">
        <f>Ruimtestaat[[#This Row],[Uitvoeringen werkdagen]]*Ruimtestaat[[#This Row],[Gedeeltelijk]]</f>
        <v>0</v>
      </c>
      <c r="Z423" s="443" t="e">
        <f>IF(U423&gt;0,Ruimtestaat[[#This Row],[Prest. (m2 / jaar) werkdagen gedeeld]]/Ruimtestaat[[#This Row],[Norm (m2/uur) werkdagen]],0)</f>
        <v>#DIV/0!</v>
      </c>
      <c r="AA423" s="441" t="e">
        <f>Ruimtestaat[[#This Row],[uren / jaar werkdagen gedeeld]]*Tariefsopbouw!$E$35</f>
        <v>#DIV/0!</v>
      </c>
      <c r="AB423" s="441">
        <f>Ruimtestaat[[#This Row],[Uitvoeringen werkdagen]]*Ruimtestaat[[#This Row],[BSO]]</f>
        <v>0</v>
      </c>
      <c r="AC423" s="443" t="e">
        <f>IF(U423&gt;0,Ruimtestaat[[#This Row],[Prest. (m2 / jaar) werkdagen BSO]]/Ruimtestaat[[#This Row],[Norm (m2/uur) werkdagen]],0)</f>
        <v>#DIV/0!</v>
      </c>
      <c r="AD423" s="443" t="e">
        <f>Ruimtestaat[[#This Row],[uren / jaar werkdagen BSO]]*Tariefsopbouw!$E$35</f>
        <v>#DIV/0!</v>
      </c>
      <c r="AE423" s="444">
        <f>Ruimtestaat[[#This Row],[uren / jaar werkdagen]]*Tariefsopbouw!$E$35</f>
        <v>0</v>
      </c>
      <c r="AF423" s="434"/>
      <c r="AG423" s="434">
        <f>IF(Ruimtestaat[[#This Row],[Frequentie weekend]]&gt;0,VALUE(LEFT(AF423,1))*S423,0)</f>
        <v>0</v>
      </c>
      <c r="AH423" s="445">
        <f>IF($AG423&gt;0,VLOOKUP($J423,Ruimtegroepen[],3,FALSE)*VLOOKUP($L423,Vloersoorten[],3,FALSE)*VLOOKUP($AF423,Frequenties[],3,FALSE)*VLOOKUP(Ruimtestaat[[#This Row],[Code]],Locaties[],3,FALSE),0)</f>
        <v>0</v>
      </c>
      <c r="AI423" s="445">
        <f>Ruimtestaat[[#This Row],[Uitvoeringen weekend]]*Ruimtestaat[[#This Row],[Oppervlak (netto)]]</f>
        <v>0</v>
      </c>
      <c r="AJ423" s="445">
        <f>IF(AH423&gt;0,Ruimtestaat[[#This Row],[Prest. (m2 /jaar) weekend]]/Ruimtestaat[[#This Row],[Norm (m2/uur) weekend]],0)</f>
        <v>0</v>
      </c>
      <c r="AK423" s="444">
        <f>Ruimtestaat[[#This Row],[uren / jaar weekend]]*Tariefsopbouw!$D$40</f>
        <v>0</v>
      </c>
      <c r="AL423" s="441">
        <f>Ruimtestaat[[#This Row],[Prest. (m2 /jaar) weekend]]+Ruimtestaat[[#This Row],[Prest. (m2 /jaar) werkdagen]]</f>
        <v>6492.35</v>
      </c>
      <c r="AM423" s="441">
        <f>Ruimtestaat[[#This Row],[uren / jaar weekend]]+Ruimtestaat[[#This Row],[uren / jaar werkdagen]]</f>
        <v>0</v>
      </c>
      <c r="AN423" s="446">
        <f>Ruimtestaat[[#This Row],[kosten / jaar weekend]]+Ruimtestaat[[#This Row],[kosten / jaar werkdagen]]</f>
        <v>0</v>
      </c>
      <c r="AO423" s="446"/>
      <c r="AP423" s="447" t="str">
        <f>IF(Ruimtestaat[[#This Row],[Frequentie werkdagen]]="","",_xlfn.CONCAT(Ruimtestaat[[#This Row],[Ruimte code]],"-",Ruimtestaat[[#This Row],[Frequentie werkdagen]]," ",Ruimtestaat[[#This Row],[Vloer code]]))</f>
        <v>6-5w S</v>
      </c>
      <c r="AQ423" s="448" t="str">
        <f>_xlfn.IFNA(VLOOKUP($AP423,Programma!$F$3:$G$1101,2,0),"")</f>
        <v>_</v>
      </c>
      <c r="AR423" s="448" t="str">
        <f>_xlfn.IFNA(VLOOKUP($AP423,Programma!$F$3:$H$1101,3,0),"")</f>
        <v>_</v>
      </c>
      <c r="AS423" s="448" t="str">
        <f>_xlfn.IFNA(VLOOKUP($AP423,Programma!$F$3:$I$1101,4,0),"")</f>
        <v>5w</v>
      </c>
      <c r="AT423" s="448" t="str">
        <f>_xlfn.IFNA(VLOOKUP($AP423,Programma!$F$3:$J$1101,5,0),"")</f>
        <v>_</v>
      </c>
      <c r="AU423" s="448" t="str">
        <f>_xlfn.IFNA(VLOOKUP($AP423,Programma!$F$3:$K$1101,6,0),"")</f>
        <v>5w</v>
      </c>
      <c r="AV423" s="448" t="str">
        <f>_xlfn.IFNA(VLOOKUP($AP423,Programma!$F$3:$L$1101,7,0),"")</f>
        <v>_</v>
      </c>
      <c r="AW423" s="448" t="str">
        <f>_xlfn.IFNA(VLOOKUP($AP423,Programma!$F$3:$M$1101,8,0),"")</f>
        <v>_</v>
      </c>
      <c r="AX423" s="448" t="str">
        <f>_xlfn.IFNA(VLOOKUP($AP423,Programma!$F$3:$N$1101,9,0),"")</f>
        <v>_</v>
      </c>
      <c r="AY423" s="448" t="str">
        <f>_xlfn.IFNA(VLOOKUP($AP423,Programma!$F$3:$O$1101,10,0),"")</f>
        <v>5w</v>
      </c>
      <c r="AZ423" s="448" t="str">
        <f>_xlfn.IFNA(VLOOKUP($AP423,Programma!$F$3:$P$1101,11,0),"")</f>
        <v>5w</v>
      </c>
      <c r="BA423" s="448" t="str">
        <f>_xlfn.IFNA(VLOOKUP($AP423,Programma!$F$3:$Q$1101,12,0),"")</f>
        <v>1w</v>
      </c>
      <c r="BB423" s="448" t="str">
        <f>_xlfn.IFNA(VLOOKUP($AP423,Programma!$F$3:$R$1101,13,0),"")</f>
        <v>1w</v>
      </c>
      <c r="BC423" s="448" t="str">
        <f>_xlfn.IFNA(VLOOKUP($AP423,Programma!$F$3:$S$1101,14,0),"")</f>
        <v>1m</v>
      </c>
      <c r="BD423" s="448" t="str">
        <f>_xlfn.IFNA(VLOOKUP($AP423,Programma!$F$3:$T$1101,15,0),"")</f>
        <v>2j</v>
      </c>
      <c r="BE423" s="448" t="str">
        <f>_xlfn.IFNA(VLOOKUP($AP423,Programma!$F$3:$U$1101,16,0),"")</f>
        <v>1j</v>
      </c>
      <c r="BF423" s="448" t="str">
        <f>_xlfn.IFNA(VLOOKUP($AP423,Programma!$F$3:$V$1101,17,0),"")</f>
        <v>_</v>
      </c>
      <c r="BG423" s="448" t="str">
        <f>_xlfn.IFNA(VLOOKUP($AP423,Programma!$F$3:$W$1101,18,0),"")</f>
        <v>_</v>
      </c>
      <c r="BH423" s="448" t="str">
        <f>_xlfn.IFNA(VLOOKUP($AP423,Programma!$F$3:$X$1101,19,0),"")</f>
        <v>_</v>
      </c>
      <c r="BI423" s="448" t="str">
        <f>_xlfn.IFNA(VLOOKUP($AP423,Programma!$F$3:$Y$1101,20,0),"")</f>
        <v>_</v>
      </c>
      <c r="BJ423" s="449"/>
      <c r="BK423" s="447" t="str">
        <f>IF(Ruimtestaat[[#This Row],[Frequentie weekend]]="","",_xlfn.CONCAT(Ruimtestaat[[#This Row],[Ruimte code]],"-",Ruimtestaat[[#This Row],[Frequentie weekend]]," ",Ruimtestaat[[#This Row],[Vloer code]]))</f>
        <v/>
      </c>
      <c r="BL423" s="448" t="str">
        <f>_xlfn.IFNA(VLOOKUP($BK423,Programma!$F$3:$G$1101,2,0),"")</f>
        <v/>
      </c>
      <c r="BM423" s="448" t="str">
        <f>_xlfn.IFNA(VLOOKUP($BK423,Programma!$F$3:$H$1101,3,0),"")</f>
        <v/>
      </c>
      <c r="BN423" s="448" t="str">
        <f>_xlfn.IFNA(VLOOKUP($BK423,Programma!$F$3:$I$1101,4,0),"")</f>
        <v/>
      </c>
      <c r="BO423" s="448" t="str">
        <f>_xlfn.IFNA(VLOOKUP($BK423,Programma!$F$3:$J$1101,5,0),"")</f>
        <v/>
      </c>
      <c r="BP423" s="448" t="str">
        <f>_xlfn.IFNA(VLOOKUP($BK423,Programma!$F$3:$K$1101,6,0),"")</f>
        <v/>
      </c>
      <c r="BQ423" s="448" t="str">
        <f>_xlfn.IFNA(VLOOKUP($BK423,Programma!$F$3:$L$1101,7,0),"")</f>
        <v/>
      </c>
      <c r="BR423" s="448" t="str">
        <f>_xlfn.IFNA(VLOOKUP($BK423,Programma!$F$3:$M$1101,8,0),"")</f>
        <v/>
      </c>
      <c r="BS423" s="448" t="str">
        <f>_xlfn.IFNA(VLOOKUP($BK423,Programma!$F$3:$N$1101,9,0),"")</f>
        <v/>
      </c>
      <c r="BT423" s="448" t="str">
        <f>_xlfn.IFNA(VLOOKUP($BK423,Programma!$F$3:$O$1101,10,0),"")</f>
        <v/>
      </c>
      <c r="BU423" s="448" t="str">
        <f>_xlfn.IFNA(VLOOKUP($BK423,Programma!$F$3:$P$1101,11,0),"")</f>
        <v/>
      </c>
      <c r="BV423" s="448" t="str">
        <f>_xlfn.IFNA(VLOOKUP($BK423,Programma!$F$3:$Q$1101,12,0),"")</f>
        <v/>
      </c>
      <c r="BW423" s="448" t="str">
        <f>_xlfn.IFNA(VLOOKUP($BK423,Programma!$F$3:$R$1101,13,0),"")</f>
        <v/>
      </c>
      <c r="BX423" s="448" t="str">
        <f>_xlfn.IFNA(VLOOKUP($BK423,Programma!$F$3:$S$1101,14,0),"")</f>
        <v/>
      </c>
      <c r="BY423" s="448" t="str">
        <f>_xlfn.IFNA(VLOOKUP($BK423,Programma!$F$3:$T$1101,15,0),"")</f>
        <v/>
      </c>
      <c r="BZ423" s="448" t="str">
        <f>_xlfn.IFNA(VLOOKUP($BK423,Programma!$F$3:$U$1101,16,0),"")</f>
        <v/>
      </c>
      <c r="CA423" s="448" t="str">
        <f>_xlfn.IFNA(VLOOKUP($BK423,Programma!$F$3:$V$1101,17,0),"")</f>
        <v/>
      </c>
      <c r="CB423" s="448" t="str">
        <f>_xlfn.IFNA(VLOOKUP($BK423,Programma!$F$3:$W$1101,18,0),"")</f>
        <v/>
      </c>
      <c r="CC423" s="448" t="str">
        <f>_xlfn.IFNA(VLOOKUP($BK423,Programma!$F$3:$X$1101,19,0),"")</f>
        <v/>
      </c>
      <c r="CD423" s="448" t="str">
        <f>_xlfn.IFNA(VLOOKUP($BK423,Programma!$F$3:$Y$1101,20,0),"")</f>
        <v/>
      </c>
      <c r="CE423" s="327"/>
      <c r="CF423" s="327"/>
      <c r="CG423" s="327"/>
      <c r="CH423" s="327"/>
      <c r="CI423" s="327"/>
      <c r="CJ423" s="327"/>
      <c r="CK423" s="327"/>
      <c r="CL423" s="327"/>
      <c r="CM423" s="327"/>
      <c r="CN423" s="327"/>
      <c r="CO423" s="327"/>
      <c r="CP423" s="327"/>
      <c r="CQ423" s="327"/>
      <c r="CR423" s="327"/>
      <c r="CS423" s="327"/>
      <c r="CT423" s="327"/>
      <c r="CU423" s="327"/>
      <c r="CV423" s="327"/>
      <c r="CW423" s="327"/>
      <c r="CX423" s="327"/>
      <c r="CY423" s="327"/>
      <c r="CZ423" s="327"/>
      <c r="DA423" s="327"/>
      <c r="DB423" s="327"/>
      <c r="DC423" s="327"/>
      <c r="DD423" s="327"/>
      <c r="DE423" s="327"/>
      <c r="DF423" s="327"/>
      <c r="DG423" s="327"/>
      <c r="DH423" s="327"/>
      <c r="DI423" s="327"/>
      <c r="DJ423" s="327"/>
      <c r="DK423" s="327"/>
      <c r="DL423" s="327"/>
      <c r="DM423" s="327"/>
      <c r="DN423" s="327"/>
      <c r="DO423" s="327"/>
      <c r="DP423" s="327"/>
      <c r="DQ423" s="327"/>
      <c r="DR423" s="327"/>
      <c r="DS423" s="327"/>
      <c r="DT423" s="327"/>
      <c r="DU423" s="327"/>
      <c r="DV423" s="327"/>
      <c r="DW423" s="327"/>
      <c r="DX423" s="327"/>
      <c r="DY423" s="327"/>
      <c r="DZ423" s="327"/>
      <c r="EA423" s="327"/>
      <c r="EB423" s="327"/>
      <c r="EC423" s="327"/>
      <c r="ED423" s="327"/>
      <c r="EE423" s="327"/>
      <c r="EF423" s="327"/>
      <c r="EG423" s="327"/>
      <c r="EH423" s="327"/>
      <c r="EI423" s="327"/>
      <c r="EJ423" s="327"/>
      <c r="EK423" s="327"/>
      <c r="EL423" s="327"/>
      <c r="EM423" s="327"/>
      <c r="EN423" s="327"/>
      <c r="EO423" s="327"/>
      <c r="EP423" s="327"/>
      <c r="EQ423" s="327"/>
      <c r="ER423" s="327"/>
      <c r="ES423" s="327"/>
      <c r="ET423" s="327"/>
      <c r="EU423" s="327"/>
      <c r="EV423" s="327"/>
      <c r="EW423" s="327"/>
      <c r="EX423" s="327"/>
      <c r="EY423" s="327"/>
      <c r="EZ423" s="327"/>
      <c r="FA423" s="327"/>
      <c r="FB423" s="327"/>
      <c r="FC423" s="327"/>
      <c r="FD423" s="327"/>
      <c r="FE423" s="327"/>
      <c r="FF423" s="327"/>
      <c r="FG423" s="327"/>
      <c r="FH423" s="327"/>
      <c r="FI423" s="327"/>
      <c r="FJ423" s="327"/>
      <c r="FK423" s="327"/>
      <c r="FL423" s="327"/>
      <c r="FM423" s="327"/>
      <c r="FN423" s="327"/>
      <c r="FO423" s="327"/>
      <c r="FP423" s="327"/>
      <c r="FQ423" s="327"/>
      <c r="FR423" s="327"/>
      <c r="FS423" s="327"/>
      <c r="FT423" s="327"/>
      <c r="FU423" s="327"/>
      <c r="FV423" s="327"/>
      <c r="FW423" s="327"/>
      <c r="FX423" s="327"/>
      <c r="FY423" s="327"/>
      <c r="FZ423" s="327"/>
      <c r="GA423" s="327"/>
      <c r="GB423" s="327"/>
      <c r="GC423" s="327"/>
      <c r="GD423" s="327"/>
      <c r="GE423" s="327"/>
      <c r="GF423" s="327"/>
      <c r="GG423" s="327"/>
      <c r="GH423" s="327"/>
      <c r="GI423" s="327"/>
      <c r="GJ423" s="327"/>
      <c r="GK423" s="327"/>
      <c r="GL423" s="327"/>
      <c r="GM423" s="327"/>
      <c r="GN423" s="327"/>
      <c r="GO423" s="327"/>
      <c r="GP423" s="327"/>
      <c r="GQ423" s="327"/>
      <c r="GR423" s="327"/>
      <c r="GS423" s="327"/>
      <c r="GT423" s="327"/>
      <c r="GU423" s="327"/>
      <c r="GV423" s="327"/>
      <c r="GW423" s="327"/>
      <c r="GX423" s="327"/>
      <c r="GY423" s="327"/>
      <c r="GZ423" s="327"/>
      <c r="HA423" s="327"/>
      <c r="HB423" s="327"/>
      <c r="HC423" s="327"/>
      <c r="HD423" s="327"/>
      <c r="HE423" s="327"/>
      <c r="HF423" s="327"/>
      <c r="HG423" s="327"/>
      <c r="HH423" s="327"/>
      <c r="HI423" s="327"/>
      <c r="HJ423" s="327"/>
      <c r="HK423" s="327"/>
      <c r="HL423" s="327"/>
      <c r="HM423" s="327"/>
      <c r="HN423" s="327"/>
      <c r="HO423" s="327"/>
      <c r="HP423" s="327"/>
      <c r="HQ423" s="327"/>
      <c r="HR423" s="327"/>
      <c r="HS423" s="327"/>
    </row>
    <row r="424" spans="1:227" ht="15" customHeight="1">
      <c r="A424" s="327">
        <v>17</v>
      </c>
      <c r="B424" s="435" t="str">
        <f>VLOOKUP(Ruimtestaat[[#This Row],[Code]],Locaties[[Code]:[Locatie]],2,FALSE)</f>
        <v>IKC de Tjalk Kadelaan 208 (bijgebouw)</v>
      </c>
      <c r="C424" s="435" t="str">
        <f>VLOOKUP(Ruimtestaat[[#This Row],[Code]],Locaties[[#All],[Code]:[Adres]],4,FALSE)</f>
        <v>Kadelaan 208</v>
      </c>
      <c r="D424" s="435" t="str">
        <f>VLOOKUP(Ruimtestaat[[#This Row],[Code]],Locaties[[#All],[Code]:[Postcode]],5,FALSE)</f>
        <v>2725 BR</v>
      </c>
      <c r="E424" s="435" t="str">
        <f>VLOOKUP(Ruimtestaat[[#This Row],[Code]],Locaties[#All],6,FALSE)</f>
        <v>Zoetermeer</v>
      </c>
      <c r="F424" s="450"/>
      <c r="G424" s="330" t="s">
        <v>1678</v>
      </c>
      <c r="H424" s="330">
        <v>81</v>
      </c>
      <c r="I424" s="450" t="s">
        <v>1585</v>
      </c>
      <c r="J424" s="330">
        <v>13</v>
      </c>
      <c r="K424" s="450" t="str">
        <f>VLOOKUP(Ruimtestaat[[#This Row],[Ruimte code]],Ruimtegroepen[[#All],[Code]:[Ruimte omschrijving]],2,FALSE)</f>
        <v>Personeelskamer</v>
      </c>
      <c r="L424" s="330" t="s">
        <v>101</v>
      </c>
      <c r="M424" s="437" t="s">
        <v>1816</v>
      </c>
      <c r="N424" s="439">
        <v>42.7</v>
      </c>
      <c r="O424" s="439"/>
      <c r="P424" s="439"/>
      <c r="Q424" s="439"/>
      <c r="R424" s="440" t="str">
        <f>VLOOKUP(Ruimtestaat[[#This Row],[Ruimte code]],Ruimtegroepen[],4,FALSE)</f>
        <v>Ve</v>
      </c>
      <c r="S424" s="434">
        <v>41</v>
      </c>
      <c r="T424" s="434" t="s">
        <v>2</v>
      </c>
      <c r="U424" s="434">
        <f>IF(S424&gt;0,IF(RIGHT(Ruimtestaat[[#This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24" s="434">
        <f>IF(U424&gt;0,VLOOKUP($J424,Ruimtegroepen[],3,FALSE)*VLOOKUP($L424,Vloersoorten[],3,FALSE)*VLOOKUP($T424,Frequenties[],3,FALSE)*VLOOKUP($A424,Locaties[],3,FALSE),0)</f>
        <v>0</v>
      </c>
      <c r="W424" s="434">
        <f>Ruimtestaat[[#This Row],[Uitvoeringen werkdagen]]*Ruimtestaat[[#This Row],[Oppervlak (netto)]]</f>
        <v>8753.5</v>
      </c>
      <c r="X424" s="441">
        <f>IF(V424&gt;0,Ruimtestaat[[#This Row],[Prest. (m2 /jaar) werkdagen]]/Ruimtestaat[[#This Row],[Norm (m2/uur) werkdagen]],0)</f>
        <v>0</v>
      </c>
      <c r="Y424" s="442">
        <f>Ruimtestaat[[#This Row],[Uitvoeringen werkdagen]]*Ruimtestaat[[#This Row],[Gedeeltelijk]]</f>
        <v>0</v>
      </c>
      <c r="Z424" s="443" t="e">
        <f>IF(U424&gt;0,Ruimtestaat[[#This Row],[Prest. (m2 / jaar) werkdagen gedeeld]]/Ruimtestaat[[#This Row],[Norm (m2/uur) werkdagen]],0)</f>
        <v>#DIV/0!</v>
      </c>
      <c r="AA424" s="441" t="e">
        <f>Ruimtestaat[[#This Row],[uren / jaar werkdagen gedeeld]]*Tariefsopbouw!$E$35</f>
        <v>#DIV/0!</v>
      </c>
      <c r="AB424" s="441">
        <f>Ruimtestaat[[#This Row],[Uitvoeringen werkdagen]]*Ruimtestaat[[#This Row],[BSO]]</f>
        <v>0</v>
      </c>
      <c r="AC424" s="443" t="e">
        <f>IF(U424&gt;0,Ruimtestaat[[#This Row],[Prest. (m2 / jaar) werkdagen BSO]]/Ruimtestaat[[#This Row],[Norm (m2/uur) werkdagen]],0)</f>
        <v>#DIV/0!</v>
      </c>
      <c r="AD424" s="443" t="e">
        <f>Ruimtestaat[[#This Row],[uren / jaar werkdagen BSO]]*Tariefsopbouw!$E$35</f>
        <v>#DIV/0!</v>
      </c>
      <c r="AE424" s="444">
        <f>Ruimtestaat[[#This Row],[uren / jaar werkdagen]]*Tariefsopbouw!$E$35</f>
        <v>0</v>
      </c>
      <c r="AF424" s="434"/>
      <c r="AG424" s="434">
        <f>IF(Ruimtestaat[[#This Row],[Frequentie weekend]]&gt;0,VALUE(LEFT(AF424,1))*S424,0)</f>
        <v>0</v>
      </c>
      <c r="AH424" s="445">
        <f>IF($AG424&gt;0,VLOOKUP($J424,Ruimtegroepen[],3,FALSE)*VLOOKUP($L424,Vloersoorten[],3,FALSE)*VLOOKUP($AF424,Frequenties[],3,FALSE)*VLOOKUP(Ruimtestaat[[#This Row],[Code]],Locaties[],3,FALSE),0)</f>
        <v>0</v>
      </c>
      <c r="AI424" s="445">
        <f>Ruimtestaat[[#This Row],[Uitvoeringen weekend]]*Ruimtestaat[[#This Row],[Oppervlak (netto)]]</f>
        <v>0</v>
      </c>
      <c r="AJ424" s="445">
        <f>IF(AH424&gt;0,Ruimtestaat[[#This Row],[Prest. (m2 /jaar) weekend]]/Ruimtestaat[[#This Row],[Norm (m2/uur) weekend]],0)</f>
        <v>0</v>
      </c>
      <c r="AK424" s="444">
        <f>Ruimtestaat[[#This Row],[uren / jaar weekend]]*Tariefsopbouw!$D$40</f>
        <v>0</v>
      </c>
      <c r="AL424" s="441">
        <f>Ruimtestaat[[#This Row],[Prest. (m2 /jaar) weekend]]+Ruimtestaat[[#This Row],[Prest. (m2 /jaar) werkdagen]]</f>
        <v>8753.5</v>
      </c>
      <c r="AM424" s="441">
        <f>Ruimtestaat[[#This Row],[uren / jaar weekend]]+Ruimtestaat[[#This Row],[uren / jaar werkdagen]]</f>
        <v>0</v>
      </c>
      <c r="AN424" s="446">
        <f>Ruimtestaat[[#This Row],[kosten / jaar weekend]]+Ruimtestaat[[#This Row],[kosten / jaar werkdagen]]</f>
        <v>0</v>
      </c>
      <c r="AO424" s="446"/>
      <c r="AP424" s="447" t="str">
        <f>IF(Ruimtestaat[[#This Row],[Frequentie werkdagen]]="","",_xlfn.CONCAT(Ruimtestaat[[#This Row],[Ruimte code]],"-",Ruimtestaat[[#This Row],[Frequentie werkdagen]]," ",Ruimtestaat[[#This Row],[Vloer code]]))</f>
        <v>13-5w S</v>
      </c>
      <c r="AQ424" s="448" t="str">
        <f>_xlfn.IFNA(VLOOKUP($AP424,Programma!$F$3:$G$1101,2,0),"")</f>
        <v>_</v>
      </c>
      <c r="AR424" s="448" t="str">
        <f>_xlfn.IFNA(VLOOKUP($AP424,Programma!$F$3:$H$1101,3,0),"")</f>
        <v>_</v>
      </c>
      <c r="AS424" s="448" t="str">
        <f>_xlfn.IFNA(VLOOKUP($AP424,Programma!$F$3:$I$1101,4,0),"")</f>
        <v>4w</v>
      </c>
      <c r="AT424" s="448" t="str">
        <f>_xlfn.IFNA(VLOOKUP($AP424,Programma!$F$3:$J$1101,5,0),"")</f>
        <v>1w</v>
      </c>
      <c r="AU424" s="448" t="str">
        <f>_xlfn.IFNA(VLOOKUP($AP424,Programma!$F$3:$K$1101,6,0),"")</f>
        <v>1j</v>
      </c>
      <c r="AV424" s="448" t="str">
        <f>_xlfn.IFNA(VLOOKUP($AP424,Programma!$F$3:$L$1101,7,0),"")</f>
        <v>_</v>
      </c>
      <c r="AW424" s="448" t="str">
        <f>_xlfn.IFNA(VLOOKUP($AP424,Programma!$F$3:$M$1101,8,0),"")</f>
        <v>_</v>
      </c>
      <c r="AX424" s="448" t="str">
        <f>_xlfn.IFNA(VLOOKUP($AP424,Programma!$F$3:$N$1101,9,0),"")</f>
        <v>_</v>
      </c>
      <c r="AY424" s="448" t="str">
        <f>_xlfn.IFNA(VLOOKUP($AP424,Programma!$F$3:$O$1101,10,0),"")</f>
        <v>5w</v>
      </c>
      <c r="AZ424" s="448" t="str">
        <f>_xlfn.IFNA(VLOOKUP($AP424,Programma!$F$3:$P$1101,11,0),"")</f>
        <v>5w</v>
      </c>
      <c r="BA424" s="448" t="str">
        <f>_xlfn.IFNA(VLOOKUP($AP424,Programma!$F$3:$Q$1101,12,0),"")</f>
        <v>1w</v>
      </c>
      <c r="BB424" s="448" t="str">
        <f>_xlfn.IFNA(VLOOKUP($AP424,Programma!$F$3:$R$1101,13,0),"")</f>
        <v>1w</v>
      </c>
      <c r="BC424" s="448" t="str">
        <f>_xlfn.IFNA(VLOOKUP($AP424,Programma!$F$3:$S$1101,14,0),"")</f>
        <v>1m</v>
      </c>
      <c r="BD424" s="448" t="str">
        <f>_xlfn.IFNA(VLOOKUP($AP424,Programma!$F$3:$T$1101,15,0),"")</f>
        <v>2j</v>
      </c>
      <c r="BE424" s="448" t="str">
        <f>_xlfn.IFNA(VLOOKUP($AP424,Programma!$F$3:$U$1101,16,0),"")</f>
        <v>1j</v>
      </c>
      <c r="BF424" s="448" t="str">
        <f>_xlfn.IFNA(VLOOKUP($AP424,Programma!$F$3:$V$1101,17,0),"")</f>
        <v>_</v>
      </c>
      <c r="BG424" s="448" t="str">
        <f>_xlfn.IFNA(VLOOKUP($AP424,Programma!$F$3:$W$1101,18,0),"")</f>
        <v>_</v>
      </c>
      <c r="BH424" s="448" t="str">
        <f>_xlfn.IFNA(VLOOKUP($AP424,Programma!$F$3:$X$1101,19,0),"")</f>
        <v>_</v>
      </c>
      <c r="BI424" s="448" t="str">
        <f>_xlfn.IFNA(VLOOKUP($AP424,Programma!$F$3:$Y$1101,20,0),"")</f>
        <v>_</v>
      </c>
      <c r="BJ424" s="449"/>
      <c r="BK424" s="447" t="str">
        <f>IF(Ruimtestaat[[#This Row],[Frequentie weekend]]="","",_xlfn.CONCAT(Ruimtestaat[[#This Row],[Ruimte code]],"-",Ruimtestaat[[#This Row],[Frequentie weekend]]," ",Ruimtestaat[[#This Row],[Vloer code]]))</f>
        <v/>
      </c>
      <c r="BL424" s="448" t="str">
        <f>_xlfn.IFNA(VLOOKUP($BK424,Programma!$F$3:$G$1101,2,0),"")</f>
        <v/>
      </c>
      <c r="BM424" s="448" t="str">
        <f>_xlfn.IFNA(VLOOKUP($BK424,Programma!$F$3:$H$1101,3,0),"")</f>
        <v/>
      </c>
      <c r="BN424" s="448" t="str">
        <f>_xlfn.IFNA(VLOOKUP($BK424,Programma!$F$3:$I$1101,4,0),"")</f>
        <v/>
      </c>
      <c r="BO424" s="448" t="str">
        <f>_xlfn.IFNA(VLOOKUP($BK424,Programma!$F$3:$J$1101,5,0),"")</f>
        <v/>
      </c>
      <c r="BP424" s="448" t="str">
        <f>_xlfn.IFNA(VLOOKUP($BK424,Programma!$F$3:$K$1101,6,0),"")</f>
        <v/>
      </c>
      <c r="BQ424" s="448" t="str">
        <f>_xlfn.IFNA(VLOOKUP($BK424,Programma!$F$3:$L$1101,7,0),"")</f>
        <v/>
      </c>
      <c r="BR424" s="448" t="str">
        <f>_xlfn.IFNA(VLOOKUP($BK424,Programma!$F$3:$M$1101,8,0),"")</f>
        <v/>
      </c>
      <c r="BS424" s="448" t="str">
        <f>_xlfn.IFNA(VLOOKUP($BK424,Programma!$F$3:$N$1101,9,0),"")</f>
        <v/>
      </c>
      <c r="BT424" s="448" t="str">
        <f>_xlfn.IFNA(VLOOKUP($BK424,Programma!$F$3:$O$1101,10,0),"")</f>
        <v/>
      </c>
      <c r="BU424" s="448" t="str">
        <f>_xlfn.IFNA(VLOOKUP($BK424,Programma!$F$3:$P$1101,11,0),"")</f>
        <v/>
      </c>
      <c r="BV424" s="448" t="str">
        <f>_xlfn.IFNA(VLOOKUP($BK424,Programma!$F$3:$Q$1101,12,0),"")</f>
        <v/>
      </c>
      <c r="BW424" s="448" t="str">
        <f>_xlfn.IFNA(VLOOKUP($BK424,Programma!$F$3:$R$1101,13,0),"")</f>
        <v/>
      </c>
      <c r="BX424" s="448" t="str">
        <f>_xlfn.IFNA(VLOOKUP($BK424,Programma!$F$3:$S$1101,14,0),"")</f>
        <v/>
      </c>
      <c r="BY424" s="448" t="str">
        <f>_xlfn.IFNA(VLOOKUP($BK424,Programma!$F$3:$T$1101,15,0),"")</f>
        <v/>
      </c>
      <c r="BZ424" s="448" t="str">
        <f>_xlfn.IFNA(VLOOKUP($BK424,Programma!$F$3:$U$1101,16,0),"")</f>
        <v/>
      </c>
      <c r="CA424" s="448" t="str">
        <f>_xlfn.IFNA(VLOOKUP($BK424,Programma!$F$3:$V$1101,17,0),"")</f>
        <v/>
      </c>
      <c r="CB424" s="448" t="str">
        <f>_xlfn.IFNA(VLOOKUP($BK424,Programma!$F$3:$W$1101,18,0),"")</f>
        <v/>
      </c>
      <c r="CC424" s="448" t="str">
        <f>_xlfn.IFNA(VLOOKUP($BK424,Programma!$F$3:$X$1101,19,0),"")</f>
        <v/>
      </c>
      <c r="CD424" s="448" t="str">
        <f>_xlfn.IFNA(VLOOKUP($BK424,Programma!$F$3:$Y$1101,20,0),"")</f>
        <v/>
      </c>
      <c r="CE424" s="327"/>
      <c r="CF424" s="327"/>
      <c r="CG424" s="327"/>
      <c r="CH424" s="327"/>
      <c r="CI424" s="327"/>
      <c r="CJ424" s="327"/>
      <c r="CK424" s="327"/>
      <c r="CL424" s="327"/>
      <c r="CM424" s="327"/>
      <c r="CN424" s="327"/>
      <c r="CO424" s="327"/>
      <c r="CP424" s="327"/>
      <c r="CQ424" s="327"/>
      <c r="CR424" s="327"/>
      <c r="CS424" s="327"/>
      <c r="CT424" s="327"/>
      <c r="CU424" s="327"/>
      <c r="CV424" s="327"/>
      <c r="CW424" s="327"/>
      <c r="CX424" s="327"/>
      <c r="CY424" s="327"/>
      <c r="CZ424" s="327"/>
      <c r="DA424" s="327"/>
      <c r="DB424" s="327"/>
      <c r="DC424" s="327"/>
      <c r="DD424" s="327"/>
      <c r="DE424" s="327"/>
      <c r="DF424" s="327"/>
      <c r="DG424" s="327"/>
      <c r="DH424" s="327"/>
      <c r="DI424" s="327"/>
      <c r="DJ424" s="327"/>
      <c r="DK424" s="327"/>
      <c r="DL424" s="327"/>
      <c r="DM424" s="327"/>
      <c r="DN424" s="327"/>
      <c r="DO424" s="327"/>
      <c r="DP424" s="327"/>
      <c r="DQ424" s="327"/>
      <c r="DR424" s="327"/>
      <c r="DS424" s="327"/>
      <c r="DT424" s="327"/>
      <c r="DU424" s="327"/>
      <c r="DV424" s="327"/>
      <c r="DW424" s="327"/>
      <c r="DX424" s="327"/>
      <c r="DY424" s="327"/>
      <c r="DZ424" s="327"/>
      <c r="EA424" s="327"/>
      <c r="EB424" s="327"/>
      <c r="EC424" s="327"/>
      <c r="ED424" s="327"/>
      <c r="EE424" s="327"/>
      <c r="EF424" s="327"/>
      <c r="EG424" s="327"/>
      <c r="EH424" s="327"/>
      <c r="EI424" s="327"/>
      <c r="EJ424" s="327"/>
      <c r="EK424" s="327"/>
      <c r="EL424" s="327"/>
      <c r="EM424" s="327"/>
      <c r="EN424" s="327"/>
      <c r="EO424" s="327"/>
      <c r="EP424" s="327"/>
      <c r="EQ424" s="327"/>
      <c r="ER424" s="327"/>
      <c r="ES424" s="327"/>
      <c r="ET424" s="327"/>
      <c r="EU424" s="327"/>
      <c r="EV424" s="327"/>
      <c r="EW424" s="327"/>
      <c r="EX424" s="327"/>
      <c r="EY424" s="327"/>
      <c r="EZ424" s="327"/>
      <c r="FA424" s="327"/>
      <c r="FB424" s="327"/>
      <c r="FC424" s="327"/>
      <c r="FD424" s="327"/>
      <c r="FE424" s="327"/>
      <c r="FF424" s="327"/>
      <c r="FG424" s="327"/>
      <c r="FH424" s="327"/>
      <c r="FI424" s="327"/>
      <c r="FJ424" s="327"/>
      <c r="FK424" s="327"/>
      <c r="FL424" s="327"/>
      <c r="FM424" s="327"/>
      <c r="FN424" s="327"/>
      <c r="FO424" s="327"/>
      <c r="FP424" s="327"/>
      <c r="FQ424" s="327"/>
      <c r="FR424" s="327"/>
      <c r="FS424" s="327"/>
      <c r="FT424" s="327"/>
      <c r="FU424" s="327"/>
      <c r="FV424" s="327"/>
      <c r="FW424" s="327"/>
      <c r="FX424" s="327"/>
      <c r="FY424" s="327"/>
      <c r="FZ424" s="327"/>
      <c r="GA424" s="327"/>
      <c r="GB424" s="327"/>
      <c r="GC424" s="327"/>
      <c r="GD424" s="327"/>
      <c r="GE424" s="327"/>
      <c r="GF424" s="327"/>
      <c r="GG424" s="327"/>
      <c r="GH424" s="327"/>
      <c r="GI424" s="327"/>
      <c r="GJ424" s="327"/>
      <c r="GK424" s="327"/>
      <c r="GL424" s="327"/>
      <c r="GM424" s="327"/>
      <c r="GN424" s="327"/>
      <c r="GO424" s="327"/>
      <c r="GP424" s="327"/>
      <c r="GQ424" s="327"/>
      <c r="GR424" s="327"/>
      <c r="GS424" s="327"/>
      <c r="GT424" s="327"/>
      <c r="GU424" s="327"/>
      <c r="GV424" s="327"/>
      <c r="GW424" s="327"/>
      <c r="GX424" s="327"/>
      <c r="GY424" s="327"/>
      <c r="GZ424" s="327"/>
      <c r="HA424" s="327"/>
      <c r="HB424" s="327"/>
      <c r="HC424" s="327"/>
      <c r="HD424" s="327"/>
      <c r="HE424" s="327"/>
      <c r="HF424" s="327"/>
      <c r="HG424" s="327"/>
      <c r="HH424" s="327"/>
      <c r="HI424" s="327"/>
      <c r="HJ424" s="327"/>
      <c r="HK424" s="327"/>
      <c r="HL424" s="327"/>
      <c r="HM424" s="327"/>
      <c r="HN424" s="327"/>
      <c r="HO424" s="327"/>
      <c r="HP424" s="327"/>
      <c r="HQ424" s="327"/>
      <c r="HR424" s="327"/>
      <c r="HS424" s="327"/>
    </row>
    <row r="425" spans="1:227" ht="15" customHeight="1">
      <c r="A425" s="327">
        <v>17</v>
      </c>
      <c r="B425" s="435" t="str">
        <f>VLOOKUP(Ruimtestaat[[#This Row],[Code]],Locaties[[Code]:[Locatie]],2,FALSE)</f>
        <v>IKC de Tjalk Kadelaan 208 (bijgebouw)</v>
      </c>
      <c r="C425" s="435" t="str">
        <f>VLOOKUP(Ruimtestaat[[#This Row],[Code]],Locaties[[#All],[Code]:[Adres]],4,FALSE)</f>
        <v>Kadelaan 208</v>
      </c>
      <c r="D425" s="435" t="str">
        <f>VLOOKUP(Ruimtestaat[[#This Row],[Code]],Locaties[[#All],[Code]:[Postcode]],5,FALSE)</f>
        <v>2725 BR</v>
      </c>
      <c r="E425" s="435" t="str">
        <f>VLOOKUP(Ruimtestaat[[#This Row],[Code]],Locaties[#All],6,FALSE)</f>
        <v>Zoetermeer</v>
      </c>
      <c r="F425" s="450"/>
      <c r="G425" s="330" t="s">
        <v>1678</v>
      </c>
      <c r="H425" s="330">
        <v>82</v>
      </c>
      <c r="I425" s="450" t="s">
        <v>1857</v>
      </c>
      <c r="J425" s="330">
        <v>3</v>
      </c>
      <c r="K425" s="450" t="str">
        <f>VLOOKUP(Ruimtestaat[[#This Row],[Ruimte code]],Ruimtegroepen[[#All],[Code]:[Ruimte omschrijving]],2,FALSE)</f>
        <v>Reproruimte</v>
      </c>
      <c r="L425" s="330" t="s">
        <v>101</v>
      </c>
      <c r="M425" s="437" t="s">
        <v>1816</v>
      </c>
      <c r="N425" s="439">
        <v>4.84</v>
      </c>
      <c r="O425" s="439"/>
      <c r="P425" s="439"/>
      <c r="Q425" s="439"/>
      <c r="R425" s="440" t="str">
        <f>VLOOKUP(Ruimtestaat[[#This Row],[Ruimte code]],Ruimtegroepen[],4,FALSE)</f>
        <v>Ve</v>
      </c>
      <c r="S425" s="434">
        <v>40</v>
      </c>
      <c r="T425" s="434" t="s">
        <v>2</v>
      </c>
      <c r="U425" s="434">
        <f>IF(S425&gt;0,IF(RIGHT(Ruimtestaat[[#This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5" s="434">
        <f>IF(U425&gt;0,VLOOKUP($J425,Ruimtegroepen[],3,FALSE)*VLOOKUP($L425,Vloersoorten[],3,FALSE)*VLOOKUP($T425,Frequenties[],3,FALSE)*VLOOKUP($A425,Locaties[],3,FALSE),0)</f>
        <v>0</v>
      </c>
      <c r="W425" s="434">
        <f>Ruimtestaat[[#This Row],[Uitvoeringen werkdagen]]*Ruimtestaat[[#This Row],[Oppervlak (netto)]]</f>
        <v>968</v>
      </c>
      <c r="X425" s="441">
        <f>IF(V425&gt;0,Ruimtestaat[[#This Row],[Prest. (m2 /jaar) werkdagen]]/Ruimtestaat[[#This Row],[Norm (m2/uur) werkdagen]],0)</f>
        <v>0</v>
      </c>
      <c r="Y425" s="442">
        <f>Ruimtestaat[[#This Row],[Uitvoeringen werkdagen]]*Ruimtestaat[[#This Row],[Gedeeltelijk]]</f>
        <v>0</v>
      </c>
      <c r="Z425" s="443" t="e">
        <f>IF(U425&gt;0,Ruimtestaat[[#This Row],[Prest. (m2 / jaar) werkdagen gedeeld]]/Ruimtestaat[[#This Row],[Norm (m2/uur) werkdagen]],0)</f>
        <v>#DIV/0!</v>
      </c>
      <c r="AA425" s="441" t="e">
        <f>Ruimtestaat[[#This Row],[uren / jaar werkdagen gedeeld]]*Tariefsopbouw!$E$35</f>
        <v>#DIV/0!</v>
      </c>
      <c r="AB425" s="441">
        <f>Ruimtestaat[[#This Row],[Uitvoeringen werkdagen]]*Ruimtestaat[[#This Row],[BSO]]</f>
        <v>0</v>
      </c>
      <c r="AC425" s="443" t="e">
        <f>IF(U425&gt;0,Ruimtestaat[[#This Row],[Prest. (m2 / jaar) werkdagen BSO]]/Ruimtestaat[[#This Row],[Norm (m2/uur) werkdagen]],0)</f>
        <v>#DIV/0!</v>
      </c>
      <c r="AD425" s="443" t="e">
        <f>Ruimtestaat[[#This Row],[uren / jaar werkdagen BSO]]*Tariefsopbouw!$E$35</f>
        <v>#DIV/0!</v>
      </c>
      <c r="AE425" s="444">
        <f>Ruimtestaat[[#This Row],[uren / jaar werkdagen]]*Tariefsopbouw!$E$35</f>
        <v>0</v>
      </c>
      <c r="AF425" s="434"/>
      <c r="AG425" s="434">
        <f>IF(Ruimtestaat[[#This Row],[Frequentie weekend]]&gt;0,VALUE(LEFT(AF425,1))*S425,0)</f>
        <v>0</v>
      </c>
      <c r="AH425" s="445">
        <f>IF($AG425&gt;0,VLOOKUP($J425,Ruimtegroepen[],3,FALSE)*VLOOKUP($L425,Vloersoorten[],3,FALSE)*VLOOKUP($AF425,Frequenties[],3,FALSE)*VLOOKUP(Ruimtestaat[[#This Row],[Code]],Locaties[],3,FALSE),0)</f>
        <v>0</v>
      </c>
      <c r="AI425" s="445">
        <f>Ruimtestaat[[#This Row],[Uitvoeringen weekend]]*Ruimtestaat[[#This Row],[Oppervlak (netto)]]</f>
        <v>0</v>
      </c>
      <c r="AJ425" s="445">
        <f>IF(AH425&gt;0,Ruimtestaat[[#This Row],[Prest. (m2 /jaar) weekend]]/Ruimtestaat[[#This Row],[Norm (m2/uur) weekend]],0)</f>
        <v>0</v>
      </c>
      <c r="AK425" s="444">
        <f>Ruimtestaat[[#This Row],[uren / jaar weekend]]*Tariefsopbouw!$D$40</f>
        <v>0</v>
      </c>
      <c r="AL425" s="441">
        <f>Ruimtestaat[[#This Row],[Prest. (m2 /jaar) weekend]]+Ruimtestaat[[#This Row],[Prest. (m2 /jaar) werkdagen]]</f>
        <v>968</v>
      </c>
      <c r="AM425" s="441">
        <f>Ruimtestaat[[#This Row],[uren / jaar weekend]]+Ruimtestaat[[#This Row],[uren / jaar werkdagen]]</f>
        <v>0</v>
      </c>
      <c r="AN425" s="446">
        <f>Ruimtestaat[[#This Row],[kosten / jaar weekend]]+Ruimtestaat[[#This Row],[kosten / jaar werkdagen]]</f>
        <v>0</v>
      </c>
      <c r="AO425" s="446"/>
      <c r="AP425" s="447" t="str">
        <f>IF(Ruimtestaat[[#This Row],[Frequentie werkdagen]]="","",_xlfn.CONCAT(Ruimtestaat[[#This Row],[Ruimte code]],"-",Ruimtestaat[[#This Row],[Frequentie werkdagen]]," ",Ruimtestaat[[#This Row],[Vloer code]]))</f>
        <v>3-5w S</v>
      </c>
      <c r="AQ425" s="448" t="str">
        <f>_xlfn.IFNA(VLOOKUP($AP425,Programma!$F$3:$G$1101,2,0),"")</f>
        <v>_</v>
      </c>
      <c r="AR425" s="448" t="str">
        <f>_xlfn.IFNA(VLOOKUP($AP425,Programma!$F$3:$H$1101,3,0),"")</f>
        <v>_</v>
      </c>
      <c r="AS425" s="448" t="str">
        <f>_xlfn.IFNA(VLOOKUP($AP425,Programma!$F$3:$I$1101,4,0),"")</f>
        <v>4w</v>
      </c>
      <c r="AT425" s="448" t="str">
        <f>_xlfn.IFNA(VLOOKUP($AP425,Programma!$F$3:$J$1101,5,0),"")</f>
        <v>1w</v>
      </c>
      <c r="AU425" s="448" t="str">
        <f>_xlfn.IFNA(VLOOKUP($AP425,Programma!$F$3:$K$1101,6,0),"")</f>
        <v>2j</v>
      </c>
      <c r="AV425" s="448" t="str">
        <f>_xlfn.IFNA(VLOOKUP($AP425,Programma!$F$3:$L$1101,7,0),"")</f>
        <v>_</v>
      </c>
      <c r="AW425" s="448" t="str">
        <f>_xlfn.IFNA(VLOOKUP($AP425,Programma!$F$3:$M$1101,8,0),"")</f>
        <v>_</v>
      </c>
      <c r="AX425" s="448" t="str">
        <f>_xlfn.IFNA(VLOOKUP($AP425,Programma!$F$3:$N$1101,9,0),"")</f>
        <v>_</v>
      </c>
      <c r="AY425" s="448" t="str">
        <f>_xlfn.IFNA(VLOOKUP($AP425,Programma!$F$3:$O$1101,10,0),"")</f>
        <v>5w</v>
      </c>
      <c r="AZ425" s="448" t="str">
        <f>_xlfn.IFNA(VLOOKUP($AP425,Programma!$F$3:$P$1101,11,0),"")</f>
        <v>5w</v>
      </c>
      <c r="BA425" s="448" t="str">
        <f>_xlfn.IFNA(VLOOKUP($AP425,Programma!$F$3:$Q$1101,12,0),"")</f>
        <v>1w</v>
      </c>
      <c r="BB425" s="448" t="str">
        <f>_xlfn.IFNA(VLOOKUP($AP425,Programma!$F$3:$R$1101,13,0),"")</f>
        <v>1w</v>
      </c>
      <c r="BC425" s="448" t="str">
        <f>_xlfn.IFNA(VLOOKUP($AP425,Programma!$F$3:$S$1101,14,0),"")</f>
        <v>1m</v>
      </c>
      <c r="BD425" s="448" t="str">
        <f>_xlfn.IFNA(VLOOKUP($AP425,Programma!$F$3:$T$1101,15,0),"")</f>
        <v>4j</v>
      </c>
      <c r="BE425" s="448" t="str">
        <f>_xlfn.IFNA(VLOOKUP($AP425,Programma!$F$3:$U$1101,16,0),"")</f>
        <v>1j</v>
      </c>
      <c r="BF425" s="448" t="str">
        <f>_xlfn.IFNA(VLOOKUP($AP425,Programma!$F$3:$V$1101,17,0),"")</f>
        <v>_</v>
      </c>
      <c r="BG425" s="448" t="str">
        <f>_xlfn.IFNA(VLOOKUP($AP425,Programma!$F$3:$W$1101,18,0),"")</f>
        <v>_</v>
      </c>
      <c r="BH425" s="448" t="str">
        <f>_xlfn.IFNA(VLOOKUP($AP425,Programma!$F$3:$X$1101,19,0),"")</f>
        <v>_</v>
      </c>
      <c r="BI425" s="448" t="str">
        <f>_xlfn.IFNA(VLOOKUP($AP425,Programma!$F$3:$Y$1101,20,0),"")</f>
        <v>_</v>
      </c>
      <c r="BJ425" s="449"/>
      <c r="BK425" s="447" t="str">
        <f>IF(Ruimtestaat[[#This Row],[Frequentie weekend]]="","",_xlfn.CONCAT(Ruimtestaat[[#This Row],[Ruimte code]],"-",Ruimtestaat[[#This Row],[Frequentie weekend]]," ",Ruimtestaat[[#This Row],[Vloer code]]))</f>
        <v/>
      </c>
      <c r="BL425" s="448" t="str">
        <f>_xlfn.IFNA(VLOOKUP($BK425,Programma!$F$3:$G$1101,2,0),"")</f>
        <v/>
      </c>
      <c r="BM425" s="448" t="str">
        <f>_xlfn.IFNA(VLOOKUP($BK425,Programma!$F$3:$H$1101,3,0),"")</f>
        <v/>
      </c>
      <c r="BN425" s="448" t="str">
        <f>_xlfn.IFNA(VLOOKUP($BK425,Programma!$F$3:$I$1101,4,0),"")</f>
        <v/>
      </c>
      <c r="BO425" s="448" t="str">
        <f>_xlfn.IFNA(VLOOKUP($BK425,Programma!$F$3:$J$1101,5,0),"")</f>
        <v/>
      </c>
      <c r="BP425" s="448" t="str">
        <f>_xlfn.IFNA(VLOOKUP($BK425,Programma!$F$3:$K$1101,6,0),"")</f>
        <v/>
      </c>
      <c r="BQ425" s="448" t="str">
        <f>_xlfn.IFNA(VLOOKUP($BK425,Programma!$F$3:$L$1101,7,0),"")</f>
        <v/>
      </c>
      <c r="BR425" s="448" t="str">
        <f>_xlfn.IFNA(VLOOKUP($BK425,Programma!$F$3:$M$1101,8,0),"")</f>
        <v/>
      </c>
      <c r="BS425" s="448" t="str">
        <f>_xlfn.IFNA(VLOOKUP($BK425,Programma!$F$3:$N$1101,9,0),"")</f>
        <v/>
      </c>
      <c r="BT425" s="448" t="str">
        <f>_xlfn.IFNA(VLOOKUP($BK425,Programma!$F$3:$O$1101,10,0),"")</f>
        <v/>
      </c>
      <c r="BU425" s="448" t="str">
        <f>_xlfn.IFNA(VLOOKUP($BK425,Programma!$F$3:$P$1101,11,0),"")</f>
        <v/>
      </c>
      <c r="BV425" s="448" t="str">
        <f>_xlfn.IFNA(VLOOKUP($BK425,Programma!$F$3:$Q$1101,12,0),"")</f>
        <v/>
      </c>
      <c r="BW425" s="448" t="str">
        <f>_xlfn.IFNA(VLOOKUP($BK425,Programma!$F$3:$R$1101,13,0),"")</f>
        <v/>
      </c>
      <c r="BX425" s="448" t="str">
        <f>_xlfn.IFNA(VLOOKUP($BK425,Programma!$F$3:$S$1101,14,0),"")</f>
        <v/>
      </c>
      <c r="BY425" s="448" t="str">
        <f>_xlfn.IFNA(VLOOKUP($BK425,Programma!$F$3:$T$1101,15,0),"")</f>
        <v/>
      </c>
      <c r="BZ425" s="448" t="str">
        <f>_xlfn.IFNA(VLOOKUP($BK425,Programma!$F$3:$U$1101,16,0),"")</f>
        <v/>
      </c>
      <c r="CA425" s="448" t="str">
        <f>_xlfn.IFNA(VLOOKUP($BK425,Programma!$F$3:$V$1101,17,0),"")</f>
        <v/>
      </c>
      <c r="CB425" s="448" t="str">
        <f>_xlfn.IFNA(VLOOKUP($BK425,Programma!$F$3:$W$1101,18,0),"")</f>
        <v/>
      </c>
      <c r="CC425" s="448" t="str">
        <f>_xlfn.IFNA(VLOOKUP($BK425,Programma!$F$3:$X$1101,19,0),"")</f>
        <v/>
      </c>
      <c r="CD425" s="448" t="str">
        <f>_xlfn.IFNA(VLOOKUP($BK425,Programma!$F$3:$Y$1101,20,0),"")</f>
        <v/>
      </c>
      <c r="CE425" s="327"/>
      <c r="CF425" s="327"/>
      <c r="CG425" s="327"/>
      <c r="CH425" s="327"/>
      <c r="CI425" s="327"/>
      <c r="CJ425" s="327"/>
      <c r="CK425" s="327"/>
      <c r="CL425" s="327"/>
      <c r="CM425" s="327"/>
      <c r="CN425" s="327"/>
      <c r="CO425" s="327"/>
      <c r="CP425" s="327"/>
      <c r="CQ425" s="327"/>
      <c r="CR425" s="327"/>
      <c r="CS425" s="327"/>
      <c r="CT425" s="327"/>
      <c r="CU425" s="327"/>
      <c r="CV425" s="327"/>
      <c r="CW425" s="327"/>
      <c r="CX425" s="327"/>
      <c r="CY425" s="327"/>
      <c r="CZ425" s="327"/>
      <c r="DA425" s="327"/>
      <c r="DB425" s="327"/>
      <c r="DC425" s="327"/>
      <c r="DD425" s="327"/>
      <c r="DE425" s="327"/>
      <c r="DF425" s="327"/>
      <c r="DG425" s="327"/>
      <c r="DH425" s="327"/>
      <c r="DI425" s="327"/>
      <c r="DJ425" s="327"/>
      <c r="DK425" s="327"/>
      <c r="DL425" s="327"/>
      <c r="DM425" s="327"/>
      <c r="DN425" s="327"/>
      <c r="DO425" s="327"/>
      <c r="DP425" s="327"/>
      <c r="DQ425" s="327"/>
      <c r="DR425" s="327"/>
      <c r="DS425" s="327"/>
      <c r="DT425" s="327"/>
      <c r="DU425" s="327"/>
      <c r="DV425" s="327"/>
      <c r="DW425" s="327"/>
      <c r="DX425" s="327"/>
      <c r="DY425" s="327"/>
      <c r="DZ425" s="327"/>
      <c r="EA425" s="327"/>
      <c r="EB425" s="327"/>
      <c r="EC425" s="327"/>
      <c r="ED425" s="327"/>
      <c r="EE425" s="327"/>
      <c r="EF425" s="327"/>
      <c r="EG425" s="327"/>
      <c r="EH425" s="327"/>
      <c r="EI425" s="327"/>
      <c r="EJ425" s="327"/>
      <c r="EK425" s="327"/>
      <c r="EL425" s="327"/>
      <c r="EM425" s="327"/>
      <c r="EN425" s="327"/>
      <c r="EO425" s="327"/>
      <c r="EP425" s="327"/>
      <c r="EQ425" s="327"/>
      <c r="ER425" s="327"/>
      <c r="ES425" s="327"/>
      <c r="ET425" s="327"/>
      <c r="EU425" s="327"/>
      <c r="EV425" s="327"/>
      <c r="EW425" s="327"/>
      <c r="EX425" s="327"/>
      <c r="EY425" s="327"/>
      <c r="EZ425" s="327"/>
      <c r="FA425" s="327"/>
      <c r="FB425" s="327"/>
      <c r="FC425" s="327"/>
      <c r="FD425" s="327"/>
      <c r="FE425" s="327"/>
      <c r="FF425" s="327"/>
      <c r="FG425" s="327"/>
      <c r="FH425" s="327"/>
      <c r="FI425" s="327"/>
      <c r="FJ425" s="327"/>
      <c r="FK425" s="327"/>
      <c r="FL425" s="327"/>
      <c r="FM425" s="327"/>
      <c r="FN425" s="327"/>
      <c r="FO425" s="327"/>
      <c r="FP425" s="327"/>
      <c r="FQ425" s="327"/>
      <c r="FR425" s="327"/>
      <c r="FS425" s="327"/>
      <c r="FT425" s="327"/>
      <c r="FU425" s="327"/>
      <c r="FV425" s="327"/>
      <c r="FW425" s="327"/>
      <c r="FX425" s="327"/>
      <c r="FY425" s="327"/>
      <c r="FZ425" s="327"/>
      <c r="GA425" s="327"/>
      <c r="GB425" s="327"/>
      <c r="GC425" s="327"/>
      <c r="GD425" s="327"/>
      <c r="GE425" s="327"/>
      <c r="GF425" s="327"/>
      <c r="GG425" s="327"/>
      <c r="GH425" s="327"/>
      <c r="GI425" s="327"/>
      <c r="GJ425" s="327"/>
      <c r="GK425" s="327"/>
      <c r="GL425" s="327"/>
      <c r="GM425" s="327"/>
      <c r="GN425" s="327"/>
      <c r="GO425" s="327"/>
      <c r="GP425" s="327"/>
      <c r="GQ425" s="327"/>
      <c r="GR425" s="327"/>
      <c r="GS425" s="327"/>
      <c r="GT425" s="327"/>
      <c r="GU425" s="327"/>
      <c r="GV425" s="327"/>
      <c r="GW425" s="327"/>
      <c r="GX425" s="327"/>
      <c r="GY425" s="327"/>
      <c r="GZ425" s="327"/>
      <c r="HA425" s="327"/>
      <c r="HB425" s="327"/>
      <c r="HC425" s="327"/>
      <c r="HD425" s="327"/>
      <c r="HE425" s="327"/>
      <c r="HF425" s="327"/>
      <c r="HG425" s="327"/>
      <c r="HH425" s="327"/>
      <c r="HI425" s="327"/>
      <c r="HJ425" s="327"/>
      <c r="HK425" s="327"/>
      <c r="HL425" s="327"/>
      <c r="HM425" s="327"/>
      <c r="HN425" s="327"/>
      <c r="HO425" s="327"/>
      <c r="HP425" s="327"/>
      <c r="HQ425" s="327"/>
      <c r="HR425" s="327"/>
      <c r="HS425" s="327"/>
    </row>
    <row r="426" spans="1:227" ht="15" customHeight="1">
      <c r="A426" s="327">
        <v>17</v>
      </c>
      <c r="B426" s="435" t="str">
        <f>VLOOKUP(Ruimtestaat[[#This Row],[Code]],Locaties[[Code]:[Locatie]],2,FALSE)</f>
        <v>IKC de Tjalk Kadelaan 208 (bijgebouw)</v>
      </c>
      <c r="C426" s="435" t="str">
        <f>VLOOKUP(Ruimtestaat[[#This Row],[Code]],Locaties[[#All],[Code]:[Adres]],4,FALSE)</f>
        <v>Kadelaan 208</v>
      </c>
      <c r="D426" s="435" t="str">
        <f>VLOOKUP(Ruimtestaat[[#This Row],[Code]],Locaties[[#All],[Code]:[Postcode]],5,FALSE)</f>
        <v>2725 BR</v>
      </c>
      <c r="E426" s="435" t="str">
        <f>VLOOKUP(Ruimtestaat[[#This Row],[Code]],Locaties[#All],6,FALSE)</f>
        <v>Zoetermeer</v>
      </c>
      <c r="F426" s="450"/>
      <c r="G426" s="330" t="s">
        <v>1678</v>
      </c>
      <c r="H426" s="330">
        <v>42</v>
      </c>
      <c r="I426" s="450" t="s">
        <v>1708</v>
      </c>
      <c r="J426" s="330">
        <v>6</v>
      </c>
      <c r="K426" s="450" t="str">
        <f>VLOOKUP(Ruimtestaat[[#This Row],[Ruimte code]],Ruimtegroepen[[#All],[Code]:[Ruimte omschrijving]],2,FALSE)</f>
        <v>Gangen/hallen</v>
      </c>
      <c r="L426" s="330" t="s">
        <v>101</v>
      </c>
      <c r="M426" s="437" t="s">
        <v>1816</v>
      </c>
      <c r="N426" s="439">
        <v>29.11</v>
      </c>
      <c r="O426" s="439"/>
      <c r="P426" s="439"/>
      <c r="Q426" s="439"/>
      <c r="R426" s="440" t="str">
        <f>VLOOKUP(Ruimtestaat[[#This Row],[Ruimte code]],Ruimtegroepen[],4,FALSE)</f>
        <v>Ve</v>
      </c>
      <c r="S426" s="434">
        <v>41</v>
      </c>
      <c r="T426" s="434" t="s">
        <v>2</v>
      </c>
      <c r="U426" s="434">
        <f>IF(S426&gt;0,IF(RIGHT(Ruimtestaat[[#This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26" s="434">
        <f>IF(U426&gt;0,VLOOKUP($J426,Ruimtegroepen[],3,FALSE)*VLOOKUP($L426,Vloersoorten[],3,FALSE)*VLOOKUP($T426,Frequenties[],3,FALSE)*VLOOKUP($A426,Locaties[],3,FALSE),0)</f>
        <v>0</v>
      </c>
      <c r="W426" s="434">
        <f>Ruimtestaat[[#This Row],[Uitvoeringen werkdagen]]*Ruimtestaat[[#This Row],[Oppervlak (netto)]]</f>
        <v>5967.55</v>
      </c>
      <c r="X426" s="441">
        <f>IF(V426&gt;0,Ruimtestaat[[#This Row],[Prest. (m2 /jaar) werkdagen]]/Ruimtestaat[[#This Row],[Norm (m2/uur) werkdagen]],0)</f>
        <v>0</v>
      </c>
      <c r="Y426" s="442">
        <f>Ruimtestaat[[#This Row],[Uitvoeringen werkdagen]]*Ruimtestaat[[#This Row],[Gedeeltelijk]]</f>
        <v>0</v>
      </c>
      <c r="Z426" s="443" t="e">
        <f>IF(U426&gt;0,Ruimtestaat[[#This Row],[Prest. (m2 / jaar) werkdagen gedeeld]]/Ruimtestaat[[#This Row],[Norm (m2/uur) werkdagen]],0)</f>
        <v>#DIV/0!</v>
      </c>
      <c r="AA426" s="441" t="e">
        <f>Ruimtestaat[[#This Row],[uren / jaar werkdagen gedeeld]]*Tariefsopbouw!$E$35</f>
        <v>#DIV/0!</v>
      </c>
      <c r="AB426" s="441">
        <f>Ruimtestaat[[#This Row],[Uitvoeringen werkdagen]]*Ruimtestaat[[#This Row],[BSO]]</f>
        <v>0</v>
      </c>
      <c r="AC426" s="443" t="e">
        <f>IF(U426&gt;0,Ruimtestaat[[#This Row],[Prest. (m2 / jaar) werkdagen BSO]]/Ruimtestaat[[#This Row],[Norm (m2/uur) werkdagen]],0)</f>
        <v>#DIV/0!</v>
      </c>
      <c r="AD426" s="443" t="e">
        <f>Ruimtestaat[[#This Row],[uren / jaar werkdagen BSO]]*Tariefsopbouw!$E$35</f>
        <v>#DIV/0!</v>
      </c>
      <c r="AE426" s="444">
        <f>Ruimtestaat[[#This Row],[uren / jaar werkdagen]]*Tariefsopbouw!$E$35</f>
        <v>0</v>
      </c>
      <c r="AF426" s="434"/>
      <c r="AG426" s="434">
        <f>IF(Ruimtestaat[[#This Row],[Frequentie weekend]]&gt;0,VALUE(LEFT(AF426,1))*S426,0)</f>
        <v>0</v>
      </c>
      <c r="AH426" s="445">
        <f>IF($AG426&gt;0,VLOOKUP($J426,Ruimtegroepen[],3,FALSE)*VLOOKUP($L426,Vloersoorten[],3,FALSE)*VLOOKUP($AF426,Frequenties[],3,FALSE)*VLOOKUP(Ruimtestaat[[#This Row],[Code]],Locaties[],3,FALSE),0)</f>
        <v>0</v>
      </c>
      <c r="AI426" s="445">
        <f>Ruimtestaat[[#This Row],[Uitvoeringen weekend]]*Ruimtestaat[[#This Row],[Oppervlak (netto)]]</f>
        <v>0</v>
      </c>
      <c r="AJ426" s="445">
        <f>IF(AH426&gt;0,Ruimtestaat[[#This Row],[Prest. (m2 /jaar) weekend]]/Ruimtestaat[[#This Row],[Norm (m2/uur) weekend]],0)</f>
        <v>0</v>
      </c>
      <c r="AK426" s="444">
        <f>Ruimtestaat[[#This Row],[uren / jaar weekend]]*Tariefsopbouw!$D$40</f>
        <v>0</v>
      </c>
      <c r="AL426" s="441">
        <f>Ruimtestaat[[#This Row],[Prest. (m2 /jaar) weekend]]+Ruimtestaat[[#This Row],[Prest. (m2 /jaar) werkdagen]]</f>
        <v>5967.55</v>
      </c>
      <c r="AM426" s="441">
        <f>Ruimtestaat[[#This Row],[uren / jaar weekend]]+Ruimtestaat[[#This Row],[uren / jaar werkdagen]]</f>
        <v>0</v>
      </c>
      <c r="AN426" s="446">
        <f>Ruimtestaat[[#This Row],[kosten / jaar weekend]]+Ruimtestaat[[#This Row],[kosten / jaar werkdagen]]</f>
        <v>0</v>
      </c>
      <c r="AO426" s="446"/>
      <c r="AP426" s="447" t="str">
        <f>IF(Ruimtestaat[[#This Row],[Frequentie werkdagen]]="","",_xlfn.CONCAT(Ruimtestaat[[#This Row],[Ruimte code]],"-",Ruimtestaat[[#This Row],[Frequentie werkdagen]]," ",Ruimtestaat[[#This Row],[Vloer code]]))</f>
        <v>6-5w S</v>
      </c>
      <c r="AQ426" s="448" t="str">
        <f>_xlfn.IFNA(VLOOKUP($AP426,Programma!$F$3:$G$1101,2,0),"")</f>
        <v>_</v>
      </c>
      <c r="AR426" s="448" t="str">
        <f>_xlfn.IFNA(VLOOKUP($AP426,Programma!$F$3:$H$1101,3,0),"")</f>
        <v>_</v>
      </c>
      <c r="AS426" s="448" t="str">
        <f>_xlfn.IFNA(VLOOKUP($AP426,Programma!$F$3:$I$1101,4,0),"")</f>
        <v>5w</v>
      </c>
      <c r="AT426" s="448" t="str">
        <f>_xlfn.IFNA(VLOOKUP($AP426,Programma!$F$3:$J$1101,5,0),"")</f>
        <v>_</v>
      </c>
      <c r="AU426" s="448" t="str">
        <f>_xlfn.IFNA(VLOOKUP($AP426,Programma!$F$3:$K$1101,6,0),"")</f>
        <v>5w</v>
      </c>
      <c r="AV426" s="448" t="str">
        <f>_xlfn.IFNA(VLOOKUP($AP426,Programma!$F$3:$L$1101,7,0),"")</f>
        <v>_</v>
      </c>
      <c r="AW426" s="448" t="str">
        <f>_xlfn.IFNA(VLOOKUP($AP426,Programma!$F$3:$M$1101,8,0),"")</f>
        <v>_</v>
      </c>
      <c r="AX426" s="448" t="str">
        <f>_xlfn.IFNA(VLOOKUP($AP426,Programma!$F$3:$N$1101,9,0),"")</f>
        <v>_</v>
      </c>
      <c r="AY426" s="448" t="str">
        <f>_xlfn.IFNA(VLOOKUP($AP426,Programma!$F$3:$O$1101,10,0),"")</f>
        <v>5w</v>
      </c>
      <c r="AZ426" s="448" t="str">
        <f>_xlfn.IFNA(VLOOKUP($AP426,Programma!$F$3:$P$1101,11,0),"")</f>
        <v>5w</v>
      </c>
      <c r="BA426" s="448" t="str">
        <f>_xlfn.IFNA(VLOOKUP($AP426,Programma!$F$3:$Q$1101,12,0),"")</f>
        <v>1w</v>
      </c>
      <c r="BB426" s="448" t="str">
        <f>_xlfn.IFNA(VLOOKUP($AP426,Programma!$F$3:$R$1101,13,0),"")</f>
        <v>1w</v>
      </c>
      <c r="BC426" s="448" t="str">
        <f>_xlfn.IFNA(VLOOKUP($AP426,Programma!$F$3:$S$1101,14,0),"")</f>
        <v>1m</v>
      </c>
      <c r="BD426" s="448" t="str">
        <f>_xlfn.IFNA(VLOOKUP($AP426,Programma!$F$3:$T$1101,15,0),"")</f>
        <v>2j</v>
      </c>
      <c r="BE426" s="448" t="str">
        <f>_xlfn.IFNA(VLOOKUP($AP426,Programma!$F$3:$U$1101,16,0),"")</f>
        <v>1j</v>
      </c>
      <c r="BF426" s="448" t="str">
        <f>_xlfn.IFNA(VLOOKUP($AP426,Programma!$F$3:$V$1101,17,0),"")</f>
        <v>_</v>
      </c>
      <c r="BG426" s="448" t="str">
        <f>_xlfn.IFNA(VLOOKUP($AP426,Programma!$F$3:$W$1101,18,0),"")</f>
        <v>_</v>
      </c>
      <c r="BH426" s="448" t="str">
        <f>_xlfn.IFNA(VLOOKUP($AP426,Programma!$F$3:$X$1101,19,0),"")</f>
        <v>_</v>
      </c>
      <c r="BI426" s="448" t="str">
        <f>_xlfn.IFNA(VLOOKUP($AP426,Programma!$F$3:$Y$1101,20,0),"")</f>
        <v>_</v>
      </c>
      <c r="BJ426" s="449"/>
      <c r="BK426" s="447" t="str">
        <f>IF(Ruimtestaat[[#This Row],[Frequentie weekend]]="","",_xlfn.CONCAT(Ruimtestaat[[#This Row],[Ruimte code]],"-",Ruimtestaat[[#This Row],[Frequentie weekend]]," ",Ruimtestaat[[#This Row],[Vloer code]]))</f>
        <v/>
      </c>
      <c r="BL426" s="448" t="str">
        <f>_xlfn.IFNA(VLOOKUP($BK426,Programma!$F$3:$G$1101,2,0),"")</f>
        <v/>
      </c>
      <c r="BM426" s="448" t="str">
        <f>_xlfn.IFNA(VLOOKUP($BK426,Programma!$F$3:$H$1101,3,0),"")</f>
        <v/>
      </c>
      <c r="BN426" s="448" t="str">
        <f>_xlfn.IFNA(VLOOKUP($BK426,Programma!$F$3:$I$1101,4,0),"")</f>
        <v/>
      </c>
      <c r="BO426" s="448" t="str">
        <f>_xlfn.IFNA(VLOOKUP($BK426,Programma!$F$3:$J$1101,5,0),"")</f>
        <v/>
      </c>
      <c r="BP426" s="448" t="str">
        <f>_xlfn.IFNA(VLOOKUP($BK426,Programma!$F$3:$K$1101,6,0),"")</f>
        <v/>
      </c>
      <c r="BQ426" s="448" t="str">
        <f>_xlfn.IFNA(VLOOKUP($BK426,Programma!$F$3:$L$1101,7,0),"")</f>
        <v/>
      </c>
      <c r="BR426" s="448" t="str">
        <f>_xlfn.IFNA(VLOOKUP($BK426,Programma!$F$3:$M$1101,8,0),"")</f>
        <v/>
      </c>
      <c r="BS426" s="448" t="str">
        <f>_xlfn.IFNA(VLOOKUP($BK426,Programma!$F$3:$N$1101,9,0),"")</f>
        <v/>
      </c>
      <c r="BT426" s="448" t="str">
        <f>_xlfn.IFNA(VLOOKUP($BK426,Programma!$F$3:$O$1101,10,0),"")</f>
        <v/>
      </c>
      <c r="BU426" s="448" t="str">
        <f>_xlfn.IFNA(VLOOKUP($BK426,Programma!$F$3:$P$1101,11,0),"")</f>
        <v/>
      </c>
      <c r="BV426" s="448" t="str">
        <f>_xlfn.IFNA(VLOOKUP($BK426,Programma!$F$3:$Q$1101,12,0),"")</f>
        <v/>
      </c>
      <c r="BW426" s="448" t="str">
        <f>_xlfn.IFNA(VLOOKUP($BK426,Programma!$F$3:$R$1101,13,0),"")</f>
        <v/>
      </c>
      <c r="BX426" s="448" t="str">
        <f>_xlfn.IFNA(VLOOKUP($BK426,Programma!$F$3:$S$1101,14,0),"")</f>
        <v/>
      </c>
      <c r="BY426" s="448" t="str">
        <f>_xlfn.IFNA(VLOOKUP($BK426,Programma!$F$3:$T$1101,15,0),"")</f>
        <v/>
      </c>
      <c r="BZ426" s="448" t="str">
        <f>_xlfn.IFNA(VLOOKUP($BK426,Programma!$F$3:$U$1101,16,0),"")</f>
        <v/>
      </c>
      <c r="CA426" s="448" t="str">
        <f>_xlfn.IFNA(VLOOKUP($BK426,Programma!$F$3:$V$1101,17,0),"")</f>
        <v/>
      </c>
      <c r="CB426" s="448" t="str">
        <f>_xlfn.IFNA(VLOOKUP($BK426,Programma!$F$3:$W$1101,18,0),"")</f>
        <v/>
      </c>
      <c r="CC426" s="448" t="str">
        <f>_xlfn.IFNA(VLOOKUP($BK426,Programma!$F$3:$X$1101,19,0),"")</f>
        <v/>
      </c>
      <c r="CD426" s="448" t="str">
        <f>_xlfn.IFNA(VLOOKUP($BK426,Programma!$F$3:$Y$1101,20,0),"")</f>
        <v/>
      </c>
      <c r="CE426" s="327"/>
      <c r="CF426" s="327"/>
      <c r="CG426" s="327"/>
      <c r="CH426" s="327"/>
      <c r="CI426" s="327"/>
      <c r="CJ426" s="327"/>
      <c r="CK426" s="327"/>
      <c r="CL426" s="327"/>
      <c r="CM426" s="327"/>
      <c r="CN426" s="327"/>
      <c r="CO426" s="327"/>
      <c r="CP426" s="327"/>
      <c r="CQ426" s="327"/>
      <c r="CR426" s="327"/>
      <c r="CS426" s="327"/>
      <c r="CT426" s="327"/>
      <c r="CU426" s="327"/>
      <c r="CV426" s="327"/>
      <c r="CW426" s="327"/>
      <c r="CX426" s="327"/>
      <c r="CY426" s="327"/>
      <c r="CZ426" s="327"/>
      <c r="DA426" s="327"/>
      <c r="DB426" s="327"/>
      <c r="DC426" s="327"/>
      <c r="DD426" s="327"/>
      <c r="DE426" s="327"/>
      <c r="DF426" s="327"/>
      <c r="DG426" s="327"/>
      <c r="DH426" s="327"/>
      <c r="DI426" s="327"/>
      <c r="DJ426" s="327"/>
      <c r="DK426" s="327"/>
      <c r="DL426" s="327"/>
      <c r="DM426" s="327"/>
      <c r="DN426" s="327"/>
      <c r="DO426" s="327"/>
      <c r="DP426" s="327"/>
      <c r="DQ426" s="327"/>
      <c r="DR426" s="327"/>
      <c r="DS426" s="327"/>
      <c r="DT426" s="327"/>
      <c r="DU426" s="327"/>
      <c r="DV426" s="327"/>
      <c r="DW426" s="327"/>
      <c r="DX426" s="327"/>
      <c r="DY426" s="327"/>
      <c r="DZ426" s="327"/>
      <c r="EA426" s="327"/>
      <c r="EB426" s="327"/>
      <c r="EC426" s="327"/>
      <c r="ED426" s="327"/>
      <c r="EE426" s="327"/>
      <c r="EF426" s="327"/>
      <c r="EG426" s="327"/>
      <c r="EH426" s="327"/>
      <c r="EI426" s="327"/>
      <c r="EJ426" s="327"/>
      <c r="EK426" s="327"/>
      <c r="EL426" s="327"/>
      <c r="EM426" s="327"/>
      <c r="EN426" s="327"/>
      <c r="EO426" s="327"/>
      <c r="EP426" s="327"/>
      <c r="EQ426" s="327"/>
      <c r="ER426" s="327"/>
      <c r="ES426" s="327"/>
      <c r="ET426" s="327"/>
      <c r="EU426" s="327"/>
      <c r="EV426" s="327"/>
      <c r="EW426" s="327"/>
      <c r="EX426" s="327"/>
      <c r="EY426" s="327"/>
      <c r="EZ426" s="327"/>
      <c r="FA426" s="327"/>
      <c r="FB426" s="327"/>
      <c r="FC426" s="327"/>
      <c r="FD426" s="327"/>
      <c r="FE426" s="327"/>
      <c r="FF426" s="327"/>
      <c r="FG426" s="327"/>
      <c r="FH426" s="327"/>
      <c r="FI426" s="327"/>
      <c r="FJ426" s="327"/>
      <c r="FK426" s="327"/>
      <c r="FL426" s="327"/>
      <c r="FM426" s="327"/>
      <c r="FN426" s="327"/>
      <c r="FO426" s="327"/>
      <c r="FP426" s="327"/>
      <c r="FQ426" s="327"/>
      <c r="FR426" s="327"/>
      <c r="FS426" s="327"/>
      <c r="FT426" s="327"/>
      <c r="FU426" s="327"/>
      <c r="FV426" s="327"/>
      <c r="FW426" s="327"/>
      <c r="FX426" s="327"/>
      <c r="FY426" s="327"/>
      <c r="FZ426" s="327"/>
      <c r="GA426" s="327"/>
      <c r="GB426" s="327"/>
      <c r="GC426" s="327"/>
      <c r="GD426" s="327"/>
      <c r="GE426" s="327"/>
      <c r="GF426" s="327"/>
      <c r="GG426" s="327"/>
      <c r="GH426" s="327"/>
      <c r="GI426" s="327"/>
      <c r="GJ426" s="327"/>
      <c r="GK426" s="327"/>
      <c r="GL426" s="327"/>
      <c r="GM426" s="327"/>
      <c r="GN426" s="327"/>
      <c r="GO426" s="327"/>
      <c r="GP426" s="327"/>
      <c r="GQ426" s="327"/>
      <c r="GR426" s="327"/>
      <c r="GS426" s="327"/>
      <c r="GT426" s="327"/>
      <c r="GU426" s="327"/>
      <c r="GV426" s="327"/>
      <c r="GW426" s="327"/>
      <c r="GX426" s="327"/>
      <c r="GY426" s="327"/>
      <c r="GZ426" s="327"/>
      <c r="HA426" s="327"/>
      <c r="HB426" s="327"/>
      <c r="HC426" s="327"/>
      <c r="HD426" s="327"/>
      <c r="HE426" s="327"/>
      <c r="HF426" s="327"/>
      <c r="HG426" s="327"/>
      <c r="HH426" s="327"/>
      <c r="HI426" s="327"/>
      <c r="HJ426" s="327"/>
      <c r="HK426" s="327"/>
      <c r="HL426" s="327"/>
      <c r="HM426" s="327"/>
      <c r="HN426" s="327"/>
      <c r="HO426" s="327"/>
      <c r="HP426" s="327"/>
      <c r="HQ426" s="327"/>
      <c r="HR426" s="327"/>
      <c r="HS426" s="327"/>
    </row>
    <row r="427" spans="1:227" ht="15" customHeight="1">
      <c r="A427" s="327">
        <v>17</v>
      </c>
      <c r="B427" s="435" t="str">
        <f>VLOOKUP(Ruimtestaat[[#This Row],[Code]],Locaties[[Code]:[Locatie]],2,FALSE)</f>
        <v>IKC de Tjalk Kadelaan 208 (bijgebouw)</v>
      </c>
      <c r="C427" s="435" t="str">
        <f>VLOOKUP(Ruimtestaat[[#This Row],[Code]],Locaties[[#All],[Code]:[Adres]],4,FALSE)</f>
        <v>Kadelaan 208</v>
      </c>
      <c r="D427" s="435" t="str">
        <f>VLOOKUP(Ruimtestaat[[#This Row],[Code]],Locaties[[#All],[Code]:[Postcode]],5,FALSE)</f>
        <v>2725 BR</v>
      </c>
      <c r="E427" s="435" t="str">
        <f>VLOOKUP(Ruimtestaat[[#This Row],[Code]],Locaties[#All],6,FALSE)</f>
        <v>Zoetermeer</v>
      </c>
      <c r="F427" s="450"/>
      <c r="G427" s="330" t="s">
        <v>1678</v>
      </c>
      <c r="H427" s="330">
        <v>43</v>
      </c>
      <c r="I427" s="450" t="s">
        <v>1858</v>
      </c>
      <c r="J427" s="330">
        <v>19</v>
      </c>
      <c r="K427" s="450" t="str">
        <f>VLOOKUP(Ruimtestaat[[#This Row],[Ruimte code]],Ruimtegroepen[[#All],[Code]:[Ruimte omschrijving]],2,FALSE)</f>
        <v>Kleedruimten</v>
      </c>
      <c r="L427" s="330" t="s">
        <v>101</v>
      </c>
      <c r="M427" s="437" t="s">
        <v>1816</v>
      </c>
      <c r="N427" s="439">
        <v>4.32</v>
      </c>
      <c r="O427" s="439"/>
      <c r="P427" s="439"/>
      <c r="Q427" s="439"/>
      <c r="R427" s="440" t="str">
        <f>VLOOKUP(Ruimtestaat[[#This Row],[Ruimte code]],Ruimtegroepen[],4,FALSE)</f>
        <v>Ve</v>
      </c>
      <c r="S427" s="434">
        <v>40</v>
      </c>
      <c r="T427" s="434" t="s">
        <v>2</v>
      </c>
      <c r="U427" s="434">
        <f>IF(S427&gt;0,IF(RIGHT(Ruimtestaat[[#This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7" s="434">
        <f>IF(U427&gt;0,VLOOKUP($J427,Ruimtegroepen[],3,FALSE)*VLOOKUP($L427,Vloersoorten[],3,FALSE)*VLOOKUP($T427,Frequenties[],3,FALSE)*VLOOKUP($A427,Locaties[],3,FALSE),0)</f>
        <v>0</v>
      </c>
      <c r="W427" s="434">
        <f>Ruimtestaat[[#This Row],[Uitvoeringen werkdagen]]*Ruimtestaat[[#This Row],[Oppervlak (netto)]]</f>
        <v>864</v>
      </c>
      <c r="X427" s="441">
        <f>IF(V427&gt;0,Ruimtestaat[[#This Row],[Prest. (m2 /jaar) werkdagen]]/Ruimtestaat[[#This Row],[Norm (m2/uur) werkdagen]],0)</f>
        <v>0</v>
      </c>
      <c r="Y427" s="442">
        <f>Ruimtestaat[[#This Row],[Uitvoeringen werkdagen]]*Ruimtestaat[[#This Row],[Gedeeltelijk]]</f>
        <v>0</v>
      </c>
      <c r="Z427" s="443" t="e">
        <f>IF(U427&gt;0,Ruimtestaat[[#This Row],[Prest. (m2 / jaar) werkdagen gedeeld]]/Ruimtestaat[[#This Row],[Norm (m2/uur) werkdagen]],0)</f>
        <v>#DIV/0!</v>
      </c>
      <c r="AA427" s="441" t="e">
        <f>Ruimtestaat[[#This Row],[uren / jaar werkdagen gedeeld]]*Tariefsopbouw!$E$35</f>
        <v>#DIV/0!</v>
      </c>
      <c r="AB427" s="441">
        <f>Ruimtestaat[[#This Row],[Uitvoeringen werkdagen]]*Ruimtestaat[[#This Row],[BSO]]</f>
        <v>0</v>
      </c>
      <c r="AC427" s="443" t="e">
        <f>IF(U427&gt;0,Ruimtestaat[[#This Row],[Prest. (m2 / jaar) werkdagen BSO]]/Ruimtestaat[[#This Row],[Norm (m2/uur) werkdagen]],0)</f>
        <v>#DIV/0!</v>
      </c>
      <c r="AD427" s="443" t="e">
        <f>Ruimtestaat[[#This Row],[uren / jaar werkdagen BSO]]*Tariefsopbouw!$E$35</f>
        <v>#DIV/0!</v>
      </c>
      <c r="AE427" s="444">
        <f>Ruimtestaat[[#This Row],[uren / jaar werkdagen]]*Tariefsopbouw!$E$35</f>
        <v>0</v>
      </c>
      <c r="AF427" s="434"/>
      <c r="AG427" s="434">
        <f>IF(Ruimtestaat[[#This Row],[Frequentie weekend]]&gt;0,VALUE(LEFT(AF427,1))*S427,0)</f>
        <v>0</v>
      </c>
      <c r="AH427" s="445">
        <f>IF($AG427&gt;0,VLOOKUP($J427,Ruimtegroepen[],3,FALSE)*VLOOKUP($L427,Vloersoorten[],3,FALSE)*VLOOKUP($AF427,Frequenties[],3,FALSE)*VLOOKUP(Ruimtestaat[[#This Row],[Code]],Locaties[],3,FALSE),0)</f>
        <v>0</v>
      </c>
      <c r="AI427" s="445">
        <f>Ruimtestaat[[#This Row],[Uitvoeringen weekend]]*Ruimtestaat[[#This Row],[Oppervlak (netto)]]</f>
        <v>0</v>
      </c>
      <c r="AJ427" s="445">
        <f>IF(AH427&gt;0,Ruimtestaat[[#This Row],[Prest. (m2 /jaar) weekend]]/Ruimtestaat[[#This Row],[Norm (m2/uur) weekend]],0)</f>
        <v>0</v>
      </c>
      <c r="AK427" s="444">
        <f>Ruimtestaat[[#This Row],[uren / jaar weekend]]*Tariefsopbouw!$D$40</f>
        <v>0</v>
      </c>
      <c r="AL427" s="441">
        <f>Ruimtestaat[[#This Row],[Prest. (m2 /jaar) weekend]]+Ruimtestaat[[#This Row],[Prest. (m2 /jaar) werkdagen]]</f>
        <v>864</v>
      </c>
      <c r="AM427" s="441">
        <f>Ruimtestaat[[#This Row],[uren / jaar weekend]]+Ruimtestaat[[#This Row],[uren / jaar werkdagen]]</f>
        <v>0</v>
      </c>
      <c r="AN427" s="446">
        <f>Ruimtestaat[[#This Row],[kosten / jaar weekend]]+Ruimtestaat[[#This Row],[kosten / jaar werkdagen]]</f>
        <v>0</v>
      </c>
      <c r="AO427" s="446"/>
      <c r="AP427" s="447" t="str">
        <f>IF(Ruimtestaat[[#This Row],[Frequentie werkdagen]]="","",_xlfn.CONCAT(Ruimtestaat[[#This Row],[Ruimte code]],"-",Ruimtestaat[[#This Row],[Frequentie werkdagen]]," ",Ruimtestaat[[#This Row],[Vloer code]]))</f>
        <v>19-5w S</v>
      </c>
      <c r="AQ427" s="448" t="str">
        <f>_xlfn.IFNA(VLOOKUP($AP427,Programma!$F$3:$G$1101,2,0),"")</f>
        <v>_</v>
      </c>
      <c r="AR427" s="448" t="str">
        <f>_xlfn.IFNA(VLOOKUP($AP427,Programma!$F$3:$H$1101,3,0),"")</f>
        <v>_</v>
      </c>
      <c r="AS427" s="448" t="str">
        <f>_xlfn.IFNA(VLOOKUP($AP427,Programma!$F$3:$I$1101,4,0),"")</f>
        <v>5w</v>
      </c>
      <c r="AT427" s="448" t="str">
        <f>_xlfn.IFNA(VLOOKUP($AP427,Programma!$F$3:$J$1101,5,0),"")</f>
        <v>_</v>
      </c>
      <c r="AU427" s="448" t="str">
        <f>_xlfn.IFNA(VLOOKUP($AP427,Programma!$F$3:$K$1101,6,0),"")</f>
        <v>5w</v>
      </c>
      <c r="AV427" s="448" t="str">
        <f>_xlfn.IFNA(VLOOKUP($AP427,Programma!$F$3:$L$1101,7,0),"")</f>
        <v>_</v>
      </c>
      <c r="AW427" s="448" t="str">
        <f>_xlfn.IFNA(VLOOKUP($AP427,Programma!$F$3:$M$1101,8,0),"")</f>
        <v>_</v>
      </c>
      <c r="AX427" s="448" t="str">
        <f>_xlfn.IFNA(VLOOKUP($AP427,Programma!$F$3:$N$1101,9,0),"")</f>
        <v>_</v>
      </c>
      <c r="AY427" s="448" t="str">
        <f>_xlfn.IFNA(VLOOKUP($AP427,Programma!$F$3:$O$1101,10,0),"")</f>
        <v>5w</v>
      </c>
      <c r="AZ427" s="448" t="str">
        <f>_xlfn.IFNA(VLOOKUP($AP427,Programma!$F$3:$P$1101,11,0),"")</f>
        <v>5w</v>
      </c>
      <c r="BA427" s="448" t="str">
        <f>_xlfn.IFNA(VLOOKUP($AP427,Programma!$F$3:$Q$1101,12,0),"")</f>
        <v>1w</v>
      </c>
      <c r="BB427" s="448" t="str">
        <f>_xlfn.IFNA(VLOOKUP($AP427,Programma!$F$3:$R$1101,13,0),"")</f>
        <v>1w</v>
      </c>
      <c r="BC427" s="448" t="str">
        <f>_xlfn.IFNA(VLOOKUP($AP427,Programma!$F$3:$S$1101,14,0),"")</f>
        <v>1m</v>
      </c>
      <c r="BD427" s="448" t="str">
        <f>_xlfn.IFNA(VLOOKUP($AP427,Programma!$F$3:$T$1101,15,0),"")</f>
        <v>2j</v>
      </c>
      <c r="BE427" s="448" t="str">
        <f>_xlfn.IFNA(VLOOKUP($AP427,Programma!$F$3:$U$1101,16,0),"")</f>
        <v>1j</v>
      </c>
      <c r="BF427" s="448" t="str">
        <f>_xlfn.IFNA(VLOOKUP($AP427,Programma!$F$3:$V$1101,17,0),"")</f>
        <v>_</v>
      </c>
      <c r="BG427" s="448" t="str">
        <f>_xlfn.IFNA(VLOOKUP($AP427,Programma!$F$3:$W$1101,18,0),"")</f>
        <v>_</v>
      </c>
      <c r="BH427" s="448" t="str">
        <f>_xlfn.IFNA(VLOOKUP($AP427,Programma!$F$3:$X$1101,19,0),"")</f>
        <v>_</v>
      </c>
      <c r="BI427" s="448" t="str">
        <f>_xlfn.IFNA(VLOOKUP($AP427,Programma!$F$3:$Y$1101,20,0),"")</f>
        <v>_</v>
      </c>
      <c r="BJ427" s="449"/>
      <c r="BK427" s="447" t="str">
        <f>IF(Ruimtestaat[[#This Row],[Frequentie weekend]]="","",_xlfn.CONCAT(Ruimtestaat[[#This Row],[Ruimte code]],"-",Ruimtestaat[[#This Row],[Frequentie weekend]]," ",Ruimtestaat[[#This Row],[Vloer code]]))</f>
        <v/>
      </c>
      <c r="BL427" s="448" t="str">
        <f>_xlfn.IFNA(VLOOKUP($BK427,Programma!$F$3:$G$1101,2,0),"")</f>
        <v/>
      </c>
      <c r="BM427" s="448" t="str">
        <f>_xlfn.IFNA(VLOOKUP($BK427,Programma!$F$3:$H$1101,3,0),"")</f>
        <v/>
      </c>
      <c r="BN427" s="448" t="str">
        <f>_xlfn.IFNA(VLOOKUP($BK427,Programma!$F$3:$I$1101,4,0),"")</f>
        <v/>
      </c>
      <c r="BO427" s="448" t="str">
        <f>_xlfn.IFNA(VLOOKUP($BK427,Programma!$F$3:$J$1101,5,0),"")</f>
        <v/>
      </c>
      <c r="BP427" s="448" t="str">
        <f>_xlfn.IFNA(VLOOKUP($BK427,Programma!$F$3:$K$1101,6,0),"")</f>
        <v/>
      </c>
      <c r="BQ427" s="448" t="str">
        <f>_xlfn.IFNA(VLOOKUP($BK427,Programma!$F$3:$L$1101,7,0),"")</f>
        <v/>
      </c>
      <c r="BR427" s="448" t="str">
        <f>_xlfn.IFNA(VLOOKUP($BK427,Programma!$F$3:$M$1101,8,0),"")</f>
        <v/>
      </c>
      <c r="BS427" s="448" t="str">
        <f>_xlfn.IFNA(VLOOKUP($BK427,Programma!$F$3:$N$1101,9,0),"")</f>
        <v/>
      </c>
      <c r="BT427" s="448" t="str">
        <f>_xlfn.IFNA(VLOOKUP($BK427,Programma!$F$3:$O$1101,10,0),"")</f>
        <v/>
      </c>
      <c r="BU427" s="448" t="str">
        <f>_xlfn.IFNA(VLOOKUP($BK427,Programma!$F$3:$P$1101,11,0),"")</f>
        <v/>
      </c>
      <c r="BV427" s="448" t="str">
        <f>_xlfn.IFNA(VLOOKUP($BK427,Programma!$F$3:$Q$1101,12,0),"")</f>
        <v/>
      </c>
      <c r="BW427" s="448" t="str">
        <f>_xlfn.IFNA(VLOOKUP($BK427,Programma!$F$3:$R$1101,13,0),"")</f>
        <v/>
      </c>
      <c r="BX427" s="448" t="str">
        <f>_xlfn.IFNA(VLOOKUP($BK427,Programma!$F$3:$S$1101,14,0),"")</f>
        <v/>
      </c>
      <c r="BY427" s="448" t="str">
        <f>_xlfn.IFNA(VLOOKUP($BK427,Programma!$F$3:$T$1101,15,0),"")</f>
        <v/>
      </c>
      <c r="BZ427" s="448" t="str">
        <f>_xlfn.IFNA(VLOOKUP($BK427,Programma!$F$3:$U$1101,16,0),"")</f>
        <v/>
      </c>
      <c r="CA427" s="448" t="str">
        <f>_xlfn.IFNA(VLOOKUP($BK427,Programma!$F$3:$V$1101,17,0),"")</f>
        <v/>
      </c>
      <c r="CB427" s="448" t="str">
        <f>_xlfn.IFNA(VLOOKUP($BK427,Programma!$F$3:$W$1101,18,0),"")</f>
        <v/>
      </c>
      <c r="CC427" s="448" t="str">
        <f>_xlfn.IFNA(VLOOKUP($BK427,Programma!$F$3:$X$1101,19,0),"")</f>
        <v/>
      </c>
      <c r="CD427" s="448" t="str">
        <f>_xlfn.IFNA(VLOOKUP($BK427,Programma!$F$3:$Y$1101,20,0),"")</f>
        <v/>
      </c>
      <c r="CE427" s="327"/>
      <c r="CF427" s="327"/>
      <c r="CG427" s="327"/>
      <c r="CH427" s="327"/>
      <c r="CI427" s="327"/>
      <c r="CJ427" s="327"/>
      <c r="CK427" s="327"/>
      <c r="CL427" s="327"/>
      <c r="CM427" s="327"/>
      <c r="CN427" s="327"/>
      <c r="CO427" s="327"/>
      <c r="CP427" s="327"/>
      <c r="CQ427" s="327"/>
      <c r="CR427" s="327"/>
      <c r="CS427" s="327"/>
      <c r="CT427" s="327"/>
      <c r="CU427" s="327"/>
      <c r="CV427" s="327"/>
      <c r="CW427" s="327"/>
      <c r="CX427" s="327"/>
      <c r="CY427" s="327"/>
      <c r="CZ427" s="327"/>
      <c r="DA427" s="327"/>
      <c r="DB427" s="327"/>
      <c r="DC427" s="327"/>
      <c r="DD427" s="327"/>
      <c r="DE427" s="327"/>
      <c r="DF427" s="327"/>
      <c r="DG427" s="327"/>
      <c r="DH427" s="327"/>
      <c r="DI427" s="327"/>
      <c r="DJ427" s="327"/>
      <c r="DK427" s="327"/>
      <c r="DL427" s="327"/>
      <c r="DM427" s="327"/>
      <c r="DN427" s="327"/>
      <c r="DO427" s="327"/>
      <c r="DP427" s="327"/>
      <c r="DQ427" s="327"/>
      <c r="DR427" s="327"/>
      <c r="DS427" s="327"/>
      <c r="DT427" s="327"/>
      <c r="DU427" s="327"/>
      <c r="DV427" s="327"/>
      <c r="DW427" s="327"/>
      <c r="DX427" s="327"/>
      <c r="DY427" s="327"/>
      <c r="DZ427" s="327"/>
      <c r="EA427" s="327"/>
      <c r="EB427" s="327"/>
      <c r="EC427" s="327"/>
      <c r="ED427" s="327"/>
      <c r="EE427" s="327"/>
      <c r="EF427" s="327"/>
      <c r="EG427" s="327"/>
      <c r="EH427" s="327"/>
      <c r="EI427" s="327"/>
      <c r="EJ427" s="327"/>
      <c r="EK427" s="327"/>
      <c r="EL427" s="327"/>
      <c r="EM427" s="327"/>
      <c r="EN427" s="327"/>
      <c r="EO427" s="327"/>
      <c r="EP427" s="327"/>
      <c r="EQ427" s="327"/>
      <c r="ER427" s="327"/>
      <c r="ES427" s="327"/>
      <c r="ET427" s="327"/>
      <c r="EU427" s="327"/>
      <c r="EV427" s="327"/>
      <c r="EW427" s="327"/>
      <c r="EX427" s="327"/>
      <c r="EY427" s="327"/>
      <c r="EZ427" s="327"/>
      <c r="FA427" s="327"/>
      <c r="FB427" s="327"/>
      <c r="FC427" s="327"/>
      <c r="FD427" s="327"/>
      <c r="FE427" s="327"/>
      <c r="FF427" s="327"/>
      <c r="FG427" s="327"/>
      <c r="FH427" s="327"/>
      <c r="FI427" s="327"/>
      <c r="FJ427" s="327"/>
      <c r="FK427" s="327"/>
      <c r="FL427" s="327"/>
      <c r="FM427" s="327"/>
      <c r="FN427" s="327"/>
      <c r="FO427" s="327"/>
      <c r="FP427" s="327"/>
      <c r="FQ427" s="327"/>
      <c r="FR427" s="327"/>
      <c r="FS427" s="327"/>
      <c r="FT427" s="327"/>
      <c r="FU427" s="327"/>
      <c r="FV427" s="327"/>
      <c r="FW427" s="327"/>
      <c r="FX427" s="327"/>
      <c r="FY427" s="327"/>
      <c r="FZ427" s="327"/>
      <c r="GA427" s="327"/>
      <c r="GB427" s="327"/>
      <c r="GC427" s="327"/>
      <c r="GD427" s="327"/>
      <c r="GE427" s="327"/>
      <c r="GF427" s="327"/>
      <c r="GG427" s="327"/>
      <c r="GH427" s="327"/>
      <c r="GI427" s="327"/>
      <c r="GJ427" s="327"/>
      <c r="GK427" s="327"/>
      <c r="GL427" s="327"/>
      <c r="GM427" s="327"/>
      <c r="GN427" s="327"/>
      <c r="GO427" s="327"/>
      <c r="GP427" s="327"/>
      <c r="GQ427" s="327"/>
      <c r="GR427" s="327"/>
      <c r="GS427" s="327"/>
      <c r="GT427" s="327"/>
      <c r="GU427" s="327"/>
      <c r="GV427" s="327"/>
      <c r="GW427" s="327"/>
      <c r="GX427" s="327"/>
      <c r="GY427" s="327"/>
      <c r="GZ427" s="327"/>
      <c r="HA427" s="327"/>
      <c r="HB427" s="327"/>
      <c r="HC427" s="327"/>
      <c r="HD427" s="327"/>
      <c r="HE427" s="327"/>
      <c r="HF427" s="327"/>
      <c r="HG427" s="327"/>
      <c r="HH427" s="327"/>
      <c r="HI427" s="327"/>
      <c r="HJ427" s="327"/>
      <c r="HK427" s="327"/>
      <c r="HL427" s="327"/>
      <c r="HM427" s="327"/>
      <c r="HN427" s="327"/>
      <c r="HO427" s="327"/>
      <c r="HP427" s="327"/>
      <c r="HQ427" s="327"/>
      <c r="HR427" s="327"/>
      <c r="HS427" s="327"/>
    </row>
    <row r="428" spans="1:227" ht="15" customHeight="1">
      <c r="A428" s="327">
        <v>17</v>
      </c>
      <c r="B428" s="435" t="str">
        <f>VLOOKUP(Ruimtestaat[[#This Row],[Code]],Locaties[[Code]:[Locatie]],2,FALSE)</f>
        <v>IKC de Tjalk Kadelaan 208 (bijgebouw)</v>
      </c>
      <c r="C428" s="435" t="str">
        <f>VLOOKUP(Ruimtestaat[[#This Row],[Code]],Locaties[[#All],[Code]:[Adres]],4,FALSE)</f>
        <v>Kadelaan 208</v>
      </c>
      <c r="D428" s="435" t="str">
        <f>VLOOKUP(Ruimtestaat[[#This Row],[Code]],Locaties[[#All],[Code]:[Postcode]],5,FALSE)</f>
        <v>2725 BR</v>
      </c>
      <c r="E428" s="435" t="str">
        <f>VLOOKUP(Ruimtestaat[[#This Row],[Code]],Locaties[#All],6,FALSE)</f>
        <v>Zoetermeer</v>
      </c>
      <c r="F428" s="450"/>
      <c r="G428" s="330" t="s">
        <v>1678</v>
      </c>
      <c r="H428" s="330">
        <v>44</v>
      </c>
      <c r="I428" s="450" t="s">
        <v>1859</v>
      </c>
      <c r="J428" s="330">
        <v>5</v>
      </c>
      <c r="K428" s="450" t="str">
        <f>VLOOKUP(Ruimtestaat[[#This Row],[Ruimte code]],Ruimtegroepen[[#All],[Code]:[Ruimte omschrijving]],2,FALSE)</f>
        <v>Sanitair</v>
      </c>
      <c r="L428" s="330" t="s">
        <v>101</v>
      </c>
      <c r="M428" s="437" t="s">
        <v>1816</v>
      </c>
      <c r="N428" s="439">
        <v>3.55</v>
      </c>
      <c r="O428" s="439"/>
      <c r="P428" s="439"/>
      <c r="Q428" s="439"/>
      <c r="R428" s="440" t="str">
        <f>VLOOKUP(Ruimtestaat[[#This Row],[Ruimte code]],Ruimtegroepen[],4,FALSE)</f>
        <v>Sa</v>
      </c>
      <c r="S428" s="434">
        <v>41</v>
      </c>
      <c r="T428" s="434" t="s">
        <v>2</v>
      </c>
      <c r="U428" s="434">
        <f>IF(S428&gt;0,IF(RIGHT(Ruimtestaat[[#This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28" s="434">
        <f>IF(U428&gt;0,VLOOKUP($J428,Ruimtegroepen[],3,FALSE)*VLOOKUP($L428,Vloersoorten[],3,FALSE)*VLOOKUP($T428,Frequenties[],3,FALSE)*VLOOKUP($A428,Locaties[],3,FALSE),0)</f>
        <v>0</v>
      </c>
      <c r="W428" s="434">
        <f>Ruimtestaat[[#This Row],[Uitvoeringen werkdagen]]*Ruimtestaat[[#This Row],[Oppervlak (netto)]]</f>
        <v>727.75</v>
      </c>
      <c r="X428" s="441">
        <f>IF(V428&gt;0,Ruimtestaat[[#This Row],[Prest. (m2 /jaar) werkdagen]]/Ruimtestaat[[#This Row],[Norm (m2/uur) werkdagen]],0)</f>
        <v>0</v>
      </c>
      <c r="Y428" s="442">
        <f>Ruimtestaat[[#This Row],[Uitvoeringen werkdagen]]*Ruimtestaat[[#This Row],[Gedeeltelijk]]</f>
        <v>0</v>
      </c>
      <c r="Z428" s="443" t="e">
        <f>IF(U428&gt;0,Ruimtestaat[[#This Row],[Prest. (m2 / jaar) werkdagen gedeeld]]/Ruimtestaat[[#This Row],[Norm (m2/uur) werkdagen]],0)</f>
        <v>#DIV/0!</v>
      </c>
      <c r="AA428" s="441" t="e">
        <f>Ruimtestaat[[#This Row],[uren / jaar werkdagen gedeeld]]*Tariefsopbouw!$E$35</f>
        <v>#DIV/0!</v>
      </c>
      <c r="AB428" s="441">
        <f>Ruimtestaat[[#This Row],[Uitvoeringen werkdagen]]*Ruimtestaat[[#This Row],[BSO]]</f>
        <v>0</v>
      </c>
      <c r="AC428" s="443" t="e">
        <f>IF(U428&gt;0,Ruimtestaat[[#This Row],[Prest. (m2 / jaar) werkdagen BSO]]/Ruimtestaat[[#This Row],[Norm (m2/uur) werkdagen]],0)</f>
        <v>#DIV/0!</v>
      </c>
      <c r="AD428" s="443" t="e">
        <f>Ruimtestaat[[#This Row],[uren / jaar werkdagen BSO]]*Tariefsopbouw!$E$35</f>
        <v>#DIV/0!</v>
      </c>
      <c r="AE428" s="444">
        <f>Ruimtestaat[[#This Row],[uren / jaar werkdagen]]*Tariefsopbouw!$E$35</f>
        <v>0</v>
      </c>
      <c r="AF428" s="434"/>
      <c r="AG428" s="434">
        <f>IF(Ruimtestaat[[#This Row],[Frequentie weekend]]&gt;0,VALUE(LEFT(AF428,1))*S428,0)</f>
        <v>0</v>
      </c>
      <c r="AH428" s="445">
        <f>IF($AG428&gt;0,VLOOKUP($J428,Ruimtegroepen[],3,FALSE)*VLOOKUP($L428,Vloersoorten[],3,FALSE)*VLOOKUP($AF428,Frequenties[],3,FALSE)*VLOOKUP(Ruimtestaat[[#This Row],[Code]],Locaties[],3,FALSE),0)</f>
        <v>0</v>
      </c>
      <c r="AI428" s="445">
        <f>Ruimtestaat[[#This Row],[Uitvoeringen weekend]]*Ruimtestaat[[#This Row],[Oppervlak (netto)]]</f>
        <v>0</v>
      </c>
      <c r="AJ428" s="445">
        <f>IF(AH428&gt;0,Ruimtestaat[[#This Row],[Prest. (m2 /jaar) weekend]]/Ruimtestaat[[#This Row],[Norm (m2/uur) weekend]],0)</f>
        <v>0</v>
      </c>
      <c r="AK428" s="444">
        <f>Ruimtestaat[[#This Row],[uren / jaar weekend]]*Tariefsopbouw!$D$40</f>
        <v>0</v>
      </c>
      <c r="AL428" s="441">
        <f>Ruimtestaat[[#This Row],[Prest. (m2 /jaar) weekend]]+Ruimtestaat[[#This Row],[Prest. (m2 /jaar) werkdagen]]</f>
        <v>727.75</v>
      </c>
      <c r="AM428" s="441">
        <f>Ruimtestaat[[#This Row],[uren / jaar weekend]]+Ruimtestaat[[#This Row],[uren / jaar werkdagen]]</f>
        <v>0</v>
      </c>
      <c r="AN428" s="446">
        <f>Ruimtestaat[[#This Row],[kosten / jaar weekend]]+Ruimtestaat[[#This Row],[kosten / jaar werkdagen]]</f>
        <v>0</v>
      </c>
      <c r="AO428" s="446"/>
      <c r="AP428" s="447" t="str">
        <f>IF(Ruimtestaat[[#This Row],[Frequentie werkdagen]]="","",_xlfn.CONCAT(Ruimtestaat[[#This Row],[Ruimte code]],"-",Ruimtestaat[[#This Row],[Frequentie werkdagen]]," ",Ruimtestaat[[#This Row],[Vloer code]]))</f>
        <v>5-5w S</v>
      </c>
      <c r="AQ428" s="448" t="str">
        <f>_xlfn.IFNA(VLOOKUP($AP428,Programma!$F$3:$G$1101,2,0),"")</f>
        <v>_</v>
      </c>
      <c r="AR428" s="448" t="str">
        <f>_xlfn.IFNA(VLOOKUP($AP428,Programma!$F$3:$H$1101,3,0),"")</f>
        <v>_</v>
      </c>
      <c r="AS428" s="448" t="str">
        <f>_xlfn.IFNA(VLOOKUP($AP428,Programma!$F$3:$I$1101,4,0),"")</f>
        <v>_</v>
      </c>
      <c r="AT428" s="448" t="str">
        <f>_xlfn.IFNA(VLOOKUP($AP428,Programma!$F$3:$J$1101,5,0),"")</f>
        <v>4w</v>
      </c>
      <c r="AU428" s="448" t="str">
        <f>_xlfn.IFNA(VLOOKUP($AP428,Programma!$F$3:$K$1101,6,0),"")</f>
        <v>1w</v>
      </c>
      <c r="AV428" s="448" t="str">
        <f>_xlfn.IFNA(VLOOKUP($AP428,Programma!$F$3:$L$1101,7,0),"")</f>
        <v>_</v>
      </c>
      <c r="AW428" s="448" t="str">
        <f>_xlfn.IFNA(VLOOKUP($AP428,Programma!$F$3:$M$1101,8,0),"")</f>
        <v>_</v>
      </c>
      <c r="AX428" s="448" t="str">
        <f>_xlfn.IFNA(VLOOKUP($AP428,Programma!$F$3:$N$1101,9,0),"")</f>
        <v>_</v>
      </c>
      <c r="AY428" s="448" t="str">
        <f>_xlfn.IFNA(VLOOKUP($AP428,Programma!$F$3:$O$1101,10,0),"")</f>
        <v>_</v>
      </c>
      <c r="AZ428" s="448" t="str">
        <f>_xlfn.IFNA(VLOOKUP($AP428,Programma!$F$3:$P$1101,11,0),"")</f>
        <v>_</v>
      </c>
      <c r="BA428" s="448" t="str">
        <f>_xlfn.IFNA(VLOOKUP($AP428,Programma!$F$3:$Q$1101,12,0),"")</f>
        <v>_</v>
      </c>
      <c r="BB428" s="448" t="str">
        <f>_xlfn.IFNA(VLOOKUP($AP428,Programma!$F$3:$R$1101,13,0),"")</f>
        <v>_</v>
      </c>
      <c r="BC428" s="448" t="str">
        <f>_xlfn.IFNA(VLOOKUP($AP428,Programma!$F$3:$S$1101,14,0),"")</f>
        <v>_</v>
      </c>
      <c r="BD428" s="448" t="str">
        <f>_xlfn.IFNA(VLOOKUP($AP428,Programma!$F$3:$T$1101,15,0),"")</f>
        <v>_</v>
      </c>
      <c r="BE428" s="448" t="str">
        <f>_xlfn.IFNA(VLOOKUP($AP428,Programma!$F$3:$U$1101,16,0),"")</f>
        <v>_</v>
      </c>
      <c r="BF428" s="448" t="str">
        <f>_xlfn.IFNA(VLOOKUP($AP428,Programma!$F$3:$V$1101,17,0),"")</f>
        <v>_</v>
      </c>
      <c r="BG428" s="448" t="str">
        <f>_xlfn.IFNA(VLOOKUP($AP428,Programma!$F$3:$W$1101,18,0),"")</f>
        <v>4w</v>
      </c>
      <c r="BH428" s="448" t="str">
        <f>_xlfn.IFNA(VLOOKUP($AP428,Programma!$F$3:$X$1101,19,0),"")</f>
        <v>1w</v>
      </c>
      <c r="BI428" s="448" t="str">
        <f>_xlfn.IFNA(VLOOKUP($AP428,Programma!$F$3:$Y$1101,20,0),"")</f>
        <v>_</v>
      </c>
      <c r="BJ428" s="449"/>
      <c r="BK428" s="447" t="str">
        <f>IF(Ruimtestaat[[#This Row],[Frequentie weekend]]="","",_xlfn.CONCAT(Ruimtestaat[[#This Row],[Ruimte code]],"-",Ruimtestaat[[#This Row],[Frequentie weekend]]," ",Ruimtestaat[[#This Row],[Vloer code]]))</f>
        <v/>
      </c>
      <c r="BL428" s="448" t="str">
        <f>_xlfn.IFNA(VLOOKUP($BK428,Programma!$F$3:$G$1101,2,0),"")</f>
        <v/>
      </c>
      <c r="BM428" s="448" t="str">
        <f>_xlfn.IFNA(VLOOKUP($BK428,Programma!$F$3:$H$1101,3,0),"")</f>
        <v/>
      </c>
      <c r="BN428" s="448" t="str">
        <f>_xlfn.IFNA(VLOOKUP($BK428,Programma!$F$3:$I$1101,4,0),"")</f>
        <v/>
      </c>
      <c r="BO428" s="448" t="str">
        <f>_xlfn.IFNA(VLOOKUP($BK428,Programma!$F$3:$J$1101,5,0),"")</f>
        <v/>
      </c>
      <c r="BP428" s="448" t="str">
        <f>_xlfn.IFNA(VLOOKUP($BK428,Programma!$F$3:$K$1101,6,0),"")</f>
        <v/>
      </c>
      <c r="BQ428" s="448" t="str">
        <f>_xlfn.IFNA(VLOOKUP($BK428,Programma!$F$3:$L$1101,7,0),"")</f>
        <v/>
      </c>
      <c r="BR428" s="448" t="str">
        <f>_xlfn.IFNA(VLOOKUP($BK428,Programma!$F$3:$M$1101,8,0),"")</f>
        <v/>
      </c>
      <c r="BS428" s="448" t="str">
        <f>_xlfn.IFNA(VLOOKUP($BK428,Programma!$F$3:$N$1101,9,0),"")</f>
        <v/>
      </c>
      <c r="BT428" s="448" t="str">
        <f>_xlfn.IFNA(VLOOKUP($BK428,Programma!$F$3:$O$1101,10,0),"")</f>
        <v/>
      </c>
      <c r="BU428" s="448" t="str">
        <f>_xlfn.IFNA(VLOOKUP($BK428,Programma!$F$3:$P$1101,11,0),"")</f>
        <v/>
      </c>
      <c r="BV428" s="448" t="str">
        <f>_xlfn.IFNA(VLOOKUP($BK428,Programma!$F$3:$Q$1101,12,0),"")</f>
        <v/>
      </c>
      <c r="BW428" s="448" t="str">
        <f>_xlfn.IFNA(VLOOKUP($BK428,Programma!$F$3:$R$1101,13,0),"")</f>
        <v/>
      </c>
      <c r="BX428" s="448" t="str">
        <f>_xlfn.IFNA(VLOOKUP($BK428,Programma!$F$3:$S$1101,14,0),"")</f>
        <v/>
      </c>
      <c r="BY428" s="448" t="str">
        <f>_xlfn.IFNA(VLOOKUP($BK428,Programma!$F$3:$T$1101,15,0),"")</f>
        <v/>
      </c>
      <c r="BZ428" s="448" t="str">
        <f>_xlfn.IFNA(VLOOKUP($BK428,Programma!$F$3:$U$1101,16,0),"")</f>
        <v/>
      </c>
      <c r="CA428" s="448" t="str">
        <f>_xlfn.IFNA(VLOOKUP($BK428,Programma!$F$3:$V$1101,17,0),"")</f>
        <v/>
      </c>
      <c r="CB428" s="448" t="str">
        <f>_xlfn.IFNA(VLOOKUP($BK428,Programma!$F$3:$W$1101,18,0),"")</f>
        <v/>
      </c>
      <c r="CC428" s="448" t="str">
        <f>_xlfn.IFNA(VLOOKUP($BK428,Programma!$F$3:$X$1101,19,0),"")</f>
        <v/>
      </c>
      <c r="CD428" s="448" t="str">
        <f>_xlfn.IFNA(VLOOKUP($BK428,Programma!$F$3:$Y$1101,20,0),"")</f>
        <v/>
      </c>
      <c r="CE428" s="327"/>
      <c r="CF428" s="327"/>
      <c r="CG428" s="327"/>
      <c r="CH428" s="327"/>
      <c r="CI428" s="327"/>
      <c r="CJ428" s="327"/>
      <c r="CK428" s="327"/>
      <c r="CL428" s="327"/>
      <c r="CM428" s="327"/>
      <c r="CN428" s="327"/>
      <c r="CO428" s="327"/>
      <c r="CP428" s="327"/>
      <c r="CQ428" s="327"/>
      <c r="CR428" s="327"/>
      <c r="CS428" s="327"/>
      <c r="CT428" s="327"/>
      <c r="CU428" s="327"/>
      <c r="CV428" s="327"/>
      <c r="CW428" s="327"/>
      <c r="CX428" s="327"/>
      <c r="CY428" s="327"/>
      <c r="CZ428" s="327"/>
      <c r="DA428" s="327"/>
      <c r="DB428" s="327"/>
      <c r="DC428" s="327"/>
      <c r="DD428" s="327"/>
      <c r="DE428" s="327"/>
      <c r="DF428" s="327"/>
      <c r="DG428" s="327"/>
      <c r="DH428" s="327"/>
      <c r="DI428" s="327"/>
      <c r="DJ428" s="327"/>
      <c r="DK428" s="327"/>
      <c r="DL428" s="327"/>
      <c r="DM428" s="327"/>
      <c r="DN428" s="327"/>
      <c r="DO428" s="327"/>
      <c r="DP428" s="327"/>
      <c r="DQ428" s="327"/>
      <c r="DR428" s="327"/>
      <c r="DS428" s="327"/>
      <c r="DT428" s="327"/>
      <c r="DU428" s="327"/>
      <c r="DV428" s="327"/>
      <c r="DW428" s="327"/>
      <c r="DX428" s="327"/>
      <c r="DY428" s="327"/>
      <c r="DZ428" s="327"/>
      <c r="EA428" s="327"/>
      <c r="EB428" s="327"/>
      <c r="EC428" s="327"/>
      <c r="ED428" s="327"/>
      <c r="EE428" s="327"/>
      <c r="EF428" s="327"/>
      <c r="EG428" s="327"/>
      <c r="EH428" s="327"/>
      <c r="EI428" s="327"/>
      <c r="EJ428" s="327"/>
      <c r="EK428" s="327"/>
      <c r="EL428" s="327"/>
      <c r="EM428" s="327"/>
      <c r="EN428" s="327"/>
      <c r="EO428" s="327"/>
      <c r="EP428" s="327"/>
      <c r="EQ428" s="327"/>
      <c r="ER428" s="327"/>
      <c r="ES428" s="327"/>
      <c r="ET428" s="327"/>
      <c r="EU428" s="327"/>
      <c r="EV428" s="327"/>
      <c r="EW428" s="327"/>
      <c r="EX428" s="327"/>
      <c r="EY428" s="327"/>
      <c r="EZ428" s="327"/>
      <c r="FA428" s="327"/>
      <c r="FB428" s="327"/>
      <c r="FC428" s="327"/>
      <c r="FD428" s="327"/>
      <c r="FE428" s="327"/>
      <c r="FF428" s="327"/>
      <c r="FG428" s="327"/>
      <c r="FH428" s="327"/>
      <c r="FI428" s="327"/>
      <c r="FJ428" s="327"/>
      <c r="FK428" s="327"/>
      <c r="FL428" s="327"/>
      <c r="FM428" s="327"/>
      <c r="FN428" s="327"/>
      <c r="FO428" s="327"/>
      <c r="FP428" s="327"/>
      <c r="FQ428" s="327"/>
      <c r="FR428" s="327"/>
      <c r="FS428" s="327"/>
      <c r="FT428" s="327"/>
      <c r="FU428" s="327"/>
      <c r="FV428" s="327"/>
      <c r="FW428" s="327"/>
      <c r="FX428" s="327"/>
      <c r="FY428" s="327"/>
      <c r="FZ428" s="327"/>
      <c r="GA428" s="327"/>
      <c r="GB428" s="327"/>
      <c r="GC428" s="327"/>
      <c r="GD428" s="327"/>
      <c r="GE428" s="327"/>
      <c r="GF428" s="327"/>
      <c r="GG428" s="327"/>
      <c r="GH428" s="327"/>
      <c r="GI428" s="327"/>
      <c r="GJ428" s="327"/>
      <c r="GK428" s="327"/>
      <c r="GL428" s="327"/>
      <c r="GM428" s="327"/>
      <c r="GN428" s="327"/>
      <c r="GO428" s="327"/>
      <c r="GP428" s="327"/>
      <c r="GQ428" s="327"/>
      <c r="GR428" s="327"/>
      <c r="GS428" s="327"/>
      <c r="GT428" s="327"/>
      <c r="GU428" s="327"/>
      <c r="GV428" s="327"/>
      <c r="GW428" s="327"/>
      <c r="GX428" s="327"/>
      <c r="GY428" s="327"/>
      <c r="GZ428" s="327"/>
      <c r="HA428" s="327"/>
      <c r="HB428" s="327"/>
      <c r="HC428" s="327"/>
      <c r="HD428" s="327"/>
      <c r="HE428" s="327"/>
      <c r="HF428" s="327"/>
      <c r="HG428" s="327"/>
      <c r="HH428" s="327"/>
      <c r="HI428" s="327"/>
      <c r="HJ428" s="327"/>
      <c r="HK428" s="327"/>
      <c r="HL428" s="327"/>
      <c r="HM428" s="327"/>
      <c r="HN428" s="327"/>
      <c r="HO428" s="327"/>
      <c r="HP428" s="327"/>
      <c r="HQ428" s="327"/>
      <c r="HR428" s="327"/>
      <c r="HS428" s="327"/>
    </row>
    <row r="429" spans="1:227" ht="15" customHeight="1">
      <c r="A429" s="327">
        <v>17</v>
      </c>
      <c r="B429" s="435" t="str">
        <f>VLOOKUP(Ruimtestaat[[#This Row],[Code]],Locaties[[Code]:[Locatie]],2,FALSE)</f>
        <v>IKC de Tjalk Kadelaan 208 (bijgebouw)</v>
      </c>
      <c r="C429" s="435" t="str">
        <f>VLOOKUP(Ruimtestaat[[#This Row],[Code]],Locaties[[#All],[Code]:[Adres]],4,FALSE)</f>
        <v>Kadelaan 208</v>
      </c>
      <c r="D429" s="435" t="str">
        <f>VLOOKUP(Ruimtestaat[[#This Row],[Code]],Locaties[[#All],[Code]:[Postcode]],5,FALSE)</f>
        <v>2725 BR</v>
      </c>
      <c r="E429" s="435" t="str">
        <f>VLOOKUP(Ruimtestaat[[#This Row],[Code]],Locaties[#All],6,FALSE)</f>
        <v>Zoetermeer</v>
      </c>
      <c r="F429" s="450"/>
      <c r="G429" s="330" t="s">
        <v>1678</v>
      </c>
      <c r="H429" s="330">
        <v>46</v>
      </c>
      <c r="I429" s="450" t="s">
        <v>1858</v>
      </c>
      <c r="J429" s="330">
        <v>19</v>
      </c>
      <c r="K429" s="450" t="str">
        <f>VLOOKUP(Ruimtestaat[[#This Row],[Ruimte code]],Ruimtegroepen[[#All],[Code]:[Ruimte omschrijving]],2,FALSE)</f>
        <v>Kleedruimten</v>
      </c>
      <c r="L429" s="330" t="s">
        <v>101</v>
      </c>
      <c r="M429" s="437" t="s">
        <v>1816</v>
      </c>
      <c r="N429" s="439">
        <v>30.79</v>
      </c>
      <c r="O429" s="439"/>
      <c r="P429" s="439"/>
      <c r="Q429" s="439"/>
      <c r="R429" s="440" t="str">
        <f>VLOOKUP(Ruimtestaat[[#This Row],[Ruimte code]],Ruimtegroepen[],4,FALSE)</f>
        <v>Ve</v>
      </c>
      <c r="S429" s="434">
        <v>40</v>
      </c>
      <c r="T429" s="434" t="s">
        <v>2</v>
      </c>
      <c r="U429" s="434">
        <f>IF(S429&gt;0,IF(RIGHT(Ruimtestaat[[#This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9" s="434">
        <f>IF(U429&gt;0,VLOOKUP($J429,Ruimtegroepen[],3,FALSE)*VLOOKUP($L429,Vloersoorten[],3,FALSE)*VLOOKUP($T429,Frequenties[],3,FALSE)*VLOOKUP($A429,Locaties[],3,FALSE),0)</f>
        <v>0</v>
      </c>
      <c r="W429" s="434">
        <f>Ruimtestaat[[#This Row],[Uitvoeringen werkdagen]]*Ruimtestaat[[#This Row],[Oppervlak (netto)]]</f>
        <v>6158</v>
      </c>
      <c r="X429" s="441">
        <f>IF(V429&gt;0,Ruimtestaat[[#This Row],[Prest. (m2 /jaar) werkdagen]]/Ruimtestaat[[#This Row],[Norm (m2/uur) werkdagen]],0)</f>
        <v>0</v>
      </c>
      <c r="Y429" s="442">
        <f>Ruimtestaat[[#This Row],[Uitvoeringen werkdagen]]*Ruimtestaat[[#This Row],[Gedeeltelijk]]</f>
        <v>0</v>
      </c>
      <c r="Z429" s="443" t="e">
        <f>IF(U429&gt;0,Ruimtestaat[[#This Row],[Prest. (m2 / jaar) werkdagen gedeeld]]/Ruimtestaat[[#This Row],[Norm (m2/uur) werkdagen]],0)</f>
        <v>#DIV/0!</v>
      </c>
      <c r="AA429" s="441" t="e">
        <f>Ruimtestaat[[#This Row],[uren / jaar werkdagen gedeeld]]*Tariefsopbouw!$E$35</f>
        <v>#DIV/0!</v>
      </c>
      <c r="AB429" s="441">
        <f>Ruimtestaat[[#This Row],[Uitvoeringen werkdagen]]*Ruimtestaat[[#This Row],[BSO]]</f>
        <v>0</v>
      </c>
      <c r="AC429" s="443" t="e">
        <f>IF(U429&gt;0,Ruimtestaat[[#This Row],[Prest. (m2 / jaar) werkdagen BSO]]/Ruimtestaat[[#This Row],[Norm (m2/uur) werkdagen]],0)</f>
        <v>#DIV/0!</v>
      </c>
      <c r="AD429" s="443" t="e">
        <f>Ruimtestaat[[#This Row],[uren / jaar werkdagen BSO]]*Tariefsopbouw!$E$35</f>
        <v>#DIV/0!</v>
      </c>
      <c r="AE429" s="444">
        <f>Ruimtestaat[[#This Row],[uren / jaar werkdagen]]*Tariefsopbouw!$E$35</f>
        <v>0</v>
      </c>
      <c r="AF429" s="434"/>
      <c r="AG429" s="434">
        <f>IF(Ruimtestaat[[#This Row],[Frequentie weekend]]&gt;0,VALUE(LEFT(AF429,1))*S429,0)</f>
        <v>0</v>
      </c>
      <c r="AH429" s="445">
        <f>IF($AG429&gt;0,VLOOKUP($J429,Ruimtegroepen[],3,FALSE)*VLOOKUP($L429,Vloersoorten[],3,FALSE)*VLOOKUP($AF429,Frequenties[],3,FALSE)*VLOOKUP(Ruimtestaat[[#This Row],[Code]],Locaties[],3,FALSE),0)</f>
        <v>0</v>
      </c>
      <c r="AI429" s="445">
        <f>Ruimtestaat[[#This Row],[Uitvoeringen weekend]]*Ruimtestaat[[#This Row],[Oppervlak (netto)]]</f>
        <v>0</v>
      </c>
      <c r="AJ429" s="445">
        <f>IF(AH429&gt;0,Ruimtestaat[[#This Row],[Prest. (m2 /jaar) weekend]]/Ruimtestaat[[#This Row],[Norm (m2/uur) weekend]],0)</f>
        <v>0</v>
      </c>
      <c r="AK429" s="444">
        <f>Ruimtestaat[[#This Row],[uren / jaar weekend]]*Tariefsopbouw!$D$40</f>
        <v>0</v>
      </c>
      <c r="AL429" s="441">
        <f>Ruimtestaat[[#This Row],[Prest. (m2 /jaar) weekend]]+Ruimtestaat[[#This Row],[Prest. (m2 /jaar) werkdagen]]</f>
        <v>6158</v>
      </c>
      <c r="AM429" s="441">
        <f>Ruimtestaat[[#This Row],[uren / jaar weekend]]+Ruimtestaat[[#This Row],[uren / jaar werkdagen]]</f>
        <v>0</v>
      </c>
      <c r="AN429" s="446">
        <f>Ruimtestaat[[#This Row],[kosten / jaar weekend]]+Ruimtestaat[[#This Row],[kosten / jaar werkdagen]]</f>
        <v>0</v>
      </c>
      <c r="AO429" s="446"/>
      <c r="AP429" s="447" t="str">
        <f>IF(Ruimtestaat[[#This Row],[Frequentie werkdagen]]="","",_xlfn.CONCAT(Ruimtestaat[[#This Row],[Ruimte code]],"-",Ruimtestaat[[#This Row],[Frequentie werkdagen]]," ",Ruimtestaat[[#This Row],[Vloer code]]))</f>
        <v>19-5w S</v>
      </c>
      <c r="AQ429" s="448" t="str">
        <f>_xlfn.IFNA(VLOOKUP($AP429,Programma!$F$3:$G$1101,2,0),"")</f>
        <v>_</v>
      </c>
      <c r="AR429" s="448" t="str">
        <f>_xlfn.IFNA(VLOOKUP($AP429,Programma!$F$3:$H$1101,3,0),"")</f>
        <v>_</v>
      </c>
      <c r="AS429" s="448" t="str">
        <f>_xlfn.IFNA(VLOOKUP($AP429,Programma!$F$3:$I$1101,4,0),"")</f>
        <v>5w</v>
      </c>
      <c r="AT429" s="448" t="str">
        <f>_xlfn.IFNA(VLOOKUP($AP429,Programma!$F$3:$J$1101,5,0),"")</f>
        <v>_</v>
      </c>
      <c r="AU429" s="448" t="str">
        <f>_xlfn.IFNA(VLOOKUP($AP429,Programma!$F$3:$K$1101,6,0),"")</f>
        <v>5w</v>
      </c>
      <c r="AV429" s="448" t="str">
        <f>_xlfn.IFNA(VLOOKUP($AP429,Programma!$F$3:$L$1101,7,0),"")</f>
        <v>_</v>
      </c>
      <c r="AW429" s="448" t="str">
        <f>_xlfn.IFNA(VLOOKUP($AP429,Programma!$F$3:$M$1101,8,0),"")</f>
        <v>_</v>
      </c>
      <c r="AX429" s="448" t="str">
        <f>_xlfn.IFNA(VLOOKUP($AP429,Programma!$F$3:$N$1101,9,0),"")</f>
        <v>_</v>
      </c>
      <c r="AY429" s="448" t="str">
        <f>_xlfn.IFNA(VLOOKUP($AP429,Programma!$F$3:$O$1101,10,0),"")</f>
        <v>5w</v>
      </c>
      <c r="AZ429" s="448" t="str">
        <f>_xlfn.IFNA(VLOOKUP($AP429,Programma!$F$3:$P$1101,11,0),"")</f>
        <v>5w</v>
      </c>
      <c r="BA429" s="448" t="str">
        <f>_xlfn.IFNA(VLOOKUP($AP429,Programma!$F$3:$Q$1101,12,0),"")</f>
        <v>1w</v>
      </c>
      <c r="BB429" s="448" t="str">
        <f>_xlfn.IFNA(VLOOKUP($AP429,Programma!$F$3:$R$1101,13,0),"")</f>
        <v>1w</v>
      </c>
      <c r="BC429" s="448" t="str">
        <f>_xlfn.IFNA(VLOOKUP($AP429,Programma!$F$3:$S$1101,14,0),"")</f>
        <v>1m</v>
      </c>
      <c r="BD429" s="448" t="str">
        <f>_xlfn.IFNA(VLOOKUP($AP429,Programma!$F$3:$T$1101,15,0),"")</f>
        <v>2j</v>
      </c>
      <c r="BE429" s="448" t="str">
        <f>_xlfn.IFNA(VLOOKUP($AP429,Programma!$F$3:$U$1101,16,0),"")</f>
        <v>1j</v>
      </c>
      <c r="BF429" s="448" t="str">
        <f>_xlfn.IFNA(VLOOKUP($AP429,Programma!$F$3:$V$1101,17,0),"")</f>
        <v>_</v>
      </c>
      <c r="BG429" s="448" t="str">
        <f>_xlfn.IFNA(VLOOKUP($AP429,Programma!$F$3:$W$1101,18,0),"")</f>
        <v>_</v>
      </c>
      <c r="BH429" s="448" t="str">
        <f>_xlfn.IFNA(VLOOKUP($AP429,Programma!$F$3:$X$1101,19,0),"")</f>
        <v>_</v>
      </c>
      <c r="BI429" s="448" t="str">
        <f>_xlfn.IFNA(VLOOKUP($AP429,Programma!$F$3:$Y$1101,20,0),"")</f>
        <v>_</v>
      </c>
      <c r="BJ429" s="449"/>
      <c r="BK429" s="447" t="str">
        <f>IF(Ruimtestaat[[#This Row],[Frequentie weekend]]="","",_xlfn.CONCAT(Ruimtestaat[[#This Row],[Ruimte code]],"-",Ruimtestaat[[#This Row],[Frequentie weekend]]," ",Ruimtestaat[[#This Row],[Vloer code]]))</f>
        <v/>
      </c>
      <c r="BL429" s="448" t="str">
        <f>_xlfn.IFNA(VLOOKUP($BK429,Programma!$F$3:$G$1101,2,0),"")</f>
        <v/>
      </c>
      <c r="BM429" s="448" t="str">
        <f>_xlfn.IFNA(VLOOKUP($BK429,Programma!$F$3:$H$1101,3,0),"")</f>
        <v/>
      </c>
      <c r="BN429" s="448" t="str">
        <f>_xlfn.IFNA(VLOOKUP($BK429,Programma!$F$3:$I$1101,4,0),"")</f>
        <v/>
      </c>
      <c r="BO429" s="448" t="str">
        <f>_xlfn.IFNA(VLOOKUP($BK429,Programma!$F$3:$J$1101,5,0),"")</f>
        <v/>
      </c>
      <c r="BP429" s="448" t="str">
        <f>_xlfn.IFNA(VLOOKUP($BK429,Programma!$F$3:$K$1101,6,0),"")</f>
        <v/>
      </c>
      <c r="BQ429" s="448" t="str">
        <f>_xlfn.IFNA(VLOOKUP($BK429,Programma!$F$3:$L$1101,7,0),"")</f>
        <v/>
      </c>
      <c r="BR429" s="448" t="str">
        <f>_xlfn.IFNA(VLOOKUP($BK429,Programma!$F$3:$M$1101,8,0),"")</f>
        <v/>
      </c>
      <c r="BS429" s="448" t="str">
        <f>_xlfn.IFNA(VLOOKUP($BK429,Programma!$F$3:$N$1101,9,0),"")</f>
        <v/>
      </c>
      <c r="BT429" s="448" t="str">
        <f>_xlfn.IFNA(VLOOKUP($BK429,Programma!$F$3:$O$1101,10,0),"")</f>
        <v/>
      </c>
      <c r="BU429" s="448" t="str">
        <f>_xlfn.IFNA(VLOOKUP($BK429,Programma!$F$3:$P$1101,11,0),"")</f>
        <v/>
      </c>
      <c r="BV429" s="448" t="str">
        <f>_xlfn.IFNA(VLOOKUP($BK429,Programma!$F$3:$Q$1101,12,0),"")</f>
        <v/>
      </c>
      <c r="BW429" s="448" t="str">
        <f>_xlfn.IFNA(VLOOKUP($BK429,Programma!$F$3:$R$1101,13,0),"")</f>
        <v/>
      </c>
      <c r="BX429" s="448" t="str">
        <f>_xlfn.IFNA(VLOOKUP($BK429,Programma!$F$3:$S$1101,14,0),"")</f>
        <v/>
      </c>
      <c r="BY429" s="448" t="str">
        <f>_xlfn.IFNA(VLOOKUP($BK429,Programma!$F$3:$T$1101,15,0),"")</f>
        <v/>
      </c>
      <c r="BZ429" s="448" t="str">
        <f>_xlfn.IFNA(VLOOKUP($BK429,Programma!$F$3:$U$1101,16,0),"")</f>
        <v/>
      </c>
      <c r="CA429" s="448" t="str">
        <f>_xlfn.IFNA(VLOOKUP($BK429,Programma!$F$3:$V$1101,17,0),"")</f>
        <v/>
      </c>
      <c r="CB429" s="448" t="str">
        <f>_xlfn.IFNA(VLOOKUP($BK429,Programma!$F$3:$W$1101,18,0),"")</f>
        <v/>
      </c>
      <c r="CC429" s="448" t="str">
        <f>_xlfn.IFNA(VLOOKUP($BK429,Programma!$F$3:$X$1101,19,0),"")</f>
        <v/>
      </c>
      <c r="CD429" s="448" t="str">
        <f>_xlfn.IFNA(VLOOKUP($BK429,Programma!$F$3:$Y$1101,20,0),"")</f>
        <v/>
      </c>
      <c r="CE429" s="327"/>
      <c r="CF429" s="327"/>
      <c r="CG429" s="327"/>
      <c r="CH429" s="327"/>
      <c r="CI429" s="327"/>
      <c r="CJ429" s="327"/>
      <c r="CK429" s="327"/>
      <c r="CL429" s="327"/>
      <c r="CM429" s="327"/>
      <c r="CN429" s="327"/>
      <c r="CO429" s="327"/>
      <c r="CP429" s="327"/>
      <c r="CQ429" s="327"/>
      <c r="CR429" s="327"/>
      <c r="CS429" s="327"/>
      <c r="CT429" s="327"/>
      <c r="CU429" s="327"/>
      <c r="CV429" s="327"/>
      <c r="CW429" s="327"/>
      <c r="CX429" s="327"/>
      <c r="CY429" s="327"/>
      <c r="CZ429" s="327"/>
      <c r="DA429" s="327"/>
      <c r="DB429" s="327"/>
      <c r="DC429" s="327"/>
      <c r="DD429" s="327"/>
      <c r="DE429" s="327"/>
      <c r="DF429" s="327"/>
      <c r="DG429" s="327"/>
      <c r="DH429" s="327"/>
      <c r="DI429" s="327"/>
      <c r="DJ429" s="327"/>
      <c r="DK429" s="327"/>
      <c r="DL429" s="327"/>
      <c r="DM429" s="327"/>
      <c r="DN429" s="327"/>
      <c r="DO429" s="327"/>
      <c r="DP429" s="327"/>
      <c r="DQ429" s="327"/>
      <c r="DR429" s="327"/>
      <c r="DS429" s="327"/>
      <c r="DT429" s="327"/>
      <c r="DU429" s="327"/>
      <c r="DV429" s="327"/>
      <c r="DW429" s="327"/>
      <c r="DX429" s="327"/>
      <c r="DY429" s="327"/>
      <c r="DZ429" s="327"/>
      <c r="EA429" s="327"/>
      <c r="EB429" s="327"/>
      <c r="EC429" s="327"/>
      <c r="ED429" s="327"/>
      <c r="EE429" s="327"/>
      <c r="EF429" s="327"/>
      <c r="EG429" s="327"/>
      <c r="EH429" s="327"/>
      <c r="EI429" s="327"/>
      <c r="EJ429" s="327"/>
      <c r="EK429" s="327"/>
      <c r="EL429" s="327"/>
      <c r="EM429" s="327"/>
      <c r="EN429" s="327"/>
      <c r="EO429" s="327"/>
      <c r="EP429" s="327"/>
      <c r="EQ429" s="327"/>
      <c r="ER429" s="327"/>
      <c r="ES429" s="327"/>
      <c r="ET429" s="327"/>
      <c r="EU429" s="327"/>
      <c r="EV429" s="327"/>
      <c r="EW429" s="327"/>
      <c r="EX429" s="327"/>
      <c r="EY429" s="327"/>
      <c r="EZ429" s="327"/>
      <c r="FA429" s="327"/>
      <c r="FB429" s="327"/>
      <c r="FC429" s="327"/>
      <c r="FD429" s="327"/>
      <c r="FE429" s="327"/>
      <c r="FF429" s="327"/>
      <c r="FG429" s="327"/>
      <c r="FH429" s="327"/>
      <c r="FI429" s="327"/>
      <c r="FJ429" s="327"/>
      <c r="FK429" s="327"/>
      <c r="FL429" s="327"/>
      <c r="FM429" s="327"/>
      <c r="FN429" s="327"/>
      <c r="FO429" s="327"/>
      <c r="FP429" s="327"/>
      <c r="FQ429" s="327"/>
      <c r="FR429" s="327"/>
      <c r="FS429" s="327"/>
      <c r="FT429" s="327"/>
      <c r="FU429" s="327"/>
      <c r="FV429" s="327"/>
      <c r="FW429" s="327"/>
      <c r="FX429" s="327"/>
      <c r="FY429" s="327"/>
      <c r="FZ429" s="327"/>
      <c r="GA429" s="327"/>
      <c r="GB429" s="327"/>
      <c r="GC429" s="327"/>
      <c r="GD429" s="327"/>
      <c r="GE429" s="327"/>
      <c r="GF429" s="327"/>
      <c r="GG429" s="327"/>
      <c r="GH429" s="327"/>
      <c r="GI429" s="327"/>
      <c r="GJ429" s="327"/>
      <c r="GK429" s="327"/>
      <c r="GL429" s="327"/>
      <c r="GM429" s="327"/>
      <c r="GN429" s="327"/>
      <c r="GO429" s="327"/>
      <c r="GP429" s="327"/>
      <c r="GQ429" s="327"/>
      <c r="GR429" s="327"/>
      <c r="GS429" s="327"/>
      <c r="GT429" s="327"/>
      <c r="GU429" s="327"/>
      <c r="GV429" s="327"/>
      <c r="GW429" s="327"/>
      <c r="GX429" s="327"/>
      <c r="GY429" s="327"/>
      <c r="GZ429" s="327"/>
      <c r="HA429" s="327"/>
      <c r="HB429" s="327"/>
      <c r="HC429" s="327"/>
      <c r="HD429" s="327"/>
      <c r="HE429" s="327"/>
      <c r="HF429" s="327"/>
      <c r="HG429" s="327"/>
      <c r="HH429" s="327"/>
      <c r="HI429" s="327"/>
      <c r="HJ429" s="327"/>
      <c r="HK429" s="327"/>
      <c r="HL429" s="327"/>
      <c r="HM429" s="327"/>
      <c r="HN429" s="327"/>
      <c r="HO429" s="327"/>
      <c r="HP429" s="327"/>
      <c r="HQ429" s="327"/>
      <c r="HR429" s="327"/>
      <c r="HS429" s="327"/>
    </row>
    <row r="430" spans="1:227" ht="15" customHeight="1">
      <c r="A430" s="327">
        <v>17</v>
      </c>
      <c r="B430" s="435" t="str">
        <f>VLOOKUP(Ruimtestaat[[#This Row],[Code]],Locaties[[Code]:[Locatie]],2,FALSE)</f>
        <v>IKC de Tjalk Kadelaan 208 (bijgebouw)</v>
      </c>
      <c r="C430" s="435" t="str">
        <f>VLOOKUP(Ruimtestaat[[#This Row],[Code]],Locaties[[#All],[Code]:[Adres]],4,FALSE)</f>
        <v>Kadelaan 208</v>
      </c>
      <c r="D430" s="435" t="str">
        <f>VLOOKUP(Ruimtestaat[[#This Row],[Code]],Locaties[[#All],[Code]:[Postcode]],5,FALSE)</f>
        <v>2725 BR</v>
      </c>
      <c r="E430" s="435" t="str">
        <f>VLOOKUP(Ruimtestaat[[#This Row],[Code]],Locaties[#All],6,FALSE)</f>
        <v>Zoetermeer</v>
      </c>
      <c r="F430" s="450"/>
      <c r="G430" s="330" t="s">
        <v>1678</v>
      </c>
      <c r="H430" s="330" t="s">
        <v>1860</v>
      </c>
      <c r="I430" s="450" t="s">
        <v>1859</v>
      </c>
      <c r="J430" s="330">
        <v>5</v>
      </c>
      <c r="K430" s="450" t="str">
        <f>VLOOKUP(Ruimtestaat[[#This Row],[Ruimte code]],Ruimtegroepen[[#All],[Code]:[Ruimte omschrijving]],2,FALSE)</f>
        <v>Sanitair</v>
      </c>
      <c r="L430" s="330" t="s">
        <v>101</v>
      </c>
      <c r="M430" s="437" t="s">
        <v>1816</v>
      </c>
      <c r="N430" s="439">
        <v>15.65</v>
      </c>
      <c r="O430" s="439"/>
      <c r="P430" s="439"/>
      <c r="Q430" s="439"/>
      <c r="R430" s="440" t="str">
        <f>VLOOKUP(Ruimtestaat[[#This Row],[Ruimte code]],Ruimtegroepen[],4,FALSE)</f>
        <v>Sa</v>
      </c>
      <c r="S430" s="434">
        <v>41</v>
      </c>
      <c r="T430" s="434" t="s">
        <v>2</v>
      </c>
      <c r="U430" s="434">
        <f>IF(S430&gt;0,IF(RIGHT(Ruimtestaat[[#This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30" s="434">
        <f>IF(U430&gt;0,VLOOKUP($J430,Ruimtegroepen[],3,FALSE)*VLOOKUP($L430,Vloersoorten[],3,FALSE)*VLOOKUP($T430,Frequenties[],3,FALSE)*VLOOKUP($A430,Locaties[],3,FALSE),0)</f>
        <v>0</v>
      </c>
      <c r="W430" s="434">
        <f>Ruimtestaat[[#This Row],[Uitvoeringen werkdagen]]*Ruimtestaat[[#This Row],[Oppervlak (netto)]]</f>
        <v>3208.25</v>
      </c>
      <c r="X430" s="441">
        <f>IF(V430&gt;0,Ruimtestaat[[#This Row],[Prest. (m2 /jaar) werkdagen]]/Ruimtestaat[[#This Row],[Norm (m2/uur) werkdagen]],0)</f>
        <v>0</v>
      </c>
      <c r="Y430" s="442">
        <f>Ruimtestaat[[#This Row],[Uitvoeringen werkdagen]]*Ruimtestaat[[#This Row],[Gedeeltelijk]]</f>
        <v>0</v>
      </c>
      <c r="Z430" s="443" t="e">
        <f>IF(U430&gt;0,Ruimtestaat[[#This Row],[Prest. (m2 / jaar) werkdagen gedeeld]]/Ruimtestaat[[#This Row],[Norm (m2/uur) werkdagen]],0)</f>
        <v>#DIV/0!</v>
      </c>
      <c r="AA430" s="441" t="e">
        <f>Ruimtestaat[[#This Row],[uren / jaar werkdagen gedeeld]]*Tariefsopbouw!$E$35</f>
        <v>#DIV/0!</v>
      </c>
      <c r="AB430" s="441">
        <f>Ruimtestaat[[#This Row],[Uitvoeringen werkdagen]]*Ruimtestaat[[#This Row],[BSO]]</f>
        <v>0</v>
      </c>
      <c r="AC430" s="443" t="e">
        <f>IF(U430&gt;0,Ruimtestaat[[#This Row],[Prest. (m2 / jaar) werkdagen BSO]]/Ruimtestaat[[#This Row],[Norm (m2/uur) werkdagen]],0)</f>
        <v>#DIV/0!</v>
      </c>
      <c r="AD430" s="443" t="e">
        <f>Ruimtestaat[[#This Row],[uren / jaar werkdagen BSO]]*Tariefsopbouw!$E$35</f>
        <v>#DIV/0!</v>
      </c>
      <c r="AE430" s="444">
        <f>Ruimtestaat[[#This Row],[uren / jaar werkdagen]]*Tariefsopbouw!$E$35</f>
        <v>0</v>
      </c>
      <c r="AF430" s="434"/>
      <c r="AG430" s="434">
        <f>IF(Ruimtestaat[[#This Row],[Frequentie weekend]]&gt;0,VALUE(LEFT(AF430,1))*S430,0)</f>
        <v>0</v>
      </c>
      <c r="AH430" s="445">
        <f>IF($AG430&gt;0,VLOOKUP($J430,Ruimtegroepen[],3,FALSE)*VLOOKUP($L430,Vloersoorten[],3,FALSE)*VLOOKUP($AF430,Frequenties[],3,FALSE)*VLOOKUP(Ruimtestaat[[#This Row],[Code]],Locaties[],3,FALSE),0)</f>
        <v>0</v>
      </c>
      <c r="AI430" s="445">
        <f>Ruimtestaat[[#This Row],[Uitvoeringen weekend]]*Ruimtestaat[[#This Row],[Oppervlak (netto)]]</f>
        <v>0</v>
      </c>
      <c r="AJ430" s="445">
        <f>IF(AH430&gt;0,Ruimtestaat[[#This Row],[Prest. (m2 /jaar) weekend]]/Ruimtestaat[[#This Row],[Norm (m2/uur) weekend]],0)</f>
        <v>0</v>
      </c>
      <c r="AK430" s="444">
        <f>Ruimtestaat[[#This Row],[uren / jaar weekend]]*Tariefsopbouw!$D$40</f>
        <v>0</v>
      </c>
      <c r="AL430" s="441">
        <f>Ruimtestaat[[#This Row],[Prest. (m2 /jaar) weekend]]+Ruimtestaat[[#This Row],[Prest. (m2 /jaar) werkdagen]]</f>
        <v>3208.25</v>
      </c>
      <c r="AM430" s="441">
        <f>Ruimtestaat[[#This Row],[uren / jaar weekend]]+Ruimtestaat[[#This Row],[uren / jaar werkdagen]]</f>
        <v>0</v>
      </c>
      <c r="AN430" s="446">
        <f>Ruimtestaat[[#This Row],[kosten / jaar weekend]]+Ruimtestaat[[#This Row],[kosten / jaar werkdagen]]</f>
        <v>0</v>
      </c>
      <c r="AO430" s="446"/>
      <c r="AP430" s="447" t="str">
        <f>IF(Ruimtestaat[[#This Row],[Frequentie werkdagen]]="","",_xlfn.CONCAT(Ruimtestaat[[#This Row],[Ruimte code]],"-",Ruimtestaat[[#This Row],[Frequentie werkdagen]]," ",Ruimtestaat[[#This Row],[Vloer code]]))</f>
        <v>5-5w S</v>
      </c>
      <c r="AQ430" s="448" t="str">
        <f>_xlfn.IFNA(VLOOKUP($AP430,Programma!$F$3:$G$1101,2,0),"")</f>
        <v>_</v>
      </c>
      <c r="AR430" s="448" t="str">
        <f>_xlfn.IFNA(VLOOKUP($AP430,Programma!$F$3:$H$1101,3,0),"")</f>
        <v>_</v>
      </c>
      <c r="AS430" s="448" t="str">
        <f>_xlfn.IFNA(VLOOKUP($AP430,Programma!$F$3:$I$1101,4,0),"")</f>
        <v>_</v>
      </c>
      <c r="AT430" s="448" t="str">
        <f>_xlfn.IFNA(VLOOKUP($AP430,Programma!$F$3:$J$1101,5,0),"")</f>
        <v>4w</v>
      </c>
      <c r="AU430" s="448" t="str">
        <f>_xlfn.IFNA(VLOOKUP($AP430,Programma!$F$3:$K$1101,6,0),"")</f>
        <v>1w</v>
      </c>
      <c r="AV430" s="448" t="str">
        <f>_xlfn.IFNA(VLOOKUP($AP430,Programma!$F$3:$L$1101,7,0),"")</f>
        <v>_</v>
      </c>
      <c r="AW430" s="448" t="str">
        <f>_xlfn.IFNA(VLOOKUP($AP430,Programma!$F$3:$M$1101,8,0),"")</f>
        <v>_</v>
      </c>
      <c r="AX430" s="448" t="str">
        <f>_xlfn.IFNA(VLOOKUP($AP430,Programma!$F$3:$N$1101,9,0),"")</f>
        <v>_</v>
      </c>
      <c r="AY430" s="448" t="str">
        <f>_xlfn.IFNA(VLOOKUP($AP430,Programma!$F$3:$O$1101,10,0),"")</f>
        <v>_</v>
      </c>
      <c r="AZ430" s="448" t="str">
        <f>_xlfn.IFNA(VLOOKUP($AP430,Programma!$F$3:$P$1101,11,0),"")</f>
        <v>_</v>
      </c>
      <c r="BA430" s="448" t="str">
        <f>_xlfn.IFNA(VLOOKUP($AP430,Programma!$F$3:$Q$1101,12,0),"")</f>
        <v>_</v>
      </c>
      <c r="BB430" s="448" t="str">
        <f>_xlfn.IFNA(VLOOKUP($AP430,Programma!$F$3:$R$1101,13,0),"")</f>
        <v>_</v>
      </c>
      <c r="BC430" s="448" t="str">
        <f>_xlfn.IFNA(VLOOKUP($AP430,Programma!$F$3:$S$1101,14,0),"")</f>
        <v>_</v>
      </c>
      <c r="BD430" s="448" t="str">
        <f>_xlfn.IFNA(VLOOKUP($AP430,Programma!$F$3:$T$1101,15,0),"")</f>
        <v>_</v>
      </c>
      <c r="BE430" s="448" t="str">
        <f>_xlfn.IFNA(VLOOKUP($AP430,Programma!$F$3:$U$1101,16,0),"")</f>
        <v>_</v>
      </c>
      <c r="BF430" s="448" t="str">
        <f>_xlfn.IFNA(VLOOKUP($AP430,Programma!$F$3:$V$1101,17,0),"")</f>
        <v>_</v>
      </c>
      <c r="BG430" s="448" t="str">
        <f>_xlfn.IFNA(VLOOKUP($AP430,Programma!$F$3:$W$1101,18,0),"")</f>
        <v>4w</v>
      </c>
      <c r="BH430" s="448" t="str">
        <f>_xlfn.IFNA(VLOOKUP($AP430,Programma!$F$3:$X$1101,19,0),"")</f>
        <v>1w</v>
      </c>
      <c r="BI430" s="448" t="str">
        <f>_xlfn.IFNA(VLOOKUP($AP430,Programma!$F$3:$Y$1101,20,0),"")</f>
        <v>_</v>
      </c>
      <c r="BJ430" s="449"/>
      <c r="BK430" s="447" t="str">
        <f>IF(Ruimtestaat[[#This Row],[Frequentie weekend]]="","",_xlfn.CONCAT(Ruimtestaat[[#This Row],[Ruimte code]],"-",Ruimtestaat[[#This Row],[Frequentie weekend]]," ",Ruimtestaat[[#This Row],[Vloer code]]))</f>
        <v/>
      </c>
      <c r="BL430" s="448" t="str">
        <f>_xlfn.IFNA(VLOOKUP($BK430,Programma!$F$3:$G$1101,2,0),"")</f>
        <v/>
      </c>
      <c r="BM430" s="448" t="str">
        <f>_xlfn.IFNA(VLOOKUP($BK430,Programma!$F$3:$H$1101,3,0),"")</f>
        <v/>
      </c>
      <c r="BN430" s="448" t="str">
        <f>_xlfn.IFNA(VLOOKUP($BK430,Programma!$F$3:$I$1101,4,0),"")</f>
        <v/>
      </c>
      <c r="BO430" s="448" t="str">
        <f>_xlfn.IFNA(VLOOKUP($BK430,Programma!$F$3:$J$1101,5,0),"")</f>
        <v/>
      </c>
      <c r="BP430" s="448" t="str">
        <f>_xlfn.IFNA(VLOOKUP($BK430,Programma!$F$3:$K$1101,6,0),"")</f>
        <v/>
      </c>
      <c r="BQ430" s="448" t="str">
        <f>_xlfn.IFNA(VLOOKUP($BK430,Programma!$F$3:$L$1101,7,0),"")</f>
        <v/>
      </c>
      <c r="BR430" s="448" t="str">
        <f>_xlfn.IFNA(VLOOKUP($BK430,Programma!$F$3:$M$1101,8,0),"")</f>
        <v/>
      </c>
      <c r="BS430" s="448" t="str">
        <f>_xlfn.IFNA(VLOOKUP($BK430,Programma!$F$3:$N$1101,9,0),"")</f>
        <v/>
      </c>
      <c r="BT430" s="448" t="str">
        <f>_xlfn.IFNA(VLOOKUP($BK430,Programma!$F$3:$O$1101,10,0),"")</f>
        <v/>
      </c>
      <c r="BU430" s="448" t="str">
        <f>_xlfn.IFNA(VLOOKUP($BK430,Programma!$F$3:$P$1101,11,0),"")</f>
        <v/>
      </c>
      <c r="BV430" s="448" t="str">
        <f>_xlfn.IFNA(VLOOKUP($BK430,Programma!$F$3:$Q$1101,12,0),"")</f>
        <v/>
      </c>
      <c r="BW430" s="448" t="str">
        <f>_xlfn.IFNA(VLOOKUP($BK430,Programma!$F$3:$R$1101,13,0),"")</f>
        <v/>
      </c>
      <c r="BX430" s="448" t="str">
        <f>_xlfn.IFNA(VLOOKUP($BK430,Programma!$F$3:$S$1101,14,0),"")</f>
        <v/>
      </c>
      <c r="BY430" s="448" t="str">
        <f>_xlfn.IFNA(VLOOKUP($BK430,Programma!$F$3:$T$1101,15,0),"")</f>
        <v/>
      </c>
      <c r="BZ430" s="448" t="str">
        <f>_xlfn.IFNA(VLOOKUP($BK430,Programma!$F$3:$U$1101,16,0),"")</f>
        <v/>
      </c>
      <c r="CA430" s="448" t="str">
        <f>_xlfn.IFNA(VLOOKUP($BK430,Programma!$F$3:$V$1101,17,0),"")</f>
        <v/>
      </c>
      <c r="CB430" s="448" t="str">
        <f>_xlfn.IFNA(VLOOKUP($BK430,Programma!$F$3:$W$1101,18,0),"")</f>
        <v/>
      </c>
      <c r="CC430" s="448" t="str">
        <f>_xlfn.IFNA(VLOOKUP($BK430,Programma!$F$3:$X$1101,19,0),"")</f>
        <v/>
      </c>
      <c r="CD430" s="448" t="str">
        <f>_xlfn.IFNA(VLOOKUP($BK430,Programma!$F$3:$Y$1101,20,0),"")</f>
        <v/>
      </c>
      <c r="CE430" s="327"/>
      <c r="CF430" s="327"/>
      <c r="CG430" s="327"/>
      <c r="CH430" s="327"/>
      <c r="CI430" s="327"/>
      <c r="CJ430" s="327"/>
      <c r="CK430" s="327"/>
      <c r="CL430" s="327"/>
      <c r="CM430" s="327"/>
      <c r="CN430" s="327"/>
      <c r="CO430" s="327"/>
      <c r="CP430" s="327"/>
      <c r="CQ430" s="327"/>
      <c r="CR430" s="327"/>
      <c r="CS430" s="327"/>
      <c r="CT430" s="327"/>
      <c r="CU430" s="327"/>
      <c r="CV430" s="327"/>
      <c r="CW430" s="327"/>
      <c r="CX430" s="327"/>
      <c r="CY430" s="327"/>
      <c r="CZ430" s="327"/>
      <c r="DA430" s="327"/>
      <c r="DB430" s="327"/>
      <c r="DC430" s="327"/>
      <c r="DD430" s="327"/>
      <c r="DE430" s="327"/>
      <c r="DF430" s="327"/>
      <c r="DG430" s="327"/>
      <c r="DH430" s="327"/>
      <c r="DI430" s="327"/>
      <c r="DJ430" s="327"/>
      <c r="DK430" s="327"/>
      <c r="DL430" s="327"/>
      <c r="DM430" s="327"/>
      <c r="DN430" s="327"/>
      <c r="DO430" s="327"/>
      <c r="DP430" s="327"/>
      <c r="DQ430" s="327"/>
      <c r="DR430" s="327"/>
      <c r="DS430" s="327"/>
      <c r="DT430" s="327"/>
      <c r="DU430" s="327"/>
      <c r="DV430" s="327"/>
      <c r="DW430" s="327"/>
      <c r="DX430" s="327"/>
      <c r="DY430" s="327"/>
      <c r="DZ430" s="327"/>
      <c r="EA430" s="327"/>
      <c r="EB430" s="327"/>
      <c r="EC430" s="327"/>
      <c r="ED430" s="327"/>
      <c r="EE430" s="327"/>
      <c r="EF430" s="327"/>
      <c r="EG430" s="327"/>
      <c r="EH430" s="327"/>
      <c r="EI430" s="327"/>
      <c r="EJ430" s="327"/>
      <c r="EK430" s="327"/>
      <c r="EL430" s="327"/>
      <c r="EM430" s="327"/>
      <c r="EN430" s="327"/>
      <c r="EO430" s="327"/>
      <c r="EP430" s="327"/>
      <c r="EQ430" s="327"/>
      <c r="ER430" s="327"/>
      <c r="ES430" s="327"/>
      <c r="ET430" s="327"/>
      <c r="EU430" s="327"/>
      <c r="EV430" s="327"/>
      <c r="EW430" s="327"/>
      <c r="EX430" s="327"/>
      <c r="EY430" s="327"/>
      <c r="EZ430" s="327"/>
      <c r="FA430" s="327"/>
      <c r="FB430" s="327"/>
      <c r="FC430" s="327"/>
      <c r="FD430" s="327"/>
      <c r="FE430" s="327"/>
      <c r="FF430" s="327"/>
      <c r="FG430" s="327"/>
      <c r="FH430" s="327"/>
      <c r="FI430" s="327"/>
      <c r="FJ430" s="327"/>
      <c r="FK430" s="327"/>
      <c r="FL430" s="327"/>
      <c r="FM430" s="327"/>
      <c r="FN430" s="327"/>
      <c r="FO430" s="327"/>
      <c r="FP430" s="327"/>
      <c r="FQ430" s="327"/>
      <c r="FR430" s="327"/>
      <c r="FS430" s="327"/>
      <c r="FT430" s="327"/>
      <c r="FU430" s="327"/>
      <c r="FV430" s="327"/>
      <c r="FW430" s="327"/>
      <c r="FX430" s="327"/>
      <c r="FY430" s="327"/>
      <c r="FZ430" s="327"/>
      <c r="GA430" s="327"/>
      <c r="GB430" s="327"/>
      <c r="GC430" s="327"/>
      <c r="GD430" s="327"/>
      <c r="GE430" s="327"/>
      <c r="GF430" s="327"/>
      <c r="GG430" s="327"/>
      <c r="GH430" s="327"/>
      <c r="GI430" s="327"/>
      <c r="GJ430" s="327"/>
      <c r="GK430" s="327"/>
      <c r="GL430" s="327"/>
      <c r="GM430" s="327"/>
      <c r="GN430" s="327"/>
      <c r="GO430" s="327"/>
      <c r="GP430" s="327"/>
      <c r="GQ430" s="327"/>
      <c r="GR430" s="327"/>
      <c r="GS430" s="327"/>
      <c r="GT430" s="327"/>
      <c r="GU430" s="327"/>
      <c r="GV430" s="327"/>
      <c r="GW430" s="327"/>
      <c r="GX430" s="327"/>
      <c r="GY430" s="327"/>
      <c r="GZ430" s="327"/>
      <c r="HA430" s="327"/>
      <c r="HB430" s="327"/>
      <c r="HC430" s="327"/>
      <c r="HD430" s="327"/>
      <c r="HE430" s="327"/>
      <c r="HF430" s="327"/>
      <c r="HG430" s="327"/>
      <c r="HH430" s="327"/>
      <c r="HI430" s="327"/>
      <c r="HJ430" s="327"/>
      <c r="HK430" s="327"/>
      <c r="HL430" s="327"/>
      <c r="HM430" s="327"/>
      <c r="HN430" s="327"/>
      <c r="HO430" s="327"/>
      <c r="HP430" s="327"/>
      <c r="HQ430" s="327"/>
      <c r="HR430" s="327"/>
      <c r="HS430" s="327"/>
    </row>
    <row r="431" spans="1:227" ht="15" customHeight="1">
      <c r="A431" s="327">
        <v>17</v>
      </c>
      <c r="B431" s="435" t="str">
        <f>VLOOKUP(Ruimtestaat[[#This Row],[Code]],Locaties[[Code]:[Locatie]],2,FALSE)</f>
        <v>IKC de Tjalk Kadelaan 208 (bijgebouw)</v>
      </c>
      <c r="C431" s="435" t="str">
        <f>VLOOKUP(Ruimtestaat[[#This Row],[Code]],Locaties[[#All],[Code]:[Adres]],4,FALSE)</f>
        <v>Kadelaan 208</v>
      </c>
      <c r="D431" s="435" t="str">
        <f>VLOOKUP(Ruimtestaat[[#This Row],[Code]],Locaties[[#All],[Code]:[Postcode]],5,FALSE)</f>
        <v>2725 BR</v>
      </c>
      <c r="E431" s="435" t="str">
        <f>VLOOKUP(Ruimtestaat[[#This Row],[Code]],Locaties[#All],6,FALSE)</f>
        <v>Zoetermeer</v>
      </c>
      <c r="F431" s="450"/>
      <c r="G431" s="330" t="s">
        <v>1678</v>
      </c>
      <c r="H431" s="330" t="s">
        <v>1861</v>
      </c>
      <c r="I431" s="450" t="s">
        <v>1859</v>
      </c>
      <c r="J431" s="330">
        <v>5</v>
      </c>
      <c r="K431" s="450" t="str">
        <f>VLOOKUP(Ruimtestaat[[#This Row],[Ruimte code]],Ruimtegroepen[[#All],[Code]:[Ruimte omschrijving]],2,FALSE)</f>
        <v>Sanitair</v>
      </c>
      <c r="L431" s="330" t="s">
        <v>101</v>
      </c>
      <c r="M431" s="437" t="s">
        <v>1816</v>
      </c>
      <c r="N431" s="439">
        <v>16.350000000000001</v>
      </c>
      <c r="O431" s="439"/>
      <c r="P431" s="439"/>
      <c r="Q431" s="439"/>
      <c r="R431" s="440" t="str">
        <f>VLOOKUP(Ruimtestaat[[#This Row],[Ruimte code]],Ruimtegroepen[],4,FALSE)</f>
        <v>Sa</v>
      </c>
      <c r="S431" s="434">
        <v>41</v>
      </c>
      <c r="T431" s="434" t="s">
        <v>2</v>
      </c>
      <c r="U431" s="434">
        <f>IF(S431&gt;0,IF(RIGHT(Ruimtestaat[[#This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31" s="434">
        <f>IF(U431&gt;0,VLOOKUP($J431,Ruimtegroepen[],3,FALSE)*VLOOKUP($L431,Vloersoorten[],3,FALSE)*VLOOKUP($T431,Frequenties[],3,FALSE)*VLOOKUP($A431,Locaties[],3,FALSE),0)</f>
        <v>0</v>
      </c>
      <c r="W431" s="434">
        <f>Ruimtestaat[[#This Row],[Uitvoeringen werkdagen]]*Ruimtestaat[[#This Row],[Oppervlak (netto)]]</f>
        <v>3351.7500000000005</v>
      </c>
      <c r="X431" s="441">
        <f>IF(V431&gt;0,Ruimtestaat[[#This Row],[Prest. (m2 /jaar) werkdagen]]/Ruimtestaat[[#This Row],[Norm (m2/uur) werkdagen]],0)</f>
        <v>0</v>
      </c>
      <c r="Y431" s="442">
        <f>Ruimtestaat[[#This Row],[Uitvoeringen werkdagen]]*Ruimtestaat[[#This Row],[Gedeeltelijk]]</f>
        <v>0</v>
      </c>
      <c r="Z431" s="443" t="e">
        <f>IF(U431&gt;0,Ruimtestaat[[#This Row],[Prest. (m2 / jaar) werkdagen gedeeld]]/Ruimtestaat[[#This Row],[Norm (m2/uur) werkdagen]],0)</f>
        <v>#DIV/0!</v>
      </c>
      <c r="AA431" s="441" t="e">
        <f>Ruimtestaat[[#This Row],[uren / jaar werkdagen gedeeld]]*Tariefsopbouw!$E$35</f>
        <v>#DIV/0!</v>
      </c>
      <c r="AB431" s="441">
        <f>Ruimtestaat[[#This Row],[Uitvoeringen werkdagen]]*Ruimtestaat[[#This Row],[BSO]]</f>
        <v>0</v>
      </c>
      <c r="AC431" s="443" t="e">
        <f>IF(U431&gt;0,Ruimtestaat[[#This Row],[Prest. (m2 / jaar) werkdagen BSO]]/Ruimtestaat[[#This Row],[Norm (m2/uur) werkdagen]],0)</f>
        <v>#DIV/0!</v>
      </c>
      <c r="AD431" s="443" t="e">
        <f>Ruimtestaat[[#This Row],[uren / jaar werkdagen BSO]]*Tariefsopbouw!$E$35</f>
        <v>#DIV/0!</v>
      </c>
      <c r="AE431" s="444">
        <f>Ruimtestaat[[#This Row],[uren / jaar werkdagen]]*Tariefsopbouw!$E$35</f>
        <v>0</v>
      </c>
      <c r="AF431" s="434"/>
      <c r="AG431" s="434">
        <f>IF(Ruimtestaat[[#This Row],[Frequentie weekend]]&gt;0,VALUE(LEFT(AF431,1))*S431,0)</f>
        <v>0</v>
      </c>
      <c r="AH431" s="445">
        <f>IF($AG431&gt;0,VLOOKUP($J431,Ruimtegroepen[],3,FALSE)*VLOOKUP($L431,Vloersoorten[],3,FALSE)*VLOOKUP($AF431,Frequenties[],3,FALSE)*VLOOKUP(Ruimtestaat[[#This Row],[Code]],Locaties[],3,FALSE),0)</f>
        <v>0</v>
      </c>
      <c r="AI431" s="445">
        <f>Ruimtestaat[[#This Row],[Uitvoeringen weekend]]*Ruimtestaat[[#This Row],[Oppervlak (netto)]]</f>
        <v>0</v>
      </c>
      <c r="AJ431" s="445">
        <f>IF(AH431&gt;0,Ruimtestaat[[#This Row],[Prest. (m2 /jaar) weekend]]/Ruimtestaat[[#This Row],[Norm (m2/uur) weekend]],0)</f>
        <v>0</v>
      </c>
      <c r="AK431" s="444">
        <f>Ruimtestaat[[#This Row],[uren / jaar weekend]]*Tariefsopbouw!$D$40</f>
        <v>0</v>
      </c>
      <c r="AL431" s="441">
        <f>Ruimtestaat[[#This Row],[Prest. (m2 /jaar) weekend]]+Ruimtestaat[[#This Row],[Prest. (m2 /jaar) werkdagen]]</f>
        <v>3351.7500000000005</v>
      </c>
      <c r="AM431" s="441">
        <f>Ruimtestaat[[#This Row],[uren / jaar weekend]]+Ruimtestaat[[#This Row],[uren / jaar werkdagen]]</f>
        <v>0</v>
      </c>
      <c r="AN431" s="446">
        <f>Ruimtestaat[[#This Row],[kosten / jaar weekend]]+Ruimtestaat[[#This Row],[kosten / jaar werkdagen]]</f>
        <v>0</v>
      </c>
      <c r="AO431" s="446"/>
      <c r="AP431" s="447" t="str">
        <f>IF(Ruimtestaat[[#This Row],[Frequentie werkdagen]]="","",_xlfn.CONCAT(Ruimtestaat[[#This Row],[Ruimte code]],"-",Ruimtestaat[[#This Row],[Frequentie werkdagen]]," ",Ruimtestaat[[#This Row],[Vloer code]]))</f>
        <v>5-5w S</v>
      </c>
      <c r="AQ431" s="448" t="str">
        <f>_xlfn.IFNA(VLOOKUP($AP431,Programma!$F$3:$G$1101,2,0),"")</f>
        <v>_</v>
      </c>
      <c r="AR431" s="448" t="str">
        <f>_xlfn.IFNA(VLOOKUP($AP431,Programma!$F$3:$H$1101,3,0),"")</f>
        <v>_</v>
      </c>
      <c r="AS431" s="448" t="str">
        <f>_xlfn.IFNA(VLOOKUP($AP431,Programma!$F$3:$I$1101,4,0),"")</f>
        <v>_</v>
      </c>
      <c r="AT431" s="448" t="str">
        <f>_xlfn.IFNA(VLOOKUP($AP431,Programma!$F$3:$J$1101,5,0),"")</f>
        <v>4w</v>
      </c>
      <c r="AU431" s="448" t="str">
        <f>_xlfn.IFNA(VLOOKUP($AP431,Programma!$F$3:$K$1101,6,0),"")</f>
        <v>1w</v>
      </c>
      <c r="AV431" s="448" t="str">
        <f>_xlfn.IFNA(VLOOKUP($AP431,Programma!$F$3:$L$1101,7,0),"")</f>
        <v>_</v>
      </c>
      <c r="AW431" s="448" t="str">
        <f>_xlfn.IFNA(VLOOKUP($AP431,Programma!$F$3:$M$1101,8,0),"")</f>
        <v>_</v>
      </c>
      <c r="AX431" s="448" t="str">
        <f>_xlfn.IFNA(VLOOKUP($AP431,Programma!$F$3:$N$1101,9,0),"")</f>
        <v>_</v>
      </c>
      <c r="AY431" s="448" t="str">
        <f>_xlfn.IFNA(VLOOKUP($AP431,Programma!$F$3:$O$1101,10,0),"")</f>
        <v>_</v>
      </c>
      <c r="AZ431" s="448" t="str">
        <f>_xlfn.IFNA(VLOOKUP($AP431,Programma!$F$3:$P$1101,11,0),"")</f>
        <v>_</v>
      </c>
      <c r="BA431" s="448" t="str">
        <f>_xlfn.IFNA(VLOOKUP($AP431,Programma!$F$3:$Q$1101,12,0),"")</f>
        <v>_</v>
      </c>
      <c r="BB431" s="448" t="str">
        <f>_xlfn.IFNA(VLOOKUP($AP431,Programma!$F$3:$R$1101,13,0),"")</f>
        <v>_</v>
      </c>
      <c r="BC431" s="448" t="str">
        <f>_xlfn.IFNA(VLOOKUP($AP431,Programma!$F$3:$S$1101,14,0),"")</f>
        <v>_</v>
      </c>
      <c r="BD431" s="448" t="str">
        <f>_xlfn.IFNA(VLOOKUP($AP431,Programma!$F$3:$T$1101,15,0),"")</f>
        <v>_</v>
      </c>
      <c r="BE431" s="448" t="str">
        <f>_xlfn.IFNA(VLOOKUP($AP431,Programma!$F$3:$U$1101,16,0),"")</f>
        <v>_</v>
      </c>
      <c r="BF431" s="448" t="str">
        <f>_xlfn.IFNA(VLOOKUP($AP431,Programma!$F$3:$V$1101,17,0),"")</f>
        <v>_</v>
      </c>
      <c r="BG431" s="448" t="str">
        <f>_xlfn.IFNA(VLOOKUP($AP431,Programma!$F$3:$W$1101,18,0),"")</f>
        <v>4w</v>
      </c>
      <c r="BH431" s="448" t="str">
        <f>_xlfn.IFNA(VLOOKUP($AP431,Programma!$F$3:$X$1101,19,0),"")</f>
        <v>1w</v>
      </c>
      <c r="BI431" s="448" t="str">
        <f>_xlfn.IFNA(VLOOKUP($AP431,Programma!$F$3:$Y$1101,20,0),"")</f>
        <v>_</v>
      </c>
      <c r="BJ431" s="449"/>
      <c r="BK431" s="447" t="str">
        <f>IF(Ruimtestaat[[#This Row],[Frequentie weekend]]="","",_xlfn.CONCAT(Ruimtestaat[[#This Row],[Ruimte code]],"-",Ruimtestaat[[#This Row],[Frequentie weekend]]," ",Ruimtestaat[[#This Row],[Vloer code]]))</f>
        <v/>
      </c>
      <c r="BL431" s="448" t="str">
        <f>_xlfn.IFNA(VLOOKUP($BK431,Programma!$F$3:$G$1101,2,0),"")</f>
        <v/>
      </c>
      <c r="BM431" s="448" t="str">
        <f>_xlfn.IFNA(VLOOKUP($BK431,Programma!$F$3:$H$1101,3,0),"")</f>
        <v/>
      </c>
      <c r="BN431" s="448" t="str">
        <f>_xlfn.IFNA(VLOOKUP($BK431,Programma!$F$3:$I$1101,4,0),"")</f>
        <v/>
      </c>
      <c r="BO431" s="448" t="str">
        <f>_xlfn.IFNA(VLOOKUP($BK431,Programma!$F$3:$J$1101,5,0),"")</f>
        <v/>
      </c>
      <c r="BP431" s="448" t="str">
        <f>_xlfn.IFNA(VLOOKUP($BK431,Programma!$F$3:$K$1101,6,0),"")</f>
        <v/>
      </c>
      <c r="BQ431" s="448" t="str">
        <f>_xlfn.IFNA(VLOOKUP($BK431,Programma!$F$3:$L$1101,7,0),"")</f>
        <v/>
      </c>
      <c r="BR431" s="448" t="str">
        <f>_xlfn.IFNA(VLOOKUP($BK431,Programma!$F$3:$M$1101,8,0),"")</f>
        <v/>
      </c>
      <c r="BS431" s="448" t="str">
        <f>_xlfn.IFNA(VLOOKUP($BK431,Programma!$F$3:$N$1101,9,0),"")</f>
        <v/>
      </c>
      <c r="BT431" s="448" t="str">
        <f>_xlfn.IFNA(VLOOKUP($BK431,Programma!$F$3:$O$1101,10,0),"")</f>
        <v/>
      </c>
      <c r="BU431" s="448" t="str">
        <f>_xlfn.IFNA(VLOOKUP($BK431,Programma!$F$3:$P$1101,11,0),"")</f>
        <v/>
      </c>
      <c r="BV431" s="448" t="str">
        <f>_xlfn.IFNA(VLOOKUP($BK431,Programma!$F$3:$Q$1101,12,0),"")</f>
        <v/>
      </c>
      <c r="BW431" s="448" t="str">
        <f>_xlfn.IFNA(VLOOKUP($BK431,Programma!$F$3:$R$1101,13,0),"")</f>
        <v/>
      </c>
      <c r="BX431" s="448" t="str">
        <f>_xlfn.IFNA(VLOOKUP($BK431,Programma!$F$3:$S$1101,14,0),"")</f>
        <v/>
      </c>
      <c r="BY431" s="448" t="str">
        <f>_xlfn.IFNA(VLOOKUP($BK431,Programma!$F$3:$T$1101,15,0),"")</f>
        <v/>
      </c>
      <c r="BZ431" s="448" t="str">
        <f>_xlfn.IFNA(VLOOKUP($BK431,Programma!$F$3:$U$1101,16,0),"")</f>
        <v/>
      </c>
      <c r="CA431" s="448" t="str">
        <f>_xlfn.IFNA(VLOOKUP($BK431,Programma!$F$3:$V$1101,17,0),"")</f>
        <v/>
      </c>
      <c r="CB431" s="448" t="str">
        <f>_xlfn.IFNA(VLOOKUP($BK431,Programma!$F$3:$W$1101,18,0),"")</f>
        <v/>
      </c>
      <c r="CC431" s="448" t="str">
        <f>_xlfn.IFNA(VLOOKUP($BK431,Programma!$F$3:$X$1101,19,0),"")</f>
        <v/>
      </c>
      <c r="CD431" s="448" t="str">
        <f>_xlfn.IFNA(VLOOKUP($BK431,Programma!$F$3:$Y$1101,20,0),"")</f>
        <v/>
      </c>
      <c r="CE431" s="327"/>
      <c r="CF431" s="327"/>
      <c r="CG431" s="327"/>
      <c r="CH431" s="327"/>
      <c r="CI431" s="327"/>
      <c r="CJ431" s="327"/>
      <c r="CK431" s="327"/>
      <c r="CL431" s="327"/>
      <c r="CM431" s="327"/>
      <c r="CN431" s="327"/>
      <c r="CO431" s="327"/>
      <c r="CP431" s="327"/>
      <c r="CQ431" s="327"/>
      <c r="CR431" s="327"/>
      <c r="CS431" s="327"/>
      <c r="CT431" s="327"/>
      <c r="CU431" s="327"/>
      <c r="CV431" s="327"/>
      <c r="CW431" s="327"/>
      <c r="CX431" s="327"/>
      <c r="CY431" s="327"/>
      <c r="CZ431" s="327"/>
      <c r="DA431" s="327"/>
      <c r="DB431" s="327"/>
      <c r="DC431" s="327"/>
      <c r="DD431" s="327"/>
      <c r="DE431" s="327"/>
      <c r="DF431" s="327"/>
      <c r="DG431" s="327"/>
      <c r="DH431" s="327"/>
      <c r="DI431" s="327"/>
      <c r="DJ431" s="327"/>
      <c r="DK431" s="327"/>
      <c r="DL431" s="327"/>
      <c r="DM431" s="327"/>
      <c r="DN431" s="327"/>
      <c r="DO431" s="327"/>
      <c r="DP431" s="327"/>
      <c r="DQ431" s="327"/>
      <c r="DR431" s="327"/>
      <c r="DS431" s="327"/>
      <c r="DT431" s="327"/>
      <c r="DU431" s="327"/>
      <c r="DV431" s="327"/>
      <c r="DW431" s="327"/>
      <c r="DX431" s="327"/>
      <c r="DY431" s="327"/>
      <c r="DZ431" s="327"/>
      <c r="EA431" s="327"/>
      <c r="EB431" s="327"/>
      <c r="EC431" s="327"/>
      <c r="ED431" s="327"/>
      <c r="EE431" s="327"/>
      <c r="EF431" s="327"/>
      <c r="EG431" s="327"/>
      <c r="EH431" s="327"/>
      <c r="EI431" s="327"/>
      <c r="EJ431" s="327"/>
      <c r="EK431" s="327"/>
      <c r="EL431" s="327"/>
      <c r="EM431" s="327"/>
      <c r="EN431" s="327"/>
      <c r="EO431" s="327"/>
      <c r="EP431" s="327"/>
      <c r="EQ431" s="327"/>
      <c r="ER431" s="327"/>
      <c r="ES431" s="327"/>
      <c r="ET431" s="327"/>
      <c r="EU431" s="327"/>
      <c r="EV431" s="327"/>
      <c r="EW431" s="327"/>
      <c r="EX431" s="327"/>
      <c r="EY431" s="327"/>
      <c r="EZ431" s="327"/>
      <c r="FA431" s="327"/>
      <c r="FB431" s="327"/>
      <c r="FC431" s="327"/>
      <c r="FD431" s="327"/>
      <c r="FE431" s="327"/>
      <c r="FF431" s="327"/>
      <c r="FG431" s="327"/>
      <c r="FH431" s="327"/>
      <c r="FI431" s="327"/>
      <c r="FJ431" s="327"/>
      <c r="FK431" s="327"/>
      <c r="FL431" s="327"/>
      <c r="FM431" s="327"/>
      <c r="FN431" s="327"/>
      <c r="FO431" s="327"/>
      <c r="FP431" s="327"/>
      <c r="FQ431" s="327"/>
      <c r="FR431" s="327"/>
      <c r="FS431" s="327"/>
      <c r="FT431" s="327"/>
      <c r="FU431" s="327"/>
      <c r="FV431" s="327"/>
      <c r="FW431" s="327"/>
      <c r="FX431" s="327"/>
      <c r="FY431" s="327"/>
      <c r="FZ431" s="327"/>
      <c r="GA431" s="327"/>
      <c r="GB431" s="327"/>
      <c r="GC431" s="327"/>
      <c r="GD431" s="327"/>
      <c r="GE431" s="327"/>
      <c r="GF431" s="327"/>
      <c r="GG431" s="327"/>
      <c r="GH431" s="327"/>
      <c r="GI431" s="327"/>
      <c r="GJ431" s="327"/>
      <c r="GK431" s="327"/>
      <c r="GL431" s="327"/>
      <c r="GM431" s="327"/>
      <c r="GN431" s="327"/>
      <c r="GO431" s="327"/>
      <c r="GP431" s="327"/>
      <c r="GQ431" s="327"/>
      <c r="GR431" s="327"/>
      <c r="GS431" s="327"/>
      <c r="GT431" s="327"/>
      <c r="GU431" s="327"/>
      <c r="GV431" s="327"/>
      <c r="GW431" s="327"/>
      <c r="GX431" s="327"/>
      <c r="GY431" s="327"/>
      <c r="GZ431" s="327"/>
      <c r="HA431" s="327"/>
      <c r="HB431" s="327"/>
      <c r="HC431" s="327"/>
      <c r="HD431" s="327"/>
      <c r="HE431" s="327"/>
      <c r="HF431" s="327"/>
      <c r="HG431" s="327"/>
      <c r="HH431" s="327"/>
      <c r="HI431" s="327"/>
      <c r="HJ431" s="327"/>
      <c r="HK431" s="327"/>
      <c r="HL431" s="327"/>
      <c r="HM431" s="327"/>
      <c r="HN431" s="327"/>
      <c r="HO431" s="327"/>
      <c r="HP431" s="327"/>
      <c r="HQ431" s="327"/>
      <c r="HR431" s="327"/>
      <c r="HS431" s="327"/>
    </row>
    <row r="432" spans="1:227" ht="15" customHeight="1">
      <c r="A432" s="327">
        <v>17</v>
      </c>
      <c r="B432" s="435" t="str">
        <f>VLOOKUP(Ruimtestaat[[#This Row],[Code]],Locaties[[Code]:[Locatie]],2,FALSE)</f>
        <v>IKC de Tjalk Kadelaan 208 (bijgebouw)</v>
      </c>
      <c r="C432" s="435" t="str">
        <f>VLOOKUP(Ruimtestaat[[#This Row],[Code]],Locaties[[#All],[Code]:[Adres]],4,FALSE)</f>
        <v>Kadelaan 208</v>
      </c>
      <c r="D432" s="435" t="str">
        <f>VLOOKUP(Ruimtestaat[[#This Row],[Code]],Locaties[[#All],[Code]:[Postcode]],5,FALSE)</f>
        <v>2725 BR</v>
      </c>
      <c r="E432" s="435" t="str">
        <f>VLOOKUP(Ruimtestaat[[#This Row],[Code]],Locaties[#All],6,FALSE)</f>
        <v>Zoetermeer</v>
      </c>
      <c r="F432" s="450"/>
      <c r="G432" s="330" t="s">
        <v>1678</v>
      </c>
      <c r="H432" s="330" t="s">
        <v>1862</v>
      </c>
      <c r="I432" s="450" t="s">
        <v>1720</v>
      </c>
      <c r="J432" s="330">
        <v>5</v>
      </c>
      <c r="K432" s="450" t="str">
        <f>VLOOKUP(Ruimtestaat[[#This Row],[Ruimte code]],Ruimtegroepen[[#All],[Code]:[Ruimte omschrijving]],2,FALSE)</f>
        <v>Sanitair</v>
      </c>
      <c r="L432" s="330" t="s">
        <v>101</v>
      </c>
      <c r="M432" s="437" t="s">
        <v>1816</v>
      </c>
      <c r="N432" s="439">
        <v>1.48</v>
      </c>
      <c r="O432" s="439"/>
      <c r="P432" s="439"/>
      <c r="Q432" s="439"/>
      <c r="R432" s="440" t="str">
        <f>VLOOKUP(Ruimtestaat[[#This Row],[Ruimte code]],Ruimtegroepen[],4,FALSE)</f>
        <v>Sa</v>
      </c>
      <c r="S432" s="434">
        <v>41</v>
      </c>
      <c r="T432" s="434" t="s">
        <v>2</v>
      </c>
      <c r="U432" s="434">
        <f>IF(S432&gt;0,IF(RIGHT(Ruimtestaat[[#This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32" s="434">
        <f>IF(U432&gt;0,VLOOKUP($J432,Ruimtegroepen[],3,FALSE)*VLOOKUP($L432,Vloersoorten[],3,FALSE)*VLOOKUP($T432,Frequenties[],3,FALSE)*VLOOKUP($A432,Locaties[],3,FALSE),0)</f>
        <v>0</v>
      </c>
      <c r="W432" s="434">
        <f>Ruimtestaat[[#This Row],[Uitvoeringen werkdagen]]*Ruimtestaat[[#This Row],[Oppervlak (netto)]]</f>
        <v>303.39999999999998</v>
      </c>
      <c r="X432" s="441">
        <f>IF(V432&gt;0,Ruimtestaat[[#This Row],[Prest. (m2 /jaar) werkdagen]]/Ruimtestaat[[#This Row],[Norm (m2/uur) werkdagen]],0)</f>
        <v>0</v>
      </c>
      <c r="Y432" s="442">
        <f>Ruimtestaat[[#This Row],[Uitvoeringen werkdagen]]*Ruimtestaat[[#This Row],[Gedeeltelijk]]</f>
        <v>0</v>
      </c>
      <c r="Z432" s="443" t="e">
        <f>IF(U432&gt;0,Ruimtestaat[[#This Row],[Prest. (m2 / jaar) werkdagen gedeeld]]/Ruimtestaat[[#This Row],[Norm (m2/uur) werkdagen]],0)</f>
        <v>#DIV/0!</v>
      </c>
      <c r="AA432" s="441" t="e">
        <f>Ruimtestaat[[#This Row],[uren / jaar werkdagen gedeeld]]*Tariefsopbouw!$E$35</f>
        <v>#DIV/0!</v>
      </c>
      <c r="AB432" s="441">
        <f>Ruimtestaat[[#This Row],[Uitvoeringen werkdagen]]*Ruimtestaat[[#This Row],[BSO]]</f>
        <v>0</v>
      </c>
      <c r="AC432" s="443" t="e">
        <f>IF(U432&gt;0,Ruimtestaat[[#This Row],[Prest. (m2 / jaar) werkdagen BSO]]/Ruimtestaat[[#This Row],[Norm (m2/uur) werkdagen]],0)</f>
        <v>#DIV/0!</v>
      </c>
      <c r="AD432" s="443" t="e">
        <f>Ruimtestaat[[#This Row],[uren / jaar werkdagen BSO]]*Tariefsopbouw!$E$35</f>
        <v>#DIV/0!</v>
      </c>
      <c r="AE432" s="444">
        <f>Ruimtestaat[[#This Row],[uren / jaar werkdagen]]*Tariefsopbouw!$E$35</f>
        <v>0</v>
      </c>
      <c r="AF432" s="434"/>
      <c r="AG432" s="434">
        <f>IF(Ruimtestaat[[#This Row],[Frequentie weekend]]&gt;0,VALUE(LEFT(AF432,1))*S432,0)</f>
        <v>0</v>
      </c>
      <c r="AH432" s="445">
        <f>IF($AG432&gt;0,VLOOKUP($J432,Ruimtegroepen[],3,FALSE)*VLOOKUP($L432,Vloersoorten[],3,FALSE)*VLOOKUP($AF432,Frequenties[],3,FALSE)*VLOOKUP(Ruimtestaat[[#This Row],[Code]],Locaties[],3,FALSE),0)</f>
        <v>0</v>
      </c>
      <c r="AI432" s="445">
        <f>Ruimtestaat[[#This Row],[Uitvoeringen weekend]]*Ruimtestaat[[#This Row],[Oppervlak (netto)]]</f>
        <v>0</v>
      </c>
      <c r="AJ432" s="445">
        <f>IF(AH432&gt;0,Ruimtestaat[[#This Row],[Prest. (m2 /jaar) weekend]]/Ruimtestaat[[#This Row],[Norm (m2/uur) weekend]],0)</f>
        <v>0</v>
      </c>
      <c r="AK432" s="444">
        <f>Ruimtestaat[[#This Row],[uren / jaar weekend]]*Tariefsopbouw!$D$40</f>
        <v>0</v>
      </c>
      <c r="AL432" s="441">
        <f>Ruimtestaat[[#This Row],[Prest. (m2 /jaar) weekend]]+Ruimtestaat[[#This Row],[Prest. (m2 /jaar) werkdagen]]</f>
        <v>303.39999999999998</v>
      </c>
      <c r="AM432" s="441">
        <f>Ruimtestaat[[#This Row],[uren / jaar weekend]]+Ruimtestaat[[#This Row],[uren / jaar werkdagen]]</f>
        <v>0</v>
      </c>
      <c r="AN432" s="446">
        <f>Ruimtestaat[[#This Row],[kosten / jaar weekend]]+Ruimtestaat[[#This Row],[kosten / jaar werkdagen]]</f>
        <v>0</v>
      </c>
      <c r="AO432" s="446"/>
      <c r="AP432" s="447" t="str">
        <f>IF(Ruimtestaat[[#This Row],[Frequentie werkdagen]]="","",_xlfn.CONCAT(Ruimtestaat[[#This Row],[Ruimte code]],"-",Ruimtestaat[[#This Row],[Frequentie werkdagen]]," ",Ruimtestaat[[#This Row],[Vloer code]]))</f>
        <v>5-5w S</v>
      </c>
      <c r="AQ432" s="448" t="str">
        <f>_xlfn.IFNA(VLOOKUP($AP432,Programma!$F$3:$G$1101,2,0),"")</f>
        <v>_</v>
      </c>
      <c r="AR432" s="448" t="str">
        <f>_xlfn.IFNA(VLOOKUP($AP432,Programma!$F$3:$H$1101,3,0),"")</f>
        <v>_</v>
      </c>
      <c r="AS432" s="448" t="str">
        <f>_xlfn.IFNA(VLOOKUP($AP432,Programma!$F$3:$I$1101,4,0),"")</f>
        <v>_</v>
      </c>
      <c r="AT432" s="448" t="str">
        <f>_xlfn.IFNA(VLOOKUP($AP432,Programma!$F$3:$J$1101,5,0),"")</f>
        <v>4w</v>
      </c>
      <c r="AU432" s="448" t="str">
        <f>_xlfn.IFNA(VLOOKUP($AP432,Programma!$F$3:$K$1101,6,0),"")</f>
        <v>1w</v>
      </c>
      <c r="AV432" s="448" t="str">
        <f>_xlfn.IFNA(VLOOKUP($AP432,Programma!$F$3:$L$1101,7,0),"")</f>
        <v>_</v>
      </c>
      <c r="AW432" s="448" t="str">
        <f>_xlfn.IFNA(VLOOKUP($AP432,Programma!$F$3:$M$1101,8,0),"")</f>
        <v>_</v>
      </c>
      <c r="AX432" s="448" t="str">
        <f>_xlfn.IFNA(VLOOKUP($AP432,Programma!$F$3:$N$1101,9,0),"")</f>
        <v>_</v>
      </c>
      <c r="AY432" s="448" t="str">
        <f>_xlfn.IFNA(VLOOKUP($AP432,Programma!$F$3:$O$1101,10,0),"")</f>
        <v>_</v>
      </c>
      <c r="AZ432" s="448" t="str">
        <f>_xlfn.IFNA(VLOOKUP($AP432,Programma!$F$3:$P$1101,11,0),"")</f>
        <v>_</v>
      </c>
      <c r="BA432" s="448" t="str">
        <f>_xlfn.IFNA(VLOOKUP($AP432,Programma!$F$3:$Q$1101,12,0),"")</f>
        <v>_</v>
      </c>
      <c r="BB432" s="448" t="str">
        <f>_xlfn.IFNA(VLOOKUP($AP432,Programma!$F$3:$R$1101,13,0),"")</f>
        <v>_</v>
      </c>
      <c r="BC432" s="448" t="str">
        <f>_xlfn.IFNA(VLOOKUP($AP432,Programma!$F$3:$S$1101,14,0),"")</f>
        <v>_</v>
      </c>
      <c r="BD432" s="448" t="str">
        <f>_xlfn.IFNA(VLOOKUP($AP432,Programma!$F$3:$T$1101,15,0),"")</f>
        <v>_</v>
      </c>
      <c r="BE432" s="448" t="str">
        <f>_xlfn.IFNA(VLOOKUP($AP432,Programma!$F$3:$U$1101,16,0),"")</f>
        <v>_</v>
      </c>
      <c r="BF432" s="448" t="str">
        <f>_xlfn.IFNA(VLOOKUP($AP432,Programma!$F$3:$V$1101,17,0),"")</f>
        <v>_</v>
      </c>
      <c r="BG432" s="448" t="str">
        <f>_xlfn.IFNA(VLOOKUP($AP432,Programma!$F$3:$W$1101,18,0),"")</f>
        <v>4w</v>
      </c>
      <c r="BH432" s="448" t="str">
        <f>_xlfn.IFNA(VLOOKUP($AP432,Programma!$F$3:$X$1101,19,0),"")</f>
        <v>1w</v>
      </c>
      <c r="BI432" s="448" t="str">
        <f>_xlfn.IFNA(VLOOKUP($AP432,Programma!$F$3:$Y$1101,20,0),"")</f>
        <v>_</v>
      </c>
      <c r="BJ432" s="449"/>
      <c r="BK432" s="447" t="str">
        <f>IF(Ruimtestaat[[#This Row],[Frequentie weekend]]="","",_xlfn.CONCAT(Ruimtestaat[[#This Row],[Ruimte code]],"-",Ruimtestaat[[#This Row],[Frequentie weekend]]," ",Ruimtestaat[[#This Row],[Vloer code]]))</f>
        <v/>
      </c>
      <c r="BL432" s="448" t="str">
        <f>_xlfn.IFNA(VLOOKUP($BK432,Programma!$F$3:$G$1101,2,0),"")</f>
        <v/>
      </c>
      <c r="BM432" s="448" t="str">
        <f>_xlfn.IFNA(VLOOKUP($BK432,Programma!$F$3:$H$1101,3,0),"")</f>
        <v/>
      </c>
      <c r="BN432" s="448" t="str">
        <f>_xlfn.IFNA(VLOOKUP($BK432,Programma!$F$3:$I$1101,4,0),"")</f>
        <v/>
      </c>
      <c r="BO432" s="448" t="str">
        <f>_xlfn.IFNA(VLOOKUP($BK432,Programma!$F$3:$J$1101,5,0),"")</f>
        <v/>
      </c>
      <c r="BP432" s="448" t="str">
        <f>_xlfn.IFNA(VLOOKUP($BK432,Programma!$F$3:$K$1101,6,0),"")</f>
        <v/>
      </c>
      <c r="BQ432" s="448" t="str">
        <f>_xlfn.IFNA(VLOOKUP($BK432,Programma!$F$3:$L$1101,7,0),"")</f>
        <v/>
      </c>
      <c r="BR432" s="448" t="str">
        <f>_xlfn.IFNA(VLOOKUP($BK432,Programma!$F$3:$M$1101,8,0),"")</f>
        <v/>
      </c>
      <c r="BS432" s="448" t="str">
        <f>_xlfn.IFNA(VLOOKUP($BK432,Programma!$F$3:$N$1101,9,0),"")</f>
        <v/>
      </c>
      <c r="BT432" s="448" t="str">
        <f>_xlfn.IFNA(VLOOKUP($BK432,Programma!$F$3:$O$1101,10,0),"")</f>
        <v/>
      </c>
      <c r="BU432" s="448" t="str">
        <f>_xlfn.IFNA(VLOOKUP($BK432,Programma!$F$3:$P$1101,11,0),"")</f>
        <v/>
      </c>
      <c r="BV432" s="448" t="str">
        <f>_xlfn.IFNA(VLOOKUP($BK432,Programma!$F$3:$Q$1101,12,0),"")</f>
        <v/>
      </c>
      <c r="BW432" s="448" t="str">
        <f>_xlfn.IFNA(VLOOKUP($BK432,Programma!$F$3:$R$1101,13,0),"")</f>
        <v/>
      </c>
      <c r="BX432" s="448" t="str">
        <f>_xlfn.IFNA(VLOOKUP($BK432,Programma!$F$3:$S$1101,14,0),"")</f>
        <v/>
      </c>
      <c r="BY432" s="448" t="str">
        <f>_xlfn.IFNA(VLOOKUP($BK432,Programma!$F$3:$T$1101,15,0),"")</f>
        <v/>
      </c>
      <c r="BZ432" s="448" t="str">
        <f>_xlfn.IFNA(VLOOKUP($BK432,Programma!$F$3:$U$1101,16,0),"")</f>
        <v/>
      </c>
      <c r="CA432" s="448" t="str">
        <f>_xlfn.IFNA(VLOOKUP($BK432,Programma!$F$3:$V$1101,17,0),"")</f>
        <v/>
      </c>
      <c r="CB432" s="448" t="str">
        <f>_xlfn.IFNA(VLOOKUP($BK432,Programma!$F$3:$W$1101,18,0),"")</f>
        <v/>
      </c>
      <c r="CC432" s="448" t="str">
        <f>_xlfn.IFNA(VLOOKUP($BK432,Programma!$F$3:$X$1101,19,0),"")</f>
        <v/>
      </c>
      <c r="CD432" s="448" t="str">
        <f>_xlfn.IFNA(VLOOKUP($BK432,Programma!$F$3:$Y$1101,20,0),"")</f>
        <v/>
      </c>
      <c r="CE432" s="327"/>
      <c r="CF432" s="327"/>
      <c r="CG432" s="327"/>
      <c r="CH432" s="327"/>
      <c r="CI432" s="327"/>
      <c r="CJ432" s="327"/>
      <c r="CK432" s="327"/>
      <c r="CL432" s="327"/>
      <c r="CM432" s="327"/>
      <c r="CN432" s="327"/>
      <c r="CO432" s="327"/>
      <c r="CP432" s="327"/>
      <c r="CQ432" s="327"/>
      <c r="CR432" s="327"/>
      <c r="CS432" s="327"/>
      <c r="CT432" s="327"/>
      <c r="CU432" s="327"/>
      <c r="CV432" s="327"/>
      <c r="CW432" s="327"/>
      <c r="CX432" s="327"/>
      <c r="CY432" s="327"/>
      <c r="CZ432" s="327"/>
      <c r="DA432" s="327"/>
      <c r="DB432" s="327"/>
      <c r="DC432" s="327"/>
      <c r="DD432" s="327"/>
      <c r="DE432" s="327"/>
      <c r="DF432" s="327"/>
      <c r="DG432" s="327"/>
      <c r="DH432" s="327"/>
      <c r="DI432" s="327"/>
      <c r="DJ432" s="327"/>
      <c r="DK432" s="327"/>
      <c r="DL432" s="327"/>
      <c r="DM432" s="327"/>
      <c r="DN432" s="327"/>
      <c r="DO432" s="327"/>
      <c r="DP432" s="327"/>
      <c r="DQ432" s="327"/>
      <c r="DR432" s="327"/>
      <c r="DS432" s="327"/>
      <c r="DT432" s="327"/>
      <c r="DU432" s="327"/>
      <c r="DV432" s="327"/>
      <c r="DW432" s="327"/>
      <c r="DX432" s="327"/>
      <c r="DY432" s="327"/>
      <c r="DZ432" s="327"/>
      <c r="EA432" s="327"/>
      <c r="EB432" s="327"/>
      <c r="EC432" s="327"/>
      <c r="ED432" s="327"/>
      <c r="EE432" s="327"/>
      <c r="EF432" s="327"/>
      <c r="EG432" s="327"/>
      <c r="EH432" s="327"/>
      <c r="EI432" s="327"/>
      <c r="EJ432" s="327"/>
      <c r="EK432" s="327"/>
      <c r="EL432" s="327"/>
      <c r="EM432" s="327"/>
      <c r="EN432" s="327"/>
      <c r="EO432" s="327"/>
      <c r="EP432" s="327"/>
      <c r="EQ432" s="327"/>
      <c r="ER432" s="327"/>
      <c r="ES432" s="327"/>
      <c r="ET432" s="327"/>
      <c r="EU432" s="327"/>
      <c r="EV432" s="327"/>
      <c r="EW432" s="327"/>
      <c r="EX432" s="327"/>
      <c r="EY432" s="327"/>
      <c r="EZ432" s="327"/>
      <c r="FA432" s="327"/>
      <c r="FB432" s="327"/>
      <c r="FC432" s="327"/>
      <c r="FD432" s="327"/>
      <c r="FE432" s="327"/>
      <c r="FF432" s="327"/>
      <c r="FG432" s="327"/>
      <c r="FH432" s="327"/>
      <c r="FI432" s="327"/>
      <c r="FJ432" s="327"/>
      <c r="FK432" s="327"/>
      <c r="FL432" s="327"/>
      <c r="FM432" s="327"/>
      <c r="FN432" s="327"/>
      <c r="FO432" s="327"/>
      <c r="FP432" s="327"/>
      <c r="FQ432" s="327"/>
      <c r="FR432" s="327"/>
      <c r="FS432" s="327"/>
      <c r="FT432" s="327"/>
      <c r="FU432" s="327"/>
      <c r="FV432" s="327"/>
      <c r="FW432" s="327"/>
      <c r="FX432" s="327"/>
      <c r="FY432" s="327"/>
      <c r="FZ432" s="327"/>
      <c r="GA432" s="327"/>
      <c r="GB432" s="327"/>
      <c r="GC432" s="327"/>
      <c r="GD432" s="327"/>
      <c r="GE432" s="327"/>
      <c r="GF432" s="327"/>
      <c r="GG432" s="327"/>
      <c r="GH432" s="327"/>
      <c r="GI432" s="327"/>
      <c r="GJ432" s="327"/>
      <c r="GK432" s="327"/>
      <c r="GL432" s="327"/>
      <c r="GM432" s="327"/>
      <c r="GN432" s="327"/>
      <c r="GO432" s="327"/>
      <c r="GP432" s="327"/>
      <c r="GQ432" s="327"/>
      <c r="GR432" s="327"/>
      <c r="GS432" s="327"/>
      <c r="GT432" s="327"/>
      <c r="GU432" s="327"/>
      <c r="GV432" s="327"/>
      <c r="GW432" s="327"/>
      <c r="GX432" s="327"/>
      <c r="GY432" s="327"/>
      <c r="GZ432" s="327"/>
      <c r="HA432" s="327"/>
      <c r="HB432" s="327"/>
      <c r="HC432" s="327"/>
      <c r="HD432" s="327"/>
      <c r="HE432" s="327"/>
      <c r="HF432" s="327"/>
      <c r="HG432" s="327"/>
      <c r="HH432" s="327"/>
      <c r="HI432" s="327"/>
      <c r="HJ432" s="327"/>
      <c r="HK432" s="327"/>
      <c r="HL432" s="327"/>
      <c r="HM432" s="327"/>
      <c r="HN432" s="327"/>
      <c r="HO432" s="327"/>
      <c r="HP432" s="327"/>
      <c r="HQ432" s="327"/>
      <c r="HR432" s="327"/>
      <c r="HS432" s="327"/>
    </row>
    <row r="433" spans="1:227" ht="15" customHeight="1">
      <c r="A433" s="327">
        <v>17</v>
      </c>
      <c r="B433" s="435" t="str">
        <f>VLOOKUP(Ruimtestaat[[#This Row],[Code]],Locaties[[Code]:[Locatie]],2,FALSE)</f>
        <v>IKC de Tjalk Kadelaan 208 (bijgebouw)</v>
      </c>
      <c r="C433" s="435" t="str">
        <f>VLOOKUP(Ruimtestaat[[#This Row],[Code]],Locaties[[#All],[Code]:[Adres]],4,FALSE)</f>
        <v>Kadelaan 208</v>
      </c>
      <c r="D433" s="435" t="str">
        <f>VLOOKUP(Ruimtestaat[[#This Row],[Code]],Locaties[[#All],[Code]:[Postcode]],5,FALSE)</f>
        <v>2725 BR</v>
      </c>
      <c r="E433" s="435" t="str">
        <f>VLOOKUP(Ruimtestaat[[#This Row],[Code]],Locaties[#All],6,FALSE)</f>
        <v>Zoetermeer</v>
      </c>
      <c r="F433" s="450"/>
      <c r="G433" s="330" t="s">
        <v>1678</v>
      </c>
      <c r="H433" s="330" t="s">
        <v>1863</v>
      </c>
      <c r="I433" s="450" t="s">
        <v>1720</v>
      </c>
      <c r="J433" s="330">
        <v>5</v>
      </c>
      <c r="K433" s="450" t="str">
        <f>VLOOKUP(Ruimtestaat[[#This Row],[Ruimte code]],Ruimtegroepen[[#All],[Code]:[Ruimte omschrijving]],2,FALSE)</f>
        <v>Sanitair</v>
      </c>
      <c r="L433" s="330" t="s">
        <v>101</v>
      </c>
      <c r="M433" s="437" t="s">
        <v>1816</v>
      </c>
      <c r="N433" s="439">
        <v>1.49</v>
      </c>
      <c r="O433" s="439"/>
      <c r="P433" s="439"/>
      <c r="Q433" s="439"/>
      <c r="R433" s="440" t="str">
        <f>VLOOKUP(Ruimtestaat[[#This Row],[Ruimte code]],Ruimtegroepen[],4,FALSE)</f>
        <v>Sa</v>
      </c>
      <c r="S433" s="434">
        <v>41</v>
      </c>
      <c r="T433" s="434" t="s">
        <v>2</v>
      </c>
      <c r="U433" s="434">
        <f>IF(S433&gt;0,IF(RIGHT(Ruimtestaat[[#This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33" s="434">
        <f>IF(U433&gt;0,VLOOKUP($J433,Ruimtegroepen[],3,FALSE)*VLOOKUP($L433,Vloersoorten[],3,FALSE)*VLOOKUP($T433,Frequenties[],3,FALSE)*VLOOKUP($A433,Locaties[],3,FALSE),0)</f>
        <v>0</v>
      </c>
      <c r="W433" s="434">
        <f>Ruimtestaat[[#This Row],[Uitvoeringen werkdagen]]*Ruimtestaat[[#This Row],[Oppervlak (netto)]]</f>
        <v>305.45</v>
      </c>
      <c r="X433" s="441">
        <f>IF(V433&gt;0,Ruimtestaat[[#This Row],[Prest. (m2 /jaar) werkdagen]]/Ruimtestaat[[#This Row],[Norm (m2/uur) werkdagen]],0)</f>
        <v>0</v>
      </c>
      <c r="Y433" s="442">
        <f>Ruimtestaat[[#This Row],[Uitvoeringen werkdagen]]*Ruimtestaat[[#This Row],[Gedeeltelijk]]</f>
        <v>0</v>
      </c>
      <c r="Z433" s="443" t="e">
        <f>IF(U433&gt;0,Ruimtestaat[[#This Row],[Prest. (m2 / jaar) werkdagen gedeeld]]/Ruimtestaat[[#This Row],[Norm (m2/uur) werkdagen]],0)</f>
        <v>#DIV/0!</v>
      </c>
      <c r="AA433" s="441" t="e">
        <f>Ruimtestaat[[#This Row],[uren / jaar werkdagen gedeeld]]*Tariefsopbouw!$E$35</f>
        <v>#DIV/0!</v>
      </c>
      <c r="AB433" s="441">
        <f>Ruimtestaat[[#This Row],[Uitvoeringen werkdagen]]*Ruimtestaat[[#This Row],[BSO]]</f>
        <v>0</v>
      </c>
      <c r="AC433" s="443" t="e">
        <f>IF(U433&gt;0,Ruimtestaat[[#This Row],[Prest. (m2 / jaar) werkdagen BSO]]/Ruimtestaat[[#This Row],[Norm (m2/uur) werkdagen]],0)</f>
        <v>#DIV/0!</v>
      </c>
      <c r="AD433" s="443" t="e">
        <f>Ruimtestaat[[#This Row],[uren / jaar werkdagen BSO]]*Tariefsopbouw!$E$35</f>
        <v>#DIV/0!</v>
      </c>
      <c r="AE433" s="444">
        <f>Ruimtestaat[[#This Row],[uren / jaar werkdagen]]*Tariefsopbouw!$E$35</f>
        <v>0</v>
      </c>
      <c r="AF433" s="434"/>
      <c r="AG433" s="434">
        <f>IF(Ruimtestaat[[#This Row],[Frequentie weekend]]&gt;0,VALUE(LEFT(AF433,1))*S433,0)</f>
        <v>0</v>
      </c>
      <c r="AH433" s="445">
        <f>IF($AG433&gt;0,VLOOKUP($J433,Ruimtegroepen[],3,FALSE)*VLOOKUP($L433,Vloersoorten[],3,FALSE)*VLOOKUP($AF433,Frequenties[],3,FALSE)*VLOOKUP(Ruimtestaat[[#This Row],[Code]],Locaties[],3,FALSE),0)</f>
        <v>0</v>
      </c>
      <c r="AI433" s="445">
        <f>Ruimtestaat[[#This Row],[Uitvoeringen weekend]]*Ruimtestaat[[#This Row],[Oppervlak (netto)]]</f>
        <v>0</v>
      </c>
      <c r="AJ433" s="445">
        <f>IF(AH433&gt;0,Ruimtestaat[[#This Row],[Prest. (m2 /jaar) weekend]]/Ruimtestaat[[#This Row],[Norm (m2/uur) weekend]],0)</f>
        <v>0</v>
      </c>
      <c r="AK433" s="444">
        <f>Ruimtestaat[[#This Row],[uren / jaar weekend]]*Tariefsopbouw!$D$40</f>
        <v>0</v>
      </c>
      <c r="AL433" s="441">
        <f>Ruimtestaat[[#This Row],[Prest. (m2 /jaar) weekend]]+Ruimtestaat[[#This Row],[Prest. (m2 /jaar) werkdagen]]</f>
        <v>305.45</v>
      </c>
      <c r="AM433" s="441">
        <f>Ruimtestaat[[#This Row],[uren / jaar weekend]]+Ruimtestaat[[#This Row],[uren / jaar werkdagen]]</f>
        <v>0</v>
      </c>
      <c r="AN433" s="446">
        <f>Ruimtestaat[[#This Row],[kosten / jaar weekend]]+Ruimtestaat[[#This Row],[kosten / jaar werkdagen]]</f>
        <v>0</v>
      </c>
      <c r="AO433" s="446"/>
      <c r="AP433" s="447" t="str">
        <f>IF(Ruimtestaat[[#This Row],[Frequentie werkdagen]]="","",_xlfn.CONCAT(Ruimtestaat[[#This Row],[Ruimte code]],"-",Ruimtestaat[[#This Row],[Frequentie werkdagen]]," ",Ruimtestaat[[#This Row],[Vloer code]]))</f>
        <v>5-5w S</v>
      </c>
      <c r="AQ433" s="448" t="str">
        <f>_xlfn.IFNA(VLOOKUP($AP433,Programma!$F$3:$G$1101,2,0),"")</f>
        <v>_</v>
      </c>
      <c r="AR433" s="448" t="str">
        <f>_xlfn.IFNA(VLOOKUP($AP433,Programma!$F$3:$H$1101,3,0),"")</f>
        <v>_</v>
      </c>
      <c r="AS433" s="448" t="str">
        <f>_xlfn.IFNA(VLOOKUP($AP433,Programma!$F$3:$I$1101,4,0),"")</f>
        <v>_</v>
      </c>
      <c r="AT433" s="448" t="str">
        <f>_xlfn.IFNA(VLOOKUP($AP433,Programma!$F$3:$J$1101,5,0),"")</f>
        <v>4w</v>
      </c>
      <c r="AU433" s="448" t="str">
        <f>_xlfn.IFNA(VLOOKUP($AP433,Programma!$F$3:$K$1101,6,0),"")</f>
        <v>1w</v>
      </c>
      <c r="AV433" s="448" t="str">
        <f>_xlfn.IFNA(VLOOKUP($AP433,Programma!$F$3:$L$1101,7,0),"")</f>
        <v>_</v>
      </c>
      <c r="AW433" s="448" t="str">
        <f>_xlfn.IFNA(VLOOKUP($AP433,Programma!$F$3:$M$1101,8,0),"")</f>
        <v>_</v>
      </c>
      <c r="AX433" s="448" t="str">
        <f>_xlfn.IFNA(VLOOKUP($AP433,Programma!$F$3:$N$1101,9,0),"")</f>
        <v>_</v>
      </c>
      <c r="AY433" s="448" t="str">
        <f>_xlfn.IFNA(VLOOKUP($AP433,Programma!$F$3:$O$1101,10,0),"")</f>
        <v>_</v>
      </c>
      <c r="AZ433" s="448" t="str">
        <f>_xlfn.IFNA(VLOOKUP($AP433,Programma!$F$3:$P$1101,11,0),"")</f>
        <v>_</v>
      </c>
      <c r="BA433" s="448" t="str">
        <f>_xlfn.IFNA(VLOOKUP($AP433,Programma!$F$3:$Q$1101,12,0),"")</f>
        <v>_</v>
      </c>
      <c r="BB433" s="448" t="str">
        <f>_xlfn.IFNA(VLOOKUP($AP433,Programma!$F$3:$R$1101,13,0),"")</f>
        <v>_</v>
      </c>
      <c r="BC433" s="448" t="str">
        <f>_xlfn.IFNA(VLOOKUP($AP433,Programma!$F$3:$S$1101,14,0),"")</f>
        <v>_</v>
      </c>
      <c r="BD433" s="448" t="str">
        <f>_xlfn.IFNA(VLOOKUP($AP433,Programma!$F$3:$T$1101,15,0),"")</f>
        <v>_</v>
      </c>
      <c r="BE433" s="448" t="str">
        <f>_xlfn.IFNA(VLOOKUP($AP433,Programma!$F$3:$U$1101,16,0),"")</f>
        <v>_</v>
      </c>
      <c r="BF433" s="448" t="str">
        <f>_xlfn.IFNA(VLOOKUP($AP433,Programma!$F$3:$V$1101,17,0),"")</f>
        <v>_</v>
      </c>
      <c r="BG433" s="448" t="str">
        <f>_xlfn.IFNA(VLOOKUP($AP433,Programma!$F$3:$W$1101,18,0),"")</f>
        <v>4w</v>
      </c>
      <c r="BH433" s="448" t="str">
        <f>_xlfn.IFNA(VLOOKUP($AP433,Programma!$F$3:$X$1101,19,0),"")</f>
        <v>1w</v>
      </c>
      <c r="BI433" s="448" t="str">
        <f>_xlfn.IFNA(VLOOKUP($AP433,Programma!$F$3:$Y$1101,20,0),"")</f>
        <v>_</v>
      </c>
      <c r="BJ433" s="449"/>
      <c r="BK433" s="447" t="str">
        <f>IF(Ruimtestaat[[#This Row],[Frequentie weekend]]="","",_xlfn.CONCAT(Ruimtestaat[[#This Row],[Ruimte code]],"-",Ruimtestaat[[#This Row],[Frequentie weekend]]," ",Ruimtestaat[[#This Row],[Vloer code]]))</f>
        <v/>
      </c>
      <c r="BL433" s="448" t="str">
        <f>_xlfn.IFNA(VLOOKUP($BK433,Programma!$F$3:$G$1101,2,0),"")</f>
        <v/>
      </c>
      <c r="BM433" s="448" t="str">
        <f>_xlfn.IFNA(VLOOKUP($BK433,Programma!$F$3:$H$1101,3,0),"")</f>
        <v/>
      </c>
      <c r="BN433" s="448" t="str">
        <f>_xlfn.IFNA(VLOOKUP($BK433,Programma!$F$3:$I$1101,4,0),"")</f>
        <v/>
      </c>
      <c r="BO433" s="448" t="str">
        <f>_xlfn.IFNA(VLOOKUP($BK433,Programma!$F$3:$J$1101,5,0),"")</f>
        <v/>
      </c>
      <c r="BP433" s="448" t="str">
        <f>_xlfn.IFNA(VLOOKUP($BK433,Programma!$F$3:$K$1101,6,0),"")</f>
        <v/>
      </c>
      <c r="BQ433" s="448" t="str">
        <f>_xlfn.IFNA(VLOOKUP($BK433,Programma!$F$3:$L$1101,7,0),"")</f>
        <v/>
      </c>
      <c r="BR433" s="448" t="str">
        <f>_xlfn.IFNA(VLOOKUP($BK433,Programma!$F$3:$M$1101,8,0),"")</f>
        <v/>
      </c>
      <c r="BS433" s="448" t="str">
        <f>_xlfn.IFNA(VLOOKUP($BK433,Programma!$F$3:$N$1101,9,0),"")</f>
        <v/>
      </c>
      <c r="BT433" s="448" t="str">
        <f>_xlfn.IFNA(VLOOKUP($BK433,Programma!$F$3:$O$1101,10,0),"")</f>
        <v/>
      </c>
      <c r="BU433" s="448" t="str">
        <f>_xlfn.IFNA(VLOOKUP($BK433,Programma!$F$3:$P$1101,11,0),"")</f>
        <v/>
      </c>
      <c r="BV433" s="448" t="str">
        <f>_xlfn.IFNA(VLOOKUP($BK433,Programma!$F$3:$Q$1101,12,0),"")</f>
        <v/>
      </c>
      <c r="BW433" s="448" t="str">
        <f>_xlfn.IFNA(VLOOKUP($BK433,Programma!$F$3:$R$1101,13,0),"")</f>
        <v/>
      </c>
      <c r="BX433" s="448" t="str">
        <f>_xlfn.IFNA(VLOOKUP($BK433,Programma!$F$3:$S$1101,14,0),"")</f>
        <v/>
      </c>
      <c r="BY433" s="448" t="str">
        <f>_xlfn.IFNA(VLOOKUP($BK433,Programma!$F$3:$T$1101,15,0),"")</f>
        <v/>
      </c>
      <c r="BZ433" s="448" t="str">
        <f>_xlfn.IFNA(VLOOKUP($BK433,Programma!$F$3:$U$1101,16,0),"")</f>
        <v/>
      </c>
      <c r="CA433" s="448" t="str">
        <f>_xlfn.IFNA(VLOOKUP($BK433,Programma!$F$3:$V$1101,17,0),"")</f>
        <v/>
      </c>
      <c r="CB433" s="448" t="str">
        <f>_xlfn.IFNA(VLOOKUP($BK433,Programma!$F$3:$W$1101,18,0),"")</f>
        <v/>
      </c>
      <c r="CC433" s="448" t="str">
        <f>_xlfn.IFNA(VLOOKUP($BK433,Programma!$F$3:$X$1101,19,0),"")</f>
        <v/>
      </c>
      <c r="CD433" s="448" t="str">
        <f>_xlfn.IFNA(VLOOKUP($BK433,Programma!$F$3:$Y$1101,20,0),"")</f>
        <v/>
      </c>
      <c r="CE433" s="327"/>
      <c r="CF433" s="327"/>
      <c r="CG433" s="327"/>
      <c r="CH433" s="327"/>
      <c r="CI433" s="327"/>
      <c r="CJ433" s="327"/>
      <c r="CK433" s="327"/>
      <c r="CL433" s="327"/>
      <c r="CM433" s="327"/>
      <c r="CN433" s="327"/>
      <c r="CO433" s="327"/>
      <c r="CP433" s="327"/>
      <c r="CQ433" s="327"/>
      <c r="CR433" s="327"/>
      <c r="CS433" s="327"/>
      <c r="CT433" s="327"/>
      <c r="CU433" s="327"/>
      <c r="CV433" s="327"/>
      <c r="CW433" s="327"/>
      <c r="CX433" s="327"/>
      <c r="CY433" s="327"/>
      <c r="CZ433" s="327"/>
      <c r="DA433" s="327"/>
      <c r="DB433" s="327"/>
      <c r="DC433" s="327"/>
      <c r="DD433" s="327"/>
      <c r="DE433" s="327"/>
      <c r="DF433" s="327"/>
      <c r="DG433" s="327"/>
      <c r="DH433" s="327"/>
      <c r="DI433" s="327"/>
      <c r="DJ433" s="327"/>
      <c r="DK433" s="327"/>
      <c r="DL433" s="327"/>
      <c r="DM433" s="327"/>
      <c r="DN433" s="327"/>
      <c r="DO433" s="327"/>
      <c r="DP433" s="327"/>
      <c r="DQ433" s="327"/>
      <c r="DR433" s="327"/>
      <c r="DS433" s="327"/>
      <c r="DT433" s="327"/>
      <c r="DU433" s="327"/>
      <c r="DV433" s="327"/>
      <c r="DW433" s="327"/>
      <c r="DX433" s="327"/>
      <c r="DY433" s="327"/>
      <c r="DZ433" s="327"/>
      <c r="EA433" s="327"/>
      <c r="EB433" s="327"/>
      <c r="EC433" s="327"/>
      <c r="ED433" s="327"/>
      <c r="EE433" s="327"/>
      <c r="EF433" s="327"/>
      <c r="EG433" s="327"/>
      <c r="EH433" s="327"/>
      <c r="EI433" s="327"/>
      <c r="EJ433" s="327"/>
      <c r="EK433" s="327"/>
      <c r="EL433" s="327"/>
      <c r="EM433" s="327"/>
      <c r="EN433" s="327"/>
      <c r="EO433" s="327"/>
      <c r="EP433" s="327"/>
      <c r="EQ433" s="327"/>
      <c r="ER433" s="327"/>
      <c r="ES433" s="327"/>
      <c r="ET433" s="327"/>
      <c r="EU433" s="327"/>
      <c r="EV433" s="327"/>
      <c r="EW433" s="327"/>
      <c r="EX433" s="327"/>
      <c r="EY433" s="327"/>
      <c r="EZ433" s="327"/>
      <c r="FA433" s="327"/>
      <c r="FB433" s="327"/>
      <c r="FC433" s="327"/>
      <c r="FD433" s="327"/>
      <c r="FE433" s="327"/>
      <c r="FF433" s="327"/>
      <c r="FG433" s="327"/>
      <c r="FH433" s="327"/>
      <c r="FI433" s="327"/>
      <c r="FJ433" s="327"/>
      <c r="FK433" s="327"/>
      <c r="FL433" s="327"/>
      <c r="FM433" s="327"/>
      <c r="FN433" s="327"/>
      <c r="FO433" s="327"/>
      <c r="FP433" s="327"/>
      <c r="FQ433" s="327"/>
      <c r="FR433" s="327"/>
      <c r="FS433" s="327"/>
      <c r="FT433" s="327"/>
      <c r="FU433" s="327"/>
      <c r="FV433" s="327"/>
      <c r="FW433" s="327"/>
      <c r="FX433" s="327"/>
      <c r="FY433" s="327"/>
      <c r="FZ433" s="327"/>
      <c r="GA433" s="327"/>
      <c r="GB433" s="327"/>
      <c r="GC433" s="327"/>
      <c r="GD433" s="327"/>
      <c r="GE433" s="327"/>
      <c r="GF433" s="327"/>
      <c r="GG433" s="327"/>
      <c r="GH433" s="327"/>
      <c r="GI433" s="327"/>
      <c r="GJ433" s="327"/>
      <c r="GK433" s="327"/>
      <c r="GL433" s="327"/>
      <c r="GM433" s="327"/>
      <c r="GN433" s="327"/>
      <c r="GO433" s="327"/>
      <c r="GP433" s="327"/>
      <c r="GQ433" s="327"/>
      <c r="GR433" s="327"/>
      <c r="GS433" s="327"/>
      <c r="GT433" s="327"/>
      <c r="GU433" s="327"/>
      <c r="GV433" s="327"/>
      <c r="GW433" s="327"/>
      <c r="GX433" s="327"/>
      <c r="GY433" s="327"/>
      <c r="GZ433" s="327"/>
      <c r="HA433" s="327"/>
      <c r="HB433" s="327"/>
      <c r="HC433" s="327"/>
      <c r="HD433" s="327"/>
      <c r="HE433" s="327"/>
      <c r="HF433" s="327"/>
      <c r="HG433" s="327"/>
      <c r="HH433" s="327"/>
      <c r="HI433" s="327"/>
      <c r="HJ433" s="327"/>
      <c r="HK433" s="327"/>
      <c r="HL433" s="327"/>
      <c r="HM433" s="327"/>
      <c r="HN433" s="327"/>
      <c r="HO433" s="327"/>
      <c r="HP433" s="327"/>
      <c r="HQ433" s="327"/>
      <c r="HR433" s="327"/>
      <c r="HS433" s="327"/>
    </row>
    <row r="434" spans="1:227" ht="15" customHeight="1">
      <c r="A434" s="327">
        <v>17</v>
      </c>
      <c r="B434" s="435" t="str">
        <f>VLOOKUP(Ruimtestaat[[#This Row],[Code]],Locaties[[Code]:[Locatie]],2,FALSE)</f>
        <v>IKC de Tjalk Kadelaan 208 (bijgebouw)</v>
      </c>
      <c r="C434" s="435" t="str">
        <f>VLOOKUP(Ruimtestaat[[#This Row],[Code]],Locaties[[#All],[Code]:[Adres]],4,FALSE)</f>
        <v>Kadelaan 208</v>
      </c>
      <c r="D434" s="435" t="str">
        <f>VLOOKUP(Ruimtestaat[[#This Row],[Code]],Locaties[[#All],[Code]:[Postcode]],5,FALSE)</f>
        <v>2725 BR</v>
      </c>
      <c r="E434" s="435" t="str">
        <f>VLOOKUP(Ruimtestaat[[#This Row],[Code]],Locaties[#All],6,FALSE)</f>
        <v>Zoetermeer</v>
      </c>
      <c r="F434" s="450"/>
      <c r="G434" s="330" t="s">
        <v>1678</v>
      </c>
      <c r="H434" s="330">
        <v>45</v>
      </c>
      <c r="I434" s="450" t="s">
        <v>1858</v>
      </c>
      <c r="J434" s="330">
        <v>19</v>
      </c>
      <c r="K434" s="450" t="str">
        <f>VLOOKUP(Ruimtestaat[[#This Row],[Ruimte code]],Ruimtegroepen[[#All],[Code]:[Ruimte omschrijving]],2,FALSE)</f>
        <v>Kleedruimten</v>
      </c>
      <c r="L434" s="330" t="s">
        <v>101</v>
      </c>
      <c r="M434" s="437" t="s">
        <v>1816</v>
      </c>
      <c r="N434" s="439">
        <v>31.75</v>
      </c>
      <c r="O434" s="439"/>
      <c r="P434" s="439"/>
      <c r="Q434" s="439"/>
      <c r="R434" s="440" t="str">
        <f>VLOOKUP(Ruimtestaat[[#This Row],[Ruimte code]],Ruimtegroepen[],4,FALSE)</f>
        <v>Ve</v>
      </c>
      <c r="S434" s="434">
        <v>40</v>
      </c>
      <c r="T434" s="434" t="s">
        <v>2</v>
      </c>
      <c r="U434" s="434">
        <f>IF(S434&gt;0,IF(RIGHT(Ruimtestaat[[#This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4" s="434">
        <f>IF(U434&gt;0,VLOOKUP($J434,Ruimtegroepen[],3,FALSE)*VLOOKUP($L434,Vloersoorten[],3,FALSE)*VLOOKUP($T434,Frequenties[],3,FALSE)*VLOOKUP($A434,Locaties[],3,FALSE),0)</f>
        <v>0</v>
      </c>
      <c r="W434" s="434">
        <f>Ruimtestaat[[#This Row],[Uitvoeringen werkdagen]]*Ruimtestaat[[#This Row],[Oppervlak (netto)]]</f>
        <v>6350</v>
      </c>
      <c r="X434" s="441">
        <f>IF(V434&gt;0,Ruimtestaat[[#This Row],[Prest. (m2 /jaar) werkdagen]]/Ruimtestaat[[#This Row],[Norm (m2/uur) werkdagen]],0)</f>
        <v>0</v>
      </c>
      <c r="Y434" s="442">
        <f>Ruimtestaat[[#This Row],[Uitvoeringen werkdagen]]*Ruimtestaat[[#This Row],[Gedeeltelijk]]</f>
        <v>0</v>
      </c>
      <c r="Z434" s="443" t="e">
        <f>IF(U434&gt;0,Ruimtestaat[[#This Row],[Prest. (m2 / jaar) werkdagen gedeeld]]/Ruimtestaat[[#This Row],[Norm (m2/uur) werkdagen]],0)</f>
        <v>#DIV/0!</v>
      </c>
      <c r="AA434" s="441" t="e">
        <f>Ruimtestaat[[#This Row],[uren / jaar werkdagen gedeeld]]*Tariefsopbouw!$E$35</f>
        <v>#DIV/0!</v>
      </c>
      <c r="AB434" s="441">
        <f>Ruimtestaat[[#This Row],[Uitvoeringen werkdagen]]*Ruimtestaat[[#This Row],[BSO]]</f>
        <v>0</v>
      </c>
      <c r="AC434" s="443" t="e">
        <f>IF(U434&gt;0,Ruimtestaat[[#This Row],[Prest. (m2 / jaar) werkdagen BSO]]/Ruimtestaat[[#This Row],[Norm (m2/uur) werkdagen]],0)</f>
        <v>#DIV/0!</v>
      </c>
      <c r="AD434" s="443" t="e">
        <f>Ruimtestaat[[#This Row],[uren / jaar werkdagen BSO]]*Tariefsopbouw!$E$35</f>
        <v>#DIV/0!</v>
      </c>
      <c r="AE434" s="444">
        <f>Ruimtestaat[[#This Row],[uren / jaar werkdagen]]*Tariefsopbouw!$E$35</f>
        <v>0</v>
      </c>
      <c r="AF434" s="434"/>
      <c r="AG434" s="434">
        <f>IF(Ruimtestaat[[#This Row],[Frequentie weekend]]&gt;0,VALUE(LEFT(AF434,1))*S434,0)</f>
        <v>0</v>
      </c>
      <c r="AH434" s="445">
        <f>IF($AG434&gt;0,VLOOKUP($J434,Ruimtegroepen[],3,FALSE)*VLOOKUP($L434,Vloersoorten[],3,FALSE)*VLOOKUP($AF434,Frequenties[],3,FALSE)*VLOOKUP(Ruimtestaat[[#This Row],[Code]],Locaties[],3,FALSE),0)</f>
        <v>0</v>
      </c>
      <c r="AI434" s="445">
        <f>Ruimtestaat[[#This Row],[Uitvoeringen weekend]]*Ruimtestaat[[#This Row],[Oppervlak (netto)]]</f>
        <v>0</v>
      </c>
      <c r="AJ434" s="445">
        <f>IF(AH434&gt;0,Ruimtestaat[[#This Row],[Prest. (m2 /jaar) weekend]]/Ruimtestaat[[#This Row],[Norm (m2/uur) weekend]],0)</f>
        <v>0</v>
      </c>
      <c r="AK434" s="444">
        <f>Ruimtestaat[[#This Row],[uren / jaar weekend]]*Tariefsopbouw!$D$40</f>
        <v>0</v>
      </c>
      <c r="AL434" s="441">
        <f>Ruimtestaat[[#This Row],[Prest. (m2 /jaar) weekend]]+Ruimtestaat[[#This Row],[Prest. (m2 /jaar) werkdagen]]</f>
        <v>6350</v>
      </c>
      <c r="AM434" s="441">
        <f>Ruimtestaat[[#This Row],[uren / jaar weekend]]+Ruimtestaat[[#This Row],[uren / jaar werkdagen]]</f>
        <v>0</v>
      </c>
      <c r="AN434" s="446">
        <f>Ruimtestaat[[#This Row],[kosten / jaar weekend]]+Ruimtestaat[[#This Row],[kosten / jaar werkdagen]]</f>
        <v>0</v>
      </c>
      <c r="AO434" s="446"/>
      <c r="AP434" s="447" t="str">
        <f>IF(Ruimtestaat[[#This Row],[Frequentie werkdagen]]="","",_xlfn.CONCAT(Ruimtestaat[[#This Row],[Ruimte code]],"-",Ruimtestaat[[#This Row],[Frequentie werkdagen]]," ",Ruimtestaat[[#This Row],[Vloer code]]))</f>
        <v>19-5w S</v>
      </c>
      <c r="AQ434" s="448" t="str">
        <f>_xlfn.IFNA(VLOOKUP($AP434,Programma!$F$3:$G$1101,2,0),"")</f>
        <v>_</v>
      </c>
      <c r="AR434" s="448" t="str">
        <f>_xlfn.IFNA(VLOOKUP($AP434,Programma!$F$3:$H$1101,3,0),"")</f>
        <v>_</v>
      </c>
      <c r="AS434" s="448" t="str">
        <f>_xlfn.IFNA(VLOOKUP($AP434,Programma!$F$3:$I$1101,4,0),"")</f>
        <v>5w</v>
      </c>
      <c r="AT434" s="448" t="str">
        <f>_xlfn.IFNA(VLOOKUP($AP434,Programma!$F$3:$J$1101,5,0),"")</f>
        <v>_</v>
      </c>
      <c r="AU434" s="448" t="str">
        <f>_xlfn.IFNA(VLOOKUP($AP434,Programma!$F$3:$K$1101,6,0),"")</f>
        <v>5w</v>
      </c>
      <c r="AV434" s="448" t="str">
        <f>_xlfn.IFNA(VLOOKUP($AP434,Programma!$F$3:$L$1101,7,0),"")</f>
        <v>_</v>
      </c>
      <c r="AW434" s="448" t="str">
        <f>_xlfn.IFNA(VLOOKUP($AP434,Programma!$F$3:$M$1101,8,0),"")</f>
        <v>_</v>
      </c>
      <c r="AX434" s="448" t="str">
        <f>_xlfn.IFNA(VLOOKUP($AP434,Programma!$F$3:$N$1101,9,0),"")</f>
        <v>_</v>
      </c>
      <c r="AY434" s="448" t="str">
        <f>_xlfn.IFNA(VLOOKUP($AP434,Programma!$F$3:$O$1101,10,0),"")</f>
        <v>5w</v>
      </c>
      <c r="AZ434" s="448" t="str">
        <f>_xlfn.IFNA(VLOOKUP($AP434,Programma!$F$3:$P$1101,11,0),"")</f>
        <v>5w</v>
      </c>
      <c r="BA434" s="448" t="str">
        <f>_xlfn.IFNA(VLOOKUP($AP434,Programma!$F$3:$Q$1101,12,0),"")</f>
        <v>1w</v>
      </c>
      <c r="BB434" s="448" t="str">
        <f>_xlfn.IFNA(VLOOKUP($AP434,Programma!$F$3:$R$1101,13,0),"")</f>
        <v>1w</v>
      </c>
      <c r="BC434" s="448" t="str">
        <f>_xlfn.IFNA(VLOOKUP($AP434,Programma!$F$3:$S$1101,14,0),"")</f>
        <v>1m</v>
      </c>
      <c r="BD434" s="448" t="str">
        <f>_xlfn.IFNA(VLOOKUP($AP434,Programma!$F$3:$T$1101,15,0),"")</f>
        <v>2j</v>
      </c>
      <c r="BE434" s="448" t="str">
        <f>_xlfn.IFNA(VLOOKUP($AP434,Programma!$F$3:$U$1101,16,0),"")</f>
        <v>1j</v>
      </c>
      <c r="BF434" s="448" t="str">
        <f>_xlfn.IFNA(VLOOKUP($AP434,Programma!$F$3:$V$1101,17,0),"")</f>
        <v>_</v>
      </c>
      <c r="BG434" s="448" t="str">
        <f>_xlfn.IFNA(VLOOKUP($AP434,Programma!$F$3:$W$1101,18,0),"")</f>
        <v>_</v>
      </c>
      <c r="BH434" s="448" t="str">
        <f>_xlfn.IFNA(VLOOKUP($AP434,Programma!$F$3:$X$1101,19,0),"")</f>
        <v>_</v>
      </c>
      <c r="BI434" s="448" t="str">
        <f>_xlfn.IFNA(VLOOKUP($AP434,Programma!$F$3:$Y$1101,20,0),"")</f>
        <v>_</v>
      </c>
      <c r="BJ434" s="449"/>
      <c r="BK434" s="447" t="str">
        <f>IF(Ruimtestaat[[#This Row],[Frequentie weekend]]="","",_xlfn.CONCAT(Ruimtestaat[[#This Row],[Ruimte code]],"-",Ruimtestaat[[#This Row],[Frequentie weekend]]," ",Ruimtestaat[[#This Row],[Vloer code]]))</f>
        <v/>
      </c>
      <c r="BL434" s="448" t="str">
        <f>_xlfn.IFNA(VLOOKUP($BK434,Programma!$F$3:$G$1101,2,0),"")</f>
        <v/>
      </c>
      <c r="BM434" s="448" t="str">
        <f>_xlfn.IFNA(VLOOKUP($BK434,Programma!$F$3:$H$1101,3,0),"")</f>
        <v/>
      </c>
      <c r="BN434" s="448" t="str">
        <f>_xlfn.IFNA(VLOOKUP($BK434,Programma!$F$3:$I$1101,4,0),"")</f>
        <v/>
      </c>
      <c r="BO434" s="448" t="str">
        <f>_xlfn.IFNA(VLOOKUP($BK434,Programma!$F$3:$J$1101,5,0),"")</f>
        <v/>
      </c>
      <c r="BP434" s="448" t="str">
        <f>_xlfn.IFNA(VLOOKUP($BK434,Programma!$F$3:$K$1101,6,0),"")</f>
        <v/>
      </c>
      <c r="BQ434" s="448" t="str">
        <f>_xlfn.IFNA(VLOOKUP($BK434,Programma!$F$3:$L$1101,7,0),"")</f>
        <v/>
      </c>
      <c r="BR434" s="448" t="str">
        <f>_xlfn.IFNA(VLOOKUP($BK434,Programma!$F$3:$M$1101,8,0),"")</f>
        <v/>
      </c>
      <c r="BS434" s="448" t="str">
        <f>_xlfn.IFNA(VLOOKUP($BK434,Programma!$F$3:$N$1101,9,0),"")</f>
        <v/>
      </c>
      <c r="BT434" s="448" t="str">
        <f>_xlfn.IFNA(VLOOKUP($BK434,Programma!$F$3:$O$1101,10,0),"")</f>
        <v/>
      </c>
      <c r="BU434" s="448" t="str">
        <f>_xlfn.IFNA(VLOOKUP($BK434,Programma!$F$3:$P$1101,11,0),"")</f>
        <v/>
      </c>
      <c r="BV434" s="448" t="str">
        <f>_xlfn.IFNA(VLOOKUP($BK434,Programma!$F$3:$Q$1101,12,0),"")</f>
        <v/>
      </c>
      <c r="BW434" s="448" t="str">
        <f>_xlfn.IFNA(VLOOKUP($BK434,Programma!$F$3:$R$1101,13,0),"")</f>
        <v/>
      </c>
      <c r="BX434" s="448" t="str">
        <f>_xlfn.IFNA(VLOOKUP($BK434,Programma!$F$3:$S$1101,14,0),"")</f>
        <v/>
      </c>
      <c r="BY434" s="448" t="str">
        <f>_xlfn.IFNA(VLOOKUP($BK434,Programma!$F$3:$T$1101,15,0),"")</f>
        <v/>
      </c>
      <c r="BZ434" s="448" t="str">
        <f>_xlfn.IFNA(VLOOKUP($BK434,Programma!$F$3:$U$1101,16,0),"")</f>
        <v/>
      </c>
      <c r="CA434" s="448" t="str">
        <f>_xlfn.IFNA(VLOOKUP($BK434,Programma!$F$3:$V$1101,17,0),"")</f>
        <v/>
      </c>
      <c r="CB434" s="448" t="str">
        <f>_xlfn.IFNA(VLOOKUP($BK434,Programma!$F$3:$W$1101,18,0),"")</f>
        <v/>
      </c>
      <c r="CC434" s="448" t="str">
        <f>_xlfn.IFNA(VLOOKUP($BK434,Programma!$F$3:$X$1101,19,0),"")</f>
        <v/>
      </c>
      <c r="CD434" s="448" t="str">
        <f>_xlfn.IFNA(VLOOKUP($BK434,Programma!$F$3:$Y$1101,20,0),"")</f>
        <v/>
      </c>
      <c r="CE434" s="327"/>
      <c r="CF434" s="327"/>
      <c r="CG434" s="327"/>
      <c r="CH434" s="327"/>
      <c r="CI434" s="327"/>
      <c r="CJ434" s="327"/>
      <c r="CK434" s="327"/>
      <c r="CL434" s="327"/>
      <c r="CM434" s="327"/>
      <c r="CN434" s="327"/>
      <c r="CO434" s="327"/>
      <c r="CP434" s="327"/>
      <c r="CQ434" s="327"/>
      <c r="CR434" s="327"/>
      <c r="CS434" s="327"/>
      <c r="CT434" s="327"/>
      <c r="CU434" s="327"/>
      <c r="CV434" s="327"/>
      <c r="CW434" s="327"/>
      <c r="CX434" s="327"/>
      <c r="CY434" s="327"/>
      <c r="CZ434" s="327"/>
      <c r="DA434" s="327"/>
      <c r="DB434" s="327"/>
      <c r="DC434" s="327"/>
      <c r="DD434" s="327"/>
      <c r="DE434" s="327"/>
      <c r="DF434" s="327"/>
      <c r="DG434" s="327"/>
      <c r="DH434" s="327"/>
      <c r="DI434" s="327"/>
      <c r="DJ434" s="327"/>
      <c r="DK434" s="327"/>
      <c r="DL434" s="327"/>
      <c r="DM434" s="327"/>
      <c r="DN434" s="327"/>
      <c r="DO434" s="327"/>
      <c r="DP434" s="327"/>
      <c r="DQ434" s="327"/>
      <c r="DR434" s="327"/>
      <c r="DS434" s="327"/>
      <c r="DT434" s="327"/>
      <c r="DU434" s="327"/>
      <c r="DV434" s="327"/>
      <c r="DW434" s="327"/>
      <c r="DX434" s="327"/>
      <c r="DY434" s="327"/>
      <c r="DZ434" s="327"/>
      <c r="EA434" s="327"/>
      <c r="EB434" s="327"/>
      <c r="EC434" s="327"/>
      <c r="ED434" s="327"/>
      <c r="EE434" s="327"/>
      <c r="EF434" s="327"/>
      <c r="EG434" s="327"/>
      <c r="EH434" s="327"/>
      <c r="EI434" s="327"/>
      <c r="EJ434" s="327"/>
      <c r="EK434" s="327"/>
      <c r="EL434" s="327"/>
      <c r="EM434" s="327"/>
      <c r="EN434" s="327"/>
      <c r="EO434" s="327"/>
      <c r="EP434" s="327"/>
      <c r="EQ434" s="327"/>
      <c r="ER434" s="327"/>
      <c r="ES434" s="327"/>
      <c r="ET434" s="327"/>
      <c r="EU434" s="327"/>
      <c r="EV434" s="327"/>
      <c r="EW434" s="327"/>
      <c r="EX434" s="327"/>
      <c r="EY434" s="327"/>
      <c r="EZ434" s="327"/>
      <c r="FA434" s="327"/>
      <c r="FB434" s="327"/>
      <c r="FC434" s="327"/>
      <c r="FD434" s="327"/>
      <c r="FE434" s="327"/>
      <c r="FF434" s="327"/>
      <c r="FG434" s="327"/>
      <c r="FH434" s="327"/>
      <c r="FI434" s="327"/>
      <c r="FJ434" s="327"/>
      <c r="FK434" s="327"/>
      <c r="FL434" s="327"/>
      <c r="FM434" s="327"/>
      <c r="FN434" s="327"/>
      <c r="FO434" s="327"/>
      <c r="FP434" s="327"/>
      <c r="FQ434" s="327"/>
      <c r="FR434" s="327"/>
      <c r="FS434" s="327"/>
      <c r="FT434" s="327"/>
      <c r="FU434" s="327"/>
      <c r="FV434" s="327"/>
      <c r="FW434" s="327"/>
      <c r="FX434" s="327"/>
      <c r="FY434" s="327"/>
      <c r="FZ434" s="327"/>
      <c r="GA434" s="327"/>
      <c r="GB434" s="327"/>
      <c r="GC434" s="327"/>
      <c r="GD434" s="327"/>
      <c r="GE434" s="327"/>
      <c r="GF434" s="327"/>
      <c r="GG434" s="327"/>
      <c r="GH434" s="327"/>
      <c r="GI434" s="327"/>
      <c r="GJ434" s="327"/>
      <c r="GK434" s="327"/>
      <c r="GL434" s="327"/>
      <c r="GM434" s="327"/>
      <c r="GN434" s="327"/>
      <c r="GO434" s="327"/>
      <c r="GP434" s="327"/>
      <c r="GQ434" s="327"/>
      <c r="GR434" s="327"/>
      <c r="GS434" s="327"/>
      <c r="GT434" s="327"/>
      <c r="GU434" s="327"/>
      <c r="GV434" s="327"/>
      <c r="GW434" s="327"/>
      <c r="GX434" s="327"/>
      <c r="GY434" s="327"/>
      <c r="GZ434" s="327"/>
      <c r="HA434" s="327"/>
      <c r="HB434" s="327"/>
      <c r="HC434" s="327"/>
      <c r="HD434" s="327"/>
      <c r="HE434" s="327"/>
      <c r="HF434" s="327"/>
      <c r="HG434" s="327"/>
      <c r="HH434" s="327"/>
      <c r="HI434" s="327"/>
      <c r="HJ434" s="327"/>
      <c r="HK434" s="327"/>
      <c r="HL434" s="327"/>
      <c r="HM434" s="327"/>
      <c r="HN434" s="327"/>
      <c r="HO434" s="327"/>
      <c r="HP434" s="327"/>
      <c r="HQ434" s="327"/>
      <c r="HR434" s="327"/>
      <c r="HS434" s="327"/>
    </row>
    <row r="435" spans="1:227" ht="15" customHeight="1">
      <c r="A435" s="327">
        <v>17</v>
      </c>
      <c r="B435" s="435" t="str">
        <f>VLOOKUP(Ruimtestaat[[#This Row],[Code]],Locaties[[Code]:[Locatie]],2,FALSE)</f>
        <v>IKC de Tjalk Kadelaan 208 (bijgebouw)</v>
      </c>
      <c r="C435" s="435" t="str">
        <f>VLOOKUP(Ruimtestaat[[#This Row],[Code]],Locaties[[#All],[Code]:[Adres]],4,FALSE)</f>
        <v>Kadelaan 208</v>
      </c>
      <c r="D435" s="435" t="str">
        <f>VLOOKUP(Ruimtestaat[[#This Row],[Code]],Locaties[[#All],[Code]:[Postcode]],5,FALSE)</f>
        <v>2725 BR</v>
      </c>
      <c r="E435" s="435" t="str">
        <f>VLOOKUP(Ruimtestaat[[#This Row],[Code]],Locaties[#All],6,FALSE)</f>
        <v>Zoetermeer</v>
      </c>
      <c r="F435" s="450"/>
      <c r="G435" s="330" t="s">
        <v>1678</v>
      </c>
      <c r="H435" s="330">
        <v>83</v>
      </c>
      <c r="I435" s="450" t="s">
        <v>1697</v>
      </c>
      <c r="J435" s="330">
        <v>4</v>
      </c>
      <c r="K435" s="450" t="str">
        <f>VLOOKUP(Ruimtestaat[[#This Row],[Ruimte code]],Ruimtegroepen[[#All],[Code]:[Ruimte omschrijving]],2,FALSE)</f>
        <v>Vergader/spreekkamers</v>
      </c>
      <c r="L435" s="330" t="s">
        <v>101</v>
      </c>
      <c r="M435" s="437" t="s">
        <v>1816</v>
      </c>
      <c r="N435" s="439">
        <v>14.8</v>
      </c>
      <c r="O435" s="439"/>
      <c r="P435" s="439"/>
      <c r="Q435" s="439"/>
      <c r="R435" s="440" t="str">
        <f>VLOOKUP(Ruimtestaat[[#This Row],[Ruimte code]],Ruimtegroepen[],4,FALSE)</f>
        <v>Bu</v>
      </c>
      <c r="S435" s="434">
        <v>40</v>
      </c>
      <c r="T435" s="434" t="s">
        <v>17</v>
      </c>
      <c r="U435" s="434">
        <f>IF(S435&gt;0,IF(RIGHT(Ruimtestaat[[#This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V435" s="434">
        <f>IF(U435&gt;0,VLOOKUP($J435,Ruimtegroepen[],3,FALSE)*VLOOKUP($L435,Vloersoorten[],3,FALSE)*VLOOKUP($T435,Frequenties[],3,FALSE)*VLOOKUP($A435,Locaties[],3,FALSE),0)</f>
        <v>0</v>
      </c>
      <c r="W435" s="434">
        <f>Ruimtestaat[[#This Row],[Uitvoeringen werkdagen]]*Ruimtestaat[[#This Row],[Oppervlak (netto)]]</f>
        <v>1184</v>
      </c>
      <c r="X435" s="441">
        <f>IF(V435&gt;0,Ruimtestaat[[#This Row],[Prest. (m2 /jaar) werkdagen]]/Ruimtestaat[[#This Row],[Norm (m2/uur) werkdagen]],0)</f>
        <v>0</v>
      </c>
      <c r="Y435" s="442">
        <f>Ruimtestaat[[#This Row],[Uitvoeringen werkdagen]]*Ruimtestaat[[#This Row],[Gedeeltelijk]]</f>
        <v>0</v>
      </c>
      <c r="Z435" s="443" t="e">
        <f>IF(U435&gt;0,Ruimtestaat[[#This Row],[Prest. (m2 / jaar) werkdagen gedeeld]]/Ruimtestaat[[#This Row],[Norm (m2/uur) werkdagen]],0)</f>
        <v>#DIV/0!</v>
      </c>
      <c r="AA435" s="441" t="e">
        <f>Ruimtestaat[[#This Row],[uren / jaar werkdagen gedeeld]]*Tariefsopbouw!$E$35</f>
        <v>#DIV/0!</v>
      </c>
      <c r="AB435" s="441">
        <f>Ruimtestaat[[#This Row],[Uitvoeringen werkdagen]]*Ruimtestaat[[#This Row],[BSO]]</f>
        <v>0</v>
      </c>
      <c r="AC435" s="443" t="e">
        <f>IF(U435&gt;0,Ruimtestaat[[#This Row],[Prest. (m2 / jaar) werkdagen BSO]]/Ruimtestaat[[#This Row],[Norm (m2/uur) werkdagen]],0)</f>
        <v>#DIV/0!</v>
      </c>
      <c r="AD435" s="443" t="e">
        <f>Ruimtestaat[[#This Row],[uren / jaar werkdagen BSO]]*Tariefsopbouw!$E$35</f>
        <v>#DIV/0!</v>
      </c>
      <c r="AE435" s="444">
        <f>Ruimtestaat[[#This Row],[uren / jaar werkdagen]]*Tariefsopbouw!$E$35</f>
        <v>0</v>
      </c>
      <c r="AF435" s="434"/>
      <c r="AG435" s="434">
        <f>IF(Ruimtestaat[[#This Row],[Frequentie weekend]]&gt;0,VALUE(LEFT(AF435,1))*S435,0)</f>
        <v>0</v>
      </c>
      <c r="AH435" s="445">
        <f>IF($AG435&gt;0,VLOOKUP($J435,Ruimtegroepen[],3,FALSE)*VLOOKUP($L435,Vloersoorten[],3,FALSE)*VLOOKUP($AF435,Frequenties[],3,FALSE)*VLOOKUP(Ruimtestaat[[#This Row],[Code]],Locaties[],3,FALSE),0)</f>
        <v>0</v>
      </c>
      <c r="AI435" s="445">
        <f>Ruimtestaat[[#This Row],[Uitvoeringen weekend]]*Ruimtestaat[[#This Row],[Oppervlak (netto)]]</f>
        <v>0</v>
      </c>
      <c r="AJ435" s="445">
        <f>IF(AH435&gt;0,Ruimtestaat[[#This Row],[Prest. (m2 /jaar) weekend]]/Ruimtestaat[[#This Row],[Norm (m2/uur) weekend]],0)</f>
        <v>0</v>
      </c>
      <c r="AK435" s="444">
        <f>Ruimtestaat[[#This Row],[uren / jaar weekend]]*Tariefsopbouw!$D$40</f>
        <v>0</v>
      </c>
      <c r="AL435" s="441">
        <f>Ruimtestaat[[#This Row],[Prest. (m2 /jaar) weekend]]+Ruimtestaat[[#This Row],[Prest. (m2 /jaar) werkdagen]]</f>
        <v>1184</v>
      </c>
      <c r="AM435" s="441">
        <f>Ruimtestaat[[#This Row],[uren / jaar weekend]]+Ruimtestaat[[#This Row],[uren / jaar werkdagen]]</f>
        <v>0</v>
      </c>
      <c r="AN435" s="446">
        <f>Ruimtestaat[[#This Row],[kosten / jaar weekend]]+Ruimtestaat[[#This Row],[kosten / jaar werkdagen]]</f>
        <v>0</v>
      </c>
      <c r="AO435" s="446"/>
      <c r="AP435" s="447" t="str">
        <f>IF(Ruimtestaat[[#This Row],[Frequentie werkdagen]]="","",_xlfn.CONCAT(Ruimtestaat[[#This Row],[Ruimte code]],"-",Ruimtestaat[[#This Row],[Frequentie werkdagen]]," ",Ruimtestaat[[#This Row],[Vloer code]]))</f>
        <v>4-2w S</v>
      </c>
      <c r="AQ435" s="448" t="str">
        <f>_xlfn.IFNA(VLOOKUP($AP435,Programma!$F$3:$G$1101,2,0),"")</f>
        <v>_</v>
      </c>
      <c r="AR435" s="448" t="str">
        <f>_xlfn.IFNA(VLOOKUP($AP435,Programma!$F$3:$H$1101,3,0),"")</f>
        <v>_</v>
      </c>
      <c r="AS435" s="448" t="str">
        <f>_xlfn.IFNA(VLOOKUP($AP435,Programma!$F$3:$I$1101,4,0),"")</f>
        <v>1w</v>
      </c>
      <c r="AT435" s="448" t="str">
        <f>_xlfn.IFNA(VLOOKUP($AP435,Programma!$F$3:$J$1101,5,0),"")</f>
        <v>1w</v>
      </c>
      <c r="AU435" s="448" t="str">
        <f>_xlfn.IFNA(VLOOKUP($AP435,Programma!$F$3:$K$1101,6,0),"")</f>
        <v>2j</v>
      </c>
      <c r="AV435" s="448" t="str">
        <f>_xlfn.IFNA(VLOOKUP($AP435,Programma!$F$3:$L$1101,7,0),"")</f>
        <v>_</v>
      </c>
      <c r="AW435" s="448" t="str">
        <f>_xlfn.IFNA(VLOOKUP($AP435,Programma!$F$3:$M$1101,8,0),"")</f>
        <v>_</v>
      </c>
      <c r="AX435" s="448" t="str">
        <f>_xlfn.IFNA(VLOOKUP($AP435,Programma!$F$3:$N$1101,9,0),"")</f>
        <v>_</v>
      </c>
      <c r="AY435" s="448" t="str">
        <f>_xlfn.IFNA(VLOOKUP($AP435,Programma!$F$3:$O$1101,10,0),"")</f>
        <v>2w</v>
      </c>
      <c r="AZ435" s="448" t="str">
        <f>_xlfn.IFNA(VLOOKUP($AP435,Programma!$F$3:$P$1101,11,0),"")</f>
        <v>2w</v>
      </c>
      <c r="BA435" s="448" t="str">
        <f>_xlfn.IFNA(VLOOKUP($AP435,Programma!$F$3:$Q$1101,12,0),"")</f>
        <v>1w</v>
      </c>
      <c r="BB435" s="448" t="str">
        <f>_xlfn.IFNA(VLOOKUP($AP435,Programma!$F$3:$R$1101,13,0),"")</f>
        <v>1w</v>
      </c>
      <c r="BC435" s="448" t="str">
        <f>_xlfn.IFNA(VLOOKUP($AP435,Programma!$F$3:$S$1101,14,0),"")</f>
        <v>1m</v>
      </c>
      <c r="BD435" s="448" t="str">
        <f>_xlfn.IFNA(VLOOKUP($AP435,Programma!$F$3:$T$1101,15,0),"")</f>
        <v>2j</v>
      </c>
      <c r="BE435" s="448" t="str">
        <f>_xlfn.IFNA(VLOOKUP($AP435,Programma!$F$3:$U$1101,16,0),"")</f>
        <v>1j</v>
      </c>
      <c r="BF435" s="448" t="str">
        <f>_xlfn.IFNA(VLOOKUP($AP435,Programma!$F$3:$V$1101,17,0),"")</f>
        <v>_</v>
      </c>
      <c r="BG435" s="448" t="str">
        <f>_xlfn.IFNA(VLOOKUP($AP435,Programma!$F$3:$W$1101,18,0),"")</f>
        <v>_</v>
      </c>
      <c r="BH435" s="448" t="str">
        <f>_xlfn.IFNA(VLOOKUP($AP435,Programma!$F$3:$X$1101,19,0),"")</f>
        <v>_</v>
      </c>
      <c r="BI435" s="448" t="str">
        <f>_xlfn.IFNA(VLOOKUP($AP435,Programma!$F$3:$Y$1101,20,0),"")</f>
        <v>_</v>
      </c>
      <c r="BJ435" s="449"/>
      <c r="BK435" s="447" t="str">
        <f>IF(Ruimtestaat[[#This Row],[Frequentie weekend]]="","",_xlfn.CONCAT(Ruimtestaat[[#This Row],[Ruimte code]],"-",Ruimtestaat[[#This Row],[Frequentie weekend]]," ",Ruimtestaat[[#This Row],[Vloer code]]))</f>
        <v/>
      </c>
      <c r="BL435" s="448" t="str">
        <f>_xlfn.IFNA(VLOOKUP($BK435,Programma!$F$3:$G$1101,2,0),"")</f>
        <v/>
      </c>
      <c r="BM435" s="448" t="str">
        <f>_xlfn.IFNA(VLOOKUP($BK435,Programma!$F$3:$H$1101,3,0),"")</f>
        <v/>
      </c>
      <c r="BN435" s="448" t="str">
        <f>_xlfn.IFNA(VLOOKUP($BK435,Programma!$F$3:$I$1101,4,0),"")</f>
        <v/>
      </c>
      <c r="BO435" s="448" t="str">
        <f>_xlfn.IFNA(VLOOKUP($BK435,Programma!$F$3:$J$1101,5,0),"")</f>
        <v/>
      </c>
      <c r="BP435" s="448" t="str">
        <f>_xlfn.IFNA(VLOOKUP($BK435,Programma!$F$3:$K$1101,6,0),"")</f>
        <v/>
      </c>
      <c r="BQ435" s="448" t="str">
        <f>_xlfn.IFNA(VLOOKUP($BK435,Programma!$F$3:$L$1101,7,0),"")</f>
        <v/>
      </c>
      <c r="BR435" s="448" t="str">
        <f>_xlfn.IFNA(VLOOKUP($BK435,Programma!$F$3:$M$1101,8,0),"")</f>
        <v/>
      </c>
      <c r="BS435" s="448" t="str">
        <f>_xlfn.IFNA(VLOOKUP($BK435,Programma!$F$3:$N$1101,9,0),"")</f>
        <v/>
      </c>
      <c r="BT435" s="448" t="str">
        <f>_xlfn.IFNA(VLOOKUP($BK435,Programma!$F$3:$O$1101,10,0),"")</f>
        <v/>
      </c>
      <c r="BU435" s="448" t="str">
        <f>_xlfn.IFNA(VLOOKUP($BK435,Programma!$F$3:$P$1101,11,0),"")</f>
        <v/>
      </c>
      <c r="BV435" s="448" t="str">
        <f>_xlfn.IFNA(VLOOKUP($BK435,Programma!$F$3:$Q$1101,12,0),"")</f>
        <v/>
      </c>
      <c r="BW435" s="448" t="str">
        <f>_xlfn.IFNA(VLOOKUP($BK435,Programma!$F$3:$R$1101,13,0),"")</f>
        <v/>
      </c>
      <c r="BX435" s="448" t="str">
        <f>_xlfn.IFNA(VLOOKUP($BK435,Programma!$F$3:$S$1101,14,0),"")</f>
        <v/>
      </c>
      <c r="BY435" s="448" t="str">
        <f>_xlfn.IFNA(VLOOKUP($BK435,Programma!$F$3:$T$1101,15,0),"")</f>
        <v/>
      </c>
      <c r="BZ435" s="448" t="str">
        <f>_xlfn.IFNA(VLOOKUP($BK435,Programma!$F$3:$U$1101,16,0),"")</f>
        <v/>
      </c>
      <c r="CA435" s="448" t="str">
        <f>_xlfn.IFNA(VLOOKUP($BK435,Programma!$F$3:$V$1101,17,0),"")</f>
        <v/>
      </c>
      <c r="CB435" s="448" t="str">
        <f>_xlfn.IFNA(VLOOKUP($BK435,Programma!$F$3:$W$1101,18,0),"")</f>
        <v/>
      </c>
      <c r="CC435" s="448" t="str">
        <f>_xlfn.IFNA(VLOOKUP($BK435,Programma!$F$3:$X$1101,19,0),"")</f>
        <v/>
      </c>
      <c r="CD435" s="448" t="str">
        <f>_xlfn.IFNA(VLOOKUP($BK435,Programma!$F$3:$Y$1101,20,0),"")</f>
        <v/>
      </c>
      <c r="CE435" s="327"/>
      <c r="CF435" s="327"/>
      <c r="CG435" s="327"/>
      <c r="CH435" s="327"/>
      <c r="CI435" s="327"/>
      <c r="CJ435" s="327"/>
      <c r="CK435" s="327"/>
      <c r="CL435" s="327"/>
      <c r="CM435" s="327"/>
      <c r="CN435" s="327"/>
      <c r="CO435" s="327"/>
      <c r="CP435" s="327"/>
      <c r="CQ435" s="327"/>
      <c r="CR435" s="327"/>
      <c r="CS435" s="327"/>
      <c r="CT435" s="327"/>
      <c r="CU435" s="327"/>
      <c r="CV435" s="327"/>
      <c r="CW435" s="327"/>
      <c r="CX435" s="327"/>
      <c r="CY435" s="327"/>
      <c r="CZ435" s="327"/>
      <c r="DA435" s="327"/>
      <c r="DB435" s="327"/>
      <c r="DC435" s="327"/>
      <c r="DD435" s="327"/>
      <c r="DE435" s="327"/>
      <c r="DF435" s="327"/>
      <c r="DG435" s="327"/>
      <c r="DH435" s="327"/>
      <c r="DI435" s="327"/>
      <c r="DJ435" s="327"/>
      <c r="DK435" s="327"/>
      <c r="DL435" s="327"/>
      <c r="DM435" s="327"/>
      <c r="DN435" s="327"/>
      <c r="DO435" s="327"/>
      <c r="DP435" s="327"/>
      <c r="DQ435" s="327"/>
      <c r="DR435" s="327"/>
      <c r="DS435" s="327"/>
      <c r="DT435" s="327"/>
      <c r="DU435" s="327"/>
      <c r="DV435" s="327"/>
      <c r="DW435" s="327"/>
      <c r="DX435" s="327"/>
      <c r="DY435" s="327"/>
      <c r="DZ435" s="327"/>
      <c r="EA435" s="327"/>
      <c r="EB435" s="327"/>
      <c r="EC435" s="327"/>
      <c r="ED435" s="327"/>
      <c r="EE435" s="327"/>
      <c r="EF435" s="327"/>
      <c r="EG435" s="327"/>
      <c r="EH435" s="327"/>
      <c r="EI435" s="327"/>
      <c r="EJ435" s="327"/>
      <c r="EK435" s="327"/>
      <c r="EL435" s="327"/>
      <c r="EM435" s="327"/>
      <c r="EN435" s="327"/>
      <c r="EO435" s="327"/>
      <c r="EP435" s="327"/>
      <c r="EQ435" s="327"/>
      <c r="ER435" s="327"/>
      <c r="ES435" s="327"/>
      <c r="ET435" s="327"/>
      <c r="EU435" s="327"/>
      <c r="EV435" s="327"/>
      <c r="EW435" s="327"/>
      <c r="EX435" s="327"/>
      <c r="EY435" s="327"/>
      <c r="EZ435" s="327"/>
      <c r="FA435" s="327"/>
      <c r="FB435" s="327"/>
      <c r="FC435" s="327"/>
      <c r="FD435" s="327"/>
      <c r="FE435" s="327"/>
      <c r="FF435" s="327"/>
      <c r="FG435" s="327"/>
      <c r="FH435" s="327"/>
      <c r="FI435" s="327"/>
      <c r="FJ435" s="327"/>
      <c r="FK435" s="327"/>
      <c r="FL435" s="327"/>
      <c r="FM435" s="327"/>
      <c r="FN435" s="327"/>
      <c r="FO435" s="327"/>
      <c r="FP435" s="327"/>
      <c r="FQ435" s="327"/>
      <c r="FR435" s="327"/>
      <c r="FS435" s="327"/>
      <c r="FT435" s="327"/>
      <c r="FU435" s="327"/>
      <c r="FV435" s="327"/>
      <c r="FW435" s="327"/>
      <c r="FX435" s="327"/>
      <c r="FY435" s="327"/>
      <c r="FZ435" s="327"/>
      <c r="GA435" s="327"/>
      <c r="GB435" s="327"/>
      <c r="GC435" s="327"/>
      <c r="GD435" s="327"/>
      <c r="GE435" s="327"/>
      <c r="GF435" s="327"/>
      <c r="GG435" s="327"/>
      <c r="GH435" s="327"/>
      <c r="GI435" s="327"/>
      <c r="GJ435" s="327"/>
      <c r="GK435" s="327"/>
      <c r="GL435" s="327"/>
      <c r="GM435" s="327"/>
      <c r="GN435" s="327"/>
      <c r="GO435" s="327"/>
      <c r="GP435" s="327"/>
      <c r="GQ435" s="327"/>
      <c r="GR435" s="327"/>
      <c r="GS435" s="327"/>
      <c r="GT435" s="327"/>
      <c r="GU435" s="327"/>
      <c r="GV435" s="327"/>
      <c r="GW435" s="327"/>
      <c r="GX435" s="327"/>
      <c r="GY435" s="327"/>
      <c r="GZ435" s="327"/>
      <c r="HA435" s="327"/>
      <c r="HB435" s="327"/>
      <c r="HC435" s="327"/>
      <c r="HD435" s="327"/>
      <c r="HE435" s="327"/>
      <c r="HF435" s="327"/>
      <c r="HG435" s="327"/>
      <c r="HH435" s="327"/>
      <c r="HI435" s="327"/>
      <c r="HJ435" s="327"/>
      <c r="HK435" s="327"/>
      <c r="HL435" s="327"/>
      <c r="HM435" s="327"/>
      <c r="HN435" s="327"/>
      <c r="HO435" s="327"/>
      <c r="HP435" s="327"/>
      <c r="HQ435" s="327"/>
      <c r="HR435" s="327"/>
      <c r="HS435" s="327"/>
    </row>
    <row r="436" spans="1:227" ht="15" customHeight="1">
      <c r="A436" s="327">
        <v>17</v>
      </c>
      <c r="B436" s="435" t="str">
        <f>VLOOKUP(Ruimtestaat[[#This Row],[Code]],Locaties[[Code]:[Locatie]],2,FALSE)</f>
        <v>IKC de Tjalk Kadelaan 208 (bijgebouw)</v>
      </c>
      <c r="C436" s="435" t="str">
        <f>VLOOKUP(Ruimtestaat[[#This Row],[Code]],Locaties[[#All],[Code]:[Adres]],4,FALSE)</f>
        <v>Kadelaan 208</v>
      </c>
      <c r="D436" s="435" t="str">
        <f>VLOOKUP(Ruimtestaat[[#This Row],[Code]],Locaties[[#All],[Code]:[Postcode]],5,FALSE)</f>
        <v>2725 BR</v>
      </c>
      <c r="E436" s="435" t="str">
        <f>VLOOKUP(Ruimtestaat[[#This Row],[Code]],Locaties[#All],6,FALSE)</f>
        <v>Zoetermeer</v>
      </c>
      <c r="F436" s="450"/>
      <c r="G436" s="330" t="s">
        <v>1678</v>
      </c>
      <c r="H436" s="330">
        <v>84</v>
      </c>
      <c r="I436" s="450" t="s">
        <v>1864</v>
      </c>
      <c r="J436" s="330">
        <v>2</v>
      </c>
      <c r="K436" s="450" t="str">
        <f>VLOOKUP(Ruimtestaat[[#This Row],[Ruimte code]],Ruimtegroepen[[#All],[Code]:[Ruimte omschrijving]],2,FALSE)</f>
        <v>Kantoren</v>
      </c>
      <c r="L436" s="330" t="s">
        <v>101</v>
      </c>
      <c r="M436" s="437" t="s">
        <v>1816</v>
      </c>
      <c r="N436" s="439">
        <v>11.12</v>
      </c>
      <c r="O436" s="439"/>
      <c r="P436" s="439"/>
      <c r="Q436" s="439"/>
      <c r="R436" s="440" t="str">
        <f>VLOOKUP(Ruimtestaat[[#This Row],[Ruimte code]],Ruimtegroepen[],4,FALSE)</f>
        <v>Bu</v>
      </c>
      <c r="S436" s="434">
        <v>41</v>
      </c>
      <c r="T436" s="434" t="s">
        <v>17</v>
      </c>
      <c r="U436" s="434">
        <f>IF(S436&gt;0,IF(RIGHT(Ruimtestaat[[#This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436" s="434">
        <f>IF(U436&gt;0,VLOOKUP($J436,Ruimtegroepen[],3,FALSE)*VLOOKUP($L436,Vloersoorten[],3,FALSE)*VLOOKUP($T436,Frequenties[],3,FALSE)*VLOOKUP($A436,Locaties[],3,FALSE),0)</f>
        <v>0</v>
      </c>
      <c r="W436" s="434">
        <f>Ruimtestaat[[#This Row],[Uitvoeringen werkdagen]]*Ruimtestaat[[#This Row],[Oppervlak (netto)]]</f>
        <v>911.83999999999992</v>
      </c>
      <c r="X436" s="441">
        <f>IF(V436&gt;0,Ruimtestaat[[#This Row],[Prest. (m2 /jaar) werkdagen]]/Ruimtestaat[[#This Row],[Norm (m2/uur) werkdagen]],0)</f>
        <v>0</v>
      </c>
      <c r="Y436" s="442">
        <f>Ruimtestaat[[#This Row],[Uitvoeringen werkdagen]]*Ruimtestaat[[#This Row],[Gedeeltelijk]]</f>
        <v>0</v>
      </c>
      <c r="Z436" s="443" t="e">
        <f>IF(U436&gt;0,Ruimtestaat[[#This Row],[Prest. (m2 / jaar) werkdagen gedeeld]]/Ruimtestaat[[#This Row],[Norm (m2/uur) werkdagen]],0)</f>
        <v>#DIV/0!</v>
      </c>
      <c r="AA436" s="441" t="e">
        <f>Ruimtestaat[[#This Row],[uren / jaar werkdagen gedeeld]]*Tariefsopbouw!$E$35</f>
        <v>#DIV/0!</v>
      </c>
      <c r="AB436" s="441">
        <f>Ruimtestaat[[#This Row],[Uitvoeringen werkdagen]]*Ruimtestaat[[#This Row],[BSO]]</f>
        <v>0</v>
      </c>
      <c r="AC436" s="443" t="e">
        <f>IF(U436&gt;0,Ruimtestaat[[#This Row],[Prest. (m2 / jaar) werkdagen BSO]]/Ruimtestaat[[#This Row],[Norm (m2/uur) werkdagen]],0)</f>
        <v>#DIV/0!</v>
      </c>
      <c r="AD436" s="443" t="e">
        <f>Ruimtestaat[[#This Row],[uren / jaar werkdagen BSO]]*Tariefsopbouw!$E$35</f>
        <v>#DIV/0!</v>
      </c>
      <c r="AE436" s="444">
        <f>Ruimtestaat[[#This Row],[uren / jaar werkdagen]]*Tariefsopbouw!$E$35</f>
        <v>0</v>
      </c>
      <c r="AF436" s="434"/>
      <c r="AG436" s="434">
        <f>IF(Ruimtestaat[[#This Row],[Frequentie weekend]]&gt;0,VALUE(LEFT(AF436,1))*S436,0)</f>
        <v>0</v>
      </c>
      <c r="AH436" s="445">
        <f>IF($AG436&gt;0,VLOOKUP($J436,Ruimtegroepen[],3,FALSE)*VLOOKUP($L436,Vloersoorten[],3,FALSE)*VLOOKUP($AF436,Frequenties[],3,FALSE)*VLOOKUP(Ruimtestaat[[#This Row],[Code]],Locaties[],3,FALSE),0)</f>
        <v>0</v>
      </c>
      <c r="AI436" s="445">
        <f>Ruimtestaat[[#This Row],[Uitvoeringen weekend]]*Ruimtestaat[[#This Row],[Oppervlak (netto)]]</f>
        <v>0</v>
      </c>
      <c r="AJ436" s="445">
        <f>IF(AH436&gt;0,Ruimtestaat[[#This Row],[Prest. (m2 /jaar) weekend]]/Ruimtestaat[[#This Row],[Norm (m2/uur) weekend]],0)</f>
        <v>0</v>
      </c>
      <c r="AK436" s="444">
        <f>Ruimtestaat[[#This Row],[uren / jaar weekend]]*Tariefsopbouw!$D$40</f>
        <v>0</v>
      </c>
      <c r="AL436" s="441">
        <f>Ruimtestaat[[#This Row],[Prest. (m2 /jaar) weekend]]+Ruimtestaat[[#This Row],[Prest. (m2 /jaar) werkdagen]]</f>
        <v>911.83999999999992</v>
      </c>
      <c r="AM436" s="441">
        <f>Ruimtestaat[[#This Row],[uren / jaar weekend]]+Ruimtestaat[[#This Row],[uren / jaar werkdagen]]</f>
        <v>0</v>
      </c>
      <c r="AN436" s="446">
        <f>Ruimtestaat[[#This Row],[kosten / jaar weekend]]+Ruimtestaat[[#This Row],[kosten / jaar werkdagen]]</f>
        <v>0</v>
      </c>
      <c r="AO436" s="446"/>
      <c r="AP436" s="447" t="str">
        <f>IF(Ruimtestaat[[#This Row],[Frequentie werkdagen]]="","",_xlfn.CONCAT(Ruimtestaat[[#This Row],[Ruimte code]],"-",Ruimtestaat[[#This Row],[Frequentie werkdagen]]," ",Ruimtestaat[[#This Row],[Vloer code]]))</f>
        <v>2-2w S</v>
      </c>
      <c r="AQ436" s="448" t="str">
        <f>_xlfn.IFNA(VLOOKUP($AP436,Programma!$F$3:$G$1101,2,0),"")</f>
        <v>_</v>
      </c>
      <c r="AR436" s="448" t="str">
        <f>_xlfn.IFNA(VLOOKUP($AP436,Programma!$F$3:$H$1101,3,0),"")</f>
        <v>_</v>
      </c>
      <c r="AS436" s="448" t="str">
        <f>_xlfn.IFNA(VLOOKUP($AP436,Programma!$F$3:$I$1101,4,0),"")</f>
        <v>1w</v>
      </c>
      <c r="AT436" s="448" t="str">
        <f>_xlfn.IFNA(VLOOKUP($AP436,Programma!$F$3:$J$1101,5,0),"")</f>
        <v>1w</v>
      </c>
      <c r="AU436" s="448" t="str">
        <f>_xlfn.IFNA(VLOOKUP($AP436,Programma!$F$3:$K$1101,6,0),"")</f>
        <v>1j</v>
      </c>
      <c r="AV436" s="448" t="str">
        <f>_xlfn.IFNA(VLOOKUP($AP436,Programma!$F$3:$L$1101,7,0),"")</f>
        <v>_</v>
      </c>
      <c r="AW436" s="448" t="str">
        <f>_xlfn.IFNA(VLOOKUP($AP436,Programma!$F$3:$M$1101,8,0),"")</f>
        <v>_</v>
      </c>
      <c r="AX436" s="448" t="str">
        <f>_xlfn.IFNA(VLOOKUP($AP436,Programma!$F$3:$N$1101,9,0),"")</f>
        <v>_</v>
      </c>
      <c r="AY436" s="448" t="str">
        <f>_xlfn.IFNA(VLOOKUP($AP436,Programma!$F$3:$O$1101,10,0),"")</f>
        <v>2w</v>
      </c>
      <c r="AZ436" s="448" t="str">
        <f>_xlfn.IFNA(VLOOKUP($AP436,Programma!$F$3:$P$1101,11,0),"")</f>
        <v>2w</v>
      </c>
      <c r="BA436" s="448" t="str">
        <f>_xlfn.IFNA(VLOOKUP($AP436,Programma!$F$3:$Q$1101,12,0),"")</f>
        <v>1w</v>
      </c>
      <c r="BB436" s="448" t="str">
        <f>_xlfn.IFNA(VLOOKUP($AP436,Programma!$F$3:$R$1101,13,0),"")</f>
        <v>1w</v>
      </c>
      <c r="BC436" s="448" t="str">
        <f>_xlfn.IFNA(VLOOKUP($AP436,Programma!$F$3:$S$1101,14,0),"")</f>
        <v>1m</v>
      </c>
      <c r="BD436" s="448" t="str">
        <f>_xlfn.IFNA(VLOOKUP($AP436,Programma!$F$3:$T$1101,15,0),"")</f>
        <v>2j</v>
      </c>
      <c r="BE436" s="448" t="str">
        <f>_xlfn.IFNA(VLOOKUP($AP436,Programma!$F$3:$U$1101,16,0),"")</f>
        <v>1j</v>
      </c>
      <c r="BF436" s="448" t="str">
        <f>_xlfn.IFNA(VLOOKUP($AP436,Programma!$F$3:$V$1101,17,0),"")</f>
        <v>_</v>
      </c>
      <c r="BG436" s="448" t="str">
        <f>_xlfn.IFNA(VLOOKUP($AP436,Programma!$F$3:$W$1101,18,0),"")</f>
        <v>_</v>
      </c>
      <c r="BH436" s="448" t="str">
        <f>_xlfn.IFNA(VLOOKUP($AP436,Programma!$F$3:$X$1101,19,0),"")</f>
        <v>_</v>
      </c>
      <c r="BI436" s="448" t="str">
        <f>_xlfn.IFNA(VLOOKUP($AP436,Programma!$F$3:$Y$1101,20,0),"")</f>
        <v>_</v>
      </c>
      <c r="BJ436" s="449"/>
      <c r="BK436" s="447" t="str">
        <f>IF(Ruimtestaat[[#This Row],[Frequentie weekend]]="","",_xlfn.CONCAT(Ruimtestaat[[#This Row],[Ruimte code]],"-",Ruimtestaat[[#This Row],[Frequentie weekend]]," ",Ruimtestaat[[#This Row],[Vloer code]]))</f>
        <v/>
      </c>
      <c r="BL436" s="448" t="str">
        <f>_xlfn.IFNA(VLOOKUP($BK436,Programma!$F$3:$G$1101,2,0),"")</f>
        <v/>
      </c>
      <c r="BM436" s="448" t="str">
        <f>_xlfn.IFNA(VLOOKUP($BK436,Programma!$F$3:$H$1101,3,0),"")</f>
        <v/>
      </c>
      <c r="BN436" s="448" t="str">
        <f>_xlfn.IFNA(VLOOKUP($BK436,Programma!$F$3:$I$1101,4,0),"")</f>
        <v/>
      </c>
      <c r="BO436" s="448" t="str">
        <f>_xlfn.IFNA(VLOOKUP($BK436,Programma!$F$3:$J$1101,5,0),"")</f>
        <v/>
      </c>
      <c r="BP436" s="448" t="str">
        <f>_xlfn.IFNA(VLOOKUP($BK436,Programma!$F$3:$K$1101,6,0),"")</f>
        <v/>
      </c>
      <c r="BQ436" s="448" t="str">
        <f>_xlfn.IFNA(VLOOKUP($BK436,Programma!$F$3:$L$1101,7,0),"")</f>
        <v/>
      </c>
      <c r="BR436" s="448" t="str">
        <f>_xlfn.IFNA(VLOOKUP($BK436,Programma!$F$3:$M$1101,8,0),"")</f>
        <v/>
      </c>
      <c r="BS436" s="448" t="str">
        <f>_xlfn.IFNA(VLOOKUP($BK436,Programma!$F$3:$N$1101,9,0),"")</f>
        <v/>
      </c>
      <c r="BT436" s="448" t="str">
        <f>_xlfn.IFNA(VLOOKUP($BK436,Programma!$F$3:$O$1101,10,0),"")</f>
        <v/>
      </c>
      <c r="BU436" s="448" t="str">
        <f>_xlfn.IFNA(VLOOKUP($BK436,Programma!$F$3:$P$1101,11,0),"")</f>
        <v/>
      </c>
      <c r="BV436" s="448" t="str">
        <f>_xlfn.IFNA(VLOOKUP($BK436,Programma!$F$3:$Q$1101,12,0),"")</f>
        <v/>
      </c>
      <c r="BW436" s="448" t="str">
        <f>_xlfn.IFNA(VLOOKUP($BK436,Programma!$F$3:$R$1101,13,0),"")</f>
        <v/>
      </c>
      <c r="BX436" s="448" t="str">
        <f>_xlfn.IFNA(VLOOKUP($BK436,Programma!$F$3:$S$1101,14,0),"")</f>
        <v/>
      </c>
      <c r="BY436" s="448" t="str">
        <f>_xlfn.IFNA(VLOOKUP($BK436,Programma!$F$3:$T$1101,15,0),"")</f>
        <v/>
      </c>
      <c r="BZ436" s="448" t="str">
        <f>_xlfn.IFNA(VLOOKUP($BK436,Programma!$F$3:$U$1101,16,0),"")</f>
        <v/>
      </c>
      <c r="CA436" s="448" t="str">
        <f>_xlfn.IFNA(VLOOKUP($BK436,Programma!$F$3:$V$1101,17,0),"")</f>
        <v/>
      </c>
      <c r="CB436" s="448" t="str">
        <f>_xlfn.IFNA(VLOOKUP($BK436,Programma!$F$3:$W$1101,18,0),"")</f>
        <v/>
      </c>
      <c r="CC436" s="448" t="str">
        <f>_xlfn.IFNA(VLOOKUP($BK436,Programma!$F$3:$X$1101,19,0),"")</f>
        <v/>
      </c>
      <c r="CD436" s="448" t="str">
        <f>_xlfn.IFNA(VLOOKUP($BK436,Programma!$F$3:$Y$1101,20,0),"")</f>
        <v/>
      </c>
      <c r="CE436" s="327"/>
      <c r="CF436" s="327"/>
      <c r="CG436" s="327"/>
      <c r="CH436" s="327"/>
      <c r="CI436" s="327"/>
      <c r="CJ436" s="327"/>
      <c r="CK436" s="327"/>
      <c r="CL436" s="327"/>
      <c r="CM436" s="327"/>
      <c r="CN436" s="327"/>
      <c r="CO436" s="327"/>
      <c r="CP436" s="327"/>
      <c r="CQ436" s="327"/>
      <c r="CR436" s="327"/>
      <c r="CS436" s="327"/>
      <c r="CT436" s="327"/>
      <c r="CU436" s="327"/>
      <c r="CV436" s="327"/>
      <c r="CW436" s="327"/>
      <c r="CX436" s="327"/>
      <c r="CY436" s="327"/>
      <c r="CZ436" s="327"/>
      <c r="DA436" s="327"/>
      <c r="DB436" s="327"/>
      <c r="DC436" s="327"/>
      <c r="DD436" s="327"/>
      <c r="DE436" s="327"/>
      <c r="DF436" s="327"/>
      <c r="DG436" s="327"/>
      <c r="DH436" s="327"/>
      <c r="DI436" s="327"/>
      <c r="DJ436" s="327"/>
      <c r="DK436" s="327"/>
      <c r="DL436" s="327"/>
      <c r="DM436" s="327"/>
      <c r="DN436" s="327"/>
      <c r="DO436" s="327"/>
      <c r="DP436" s="327"/>
      <c r="DQ436" s="327"/>
      <c r="DR436" s="327"/>
      <c r="DS436" s="327"/>
      <c r="DT436" s="327"/>
      <c r="DU436" s="327"/>
      <c r="DV436" s="327"/>
      <c r="DW436" s="327"/>
      <c r="DX436" s="327"/>
      <c r="DY436" s="327"/>
      <c r="DZ436" s="327"/>
      <c r="EA436" s="327"/>
      <c r="EB436" s="327"/>
      <c r="EC436" s="327"/>
      <c r="ED436" s="327"/>
      <c r="EE436" s="327"/>
      <c r="EF436" s="327"/>
      <c r="EG436" s="327"/>
      <c r="EH436" s="327"/>
      <c r="EI436" s="327"/>
      <c r="EJ436" s="327"/>
      <c r="EK436" s="327"/>
      <c r="EL436" s="327"/>
      <c r="EM436" s="327"/>
      <c r="EN436" s="327"/>
      <c r="EO436" s="327"/>
      <c r="EP436" s="327"/>
      <c r="EQ436" s="327"/>
      <c r="ER436" s="327"/>
      <c r="ES436" s="327"/>
      <c r="ET436" s="327"/>
      <c r="EU436" s="327"/>
      <c r="EV436" s="327"/>
      <c r="EW436" s="327"/>
      <c r="EX436" s="327"/>
      <c r="EY436" s="327"/>
      <c r="EZ436" s="327"/>
      <c r="FA436" s="327"/>
      <c r="FB436" s="327"/>
      <c r="FC436" s="327"/>
      <c r="FD436" s="327"/>
      <c r="FE436" s="327"/>
      <c r="FF436" s="327"/>
      <c r="FG436" s="327"/>
      <c r="FH436" s="327"/>
      <c r="FI436" s="327"/>
      <c r="FJ436" s="327"/>
      <c r="FK436" s="327"/>
      <c r="FL436" s="327"/>
      <c r="FM436" s="327"/>
      <c r="FN436" s="327"/>
      <c r="FO436" s="327"/>
      <c r="FP436" s="327"/>
      <c r="FQ436" s="327"/>
      <c r="FR436" s="327"/>
      <c r="FS436" s="327"/>
      <c r="FT436" s="327"/>
      <c r="FU436" s="327"/>
      <c r="FV436" s="327"/>
      <c r="FW436" s="327"/>
      <c r="FX436" s="327"/>
      <c r="FY436" s="327"/>
      <c r="FZ436" s="327"/>
      <c r="GA436" s="327"/>
      <c r="GB436" s="327"/>
      <c r="GC436" s="327"/>
      <c r="GD436" s="327"/>
      <c r="GE436" s="327"/>
      <c r="GF436" s="327"/>
      <c r="GG436" s="327"/>
      <c r="GH436" s="327"/>
      <c r="GI436" s="327"/>
      <c r="GJ436" s="327"/>
      <c r="GK436" s="327"/>
      <c r="GL436" s="327"/>
      <c r="GM436" s="327"/>
      <c r="GN436" s="327"/>
      <c r="GO436" s="327"/>
      <c r="GP436" s="327"/>
      <c r="GQ436" s="327"/>
      <c r="GR436" s="327"/>
      <c r="GS436" s="327"/>
      <c r="GT436" s="327"/>
      <c r="GU436" s="327"/>
      <c r="GV436" s="327"/>
      <c r="GW436" s="327"/>
      <c r="GX436" s="327"/>
      <c r="GY436" s="327"/>
      <c r="GZ436" s="327"/>
      <c r="HA436" s="327"/>
      <c r="HB436" s="327"/>
      <c r="HC436" s="327"/>
      <c r="HD436" s="327"/>
      <c r="HE436" s="327"/>
      <c r="HF436" s="327"/>
      <c r="HG436" s="327"/>
      <c r="HH436" s="327"/>
      <c r="HI436" s="327"/>
      <c r="HJ436" s="327"/>
      <c r="HK436" s="327"/>
      <c r="HL436" s="327"/>
      <c r="HM436" s="327"/>
      <c r="HN436" s="327"/>
      <c r="HO436" s="327"/>
      <c r="HP436" s="327"/>
      <c r="HQ436" s="327"/>
      <c r="HR436" s="327"/>
      <c r="HS436" s="327"/>
    </row>
    <row r="437" spans="1:227" ht="15" customHeight="1">
      <c r="A437" s="327">
        <v>17</v>
      </c>
      <c r="B437" s="435" t="str">
        <f>VLOOKUP(Ruimtestaat[[#This Row],[Code]],Locaties[[Code]:[Locatie]],2,FALSE)</f>
        <v>IKC de Tjalk Kadelaan 208 (bijgebouw)</v>
      </c>
      <c r="C437" s="435" t="str">
        <f>VLOOKUP(Ruimtestaat[[#This Row],[Code]],Locaties[[#All],[Code]:[Adres]],4,FALSE)</f>
        <v>Kadelaan 208</v>
      </c>
      <c r="D437" s="435" t="str">
        <f>VLOOKUP(Ruimtestaat[[#This Row],[Code]],Locaties[[#All],[Code]:[Postcode]],5,FALSE)</f>
        <v>2725 BR</v>
      </c>
      <c r="E437" s="435" t="str">
        <f>VLOOKUP(Ruimtestaat[[#This Row],[Code]],Locaties[#All],6,FALSE)</f>
        <v>Zoetermeer</v>
      </c>
      <c r="F437" s="450"/>
      <c r="G437" s="330" t="s">
        <v>1678</v>
      </c>
      <c r="H437" s="330">
        <v>86</v>
      </c>
      <c r="I437" s="450" t="s">
        <v>38</v>
      </c>
      <c r="J437" s="330">
        <v>7</v>
      </c>
      <c r="K437" s="450" t="str">
        <f>VLOOKUP(Ruimtestaat[[#This Row],[Ruimte code]],Ruimtegroepen[[#All],[Code]:[Ruimte omschrijving]],2,FALSE)</f>
        <v>Entree</v>
      </c>
      <c r="L437" s="330" t="s">
        <v>101</v>
      </c>
      <c r="M437" s="437" t="s">
        <v>1816</v>
      </c>
      <c r="N437" s="439">
        <v>9.66</v>
      </c>
      <c r="O437" s="439"/>
      <c r="P437" s="439"/>
      <c r="Q437" s="439"/>
      <c r="R437" s="440" t="str">
        <f>VLOOKUP(Ruimtestaat[[#This Row],[Ruimte code]],Ruimtegroepen[],4,FALSE)</f>
        <v>Ve</v>
      </c>
      <c r="S437" s="434">
        <v>41</v>
      </c>
      <c r="T437" s="434" t="s">
        <v>2</v>
      </c>
      <c r="U437" s="434">
        <f>IF(S437&gt;0,IF(RIGHT(Ruimtestaat[[#This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37" s="434">
        <f>IF(U437&gt;0,VLOOKUP($J437,Ruimtegroepen[],3,FALSE)*VLOOKUP($L437,Vloersoorten[],3,FALSE)*VLOOKUP($T437,Frequenties[],3,FALSE)*VLOOKUP($A437,Locaties[],3,FALSE),0)</f>
        <v>0</v>
      </c>
      <c r="W437" s="434">
        <f>Ruimtestaat[[#This Row],[Uitvoeringen werkdagen]]*Ruimtestaat[[#This Row],[Oppervlak (netto)]]</f>
        <v>1980.3</v>
      </c>
      <c r="X437" s="441">
        <f>IF(V437&gt;0,Ruimtestaat[[#This Row],[Prest. (m2 /jaar) werkdagen]]/Ruimtestaat[[#This Row],[Norm (m2/uur) werkdagen]],0)</f>
        <v>0</v>
      </c>
      <c r="Y437" s="442">
        <f>Ruimtestaat[[#This Row],[Uitvoeringen werkdagen]]*Ruimtestaat[[#This Row],[Gedeeltelijk]]</f>
        <v>0</v>
      </c>
      <c r="Z437" s="443" t="e">
        <f>IF(U437&gt;0,Ruimtestaat[[#This Row],[Prest. (m2 / jaar) werkdagen gedeeld]]/Ruimtestaat[[#This Row],[Norm (m2/uur) werkdagen]],0)</f>
        <v>#DIV/0!</v>
      </c>
      <c r="AA437" s="441" t="e">
        <f>Ruimtestaat[[#This Row],[uren / jaar werkdagen gedeeld]]*Tariefsopbouw!$E$35</f>
        <v>#DIV/0!</v>
      </c>
      <c r="AB437" s="441">
        <f>Ruimtestaat[[#This Row],[Uitvoeringen werkdagen]]*Ruimtestaat[[#This Row],[BSO]]</f>
        <v>0</v>
      </c>
      <c r="AC437" s="443" t="e">
        <f>IF(U437&gt;0,Ruimtestaat[[#This Row],[Prest. (m2 / jaar) werkdagen BSO]]/Ruimtestaat[[#This Row],[Norm (m2/uur) werkdagen]],0)</f>
        <v>#DIV/0!</v>
      </c>
      <c r="AD437" s="443" t="e">
        <f>Ruimtestaat[[#This Row],[uren / jaar werkdagen BSO]]*Tariefsopbouw!$E$35</f>
        <v>#DIV/0!</v>
      </c>
      <c r="AE437" s="444">
        <f>Ruimtestaat[[#This Row],[uren / jaar werkdagen]]*Tariefsopbouw!$E$35</f>
        <v>0</v>
      </c>
      <c r="AF437" s="434"/>
      <c r="AG437" s="434">
        <f>IF(Ruimtestaat[[#This Row],[Frequentie weekend]]&gt;0,VALUE(LEFT(AF437,1))*S437,0)</f>
        <v>0</v>
      </c>
      <c r="AH437" s="445">
        <f>IF($AG437&gt;0,VLOOKUP($J437,Ruimtegroepen[],3,FALSE)*VLOOKUP($L437,Vloersoorten[],3,FALSE)*VLOOKUP($AF437,Frequenties[],3,FALSE)*VLOOKUP(Ruimtestaat[[#This Row],[Code]],Locaties[],3,FALSE),0)</f>
        <v>0</v>
      </c>
      <c r="AI437" s="445">
        <f>Ruimtestaat[[#This Row],[Uitvoeringen weekend]]*Ruimtestaat[[#This Row],[Oppervlak (netto)]]</f>
        <v>0</v>
      </c>
      <c r="AJ437" s="445">
        <f>IF(AH437&gt;0,Ruimtestaat[[#This Row],[Prest. (m2 /jaar) weekend]]/Ruimtestaat[[#This Row],[Norm (m2/uur) weekend]],0)</f>
        <v>0</v>
      </c>
      <c r="AK437" s="444">
        <f>Ruimtestaat[[#This Row],[uren / jaar weekend]]*Tariefsopbouw!$D$40</f>
        <v>0</v>
      </c>
      <c r="AL437" s="441">
        <f>Ruimtestaat[[#This Row],[Prest. (m2 /jaar) weekend]]+Ruimtestaat[[#This Row],[Prest. (m2 /jaar) werkdagen]]</f>
        <v>1980.3</v>
      </c>
      <c r="AM437" s="441">
        <f>Ruimtestaat[[#This Row],[uren / jaar weekend]]+Ruimtestaat[[#This Row],[uren / jaar werkdagen]]</f>
        <v>0</v>
      </c>
      <c r="AN437" s="446">
        <f>Ruimtestaat[[#This Row],[kosten / jaar weekend]]+Ruimtestaat[[#This Row],[kosten / jaar werkdagen]]</f>
        <v>0</v>
      </c>
      <c r="AO437" s="446"/>
      <c r="AP437" s="447" t="str">
        <f>IF(Ruimtestaat[[#This Row],[Frequentie werkdagen]]="","",_xlfn.CONCAT(Ruimtestaat[[#This Row],[Ruimte code]],"-",Ruimtestaat[[#This Row],[Frequentie werkdagen]]," ",Ruimtestaat[[#This Row],[Vloer code]]))</f>
        <v>7-5w S</v>
      </c>
      <c r="AQ437" s="448" t="str">
        <f>_xlfn.IFNA(VLOOKUP($AP437,Programma!$F$3:$G$1101,2,0),"")</f>
        <v>_</v>
      </c>
      <c r="AR437" s="448" t="str">
        <f>_xlfn.IFNA(VLOOKUP($AP437,Programma!$F$3:$H$1101,3,0),"")</f>
        <v>_</v>
      </c>
      <c r="AS437" s="448" t="str">
        <f>_xlfn.IFNA(VLOOKUP($AP437,Programma!$F$3:$I$1101,4,0),"")</f>
        <v>5w</v>
      </c>
      <c r="AT437" s="448" t="str">
        <f>_xlfn.IFNA(VLOOKUP($AP437,Programma!$F$3:$J$1101,5,0),"")</f>
        <v>_</v>
      </c>
      <c r="AU437" s="448" t="str">
        <f>_xlfn.IFNA(VLOOKUP($AP437,Programma!$F$3:$K$1101,6,0),"")</f>
        <v>5w</v>
      </c>
      <c r="AV437" s="448" t="str">
        <f>_xlfn.IFNA(VLOOKUP($AP437,Programma!$F$3:$L$1101,7,0),"")</f>
        <v>_</v>
      </c>
      <c r="AW437" s="448" t="str">
        <f>_xlfn.IFNA(VLOOKUP($AP437,Programma!$F$3:$M$1101,8,0),"")</f>
        <v>_</v>
      </c>
      <c r="AX437" s="448" t="str">
        <f>_xlfn.IFNA(VLOOKUP($AP437,Programma!$F$3:$N$1101,9,0),"")</f>
        <v>_</v>
      </c>
      <c r="AY437" s="448" t="str">
        <f>_xlfn.IFNA(VLOOKUP($AP437,Programma!$F$3:$O$1101,10,0),"")</f>
        <v>5w</v>
      </c>
      <c r="AZ437" s="448" t="str">
        <f>_xlfn.IFNA(VLOOKUP($AP437,Programma!$F$3:$P$1101,11,0),"")</f>
        <v>5w</v>
      </c>
      <c r="BA437" s="448" t="str">
        <f>_xlfn.IFNA(VLOOKUP($AP437,Programma!$F$3:$Q$1101,12,0),"")</f>
        <v>1w</v>
      </c>
      <c r="BB437" s="448" t="str">
        <f>_xlfn.IFNA(VLOOKUP($AP437,Programma!$F$3:$R$1101,13,0),"")</f>
        <v>1w</v>
      </c>
      <c r="BC437" s="448" t="str">
        <f>_xlfn.IFNA(VLOOKUP($AP437,Programma!$F$3:$S$1101,14,0),"")</f>
        <v>1m</v>
      </c>
      <c r="BD437" s="448" t="str">
        <f>_xlfn.IFNA(VLOOKUP($AP437,Programma!$F$3:$T$1101,15,0),"")</f>
        <v>2j</v>
      </c>
      <c r="BE437" s="448" t="str">
        <f>_xlfn.IFNA(VLOOKUP($AP437,Programma!$F$3:$U$1101,16,0),"")</f>
        <v>1j</v>
      </c>
      <c r="BF437" s="448" t="str">
        <f>_xlfn.IFNA(VLOOKUP($AP437,Programma!$F$3:$V$1101,17,0),"")</f>
        <v>_</v>
      </c>
      <c r="BG437" s="448" t="str">
        <f>_xlfn.IFNA(VLOOKUP($AP437,Programma!$F$3:$W$1101,18,0),"")</f>
        <v>_</v>
      </c>
      <c r="BH437" s="448" t="str">
        <f>_xlfn.IFNA(VLOOKUP($AP437,Programma!$F$3:$X$1101,19,0),"")</f>
        <v>_</v>
      </c>
      <c r="BI437" s="448" t="str">
        <f>_xlfn.IFNA(VLOOKUP($AP437,Programma!$F$3:$Y$1101,20,0),"")</f>
        <v>_</v>
      </c>
      <c r="BJ437" s="449"/>
      <c r="BK437" s="447" t="str">
        <f>IF(Ruimtestaat[[#This Row],[Frequentie weekend]]="","",_xlfn.CONCAT(Ruimtestaat[[#This Row],[Ruimte code]],"-",Ruimtestaat[[#This Row],[Frequentie weekend]]," ",Ruimtestaat[[#This Row],[Vloer code]]))</f>
        <v/>
      </c>
      <c r="BL437" s="448" t="str">
        <f>_xlfn.IFNA(VLOOKUP($BK437,Programma!$F$3:$G$1101,2,0),"")</f>
        <v/>
      </c>
      <c r="BM437" s="448" t="str">
        <f>_xlfn.IFNA(VLOOKUP($BK437,Programma!$F$3:$H$1101,3,0),"")</f>
        <v/>
      </c>
      <c r="BN437" s="448" t="str">
        <f>_xlfn.IFNA(VLOOKUP($BK437,Programma!$F$3:$I$1101,4,0),"")</f>
        <v/>
      </c>
      <c r="BO437" s="448" t="str">
        <f>_xlfn.IFNA(VLOOKUP($BK437,Programma!$F$3:$J$1101,5,0),"")</f>
        <v/>
      </c>
      <c r="BP437" s="448" t="str">
        <f>_xlfn.IFNA(VLOOKUP($BK437,Programma!$F$3:$K$1101,6,0),"")</f>
        <v/>
      </c>
      <c r="BQ437" s="448" t="str">
        <f>_xlfn.IFNA(VLOOKUP($BK437,Programma!$F$3:$L$1101,7,0),"")</f>
        <v/>
      </c>
      <c r="BR437" s="448" t="str">
        <f>_xlfn.IFNA(VLOOKUP($BK437,Programma!$F$3:$M$1101,8,0),"")</f>
        <v/>
      </c>
      <c r="BS437" s="448" t="str">
        <f>_xlfn.IFNA(VLOOKUP($BK437,Programma!$F$3:$N$1101,9,0),"")</f>
        <v/>
      </c>
      <c r="BT437" s="448" t="str">
        <f>_xlfn.IFNA(VLOOKUP($BK437,Programma!$F$3:$O$1101,10,0),"")</f>
        <v/>
      </c>
      <c r="BU437" s="448" t="str">
        <f>_xlfn.IFNA(VLOOKUP($BK437,Programma!$F$3:$P$1101,11,0),"")</f>
        <v/>
      </c>
      <c r="BV437" s="448" t="str">
        <f>_xlfn.IFNA(VLOOKUP($BK437,Programma!$F$3:$Q$1101,12,0),"")</f>
        <v/>
      </c>
      <c r="BW437" s="448" t="str">
        <f>_xlfn.IFNA(VLOOKUP($BK437,Programma!$F$3:$R$1101,13,0),"")</f>
        <v/>
      </c>
      <c r="BX437" s="448" t="str">
        <f>_xlfn.IFNA(VLOOKUP($BK437,Programma!$F$3:$S$1101,14,0),"")</f>
        <v/>
      </c>
      <c r="BY437" s="448" t="str">
        <f>_xlfn.IFNA(VLOOKUP($BK437,Programma!$F$3:$T$1101,15,0),"")</f>
        <v/>
      </c>
      <c r="BZ437" s="448" t="str">
        <f>_xlfn.IFNA(VLOOKUP($BK437,Programma!$F$3:$U$1101,16,0),"")</f>
        <v/>
      </c>
      <c r="CA437" s="448" t="str">
        <f>_xlfn.IFNA(VLOOKUP($BK437,Programma!$F$3:$V$1101,17,0),"")</f>
        <v/>
      </c>
      <c r="CB437" s="448" t="str">
        <f>_xlfn.IFNA(VLOOKUP($BK437,Programma!$F$3:$W$1101,18,0),"")</f>
        <v/>
      </c>
      <c r="CC437" s="448" t="str">
        <f>_xlfn.IFNA(VLOOKUP($BK437,Programma!$F$3:$X$1101,19,0),"")</f>
        <v/>
      </c>
      <c r="CD437" s="448" t="str">
        <f>_xlfn.IFNA(VLOOKUP($BK437,Programma!$F$3:$Y$1101,20,0),"")</f>
        <v/>
      </c>
      <c r="CE437" s="327"/>
      <c r="CF437" s="327"/>
      <c r="CG437" s="327"/>
      <c r="CH437" s="327"/>
      <c r="CI437" s="327"/>
      <c r="CJ437" s="327"/>
      <c r="CK437" s="327"/>
      <c r="CL437" s="327"/>
      <c r="CM437" s="327"/>
      <c r="CN437" s="327"/>
      <c r="CO437" s="327"/>
      <c r="CP437" s="327"/>
      <c r="CQ437" s="327"/>
      <c r="CR437" s="327"/>
      <c r="CS437" s="327"/>
      <c r="CT437" s="327"/>
      <c r="CU437" s="327"/>
      <c r="CV437" s="327"/>
      <c r="CW437" s="327"/>
      <c r="CX437" s="327"/>
      <c r="CY437" s="327"/>
      <c r="CZ437" s="327"/>
      <c r="DA437" s="327"/>
      <c r="DB437" s="327"/>
      <c r="DC437" s="327"/>
      <c r="DD437" s="327"/>
      <c r="DE437" s="327"/>
      <c r="DF437" s="327"/>
      <c r="DG437" s="327"/>
      <c r="DH437" s="327"/>
      <c r="DI437" s="327"/>
      <c r="DJ437" s="327"/>
      <c r="DK437" s="327"/>
      <c r="DL437" s="327"/>
      <c r="DM437" s="327"/>
      <c r="DN437" s="327"/>
      <c r="DO437" s="327"/>
      <c r="DP437" s="327"/>
      <c r="DQ437" s="327"/>
      <c r="DR437" s="327"/>
      <c r="DS437" s="327"/>
      <c r="DT437" s="327"/>
      <c r="DU437" s="327"/>
      <c r="DV437" s="327"/>
      <c r="DW437" s="327"/>
      <c r="DX437" s="327"/>
      <c r="DY437" s="327"/>
      <c r="DZ437" s="327"/>
      <c r="EA437" s="327"/>
      <c r="EB437" s="327"/>
      <c r="EC437" s="327"/>
      <c r="ED437" s="327"/>
      <c r="EE437" s="327"/>
      <c r="EF437" s="327"/>
      <c r="EG437" s="327"/>
      <c r="EH437" s="327"/>
      <c r="EI437" s="327"/>
      <c r="EJ437" s="327"/>
      <c r="EK437" s="327"/>
      <c r="EL437" s="327"/>
      <c r="EM437" s="327"/>
      <c r="EN437" s="327"/>
      <c r="EO437" s="327"/>
      <c r="EP437" s="327"/>
      <c r="EQ437" s="327"/>
      <c r="ER437" s="327"/>
      <c r="ES437" s="327"/>
      <c r="ET437" s="327"/>
      <c r="EU437" s="327"/>
      <c r="EV437" s="327"/>
      <c r="EW437" s="327"/>
      <c r="EX437" s="327"/>
      <c r="EY437" s="327"/>
      <c r="EZ437" s="327"/>
      <c r="FA437" s="327"/>
      <c r="FB437" s="327"/>
      <c r="FC437" s="327"/>
      <c r="FD437" s="327"/>
      <c r="FE437" s="327"/>
      <c r="FF437" s="327"/>
      <c r="FG437" s="327"/>
      <c r="FH437" s="327"/>
      <c r="FI437" s="327"/>
      <c r="FJ437" s="327"/>
      <c r="FK437" s="327"/>
      <c r="FL437" s="327"/>
      <c r="FM437" s="327"/>
      <c r="FN437" s="327"/>
      <c r="FO437" s="327"/>
      <c r="FP437" s="327"/>
      <c r="FQ437" s="327"/>
      <c r="FR437" s="327"/>
      <c r="FS437" s="327"/>
      <c r="FT437" s="327"/>
      <c r="FU437" s="327"/>
      <c r="FV437" s="327"/>
      <c r="FW437" s="327"/>
      <c r="FX437" s="327"/>
      <c r="FY437" s="327"/>
      <c r="FZ437" s="327"/>
      <c r="GA437" s="327"/>
      <c r="GB437" s="327"/>
      <c r="GC437" s="327"/>
      <c r="GD437" s="327"/>
      <c r="GE437" s="327"/>
      <c r="GF437" s="327"/>
      <c r="GG437" s="327"/>
      <c r="GH437" s="327"/>
      <c r="GI437" s="327"/>
      <c r="GJ437" s="327"/>
      <c r="GK437" s="327"/>
      <c r="GL437" s="327"/>
      <c r="GM437" s="327"/>
      <c r="GN437" s="327"/>
      <c r="GO437" s="327"/>
      <c r="GP437" s="327"/>
      <c r="GQ437" s="327"/>
      <c r="GR437" s="327"/>
      <c r="GS437" s="327"/>
      <c r="GT437" s="327"/>
      <c r="GU437" s="327"/>
      <c r="GV437" s="327"/>
      <c r="GW437" s="327"/>
      <c r="GX437" s="327"/>
      <c r="GY437" s="327"/>
      <c r="GZ437" s="327"/>
      <c r="HA437" s="327"/>
      <c r="HB437" s="327"/>
      <c r="HC437" s="327"/>
      <c r="HD437" s="327"/>
      <c r="HE437" s="327"/>
      <c r="HF437" s="327"/>
      <c r="HG437" s="327"/>
      <c r="HH437" s="327"/>
      <c r="HI437" s="327"/>
      <c r="HJ437" s="327"/>
      <c r="HK437" s="327"/>
      <c r="HL437" s="327"/>
      <c r="HM437" s="327"/>
      <c r="HN437" s="327"/>
      <c r="HO437" s="327"/>
      <c r="HP437" s="327"/>
      <c r="HQ437" s="327"/>
      <c r="HR437" s="327"/>
      <c r="HS437" s="327"/>
    </row>
    <row r="438" spans="1:227" ht="15" customHeight="1">
      <c r="A438" s="327">
        <v>17</v>
      </c>
      <c r="B438" s="435" t="str">
        <f>VLOOKUP(Ruimtestaat[[#This Row],[Code]],Locaties[[Code]:[Locatie]],2,FALSE)</f>
        <v>IKC de Tjalk Kadelaan 208 (bijgebouw)</v>
      </c>
      <c r="C438" s="435" t="str">
        <f>VLOOKUP(Ruimtestaat[[#This Row],[Code]],Locaties[[#All],[Code]:[Adres]],4,FALSE)</f>
        <v>Kadelaan 208</v>
      </c>
      <c r="D438" s="435" t="str">
        <f>VLOOKUP(Ruimtestaat[[#This Row],[Code]],Locaties[[#All],[Code]:[Postcode]],5,FALSE)</f>
        <v>2725 BR</v>
      </c>
      <c r="E438" s="435" t="str">
        <f>VLOOKUP(Ruimtestaat[[#This Row],[Code]],Locaties[#All],6,FALSE)</f>
        <v>Zoetermeer</v>
      </c>
      <c r="F438" s="450"/>
      <c r="G438" s="330" t="s">
        <v>1678</v>
      </c>
      <c r="H438" s="330">
        <v>85</v>
      </c>
      <c r="I438" s="450" t="s">
        <v>1865</v>
      </c>
      <c r="J438" s="330">
        <v>2</v>
      </c>
      <c r="K438" s="450" t="str">
        <f>VLOOKUP(Ruimtestaat[[#This Row],[Ruimte code]],Ruimtegroepen[[#All],[Code]:[Ruimte omschrijving]],2,FALSE)</f>
        <v>Kantoren</v>
      </c>
      <c r="L438" s="434" t="s">
        <v>101</v>
      </c>
      <c r="M438" s="437" t="s">
        <v>1816</v>
      </c>
      <c r="N438" s="439">
        <v>43.92</v>
      </c>
      <c r="O438" s="439"/>
      <c r="P438" s="439"/>
      <c r="Q438" s="439"/>
      <c r="R438" s="440" t="str">
        <f>VLOOKUP(Ruimtestaat[[#This Row],[Ruimte code]],Ruimtegroepen[],4,FALSE)</f>
        <v>Bu</v>
      </c>
      <c r="S438" s="434">
        <v>41</v>
      </c>
      <c r="T438" s="434" t="s">
        <v>17</v>
      </c>
      <c r="U438" s="434">
        <f>IF(S438&gt;0,IF(RIGHT(Ruimtestaat[[#This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438" s="434">
        <f>IF(U438&gt;0,VLOOKUP($J438,Ruimtegroepen[],3,FALSE)*VLOOKUP($L438,Vloersoorten[],3,FALSE)*VLOOKUP($T438,Frequenties[],3,FALSE)*VLOOKUP($A438,Locaties[],3,FALSE),0)</f>
        <v>0</v>
      </c>
      <c r="W438" s="434">
        <f>Ruimtestaat[[#This Row],[Uitvoeringen werkdagen]]*Ruimtestaat[[#This Row],[Oppervlak (netto)]]</f>
        <v>3601.44</v>
      </c>
      <c r="X438" s="441">
        <f>IF(V438&gt;0,Ruimtestaat[[#This Row],[Prest. (m2 /jaar) werkdagen]]/Ruimtestaat[[#This Row],[Norm (m2/uur) werkdagen]],0)</f>
        <v>0</v>
      </c>
      <c r="Y438" s="442">
        <f>Ruimtestaat[[#This Row],[Uitvoeringen werkdagen]]*Ruimtestaat[[#This Row],[Gedeeltelijk]]</f>
        <v>0</v>
      </c>
      <c r="Z438" s="443" t="e">
        <f>IF(U438&gt;0,Ruimtestaat[[#This Row],[Prest. (m2 / jaar) werkdagen gedeeld]]/Ruimtestaat[[#This Row],[Norm (m2/uur) werkdagen]],0)</f>
        <v>#DIV/0!</v>
      </c>
      <c r="AA438" s="441" t="e">
        <f>Ruimtestaat[[#This Row],[uren / jaar werkdagen gedeeld]]*Tariefsopbouw!$E$35</f>
        <v>#DIV/0!</v>
      </c>
      <c r="AB438" s="441">
        <f>Ruimtestaat[[#This Row],[Uitvoeringen werkdagen]]*Ruimtestaat[[#This Row],[BSO]]</f>
        <v>0</v>
      </c>
      <c r="AC438" s="443" t="e">
        <f>IF(U438&gt;0,Ruimtestaat[[#This Row],[Prest. (m2 / jaar) werkdagen BSO]]/Ruimtestaat[[#This Row],[Norm (m2/uur) werkdagen]],0)</f>
        <v>#DIV/0!</v>
      </c>
      <c r="AD438" s="443" t="e">
        <f>Ruimtestaat[[#This Row],[uren / jaar werkdagen BSO]]*Tariefsopbouw!$E$35</f>
        <v>#DIV/0!</v>
      </c>
      <c r="AE438" s="444">
        <f>Ruimtestaat[[#This Row],[uren / jaar werkdagen]]*Tariefsopbouw!$E$35</f>
        <v>0</v>
      </c>
      <c r="AF438" s="434"/>
      <c r="AG438" s="434">
        <f>IF(Ruimtestaat[[#This Row],[Frequentie weekend]]&gt;0,VALUE(LEFT(AF438,1))*S438,0)</f>
        <v>0</v>
      </c>
      <c r="AH438" s="445">
        <f>IF($AG438&gt;0,VLOOKUP($J438,Ruimtegroepen[],3,FALSE)*VLOOKUP($L438,Vloersoorten[],3,FALSE)*VLOOKUP($AF438,Frequenties[],3,FALSE)*VLOOKUP(Ruimtestaat[[#This Row],[Code]],Locaties[],3,FALSE),0)</f>
        <v>0</v>
      </c>
      <c r="AI438" s="445">
        <f>Ruimtestaat[[#This Row],[Uitvoeringen weekend]]*Ruimtestaat[[#This Row],[Oppervlak (netto)]]</f>
        <v>0</v>
      </c>
      <c r="AJ438" s="445">
        <f>IF(AH438&gt;0,Ruimtestaat[[#This Row],[Prest. (m2 /jaar) weekend]]/Ruimtestaat[[#This Row],[Norm (m2/uur) weekend]],0)</f>
        <v>0</v>
      </c>
      <c r="AK438" s="444">
        <f>Ruimtestaat[[#This Row],[uren / jaar weekend]]*Tariefsopbouw!$D$40</f>
        <v>0</v>
      </c>
      <c r="AL438" s="441">
        <f>Ruimtestaat[[#This Row],[Prest. (m2 /jaar) weekend]]+Ruimtestaat[[#This Row],[Prest. (m2 /jaar) werkdagen]]</f>
        <v>3601.44</v>
      </c>
      <c r="AM438" s="441">
        <f>Ruimtestaat[[#This Row],[uren / jaar weekend]]+Ruimtestaat[[#This Row],[uren / jaar werkdagen]]</f>
        <v>0</v>
      </c>
      <c r="AN438" s="446">
        <f>Ruimtestaat[[#This Row],[kosten / jaar weekend]]+Ruimtestaat[[#This Row],[kosten / jaar werkdagen]]</f>
        <v>0</v>
      </c>
      <c r="AO438" s="446"/>
      <c r="AP438" s="447" t="str">
        <f>IF(Ruimtestaat[[#This Row],[Frequentie werkdagen]]="","",_xlfn.CONCAT(Ruimtestaat[[#This Row],[Ruimte code]],"-",Ruimtestaat[[#This Row],[Frequentie werkdagen]]," ",Ruimtestaat[[#This Row],[Vloer code]]))</f>
        <v>2-2w S</v>
      </c>
      <c r="AQ438" s="448" t="str">
        <f>_xlfn.IFNA(VLOOKUP($AP438,Programma!$F$3:$G$1101,2,0),"")</f>
        <v>_</v>
      </c>
      <c r="AR438" s="448" t="str">
        <f>_xlfn.IFNA(VLOOKUP($AP438,Programma!$F$3:$H$1101,3,0),"")</f>
        <v>_</v>
      </c>
      <c r="AS438" s="448" t="str">
        <f>_xlfn.IFNA(VLOOKUP($AP438,Programma!$F$3:$I$1101,4,0),"")</f>
        <v>1w</v>
      </c>
      <c r="AT438" s="448" t="str">
        <f>_xlfn.IFNA(VLOOKUP($AP438,Programma!$F$3:$J$1101,5,0),"")</f>
        <v>1w</v>
      </c>
      <c r="AU438" s="448" t="str">
        <f>_xlfn.IFNA(VLOOKUP($AP438,Programma!$F$3:$K$1101,6,0),"")</f>
        <v>1j</v>
      </c>
      <c r="AV438" s="448" t="str">
        <f>_xlfn.IFNA(VLOOKUP($AP438,Programma!$F$3:$L$1101,7,0),"")</f>
        <v>_</v>
      </c>
      <c r="AW438" s="448" t="str">
        <f>_xlfn.IFNA(VLOOKUP($AP438,Programma!$F$3:$M$1101,8,0),"")</f>
        <v>_</v>
      </c>
      <c r="AX438" s="448" t="str">
        <f>_xlfn.IFNA(VLOOKUP($AP438,Programma!$F$3:$N$1101,9,0),"")</f>
        <v>_</v>
      </c>
      <c r="AY438" s="448" t="str">
        <f>_xlfn.IFNA(VLOOKUP($AP438,Programma!$F$3:$O$1101,10,0),"")</f>
        <v>2w</v>
      </c>
      <c r="AZ438" s="448" t="str">
        <f>_xlfn.IFNA(VLOOKUP($AP438,Programma!$F$3:$P$1101,11,0),"")</f>
        <v>2w</v>
      </c>
      <c r="BA438" s="448" t="str">
        <f>_xlfn.IFNA(VLOOKUP($AP438,Programma!$F$3:$Q$1101,12,0),"")</f>
        <v>1w</v>
      </c>
      <c r="BB438" s="448" t="str">
        <f>_xlfn.IFNA(VLOOKUP($AP438,Programma!$F$3:$R$1101,13,0),"")</f>
        <v>1w</v>
      </c>
      <c r="BC438" s="448" t="str">
        <f>_xlfn.IFNA(VLOOKUP($AP438,Programma!$F$3:$S$1101,14,0),"")</f>
        <v>1m</v>
      </c>
      <c r="BD438" s="448" t="str">
        <f>_xlfn.IFNA(VLOOKUP($AP438,Programma!$F$3:$T$1101,15,0),"")</f>
        <v>2j</v>
      </c>
      <c r="BE438" s="448" t="str">
        <f>_xlfn.IFNA(VLOOKUP($AP438,Programma!$F$3:$U$1101,16,0),"")</f>
        <v>1j</v>
      </c>
      <c r="BF438" s="448" t="str">
        <f>_xlfn.IFNA(VLOOKUP($AP438,Programma!$F$3:$V$1101,17,0),"")</f>
        <v>_</v>
      </c>
      <c r="BG438" s="448" t="str">
        <f>_xlfn.IFNA(VLOOKUP($AP438,Programma!$F$3:$W$1101,18,0),"")</f>
        <v>_</v>
      </c>
      <c r="BH438" s="448" t="str">
        <f>_xlfn.IFNA(VLOOKUP($AP438,Programma!$F$3:$X$1101,19,0),"")</f>
        <v>_</v>
      </c>
      <c r="BI438" s="448" t="str">
        <f>_xlfn.IFNA(VLOOKUP($AP438,Programma!$F$3:$Y$1101,20,0),"")</f>
        <v>_</v>
      </c>
      <c r="BJ438" s="449"/>
      <c r="BK438" s="447" t="str">
        <f>IF(Ruimtestaat[[#This Row],[Frequentie weekend]]="","",_xlfn.CONCAT(Ruimtestaat[[#This Row],[Ruimte code]],"-",Ruimtestaat[[#This Row],[Frequentie weekend]]," ",Ruimtestaat[[#This Row],[Vloer code]]))</f>
        <v/>
      </c>
      <c r="BL438" s="448" t="str">
        <f>_xlfn.IFNA(VLOOKUP($BK438,Programma!$F$3:$G$1101,2,0),"")</f>
        <v/>
      </c>
      <c r="BM438" s="448" t="str">
        <f>_xlfn.IFNA(VLOOKUP($BK438,Programma!$F$3:$H$1101,3,0),"")</f>
        <v/>
      </c>
      <c r="BN438" s="448" t="str">
        <f>_xlfn.IFNA(VLOOKUP($BK438,Programma!$F$3:$I$1101,4,0),"")</f>
        <v/>
      </c>
      <c r="BO438" s="448" t="str">
        <f>_xlfn.IFNA(VLOOKUP($BK438,Programma!$F$3:$J$1101,5,0),"")</f>
        <v/>
      </c>
      <c r="BP438" s="448" t="str">
        <f>_xlfn.IFNA(VLOOKUP($BK438,Programma!$F$3:$K$1101,6,0),"")</f>
        <v/>
      </c>
      <c r="BQ438" s="448" t="str">
        <f>_xlfn.IFNA(VLOOKUP($BK438,Programma!$F$3:$L$1101,7,0),"")</f>
        <v/>
      </c>
      <c r="BR438" s="448" t="str">
        <f>_xlfn.IFNA(VLOOKUP($BK438,Programma!$F$3:$M$1101,8,0),"")</f>
        <v/>
      </c>
      <c r="BS438" s="448" t="str">
        <f>_xlfn.IFNA(VLOOKUP($BK438,Programma!$F$3:$N$1101,9,0),"")</f>
        <v/>
      </c>
      <c r="BT438" s="448" t="str">
        <f>_xlfn.IFNA(VLOOKUP($BK438,Programma!$F$3:$O$1101,10,0),"")</f>
        <v/>
      </c>
      <c r="BU438" s="448" t="str">
        <f>_xlfn.IFNA(VLOOKUP($BK438,Programma!$F$3:$P$1101,11,0),"")</f>
        <v/>
      </c>
      <c r="BV438" s="448" t="str">
        <f>_xlfn.IFNA(VLOOKUP($BK438,Programma!$F$3:$Q$1101,12,0),"")</f>
        <v/>
      </c>
      <c r="BW438" s="448" t="str">
        <f>_xlfn.IFNA(VLOOKUP($BK438,Programma!$F$3:$R$1101,13,0),"")</f>
        <v/>
      </c>
      <c r="BX438" s="448" t="str">
        <f>_xlfn.IFNA(VLOOKUP($BK438,Programma!$F$3:$S$1101,14,0),"")</f>
        <v/>
      </c>
      <c r="BY438" s="448" t="str">
        <f>_xlfn.IFNA(VLOOKUP($BK438,Programma!$F$3:$T$1101,15,0),"")</f>
        <v/>
      </c>
      <c r="BZ438" s="448" t="str">
        <f>_xlfn.IFNA(VLOOKUP($BK438,Programma!$F$3:$U$1101,16,0),"")</f>
        <v/>
      </c>
      <c r="CA438" s="448" t="str">
        <f>_xlfn.IFNA(VLOOKUP($BK438,Programma!$F$3:$V$1101,17,0),"")</f>
        <v/>
      </c>
      <c r="CB438" s="448" t="str">
        <f>_xlfn.IFNA(VLOOKUP($BK438,Programma!$F$3:$W$1101,18,0),"")</f>
        <v/>
      </c>
      <c r="CC438" s="448" t="str">
        <f>_xlfn.IFNA(VLOOKUP($BK438,Programma!$F$3:$X$1101,19,0),"")</f>
        <v/>
      </c>
      <c r="CD438" s="448" t="str">
        <f>_xlfn.IFNA(VLOOKUP($BK438,Programma!$F$3:$Y$1101,20,0),"")</f>
        <v/>
      </c>
      <c r="CE438" s="327"/>
      <c r="CF438" s="327"/>
      <c r="CG438" s="327"/>
      <c r="CH438" s="327"/>
      <c r="CI438" s="327"/>
      <c r="CJ438" s="327"/>
      <c r="CK438" s="327"/>
      <c r="CL438" s="327"/>
      <c r="CM438" s="327"/>
      <c r="CN438" s="327"/>
      <c r="CO438" s="327"/>
      <c r="CP438" s="327"/>
      <c r="CQ438" s="327"/>
      <c r="CR438" s="327"/>
      <c r="CS438" s="327"/>
      <c r="CT438" s="327"/>
      <c r="CU438" s="327"/>
      <c r="CV438" s="327"/>
      <c r="CW438" s="327"/>
      <c r="CX438" s="327"/>
      <c r="CY438" s="327"/>
      <c r="CZ438" s="327"/>
      <c r="DA438" s="327"/>
      <c r="DB438" s="327"/>
      <c r="DC438" s="327"/>
      <c r="DD438" s="327"/>
      <c r="DE438" s="327"/>
      <c r="DF438" s="327"/>
      <c r="DG438" s="327"/>
      <c r="DH438" s="327"/>
      <c r="DI438" s="327"/>
      <c r="DJ438" s="327"/>
      <c r="DK438" s="327"/>
      <c r="DL438" s="327"/>
      <c r="DM438" s="327"/>
      <c r="DN438" s="327"/>
      <c r="DO438" s="327"/>
      <c r="DP438" s="327"/>
      <c r="DQ438" s="327"/>
      <c r="DR438" s="327"/>
      <c r="DS438" s="327"/>
      <c r="DT438" s="327"/>
      <c r="DU438" s="327"/>
      <c r="DV438" s="327"/>
      <c r="DW438" s="327"/>
      <c r="DX438" s="327"/>
      <c r="DY438" s="327"/>
      <c r="DZ438" s="327"/>
      <c r="EA438" s="327"/>
      <c r="EB438" s="327"/>
      <c r="EC438" s="327"/>
      <c r="ED438" s="327"/>
      <c r="EE438" s="327"/>
      <c r="EF438" s="327"/>
      <c r="EG438" s="327"/>
      <c r="EH438" s="327"/>
      <c r="EI438" s="327"/>
      <c r="EJ438" s="327"/>
      <c r="EK438" s="327"/>
      <c r="EL438" s="327"/>
      <c r="EM438" s="327"/>
      <c r="EN438" s="327"/>
      <c r="EO438" s="327"/>
      <c r="EP438" s="327"/>
      <c r="EQ438" s="327"/>
      <c r="ER438" s="327"/>
      <c r="ES438" s="327"/>
      <c r="ET438" s="327"/>
      <c r="EU438" s="327"/>
      <c r="EV438" s="327"/>
      <c r="EW438" s="327"/>
      <c r="EX438" s="327"/>
      <c r="EY438" s="327"/>
      <c r="EZ438" s="327"/>
      <c r="FA438" s="327"/>
      <c r="FB438" s="327"/>
      <c r="FC438" s="327"/>
      <c r="FD438" s="327"/>
      <c r="FE438" s="327"/>
      <c r="FF438" s="327"/>
      <c r="FG438" s="327"/>
      <c r="FH438" s="327"/>
      <c r="FI438" s="327"/>
      <c r="FJ438" s="327"/>
      <c r="FK438" s="327"/>
      <c r="FL438" s="327"/>
      <c r="FM438" s="327"/>
      <c r="FN438" s="327"/>
      <c r="FO438" s="327"/>
      <c r="FP438" s="327"/>
      <c r="FQ438" s="327"/>
      <c r="FR438" s="327"/>
      <c r="FS438" s="327"/>
      <c r="FT438" s="327"/>
      <c r="FU438" s="327"/>
      <c r="FV438" s="327"/>
      <c r="FW438" s="327"/>
      <c r="FX438" s="327"/>
      <c r="FY438" s="327"/>
      <c r="FZ438" s="327"/>
      <c r="GA438" s="327"/>
      <c r="GB438" s="327"/>
      <c r="GC438" s="327"/>
      <c r="GD438" s="327"/>
      <c r="GE438" s="327"/>
      <c r="GF438" s="327"/>
      <c r="GG438" s="327"/>
      <c r="GH438" s="327"/>
      <c r="GI438" s="327"/>
      <c r="GJ438" s="327"/>
      <c r="GK438" s="327"/>
      <c r="GL438" s="327"/>
      <c r="GM438" s="327"/>
      <c r="GN438" s="327"/>
      <c r="GO438" s="327"/>
      <c r="GP438" s="327"/>
      <c r="GQ438" s="327"/>
      <c r="GR438" s="327"/>
      <c r="GS438" s="327"/>
      <c r="GT438" s="327"/>
      <c r="GU438" s="327"/>
      <c r="GV438" s="327"/>
      <c r="GW438" s="327"/>
      <c r="GX438" s="327"/>
      <c r="GY438" s="327"/>
      <c r="GZ438" s="327"/>
      <c r="HA438" s="327"/>
      <c r="HB438" s="327"/>
      <c r="HC438" s="327"/>
      <c r="HD438" s="327"/>
      <c r="HE438" s="327"/>
      <c r="HF438" s="327"/>
      <c r="HG438" s="327"/>
      <c r="HH438" s="327"/>
      <c r="HI438" s="327"/>
      <c r="HJ438" s="327"/>
      <c r="HK438" s="327"/>
      <c r="HL438" s="327"/>
      <c r="HM438" s="327"/>
      <c r="HN438" s="327"/>
      <c r="HO438" s="327"/>
      <c r="HP438" s="327"/>
      <c r="HQ438" s="327"/>
      <c r="HR438" s="327"/>
      <c r="HS438" s="327"/>
    </row>
    <row r="439" spans="1:227" ht="15" customHeight="1">
      <c r="A439" s="327">
        <v>17</v>
      </c>
      <c r="B439" s="435" t="str">
        <f>VLOOKUP(Ruimtestaat[[#This Row],[Code]],Locaties[[Code]:[Locatie]],2,FALSE)</f>
        <v>IKC de Tjalk Kadelaan 208 (bijgebouw)</v>
      </c>
      <c r="C439" s="435" t="str">
        <f>VLOOKUP(Ruimtestaat[[#This Row],[Code]],Locaties[[#All],[Code]:[Adres]],4,FALSE)</f>
        <v>Kadelaan 208</v>
      </c>
      <c r="D439" s="435" t="str">
        <f>VLOOKUP(Ruimtestaat[[#This Row],[Code]],Locaties[[#All],[Code]:[Postcode]],5,FALSE)</f>
        <v>2725 BR</v>
      </c>
      <c r="E439" s="435" t="str">
        <f>VLOOKUP(Ruimtestaat[[#This Row],[Code]],Locaties[#All],6,FALSE)</f>
        <v>Zoetermeer</v>
      </c>
      <c r="F439" s="450"/>
      <c r="G439" s="330" t="s">
        <v>1678</v>
      </c>
      <c r="H439" s="330">
        <v>50</v>
      </c>
      <c r="I439" s="450" t="s">
        <v>1271</v>
      </c>
      <c r="J439" s="330">
        <v>18</v>
      </c>
      <c r="K439" s="450" t="str">
        <f>VLOOKUP(Ruimtestaat[[#This Row],[Ruimte code]],Ruimtegroepen[[#All],[Code]:[Ruimte omschrijving]],2,FALSE)</f>
        <v>Gymzaal</v>
      </c>
      <c r="L439" s="434" t="s">
        <v>101</v>
      </c>
      <c r="M439" s="437" t="s">
        <v>1816</v>
      </c>
      <c r="N439" s="439">
        <v>200</v>
      </c>
      <c r="O439" s="439"/>
      <c r="P439" s="439"/>
      <c r="Q439" s="439"/>
      <c r="R439" s="440" t="str">
        <f>VLOOKUP(Ruimtestaat[[#This Row],[Ruimte code]],Ruimtegroepen[],4,FALSE)</f>
        <v>Sp</v>
      </c>
      <c r="S439" s="434">
        <v>40</v>
      </c>
      <c r="T439" s="434" t="s">
        <v>2</v>
      </c>
      <c r="U439" s="434">
        <f>IF(S439&gt;0,IF(RIGHT(Ruimtestaat[[#This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9" s="434">
        <f>IF(U439&gt;0,VLOOKUP($J439,Ruimtegroepen[],3,FALSE)*VLOOKUP($L439,Vloersoorten[],3,FALSE)*VLOOKUP($T439,Frequenties[],3,FALSE)*VLOOKUP($A439,Locaties[],3,FALSE),0)</f>
        <v>0</v>
      </c>
      <c r="W439" s="434">
        <f>Ruimtestaat[[#This Row],[Uitvoeringen werkdagen]]*Ruimtestaat[[#This Row],[Oppervlak (netto)]]</f>
        <v>40000</v>
      </c>
      <c r="X439" s="441">
        <f>IF(V439&gt;0,Ruimtestaat[[#This Row],[Prest. (m2 /jaar) werkdagen]]/Ruimtestaat[[#This Row],[Norm (m2/uur) werkdagen]],0)</f>
        <v>0</v>
      </c>
      <c r="Y439" s="442">
        <f>Ruimtestaat[[#This Row],[Uitvoeringen werkdagen]]*Ruimtestaat[[#This Row],[Gedeeltelijk]]</f>
        <v>0</v>
      </c>
      <c r="Z439" s="443" t="e">
        <f>IF(U439&gt;0,Ruimtestaat[[#This Row],[Prest. (m2 / jaar) werkdagen gedeeld]]/Ruimtestaat[[#This Row],[Norm (m2/uur) werkdagen]],0)</f>
        <v>#DIV/0!</v>
      </c>
      <c r="AA439" s="441" t="e">
        <f>Ruimtestaat[[#This Row],[uren / jaar werkdagen gedeeld]]*Tariefsopbouw!$E$35</f>
        <v>#DIV/0!</v>
      </c>
      <c r="AB439" s="441">
        <f>Ruimtestaat[[#This Row],[Uitvoeringen werkdagen]]*Ruimtestaat[[#This Row],[BSO]]</f>
        <v>0</v>
      </c>
      <c r="AC439" s="443" t="e">
        <f>IF(U439&gt;0,Ruimtestaat[[#This Row],[Prest. (m2 / jaar) werkdagen BSO]]/Ruimtestaat[[#This Row],[Norm (m2/uur) werkdagen]],0)</f>
        <v>#DIV/0!</v>
      </c>
      <c r="AD439" s="443" t="e">
        <f>Ruimtestaat[[#This Row],[uren / jaar werkdagen BSO]]*Tariefsopbouw!$E$35</f>
        <v>#DIV/0!</v>
      </c>
      <c r="AE439" s="444">
        <f>Ruimtestaat[[#This Row],[uren / jaar werkdagen]]*Tariefsopbouw!$E$35</f>
        <v>0</v>
      </c>
      <c r="AF439" s="434"/>
      <c r="AG439" s="434">
        <f>IF(Ruimtestaat[[#This Row],[Frequentie weekend]]&gt;0,VALUE(LEFT(AF439,1))*S439,0)</f>
        <v>0</v>
      </c>
      <c r="AH439" s="445">
        <f>IF($AG439&gt;0,VLOOKUP($J439,Ruimtegroepen[],3,FALSE)*VLOOKUP($L439,Vloersoorten[],3,FALSE)*VLOOKUP($AF439,Frequenties[],3,FALSE)*VLOOKUP(Ruimtestaat[[#This Row],[Code]],Locaties[],3,FALSE),0)</f>
        <v>0</v>
      </c>
      <c r="AI439" s="445">
        <f>Ruimtestaat[[#This Row],[Uitvoeringen weekend]]*Ruimtestaat[[#This Row],[Oppervlak (netto)]]</f>
        <v>0</v>
      </c>
      <c r="AJ439" s="445">
        <f>IF(AH439&gt;0,Ruimtestaat[[#This Row],[Prest. (m2 /jaar) weekend]]/Ruimtestaat[[#This Row],[Norm (m2/uur) weekend]],0)</f>
        <v>0</v>
      </c>
      <c r="AK439" s="444">
        <f>Ruimtestaat[[#This Row],[uren / jaar weekend]]*Tariefsopbouw!$D$40</f>
        <v>0</v>
      </c>
      <c r="AL439" s="441">
        <f>Ruimtestaat[[#This Row],[Prest. (m2 /jaar) weekend]]+Ruimtestaat[[#This Row],[Prest. (m2 /jaar) werkdagen]]</f>
        <v>40000</v>
      </c>
      <c r="AM439" s="441">
        <f>Ruimtestaat[[#This Row],[uren / jaar weekend]]+Ruimtestaat[[#This Row],[uren / jaar werkdagen]]</f>
        <v>0</v>
      </c>
      <c r="AN439" s="446">
        <f>Ruimtestaat[[#This Row],[kosten / jaar weekend]]+Ruimtestaat[[#This Row],[kosten / jaar werkdagen]]</f>
        <v>0</v>
      </c>
      <c r="AO439" s="446"/>
      <c r="AP439" s="447" t="str">
        <f>IF(Ruimtestaat[[#This Row],[Frequentie werkdagen]]="","",_xlfn.CONCAT(Ruimtestaat[[#This Row],[Ruimte code]],"-",Ruimtestaat[[#This Row],[Frequentie werkdagen]]," ",Ruimtestaat[[#This Row],[Vloer code]]))</f>
        <v>18-5w S</v>
      </c>
      <c r="AQ439" s="448" t="str">
        <f>_xlfn.IFNA(VLOOKUP($AP439,Programma!$F$3:$G$1101,2,0),"")</f>
        <v>_</v>
      </c>
      <c r="AR439" s="448" t="str">
        <f>_xlfn.IFNA(VLOOKUP($AP439,Programma!$F$3:$H$1101,3,0),"")</f>
        <v>_</v>
      </c>
      <c r="AS439" s="448" t="str">
        <f>_xlfn.IFNA(VLOOKUP($AP439,Programma!$F$3:$I$1101,4,0),"")</f>
        <v>4w</v>
      </c>
      <c r="AT439" s="448" t="str">
        <f>_xlfn.IFNA(VLOOKUP($AP439,Programma!$F$3:$J$1101,5,0),"")</f>
        <v>1w</v>
      </c>
      <c r="AU439" s="448" t="str">
        <f>_xlfn.IFNA(VLOOKUP($AP439,Programma!$F$3:$K$1101,6,0),"")</f>
        <v>4j</v>
      </c>
      <c r="AV439" s="448" t="str">
        <f>_xlfn.IFNA(VLOOKUP($AP439,Programma!$F$3:$L$1101,7,0),"")</f>
        <v>_</v>
      </c>
      <c r="AW439" s="448" t="str">
        <f>_xlfn.IFNA(VLOOKUP($AP439,Programma!$F$3:$M$1101,8,0),"")</f>
        <v>_</v>
      </c>
      <c r="AX439" s="448" t="str">
        <f>_xlfn.IFNA(VLOOKUP($AP439,Programma!$F$3:$N$1101,9,0),"")</f>
        <v>_</v>
      </c>
      <c r="AY439" s="448" t="str">
        <f>_xlfn.IFNA(VLOOKUP($AP439,Programma!$F$3:$O$1101,10,0),"")</f>
        <v>5w</v>
      </c>
      <c r="AZ439" s="448" t="str">
        <f>_xlfn.IFNA(VLOOKUP($AP439,Programma!$F$3:$P$1101,11,0),"")</f>
        <v>5w</v>
      </c>
      <c r="BA439" s="448" t="str">
        <f>_xlfn.IFNA(VLOOKUP($AP439,Programma!$F$3:$Q$1101,12,0),"")</f>
        <v>5w</v>
      </c>
      <c r="BB439" s="448" t="str">
        <f>_xlfn.IFNA(VLOOKUP($AP439,Programma!$F$3:$R$1101,13,0),"")</f>
        <v>5w</v>
      </c>
      <c r="BC439" s="448" t="str">
        <f>_xlfn.IFNA(VLOOKUP($AP439,Programma!$F$3:$S$1101,14,0),"")</f>
        <v>1m</v>
      </c>
      <c r="BD439" s="448" t="str">
        <f>_xlfn.IFNA(VLOOKUP($AP439,Programma!$F$3:$T$1101,15,0),"")</f>
        <v>2j</v>
      </c>
      <c r="BE439" s="448" t="str">
        <f>_xlfn.IFNA(VLOOKUP($AP439,Programma!$F$3:$U$1101,16,0),"")</f>
        <v>1j</v>
      </c>
      <c r="BF439" s="448" t="str">
        <f>_xlfn.IFNA(VLOOKUP($AP439,Programma!$F$3:$V$1101,17,0),"")</f>
        <v>_</v>
      </c>
      <c r="BG439" s="448" t="str">
        <f>_xlfn.IFNA(VLOOKUP($AP439,Programma!$F$3:$W$1101,18,0),"")</f>
        <v>_</v>
      </c>
      <c r="BH439" s="448" t="str">
        <f>_xlfn.IFNA(VLOOKUP($AP439,Programma!$F$3:$X$1101,19,0),"")</f>
        <v>_</v>
      </c>
      <c r="BI439" s="448" t="str">
        <f>_xlfn.IFNA(VLOOKUP($AP439,Programma!$F$3:$Y$1101,20,0),"")</f>
        <v>_</v>
      </c>
      <c r="BJ439" s="449"/>
      <c r="BK439" s="447" t="str">
        <f>IF(Ruimtestaat[[#This Row],[Frequentie weekend]]="","",_xlfn.CONCAT(Ruimtestaat[[#This Row],[Ruimte code]],"-",Ruimtestaat[[#This Row],[Frequentie weekend]]," ",Ruimtestaat[[#This Row],[Vloer code]]))</f>
        <v/>
      </c>
      <c r="BL439" s="448" t="str">
        <f>_xlfn.IFNA(VLOOKUP($BK439,Programma!$F$3:$G$1101,2,0),"")</f>
        <v/>
      </c>
      <c r="BM439" s="448" t="str">
        <f>_xlfn.IFNA(VLOOKUP($BK439,Programma!$F$3:$H$1101,3,0),"")</f>
        <v/>
      </c>
      <c r="BN439" s="448" t="str">
        <f>_xlfn.IFNA(VLOOKUP($BK439,Programma!$F$3:$I$1101,4,0),"")</f>
        <v/>
      </c>
      <c r="BO439" s="448" t="str">
        <f>_xlfn.IFNA(VLOOKUP($BK439,Programma!$F$3:$J$1101,5,0),"")</f>
        <v/>
      </c>
      <c r="BP439" s="448" t="str">
        <f>_xlfn.IFNA(VLOOKUP($BK439,Programma!$F$3:$K$1101,6,0),"")</f>
        <v/>
      </c>
      <c r="BQ439" s="448" t="str">
        <f>_xlfn.IFNA(VLOOKUP($BK439,Programma!$F$3:$L$1101,7,0),"")</f>
        <v/>
      </c>
      <c r="BR439" s="448" t="str">
        <f>_xlfn.IFNA(VLOOKUP($BK439,Programma!$F$3:$M$1101,8,0),"")</f>
        <v/>
      </c>
      <c r="BS439" s="448" t="str">
        <f>_xlfn.IFNA(VLOOKUP($BK439,Programma!$F$3:$N$1101,9,0),"")</f>
        <v/>
      </c>
      <c r="BT439" s="448" t="str">
        <f>_xlfn.IFNA(VLOOKUP($BK439,Programma!$F$3:$O$1101,10,0),"")</f>
        <v/>
      </c>
      <c r="BU439" s="448" t="str">
        <f>_xlfn.IFNA(VLOOKUP($BK439,Programma!$F$3:$P$1101,11,0),"")</f>
        <v/>
      </c>
      <c r="BV439" s="448" t="str">
        <f>_xlfn.IFNA(VLOOKUP($BK439,Programma!$F$3:$Q$1101,12,0),"")</f>
        <v/>
      </c>
      <c r="BW439" s="448" t="str">
        <f>_xlfn.IFNA(VLOOKUP($BK439,Programma!$F$3:$R$1101,13,0),"")</f>
        <v/>
      </c>
      <c r="BX439" s="448" t="str">
        <f>_xlfn.IFNA(VLOOKUP($BK439,Programma!$F$3:$S$1101,14,0),"")</f>
        <v/>
      </c>
      <c r="BY439" s="448" t="str">
        <f>_xlfn.IFNA(VLOOKUP($BK439,Programma!$F$3:$T$1101,15,0),"")</f>
        <v/>
      </c>
      <c r="BZ439" s="448" t="str">
        <f>_xlfn.IFNA(VLOOKUP($BK439,Programma!$F$3:$U$1101,16,0),"")</f>
        <v/>
      </c>
      <c r="CA439" s="448" t="str">
        <f>_xlfn.IFNA(VLOOKUP($BK439,Programma!$F$3:$V$1101,17,0),"")</f>
        <v/>
      </c>
      <c r="CB439" s="448" t="str">
        <f>_xlfn.IFNA(VLOOKUP($BK439,Programma!$F$3:$W$1101,18,0),"")</f>
        <v/>
      </c>
      <c r="CC439" s="448" t="str">
        <f>_xlfn.IFNA(VLOOKUP($BK439,Programma!$F$3:$X$1101,19,0),"")</f>
        <v/>
      </c>
      <c r="CD439" s="448" t="str">
        <f>_xlfn.IFNA(VLOOKUP($BK439,Programma!$F$3:$Y$1101,20,0),"")</f>
        <v/>
      </c>
      <c r="CE439" s="327"/>
      <c r="CF439" s="327"/>
      <c r="CG439" s="327"/>
      <c r="CH439" s="327"/>
      <c r="CI439" s="327"/>
      <c r="CJ439" s="327"/>
      <c r="CK439" s="327"/>
      <c r="CL439" s="327"/>
      <c r="CM439" s="327"/>
      <c r="CN439" s="327"/>
      <c r="CO439" s="327"/>
      <c r="CP439" s="327"/>
      <c r="CQ439" s="327"/>
      <c r="CR439" s="327"/>
      <c r="CS439" s="327"/>
      <c r="CT439" s="327"/>
      <c r="CU439" s="327"/>
      <c r="CV439" s="327"/>
      <c r="CW439" s="327"/>
      <c r="CX439" s="327"/>
      <c r="CY439" s="327"/>
      <c r="CZ439" s="327"/>
      <c r="DA439" s="327"/>
      <c r="DB439" s="327"/>
      <c r="DC439" s="327"/>
      <c r="DD439" s="327"/>
      <c r="DE439" s="327"/>
      <c r="DF439" s="327"/>
      <c r="DG439" s="327"/>
      <c r="DH439" s="327"/>
      <c r="DI439" s="327"/>
      <c r="DJ439" s="327"/>
      <c r="DK439" s="327"/>
      <c r="DL439" s="327"/>
      <c r="DM439" s="327"/>
      <c r="DN439" s="327"/>
      <c r="DO439" s="327"/>
      <c r="DP439" s="327"/>
      <c r="DQ439" s="327"/>
      <c r="DR439" s="327"/>
      <c r="DS439" s="327"/>
      <c r="DT439" s="327"/>
      <c r="DU439" s="327"/>
      <c r="DV439" s="327"/>
      <c r="DW439" s="327"/>
      <c r="DX439" s="327"/>
      <c r="DY439" s="327"/>
      <c r="DZ439" s="327"/>
      <c r="EA439" s="327"/>
      <c r="EB439" s="327"/>
      <c r="EC439" s="327"/>
      <c r="ED439" s="327"/>
      <c r="EE439" s="327"/>
      <c r="EF439" s="327"/>
      <c r="EG439" s="327"/>
      <c r="EH439" s="327"/>
      <c r="EI439" s="327"/>
      <c r="EJ439" s="327"/>
      <c r="EK439" s="327"/>
      <c r="EL439" s="327"/>
      <c r="EM439" s="327"/>
      <c r="EN439" s="327"/>
      <c r="EO439" s="327"/>
      <c r="EP439" s="327"/>
      <c r="EQ439" s="327"/>
      <c r="ER439" s="327"/>
      <c r="ES439" s="327"/>
      <c r="ET439" s="327"/>
      <c r="EU439" s="327"/>
      <c r="EV439" s="327"/>
      <c r="EW439" s="327"/>
      <c r="EX439" s="327"/>
      <c r="EY439" s="327"/>
      <c r="EZ439" s="327"/>
      <c r="FA439" s="327"/>
      <c r="FB439" s="327"/>
      <c r="FC439" s="327"/>
      <c r="FD439" s="327"/>
      <c r="FE439" s="327"/>
      <c r="FF439" s="327"/>
      <c r="FG439" s="327"/>
      <c r="FH439" s="327"/>
      <c r="FI439" s="327"/>
      <c r="FJ439" s="327"/>
      <c r="FK439" s="327"/>
      <c r="FL439" s="327"/>
      <c r="FM439" s="327"/>
      <c r="FN439" s="327"/>
      <c r="FO439" s="327"/>
      <c r="FP439" s="327"/>
      <c r="FQ439" s="327"/>
      <c r="FR439" s="327"/>
      <c r="FS439" s="327"/>
      <c r="FT439" s="327"/>
      <c r="FU439" s="327"/>
      <c r="FV439" s="327"/>
      <c r="FW439" s="327"/>
      <c r="FX439" s="327"/>
      <c r="FY439" s="327"/>
      <c r="FZ439" s="327"/>
      <c r="GA439" s="327"/>
      <c r="GB439" s="327"/>
      <c r="GC439" s="327"/>
      <c r="GD439" s="327"/>
      <c r="GE439" s="327"/>
      <c r="GF439" s="327"/>
      <c r="GG439" s="327"/>
      <c r="GH439" s="327"/>
      <c r="GI439" s="327"/>
      <c r="GJ439" s="327"/>
      <c r="GK439" s="327"/>
      <c r="GL439" s="327"/>
      <c r="GM439" s="327"/>
      <c r="GN439" s="327"/>
      <c r="GO439" s="327"/>
      <c r="GP439" s="327"/>
      <c r="GQ439" s="327"/>
      <c r="GR439" s="327"/>
      <c r="GS439" s="327"/>
      <c r="GT439" s="327"/>
      <c r="GU439" s="327"/>
      <c r="GV439" s="327"/>
      <c r="GW439" s="327"/>
      <c r="GX439" s="327"/>
      <c r="GY439" s="327"/>
      <c r="GZ439" s="327"/>
      <c r="HA439" s="327"/>
      <c r="HB439" s="327"/>
      <c r="HC439" s="327"/>
      <c r="HD439" s="327"/>
      <c r="HE439" s="327"/>
      <c r="HF439" s="327"/>
      <c r="HG439" s="327"/>
      <c r="HH439" s="327"/>
      <c r="HI439" s="327"/>
      <c r="HJ439" s="327"/>
      <c r="HK439" s="327"/>
      <c r="HL439" s="327"/>
      <c r="HM439" s="327"/>
      <c r="HN439" s="327"/>
      <c r="HO439" s="327"/>
      <c r="HP439" s="327"/>
      <c r="HQ439" s="327"/>
      <c r="HR439" s="327"/>
      <c r="HS439" s="327"/>
    </row>
    <row r="440" spans="1:227" ht="15" customHeight="1">
      <c r="A440" s="327">
        <v>17</v>
      </c>
      <c r="B440" s="435" t="str">
        <f>VLOOKUP(Ruimtestaat[[#This Row],[Code]],Locaties[[Code]:[Locatie]],2,FALSE)</f>
        <v>IKC de Tjalk Kadelaan 208 (bijgebouw)</v>
      </c>
      <c r="C440" s="435" t="str">
        <f>VLOOKUP(Ruimtestaat[[#This Row],[Code]],Locaties[[#All],[Code]:[Adres]],4,FALSE)</f>
        <v>Kadelaan 208</v>
      </c>
      <c r="D440" s="435" t="str">
        <f>VLOOKUP(Ruimtestaat[[#This Row],[Code]],Locaties[[#All],[Code]:[Postcode]],5,FALSE)</f>
        <v>2725 BR</v>
      </c>
      <c r="E440" s="435" t="str">
        <f>VLOOKUP(Ruimtestaat[[#This Row],[Code]],Locaties[#All],6,FALSE)</f>
        <v>Zoetermeer</v>
      </c>
      <c r="F440" s="450"/>
      <c r="G440" s="330" t="s">
        <v>1678</v>
      </c>
      <c r="H440" s="330">
        <v>51</v>
      </c>
      <c r="I440" s="450" t="s">
        <v>1270</v>
      </c>
      <c r="J440" s="330">
        <v>17</v>
      </c>
      <c r="K440" s="450" t="str">
        <f>VLOOKUP(Ruimtestaat[[#This Row],[Ruimte code]],Ruimtegroepen[[#All],[Code]:[Ruimte omschrijving]],2,FALSE)</f>
        <v>Toestelberging</v>
      </c>
      <c r="L440" s="434" t="s">
        <v>101</v>
      </c>
      <c r="M440" s="437" t="s">
        <v>1816</v>
      </c>
      <c r="N440" s="439">
        <v>41.02</v>
      </c>
      <c r="O440" s="439"/>
      <c r="P440" s="439"/>
      <c r="Q440" s="439"/>
      <c r="R440" s="440" t="str">
        <f>VLOOKUP(Ruimtestaat[[#This Row],[Ruimte code]],Ruimtegroepen[],4,FALSE)</f>
        <v>Ve</v>
      </c>
      <c r="S440" s="434">
        <v>40</v>
      </c>
      <c r="T440" s="434" t="s">
        <v>2</v>
      </c>
      <c r="U440" s="434">
        <f>IF(S440&gt;0,IF(RIGHT(Ruimtestaat[[#This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0" s="434">
        <f>IF(U440&gt;0,VLOOKUP($J440,Ruimtegroepen[],3,FALSE)*VLOOKUP($L440,Vloersoorten[],3,FALSE)*VLOOKUP($T440,Frequenties[],3,FALSE)*VLOOKUP($A440,Locaties[],3,FALSE),0)</f>
        <v>0</v>
      </c>
      <c r="W440" s="434">
        <f>Ruimtestaat[[#This Row],[Uitvoeringen werkdagen]]*Ruimtestaat[[#This Row],[Oppervlak (netto)]]</f>
        <v>8204</v>
      </c>
      <c r="X440" s="441">
        <f>IF(V440&gt;0,Ruimtestaat[[#This Row],[Prest. (m2 /jaar) werkdagen]]/Ruimtestaat[[#This Row],[Norm (m2/uur) werkdagen]],0)</f>
        <v>0</v>
      </c>
      <c r="Y440" s="442">
        <f>Ruimtestaat[[#This Row],[Uitvoeringen werkdagen]]*Ruimtestaat[[#This Row],[Gedeeltelijk]]</f>
        <v>0</v>
      </c>
      <c r="Z440" s="443" t="e">
        <f>IF(U440&gt;0,Ruimtestaat[[#This Row],[Prest. (m2 / jaar) werkdagen gedeeld]]/Ruimtestaat[[#This Row],[Norm (m2/uur) werkdagen]],0)</f>
        <v>#DIV/0!</v>
      </c>
      <c r="AA440" s="441" t="e">
        <f>Ruimtestaat[[#This Row],[uren / jaar werkdagen gedeeld]]*Tariefsopbouw!$E$35</f>
        <v>#DIV/0!</v>
      </c>
      <c r="AB440" s="441">
        <f>Ruimtestaat[[#This Row],[Uitvoeringen werkdagen]]*Ruimtestaat[[#This Row],[BSO]]</f>
        <v>0</v>
      </c>
      <c r="AC440" s="443" t="e">
        <f>IF(U440&gt;0,Ruimtestaat[[#This Row],[Prest. (m2 / jaar) werkdagen BSO]]/Ruimtestaat[[#This Row],[Norm (m2/uur) werkdagen]],0)</f>
        <v>#DIV/0!</v>
      </c>
      <c r="AD440" s="443" t="e">
        <f>Ruimtestaat[[#This Row],[uren / jaar werkdagen BSO]]*Tariefsopbouw!$E$35</f>
        <v>#DIV/0!</v>
      </c>
      <c r="AE440" s="444">
        <f>Ruimtestaat[[#This Row],[uren / jaar werkdagen]]*Tariefsopbouw!$E$35</f>
        <v>0</v>
      </c>
      <c r="AF440" s="434"/>
      <c r="AG440" s="434">
        <f>IF(Ruimtestaat[[#This Row],[Frequentie weekend]]&gt;0,VALUE(LEFT(AF440,1))*S440,0)</f>
        <v>0</v>
      </c>
      <c r="AH440" s="445">
        <f>IF($AG440&gt;0,VLOOKUP($J440,Ruimtegroepen[],3,FALSE)*VLOOKUP($L440,Vloersoorten[],3,FALSE)*VLOOKUP($AF440,Frequenties[],3,FALSE)*VLOOKUP(Ruimtestaat[[#This Row],[Code]],Locaties[],3,FALSE),0)</f>
        <v>0</v>
      </c>
      <c r="AI440" s="445">
        <f>Ruimtestaat[[#This Row],[Uitvoeringen weekend]]*Ruimtestaat[[#This Row],[Oppervlak (netto)]]</f>
        <v>0</v>
      </c>
      <c r="AJ440" s="445">
        <f>IF(AH440&gt;0,Ruimtestaat[[#This Row],[Prest. (m2 /jaar) weekend]]/Ruimtestaat[[#This Row],[Norm (m2/uur) weekend]],0)</f>
        <v>0</v>
      </c>
      <c r="AK440" s="444">
        <f>Ruimtestaat[[#This Row],[uren / jaar weekend]]*Tariefsopbouw!$D$40</f>
        <v>0</v>
      </c>
      <c r="AL440" s="441">
        <f>Ruimtestaat[[#This Row],[Prest. (m2 /jaar) weekend]]+Ruimtestaat[[#This Row],[Prest. (m2 /jaar) werkdagen]]</f>
        <v>8204</v>
      </c>
      <c r="AM440" s="441">
        <f>Ruimtestaat[[#This Row],[uren / jaar weekend]]+Ruimtestaat[[#This Row],[uren / jaar werkdagen]]</f>
        <v>0</v>
      </c>
      <c r="AN440" s="446">
        <f>Ruimtestaat[[#This Row],[kosten / jaar weekend]]+Ruimtestaat[[#This Row],[kosten / jaar werkdagen]]</f>
        <v>0</v>
      </c>
      <c r="AO440" s="446"/>
      <c r="AP440" s="447" t="str">
        <f>IF(Ruimtestaat[[#This Row],[Frequentie werkdagen]]="","",_xlfn.CONCAT(Ruimtestaat[[#This Row],[Ruimte code]],"-",Ruimtestaat[[#This Row],[Frequentie werkdagen]]," ",Ruimtestaat[[#This Row],[Vloer code]]))</f>
        <v>17-5w S</v>
      </c>
      <c r="AQ440" s="448" t="str">
        <f>_xlfn.IFNA(VLOOKUP($AP440,Programma!$F$3:$G$1101,2,0),"")</f>
        <v>_</v>
      </c>
      <c r="AR440" s="448" t="str">
        <f>_xlfn.IFNA(VLOOKUP($AP440,Programma!$F$3:$H$1101,3,0),"")</f>
        <v>_</v>
      </c>
      <c r="AS440" s="448" t="str">
        <f>_xlfn.IFNA(VLOOKUP($AP440,Programma!$F$3:$I$1101,4,0),"")</f>
        <v>4w</v>
      </c>
      <c r="AT440" s="448" t="str">
        <f>_xlfn.IFNA(VLOOKUP($AP440,Programma!$F$3:$J$1101,5,0),"")</f>
        <v>1w</v>
      </c>
      <c r="AU440" s="448" t="str">
        <f>_xlfn.IFNA(VLOOKUP($AP440,Programma!$F$3:$K$1101,6,0),"")</f>
        <v>4j</v>
      </c>
      <c r="AV440" s="448" t="str">
        <f>_xlfn.IFNA(VLOOKUP($AP440,Programma!$F$3:$L$1101,7,0),"")</f>
        <v>_</v>
      </c>
      <c r="AW440" s="448" t="str">
        <f>_xlfn.IFNA(VLOOKUP($AP440,Programma!$F$3:$M$1101,8,0),"")</f>
        <v>_</v>
      </c>
      <c r="AX440" s="448" t="str">
        <f>_xlfn.IFNA(VLOOKUP($AP440,Programma!$F$3:$N$1101,9,0),"")</f>
        <v>_</v>
      </c>
      <c r="AY440" s="448" t="str">
        <f>_xlfn.IFNA(VLOOKUP($AP440,Programma!$F$3:$O$1101,10,0),"")</f>
        <v>5w</v>
      </c>
      <c r="AZ440" s="448" t="str">
        <f>_xlfn.IFNA(VLOOKUP($AP440,Programma!$F$3:$P$1101,11,0),"")</f>
        <v>5w</v>
      </c>
      <c r="BA440" s="448" t="str">
        <f>_xlfn.IFNA(VLOOKUP($AP440,Programma!$F$3:$Q$1101,12,0),"")</f>
        <v>1w</v>
      </c>
      <c r="BB440" s="448" t="str">
        <f>_xlfn.IFNA(VLOOKUP($AP440,Programma!$F$3:$R$1101,13,0),"")</f>
        <v>1w</v>
      </c>
      <c r="BC440" s="448" t="str">
        <f>_xlfn.IFNA(VLOOKUP($AP440,Programma!$F$3:$S$1101,14,0),"")</f>
        <v>1m</v>
      </c>
      <c r="BD440" s="448" t="str">
        <f>_xlfn.IFNA(VLOOKUP($AP440,Programma!$F$3:$T$1101,15,0),"")</f>
        <v>2j</v>
      </c>
      <c r="BE440" s="448" t="str">
        <f>_xlfn.IFNA(VLOOKUP($AP440,Programma!$F$3:$U$1101,16,0),"")</f>
        <v>1j</v>
      </c>
      <c r="BF440" s="448" t="str">
        <f>_xlfn.IFNA(VLOOKUP($AP440,Programma!$F$3:$V$1101,17,0),"")</f>
        <v>_</v>
      </c>
      <c r="BG440" s="448" t="str">
        <f>_xlfn.IFNA(VLOOKUP($AP440,Programma!$F$3:$W$1101,18,0),"")</f>
        <v>_</v>
      </c>
      <c r="BH440" s="448" t="str">
        <f>_xlfn.IFNA(VLOOKUP($AP440,Programma!$F$3:$X$1101,19,0),"")</f>
        <v>_</v>
      </c>
      <c r="BI440" s="448" t="str">
        <f>_xlfn.IFNA(VLOOKUP($AP440,Programma!$F$3:$Y$1101,20,0),"")</f>
        <v>_</v>
      </c>
      <c r="BJ440" s="449"/>
      <c r="BK440" s="447" t="str">
        <f>IF(Ruimtestaat[[#This Row],[Frequentie weekend]]="","",_xlfn.CONCAT(Ruimtestaat[[#This Row],[Ruimte code]],"-",Ruimtestaat[[#This Row],[Frequentie weekend]]," ",Ruimtestaat[[#This Row],[Vloer code]]))</f>
        <v/>
      </c>
      <c r="BL440" s="448" t="str">
        <f>_xlfn.IFNA(VLOOKUP($BK440,Programma!$F$3:$G$1101,2,0),"")</f>
        <v/>
      </c>
      <c r="BM440" s="448" t="str">
        <f>_xlfn.IFNA(VLOOKUP($BK440,Programma!$F$3:$H$1101,3,0),"")</f>
        <v/>
      </c>
      <c r="BN440" s="448" t="str">
        <f>_xlfn.IFNA(VLOOKUP($BK440,Programma!$F$3:$I$1101,4,0),"")</f>
        <v/>
      </c>
      <c r="BO440" s="448" t="str">
        <f>_xlfn.IFNA(VLOOKUP($BK440,Programma!$F$3:$J$1101,5,0),"")</f>
        <v/>
      </c>
      <c r="BP440" s="448" t="str">
        <f>_xlfn.IFNA(VLOOKUP($BK440,Programma!$F$3:$K$1101,6,0),"")</f>
        <v/>
      </c>
      <c r="BQ440" s="448" t="str">
        <f>_xlfn.IFNA(VLOOKUP($BK440,Programma!$F$3:$L$1101,7,0),"")</f>
        <v/>
      </c>
      <c r="BR440" s="448" t="str">
        <f>_xlfn.IFNA(VLOOKUP($BK440,Programma!$F$3:$M$1101,8,0),"")</f>
        <v/>
      </c>
      <c r="BS440" s="448" t="str">
        <f>_xlfn.IFNA(VLOOKUP($BK440,Programma!$F$3:$N$1101,9,0),"")</f>
        <v/>
      </c>
      <c r="BT440" s="448" t="str">
        <f>_xlfn.IFNA(VLOOKUP($BK440,Programma!$F$3:$O$1101,10,0),"")</f>
        <v/>
      </c>
      <c r="BU440" s="448" t="str">
        <f>_xlfn.IFNA(VLOOKUP($BK440,Programma!$F$3:$P$1101,11,0),"")</f>
        <v/>
      </c>
      <c r="BV440" s="448" t="str">
        <f>_xlfn.IFNA(VLOOKUP($BK440,Programma!$F$3:$Q$1101,12,0),"")</f>
        <v/>
      </c>
      <c r="BW440" s="448" t="str">
        <f>_xlfn.IFNA(VLOOKUP($BK440,Programma!$F$3:$R$1101,13,0),"")</f>
        <v/>
      </c>
      <c r="BX440" s="448" t="str">
        <f>_xlfn.IFNA(VLOOKUP($BK440,Programma!$F$3:$S$1101,14,0),"")</f>
        <v/>
      </c>
      <c r="BY440" s="448" t="str">
        <f>_xlfn.IFNA(VLOOKUP($BK440,Programma!$F$3:$T$1101,15,0),"")</f>
        <v/>
      </c>
      <c r="BZ440" s="448" t="str">
        <f>_xlfn.IFNA(VLOOKUP($BK440,Programma!$F$3:$U$1101,16,0),"")</f>
        <v/>
      </c>
      <c r="CA440" s="448" t="str">
        <f>_xlfn.IFNA(VLOOKUP($BK440,Programma!$F$3:$V$1101,17,0),"")</f>
        <v/>
      </c>
      <c r="CB440" s="448" t="str">
        <f>_xlfn.IFNA(VLOOKUP($BK440,Programma!$F$3:$W$1101,18,0),"")</f>
        <v/>
      </c>
      <c r="CC440" s="448" t="str">
        <f>_xlfn.IFNA(VLOOKUP($BK440,Programma!$F$3:$X$1101,19,0),"")</f>
        <v/>
      </c>
      <c r="CD440" s="448" t="str">
        <f>_xlfn.IFNA(VLOOKUP($BK440,Programma!$F$3:$Y$1101,20,0),"")</f>
        <v/>
      </c>
      <c r="CE440" s="327"/>
      <c r="CF440" s="327"/>
      <c r="CG440" s="327"/>
      <c r="CH440" s="327"/>
      <c r="CI440" s="327"/>
      <c r="CJ440" s="327"/>
      <c r="CK440" s="327"/>
      <c r="CL440" s="327"/>
      <c r="CM440" s="327"/>
      <c r="CN440" s="327"/>
      <c r="CO440" s="327"/>
      <c r="CP440" s="327"/>
      <c r="CQ440" s="327"/>
      <c r="CR440" s="327"/>
      <c r="CS440" s="327"/>
      <c r="CT440" s="327"/>
      <c r="CU440" s="327"/>
      <c r="CV440" s="327"/>
      <c r="CW440" s="327"/>
      <c r="CX440" s="327"/>
      <c r="CY440" s="327"/>
      <c r="CZ440" s="327"/>
      <c r="DA440" s="327"/>
      <c r="DB440" s="327"/>
      <c r="DC440" s="327"/>
      <c r="DD440" s="327"/>
      <c r="DE440" s="327"/>
      <c r="DF440" s="327"/>
      <c r="DG440" s="327"/>
      <c r="DH440" s="327"/>
      <c r="DI440" s="327"/>
      <c r="DJ440" s="327"/>
      <c r="DK440" s="327"/>
      <c r="DL440" s="327"/>
      <c r="DM440" s="327"/>
      <c r="DN440" s="327"/>
      <c r="DO440" s="327"/>
      <c r="DP440" s="327"/>
      <c r="DQ440" s="327"/>
      <c r="DR440" s="327"/>
      <c r="DS440" s="327"/>
      <c r="DT440" s="327"/>
      <c r="DU440" s="327"/>
      <c r="DV440" s="327"/>
      <c r="DW440" s="327"/>
      <c r="DX440" s="327"/>
      <c r="DY440" s="327"/>
      <c r="DZ440" s="327"/>
      <c r="EA440" s="327"/>
      <c r="EB440" s="327"/>
      <c r="EC440" s="327"/>
      <c r="ED440" s="327"/>
      <c r="EE440" s="327"/>
      <c r="EF440" s="327"/>
      <c r="EG440" s="327"/>
      <c r="EH440" s="327"/>
      <c r="EI440" s="327"/>
      <c r="EJ440" s="327"/>
      <c r="EK440" s="327"/>
      <c r="EL440" s="327"/>
      <c r="EM440" s="327"/>
      <c r="EN440" s="327"/>
      <c r="EO440" s="327"/>
      <c r="EP440" s="327"/>
      <c r="EQ440" s="327"/>
      <c r="ER440" s="327"/>
      <c r="ES440" s="327"/>
      <c r="ET440" s="327"/>
      <c r="EU440" s="327"/>
      <c r="EV440" s="327"/>
      <c r="EW440" s="327"/>
      <c r="EX440" s="327"/>
      <c r="EY440" s="327"/>
      <c r="EZ440" s="327"/>
      <c r="FA440" s="327"/>
      <c r="FB440" s="327"/>
      <c r="FC440" s="327"/>
      <c r="FD440" s="327"/>
      <c r="FE440" s="327"/>
      <c r="FF440" s="327"/>
      <c r="FG440" s="327"/>
      <c r="FH440" s="327"/>
      <c r="FI440" s="327"/>
      <c r="FJ440" s="327"/>
      <c r="FK440" s="327"/>
      <c r="FL440" s="327"/>
      <c r="FM440" s="327"/>
      <c r="FN440" s="327"/>
      <c r="FO440" s="327"/>
      <c r="FP440" s="327"/>
      <c r="FQ440" s="327"/>
      <c r="FR440" s="327"/>
      <c r="FS440" s="327"/>
      <c r="FT440" s="327"/>
      <c r="FU440" s="327"/>
      <c r="FV440" s="327"/>
      <c r="FW440" s="327"/>
      <c r="FX440" s="327"/>
      <c r="FY440" s="327"/>
      <c r="FZ440" s="327"/>
      <c r="GA440" s="327"/>
      <c r="GB440" s="327"/>
      <c r="GC440" s="327"/>
      <c r="GD440" s="327"/>
      <c r="GE440" s="327"/>
      <c r="GF440" s="327"/>
      <c r="GG440" s="327"/>
      <c r="GH440" s="327"/>
      <c r="GI440" s="327"/>
      <c r="GJ440" s="327"/>
      <c r="GK440" s="327"/>
      <c r="GL440" s="327"/>
      <c r="GM440" s="327"/>
      <c r="GN440" s="327"/>
      <c r="GO440" s="327"/>
      <c r="GP440" s="327"/>
      <c r="GQ440" s="327"/>
      <c r="GR440" s="327"/>
      <c r="GS440" s="327"/>
      <c r="GT440" s="327"/>
      <c r="GU440" s="327"/>
      <c r="GV440" s="327"/>
      <c r="GW440" s="327"/>
      <c r="GX440" s="327"/>
      <c r="GY440" s="327"/>
      <c r="GZ440" s="327"/>
      <c r="HA440" s="327"/>
      <c r="HB440" s="327"/>
      <c r="HC440" s="327"/>
      <c r="HD440" s="327"/>
      <c r="HE440" s="327"/>
      <c r="HF440" s="327"/>
      <c r="HG440" s="327"/>
      <c r="HH440" s="327"/>
      <c r="HI440" s="327"/>
      <c r="HJ440" s="327"/>
      <c r="HK440" s="327"/>
      <c r="HL440" s="327"/>
      <c r="HM440" s="327"/>
      <c r="HN440" s="327"/>
      <c r="HO440" s="327"/>
      <c r="HP440" s="327"/>
      <c r="HQ440" s="327"/>
      <c r="HR440" s="327"/>
      <c r="HS440" s="327"/>
    </row>
    <row r="441" spans="1:227" ht="15" customHeight="1">
      <c r="A441" s="327">
        <v>17</v>
      </c>
      <c r="B441" s="435" t="str">
        <f>VLOOKUP(Ruimtestaat[[#This Row],[Code]],Locaties[[Code]:[Locatie]],2,FALSE)</f>
        <v>IKC de Tjalk Kadelaan 208 (bijgebouw)</v>
      </c>
      <c r="C441" s="435" t="str">
        <f>VLOOKUP(Ruimtestaat[[#This Row],[Code]],Locaties[[#All],[Code]:[Adres]],4,FALSE)</f>
        <v>Kadelaan 208</v>
      </c>
      <c r="D441" s="435" t="str">
        <f>VLOOKUP(Ruimtestaat[[#This Row],[Code]],Locaties[[#All],[Code]:[Postcode]],5,FALSE)</f>
        <v>2725 BR</v>
      </c>
      <c r="E441" s="435" t="str">
        <f>VLOOKUP(Ruimtestaat[[#This Row],[Code]],Locaties[#All],6,FALSE)</f>
        <v>Zoetermeer</v>
      </c>
      <c r="F441" s="450"/>
      <c r="G441" s="330" t="s">
        <v>1678</v>
      </c>
      <c r="I441" s="450" t="s">
        <v>1773</v>
      </c>
      <c r="J441" s="330">
        <v>10</v>
      </c>
      <c r="K441" s="450" t="str">
        <f>VLOOKUP(Ruimtestaat[[#This Row],[Ruimte code]],Ruimtegroepen[[#All],[Code]:[Ruimte omschrijving]],2,FALSE)</f>
        <v>Trappenhuizen/lift</v>
      </c>
      <c r="L441" s="434" t="s">
        <v>101</v>
      </c>
      <c r="M441" s="437" t="s">
        <v>1816</v>
      </c>
      <c r="N441" s="439">
        <v>10</v>
      </c>
      <c r="O441" s="439"/>
      <c r="P441" s="439"/>
      <c r="Q441" s="439"/>
      <c r="R441" s="440" t="str">
        <f>VLOOKUP(Ruimtestaat[[#This Row],[Ruimte code]],Ruimtegroepen[],4,FALSE)</f>
        <v>Ve</v>
      </c>
      <c r="S441" s="434">
        <v>41</v>
      </c>
      <c r="T441" s="434" t="s">
        <v>2</v>
      </c>
      <c r="U441" s="434">
        <f>IF(S441&gt;0,IF(RIGHT(Ruimtestaat[[#This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41" s="434">
        <f>IF(U441&gt;0,VLOOKUP($J441,Ruimtegroepen[],3,FALSE)*VLOOKUP($L441,Vloersoorten[],3,FALSE)*VLOOKUP($T441,Frequenties[],3,FALSE)*VLOOKUP($A441,Locaties[],3,FALSE),0)</f>
        <v>0</v>
      </c>
      <c r="W441" s="434">
        <f>Ruimtestaat[[#This Row],[Uitvoeringen werkdagen]]*Ruimtestaat[[#This Row],[Oppervlak (netto)]]</f>
        <v>2050</v>
      </c>
      <c r="X441" s="441">
        <f>IF(V441&gt;0,Ruimtestaat[[#This Row],[Prest. (m2 /jaar) werkdagen]]/Ruimtestaat[[#This Row],[Norm (m2/uur) werkdagen]],0)</f>
        <v>0</v>
      </c>
      <c r="Y441" s="442">
        <f>Ruimtestaat[[#This Row],[Uitvoeringen werkdagen]]*Ruimtestaat[[#This Row],[Gedeeltelijk]]</f>
        <v>0</v>
      </c>
      <c r="Z441" s="443" t="e">
        <f>IF(U441&gt;0,Ruimtestaat[[#This Row],[Prest. (m2 / jaar) werkdagen gedeeld]]/Ruimtestaat[[#This Row],[Norm (m2/uur) werkdagen]],0)</f>
        <v>#DIV/0!</v>
      </c>
      <c r="AA441" s="441" t="e">
        <f>Ruimtestaat[[#This Row],[uren / jaar werkdagen gedeeld]]*Tariefsopbouw!$E$35</f>
        <v>#DIV/0!</v>
      </c>
      <c r="AB441" s="441">
        <f>Ruimtestaat[[#This Row],[Uitvoeringen werkdagen]]*Ruimtestaat[[#This Row],[BSO]]</f>
        <v>0</v>
      </c>
      <c r="AC441" s="443" t="e">
        <f>IF(U441&gt;0,Ruimtestaat[[#This Row],[Prest. (m2 / jaar) werkdagen BSO]]/Ruimtestaat[[#This Row],[Norm (m2/uur) werkdagen]],0)</f>
        <v>#DIV/0!</v>
      </c>
      <c r="AD441" s="443" t="e">
        <f>Ruimtestaat[[#This Row],[uren / jaar werkdagen BSO]]*Tariefsopbouw!$E$35</f>
        <v>#DIV/0!</v>
      </c>
      <c r="AE441" s="444">
        <f>Ruimtestaat[[#This Row],[uren / jaar werkdagen]]*Tariefsopbouw!$E$35</f>
        <v>0</v>
      </c>
      <c r="AF441" s="434"/>
      <c r="AG441" s="434">
        <f>IF(Ruimtestaat[[#This Row],[Frequentie weekend]]&gt;0,VALUE(LEFT(AF441,1))*S441,0)</f>
        <v>0</v>
      </c>
      <c r="AH441" s="445">
        <f>IF($AG441&gt;0,VLOOKUP($J441,Ruimtegroepen[],3,FALSE)*VLOOKUP($L441,Vloersoorten[],3,FALSE)*VLOOKUP($AF441,Frequenties[],3,FALSE)*VLOOKUP(Ruimtestaat[[#This Row],[Code]],Locaties[],3,FALSE),0)</f>
        <v>0</v>
      </c>
      <c r="AI441" s="445">
        <f>Ruimtestaat[[#This Row],[Uitvoeringen weekend]]*Ruimtestaat[[#This Row],[Oppervlak (netto)]]</f>
        <v>0</v>
      </c>
      <c r="AJ441" s="445">
        <f>IF(AH441&gt;0,Ruimtestaat[[#This Row],[Prest. (m2 /jaar) weekend]]/Ruimtestaat[[#This Row],[Norm (m2/uur) weekend]],0)</f>
        <v>0</v>
      </c>
      <c r="AK441" s="444">
        <f>Ruimtestaat[[#This Row],[uren / jaar weekend]]*Tariefsopbouw!$D$40</f>
        <v>0</v>
      </c>
      <c r="AL441" s="441">
        <f>Ruimtestaat[[#This Row],[Prest. (m2 /jaar) weekend]]+Ruimtestaat[[#This Row],[Prest. (m2 /jaar) werkdagen]]</f>
        <v>2050</v>
      </c>
      <c r="AM441" s="441">
        <f>Ruimtestaat[[#This Row],[uren / jaar weekend]]+Ruimtestaat[[#This Row],[uren / jaar werkdagen]]</f>
        <v>0</v>
      </c>
      <c r="AN441" s="446">
        <f>Ruimtestaat[[#This Row],[kosten / jaar weekend]]+Ruimtestaat[[#This Row],[kosten / jaar werkdagen]]</f>
        <v>0</v>
      </c>
      <c r="AO441" s="446"/>
      <c r="AP441" s="447" t="str">
        <f>IF(Ruimtestaat[[#This Row],[Frequentie werkdagen]]="","",_xlfn.CONCAT(Ruimtestaat[[#This Row],[Ruimte code]],"-",Ruimtestaat[[#This Row],[Frequentie werkdagen]]," ",Ruimtestaat[[#This Row],[Vloer code]]))</f>
        <v>10-5w S</v>
      </c>
      <c r="AQ441" s="448" t="str">
        <f>_xlfn.IFNA(VLOOKUP($AP441,Programma!$F$3:$G$1101,2,0),"")</f>
        <v>_</v>
      </c>
      <c r="AR441" s="448" t="str">
        <f>_xlfn.IFNA(VLOOKUP($AP441,Programma!$F$3:$H$1101,3,0),"")</f>
        <v>_</v>
      </c>
      <c r="AS441" s="448" t="str">
        <f>_xlfn.IFNA(VLOOKUP($AP441,Programma!$F$3:$I$1101,4,0),"")</f>
        <v>4w</v>
      </c>
      <c r="AT441" s="448" t="str">
        <f>_xlfn.IFNA(VLOOKUP($AP441,Programma!$F$3:$J$1101,5,0),"")</f>
        <v>1w</v>
      </c>
      <c r="AU441" s="448" t="str">
        <f>_xlfn.IFNA(VLOOKUP($AP441,Programma!$F$3:$K$1101,6,0),"")</f>
        <v>4j</v>
      </c>
      <c r="AV441" s="448" t="str">
        <f>_xlfn.IFNA(VLOOKUP($AP441,Programma!$F$3:$L$1101,7,0),"")</f>
        <v>_</v>
      </c>
      <c r="AW441" s="448" t="str">
        <f>_xlfn.IFNA(VLOOKUP($AP441,Programma!$F$3:$M$1101,8,0),"")</f>
        <v>_</v>
      </c>
      <c r="AX441" s="448" t="str">
        <f>_xlfn.IFNA(VLOOKUP($AP441,Programma!$F$3:$N$1101,9,0),"")</f>
        <v>_</v>
      </c>
      <c r="AY441" s="448" t="str">
        <f>_xlfn.IFNA(VLOOKUP($AP441,Programma!$F$3:$O$1101,10,0),"")</f>
        <v>5w</v>
      </c>
      <c r="AZ441" s="448" t="str">
        <f>_xlfn.IFNA(VLOOKUP($AP441,Programma!$F$3:$P$1101,11,0),"")</f>
        <v>5w</v>
      </c>
      <c r="BA441" s="448" t="str">
        <f>_xlfn.IFNA(VLOOKUP($AP441,Programma!$F$3:$Q$1101,12,0),"")</f>
        <v>1w</v>
      </c>
      <c r="BB441" s="448" t="str">
        <f>_xlfn.IFNA(VLOOKUP($AP441,Programma!$F$3:$R$1101,13,0),"")</f>
        <v>1w</v>
      </c>
      <c r="BC441" s="448" t="str">
        <f>_xlfn.IFNA(VLOOKUP($AP441,Programma!$F$3:$S$1101,14,0),"")</f>
        <v>1m</v>
      </c>
      <c r="BD441" s="448" t="str">
        <f>_xlfn.IFNA(VLOOKUP($AP441,Programma!$F$3:$T$1101,15,0),"")</f>
        <v>2j</v>
      </c>
      <c r="BE441" s="448" t="str">
        <f>_xlfn.IFNA(VLOOKUP($AP441,Programma!$F$3:$U$1101,16,0),"")</f>
        <v>1j</v>
      </c>
      <c r="BF441" s="448" t="str">
        <f>_xlfn.IFNA(VLOOKUP($AP441,Programma!$F$3:$V$1101,17,0),"")</f>
        <v>_</v>
      </c>
      <c r="BG441" s="448" t="str">
        <f>_xlfn.IFNA(VLOOKUP($AP441,Programma!$F$3:$W$1101,18,0),"")</f>
        <v>_</v>
      </c>
      <c r="BH441" s="448" t="str">
        <f>_xlfn.IFNA(VLOOKUP($AP441,Programma!$F$3:$X$1101,19,0),"")</f>
        <v>_</v>
      </c>
      <c r="BI441" s="448" t="str">
        <f>_xlfn.IFNA(VLOOKUP($AP441,Programma!$F$3:$Y$1101,20,0),"")</f>
        <v>_</v>
      </c>
      <c r="BJ441" s="449"/>
      <c r="BK441" s="447" t="str">
        <f>IF(Ruimtestaat[[#This Row],[Frequentie weekend]]="","",_xlfn.CONCAT(Ruimtestaat[[#This Row],[Ruimte code]],"-",Ruimtestaat[[#This Row],[Frequentie weekend]]," ",Ruimtestaat[[#This Row],[Vloer code]]))</f>
        <v/>
      </c>
      <c r="BL441" s="448" t="str">
        <f>_xlfn.IFNA(VLOOKUP($BK441,Programma!$F$3:$G$1101,2,0),"")</f>
        <v/>
      </c>
      <c r="BM441" s="448" t="str">
        <f>_xlfn.IFNA(VLOOKUP($BK441,Programma!$F$3:$H$1101,3,0),"")</f>
        <v/>
      </c>
      <c r="BN441" s="448" t="str">
        <f>_xlfn.IFNA(VLOOKUP($BK441,Programma!$F$3:$I$1101,4,0),"")</f>
        <v/>
      </c>
      <c r="BO441" s="448" t="str">
        <f>_xlfn.IFNA(VLOOKUP($BK441,Programma!$F$3:$J$1101,5,0),"")</f>
        <v/>
      </c>
      <c r="BP441" s="448" t="str">
        <f>_xlfn.IFNA(VLOOKUP($BK441,Programma!$F$3:$K$1101,6,0),"")</f>
        <v/>
      </c>
      <c r="BQ441" s="448" t="str">
        <f>_xlfn.IFNA(VLOOKUP($BK441,Programma!$F$3:$L$1101,7,0),"")</f>
        <v/>
      </c>
      <c r="BR441" s="448" t="str">
        <f>_xlfn.IFNA(VLOOKUP($BK441,Programma!$F$3:$M$1101,8,0),"")</f>
        <v/>
      </c>
      <c r="BS441" s="448" t="str">
        <f>_xlfn.IFNA(VLOOKUP($BK441,Programma!$F$3:$N$1101,9,0),"")</f>
        <v/>
      </c>
      <c r="BT441" s="448" t="str">
        <f>_xlfn.IFNA(VLOOKUP($BK441,Programma!$F$3:$O$1101,10,0),"")</f>
        <v/>
      </c>
      <c r="BU441" s="448" t="str">
        <f>_xlfn.IFNA(VLOOKUP($BK441,Programma!$F$3:$P$1101,11,0),"")</f>
        <v/>
      </c>
      <c r="BV441" s="448" t="str">
        <f>_xlfn.IFNA(VLOOKUP($BK441,Programma!$F$3:$Q$1101,12,0),"")</f>
        <v/>
      </c>
      <c r="BW441" s="448" t="str">
        <f>_xlfn.IFNA(VLOOKUP($BK441,Programma!$F$3:$R$1101,13,0),"")</f>
        <v/>
      </c>
      <c r="BX441" s="448" t="str">
        <f>_xlfn.IFNA(VLOOKUP($BK441,Programma!$F$3:$S$1101,14,0),"")</f>
        <v/>
      </c>
      <c r="BY441" s="448" t="str">
        <f>_xlfn.IFNA(VLOOKUP($BK441,Programma!$F$3:$T$1101,15,0),"")</f>
        <v/>
      </c>
      <c r="BZ441" s="448" t="str">
        <f>_xlfn.IFNA(VLOOKUP($BK441,Programma!$F$3:$U$1101,16,0),"")</f>
        <v/>
      </c>
      <c r="CA441" s="448" t="str">
        <f>_xlfn.IFNA(VLOOKUP($BK441,Programma!$F$3:$V$1101,17,0),"")</f>
        <v/>
      </c>
      <c r="CB441" s="448" t="str">
        <f>_xlfn.IFNA(VLOOKUP($BK441,Programma!$F$3:$W$1101,18,0),"")</f>
        <v/>
      </c>
      <c r="CC441" s="448" t="str">
        <f>_xlfn.IFNA(VLOOKUP($BK441,Programma!$F$3:$X$1101,19,0),"")</f>
        <v/>
      </c>
      <c r="CD441" s="448" t="str">
        <f>_xlfn.IFNA(VLOOKUP($BK441,Programma!$F$3:$Y$1101,20,0),"")</f>
        <v/>
      </c>
      <c r="CE441" s="327"/>
      <c r="CF441" s="327"/>
      <c r="CG441" s="327"/>
      <c r="CH441" s="327"/>
      <c r="CI441" s="327"/>
      <c r="CJ441" s="327"/>
      <c r="CK441" s="327"/>
      <c r="CL441" s="327"/>
      <c r="CM441" s="327"/>
      <c r="CN441" s="327"/>
      <c r="CO441" s="327"/>
      <c r="CP441" s="327"/>
      <c r="CQ441" s="327"/>
      <c r="CR441" s="327"/>
      <c r="CS441" s="327"/>
      <c r="CT441" s="327"/>
      <c r="CU441" s="327"/>
      <c r="CV441" s="327"/>
      <c r="CW441" s="327"/>
      <c r="CX441" s="327"/>
      <c r="CY441" s="327"/>
      <c r="CZ441" s="327"/>
      <c r="DA441" s="327"/>
      <c r="DB441" s="327"/>
      <c r="DC441" s="327"/>
      <c r="DD441" s="327"/>
      <c r="DE441" s="327"/>
      <c r="DF441" s="327"/>
      <c r="DG441" s="327"/>
      <c r="DH441" s="327"/>
      <c r="DI441" s="327"/>
      <c r="DJ441" s="327"/>
      <c r="DK441" s="327"/>
      <c r="DL441" s="327"/>
      <c r="DM441" s="327"/>
      <c r="DN441" s="327"/>
      <c r="DO441" s="327"/>
      <c r="DP441" s="327"/>
      <c r="DQ441" s="327"/>
      <c r="DR441" s="327"/>
      <c r="DS441" s="327"/>
      <c r="DT441" s="327"/>
      <c r="DU441" s="327"/>
      <c r="DV441" s="327"/>
      <c r="DW441" s="327"/>
      <c r="DX441" s="327"/>
      <c r="DY441" s="327"/>
      <c r="DZ441" s="327"/>
      <c r="EA441" s="327"/>
      <c r="EB441" s="327"/>
      <c r="EC441" s="327"/>
      <c r="ED441" s="327"/>
      <c r="EE441" s="327"/>
      <c r="EF441" s="327"/>
      <c r="EG441" s="327"/>
      <c r="EH441" s="327"/>
      <c r="EI441" s="327"/>
      <c r="EJ441" s="327"/>
      <c r="EK441" s="327"/>
      <c r="EL441" s="327"/>
      <c r="EM441" s="327"/>
      <c r="EN441" s="327"/>
      <c r="EO441" s="327"/>
      <c r="EP441" s="327"/>
      <c r="EQ441" s="327"/>
      <c r="ER441" s="327"/>
      <c r="ES441" s="327"/>
      <c r="ET441" s="327"/>
      <c r="EU441" s="327"/>
      <c r="EV441" s="327"/>
      <c r="EW441" s="327"/>
      <c r="EX441" s="327"/>
      <c r="EY441" s="327"/>
      <c r="EZ441" s="327"/>
      <c r="FA441" s="327"/>
      <c r="FB441" s="327"/>
      <c r="FC441" s="327"/>
      <c r="FD441" s="327"/>
      <c r="FE441" s="327"/>
      <c r="FF441" s="327"/>
      <c r="FG441" s="327"/>
      <c r="FH441" s="327"/>
      <c r="FI441" s="327"/>
      <c r="FJ441" s="327"/>
      <c r="FK441" s="327"/>
      <c r="FL441" s="327"/>
      <c r="FM441" s="327"/>
      <c r="FN441" s="327"/>
      <c r="FO441" s="327"/>
      <c r="FP441" s="327"/>
      <c r="FQ441" s="327"/>
      <c r="FR441" s="327"/>
      <c r="FS441" s="327"/>
      <c r="FT441" s="327"/>
      <c r="FU441" s="327"/>
      <c r="FV441" s="327"/>
      <c r="FW441" s="327"/>
      <c r="FX441" s="327"/>
      <c r="FY441" s="327"/>
      <c r="FZ441" s="327"/>
      <c r="GA441" s="327"/>
      <c r="GB441" s="327"/>
      <c r="GC441" s="327"/>
      <c r="GD441" s="327"/>
      <c r="GE441" s="327"/>
      <c r="GF441" s="327"/>
      <c r="GG441" s="327"/>
      <c r="GH441" s="327"/>
      <c r="GI441" s="327"/>
      <c r="GJ441" s="327"/>
      <c r="GK441" s="327"/>
      <c r="GL441" s="327"/>
      <c r="GM441" s="327"/>
      <c r="GN441" s="327"/>
      <c r="GO441" s="327"/>
      <c r="GP441" s="327"/>
      <c r="GQ441" s="327"/>
      <c r="GR441" s="327"/>
      <c r="GS441" s="327"/>
      <c r="GT441" s="327"/>
      <c r="GU441" s="327"/>
      <c r="GV441" s="327"/>
      <c r="GW441" s="327"/>
      <c r="GX441" s="327"/>
      <c r="GY441" s="327"/>
      <c r="GZ441" s="327"/>
      <c r="HA441" s="327"/>
      <c r="HB441" s="327"/>
      <c r="HC441" s="327"/>
      <c r="HD441" s="327"/>
      <c r="HE441" s="327"/>
      <c r="HF441" s="327"/>
      <c r="HG441" s="327"/>
      <c r="HH441" s="327"/>
      <c r="HI441" s="327"/>
      <c r="HJ441" s="327"/>
      <c r="HK441" s="327"/>
      <c r="HL441" s="327"/>
      <c r="HM441" s="327"/>
      <c r="HN441" s="327"/>
      <c r="HO441" s="327"/>
      <c r="HP441" s="327"/>
      <c r="HQ441" s="327"/>
      <c r="HR441" s="327"/>
      <c r="HS441" s="327"/>
    </row>
    <row r="442" spans="1:227" ht="15" customHeight="1">
      <c r="A442" s="327">
        <v>17</v>
      </c>
      <c r="B442" s="435" t="str">
        <f>VLOOKUP(Ruimtestaat[[#This Row],[Code]],Locaties[[Code]:[Locatie]],2,FALSE)</f>
        <v>IKC de Tjalk Kadelaan 208 (bijgebouw)</v>
      </c>
      <c r="C442" s="435" t="str">
        <f>VLOOKUP(Ruimtestaat[[#This Row],[Code]],Locaties[[#All],[Code]:[Adres]],4,FALSE)</f>
        <v>Kadelaan 208</v>
      </c>
      <c r="D442" s="435" t="str">
        <f>VLOOKUP(Ruimtestaat[[#This Row],[Code]],Locaties[[#All],[Code]:[Postcode]],5,FALSE)</f>
        <v>2725 BR</v>
      </c>
      <c r="E442" s="435" t="str">
        <f>VLOOKUP(Ruimtestaat[[#This Row],[Code]],Locaties[#All],6,FALSE)</f>
        <v>Zoetermeer</v>
      </c>
      <c r="F442" s="450"/>
      <c r="G442" s="330" t="s">
        <v>1769</v>
      </c>
      <c r="H442" s="330">
        <v>105</v>
      </c>
      <c r="I442" s="450" t="s">
        <v>1842</v>
      </c>
      <c r="J442" s="330">
        <v>16</v>
      </c>
      <c r="K442" s="450" t="str">
        <f>VLOOKUP(Ruimtestaat[[#This Row],[Ruimte code]],Ruimtegroepen[[#All],[Code]:[Ruimte omschrijving]],2,FALSE)</f>
        <v>Leslokalen</v>
      </c>
      <c r="L442" s="434" t="s">
        <v>101</v>
      </c>
      <c r="M442" s="437" t="s">
        <v>1816</v>
      </c>
      <c r="N442" s="439">
        <v>57.67</v>
      </c>
      <c r="O442" s="439"/>
      <c r="P442" s="439"/>
      <c r="Q442" s="439"/>
      <c r="R442" s="440" t="str">
        <f>VLOOKUP(Ruimtestaat[[#This Row],[Ruimte code]],Ruimtegroepen[],4,FALSE)</f>
        <v>Le</v>
      </c>
      <c r="S442" s="434">
        <v>40</v>
      </c>
      <c r="T442" s="434" t="s">
        <v>2</v>
      </c>
      <c r="U442" s="434">
        <f>IF(S442&gt;0,IF(RIGHT(Ruimtestaat[[#This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2" s="434">
        <f>IF(U442&gt;0,VLOOKUP($J442,Ruimtegroepen[],3,FALSE)*VLOOKUP($L442,Vloersoorten[],3,FALSE)*VLOOKUP($T442,Frequenties[],3,FALSE)*VLOOKUP($A442,Locaties[],3,FALSE),0)</f>
        <v>0</v>
      </c>
      <c r="W442" s="434">
        <f>Ruimtestaat[[#This Row],[Uitvoeringen werkdagen]]*Ruimtestaat[[#This Row],[Oppervlak (netto)]]</f>
        <v>11534</v>
      </c>
      <c r="X442" s="441">
        <f>IF(V442&gt;0,Ruimtestaat[[#This Row],[Prest. (m2 /jaar) werkdagen]]/Ruimtestaat[[#This Row],[Norm (m2/uur) werkdagen]],0)</f>
        <v>0</v>
      </c>
      <c r="Y442" s="442">
        <f>Ruimtestaat[[#This Row],[Uitvoeringen werkdagen]]*Ruimtestaat[[#This Row],[Gedeeltelijk]]</f>
        <v>0</v>
      </c>
      <c r="Z442" s="443" t="e">
        <f>IF(U442&gt;0,Ruimtestaat[[#This Row],[Prest. (m2 / jaar) werkdagen gedeeld]]/Ruimtestaat[[#This Row],[Norm (m2/uur) werkdagen]],0)</f>
        <v>#DIV/0!</v>
      </c>
      <c r="AA442" s="441" t="e">
        <f>Ruimtestaat[[#This Row],[uren / jaar werkdagen gedeeld]]*Tariefsopbouw!$E$35</f>
        <v>#DIV/0!</v>
      </c>
      <c r="AB442" s="441">
        <f>Ruimtestaat[[#This Row],[Uitvoeringen werkdagen]]*Ruimtestaat[[#This Row],[BSO]]</f>
        <v>0</v>
      </c>
      <c r="AC442" s="443" t="e">
        <f>IF(U442&gt;0,Ruimtestaat[[#This Row],[Prest. (m2 / jaar) werkdagen BSO]]/Ruimtestaat[[#This Row],[Norm (m2/uur) werkdagen]],0)</f>
        <v>#DIV/0!</v>
      </c>
      <c r="AD442" s="443" t="e">
        <f>Ruimtestaat[[#This Row],[uren / jaar werkdagen BSO]]*Tariefsopbouw!$E$35</f>
        <v>#DIV/0!</v>
      </c>
      <c r="AE442" s="444">
        <f>Ruimtestaat[[#This Row],[uren / jaar werkdagen]]*Tariefsopbouw!$E$35</f>
        <v>0</v>
      </c>
      <c r="AF442" s="434"/>
      <c r="AG442" s="434">
        <f>IF(Ruimtestaat[[#This Row],[Frequentie weekend]]&gt;0,VALUE(LEFT(AF442,1))*S442,0)</f>
        <v>0</v>
      </c>
      <c r="AH442" s="445">
        <f>IF($AG442&gt;0,VLOOKUP($J442,Ruimtegroepen[],3,FALSE)*VLOOKUP($L442,Vloersoorten[],3,FALSE)*VLOOKUP($AF442,Frequenties[],3,FALSE)*VLOOKUP(Ruimtestaat[[#This Row],[Code]],Locaties[],3,FALSE),0)</f>
        <v>0</v>
      </c>
      <c r="AI442" s="445">
        <f>Ruimtestaat[[#This Row],[Uitvoeringen weekend]]*Ruimtestaat[[#This Row],[Oppervlak (netto)]]</f>
        <v>0</v>
      </c>
      <c r="AJ442" s="445">
        <f>IF(AH442&gt;0,Ruimtestaat[[#This Row],[Prest. (m2 /jaar) weekend]]/Ruimtestaat[[#This Row],[Norm (m2/uur) weekend]],0)</f>
        <v>0</v>
      </c>
      <c r="AK442" s="444">
        <f>Ruimtestaat[[#This Row],[uren / jaar weekend]]*Tariefsopbouw!$D$40</f>
        <v>0</v>
      </c>
      <c r="AL442" s="441">
        <f>Ruimtestaat[[#This Row],[Prest. (m2 /jaar) weekend]]+Ruimtestaat[[#This Row],[Prest. (m2 /jaar) werkdagen]]</f>
        <v>11534</v>
      </c>
      <c r="AM442" s="441">
        <f>Ruimtestaat[[#This Row],[uren / jaar weekend]]+Ruimtestaat[[#This Row],[uren / jaar werkdagen]]</f>
        <v>0</v>
      </c>
      <c r="AN442" s="446">
        <f>Ruimtestaat[[#This Row],[kosten / jaar weekend]]+Ruimtestaat[[#This Row],[kosten / jaar werkdagen]]</f>
        <v>0</v>
      </c>
      <c r="AO442" s="446"/>
      <c r="AP442" s="447" t="str">
        <f>IF(Ruimtestaat[[#This Row],[Frequentie werkdagen]]="","",_xlfn.CONCAT(Ruimtestaat[[#This Row],[Ruimte code]],"-",Ruimtestaat[[#This Row],[Frequentie werkdagen]]," ",Ruimtestaat[[#This Row],[Vloer code]]))</f>
        <v>16-5w S</v>
      </c>
      <c r="AQ442" s="448" t="str">
        <f>_xlfn.IFNA(VLOOKUP($AP442,Programma!$F$3:$G$1101,2,0),"")</f>
        <v>_</v>
      </c>
      <c r="AR442" s="448" t="str">
        <f>_xlfn.IFNA(VLOOKUP($AP442,Programma!$F$3:$H$1101,3,0),"")</f>
        <v>_</v>
      </c>
      <c r="AS442" s="448" t="str">
        <f>_xlfn.IFNA(VLOOKUP($AP442,Programma!$F$3:$I$1101,4,0),"")</f>
        <v>4w</v>
      </c>
      <c r="AT442" s="448" t="str">
        <f>_xlfn.IFNA(VLOOKUP($AP442,Programma!$F$3:$J$1101,5,0),"")</f>
        <v>1w</v>
      </c>
      <c r="AU442" s="448" t="str">
        <f>_xlfn.IFNA(VLOOKUP($AP442,Programma!$F$3:$K$1101,6,0),"")</f>
        <v>1m</v>
      </c>
      <c r="AV442" s="448" t="str">
        <f>_xlfn.IFNA(VLOOKUP($AP442,Programma!$F$3:$L$1101,7,0),"")</f>
        <v>_</v>
      </c>
      <c r="AW442" s="448" t="str">
        <f>_xlfn.IFNA(VLOOKUP($AP442,Programma!$F$3:$M$1101,8,0),"")</f>
        <v>_</v>
      </c>
      <c r="AX442" s="448" t="str">
        <f>_xlfn.IFNA(VLOOKUP($AP442,Programma!$F$3:$N$1101,9,0),"")</f>
        <v>_</v>
      </c>
      <c r="AY442" s="448" t="str">
        <f>_xlfn.IFNA(VLOOKUP($AP442,Programma!$F$3:$O$1101,10,0),"")</f>
        <v>5w</v>
      </c>
      <c r="AZ442" s="448" t="str">
        <f>_xlfn.IFNA(VLOOKUP($AP442,Programma!$F$3:$P$1101,11,0),"")</f>
        <v>5w</v>
      </c>
      <c r="BA442" s="448" t="str">
        <f>_xlfn.IFNA(VLOOKUP($AP442,Programma!$F$3:$Q$1101,12,0),"")</f>
        <v>1w</v>
      </c>
      <c r="BB442" s="448" t="str">
        <f>_xlfn.IFNA(VLOOKUP($AP442,Programma!$F$3:$R$1101,13,0),"")</f>
        <v>1w</v>
      </c>
      <c r="BC442" s="448" t="str">
        <f>_xlfn.IFNA(VLOOKUP($AP442,Programma!$F$3:$S$1101,14,0),"")</f>
        <v>1m</v>
      </c>
      <c r="BD442" s="448" t="str">
        <f>_xlfn.IFNA(VLOOKUP($AP442,Programma!$F$3:$T$1101,15,0),"")</f>
        <v>2j</v>
      </c>
      <c r="BE442" s="448" t="str">
        <f>_xlfn.IFNA(VLOOKUP($AP442,Programma!$F$3:$U$1101,16,0),"")</f>
        <v>1j</v>
      </c>
      <c r="BF442" s="448" t="str">
        <f>_xlfn.IFNA(VLOOKUP($AP442,Programma!$F$3:$V$1101,17,0),"")</f>
        <v>_</v>
      </c>
      <c r="BG442" s="448" t="str">
        <f>_xlfn.IFNA(VLOOKUP($AP442,Programma!$F$3:$W$1101,18,0),"")</f>
        <v>_</v>
      </c>
      <c r="BH442" s="448" t="str">
        <f>_xlfn.IFNA(VLOOKUP($AP442,Programma!$F$3:$X$1101,19,0),"")</f>
        <v>_</v>
      </c>
      <c r="BI442" s="448" t="str">
        <f>_xlfn.IFNA(VLOOKUP($AP442,Programma!$F$3:$Y$1101,20,0),"")</f>
        <v>_</v>
      </c>
      <c r="BJ442" s="449"/>
      <c r="BK442" s="447" t="str">
        <f>IF(Ruimtestaat[[#This Row],[Frequentie weekend]]="","",_xlfn.CONCAT(Ruimtestaat[[#This Row],[Ruimte code]],"-",Ruimtestaat[[#This Row],[Frequentie weekend]]," ",Ruimtestaat[[#This Row],[Vloer code]]))</f>
        <v/>
      </c>
      <c r="BL442" s="448" t="str">
        <f>_xlfn.IFNA(VLOOKUP($BK442,Programma!$F$3:$G$1101,2,0),"")</f>
        <v/>
      </c>
      <c r="BM442" s="448" t="str">
        <f>_xlfn.IFNA(VLOOKUP($BK442,Programma!$F$3:$H$1101,3,0),"")</f>
        <v/>
      </c>
      <c r="BN442" s="448" t="str">
        <f>_xlfn.IFNA(VLOOKUP($BK442,Programma!$F$3:$I$1101,4,0),"")</f>
        <v/>
      </c>
      <c r="BO442" s="448" t="str">
        <f>_xlfn.IFNA(VLOOKUP($BK442,Programma!$F$3:$J$1101,5,0),"")</f>
        <v/>
      </c>
      <c r="BP442" s="448" t="str">
        <f>_xlfn.IFNA(VLOOKUP($BK442,Programma!$F$3:$K$1101,6,0),"")</f>
        <v/>
      </c>
      <c r="BQ442" s="448" t="str">
        <f>_xlfn.IFNA(VLOOKUP($BK442,Programma!$F$3:$L$1101,7,0),"")</f>
        <v/>
      </c>
      <c r="BR442" s="448" t="str">
        <f>_xlfn.IFNA(VLOOKUP($BK442,Programma!$F$3:$M$1101,8,0),"")</f>
        <v/>
      </c>
      <c r="BS442" s="448" t="str">
        <f>_xlfn.IFNA(VLOOKUP($BK442,Programma!$F$3:$N$1101,9,0),"")</f>
        <v/>
      </c>
      <c r="BT442" s="448" t="str">
        <f>_xlfn.IFNA(VLOOKUP($BK442,Programma!$F$3:$O$1101,10,0),"")</f>
        <v/>
      </c>
      <c r="BU442" s="448" t="str">
        <f>_xlfn.IFNA(VLOOKUP($BK442,Programma!$F$3:$P$1101,11,0),"")</f>
        <v/>
      </c>
      <c r="BV442" s="448" t="str">
        <f>_xlfn.IFNA(VLOOKUP($BK442,Programma!$F$3:$Q$1101,12,0),"")</f>
        <v/>
      </c>
      <c r="BW442" s="448" t="str">
        <f>_xlfn.IFNA(VLOOKUP($BK442,Programma!$F$3:$R$1101,13,0),"")</f>
        <v/>
      </c>
      <c r="BX442" s="448" t="str">
        <f>_xlfn.IFNA(VLOOKUP($BK442,Programma!$F$3:$S$1101,14,0),"")</f>
        <v/>
      </c>
      <c r="BY442" s="448" t="str">
        <f>_xlfn.IFNA(VLOOKUP($BK442,Programma!$F$3:$T$1101,15,0),"")</f>
        <v/>
      </c>
      <c r="BZ442" s="448" t="str">
        <f>_xlfn.IFNA(VLOOKUP($BK442,Programma!$F$3:$U$1101,16,0),"")</f>
        <v/>
      </c>
      <c r="CA442" s="448" t="str">
        <f>_xlfn.IFNA(VLOOKUP($BK442,Programma!$F$3:$V$1101,17,0),"")</f>
        <v/>
      </c>
      <c r="CB442" s="448" t="str">
        <f>_xlfn.IFNA(VLOOKUP($BK442,Programma!$F$3:$W$1101,18,0),"")</f>
        <v/>
      </c>
      <c r="CC442" s="448" t="str">
        <f>_xlfn.IFNA(VLOOKUP($BK442,Programma!$F$3:$X$1101,19,0),"")</f>
        <v/>
      </c>
      <c r="CD442" s="448" t="str">
        <f>_xlfn.IFNA(VLOOKUP($BK442,Programma!$F$3:$Y$1101,20,0),"")</f>
        <v/>
      </c>
      <c r="CE442" s="327"/>
      <c r="CF442" s="327"/>
      <c r="CG442" s="327"/>
      <c r="CH442" s="327"/>
      <c r="CI442" s="327"/>
      <c r="CJ442" s="327"/>
      <c r="CK442" s="327"/>
      <c r="CL442" s="327"/>
      <c r="CM442" s="327"/>
      <c r="CN442" s="327"/>
      <c r="CO442" s="327"/>
      <c r="CP442" s="327"/>
      <c r="CQ442" s="327"/>
      <c r="CR442" s="327"/>
      <c r="CS442" s="327"/>
      <c r="CT442" s="327"/>
      <c r="CU442" s="327"/>
      <c r="CV442" s="327"/>
      <c r="CW442" s="327"/>
      <c r="CX442" s="327"/>
      <c r="CY442" s="327"/>
      <c r="CZ442" s="327"/>
      <c r="DA442" s="327"/>
      <c r="DB442" s="327"/>
      <c r="DC442" s="327"/>
      <c r="DD442" s="327"/>
      <c r="DE442" s="327"/>
      <c r="DF442" s="327"/>
      <c r="DG442" s="327"/>
      <c r="DH442" s="327"/>
      <c r="DI442" s="327"/>
      <c r="DJ442" s="327"/>
      <c r="DK442" s="327"/>
      <c r="DL442" s="327"/>
      <c r="DM442" s="327"/>
      <c r="DN442" s="327"/>
      <c r="DO442" s="327"/>
      <c r="DP442" s="327"/>
      <c r="DQ442" s="327"/>
      <c r="DR442" s="327"/>
      <c r="DS442" s="327"/>
      <c r="DT442" s="327"/>
      <c r="DU442" s="327"/>
      <c r="DV442" s="327"/>
      <c r="DW442" s="327"/>
      <c r="DX442" s="327"/>
      <c r="DY442" s="327"/>
      <c r="DZ442" s="327"/>
      <c r="EA442" s="327"/>
      <c r="EB442" s="327"/>
      <c r="EC442" s="327"/>
      <c r="ED442" s="327"/>
      <c r="EE442" s="327"/>
      <c r="EF442" s="327"/>
      <c r="EG442" s="327"/>
      <c r="EH442" s="327"/>
      <c r="EI442" s="327"/>
      <c r="EJ442" s="327"/>
      <c r="EK442" s="327"/>
      <c r="EL442" s="327"/>
      <c r="EM442" s="327"/>
      <c r="EN442" s="327"/>
      <c r="EO442" s="327"/>
      <c r="EP442" s="327"/>
      <c r="EQ442" s="327"/>
      <c r="ER442" s="327"/>
      <c r="ES442" s="327"/>
      <c r="ET442" s="327"/>
      <c r="EU442" s="327"/>
      <c r="EV442" s="327"/>
      <c r="EW442" s="327"/>
      <c r="EX442" s="327"/>
      <c r="EY442" s="327"/>
      <c r="EZ442" s="327"/>
      <c r="FA442" s="327"/>
      <c r="FB442" s="327"/>
      <c r="FC442" s="327"/>
      <c r="FD442" s="327"/>
      <c r="FE442" s="327"/>
      <c r="FF442" s="327"/>
      <c r="FG442" s="327"/>
      <c r="FH442" s="327"/>
      <c r="FI442" s="327"/>
      <c r="FJ442" s="327"/>
      <c r="FK442" s="327"/>
      <c r="FL442" s="327"/>
      <c r="FM442" s="327"/>
      <c r="FN442" s="327"/>
      <c r="FO442" s="327"/>
      <c r="FP442" s="327"/>
      <c r="FQ442" s="327"/>
      <c r="FR442" s="327"/>
      <c r="FS442" s="327"/>
      <c r="FT442" s="327"/>
      <c r="FU442" s="327"/>
      <c r="FV442" s="327"/>
      <c r="FW442" s="327"/>
      <c r="FX442" s="327"/>
      <c r="FY442" s="327"/>
      <c r="FZ442" s="327"/>
      <c r="GA442" s="327"/>
      <c r="GB442" s="327"/>
      <c r="GC442" s="327"/>
      <c r="GD442" s="327"/>
      <c r="GE442" s="327"/>
      <c r="GF442" s="327"/>
      <c r="GG442" s="327"/>
      <c r="GH442" s="327"/>
      <c r="GI442" s="327"/>
      <c r="GJ442" s="327"/>
      <c r="GK442" s="327"/>
      <c r="GL442" s="327"/>
      <c r="GM442" s="327"/>
      <c r="GN442" s="327"/>
      <c r="GO442" s="327"/>
      <c r="GP442" s="327"/>
      <c r="GQ442" s="327"/>
      <c r="GR442" s="327"/>
      <c r="GS442" s="327"/>
      <c r="GT442" s="327"/>
      <c r="GU442" s="327"/>
      <c r="GV442" s="327"/>
      <c r="GW442" s="327"/>
      <c r="GX442" s="327"/>
      <c r="GY442" s="327"/>
      <c r="GZ442" s="327"/>
      <c r="HA442" s="327"/>
      <c r="HB442" s="327"/>
      <c r="HC442" s="327"/>
      <c r="HD442" s="327"/>
      <c r="HE442" s="327"/>
      <c r="HF442" s="327"/>
      <c r="HG442" s="327"/>
      <c r="HH442" s="327"/>
      <c r="HI442" s="327"/>
      <c r="HJ442" s="327"/>
      <c r="HK442" s="327"/>
      <c r="HL442" s="327"/>
      <c r="HM442" s="327"/>
      <c r="HN442" s="327"/>
      <c r="HO442" s="327"/>
      <c r="HP442" s="327"/>
      <c r="HQ442" s="327"/>
      <c r="HR442" s="327"/>
      <c r="HS442" s="327"/>
    </row>
    <row r="443" spans="1:227" ht="15" customHeight="1">
      <c r="A443" s="327">
        <v>17</v>
      </c>
      <c r="B443" s="435" t="str">
        <f>VLOOKUP(Ruimtestaat[[#This Row],[Code]],Locaties[[Code]:[Locatie]],2,FALSE)</f>
        <v>IKC de Tjalk Kadelaan 208 (bijgebouw)</v>
      </c>
      <c r="C443" s="435" t="str">
        <f>VLOOKUP(Ruimtestaat[[#This Row],[Code]],Locaties[[#All],[Code]:[Adres]],4,FALSE)</f>
        <v>Kadelaan 208</v>
      </c>
      <c r="D443" s="435" t="str">
        <f>VLOOKUP(Ruimtestaat[[#This Row],[Code]],Locaties[[#All],[Code]:[Postcode]],5,FALSE)</f>
        <v>2725 BR</v>
      </c>
      <c r="E443" s="435" t="str">
        <f>VLOOKUP(Ruimtestaat[[#This Row],[Code]],Locaties[#All],6,FALSE)</f>
        <v>Zoetermeer</v>
      </c>
      <c r="F443" s="450"/>
      <c r="G443" s="330" t="s">
        <v>1769</v>
      </c>
      <c r="H443" s="330">
        <v>104</v>
      </c>
      <c r="I443" s="450" t="s">
        <v>1842</v>
      </c>
      <c r="J443" s="330">
        <v>16</v>
      </c>
      <c r="K443" s="450" t="str">
        <f>VLOOKUP(Ruimtestaat[[#This Row],[Ruimte code]],Ruimtegroepen[[#All],[Code]:[Ruimte omschrijving]],2,FALSE)</f>
        <v>Leslokalen</v>
      </c>
      <c r="L443" s="434" t="s">
        <v>101</v>
      </c>
      <c r="M443" s="437" t="s">
        <v>1816</v>
      </c>
      <c r="N443" s="439">
        <v>56.2</v>
      </c>
      <c r="O443" s="439"/>
      <c r="P443" s="439"/>
      <c r="Q443" s="439"/>
      <c r="R443" s="440" t="str">
        <f>VLOOKUP(Ruimtestaat[[#This Row],[Ruimte code]],Ruimtegroepen[],4,FALSE)</f>
        <v>Le</v>
      </c>
      <c r="S443" s="434">
        <v>40</v>
      </c>
      <c r="T443" s="434" t="s">
        <v>2</v>
      </c>
      <c r="U443" s="434">
        <f>IF(S443&gt;0,IF(RIGHT(Ruimtestaat[[#This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3" s="434">
        <f>IF(U443&gt;0,VLOOKUP($J443,Ruimtegroepen[],3,FALSE)*VLOOKUP($L443,Vloersoorten[],3,FALSE)*VLOOKUP($T443,Frequenties[],3,FALSE)*VLOOKUP($A443,Locaties[],3,FALSE),0)</f>
        <v>0</v>
      </c>
      <c r="W443" s="434">
        <f>Ruimtestaat[[#This Row],[Uitvoeringen werkdagen]]*Ruimtestaat[[#This Row],[Oppervlak (netto)]]</f>
        <v>11240</v>
      </c>
      <c r="X443" s="441">
        <f>IF(V443&gt;0,Ruimtestaat[[#This Row],[Prest. (m2 /jaar) werkdagen]]/Ruimtestaat[[#This Row],[Norm (m2/uur) werkdagen]],0)</f>
        <v>0</v>
      </c>
      <c r="Y443" s="442">
        <f>Ruimtestaat[[#This Row],[Uitvoeringen werkdagen]]*Ruimtestaat[[#This Row],[Gedeeltelijk]]</f>
        <v>0</v>
      </c>
      <c r="Z443" s="443" t="e">
        <f>IF(U443&gt;0,Ruimtestaat[[#This Row],[Prest. (m2 / jaar) werkdagen gedeeld]]/Ruimtestaat[[#This Row],[Norm (m2/uur) werkdagen]],0)</f>
        <v>#DIV/0!</v>
      </c>
      <c r="AA443" s="441" t="e">
        <f>Ruimtestaat[[#This Row],[uren / jaar werkdagen gedeeld]]*Tariefsopbouw!$E$35</f>
        <v>#DIV/0!</v>
      </c>
      <c r="AB443" s="441">
        <f>Ruimtestaat[[#This Row],[Uitvoeringen werkdagen]]*Ruimtestaat[[#This Row],[BSO]]</f>
        <v>0</v>
      </c>
      <c r="AC443" s="443" t="e">
        <f>IF(U443&gt;0,Ruimtestaat[[#This Row],[Prest. (m2 / jaar) werkdagen BSO]]/Ruimtestaat[[#This Row],[Norm (m2/uur) werkdagen]],0)</f>
        <v>#DIV/0!</v>
      </c>
      <c r="AD443" s="443" t="e">
        <f>Ruimtestaat[[#This Row],[uren / jaar werkdagen BSO]]*Tariefsopbouw!$E$35</f>
        <v>#DIV/0!</v>
      </c>
      <c r="AE443" s="444">
        <f>Ruimtestaat[[#This Row],[uren / jaar werkdagen]]*Tariefsopbouw!$E$35</f>
        <v>0</v>
      </c>
      <c r="AF443" s="434"/>
      <c r="AG443" s="434">
        <f>IF(Ruimtestaat[[#This Row],[Frequentie weekend]]&gt;0,VALUE(LEFT(AF443,1))*S443,0)</f>
        <v>0</v>
      </c>
      <c r="AH443" s="445">
        <f>IF($AG443&gt;0,VLOOKUP($J443,Ruimtegroepen[],3,FALSE)*VLOOKUP($L443,Vloersoorten[],3,FALSE)*VLOOKUP($AF443,Frequenties[],3,FALSE)*VLOOKUP(Ruimtestaat[[#This Row],[Code]],Locaties[],3,FALSE),0)</f>
        <v>0</v>
      </c>
      <c r="AI443" s="445">
        <f>Ruimtestaat[[#This Row],[Uitvoeringen weekend]]*Ruimtestaat[[#This Row],[Oppervlak (netto)]]</f>
        <v>0</v>
      </c>
      <c r="AJ443" s="445">
        <f>IF(AH443&gt;0,Ruimtestaat[[#This Row],[Prest. (m2 /jaar) weekend]]/Ruimtestaat[[#This Row],[Norm (m2/uur) weekend]],0)</f>
        <v>0</v>
      </c>
      <c r="AK443" s="444">
        <f>Ruimtestaat[[#This Row],[uren / jaar weekend]]*Tariefsopbouw!$D$40</f>
        <v>0</v>
      </c>
      <c r="AL443" s="441">
        <f>Ruimtestaat[[#This Row],[Prest. (m2 /jaar) weekend]]+Ruimtestaat[[#This Row],[Prest. (m2 /jaar) werkdagen]]</f>
        <v>11240</v>
      </c>
      <c r="AM443" s="441">
        <f>Ruimtestaat[[#This Row],[uren / jaar weekend]]+Ruimtestaat[[#This Row],[uren / jaar werkdagen]]</f>
        <v>0</v>
      </c>
      <c r="AN443" s="446">
        <f>Ruimtestaat[[#This Row],[kosten / jaar weekend]]+Ruimtestaat[[#This Row],[kosten / jaar werkdagen]]</f>
        <v>0</v>
      </c>
      <c r="AO443" s="446"/>
      <c r="AP443" s="447" t="str">
        <f>IF(Ruimtestaat[[#This Row],[Frequentie werkdagen]]="","",_xlfn.CONCAT(Ruimtestaat[[#This Row],[Ruimte code]],"-",Ruimtestaat[[#This Row],[Frequentie werkdagen]]," ",Ruimtestaat[[#This Row],[Vloer code]]))</f>
        <v>16-5w S</v>
      </c>
      <c r="AQ443" s="448" t="str">
        <f>_xlfn.IFNA(VLOOKUP($AP443,Programma!$F$3:$G$1101,2,0),"")</f>
        <v>_</v>
      </c>
      <c r="AR443" s="448" t="str">
        <f>_xlfn.IFNA(VLOOKUP($AP443,Programma!$F$3:$H$1101,3,0),"")</f>
        <v>_</v>
      </c>
      <c r="AS443" s="448" t="str">
        <f>_xlfn.IFNA(VLOOKUP($AP443,Programma!$F$3:$I$1101,4,0),"")</f>
        <v>4w</v>
      </c>
      <c r="AT443" s="448" t="str">
        <f>_xlfn.IFNA(VLOOKUP($AP443,Programma!$F$3:$J$1101,5,0),"")</f>
        <v>1w</v>
      </c>
      <c r="AU443" s="448" t="str">
        <f>_xlfn.IFNA(VLOOKUP($AP443,Programma!$F$3:$K$1101,6,0),"")</f>
        <v>1m</v>
      </c>
      <c r="AV443" s="448" t="str">
        <f>_xlfn.IFNA(VLOOKUP($AP443,Programma!$F$3:$L$1101,7,0),"")</f>
        <v>_</v>
      </c>
      <c r="AW443" s="448" t="str">
        <f>_xlfn.IFNA(VLOOKUP($AP443,Programma!$F$3:$M$1101,8,0),"")</f>
        <v>_</v>
      </c>
      <c r="AX443" s="448" t="str">
        <f>_xlfn.IFNA(VLOOKUP($AP443,Programma!$F$3:$N$1101,9,0),"")</f>
        <v>_</v>
      </c>
      <c r="AY443" s="448" t="str">
        <f>_xlfn.IFNA(VLOOKUP($AP443,Programma!$F$3:$O$1101,10,0),"")</f>
        <v>5w</v>
      </c>
      <c r="AZ443" s="448" t="str">
        <f>_xlfn.IFNA(VLOOKUP($AP443,Programma!$F$3:$P$1101,11,0),"")</f>
        <v>5w</v>
      </c>
      <c r="BA443" s="448" t="str">
        <f>_xlfn.IFNA(VLOOKUP($AP443,Programma!$F$3:$Q$1101,12,0),"")</f>
        <v>1w</v>
      </c>
      <c r="BB443" s="448" t="str">
        <f>_xlfn.IFNA(VLOOKUP($AP443,Programma!$F$3:$R$1101,13,0),"")</f>
        <v>1w</v>
      </c>
      <c r="BC443" s="448" t="str">
        <f>_xlfn.IFNA(VLOOKUP($AP443,Programma!$F$3:$S$1101,14,0),"")</f>
        <v>1m</v>
      </c>
      <c r="BD443" s="448" t="str">
        <f>_xlfn.IFNA(VLOOKUP($AP443,Programma!$F$3:$T$1101,15,0),"")</f>
        <v>2j</v>
      </c>
      <c r="BE443" s="448" t="str">
        <f>_xlfn.IFNA(VLOOKUP($AP443,Programma!$F$3:$U$1101,16,0),"")</f>
        <v>1j</v>
      </c>
      <c r="BF443" s="448" t="str">
        <f>_xlfn.IFNA(VLOOKUP($AP443,Programma!$F$3:$V$1101,17,0),"")</f>
        <v>_</v>
      </c>
      <c r="BG443" s="448" t="str">
        <f>_xlfn.IFNA(VLOOKUP($AP443,Programma!$F$3:$W$1101,18,0),"")</f>
        <v>_</v>
      </c>
      <c r="BH443" s="448" t="str">
        <f>_xlfn.IFNA(VLOOKUP($AP443,Programma!$F$3:$X$1101,19,0),"")</f>
        <v>_</v>
      </c>
      <c r="BI443" s="448" t="str">
        <f>_xlfn.IFNA(VLOOKUP($AP443,Programma!$F$3:$Y$1101,20,0),"")</f>
        <v>_</v>
      </c>
      <c r="BJ443" s="449"/>
      <c r="BK443" s="447" t="str">
        <f>IF(Ruimtestaat[[#This Row],[Frequentie weekend]]="","",_xlfn.CONCAT(Ruimtestaat[[#This Row],[Ruimte code]],"-",Ruimtestaat[[#This Row],[Frequentie weekend]]," ",Ruimtestaat[[#This Row],[Vloer code]]))</f>
        <v/>
      </c>
      <c r="BL443" s="448" t="str">
        <f>_xlfn.IFNA(VLOOKUP($BK443,Programma!$F$3:$G$1101,2,0),"")</f>
        <v/>
      </c>
      <c r="BM443" s="448" t="str">
        <f>_xlfn.IFNA(VLOOKUP($BK443,Programma!$F$3:$H$1101,3,0),"")</f>
        <v/>
      </c>
      <c r="BN443" s="448" t="str">
        <f>_xlfn.IFNA(VLOOKUP($BK443,Programma!$F$3:$I$1101,4,0),"")</f>
        <v/>
      </c>
      <c r="BO443" s="448" t="str">
        <f>_xlfn.IFNA(VLOOKUP($BK443,Programma!$F$3:$J$1101,5,0),"")</f>
        <v/>
      </c>
      <c r="BP443" s="448" t="str">
        <f>_xlfn.IFNA(VLOOKUP($BK443,Programma!$F$3:$K$1101,6,0),"")</f>
        <v/>
      </c>
      <c r="BQ443" s="448" t="str">
        <f>_xlfn.IFNA(VLOOKUP($BK443,Programma!$F$3:$L$1101,7,0),"")</f>
        <v/>
      </c>
      <c r="BR443" s="448" t="str">
        <f>_xlfn.IFNA(VLOOKUP($BK443,Programma!$F$3:$M$1101,8,0),"")</f>
        <v/>
      </c>
      <c r="BS443" s="448" t="str">
        <f>_xlfn.IFNA(VLOOKUP($BK443,Programma!$F$3:$N$1101,9,0),"")</f>
        <v/>
      </c>
      <c r="BT443" s="448" t="str">
        <f>_xlfn.IFNA(VLOOKUP($BK443,Programma!$F$3:$O$1101,10,0),"")</f>
        <v/>
      </c>
      <c r="BU443" s="448" t="str">
        <f>_xlfn.IFNA(VLOOKUP($BK443,Programma!$F$3:$P$1101,11,0),"")</f>
        <v/>
      </c>
      <c r="BV443" s="448" t="str">
        <f>_xlfn.IFNA(VLOOKUP($BK443,Programma!$F$3:$Q$1101,12,0),"")</f>
        <v/>
      </c>
      <c r="BW443" s="448" t="str">
        <f>_xlfn.IFNA(VLOOKUP($BK443,Programma!$F$3:$R$1101,13,0),"")</f>
        <v/>
      </c>
      <c r="BX443" s="448" t="str">
        <f>_xlfn.IFNA(VLOOKUP($BK443,Programma!$F$3:$S$1101,14,0),"")</f>
        <v/>
      </c>
      <c r="BY443" s="448" t="str">
        <f>_xlfn.IFNA(VLOOKUP($BK443,Programma!$F$3:$T$1101,15,0),"")</f>
        <v/>
      </c>
      <c r="BZ443" s="448" t="str">
        <f>_xlfn.IFNA(VLOOKUP($BK443,Programma!$F$3:$U$1101,16,0),"")</f>
        <v/>
      </c>
      <c r="CA443" s="448" t="str">
        <f>_xlfn.IFNA(VLOOKUP($BK443,Programma!$F$3:$V$1101,17,0),"")</f>
        <v/>
      </c>
      <c r="CB443" s="448" t="str">
        <f>_xlfn.IFNA(VLOOKUP($BK443,Programma!$F$3:$W$1101,18,0),"")</f>
        <v/>
      </c>
      <c r="CC443" s="448" t="str">
        <f>_xlfn.IFNA(VLOOKUP($BK443,Programma!$F$3:$X$1101,19,0),"")</f>
        <v/>
      </c>
      <c r="CD443" s="448" t="str">
        <f>_xlfn.IFNA(VLOOKUP($BK443,Programma!$F$3:$Y$1101,20,0),"")</f>
        <v/>
      </c>
      <c r="CE443" s="327"/>
      <c r="CF443" s="327"/>
      <c r="CG443" s="327"/>
      <c r="CH443" s="327"/>
      <c r="CI443" s="327"/>
      <c r="CJ443" s="327"/>
      <c r="CK443" s="327"/>
      <c r="CL443" s="327"/>
      <c r="CM443" s="327"/>
      <c r="CN443" s="327"/>
      <c r="CO443" s="327"/>
      <c r="CP443" s="327"/>
      <c r="CQ443" s="327"/>
      <c r="CR443" s="327"/>
      <c r="CS443" s="327"/>
      <c r="CT443" s="327"/>
      <c r="CU443" s="327"/>
      <c r="CV443" s="327"/>
      <c r="CW443" s="327"/>
      <c r="CX443" s="327"/>
      <c r="CY443" s="327"/>
      <c r="CZ443" s="327"/>
      <c r="DA443" s="327"/>
      <c r="DB443" s="327"/>
      <c r="DC443" s="327"/>
      <c r="DD443" s="327"/>
      <c r="DE443" s="327"/>
      <c r="DF443" s="327"/>
      <c r="DG443" s="327"/>
      <c r="DH443" s="327"/>
      <c r="DI443" s="327"/>
      <c r="DJ443" s="327"/>
      <c r="DK443" s="327"/>
      <c r="DL443" s="327"/>
      <c r="DM443" s="327"/>
      <c r="DN443" s="327"/>
      <c r="DO443" s="327"/>
      <c r="DP443" s="327"/>
      <c r="DQ443" s="327"/>
      <c r="DR443" s="327"/>
      <c r="DS443" s="327"/>
      <c r="DT443" s="327"/>
      <c r="DU443" s="327"/>
      <c r="DV443" s="327"/>
      <c r="DW443" s="327"/>
      <c r="DX443" s="327"/>
      <c r="DY443" s="327"/>
      <c r="DZ443" s="327"/>
      <c r="EA443" s="327"/>
      <c r="EB443" s="327"/>
      <c r="EC443" s="327"/>
      <c r="ED443" s="327"/>
      <c r="EE443" s="327"/>
      <c r="EF443" s="327"/>
      <c r="EG443" s="327"/>
      <c r="EH443" s="327"/>
      <c r="EI443" s="327"/>
      <c r="EJ443" s="327"/>
      <c r="EK443" s="327"/>
      <c r="EL443" s="327"/>
      <c r="EM443" s="327"/>
      <c r="EN443" s="327"/>
      <c r="EO443" s="327"/>
      <c r="EP443" s="327"/>
      <c r="EQ443" s="327"/>
      <c r="ER443" s="327"/>
      <c r="ES443" s="327"/>
      <c r="ET443" s="327"/>
      <c r="EU443" s="327"/>
      <c r="EV443" s="327"/>
      <c r="EW443" s="327"/>
      <c r="EX443" s="327"/>
      <c r="EY443" s="327"/>
      <c r="EZ443" s="327"/>
      <c r="FA443" s="327"/>
      <c r="FB443" s="327"/>
      <c r="FC443" s="327"/>
      <c r="FD443" s="327"/>
      <c r="FE443" s="327"/>
      <c r="FF443" s="327"/>
      <c r="FG443" s="327"/>
      <c r="FH443" s="327"/>
      <c r="FI443" s="327"/>
      <c r="FJ443" s="327"/>
      <c r="FK443" s="327"/>
      <c r="FL443" s="327"/>
      <c r="FM443" s="327"/>
      <c r="FN443" s="327"/>
      <c r="FO443" s="327"/>
      <c r="FP443" s="327"/>
      <c r="FQ443" s="327"/>
      <c r="FR443" s="327"/>
      <c r="FS443" s="327"/>
      <c r="FT443" s="327"/>
      <c r="FU443" s="327"/>
      <c r="FV443" s="327"/>
      <c r="FW443" s="327"/>
      <c r="FX443" s="327"/>
      <c r="FY443" s="327"/>
      <c r="FZ443" s="327"/>
      <c r="GA443" s="327"/>
      <c r="GB443" s="327"/>
      <c r="GC443" s="327"/>
      <c r="GD443" s="327"/>
      <c r="GE443" s="327"/>
      <c r="GF443" s="327"/>
      <c r="GG443" s="327"/>
      <c r="GH443" s="327"/>
      <c r="GI443" s="327"/>
      <c r="GJ443" s="327"/>
      <c r="GK443" s="327"/>
      <c r="GL443" s="327"/>
      <c r="GM443" s="327"/>
      <c r="GN443" s="327"/>
      <c r="GO443" s="327"/>
      <c r="GP443" s="327"/>
      <c r="GQ443" s="327"/>
      <c r="GR443" s="327"/>
      <c r="GS443" s="327"/>
      <c r="GT443" s="327"/>
      <c r="GU443" s="327"/>
      <c r="GV443" s="327"/>
      <c r="GW443" s="327"/>
      <c r="GX443" s="327"/>
      <c r="GY443" s="327"/>
      <c r="GZ443" s="327"/>
      <c r="HA443" s="327"/>
      <c r="HB443" s="327"/>
      <c r="HC443" s="327"/>
      <c r="HD443" s="327"/>
      <c r="HE443" s="327"/>
      <c r="HF443" s="327"/>
      <c r="HG443" s="327"/>
      <c r="HH443" s="327"/>
      <c r="HI443" s="327"/>
      <c r="HJ443" s="327"/>
      <c r="HK443" s="327"/>
      <c r="HL443" s="327"/>
      <c r="HM443" s="327"/>
      <c r="HN443" s="327"/>
      <c r="HO443" s="327"/>
      <c r="HP443" s="327"/>
      <c r="HQ443" s="327"/>
      <c r="HR443" s="327"/>
      <c r="HS443" s="327"/>
    </row>
    <row r="444" spans="1:227" ht="15" customHeight="1">
      <c r="A444" s="327">
        <v>17</v>
      </c>
      <c r="B444" s="435" t="str">
        <f>VLOOKUP(Ruimtestaat[[#This Row],[Code]],Locaties[[Code]:[Locatie]],2,FALSE)</f>
        <v>IKC de Tjalk Kadelaan 208 (bijgebouw)</v>
      </c>
      <c r="C444" s="435" t="str">
        <f>VLOOKUP(Ruimtestaat[[#This Row],[Code]],Locaties[[#All],[Code]:[Adres]],4,FALSE)</f>
        <v>Kadelaan 208</v>
      </c>
      <c r="D444" s="435" t="str">
        <f>VLOOKUP(Ruimtestaat[[#This Row],[Code]],Locaties[[#All],[Code]:[Postcode]],5,FALSE)</f>
        <v>2725 BR</v>
      </c>
      <c r="E444" s="435" t="str">
        <f>VLOOKUP(Ruimtestaat[[#This Row],[Code]],Locaties[#All],6,FALSE)</f>
        <v>Zoetermeer</v>
      </c>
      <c r="F444" s="450"/>
      <c r="G444" s="330" t="s">
        <v>1769</v>
      </c>
      <c r="H444" s="330" t="s">
        <v>1866</v>
      </c>
      <c r="I444" s="450" t="s">
        <v>1708</v>
      </c>
      <c r="J444" s="330">
        <v>6</v>
      </c>
      <c r="K444" s="450" t="str">
        <f>VLOOKUP(Ruimtestaat[[#This Row],[Ruimte code]],Ruimtegroepen[[#All],[Code]:[Ruimte omschrijving]],2,FALSE)</f>
        <v>Gangen/hallen</v>
      </c>
      <c r="L444" s="434" t="s">
        <v>101</v>
      </c>
      <c r="M444" s="437" t="s">
        <v>1816</v>
      </c>
      <c r="N444" s="439">
        <v>72.260000000000005</v>
      </c>
      <c r="O444" s="439"/>
      <c r="P444" s="439"/>
      <c r="Q444" s="439"/>
      <c r="R444" s="440" t="str">
        <f>VLOOKUP(Ruimtestaat[[#This Row],[Ruimte code]],Ruimtegroepen[],4,FALSE)</f>
        <v>Ve</v>
      </c>
      <c r="S444" s="434">
        <v>41</v>
      </c>
      <c r="T444" s="434" t="s">
        <v>2</v>
      </c>
      <c r="U444" s="434">
        <f>IF(S444&gt;0,IF(RIGHT(Ruimtestaat[[#This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44" s="434">
        <f>IF(U444&gt;0,VLOOKUP($J444,Ruimtegroepen[],3,FALSE)*VLOOKUP($L444,Vloersoorten[],3,FALSE)*VLOOKUP($T444,Frequenties[],3,FALSE)*VLOOKUP($A444,Locaties[],3,FALSE),0)</f>
        <v>0</v>
      </c>
      <c r="W444" s="434">
        <f>Ruimtestaat[[#This Row],[Uitvoeringen werkdagen]]*Ruimtestaat[[#This Row],[Oppervlak (netto)]]</f>
        <v>14813.300000000001</v>
      </c>
      <c r="X444" s="441">
        <f>IF(V444&gt;0,Ruimtestaat[[#This Row],[Prest. (m2 /jaar) werkdagen]]/Ruimtestaat[[#This Row],[Norm (m2/uur) werkdagen]],0)</f>
        <v>0</v>
      </c>
      <c r="Y444" s="442">
        <f>Ruimtestaat[[#This Row],[Uitvoeringen werkdagen]]*Ruimtestaat[[#This Row],[Gedeeltelijk]]</f>
        <v>0</v>
      </c>
      <c r="Z444" s="443" t="e">
        <f>IF(U444&gt;0,Ruimtestaat[[#This Row],[Prest. (m2 / jaar) werkdagen gedeeld]]/Ruimtestaat[[#This Row],[Norm (m2/uur) werkdagen]],0)</f>
        <v>#DIV/0!</v>
      </c>
      <c r="AA444" s="441" t="e">
        <f>Ruimtestaat[[#This Row],[uren / jaar werkdagen gedeeld]]*Tariefsopbouw!$E$35</f>
        <v>#DIV/0!</v>
      </c>
      <c r="AB444" s="441">
        <f>Ruimtestaat[[#This Row],[Uitvoeringen werkdagen]]*Ruimtestaat[[#This Row],[BSO]]</f>
        <v>0</v>
      </c>
      <c r="AC444" s="443" t="e">
        <f>IF(U444&gt;0,Ruimtestaat[[#This Row],[Prest. (m2 / jaar) werkdagen BSO]]/Ruimtestaat[[#This Row],[Norm (m2/uur) werkdagen]],0)</f>
        <v>#DIV/0!</v>
      </c>
      <c r="AD444" s="443" t="e">
        <f>Ruimtestaat[[#This Row],[uren / jaar werkdagen BSO]]*Tariefsopbouw!$E$35</f>
        <v>#DIV/0!</v>
      </c>
      <c r="AE444" s="444">
        <f>Ruimtestaat[[#This Row],[uren / jaar werkdagen]]*Tariefsopbouw!$E$35</f>
        <v>0</v>
      </c>
      <c r="AF444" s="434"/>
      <c r="AG444" s="434">
        <f>IF(Ruimtestaat[[#This Row],[Frequentie weekend]]&gt;0,VALUE(LEFT(AF444,1))*S444,0)</f>
        <v>0</v>
      </c>
      <c r="AH444" s="445">
        <f>IF($AG444&gt;0,VLOOKUP($J444,Ruimtegroepen[],3,FALSE)*VLOOKUP($L444,Vloersoorten[],3,FALSE)*VLOOKUP($AF444,Frequenties[],3,FALSE)*VLOOKUP(Ruimtestaat[[#This Row],[Code]],Locaties[],3,FALSE),0)</f>
        <v>0</v>
      </c>
      <c r="AI444" s="445">
        <f>Ruimtestaat[[#This Row],[Uitvoeringen weekend]]*Ruimtestaat[[#This Row],[Oppervlak (netto)]]</f>
        <v>0</v>
      </c>
      <c r="AJ444" s="445">
        <f>IF(AH444&gt;0,Ruimtestaat[[#This Row],[Prest. (m2 /jaar) weekend]]/Ruimtestaat[[#This Row],[Norm (m2/uur) weekend]],0)</f>
        <v>0</v>
      </c>
      <c r="AK444" s="444">
        <f>Ruimtestaat[[#This Row],[uren / jaar weekend]]*Tariefsopbouw!$D$40</f>
        <v>0</v>
      </c>
      <c r="AL444" s="441">
        <f>Ruimtestaat[[#This Row],[Prest. (m2 /jaar) weekend]]+Ruimtestaat[[#This Row],[Prest. (m2 /jaar) werkdagen]]</f>
        <v>14813.300000000001</v>
      </c>
      <c r="AM444" s="441">
        <f>Ruimtestaat[[#This Row],[uren / jaar weekend]]+Ruimtestaat[[#This Row],[uren / jaar werkdagen]]</f>
        <v>0</v>
      </c>
      <c r="AN444" s="446">
        <f>Ruimtestaat[[#This Row],[kosten / jaar weekend]]+Ruimtestaat[[#This Row],[kosten / jaar werkdagen]]</f>
        <v>0</v>
      </c>
      <c r="AO444" s="446"/>
      <c r="AP444" s="447" t="str">
        <f>IF(Ruimtestaat[[#This Row],[Frequentie werkdagen]]="","",_xlfn.CONCAT(Ruimtestaat[[#This Row],[Ruimte code]],"-",Ruimtestaat[[#This Row],[Frequentie werkdagen]]," ",Ruimtestaat[[#This Row],[Vloer code]]))</f>
        <v>6-5w S</v>
      </c>
      <c r="AQ444" s="448" t="str">
        <f>_xlfn.IFNA(VLOOKUP($AP444,Programma!$F$3:$G$1101,2,0),"")</f>
        <v>_</v>
      </c>
      <c r="AR444" s="448" t="str">
        <f>_xlfn.IFNA(VLOOKUP($AP444,Programma!$F$3:$H$1101,3,0),"")</f>
        <v>_</v>
      </c>
      <c r="AS444" s="448" t="str">
        <f>_xlfn.IFNA(VLOOKUP($AP444,Programma!$F$3:$I$1101,4,0),"")</f>
        <v>5w</v>
      </c>
      <c r="AT444" s="448" t="str">
        <f>_xlfn.IFNA(VLOOKUP($AP444,Programma!$F$3:$J$1101,5,0),"")</f>
        <v>_</v>
      </c>
      <c r="AU444" s="448" t="str">
        <f>_xlfn.IFNA(VLOOKUP($AP444,Programma!$F$3:$K$1101,6,0),"")</f>
        <v>5w</v>
      </c>
      <c r="AV444" s="448" t="str">
        <f>_xlfn.IFNA(VLOOKUP($AP444,Programma!$F$3:$L$1101,7,0),"")</f>
        <v>_</v>
      </c>
      <c r="AW444" s="448" t="str">
        <f>_xlfn.IFNA(VLOOKUP($AP444,Programma!$F$3:$M$1101,8,0),"")</f>
        <v>_</v>
      </c>
      <c r="AX444" s="448" t="str">
        <f>_xlfn.IFNA(VLOOKUP($AP444,Programma!$F$3:$N$1101,9,0),"")</f>
        <v>_</v>
      </c>
      <c r="AY444" s="448" t="str">
        <f>_xlfn.IFNA(VLOOKUP($AP444,Programma!$F$3:$O$1101,10,0),"")</f>
        <v>5w</v>
      </c>
      <c r="AZ444" s="448" t="str">
        <f>_xlfn.IFNA(VLOOKUP($AP444,Programma!$F$3:$P$1101,11,0),"")</f>
        <v>5w</v>
      </c>
      <c r="BA444" s="448" t="str">
        <f>_xlfn.IFNA(VLOOKUP($AP444,Programma!$F$3:$Q$1101,12,0),"")</f>
        <v>1w</v>
      </c>
      <c r="BB444" s="448" t="str">
        <f>_xlfn.IFNA(VLOOKUP($AP444,Programma!$F$3:$R$1101,13,0),"")</f>
        <v>1w</v>
      </c>
      <c r="BC444" s="448" t="str">
        <f>_xlfn.IFNA(VLOOKUP($AP444,Programma!$F$3:$S$1101,14,0),"")</f>
        <v>1m</v>
      </c>
      <c r="BD444" s="448" t="str">
        <f>_xlfn.IFNA(VLOOKUP($AP444,Programma!$F$3:$T$1101,15,0),"")</f>
        <v>2j</v>
      </c>
      <c r="BE444" s="448" t="str">
        <f>_xlfn.IFNA(VLOOKUP($AP444,Programma!$F$3:$U$1101,16,0),"")</f>
        <v>1j</v>
      </c>
      <c r="BF444" s="448" t="str">
        <f>_xlfn.IFNA(VLOOKUP($AP444,Programma!$F$3:$V$1101,17,0),"")</f>
        <v>_</v>
      </c>
      <c r="BG444" s="448" t="str">
        <f>_xlfn.IFNA(VLOOKUP($AP444,Programma!$F$3:$W$1101,18,0),"")</f>
        <v>_</v>
      </c>
      <c r="BH444" s="448" t="str">
        <f>_xlfn.IFNA(VLOOKUP($AP444,Programma!$F$3:$X$1101,19,0),"")</f>
        <v>_</v>
      </c>
      <c r="BI444" s="448" t="str">
        <f>_xlfn.IFNA(VLOOKUP($AP444,Programma!$F$3:$Y$1101,20,0),"")</f>
        <v>_</v>
      </c>
      <c r="BJ444" s="449"/>
      <c r="BK444" s="447" t="str">
        <f>IF(Ruimtestaat[[#This Row],[Frequentie weekend]]="","",_xlfn.CONCAT(Ruimtestaat[[#This Row],[Ruimte code]],"-",Ruimtestaat[[#This Row],[Frequentie weekend]]," ",Ruimtestaat[[#This Row],[Vloer code]]))</f>
        <v/>
      </c>
      <c r="BL444" s="448" t="str">
        <f>_xlfn.IFNA(VLOOKUP($BK444,Programma!$F$3:$G$1101,2,0),"")</f>
        <v/>
      </c>
      <c r="BM444" s="448" t="str">
        <f>_xlfn.IFNA(VLOOKUP($BK444,Programma!$F$3:$H$1101,3,0),"")</f>
        <v/>
      </c>
      <c r="BN444" s="448" t="str">
        <f>_xlfn.IFNA(VLOOKUP($BK444,Programma!$F$3:$I$1101,4,0),"")</f>
        <v/>
      </c>
      <c r="BO444" s="448" t="str">
        <f>_xlfn.IFNA(VLOOKUP($BK444,Programma!$F$3:$J$1101,5,0),"")</f>
        <v/>
      </c>
      <c r="BP444" s="448" t="str">
        <f>_xlfn.IFNA(VLOOKUP($BK444,Programma!$F$3:$K$1101,6,0),"")</f>
        <v/>
      </c>
      <c r="BQ444" s="448" t="str">
        <f>_xlfn.IFNA(VLOOKUP($BK444,Programma!$F$3:$L$1101,7,0),"")</f>
        <v/>
      </c>
      <c r="BR444" s="448" t="str">
        <f>_xlfn.IFNA(VLOOKUP($BK444,Programma!$F$3:$M$1101,8,0),"")</f>
        <v/>
      </c>
      <c r="BS444" s="448" t="str">
        <f>_xlfn.IFNA(VLOOKUP($BK444,Programma!$F$3:$N$1101,9,0),"")</f>
        <v/>
      </c>
      <c r="BT444" s="448" t="str">
        <f>_xlfn.IFNA(VLOOKUP($BK444,Programma!$F$3:$O$1101,10,0),"")</f>
        <v/>
      </c>
      <c r="BU444" s="448" t="str">
        <f>_xlfn.IFNA(VLOOKUP($BK444,Programma!$F$3:$P$1101,11,0),"")</f>
        <v/>
      </c>
      <c r="BV444" s="448" t="str">
        <f>_xlfn.IFNA(VLOOKUP($BK444,Programma!$F$3:$Q$1101,12,0),"")</f>
        <v/>
      </c>
      <c r="BW444" s="448" t="str">
        <f>_xlfn.IFNA(VLOOKUP($BK444,Programma!$F$3:$R$1101,13,0),"")</f>
        <v/>
      </c>
      <c r="BX444" s="448" t="str">
        <f>_xlfn.IFNA(VLOOKUP($BK444,Programma!$F$3:$S$1101,14,0),"")</f>
        <v/>
      </c>
      <c r="BY444" s="448" t="str">
        <f>_xlfn.IFNA(VLOOKUP($BK444,Programma!$F$3:$T$1101,15,0),"")</f>
        <v/>
      </c>
      <c r="BZ444" s="448" t="str">
        <f>_xlfn.IFNA(VLOOKUP($BK444,Programma!$F$3:$U$1101,16,0),"")</f>
        <v/>
      </c>
      <c r="CA444" s="448" t="str">
        <f>_xlfn.IFNA(VLOOKUP($BK444,Programma!$F$3:$V$1101,17,0),"")</f>
        <v/>
      </c>
      <c r="CB444" s="448" t="str">
        <f>_xlfn.IFNA(VLOOKUP($BK444,Programma!$F$3:$W$1101,18,0),"")</f>
        <v/>
      </c>
      <c r="CC444" s="448" t="str">
        <f>_xlfn.IFNA(VLOOKUP($BK444,Programma!$F$3:$X$1101,19,0),"")</f>
        <v/>
      </c>
      <c r="CD444" s="448" t="str">
        <f>_xlfn.IFNA(VLOOKUP($BK444,Programma!$F$3:$Y$1101,20,0),"")</f>
        <v/>
      </c>
      <c r="CE444" s="327"/>
      <c r="CF444" s="327"/>
      <c r="CG444" s="327"/>
      <c r="CH444" s="327"/>
      <c r="CI444" s="327"/>
      <c r="CJ444" s="327"/>
      <c r="CK444" s="327"/>
      <c r="CL444" s="327"/>
      <c r="CM444" s="327"/>
      <c r="CN444" s="327"/>
      <c r="CO444" s="327"/>
      <c r="CP444" s="327"/>
      <c r="CQ444" s="327"/>
      <c r="CR444" s="327"/>
      <c r="CS444" s="327"/>
      <c r="CT444" s="327"/>
      <c r="CU444" s="327"/>
      <c r="CV444" s="327"/>
      <c r="CW444" s="327"/>
      <c r="CX444" s="327"/>
      <c r="CY444" s="327"/>
      <c r="CZ444" s="327"/>
      <c r="DA444" s="327"/>
      <c r="DB444" s="327"/>
      <c r="DC444" s="327"/>
      <c r="DD444" s="327"/>
      <c r="DE444" s="327"/>
      <c r="DF444" s="327"/>
      <c r="DG444" s="327"/>
      <c r="DH444" s="327"/>
      <c r="DI444" s="327"/>
      <c r="DJ444" s="327"/>
      <c r="DK444" s="327"/>
      <c r="DL444" s="327"/>
      <c r="DM444" s="327"/>
      <c r="DN444" s="327"/>
      <c r="DO444" s="327"/>
      <c r="DP444" s="327"/>
      <c r="DQ444" s="327"/>
      <c r="DR444" s="327"/>
      <c r="DS444" s="327"/>
      <c r="DT444" s="327"/>
      <c r="DU444" s="327"/>
      <c r="DV444" s="327"/>
      <c r="DW444" s="327"/>
      <c r="DX444" s="327"/>
      <c r="DY444" s="327"/>
      <c r="DZ444" s="327"/>
      <c r="EA444" s="327"/>
      <c r="EB444" s="327"/>
      <c r="EC444" s="327"/>
      <c r="ED444" s="327"/>
      <c r="EE444" s="327"/>
      <c r="EF444" s="327"/>
      <c r="EG444" s="327"/>
      <c r="EH444" s="327"/>
      <c r="EI444" s="327"/>
      <c r="EJ444" s="327"/>
      <c r="EK444" s="327"/>
      <c r="EL444" s="327"/>
      <c r="EM444" s="327"/>
      <c r="EN444" s="327"/>
      <c r="EO444" s="327"/>
      <c r="EP444" s="327"/>
      <c r="EQ444" s="327"/>
      <c r="ER444" s="327"/>
      <c r="ES444" s="327"/>
      <c r="ET444" s="327"/>
      <c r="EU444" s="327"/>
      <c r="EV444" s="327"/>
      <c r="EW444" s="327"/>
      <c r="EX444" s="327"/>
      <c r="EY444" s="327"/>
      <c r="EZ444" s="327"/>
      <c r="FA444" s="327"/>
      <c r="FB444" s="327"/>
      <c r="FC444" s="327"/>
      <c r="FD444" s="327"/>
      <c r="FE444" s="327"/>
      <c r="FF444" s="327"/>
      <c r="FG444" s="327"/>
      <c r="FH444" s="327"/>
      <c r="FI444" s="327"/>
      <c r="FJ444" s="327"/>
      <c r="FK444" s="327"/>
      <c r="FL444" s="327"/>
      <c r="FM444" s="327"/>
      <c r="FN444" s="327"/>
      <c r="FO444" s="327"/>
      <c r="FP444" s="327"/>
      <c r="FQ444" s="327"/>
      <c r="FR444" s="327"/>
      <c r="FS444" s="327"/>
      <c r="FT444" s="327"/>
      <c r="FU444" s="327"/>
      <c r="FV444" s="327"/>
      <c r="FW444" s="327"/>
      <c r="FX444" s="327"/>
      <c r="FY444" s="327"/>
      <c r="FZ444" s="327"/>
      <c r="GA444" s="327"/>
      <c r="GB444" s="327"/>
      <c r="GC444" s="327"/>
      <c r="GD444" s="327"/>
      <c r="GE444" s="327"/>
      <c r="GF444" s="327"/>
      <c r="GG444" s="327"/>
      <c r="GH444" s="327"/>
      <c r="GI444" s="327"/>
      <c r="GJ444" s="327"/>
      <c r="GK444" s="327"/>
      <c r="GL444" s="327"/>
      <c r="GM444" s="327"/>
      <c r="GN444" s="327"/>
      <c r="GO444" s="327"/>
      <c r="GP444" s="327"/>
      <c r="GQ444" s="327"/>
      <c r="GR444" s="327"/>
      <c r="GS444" s="327"/>
      <c r="GT444" s="327"/>
      <c r="GU444" s="327"/>
      <c r="GV444" s="327"/>
      <c r="GW444" s="327"/>
      <c r="GX444" s="327"/>
      <c r="GY444" s="327"/>
      <c r="GZ444" s="327"/>
      <c r="HA444" s="327"/>
      <c r="HB444" s="327"/>
      <c r="HC444" s="327"/>
      <c r="HD444" s="327"/>
      <c r="HE444" s="327"/>
      <c r="HF444" s="327"/>
      <c r="HG444" s="327"/>
      <c r="HH444" s="327"/>
      <c r="HI444" s="327"/>
      <c r="HJ444" s="327"/>
      <c r="HK444" s="327"/>
      <c r="HL444" s="327"/>
      <c r="HM444" s="327"/>
      <c r="HN444" s="327"/>
      <c r="HO444" s="327"/>
      <c r="HP444" s="327"/>
      <c r="HQ444" s="327"/>
      <c r="HR444" s="327"/>
      <c r="HS444" s="327"/>
    </row>
    <row r="445" spans="1:227" ht="15" customHeight="1">
      <c r="A445" s="327">
        <v>17</v>
      </c>
      <c r="B445" s="435" t="str">
        <f>VLOOKUP(Ruimtestaat[[#This Row],[Code]],Locaties[[Code]:[Locatie]],2,FALSE)</f>
        <v>IKC de Tjalk Kadelaan 208 (bijgebouw)</v>
      </c>
      <c r="C445" s="435" t="str">
        <f>VLOOKUP(Ruimtestaat[[#This Row],[Code]],Locaties[[#All],[Code]:[Adres]],4,FALSE)</f>
        <v>Kadelaan 208</v>
      </c>
      <c r="D445" s="435" t="str">
        <f>VLOOKUP(Ruimtestaat[[#This Row],[Code]],Locaties[[#All],[Code]:[Postcode]],5,FALSE)</f>
        <v>2725 BR</v>
      </c>
      <c r="E445" s="435" t="str">
        <f>VLOOKUP(Ruimtestaat[[#This Row],[Code]],Locaties[#All],6,FALSE)</f>
        <v>Zoetermeer</v>
      </c>
      <c r="F445" s="450"/>
      <c r="G445" s="330" t="s">
        <v>1769</v>
      </c>
      <c r="H445" s="330" t="s">
        <v>1867</v>
      </c>
      <c r="I445" s="450" t="s">
        <v>1708</v>
      </c>
      <c r="J445" s="330">
        <v>6</v>
      </c>
      <c r="K445" s="450" t="str">
        <f>VLOOKUP(Ruimtestaat[[#This Row],[Ruimte code]],Ruimtegroepen[[#All],[Code]:[Ruimte omschrijving]],2,FALSE)</f>
        <v>Gangen/hallen</v>
      </c>
      <c r="L445" s="434" t="s">
        <v>101</v>
      </c>
      <c r="M445" s="437" t="s">
        <v>1816</v>
      </c>
      <c r="N445" s="439">
        <v>61.64</v>
      </c>
      <c r="O445" s="439"/>
      <c r="P445" s="439"/>
      <c r="Q445" s="439"/>
      <c r="R445" s="440" t="str">
        <f>VLOOKUP(Ruimtestaat[[#This Row],[Ruimte code]],Ruimtegroepen[],4,FALSE)</f>
        <v>Ve</v>
      </c>
      <c r="S445" s="434">
        <v>41</v>
      </c>
      <c r="T445" s="434" t="s">
        <v>2</v>
      </c>
      <c r="U445" s="434">
        <f>IF(S445&gt;0,IF(RIGHT(Ruimtestaat[[#This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45" s="434">
        <f>IF(U445&gt;0,VLOOKUP($J445,Ruimtegroepen[],3,FALSE)*VLOOKUP($L445,Vloersoorten[],3,FALSE)*VLOOKUP($T445,Frequenties[],3,FALSE)*VLOOKUP($A445,Locaties[],3,FALSE),0)</f>
        <v>0</v>
      </c>
      <c r="W445" s="434">
        <f>Ruimtestaat[[#This Row],[Uitvoeringen werkdagen]]*Ruimtestaat[[#This Row],[Oppervlak (netto)]]</f>
        <v>12636.2</v>
      </c>
      <c r="X445" s="441">
        <f>IF(V445&gt;0,Ruimtestaat[[#This Row],[Prest. (m2 /jaar) werkdagen]]/Ruimtestaat[[#This Row],[Norm (m2/uur) werkdagen]],0)</f>
        <v>0</v>
      </c>
      <c r="Y445" s="442">
        <f>Ruimtestaat[[#This Row],[Uitvoeringen werkdagen]]*Ruimtestaat[[#This Row],[Gedeeltelijk]]</f>
        <v>0</v>
      </c>
      <c r="Z445" s="443" t="e">
        <f>IF(U445&gt;0,Ruimtestaat[[#This Row],[Prest. (m2 / jaar) werkdagen gedeeld]]/Ruimtestaat[[#This Row],[Norm (m2/uur) werkdagen]],0)</f>
        <v>#DIV/0!</v>
      </c>
      <c r="AA445" s="441" t="e">
        <f>Ruimtestaat[[#This Row],[uren / jaar werkdagen gedeeld]]*Tariefsopbouw!$E$35</f>
        <v>#DIV/0!</v>
      </c>
      <c r="AB445" s="441">
        <f>Ruimtestaat[[#This Row],[Uitvoeringen werkdagen]]*Ruimtestaat[[#This Row],[BSO]]</f>
        <v>0</v>
      </c>
      <c r="AC445" s="443" t="e">
        <f>IF(U445&gt;0,Ruimtestaat[[#This Row],[Prest. (m2 / jaar) werkdagen BSO]]/Ruimtestaat[[#This Row],[Norm (m2/uur) werkdagen]],0)</f>
        <v>#DIV/0!</v>
      </c>
      <c r="AD445" s="443" t="e">
        <f>Ruimtestaat[[#This Row],[uren / jaar werkdagen BSO]]*Tariefsopbouw!$E$35</f>
        <v>#DIV/0!</v>
      </c>
      <c r="AE445" s="444">
        <f>Ruimtestaat[[#This Row],[uren / jaar werkdagen]]*Tariefsopbouw!$E$35</f>
        <v>0</v>
      </c>
      <c r="AF445" s="434"/>
      <c r="AG445" s="434">
        <f>IF(Ruimtestaat[[#This Row],[Frequentie weekend]]&gt;0,VALUE(LEFT(AF445,1))*S445,0)</f>
        <v>0</v>
      </c>
      <c r="AH445" s="445">
        <f>IF($AG445&gt;0,VLOOKUP($J445,Ruimtegroepen[],3,FALSE)*VLOOKUP($L445,Vloersoorten[],3,FALSE)*VLOOKUP($AF445,Frequenties[],3,FALSE)*VLOOKUP(Ruimtestaat[[#This Row],[Code]],Locaties[],3,FALSE),0)</f>
        <v>0</v>
      </c>
      <c r="AI445" s="445">
        <f>Ruimtestaat[[#This Row],[Uitvoeringen weekend]]*Ruimtestaat[[#This Row],[Oppervlak (netto)]]</f>
        <v>0</v>
      </c>
      <c r="AJ445" s="445">
        <f>IF(AH445&gt;0,Ruimtestaat[[#This Row],[Prest. (m2 /jaar) weekend]]/Ruimtestaat[[#This Row],[Norm (m2/uur) weekend]],0)</f>
        <v>0</v>
      </c>
      <c r="AK445" s="444">
        <f>Ruimtestaat[[#This Row],[uren / jaar weekend]]*Tariefsopbouw!$D$40</f>
        <v>0</v>
      </c>
      <c r="AL445" s="441">
        <f>Ruimtestaat[[#This Row],[Prest. (m2 /jaar) weekend]]+Ruimtestaat[[#This Row],[Prest. (m2 /jaar) werkdagen]]</f>
        <v>12636.2</v>
      </c>
      <c r="AM445" s="441">
        <f>Ruimtestaat[[#This Row],[uren / jaar weekend]]+Ruimtestaat[[#This Row],[uren / jaar werkdagen]]</f>
        <v>0</v>
      </c>
      <c r="AN445" s="446">
        <f>Ruimtestaat[[#This Row],[kosten / jaar weekend]]+Ruimtestaat[[#This Row],[kosten / jaar werkdagen]]</f>
        <v>0</v>
      </c>
      <c r="AO445" s="446"/>
      <c r="AP445" s="447" t="str">
        <f>IF(Ruimtestaat[[#This Row],[Frequentie werkdagen]]="","",_xlfn.CONCAT(Ruimtestaat[[#This Row],[Ruimte code]],"-",Ruimtestaat[[#This Row],[Frequentie werkdagen]]," ",Ruimtestaat[[#This Row],[Vloer code]]))</f>
        <v>6-5w S</v>
      </c>
      <c r="AQ445" s="448" t="str">
        <f>_xlfn.IFNA(VLOOKUP($AP445,Programma!$F$3:$G$1101,2,0),"")</f>
        <v>_</v>
      </c>
      <c r="AR445" s="448" t="str">
        <f>_xlfn.IFNA(VLOOKUP($AP445,Programma!$F$3:$H$1101,3,0),"")</f>
        <v>_</v>
      </c>
      <c r="AS445" s="448" t="str">
        <f>_xlfn.IFNA(VLOOKUP($AP445,Programma!$F$3:$I$1101,4,0),"")</f>
        <v>5w</v>
      </c>
      <c r="AT445" s="448" t="str">
        <f>_xlfn.IFNA(VLOOKUP($AP445,Programma!$F$3:$J$1101,5,0),"")</f>
        <v>_</v>
      </c>
      <c r="AU445" s="448" t="str">
        <f>_xlfn.IFNA(VLOOKUP($AP445,Programma!$F$3:$K$1101,6,0),"")</f>
        <v>5w</v>
      </c>
      <c r="AV445" s="448" t="str">
        <f>_xlfn.IFNA(VLOOKUP($AP445,Programma!$F$3:$L$1101,7,0),"")</f>
        <v>_</v>
      </c>
      <c r="AW445" s="448" t="str">
        <f>_xlfn.IFNA(VLOOKUP($AP445,Programma!$F$3:$M$1101,8,0),"")</f>
        <v>_</v>
      </c>
      <c r="AX445" s="448" t="str">
        <f>_xlfn.IFNA(VLOOKUP($AP445,Programma!$F$3:$N$1101,9,0),"")</f>
        <v>_</v>
      </c>
      <c r="AY445" s="448" t="str">
        <f>_xlfn.IFNA(VLOOKUP($AP445,Programma!$F$3:$O$1101,10,0),"")</f>
        <v>5w</v>
      </c>
      <c r="AZ445" s="448" t="str">
        <f>_xlfn.IFNA(VLOOKUP($AP445,Programma!$F$3:$P$1101,11,0),"")</f>
        <v>5w</v>
      </c>
      <c r="BA445" s="448" t="str">
        <f>_xlfn.IFNA(VLOOKUP($AP445,Programma!$F$3:$Q$1101,12,0),"")</f>
        <v>1w</v>
      </c>
      <c r="BB445" s="448" t="str">
        <f>_xlfn.IFNA(VLOOKUP($AP445,Programma!$F$3:$R$1101,13,0),"")</f>
        <v>1w</v>
      </c>
      <c r="BC445" s="448" t="str">
        <f>_xlfn.IFNA(VLOOKUP($AP445,Programma!$F$3:$S$1101,14,0),"")</f>
        <v>1m</v>
      </c>
      <c r="BD445" s="448" t="str">
        <f>_xlfn.IFNA(VLOOKUP($AP445,Programma!$F$3:$T$1101,15,0),"")</f>
        <v>2j</v>
      </c>
      <c r="BE445" s="448" t="str">
        <f>_xlfn.IFNA(VLOOKUP($AP445,Programma!$F$3:$U$1101,16,0),"")</f>
        <v>1j</v>
      </c>
      <c r="BF445" s="448" t="str">
        <f>_xlfn.IFNA(VLOOKUP($AP445,Programma!$F$3:$V$1101,17,0),"")</f>
        <v>_</v>
      </c>
      <c r="BG445" s="448" t="str">
        <f>_xlfn.IFNA(VLOOKUP($AP445,Programma!$F$3:$W$1101,18,0),"")</f>
        <v>_</v>
      </c>
      <c r="BH445" s="448" t="str">
        <f>_xlfn.IFNA(VLOOKUP($AP445,Programma!$F$3:$X$1101,19,0),"")</f>
        <v>_</v>
      </c>
      <c r="BI445" s="448" t="str">
        <f>_xlfn.IFNA(VLOOKUP($AP445,Programma!$F$3:$Y$1101,20,0),"")</f>
        <v>_</v>
      </c>
      <c r="BJ445" s="449"/>
      <c r="BK445" s="447" t="str">
        <f>IF(Ruimtestaat[[#This Row],[Frequentie weekend]]="","",_xlfn.CONCAT(Ruimtestaat[[#This Row],[Ruimte code]],"-",Ruimtestaat[[#This Row],[Frequentie weekend]]," ",Ruimtestaat[[#This Row],[Vloer code]]))</f>
        <v/>
      </c>
      <c r="BL445" s="448" t="str">
        <f>_xlfn.IFNA(VLOOKUP($BK445,Programma!$F$3:$G$1101,2,0),"")</f>
        <v/>
      </c>
      <c r="BM445" s="448" t="str">
        <f>_xlfn.IFNA(VLOOKUP($BK445,Programma!$F$3:$H$1101,3,0),"")</f>
        <v/>
      </c>
      <c r="BN445" s="448" t="str">
        <f>_xlfn.IFNA(VLOOKUP($BK445,Programma!$F$3:$I$1101,4,0),"")</f>
        <v/>
      </c>
      <c r="BO445" s="448" t="str">
        <f>_xlfn.IFNA(VLOOKUP($BK445,Programma!$F$3:$J$1101,5,0),"")</f>
        <v/>
      </c>
      <c r="BP445" s="448" t="str">
        <f>_xlfn.IFNA(VLOOKUP($BK445,Programma!$F$3:$K$1101,6,0),"")</f>
        <v/>
      </c>
      <c r="BQ445" s="448" t="str">
        <f>_xlfn.IFNA(VLOOKUP($BK445,Programma!$F$3:$L$1101,7,0),"")</f>
        <v/>
      </c>
      <c r="BR445" s="448" t="str">
        <f>_xlfn.IFNA(VLOOKUP($BK445,Programma!$F$3:$M$1101,8,0),"")</f>
        <v/>
      </c>
      <c r="BS445" s="448" t="str">
        <f>_xlfn.IFNA(VLOOKUP($BK445,Programma!$F$3:$N$1101,9,0),"")</f>
        <v/>
      </c>
      <c r="BT445" s="448" t="str">
        <f>_xlfn.IFNA(VLOOKUP($BK445,Programma!$F$3:$O$1101,10,0),"")</f>
        <v/>
      </c>
      <c r="BU445" s="448" t="str">
        <f>_xlfn.IFNA(VLOOKUP($BK445,Programma!$F$3:$P$1101,11,0),"")</f>
        <v/>
      </c>
      <c r="BV445" s="448" t="str">
        <f>_xlfn.IFNA(VLOOKUP($BK445,Programma!$F$3:$Q$1101,12,0),"")</f>
        <v/>
      </c>
      <c r="BW445" s="448" t="str">
        <f>_xlfn.IFNA(VLOOKUP($BK445,Programma!$F$3:$R$1101,13,0),"")</f>
        <v/>
      </c>
      <c r="BX445" s="448" t="str">
        <f>_xlfn.IFNA(VLOOKUP($BK445,Programma!$F$3:$S$1101,14,0),"")</f>
        <v/>
      </c>
      <c r="BY445" s="448" t="str">
        <f>_xlfn.IFNA(VLOOKUP($BK445,Programma!$F$3:$T$1101,15,0),"")</f>
        <v/>
      </c>
      <c r="BZ445" s="448" t="str">
        <f>_xlfn.IFNA(VLOOKUP($BK445,Programma!$F$3:$U$1101,16,0),"")</f>
        <v/>
      </c>
      <c r="CA445" s="448" t="str">
        <f>_xlfn.IFNA(VLOOKUP($BK445,Programma!$F$3:$V$1101,17,0),"")</f>
        <v/>
      </c>
      <c r="CB445" s="448" t="str">
        <f>_xlfn.IFNA(VLOOKUP($BK445,Programma!$F$3:$W$1101,18,0),"")</f>
        <v/>
      </c>
      <c r="CC445" s="448" t="str">
        <f>_xlfn.IFNA(VLOOKUP($BK445,Programma!$F$3:$X$1101,19,0),"")</f>
        <v/>
      </c>
      <c r="CD445" s="448" t="str">
        <f>_xlfn.IFNA(VLOOKUP($BK445,Programma!$F$3:$Y$1101,20,0),"")</f>
        <v/>
      </c>
      <c r="CE445" s="327"/>
      <c r="CF445" s="327"/>
      <c r="CG445" s="327"/>
      <c r="CH445" s="327"/>
      <c r="CI445" s="327"/>
      <c r="CJ445" s="327"/>
      <c r="CK445" s="327"/>
      <c r="CL445" s="327"/>
      <c r="CM445" s="327"/>
      <c r="CN445" s="327"/>
      <c r="CO445" s="327"/>
      <c r="CP445" s="327"/>
      <c r="CQ445" s="327"/>
      <c r="CR445" s="327"/>
      <c r="CS445" s="327"/>
      <c r="CT445" s="327"/>
      <c r="CU445" s="327"/>
      <c r="CV445" s="327"/>
      <c r="CW445" s="327"/>
      <c r="CX445" s="327"/>
      <c r="CY445" s="327"/>
      <c r="CZ445" s="327"/>
      <c r="DA445" s="327"/>
      <c r="DB445" s="327"/>
      <c r="DC445" s="327"/>
      <c r="DD445" s="327"/>
      <c r="DE445" s="327"/>
      <c r="DF445" s="327"/>
      <c r="DG445" s="327"/>
      <c r="DH445" s="327"/>
      <c r="DI445" s="327"/>
      <c r="DJ445" s="327"/>
      <c r="DK445" s="327"/>
      <c r="DL445" s="327"/>
      <c r="DM445" s="327"/>
      <c r="DN445" s="327"/>
      <c r="DO445" s="327"/>
      <c r="DP445" s="327"/>
      <c r="DQ445" s="327"/>
      <c r="DR445" s="327"/>
      <c r="DS445" s="327"/>
      <c r="DT445" s="327"/>
      <c r="DU445" s="327"/>
      <c r="DV445" s="327"/>
      <c r="DW445" s="327"/>
      <c r="DX445" s="327"/>
      <c r="DY445" s="327"/>
      <c r="DZ445" s="327"/>
      <c r="EA445" s="327"/>
      <c r="EB445" s="327"/>
      <c r="EC445" s="327"/>
      <c r="ED445" s="327"/>
      <c r="EE445" s="327"/>
      <c r="EF445" s="327"/>
      <c r="EG445" s="327"/>
      <c r="EH445" s="327"/>
      <c r="EI445" s="327"/>
      <c r="EJ445" s="327"/>
      <c r="EK445" s="327"/>
      <c r="EL445" s="327"/>
      <c r="EM445" s="327"/>
      <c r="EN445" s="327"/>
      <c r="EO445" s="327"/>
      <c r="EP445" s="327"/>
      <c r="EQ445" s="327"/>
      <c r="ER445" s="327"/>
      <c r="ES445" s="327"/>
      <c r="ET445" s="327"/>
      <c r="EU445" s="327"/>
      <c r="EV445" s="327"/>
      <c r="EW445" s="327"/>
      <c r="EX445" s="327"/>
      <c r="EY445" s="327"/>
      <c r="EZ445" s="327"/>
      <c r="FA445" s="327"/>
      <c r="FB445" s="327"/>
      <c r="FC445" s="327"/>
      <c r="FD445" s="327"/>
      <c r="FE445" s="327"/>
      <c r="FF445" s="327"/>
      <c r="FG445" s="327"/>
      <c r="FH445" s="327"/>
      <c r="FI445" s="327"/>
      <c r="FJ445" s="327"/>
      <c r="FK445" s="327"/>
      <c r="FL445" s="327"/>
      <c r="FM445" s="327"/>
      <c r="FN445" s="327"/>
      <c r="FO445" s="327"/>
      <c r="FP445" s="327"/>
      <c r="FQ445" s="327"/>
      <c r="FR445" s="327"/>
      <c r="FS445" s="327"/>
      <c r="FT445" s="327"/>
      <c r="FU445" s="327"/>
      <c r="FV445" s="327"/>
      <c r="FW445" s="327"/>
      <c r="FX445" s="327"/>
      <c r="FY445" s="327"/>
      <c r="FZ445" s="327"/>
      <c r="GA445" s="327"/>
      <c r="GB445" s="327"/>
      <c r="GC445" s="327"/>
      <c r="GD445" s="327"/>
      <c r="GE445" s="327"/>
      <c r="GF445" s="327"/>
      <c r="GG445" s="327"/>
      <c r="GH445" s="327"/>
      <c r="GI445" s="327"/>
      <c r="GJ445" s="327"/>
      <c r="GK445" s="327"/>
      <c r="GL445" s="327"/>
      <c r="GM445" s="327"/>
      <c r="GN445" s="327"/>
      <c r="GO445" s="327"/>
      <c r="GP445" s="327"/>
      <c r="GQ445" s="327"/>
      <c r="GR445" s="327"/>
      <c r="GS445" s="327"/>
      <c r="GT445" s="327"/>
      <c r="GU445" s="327"/>
      <c r="GV445" s="327"/>
      <c r="GW445" s="327"/>
      <c r="GX445" s="327"/>
      <c r="GY445" s="327"/>
      <c r="GZ445" s="327"/>
      <c r="HA445" s="327"/>
      <c r="HB445" s="327"/>
      <c r="HC445" s="327"/>
      <c r="HD445" s="327"/>
      <c r="HE445" s="327"/>
      <c r="HF445" s="327"/>
      <c r="HG445" s="327"/>
      <c r="HH445" s="327"/>
      <c r="HI445" s="327"/>
      <c r="HJ445" s="327"/>
      <c r="HK445" s="327"/>
      <c r="HL445" s="327"/>
      <c r="HM445" s="327"/>
      <c r="HN445" s="327"/>
      <c r="HO445" s="327"/>
      <c r="HP445" s="327"/>
      <c r="HQ445" s="327"/>
      <c r="HR445" s="327"/>
      <c r="HS445" s="327"/>
    </row>
    <row r="446" spans="1:227" ht="15" customHeight="1">
      <c r="A446" s="327">
        <v>17</v>
      </c>
      <c r="B446" s="435" t="str">
        <f>VLOOKUP(Ruimtestaat[[#This Row],[Code]],Locaties[[Code]:[Locatie]],2,FALSE)</f>
        <v>IKC de Tjalk Kadelaan 208 (bijgebouw)</v>
      </c>
      <c r="C446" s="435" t="str">
        <f>VLOOKUP(Ruimtestaat[[#This Row],[Code]],Locaties[[#All],[Code]:[Adres]],4,FALSE)</f>
        <v>Kadelaan 208</v>
      </c>
      <c r="D446" s="435" t="str">
        <f>VLOOKUP(Ruimtestaat[[#This Row],[Code]],Locaties[[#All],[Code]:[Postcode]],5,FALSE)</f>
        <v>2725 BR</v>
      </c>
      <c r="E446" s="435" t="str">
        <f>VLOOKUP(Ruimtestaat[[#This Row],[Code]],Locaties[#All],6,FALSE)</f>
        <v>Zoetermeer</v>
      </c>
      <c r="F446" s="450"/>
      <c r="G446" s="330" t="s">
        <v>1769</v>
      </c>
      <c r="H446" s="330">
        <v>103</v>
      </c>
      <c r="I446" s="450" t="s">
        <v>1842</v>
      </c>
      <c r="J446" s="330">
        <v>16</v>
      </c>
      <c r="K446" s="450" t="str">
        <f>VLOOKUP(Ruimtestaat[[#This Row],[Ruimte code]],Ruimtegroepen[[#All],[Code]:[Ruimte omschrijving]],2,FALSE)</f>
        <v>Leslokalen</v>
      </c>
      <c r="L446" s="434" t="s">
        <v>101</v>
      </c>
      <c r="M446" s="437" t="s">
        <v>1816</v>
      </c>
      <c r="N446" s="439">
        <v>56.28</v>
      </c>
      <c r="O446" s="439"/>
      <c r="P446" s="439"/>
      <c r="Q446" s="439"/>
      <c r="R446" s="440" t="str">
        <f>VLOOKUP(Ruimtestaat[[#This Row],[Ruimte code]],Ruimtegroepen[],4,FALSE)</f>
        <v>Le</v>
      </c>
      <c r="S446" s="434">
        <v>40</v>
      </c>
      <c r="T446" s="434" t="s">
        <v>2</v>
      </c>
      <c r="U446" s="434">
        <f>IF(S446&gt;0,IF(RIGHT(Ruimtestaat[[#This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6" s="434">
        <f>IF(U446&gt;0,VLOOKUP($J446,Ruimtegroepen[],3,FALSE)*VLOOKUP($L446,Vloersoorten[],3,FALSE)*VLOOKUP($T446,Frequenties[],3,FALSE)*VLOOKUP($A446,Locaties[],3,FALSE),0)</f>
        <v>0</v>
      </c>
      <c r="W446" s="434">
        <f>Ruimtestaat[[#This Row],[Uitvoeringen werkdagen]]*Ruimtestaat[[#This Row],[Oppervlak (netto)]]</f>
        <v>11256</v>
      </c>
      <c r="X446" s="441">
        <f>IF(V446&gt;0,Ruimtestaat[[#This Row],[Prest. (m2 /jaar) werkdagen]]/Ruimtestaat[[#This Row],[Norm (m2/uur) werkdagen]],0)</f>
        <v>0</v>
      </c>
      <c r="Y446" s="442">
        <f>Ruimtestaat[[#This Row],[Uitvoeringen werkdagen]]*Ruimtestaat[[#This Row],[Gedeeltelijk]]</f>
        <v>0</v>
      </c>
      <c r="Z446" s="443" t="e">
        <f>IF(U446&gt;0,Ruimtestaat[[#This Row],[Prest. (m2 / jaar) werkdagen gedeeld]]/Ruimtestaat[[#This Row],[Norm (m2/uur) werkdagen]],0)</f>
        <v>#DIV/0!</v>
      </c>
      <c r="AA446" s="441" t="e">
        <f>Ruimtestaat[[#This Row],[uren / jaar werkdagen gedeeld]]*Tariefsopbouw!$E$35</f>
        <v>#DIV/0!</v>
      </c>
      <c r="AB446" s="441">
        <f>Ruimtestaat[[#This Row],[Uitvoeringen werkdagen]]*Ruimtestaat[[#This Row],[BSO]]</f>
        <v>0</v>
      </c>
      <c r="AC446" s="443" t="e">
        <f>IF(U446&gt;0,Ruimtestaat[[#This Row],[Prest. (m2 / jaar) werkdagen BSO]]/Ruimtestaat[[#This Row],[Norm (m2/uur) werkdagen]],0)</f>
        <v>#DIV/0!</v>
      </c>
      <c r="AD446" s="443" t="e">
        <f>Ruimtestaat[[#This Row],[uren / jaar werkdagen BSO]]*Tariefsopbouw!$E$35</f>
        <v>#DIV/0!</v>
      </c>
      <c r="AE446" s="444">
        <f>Ruimtestaat[[#This Row],[uren / jaar werkdagen]]*Tariefsopbouw!$E$35</f>
        <v>0</v>
      </c>
      <c r="AF446" s="434"/>
      <c r="AG446" s="434">
        <f>IF(Ruimtestaat[[#This Row],[Frequentie weekend]]&gt;0,VALUE(LEFT(AF446,1))*S446,0)</f>
        <v>0</v>
      </c>
      <c r="AH446" s="445">
        <f>IF($AG446&gt;0,VLOOKUP($J446,Ruimtegroepen[],3,FALSE)*VLOOKUP($L446,Vloersoorten[],3,FALSE)*VLOOKUP($AF446,Frequenties[],3,FALSE)*VLOOKUP(Ruimtestaat[[#This Row],[Code]],Locaties[],3,FALSE),0)</f>
        <v>0</v>
      </c>
      <c r="AI446" s="445">
        <f>Ruimtestaat[[#This Row],[Uitvoeringen weekend]]*Ruimtestaat[[#This Row],[Oppervlak (netto)]]</f>
        <v>0</v>
      </c>
      <c r="AJ446" s="445">
        <f>IF(AH446&gt;0,Ruimtestaat[[#This Row],[Prest. (m2 /jaar) weekend]]/Ruimtestaat[[#This Row],[Norm (m2/uur) weekend]],0)</f>
        <v>0</v>
      </c>
      <c r="AK446" s="444">
        <f>Ruimtestaat[[#This Row],[uren / jaar weekend]]*Tariefsopbouw!$D$40</f>
        <v>0</v>
      </c>
      <c r="AL446" s="441">
        <f>Ruimtestaat[[#This Row],[Prest. (m2 /jaar) weekend]]+Ruimtestaat[[#This Row],[Prest. (m2 /jaar) werkdagen]]</f>
        <v>11256</v>
      </c>
      <c r="AM446" s="441">
        <f>Ruimtestaat[[#This Row],[uren / jaar weekend]]+Ruimtestaat[[#This Row],[uren / jaar werkdagen]]</f>
        <v>0</v>
      </c>
      <c r="AN446" s="446">
        <f>Ruimtestaat[[#This Row],[kosten / jaar weekend]]+Ruimtestaat[[#This Row],[kosten / jaar werkdagen]]</f>
        <v>0</v>
      </c>
      <c r="AO446" s="446"/>
      <c r="AP446" s="447" t="str">
        <f>IF(Ruimtestaat[[#This Row],[Frequentie werkdagen]]="","",_xlfn.CONCAT(Ruimtestaat[[#This Row],[Ruimte code]],"-",Ruimtestaat[[#This Row],[Frequentie werkdagen]]," ",Ruimtestaat[[#This Row],[Vloer code]]))</f>
        <v>16-5w S</v>
      </c>
      <c r="AQ446" s="448" t="str">
        <f>_xlfn.IFNA(VLOOKUP($AP446,Programma!$F$3:$G$1101,2,0),"")</f>
        <v>_</v>
      </c>
      <c r="AR446" s="448" t="str">
        <f>_xlfn.IFNA(VLOOKUP($AP446,Programma!$F$3:$H$1101,3,0),"")</f>
        <v>_</v>
      </c>
      <c r="AS446" s="448" t="str">
        <f>_xlfn.IFNA(VLOOKUP($AP446,Programma!$F$3:$I$1101,4,0),"")</f>
        <v>4w</v>
      </c>
      <c r="AT446" s="448" t="str">
        <f>_xlfn.IFNA(VLOOKUP($AP446,Programma!$F$3:$J$1101,5,0),"")</f>
        <v>1w</v>
      </c>
      <c r="AU446" s="448" t="str">
        <f>_xlfn.IFNA(VLOOKUP($AP446,Programma!$F$3:$K$1101,6,0),"")</f>
        <v>1m</v>
      </c>
      <c r="AV446" s="448" t="str">
        <f>_xlfn.IFNA(VLOOKUP($AP446,Programma!$F$3:$L$1101,7,0),"")</f>
        <v>_</v>
      </c>
      <c r="AW446" s="448" t="str">
        <f>_xlfn.IFNA(VLOOKUP($AP446,Programma!$F$3:$M$1101,8,0),"")</f>
        <v>_</v>
      </c>
      <c r="AX446" s="448" t="str">
        <f>_xlfn.IFNA(VLOOKUP($AP446,Programma!$F$3:$N$1101,9,0),"")</f>
        <v>_</v>
      </c>
      <c r="AY446" s="448" t="str">
        <f>_xlfn.IFNA(VLOOKUP($AP446,Programma!$F$3:$O$1101,10,0),"")</f>
        <v>5w</v>
      </c>
      <c r="AZ446" s="448" t="str">
        <f>_xlfn.IFNA(VLOOKUP($AP446,Programma!$F$3:$P$1101,11,0),"")</f>
        <v>5w</v>
      </c>
      <c r="BA446" s="448" t="str">
        <f>_xlfn.IFNA(VLOOKUP($AP446,Programma!$F$3:$Q$1101,12,0),"")</f>
        <v>1w</v>
      </c>
      <c r="BB446" s="448" t="str">
        <f>_xlfn.IFNA(VLOOKUP($AP446,Programma!$F$3:$R$1101,13,0),"")</f>
        <v>1w</v>
      </c>
      <c r="BC446" s="448" t="str">
        <f>_xlfn.IFNA(VLOOKUP($AP446,Programma!$F$3:$S$1101,14,0),"")</f>
        <v>1m</v>
      </c>
      <c r="BD446" s="448" t="str">
        <f>_xlfn.IFNA(VLOOKUP($AP446,Programma!$F$3:$T$1101,15,0),"")</f>
        <v>2j</v>
      </c>
      <c r="BE446" s="448" t="str">
        <f>_xlfn.IFNA(VLOOKUP($AP446,Programma!$F$3:$U$1101,16,0),"")</f>
        <v>1j</v>
      </c>
      <c r="BF446" s="448" t="str">
        <f>_xlfn.IFNA(VLOOKUP($AP446,Programma!$F$3:$V$1101,17,0),"")</f>
        <v>_</v>
      </c>
      <c r="BG446" s="448" t="str">
        <f>_xlfn.IFNA(VLOOKUP($AP446,Programma!$F$3:$W$1101,18,0),"")</f>
        <v>_</v>
      </c>
      <c r="BH446" s="448" t="str">
        <f>_xlfn.IFNA(VLOOKUP($AP446,Programma!$F$3:$X$1101,19,0),"")</f>
        <v>_</v>
      </c>
      <c r="BI446" s="448" t="str">
        <f>_xlfn.IFNA(VLOOKUP($AP446,Programma!$F$3:$Y$1101,20,0),"")</f>
        <v>_</v>
      </c>
      <c r="BJ446" s="449"/>
      <c r="BK446" s="447" t="str">
        <f>IF(Ruimtestaat[[#This Row],[Frequentie weekend]]="","",_xlfn.CONCAT(Ruimtestaat[[#This Row],[Ruimte code]],"-",Ruimtestaat[[#This Row],[Frequentie weekend]]," ",Ruimtestaat[[#This Row],[Vloer code]]))</f>
        <v/>
      </c>
      <c r="BL446" s="448" t="str">
        <f>_xlfn.IFNA(VLOOKUP($BK446,Programma!$F$3:$G$1101,2,0),"")</f>
        <v/>
      </c>
      <c r="BM446" s="448" t="str">
        <f>_xlfn.IFNA(VLOOKUP($BK446,Programma!$F$3:$H$1101,3,0),"")</f>
        <v/>
      </c>
      <c r="BN446" s="448" t="str">
        <f>_xlfn.IFNA(VLOOKUP($BK446,Programma!$F$3:$I$1101,4,0),"")</f>
        <v/>
      </c>
      <c r="BO446" s="448" t="str">
        <f>_xlfn.IFNA(VLOOKUP($BK446,Programma!$F$3:$J$1101,5,0),"")</f>
        <v/>
      </c>
      <c r="BP446" s="448" t="str">
        <f>_xlfn.IFNA(VLOOKUP($BK446,Programma!$F$3:$K$1101,6,0),"")</f>
        <v/>
      </c>
      <c r="BQ446" s="448" t="str">
        <f>_xlfn.IFNA(VLOOKUP($BK446,Programma!$F$3:$L$1101,7,0),"")</f>
        <v/>
      </c>
      <c r="BR446" s="448" t="str">
        <f>_xlfn.IFNA(VLOOKUP($BK446,Programma!$F$3:$M$1101,8,0),"")</f>
        <v/>
      </c>
      <c r="BS446" s="448" t="str">
        <f>_xlfn.IFNA(VLOOKUP($BK446,Programma!$F$3:$N$1101,9,0),"")</f>
        <v/>
      </c>
      <c r="BT446" s="448" t="str">
        <f>_xlfn.IFNA(VLOOKUP($BK446,Programma!$F$3:$O$1101,10,0),"")</f>
        <v/>
      </c>
      <c r="BU446" s="448" t="str">
        <f>_xlfn.IFNA(VLOOKUP($BK446,Programma!$F$3:$P$1101,11,0),"")</f>
        <v/>
      </c>
      <c r="BV446" s="448" t="str">
        <f>_xlfn.IFNA(VLOOKUP($BK446,Programma!$F$3:$Q$1101,12,0),"")</f>
        <v/>
      </c>
      <c r="BW446" s="448" t="str">
        <f>_xlfn.IFNA(VLOOKUP($BK446,Programma!$F$3:$R$1101,13,0),"")</f>
        <v/>
      </c>
      <c r="BX446" s="448" t="str">
        <f>_xlfn.IFNA(VLOOKUP($BK446,Programma!$F$3:$S$1101,14,0),"")</f>
        <v/>
      </c>
      <c r="BY446" s="448" t="str">
        <f>_xlfn.IFNA(VLOOKUP($BK446,Programma!$F$3:$T$1101,15,0),"")</f>
        <v/>
      </c>
      <c r="BZ446" s="448" t="str">
        <f>_xlfn.IFNA(VLOOKUP($BK446,Programma!$F$3:$U$1101,16,0),"")</f>
        <v/>
      </c>
      <c r="CA446" s="448" t="str">
        <f>_xlfn.IFNA(VLOOKUP($BK446,Programma!$F$3:$V$1101,17,0),"")</f>
        <v/>
      </c>
      <c r="CB446" s="448" t="str">
        <f>_xlfn.IFNA(VLOOKUP($BK446,Programma!$F$3:$W$1101,18,0),"")</f>
        <v/>
      </c>
      <c r="CC446" s="448" t="str">
        <f>_xlfn.IFNA(VLOOKUP($BK446,Programma!$F$3:$X$1101,19,0),"")</f>
        <v/>
      </c>
      <c r="CD446" s="448" t="str">
        <f>_xlfn.IFNA(VLOOKUP($BK446,Programma!$F$3:$Y$1101,20,0),"")</f>
        <v/>
      </c>
      <c r="CE446" s="327"/>
      <c r="CF446" s="327"/>
      <c r="CG446" s="327"/>
      <c r="CH446" s="327"/>
      <c r="CI446" s="327"/>
      <c r="CJ446" s="327"/>
      <c r="CK446" s="327"/>
      <c r="CL446" s="327"/>
      <c r="CM446" s="327"/>
      <c r="CN446" s="327"/>
      <c r="CO446" s="327"/>
      <c r="CP446" s="327"/>
      <c r="CQ446" s="327"/>
      <c r="CR446" s="327"/>
      <c r="CS446" s="327"/>
      <c r="CT446" s="327"/>
      <c r="CU446" s="327"/>
      <c r="CV446" s="327"/>
      <c r="CW446" s="327"/>
      <c r="CX446" s="327"/>
      <c r="CY446" s="327"/>
      <c r="CZ446" s="327"/>
      <c r="DA446" s="327"/>
      <c r="DB446" s="327"/>
      <c r="DC446" s="327"/>
      <c r="DD446" s="327"/>
      <c r="DE446" s="327"/>
      <c r="DF446" s="327"/>
      <c r="DG446" s="327"/>
      <c r="DH446" s="327"/>
      <c r="DI446" s="327"/>
      <c r="DJ446" s="327"/>
      <c r="DK446" s="327"/>
      <c r="DL446" s="327"/>
      <c r="DM446" s="327"/>
      <c r="DN446" s="327"/>
      <c r="DO446" s="327"/>
      <c r="DP446" s="327"/>
      <c r="DQ446" s="327"/>
      <c r="DR446" s="327"/>
      <c r="DS446" s="327"/>
      <c r="DT446" s="327"/>
      <c r="DU446" s="327"/>
      <c r="DV446" s="327"/>
      <c r="DW446" s="327"/>
      <c r="DX446" s="327"/>
      <c r="DY446" s="327"/>
      <c r="DZ446" s="327"/>
      <c r="EA446" s="327"/>
      <c r="EB446" s="327"/>
      <c r="EC446" s="327"/>
      <c r="ED446" s="327"/>
      <c r="EE446" s="327"/>
      <c r="EF446" s="327"/>
      <c r="EG446" s="327"/>
      <c r="EH446" s="327"/>
      <c r="EI446" s="327"/>
      <c r="EJ446" s="327"/>
      <c r="EK446" s="327"/>
      <c r="EL446" s="327"/>
      <c r="EM446" s="327"/>
      <c r="EN446" s="327"/>
      <c r="EO446" s="327"/>
      <c r="EP446" s="327"/>
      <c r="EQ446" s="327"/>
      <c r="ER446" s="327"/>
      <c r="ES446" s="327"/>
      <c r="ET446" s="327"/>
      <c r="EU446" s="327"/>
      <c r="EV446" s="327"/>
      <c r="EW446" s="327"/>
      <c r="EX446" s="327"/>
      <c r="EY446" s="327"/>
      <c r="EZ446" s="327"/>
      <c r="FA446" s="327"/>
      <c r="FB446" s="327"/>
      <c r="FC446" s="327"/>
      <c r="FD446" s="327"/>
      <c r="FE446" s="327"/>
      <c r="FF446" s="327"/>
      <c r="FG446" s="327"/>
      <c r="FH446" s="327"/>
      <c r="FI446" s="327"/>
      <c r="FJ446" s="327"/>
      <c r="FK446" s="327"/>
      <c r="FL446" s="327"/>
      <c r="FM446" s="327"/>
      <c r="FN446" s="327"/>
      <c r="FO446" s="327"/>
      <c r="FP446" s="327"/>
      <c r="FQ446" s="327"/>
      <c r="FR446" s="327"/>
      <c r="FS446" s="327"/>
      <c r="FT446" s="327"/>
      <c r="FU446" s="327"/>
      <c r="FV446" s="327"/>
      <c r="FW446" s="327"/>
      <c r="FX446" s="327"/>
      <c r="FY446" s="327"/>
      <c r="FZ446" s="327"/>
      <c r="GA446" s="327"/>
      <c r="GB446" s="327"/>
      <c r="GC446" s="327"/>
      <c r="GD446" s="327"/>
      <c r="GE446" s="327"/>
      <c r="GF446" s="327"/>
      <c r="GG446" s="327"/>
      <c r="GH446" s="327"/>
      <c r="GI446" s="327"/>
      <c r="GJ446" s="327"/>
      <c r="GK446" s="327"/>
      <c r="GL446" s="327"/>
      <c r="GM446" s="327"/>
      <c r="GN446" s="327"/>
      <c r="GO446" s="327"/>
      <c r="GP446" s="327"/>
      <c r="GQ446" s="327"/>
      <c r="GR446" s="327"/>
      <c r="GS446" s="327"/>
      <c r="GT446" s="327"/>
      <c r="GU446" s="327"/>
      <c r="GV446" s="327"/>
      <c r="GW446" s="327"/>
      <c r="GX446" s="327"/>
      <c r="GY446" s="327"/>
      <c r="GZ446" s="327"/>
      <c r="HA446" s="327"/>
      <c r="HB446" s="327"/>
      <c r="HC446" s="327"/>
      <c r="HD446" s="327"/>
      <c r="HE446" s="327"/>
      <c r="HF446" s="327"/>
      <c r="HG446" s="327"/>
      <c r="HH446" s="327"/>
      <c r="HI446" s="327"/>
      <c r="HJ446" s="327"/>
      <c r="HK446" s="327"/>
      <c r="HL446" s="327"/>
      <c r="HM446" s="327"/>
      <c r="HN446" s="327"/>
      <c r="HO446" s="327"/>
      <c r="HP446" s="327"/>
      <c r="HQ446" s="327"/>
      <c r="HR446" s="327"/>
      <c r="HS446" s="327"/>
    </row>
    <row r="447" spans="1:227" ht="15" customHeight="1">
      <c r="A447" s="327">
        <v>17</v>
      </c>
      <c r="B447" s="435" t="str">
        <f>VLOOKUP(Ruimtestaat[[#This Row],[Code]],Locaties[[Code]:[Locatie]],2,FALSE)</f>
        <v>IKC de Tjalk Kadelaan 208 (bijgebouw)</v>
      </c>
      <c r="C447" s="435" t="str">
        <f>VLOOKUP(Ruimtestaat[[#This Row],[Code]],Locaties[[#All],[Code]:[Adres]],4,FALSE)</f>
        <v>Kadelaan 208</v>
      </c>
      <c r="D447" s="435" t="str">
        <f>VLOOKUP(Ruimtestaat[[#This Row],[Code]],Locaties[[#All],[Code]:[Postcode]],5,FALSE)</f>
        <v>2725 BR</v>
      </c>
      <c r="E447" s="435" t="str">
        <f>VLOOKUP(Ruimtestaat[[#This Row],[Code]],Locaties[#All],6,FALSE)</f>
        <v>Zoetermeer</v>
      </c>
      <c r="F447" s="450"/>
      <c r="G447" s="330" t="s">
        <v>1769</v>
      </c>
      <c r="H447" s="330">
        <v>108</v>
      </c>
      <c r="I447" s="450" t="s">
        <v>1720</v>
      </c>
      <c r="J447" s="330">
        <v>5</v>
      </c>
      <c r="K447" s="450" t="str">
        <f>VLOOKUP(Ruimtestaat[[#This Row],[Ruimte code]],Ruimtegroepen[[#All],[Code]:[Ruimte omschrijving]],2,FALSE)</f>
        <v>Sanitair</v>
      </c>
      <c r="L447" s="434" t="s">
        <v>101</v>
      </c>
      <c r="M447" s="437" t="s">
        <v>1816</v>
      </c>
      <c r="N447" s="439">
        <v>6.24</v>
      </c>
      <c r="O447" s="439"/>
      <c r="P447" s="439"/>
      <c r="Q447" s="439"/>
      <c r="R447" s="440" t="str">
        <f>VLOOKUP(Ruimtestaat[[#This Row],[Ruimte code]],Ruimtegroepen[],4,FALSE)</f>
        <v>Sa</v>
      </c>
      <c r="S447" s="434">
        <v>41</v>
      </c>
      <c r="T447" s="434" t="s">
        <v>2</v>
      </c>
      <c r="U447" s="434">
        <f>IF(S447&gt;0,IF(RIGHT(Ruimtestaat[[#This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47" s="434">
        <f>IF(U447&gt;0,VLOOKUP($J447,Ruimtegroepen[],3,FALSE)*VLOOKUP($L447,Vloersoorten[],3,FALSE)*VLOOKUP($T447,Frequenties[],3,FALSE)*VLOOKUP($A447,Locaties[],3,FALSE),0)</f>
        <v>0</v>
      </c>
      <c r="W447" s="434">
        <f>Ruimtestaat[[#This Row],[Uitvoeringen werkdagen]]*Ruimtestaat[[#This Row],[Oppervlak (netto)]]</f>
        <v>1279.2</v>
      </c>
      <c r="X447" s="441">
        <f>IF(V447&gt;0,Ruimtestaat[[#This Row],[Prest. (m2 /jaar) werkdagen]]/Ruimtestaat[[#This Row],[Norm (m2/uur) werkdagen]],0)</f>
        <v>0</v>
      </c>
      <c r="Y447" s="442">
        <f>Ruimtestaat[[#This Row],[Uitvoeringen werkdagen]]*Ruimtestaat[[#This Row],[Gedeeltelijk]]</f>
        <v>0</v>
      </c>
      <c r="Z447" s="443" t="e">
        <f>IF(U447&gt;0,Ruimtestaat[[#This Row],[Prest. (m2 / jaar) werkdagen gedeeld]]/Ruimtestaat[[#This Row],[Norm (m2/uur) werkdagen]],0)</f>
        <v>#DIV/0!</v>
      </c>
      <c r="AA447" s="441" t="e">
        <f>Ruimtestaat[[#This Row],[uren / jaar werkdagen gedeeld]]*Tariefsopbouw!$E$35</f>
        <v>#DIV/0!</v>
      </c>
      <c r="AB447" s="441">
        <f>Ruimtestaat[[#This Row],[Uitvoeringen werkdagen]]*Ruimtestaat[[#This Row],[BSO]]</f>
        <v>0</v>
      </c>
      <c r="AC447" s="443" t="e">
        <f>IF(U447&gt;0,Ruimtestaat[[#This Row],[Prest. (m2 / jaar) werkdagen BSO]]/Ruimtestaat[[#This Row],[Norm (m2/uur) werkdagen]],0)</f>
        <v>#DIV/0!</v>
      </c>
      <c r="AD447" s="443" t="e">
        <f>Ruimtestaat[[#This Row],[uren / jaar werkdagen BSO]]*Tariefsopbouw!$E$35</f>
        <v>#DIV/0!</v>
      </c>
      <c r="AE447" s="444">
        <f>Ruimtestaat[[#This Row],[uren / jaar werkdagen]]*Tariefsopbouw!$E$35</f>
        <v>0</v>
      </c>
      <c r="AF447" s="434"/>
      <c r="AG447" s="434">
        <f>IF(Ruimtestaat[[#This Row],[Frequentie weekend]]&gt;0,VALUE(LEFT(AF447,1))*S447,0)</f>
        <v>0</v>
      </c>
      <c r="AH447" s="445">
        <f>IF($AG447&gt;0,VLOOKUP($J447,Ruimtegroepen[],3,FALSE)*VLOOKUP($L447,Vloersoorten[],3,FALSE)*VLOOKUP($AF447,Frequenties[],3,FALSE)*VLOOKUP(Ruimtestaat[[#This Row],[Code]],Locaties[],3,FALSE),0)</f>
        <v>0</v>
      </c>
      <c r="AI447" s="445">
        <f>Ruimtestaat[[#This Row],[Uitvoeringen weekend]]*Ruimtestaat[[#This Row],[Oppervlak (netto)]]</f>
        <v>0</v>
      </c>
      <c r="AJ447" s="445">
        <f>IF(AH447&gt;0,Ruimtestaat[[#This Row],[Prest. (m2 /jaar) weekend]]/Ruimtestaat[[#This Row],[Norm (m2/uur) weekend]],0)</f>
        <v>0</v>
      </c>
      <c r="AK447" s="444">
        <f>Ruimtestaat[[#This Row],[uren / jaar weekend]]*Tariefsopbouw!$D$40</f>
        <v>0</v>
      </c>
      <c r="AL447" s="441">
        <f>Ruimtestaat[[#This Row],[Prest. (m2 /jaar) weekend]]+Ruimtestaat[[#This Row],[Prest. (m2 /jaar) werkdagen]]</f>
        <v>1279.2</v>
      </c>
      <c r="AM447" s="441">
        <f>Ruimtestaat[[#This Row],[uren / jaar weekend]]+Ruimtestaat[[#This Row],[uren / jaar werkdagen]]</f>
        <v>0</v>
      </c>
      <c r="AN447" s="446">
        <f>Ruimtestaat[[#This Row],[kosten / jaar weekend]]+Ruimtestaat[[#This Row],[kosten / jaar werkdagen]]</f>
        <v>0</v>
      </c>
      <c r="AO447" s="446"/>
      <c r="AP447" s="447" t="str">
        <f>IF(Ruimtestaat[[#This Row],[Frequentie werkdagen]]="","",_xlfn.CONCAT(Ruimtestaat[[#This Row],[Ruimte code]],"-",Ruimtestaat[[#This Row],[Frequentie werkdagen]]," ",Ruimtestaat[[#This Row],[Vloer code]]))</f>
        <v>5-5w S</v>
      </c>
      <c r="AQ447" s="448" t="str">
        <f>_xlfn.IFNA(VLOOKUP($AP447,Programma!$F$3:$G$1101,2,0),"")</f>
        <v>_</v>
      </c>
      <c r="AR447" s="448" t="str">
        <f>_xlfn.IFNA(VLOOKUP($AP447,Programma!$F$3:$H$1101,3,0),"")</f>
        <v>_</v>
      </c>
      <c r="AS447" s="448" t="str">
        <f>_xlfn.IFNA(VLOOKUP($AP447,Programma!$F$3:$I$1101,4,0),"")</f>
        <v>_</v>
      </c>
      <c r="AT447" s="448" t="str">
        <f>_xlfn.IFNA(VLOOKUP($AP447,Programma!$F$3:$J$1101,5,0),"")</f>
        <v>4w</v>
      </c>
      <c r="AU447" s="448" t="str">
        <f>_xlfn.IFNA(VLOOKUP($AP447,Programma!$F$3:$K$1101,6,0),"")</f>
        <v>1w</v>
      </c>
      <c r="AV447" s="448" t="str">
        <f>_xlfn.IFNA(VLOOKUP($AP447,Programma!$F$3:$L$1101,7,0),"")</f>
        <v>_</v>
      </c>
      <c r="AW447" s="448" t="str">
        <f>_xlfn.IFNA(VLOOKUP($AP447,Programma!$F$3:$M$1101,8,0),"")</f>
        <v>_</v>
      </c>
      <c r="AX447" s="448" t="str">
        <f>_xlfn.IFNA(VLOOKUP($AP447,Programma!$F$3:$N$1101,9,0),"")</f>
        <v>_</v>
      </c>
      <c r="AY447" s="448" t="str">
        <f>_xlfn.IFNA(VLOOKUP($AP447,Programma!$F$3:$O$1101,10,0),"")</f>
        <v>_</v>
      </c>
      <c r="AZ447" s="448" t="str">
        <f>_xlfn.IFNA(VLOOKUP($AP447,Programma!$F$3:$P$1101,11,0),"")</f>
        <v>_</v>
      </c>
      <c r="BA447" s="448" t="str">
        <f>_xlfn.IFNA(VLOOKUP($AP447,Programma!$F$3:$Q$1101,12,0),"")</f>
        <v>_</v>
      </c>
      <c r="BB447" s="448" t="str">
        <f>_xlfn.IFNA(VLOOKUP($AP447,Programma!$F$3:$R$1101,13,0),"")</f>
        <v>_</v>
      </c>
      <c r="BC447" s="448" t="str">
        <f>_xlfn.IFNA(VLOOKUP($AP447,Programma!$F$3:$S$1101,14,0),"")</f>
        <v>_</v>
      </c>
      <c r="BD447" s="448" t="str">
        <f>_xlfn.IFNA(VLOOKUP($AP447,Programma!$F$3:$T$1101,15,0),"")</f>
        <v>_</v>
      </c>
      <c r="BE447" s="448" t="str">
        <f>_xlfn.IFNA(VLOOKUP($AP447,Programma!$F$3:$U$1101,16,0),"")</f>
        <v>_</v>
      </c>
      <c r="BF447" s="448" t="str">
        <f>_xlfn.IFNA(VLOOKUP($AP447,Programma!$F$3:$V$1101,17,0),"")</f>
        <v>_</v>
      </c>
      <c r="BG447" s="448" t="str">
        <f>_xlfn.IFNA(VLOOKUP($AP447,Programma!$F$3:$W$1101,18,0),"")</f>
        <v>4w</v>
      </c>
      <c r="BH447" s="448" t="str">
        <f>_xlfn.IFNA(VLOOKUP($AP447,Programma!$F$3:$X$1101,19,0),"")</f>
        <v>1w</v>
      </c>
      <c r="BI447" s="448" t="str">
        <f>_xlfn.IFNA(VLOOKUP($AP447,Programma!$F$3:$Y$1101,20,0),"")</f>
        <v>_</v>
      </c>
      <c r="BJ447" s="449"/>
      <c r="BK447" s="447" t="str">
        <f>IF(Ruimtestaat[[#This Row],[Frequentie weekend]]="","",_xlfn.CONCAT(Ruimtestaat[[#This Row],[Ruimte code]],"-",Ruimtestaat[[#This Row],[Frequentie weekend]]," ",Ruimtestaat[[#This Row],[Vloer code]]))</f>
        <v/>
      </c>
      <c r="BL447" s="448" t="str">
        <f>_xlfn.IFNA(VLOOKUP($BK447,Programma!$F$3:$G$1101,2,0),"")</f>
        <v/>
      </c>
      <c r="BM447" s="448" t="str">
        <f>_xlfn.IFNA(VLOOKUP($BK447,Programma!$F$3:$H$1101,3,0),"")</f>
        <v/>
      </c>
      <c r="BN447" s="448" t="str">
        <f>_xlfn.IFNA(VLOOKUP($BK447,Programma!$F$3:$I$1101,4,0),"")</f>
        <v/>
      </c>
      <c r="BO447" s="448" t="str">
        <f>_xlfn.IFNA(VLOOKUP($BK447,Programma!$F$3:$J$1101,5,0),"")</f>
        <v/>
      </c>
      <c r="BP447" s="448" t="str">
        <f>_xlfn.IFNA(VLOOKUP($BK447,Programma!$F$3:$K$1101,6,0),"")</f>
        <v/>
      </c>
      <c r="BQ447" s="448" t="str">
        <f>_xlfn.IFNA(VLOOKUP($BK447,Programma!$F$3:$L$1101,7,0),"")</f>
        <v/>
      </c>
      <c r="BR447" s="448" t="str">
        <f>_xlfn.IFNA(VLOOKUP($BK447,Programma!$F$3:$M$1101,8,0),"")</f>
        <v/>
      </c>
      <c r="BS447" s="448" t="str">
        <f>_xlfn.IFNA(VLOOKUP($BK447,Programma!$F$3:$N$1101,9,0),"")</f>
        <v/>
      </c>
      <c r="BT447" s="448" t="str">
        <f>_xlfn.IFNA(VLOOKUP($BK447,Programma!$F$3:$O$1101,10,0),"")</f>
        <v/>
      </c>
      <c r="BU447" s="448" t="str">
        <f>_xlfn.IFNA(VLOOKUP($BK447,Programma!$F$3:$P$1101,11,0),"")</f>
        <v/>
      </c>
      <c r="BV447" s="448" t="str">
        <f>_xlfn.IFNA(VLOOKUP($BK447,Programma!$F$3:$Q$1101,12,0),"")</f>
        <v/>
      </c>
      <c r="BW447" s="448" t="str">
        <f>_xlfn.IFNA(VLOOKUP($BK447,Programma!$F$3:$R$1101,13,0),"")</f>
        <v/>
      </c>
      <c r="BX447" s="448" t="str">
        <f>_xlfn.IFNA(VLOOKUP($BK447,Programma!$F$3:$S$1101,14,0),"")</f>
        <v/>
      </c>
      <c r="BY447" s="448" t="str">
        <f>_xlfn.IFNA(VLOOKUP($BK447,Programma!$F$3:$T$1101,15,0),"")</f>
        <v/>
      </c>
      <c r="BZ447" s="448" t="str">
        <f>_xlfn.IFNA(VLOOKUP($BK447,Programma!$F$3:$U$1101,16,0),"")</f>
        <v/>
      </c>
      <c r="CA447" s="448" t="str">
        <f>_xlfn.IFNA(VLOOKUP($BK447,Programma!$F$3:$V$1101,17,0),"")</f>
        <v/>
      </c>
      <c r="CB447" s="448" t="str">
        <f>_xlfn.IFNA(VLOOKUP($BK447,Programma!$F$3:$W$1101,18,0),"")</f>
        <v/>
      </c>
      <c r="CC447" s="448" t="str">
        <f>_xlfn.IFNA(VLOOKUP($BK447,Programma!$F$3:$X$1101,19,0),"")</f>
        <v/>
      </c>
      <c r="CD447" s="448" t="str">
        <f>_xlfn.IFNA(VLOOKUP($BK447,Programma!$F$3:$Y$1101,20,0),"")</f>
        <v/>
      </c>
      <c r="CE447" s="327"/>
      <c r="CF447" s="327"/>
      <c r="CG447" s="327"/>
      <c r="CH447" s="327"/>
      <c r="CI447" s="327"/>
      <c r="CJ447" s="327"/>
      <c r="CK447" s="327"/>
      <c r="CL447" s="327"/>
      <c r="CM447" s="327"/>
      <c r="CN447" s="327"/>
      <c r="CO447" s="327"/>
      <c r="CP447" s="327"/>
      <c r="CQ447" s="327"/>
      <c r="CR447" s="327"/>
      <c r="CS447" s="327"/>
      <c r="CT447" s="327"/>
      <c r="CU447" s="327"/>
      <c r="CV447" s="327"/>
      <c r="CW447" s="327"/>
      <c r="CX447" s="327"/>
      <c r="CY447" s="327"/>
      <c r="CZ447" s="327"/>
      <c r="DA447" s="327"/>
      <c r="DB447" s="327"/>
      <c r="DC447" s="327"/>
      <c r="DD447" s="327"/>
      <c r="DE447" s="327"/>
      <c r="DF447" s="327"/>
      <c r="DG447" s="327"/>
      <c r="DH447" s="327"/>
      <c r="DI447" s="327"/>
      <c r="DJ447" s="327"/>
      <c r="DK447" s="327"/>
      <c r="DL447" s="327"/>
      <c r="DM447" s="327"/>
      <c r="DN447" s="327"/>
      <c r="DO447" s="327"/>
      <c r="DP447" s="327"/>
      <c r="DQ447" s="327"/>
      <c r="DR447" s="327"/>
      <c r="DS447" s="327"/>
      <c r="DT447" s="327"/>
      <c r="DU447" s="327"/>
      <c r="DV447" s="327"/>
      <c r="DW447" s="327"/>
      <c r="DX447" s="327"/>
      <c r="DY447" s="327"/>
      <c r="DZ447" s="327"/>
      <c r="EA447" s="327"/>
      <c r="EB447" s="327"/>
      <c r="EC447" s="327"/>
      <c r="ED447" s="327"/>
      <c r="EE447" s="327"/>
      <c r="EF447" s="327"/>
      <c r="EG447" s="327"/>
      <c r="EH447" s="327"/>
      <c r="EI447" s="327"/>
      <c r="EJ447" s="327"/>
      <c r="EK447" s="327"/>
      <c r="EL447" s="327"/>
      <c r="EM447" s="327"/>
      <c r="EN447" s="327"/>
      <c r="EO447" s="327"/>
      <c r="EP447" s="327"/>
      <c r="EQ447" s="327"/>
      <c r="ER447" s="327"/>
      <c r="ES447" s="327"/>
      <c r="ET447" s="327"/>
      <c r="EU447" s="327"/>
      <c r="EV447" s="327"/>
      <c r="EW447" s="327"/>
      <c r="EX447" s="327"/>
      <c r="EY447" s="327"/>
      <c r="EZ447" s="327"/>
      <c r="FA447" s="327"/>
      <c r="FB447" s="327"/>
      <c r="FC447" s="327"/>
      <c r="FD447" s="327"/>
      <c r="FE447" s="327"/>
      <c r="FF447" s="327"/>
      <c r="FG447" s="327"/>
      <c r="FH447" s="327"/>
      <c r="FI447" s="327"/>
      <c r="FJ447" s="327"/>
      <c r="FK447" s="327"/>
      <c r="FL447" s="327"/>
      <c r="FM447" s="327"/>
      <c r="FN447" s="327"/>
      <c r="FO447" s="327"/>
      <c r="FP447" s="327"/>
      <c r="FQ447" s="327"/>
      <c r="FR447" s="327"/>
      <c r="FS447" s="327"/>
      <c r="FT447" s="327"/>
      <c r="FU447" s="327"/>
      <c r="FV447" s="327"/>
      <c r="FW447" s="327"/>
      <c r="FX447" s="327"/>
      <c r="FY447" s="327"/>
      <c r="FZ447" s="327"/>
      <c r="GA447" s="327"/>
      <c r="GB447" s="327"/>
      <c r="GC447" s="327"/>
      <c r="GD447" s="327"/>
      <c r="GE447" s="327"/>
      <c r="GF447" s="327"/>
      <c r="GG447" s="327"/>
      <c r="GH447" s="327"/>
      <c r="GI447" s="327"/>
      <c r="GJ447" s="327"/>
      <c r="GK447" s="327"/>
      <c r="GL447" s="327"/>
      <c r="GM447" s="327"/>
      <c r="GN447" s="327"/>
      <c r="GO447" s="327"/>
      <c r="GP447" s="327"/>
      <c r="GQ447" s="327"/>
      <c r="GR447" s="327"/>
      <c r="GS447" s="327"/>
      <c r="GT447" s="327"/>
      <c r="GU447" s="327"/>
      <c r="GV447" s="327"/>
      <c r="GW447" s="327"/>
      <c r="GX447" s="327"/>
      <c r="GY447" s="327"/>
      <c r="GZ447" s="327"/>
      <c r="HA447" s="327"/>
      <c r="HB447" s="327"/>
      <c r="HC447" s="327"/>
      <c r="HD447" s="327"/>
      <c r="HE447" s="327"/>
      <c r="HF447" s="327"/>
      <c r="HG447" s="327"/>
      <c r="HH447" s="327"/>
      <c r="HI447" s="327"/>
      <c r="HJ447" s="327"/>
      <c r="HK447" s="327"/>
      <c r="HL447" s="327"/>
      <c r="HM447" s="327"/>
      <c r="HN447" s="327"/>
      <c r="HO447" s="327"/>
      <c r="HP447" s="327"/>
      <c r="HQ447" s="327"/>
      <c r="HR447" s="327"/>
      <c r="HS447" s="327"/>
    </row>
    <row r="448" spans="1:227" ht="15" customHeight="1">
      <c r="A448" s="327">
        <v>17</v>
      </c>
      <c r="B448" s="435" t="str">
        <f>VLOOKUP(Ruimtestaat[[#This Row],[Code]],Locaties[[Code]:[Locatie]],2,FALSE)</f>
        <v>IKC de Tjalk Kadelaan 208 (bijgebouw)</v>
      </c>
      <c r="C448" s="435" t="str">
        <f>VLOOKUP(Ruimtestaat[[#This Row],[Code]],Locaties[[#All],[Code]:[Adres]],4,FALSE)</f>
        <v>Kadelaan 208</v>
      </c>
      <c r="D448" s="435" t="str">
        <f>VLOOKUP(Ruimtestaat[[#This Row],[Code]],Locaties[[#All],[Code]:[Postcode]],5,FALSE)</f>
        <v>2725 BR</v>
      </c>
      <c r="E448" s="435" t="str">
        <f>VLOOKUP(Ruimtestaat[[#This Row],[Code]],Locaties[#All],6,FALSE)</f>
        <v>Zoetermeer</v>
      </c>
      <c r="F448" s="450"/>
      <c r="G448" s="330" t="s">
        <v>1769</v>
      </c>
      <c r="H448" s="330">
        <v>109</v>
      </c>
      <c r="I448" s="450" t="s">
        <v>1720</v>
      </c>
      <c r="J448" s="330">
        <v>5</v>
      </c>
      <c r="K448" s="450" t="str">
        <f>VLOOKUP(Ruimtestaat[[#This Row],[Ruimte code]],Ruimtegroepen[[#All],[Code]:[Ruimte omschrijving]],2,FALSE)</f>
        <v>Sanitair</v>
      </c>
      <c r="L448" s="434" t="s">
        <v>101</v>
      </c>
      <c r="M448" s="437" t="s">
        <v>1816</v>
      </c>
      <c r="N448" s="439">
        <v>6.24</v>
      </c>
      <c r="O448" s="439"/>
      <c r="P448" s="439"/>
      <c r="Q448" s="439"/>
      <c r="R448" s="440" t="str">
        <f>VLOOKUP(Ruimtestaat[[#This Row],[Ruimte code]],Ruimtegroepen[],4,FALSE)</f>
        <v>Sa</v>
      </c>
      <c r="S448" s="434">
        <v>41</v>
      </c>
      <c r="T448" s="434" t="s">
        <v>2</v>
      </c>
      <c r="U448" s="434">
        <f>IF(S448&gt;0,IF(RIGHT(Ruimtestaat[[#This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48" s="434">
        <f>IF(U448&gt;0,VLOOKUP($J448,Ruimtegroepen[],3,FALSE)*VLOOKUP($L448,Vloersoorten[],3,FALSE)*VLOOKUP($T448,Frequenties[],3,FALSE)*VLOOKUP($A448,Locaties[],3,FALSE),0)</f>
        <v>0</v>
      </c>
      <c r="W448" s="434">
        <f>Ruimtestaat[[#This Row],[Uitvoeringen werkdagen]]*Ruimtestaat[[#This Row],[Oppervlak (netto)]]</f>
        <v>1279.2</v>
      </c>
      <c r="X448" s="441">
        <f>IF(V448&gt;0,Ruimtestaat[[#This Row],[Prest. (m2 /jaar) werkdagen]]/Ruimtestaat[[#This Row],[Norm (m2/uur) werkdagen]],0)</f>
        <v>0</v>
      </c>
      <c r="Y448" s="442">
        <f>Ruimtestaat[[#This Row],[Uitvoeringen werkdagen]]*Ruimtestaat[[#This Row],[Gedeeltelijk]]</f>
        <v>0</v>
      </c>
      <c r="Z448" s="443" t="e">
        <f>IF(U448&gt;0,Ruimtestaat[[#This Row],[Prest. (m2 / jaar) werkdagen gedeeld]]/Ruimtestaat[[#This Row],[Norm (m2/uur) werkdagen]],0)</f>
        <v>#DIV/0!</v>
      </c>
      <c r="AA448" s="441" t="e">
        <f>Ruimtestaat[[#This Row],[uren / jaar werkdagen gedeeld]]*Tariefsopbouw!$E$35</f>
        <v>#DIV/0!</v>
      </c>
      <c r="AB448" s="441">
        <f>Ruimtestaat[[#This Row],[Uitvoeringen werkdagen]]*Ruimtestaat[[#This Row],[BSO]]</f>
        <v>0</v>
      </c>
      <c r="AC448" s="443" t="e">
        <f>IF(U448&gt;0,Ruimtestaat[[#This Row],[Prest. (m2 / jaar) werkdagen BSO]]/Ruimtestaat[[#This Row],[Norm (m2/uur) werkdagen]],0)</f>
        <v>#DIV/0!</v>
      </c>
      <c r="AD448" s="443" t="e">
        <f>Ruimtestaat[[#This Row],[uren / jaar werkdagen BSO]]*Tariefsopbouw!$E$35</f>
        <v>#DIV/0!</v>
      </c>
      <c r="AE448" s="444">
        <f>Ruimtestaat[[#This Row],[uren / jaar werkdagen]]*Tariefsopbouw!$E$35</f>
        <v>0</v>
      </c>
      <c r="AF448" s="434"/>
      <c r="AG448" s="434">
        <f>IF(Ruimtestaat[[#This Row],[Frequentie weekend]]&gt;0,VALUE(LEFT(AF448,1))*S448,0)</f>
        <v>0</v>
      </c>
      <c r="AH448" s="445">
        <f>IF($AG448&gt;0,VLOOKUP($J448,Ruimtegroepen[],3,FALSE)*VLOOKUP($L448,Vloersoorten[],3,FALSE)*VLOOKUP($AF448,Frequenties[],3,FALSE)*VLOOKUP(Ruimtestaat[[#This Row],[Code]],Locaties[],3,FALSE),0)</f>
        <v>0</v>
      </c>
      <c r="AI448" s="445">
        <f>Ruimtestaat[[#This Row],[Uitvoeringen weekend]]*Ruimtestaat[[#This Row],[Oppervlak (netto)]]</f>
        <v>0</v>
      </c>
      <c r="AJ448" s="445">
        <f>IF(AH448&gt;0,Ruimtestaat[[#This Row],[Prest. (m2 /jaar) weekend]]/Ruimtestaat[[#This Row],[Norm (m2/uur) weekend]],0)</f>
        <v>0</v>
      </c>
      <c r="AK448" s="444">
        <f>Ruimtestaat[[#This Row],[uren / jaar weekend]]*Tariefsopbouw!$D$40</f>
        <v>0</v>
      </c>
      <c r="AL448" s="441">
        <f>Ruimtestaat[[#This Row],[Prest. (m2 /jaar) weekend]]+Ruimtestaat[[#This Row],[Prest. (m2 /jaar) werkdagen]]</f>
        <v>1279.2</v>
      </c>
      <c r="AM448" s="441">
        <f>Ruimtestaat[[#This Row],[uren / jaar weekend]]+Ruimtestaat[[#This Row],[uren / jaar werkdagen]]</f>
        <v>0</v>
      </c>
      <c r="AN448" s="446">
        <f>Ruimtestaat[[#This Row],[kosten / jaar weekend]]+Ruimtestaat[[#This Row],[kosten / jaar werkdagen]]</f>
        <v>0</v>
      </c>
      <c r="AO448" s="446"/>
      <c r="AP448" s="447" t="str">
        <f>IF(Ruimtestaat[[#This Row],[Frequentie werkdagen]]="","",_xlfn.CONCAT(Ruimtestaat[[#This Row],[Ruimte code]],"-",Ruimtestaat[[#This Row],[Frequentie werkdagen]]," ",Ruimtestaat[[#This Row],[Vloer code]]))</f>
        <v>5-5w S</v>
      </c>
      <c r="AQ448" s="448" t="str">
        <f>_xlfn.IFNA(VLOOKUP($AP448,Programma!$F$3:$G$1101,2,0),"")</f>
        <v>_</v>
      </c>
      <c r="AR448" s="448" t="str">
        <f>_xlfn.IFNA(VLOOKUP($AP448,Programma!$F$3:$H$1101,3,0),"")</f>
        <v>_</v>
      </c>
      <c r="AS448" s="448" t="str">
        <f>_xlfn.IFNA(VLOOKUP($AP448,Programma!$F$3:$I$1101,4,0),"")</f>
        <v>_</v>
      </c>
      <c r="AT448" s="448" t="str">
        <f>_xlfn.IFNA(VLOOKUP($AP448,Programma!$F$3:$J$1101,5,0),"")</f>
        <v>4w</v>
      </c>
      <c r="AU448" s="448" t="str">
        <f>_xlfn.IFNA(VLOOKUP($AP448,Programma!$F$3:$K$1101,6,0),"")</f>
        <v>1w</v>
      </c>
      <c r="AV448" s="448" t="str">
        <f>_xlfn.IFNA(VLOOKUP($AP448,Programma!$F$3:$L$1101,7,0),"")</f>
        <v>_</v>
      </c>
      <c r="AW448" s="448" t="str">
        <f>_xlfn.IFNA(VLOOKUP($AP448,Programma!$F$3:$M$1101,8,0),"")</f>
        <v>_</v>
      </c>
      <c r="AX448" s="448" t="str">
        <f>_xlfn.IFNA(VLOOKUP($AP448,Programma!$F$3:$N$1101,9,0),"")</f>
        <v>_</v>
      </c>
      <c r="AY448" s="448" t="str">
        <f>_xlfn.IFNA(VLOOKUP($AP448,Programma!$F$3:$O$1101,10,0),"")</f>
        <v>_</v>
      </c>
      <c r="AZ448" s="448" t="str">
        <f>_xlfn.IFNA(VLOOKUP($AP448,Programma!$F$3:$P$1101,11,0),"")</f>
        <v>_</v>
      </c>
      <c r="BA448" s="448" t="str">
        <f>_xlfn.IFNA(VLOOKUP($AP448,Programma!$F$3:$Q$1101,12,0),"")</f>
        <v>_</v>
      </c>
      <c r="BB448" s="448" t="str">
        <f>_xlfn.IFNA(VLOOKUP($AP448,Programma!$F$3:$R$1101,13,0),"")</f>
        <v>_</v>
      </c>
      <c r="BC448" s="448" t="str">
        <f>_xlfn.IFNA(VLOOKUP($AP448,Programma!$F$3:$S$1101,14,0),"")</f>
        <v>_</v>
      </c>
      <c r="BD448" s="448" t="str">
        <f>_xlfn.IFNA(VLOOKUP($AP448,Programma!$F$3:$T$1101,15,0),"")</f>
        <v>_</v>
      </c>
      <c r="BE448" s="448" t="str">
        <f>_xlfn.IFNA(VLOOKUP($AP448,Programma!$F$3:$U$1101,16,0),"")</f>
        <v>_</v>
      </c>
      <c r="BF448" s="448" t="str">
        <f>_xlfn.IFNA(VLOOKUP($AP448,Programma!$F$3:$V$1101,17,0),"")</f>
        <v>_</v>
      </c>
      <c r="BG448" s="448" t="str">
        <f>_xlfn.IFNA(VLOOKUP($AP448,Programma!$F$3:$W$1101,18,0),"")</f>
        <v>4w</v>
      </c>
      <c r="BH448" s="448" t="str">
        <f>_xlfn.IFNA(VLOOKUP($AP448,Programma!$F$3:$X$1101,19,0),"")</f>
        <v>1w</v>
      </c>
      <c r="BI448" s="448" t="str">
        <f>_xlfn.IFNA(VLOOKUP($AP448,Programma!$F$3:$Y$1101,20,0),"")</f>
        <v>_</v>
      </c>
      <c r="BJ448" s="449"/>
      <c r="BK448" s="447" t="str">
        <f>IF(Ruimtestaat[[#This Row],[Frequentie weekend]]="","",_xlfn.CONCAT(Ruimtestaat[[#This Row],[Ruimte code]],"-",Ruimtestaat[[#This Row],[Frequentie weekend]]," ",Ruimtestaat[[#This Row],[Vloer code]]))</f>
        <v/>
      </c>
      <c r="BL448" s="448" t="str">
        <f>_xlfn.IFNA(VLOOKUP($BK448,Programma!$F$3:$G$1101,2,0),"")</f>
        <v/>
      </c>
      <c r="BM448" s="448" t="str">
        <f>_xlfn.IFNA(VLOOKUP($BK448,Programma!$F$3:$H$1101,3,0),"")</f>
        <v/>
      </c>
      <c r="BN448" s="448" t="str">
        <f>_xlfn.IFNA(VLOOKUP($BK448,Programma!$F$3:$I$1101,4,0),"")</f>
        <v/>
      </c>
      <c r="BO448" s="448" t="str">
        <f>_xlfn.IFNA(VLOOKUP($BK448,Programma!$F$3:$J$1101,5,0),"")</f>
        <v/>
      </c>
      <c r="BP448" s="448" t="str">
        <f>_xlfn.IFNA(VLOOKUP($BK448,Programma!$F$3:$K$1101,6,0),"")</f>
        <v/>
      </c>
      <c r="BQ448" s="448" t="str">
        <f>_xlfn.IFNA(VLOOKUP($BK448,Programma!$F$3:$L$1101,7,0),"")</f>
        <v/>
      </c>
      <c r="BR448" s="448" t="str">
        <f>_xlfn.IFNA(VLOOKUP($BK448,Programma!$F$3:$M$1101,8,0),"")</f>
        <v/>
      </c>
      <c r="BS448" s="448" t="str">
        <f>_xlfn.IFNA(VLOOKUP($BK448,Programma!$F$3:$N$1101,9,0),"")</f>
        <v/>
      </c>
      <c r="BT448" s="448" t="str">
        <f>_xlfn.IFNA(VLOOKUP($BK448,Programma!$F$3:$O$1101,10,0),"")</f>
        <v/>
      </c>
      <c r="BU448" s="448" t="str">
        <f>_xlfn.IFNA(VLOOKUP($BK448,Programma!$F$3:$P$1101,11,0),"")</f>
        <v/>
      </c>
      <c r="BV448" s="448" t="str">
        <f>_xlfn.IFNA(VLOOKUP($BK448,Programma!$F$3:$Q$1101,12,0),"")</f>
        <v/>
      </c>
      <c r="BW448" s="448" t="str">
        <f>_xlfn.IFNA(VLOOKUP($BK448,Programma!$F$3:$R$1101,13,0),"")</f>
        <v/>
      </c>
      <c r="BX448" s="448" t="str">
        <f>_xlfn.IFNA(VLOOKUP($BK448,Programma!$F$3:$S$1101,14,0),"")</f>
        <v/>
      </c>
      <c r="BY448" s="448" t="str">
        <f>_xlfn.IFNA(VLOOKUP($BK448,Programma!$F$3:$T$1101,15,0),"")</f>
        <v/>
      </c>
      <c r="BZ448" s="448" t="str">
        <f>_xlfn.IFNA(VLOOKUP($BK448,Programma!$F$3:$U$1101,16,0),"")</f>
        <v/>
      </c>
      <c r="CA448" s="448" t="str">
        <f>_xlfn.IFNA(VLOOKUP($BK448,Programma!$F$3:$V$1101,17,0),"")</f>
        <v/>
      </c>
      <c r="CB448" s="448" t="str">
        <f>_xlfn.IFNA(VLOOKUP($BK448,Programma!$F$3:$W$1101,18,0),"")</f>
        <v/>
      </c>
      <c r="CC448" s="448" t="str">
        <f>_xlfn.IFNA(VLOOKUP($BK448,Programma!$F$3:$X$1101,19,0),"")</f>
        <v/>
      </c>
      <c r="CD448" s="448" t="str">
        <f>_xlfn.IFNA(VLOOKUP($BK448,Programma!$F$3:$Y$1101,20,0),"")</f>
        <v/>
      </c>
      <c r="CE448" s="327"/>
      <c r="CF448" s="327"/>
      <c r="CG448" s="327"/>
      <c r="CH448" s="327"/>
      <c r="CI448" s="327"/>
      <c r="CJ448" s="327"/>
      <c r="CK448" s="327"/>
      <c r="CL448" s="327"/>
      <c r="CM448" s="327"/>
      <c r="CN448" s="327"/>
      <c r="CO448" s="327"/>
      <c r="CP448" s="327"/>
      <c r="CQ448" s="327"/>
      <c r="CR448" s="327"/>
      <c r="CS448" s="327"/>
      <c r="CT448" s="327"/>
      <c r="CU448" s="327"/>
      <c r="CV448" s="327"/>
      <c r="CW448" s="327"/>
      <c r="CX448" s="327"/>
      <c r="CY448" s="327"/>
      <c r="CZ448" s="327"/>
      <c r="DA448" s="327"/>
      <c r="DB448" s="327"/>
      <c r="DC448" s="327"/>
      <c r="DD448" s="327"/>
      <c r="DE448" s="327"/>
      <c r="DF448" s="327"/>
      <c r="DG448" s="327"/>
      <c r="DH448" s="327"/>
      <c r="DI448" s="327"/>
      <c r="DJ448" s="327"/>
      <c r="DK448" s="327"/>
      <c r="DL448" s="327"/>
      <c r="DM448" s="327"/>
      <c r="DN448" s="327"/>
      <c r="DO448" s="327"/>
      <c r="DP448" s="327"/>
      <c r="DQ448" s="327"/>
      <c r="DR448" s="327"/>
      <c r="DS448" s="327"/>
      <c r="DT448" s="327"/>
      <c r="DU448" s="327"/>
      <c r="DV448" s="327"/>
      <c r="DW448" s="327"/>
      <c r="DX448" s="327"/>
      <c r="DY448" s="327"/>
      <c r="DZ448" s="327"/>
      <c r="EA448" s="327"/>
      <c r="EB448" s="327"/>
      <c r="EC448" s="327"/>
      <c r="ED448" s="327"/>
      <c r="EE448" s="327"/>
      <c r="EF448" s="327"/>
      <c r="EG448" s="327"/>
      <c r="EH448" s="327"/>
      <c r="EI448" s="327"/>
      <c r="EJ448" s="327"/>
      <c r="EK448" s="327"/>
      <c r="EL448" s="327"/>
      <c r="EM448" s="327"/>
      <c r="EN448" s="327"/>
      <c r="EO448" s="327"/>
      <c r="EP448" s="327"/>
      <c r="EQ448" s="327"/>
      <c r="ER448" s="327"/>
      <c r="ES448" s="327"/>
      <c r="ET448" s="327"/>
      <c r="EU448" s="327"/>
      <c r="EV448" s="327"/>
      <c r="EW448" s="327"/>
      <c r="EX448" s="327"/>
      <c r="EY448" s="327"/>
      <c r="EZ448" s="327"/>
      <c r="FA448" s="327"/>
      <c r="FB448" s="327"/>
      <c r="FC448" s="327"/>
      <c r="FD448" s="327"/>
      <c r="FE448" s="327"/>
      <c r="FF448" s="327"/>
      <c r="FG448" s="327"/>
      <c r="FH448" s="327"/>
      <c r="FI448" s="327"/>
      <c r="FJ448" s="327"/>
      <c r="FK448" s="327"/>
      <c r="FL448" s="327"/>
      <c r="FM448" s="327"/>
      <c r="FN448" s="327"/>
      <c r="FO448" s="327"/>
      <c r="FP448" s="327"/>
      <c r="FQ448" s="327"/>
      <c r="FR448" s="327"/>
      <c r="FS448" s="327"/>
      <c r="FT448" s="327"/>
      <c r="FU448" s="327"/>
      <c r="FV448" s="327"/>
      <c r="FW448" s="327"/>
      <c r="FX448" s="327"/>
      <c r="FY448" s="327"/>
      <c r="FZ448" s="327"/>
      <c r="GA448" s="327"/>
      <c r="GB448" s="327"/>
      <c r="GC448" s="327"/>
      <c r="GD448" s="327"/>
      <c r="GE448" s="327"/>
      <c r="GF448" s="327"/>
      <c r="GG448" s="327"/>
      <c r="GH448" s="327"/>
      <c r="GI448" s="327"/>
      <c r="GJ448" s="327"/>
      <c r="GK448" s="327"/>
      <c r="GL448" s="327"/>
      <c r="GM448" s="327"/>
      <c r="GN448" s="327"/>
      <c r="GO448" s="327"/>
      <c r="GP448" s="327"/>
      <c r="GQ448" s="327"/>
      <c r="GR448" s="327"/>
      <c r="GS448" s="327"/>
      <c r="GT448" s="327"/>
      <c r="GU448" s="327"/>
      <c r="GV448" s="327"/>
      <c r="GW448" s="327"/>
      <c r="GX448" s="327"/>
      <c r="GY448" s="327"/>
      <c r="GZ448" s="327"/>
      <c r="HA448" s="327"/>
      <c r="HB448" s="327"/>
      <c r="HC448" s="327"/>
      <c r="HD448" s="327"/>
      <c r="HE448" s="327"/>
      <c r="HF448" s="327"/>
      <c r="HG448" s="327"/>
      <c r="HH448" s="327"/>
      <c r="HI448" s="327"/>
      <c r="HJ448" s="327"/>
      <c r="HK448" s="327"/>
      <c r="HL448" s="327"/>
      <c r="HM448" s="327"/>
      <c r="HN448" s="327"/>
      <c r="HO448" s="327"/>
      <c r="HP448" s="327"/>
      <c r="HQ448" s="327"/>
      <c r="HR448" s="327"/>
      <c r="HS448" s="327"/>
    </row>
    <row r="449" spans="1:227" ht="15" customHeight="1">
      <c r="A449" s="327">
        <v>17</v>
      </c>
      <c r="B449" s="435" t="str">
        <f>VLOOKUP(Ruimtestaat[[#This Row],[Code]],Locaties[[Code]:[Locatie]],2,FALSE)</f>
        <v>IKC de Tjalk Kadelaan 208 (bijgebouw)</v>
      </c>
      <c r="C449" s="435" t="str">
        <f>VLOOKUP(Ruimtestaat[[#This Row],[Code]],Locaties[[#All],[Code]:[Adres]],4,FALSE)</f>
        <v>Kadelaan 208</v>
      </c>
      <c r="D449" s="435" t="str">
        <f>VLOOKUP(Ruimtestaat[[#This Row],[Code]],Locaties[[#All],[Code]:[Postcode]],5,FALSE)</f>
        <v>2725 BR</v>
      </c>
      <c r="E449" s="435" t="str">
        <f>VLOOKUP(Ruimtestaat[[#This Row],[Code]],Locaties[#All],6,FALSE)</f>
        <v>Zoetermeer</v>
      </c>
      <c r="F449" s="450"/>
      <c r="G449" s="330" t="s">
        <v>1769</v>
      </c>
      <c r="I449" s="450" t="s">
        <v>1868</v>
      </c>
      <c r="J449" s="330">
        <v>20</v>
      </c>
      <c r="K449" s="450" t="str">
        <f>VLOOKUP(Ruimtestaat[[#This Row],[Ruimte code]],Ruimtegroepen[[#All],[Code]:[Ruimte omschrijving]],2,FALSE)</f>
        <v>Niet in Onderhoud</v>
      </c>
      <c r="L449" s="434" t="s">
        <v>101</v>
      </c>
      <c r="M449" s="437" t="s">
        <v>1816</v>
      </c>
      <c r="N449" s="439"/>
      <c r="O449" s="439">
        <v>9.1199999999999992</v>
      </c>
      <c r="P449" s="439"/>
      <c r="Q449" s="439"/>
      <c r="R449" s="440">
        <f>VLOOKUP(Ruimtestaat[[#This Row],[Ruimte code]],Ruimtegroepen[],4,FALSE)</f>
        <v>0</v>
      </c>
      <c r="S449" s="434"/>
      <c r="T449" s="434"/>
      <c r="U449" s="434">
        <f>IF(S449&gt;0,IF(RIGHT(Ruimtestaat[[#This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49" s="434">
        <f>IF(U449&gt;0,VLOOKUP($J449,Ruimtegroepen[],3,FALSE)*VLOOKUP($L449,Vloersoorten[],3,FALSE)*VLOOKUP($T449,Frequenties[],3,FALSE)*VLOOKUP($A449,Locaties[],3,FALSE),0)</f>
        <v>0</v>
      </c>
      <c r="W449" s="434">
        <f>Ruimtestaat[[#This Row],[Uitvoeringen werkdagen]]*Ruimtestaat[[#This Row],[Oppervlak (netto)]]</f>
        <v>0</v>
      </c>
      <c r="X449" s="441">
        <f>IF(V449&gt;0,Ruimtestaat[[#This Row],[Prest. (m2 /jaar) werkdagen]]/Ruimtestaat[[#This Row],[Norm (m2/uur) werkdagen]],0)</f>
        <v>0</v>
      </c>
      <c r="Y449" s="442">
        <f>Ruimtestaat[[#This Row],[Uitvoeringen werkdagen]]*Ruimtestaat[[#This Row],[Gedeeltelijk]]</f>
        <v>0</v>
      </c>
      <c r="Z449" s="443">
        <f>IF(U449&gt;0,Ruimtestaat[[#This Row],[Prest. (m2 / jaar) werkdagen gedeeld]]/Ruimtestaat[[#This Row],[Norm (m2/uur) werkdagen]],0)</f>
        <v>0</v>
      </c>
      <c r="AA449" s="441">
        <f>Ruimtestaat[[#This Row],[uren / jaar werkdagen gedeeld]]*Tariefsopbouw!$E$35</f>
        <v>0</v>
      </c>
      <c r="AB449" s="441">
        <f>Ruimtestaat[[#This Row],[Uitvoeringen werkdagen]]*Ruimtestaat[[#This Row],[BSO]]</f>
        <v>0</v>
      </c>
      <c r="AC449" s="443">
        <f>IF(U449&gt;0,Ruimtestaat[[#This Row],[Prest. (m2 / jaar) werkdagen BSO]]/Ruimtestaat[[#This Row],[Norm (m2/uur) werkdagen]],0)</f>
        <v>0</v>
      </c>
      <c r="AD449" s="443">
        <f>Ruimtestaat[[#This Row],[uren / jaar werkdagen BSO]]*Tariefsopbouw!$E$35</f>
        <v>0</v>
      </c>
      <c r="AE449" s="444">
        <f>Ruimtestaat[[#This Row],[uren / jaar werkdagen]]*Tariefsopbouw!$E$35</f>
        <v>0</v>
      </c>
      <c r="AF449" s="434"/>
      <c r="AG449" s="434">
        <f>IF(Ruimtestaat[[#This Row],[Frequentie weekend]]&gt;0,VALUE(LEFT(AF449,1))*S449,0)</f>
        <v>0</v>
      </c>
      <c r="AH449" s="445">
        <f>IF($AG449&gt;0,VLOOKUP($J449,Ruimtegroepen[],3,FALSE)*VLOOKUP($L449,Vloersoorten[],3,FALSE)*VLOOKUP($AF449,Frequenties[],3,FALSE)*VLOOKUP(Ruimtestaat[[#This Row],[Code]],Locaties[],3,FALSE),0)</f>
        <v>0</v>
      </c>
      <c r="AI449" s="445">
        <f>Ruimtestaat[[#This Row],[Uitvoeringen weekend]]*Ruimtestaat[[#This Row],[Oppervlak (netto)]]</f>
        <v>0</v>
      </c>
      <c r="AJ449" s="445">
        <f>IF(AH449&gt;0,Ruimtestaat[[#This Row],[Prest. (m2 /jaar) weekend]]/Ruimtestaat[[#This Row],[Norm (m2/uur) weekend]],0)</f>
        <v>0</v>
      </c>
      <c r="AK449" s="444">
        <f>Ruimtestaat[[#This Row],[uren / jaar weekend]]*Tariefsopbouw!$D$40</f>
        <v>0</v>
      </c>
      <c r="AL449" s="441">
        <f>Ruimtestaat[[#This Row],[Prest. (m2 /jaar) weekend]]+Ruimtestaat[[#This Row],[Prest. (m2 /jaar) werkdagen]]</f>
        <v>0</v>
      </c>
      <c r="AM449" s="441">
        <f>Ruimtestaat[[#This Row],[uren / jaar weekend]]+Ruimtestaat[[#This Row],[uren / jaar werkdagen]]</f>
        <v>0</v>
      </c>
      <c r="AN449" s="446">
        <f>Ruimtestaat[[#This Row],[kosten / jaar weekend]]+Ruimtestaat[[#This Row],[kosten / jaar werkdagen]]</f>
        <v>0</v>
      </c>
      <c r="AO449" s="446"/>
      <c r="AP449" s="447" t="str">
        <f>IF(Ruimtestaat[[#This Row],[Frequentie werkdagen]]="","",_xlfn.CONCAT(Ruimtestaat[[#This Row],[Ruimte code]],"-",Ruimtestaat[[#This Row],[Frequentie werkdagen]]," ",Ruimtestaat[[#This Row],[Vloer code]]))</f>
        <v/>
      </c>
      <c r="AQ449" s="448" t="str">
        <f>_xlfn.IFNA(VLOOKUP($AP449,Programma!$F$3:$G$1101,2,0),"")</f>
        <v/>
      </c>
      <c r="AR449" s="448" t="str">
        <f>_xlfn.IFNA(VLOOKUP($AP449,Programma!$F$3:$H$1101,3,0),"")</f>
        <v/>
      </c>
      <c r="AS449" s="448" t="str">
        <f>_xlfn.IFNA(VLOOKUP($AP449,Programma!$F$3:$I$1101,4,0),"")</f>
        <v/>
      </c>
      <c r="AT449" s="448" t="str">
        <f>_xlfn.IFNA(VLOOKUP($AP449,Programma!$F$3:$J$1101,5,0),"")</f>
        <v/>
      </c>
      <c r="AU449" s="448" t="str">
        <f>_xlfn.IFNA(VLOOKUP($AP449,Programma!$F$3:$K$1101,6,0),"")</f>
        <v/>
      </c>
      <c r="AV449" s="448" t="str">
        <f>_xlfn.IFNA(VLOOKUP($AP449,Programma!$F$3:$L$1101,7,0),"")</f>
        <v/>
      </c>
      <c r="AW449" s="448" t="str">
        <f>_xlfn.IFNA(VLOOKUP($AP449,Programma!$F$3:$M$1101,8,0),"")</f>
        <v/>
      </c>
      <c r="AX449" s="448" t="str">
        <f>_xlfn.IFNA(VLOOKUP($AP449,Programma!$F$3:$N$1101,9,0),"")</f>
        <v/>
      </c>
      <c r="AY449" s="448" t="str">
        <f>_xlfn.IFNA(VLOOKUP($AP449,Programma!$F$3:$O$1101,10,0),"")</f>
        <v/>
      </c>
      <c r="AZ449" s="448" t="str">
        <f>_xlfn.IFNA(VLOOKUP($AP449,Programma!$F$3:$P$1101,11,0),"")</f>
        <v/>
      </c>
      <c r="BA449" s="448" t="str">
        <f>_xlfn.IFNA(VLOOKUP($AP449,Programma!$F$3:$Q$1101,12,0),"")</f>
        <v/>
      </c>
      <c r="BB449" s="448" t="str">
        <f>_xlfn.IFNA(VLOOKUP($AP449,Programma!$F$3:$R$1101,13,0),"")</f>
        <v/>
      </c>
      <c r="BC449" s="448" t="str">
        <f>_xlfn.IFNA(VLOOKUP($AP449,Programma!$F$3:$S$1101,14,0),"")</f>
        <v/>
      </c>
      <c r="BD449" s="448" t="str">
        <f>_xlfn.IFNA(VLOOKUP($AP449,Programma!$F$3:$T$1101,15,0),"")</f>
        <v/>
      </c>
      <c r="BE449" s="448" t="str">
        <f>_xlfn.IFNA(VLOOKUP($AP449,Programma!$F$3:$U$1101,16,0),"")</f>
        <v/>
      </c>
      <c r="BF449" s="448" t="str">
        <f>_xlfn.IFNA(VLOOKUP($AP449,Programma!$F$3:$V$1101,17,0),"")</f>
        <v/>
      </c>
      <c r="BG449" s="448" t="str">
        <f>_xlfn.IFNA(VLOOKUP($AP449,Programma!$F$3:$W$1101,18,0),"")</f>
        <v/>
      </c>
      <c r="BH449" s="448" t="str">
        <f>_xlfn.IFNA(VLOOKUP($AP449,Programma!$F$3:$X$1101,19,0),"")</f>
        <v/>
      </c>
      <c r="BI449" s="448" t="str">
        <f>_xlfn.IFNA(VLOOKUP($AP449,Programma!$F$3:$Y$1101,20,0),"")</f>
        <v/>
      </c>
      <c r="BJ449" s="449"/>
      <c r="BK449" s="447" t="str">
        <f>IF(Ruimtestaat[[#This Row],[Frequentie weekend]]="","",_xlfn.CONCAT(Ruimtestaat[[#This Row],[Ruimte code]],"-",Ruimtestaat[[#This Row],[Frequentie weekend]]," ",Ruimtestaat[[#This Row],[Vloer code]]))</f>
        <v/>
      </c>
      <c r="BL449" s="448" t="str">
        <f>_xlfn.IFNA(VLOOKUP($BK449,Programma!$F$3:$G$1101,2,0),"")</f>
        <v/>
      </c>
      <c r="BM449" s="448" t="str">
        <f>_xlfn.IFNA(VLOOKUP($BK449,Programma!$F$3:$H$1101,3,0),"")</f>
        <v/>
      </c>
      <c r="BN449" s="448" t="str">
        <f>_xlfn.IFNA(VLOOKUP($BK449,Programma!$F$3:$I$1101,4,0),"")</f>
        <v/>
      </c>
      <c r="BO449" s="448" t="str">
        <f>_xlfn.IFNA(VLOOKUP($BK449,Programma!$F$3:$J$1101,5,0),"")</f>
        <v/>
      </c>
      <c r="BP449" s="448" t="str">
        <f>_xlfn.IFNA(VLOOKUP($BK449,Programma!$F$3:$K$1101,6,0),"")</f>
        <v/>
      </c>
      <c r="BQ449" s="448" t="str">
        <f>_xlfn.IFNA(VLOOKUP($BK449,Programma!$F$3:$L$1101,7,0),"")</f>
        <v/>
      </c>
      <c r="BR449" s="448" t="str">
        <f>_xlfn.IFNA(VLOOKUP($BK449,Programma!$F$3:$M$1101,8,0),"")</f>
        <v/>
      </c>
      <c r="BS449" s="448" t="str">
        <f>_xlfn.IFNA(VLOOKUP($BK449,Programma!$F$3:$N$1101,9,0),"")</f>
        <v/>
      </c>
      <c r="BT449" s="448" t="str">
        <f>_xlfn.IFNA(VLOOKUP($BK449,Programma!$F$3:$O$1101,10,0),"")</f>
        <v/>
      </c>
      <c r="BU449" s="448" t="str">
        <f>_xlfn.IFNA(VLOOKUP($BK449,Programma!$F$3:$P$1101,11,0),"")</f>
        <v/>
      </c>
      <c r="BV449" s="448" t="str">
        <f>_xlfn.IFNA(VLOOKUP($BK449,Programma!$F$3:$Q$1101,12,0),"")</f>
        <v/>
      </c>
      <c r="BW449" s="448" t="str">
        <f>_xlfn.IFNA(VLOOKUP($BK449,Programma!$F$3:$R$1101,13,0),"")</f>
        <v/>
      </c>
      <c r="BX449" s="448" t="str">
        <f>_xlfn.IFNA(VLOOKUP($BK449,Programma!$F$3:$S$1101,14,0),"")</f>
        <v/>
      </c>
      <c r="BY449" s="448" t="str">
        <f>_xlfn.IFNA(VLOOKUP($BK449,Programma!$F$3:$T$1101,15,0),"")</f>
        <v/>
      </c>
      <c r="BZ449" s="448" t="str">
        <f>_xlfn.IFNA(VLOOKUP($BK449,Programma!$F$3:$U$1101,16,0),"")</f>
        <v/>
      </c>
      <c r="CA449" s="448" t="str">
        <f>_xlfn.IFNA(VLOOKUP($BK449,Programma!$F$3:$V$1101,17,0),"")</f>
        <v/>
      </c>
      <c r="CB449" s="448" t="str">
        <f>_xlfn.IFNA(VLOOKUP($BK449,Programma!$F$3:$W$1101,18,0),"")</f>
        <v/>
      </c>
      <c r="CC449" s="448" t="str">
        <f>_xlfn.IFNA(VLOOKUP($BK449,Programma!$F$3:$X$1101,19,0),"")</f>
        <v/>
      </c>
      <c r="CD449" s="448" t="str">
        <f>_xlfn.IFNA(VLOOKUP($BK449,Programma!$F$3:$Y$1101,20,0),"")</f>
        <v/>
      </c>
      <c r="CE449" s="327"/>
      <c r="CF449" s="327"/>
      <c r="CG449" s="327"/>
      <c r="CH449" s="327"/>
      <c r="CI449" s="327"/>
      <c r="CJ449" s="327"/>
      <c r="CK449" s="327"/>
      <c r="CL449" s="327"/>
      <c r="CM449" s="327"/>
      <c r="CN449" s="327"/>
      <c r="CO449" s="327"/>
      <c r="CP449" s="327"/>
      <c r="CQ449" s="327"/>
      <c r="CR449" s="327"/>
      <c r="CS449" s="327"/>
      <c r="CT449" s="327"/>
      <c r="CU449" s="327"/>
      <c r="CV449" s="327"/>
      <c r="CW449" s="327"/>
      <c r="CX449" s="327"/>
      <c r="CY449" s="327"/>
      <c r="CZ449" s="327"/>
      <c r="DA449" s="327"/>
      <c r="DB449" s="327"/>
      <c r="DC449" s="327"/>
      <c r="DD449" s="327"/>
      <c r="DE449" s="327"/>
      <c r="DF449" s="327"/>
      <c r="DG449" s="327"/>
      <c r="DH449" s="327"/>
      <c r="DI449" s="327"/>
      <c r="DJ449" s="327"/>
      <c r="DK449" s="327"/>
      <c r="DL449" s="327"/>
      <c r="DM449" s="327"/>
      <c r="DN449" s="327"/>
      <c r="DO449" s="327"/>
      <c r="DP449" s="327"/>
      <c r="DQ449" s="327"/>
      <c r="DR449" s="327"/>
      <c r="DS449" s="327"/>
      <c r="DT449" s="327"/>
      <c r="DU449" s="327"/>
      <c r="DV449" s="327"/>
      <c r="DW449" s="327"/>
      <c r="DX449" s="327"/>
      <c r="DY449" s="327"/>
      <c r="DZ449" s="327"/>
      <c r="EA449" s="327"/>
      <c r="EB449" s="327"/>
      <c r="EC449" s="327"/>
      <c r="ED449" s="327"/>
      <c r="EE449" s="327"/>
      <c r="EF449" s="327"/>
      <c r="EG449" s="327"/>
      <c r="EH449" s="327"/>
      <c r="EI449" s="327"/>
      <c r="EJ449" s="327"/>
      <c r="EK449" s="327"/>
      <c r="EL449" s="327"/>
      <c r="EM449" s="327"/>
      <c r="EN449" s="327"/>
      <c r="EO449" s="327"/>
      <c r="EP449" s="327"/>
      <c r="EQ449" s="327"/>
      <c r="ER449" s="327"/>
      <c r="ES449" s="327"/>
      <c r="ET449" s="327"/>
      <c r="EU449" s="327"/>
      <c r="EV449" s="327"/>
      <c r="EW449" s="327"/>
      <c r="EX449" s="327"/>
      <c r="EY449" s="327"/>
      <c r="EZ449" s="327"/>
      <c r="FA449" s="327"/>
      <c r="FB449" s="327"/>
      <c r="FC449" s="327"/>
      <c r="FD449" s="327"/>
      <c r="FE449" s="327"/>
      <c r="FF449" s="327"/>
      <c r="FG449" s="327"/>
      <c r="FH449" s="327"/>
      <c r="FI449" s="327"/>
      <c r="FJ449" s="327"/>
      <c r="FK449" s="327"/>
      <c r="FL449" s="327"/>
      <c r="FM449" s="327"/>
      <c r="FN449" s="327"/>
      <c r="FO449" s="327"/>
      <c r="FP449" s="327"/>
      <c r="FQ449" s="327"/>
      <c r="FR449" s="327"/>
      <c r="FS449" s="327"/>
      <c r="FT449" s="327"/>
      <c r="FU449" s="327"/>
      <c r="FV449" s="327"/>
      <c r="FW449" s="327"/>
      <c r="FX449" s="327"/>
      <c r="FY449" s="327"/>
      <c r="FZ449" s="327"/>
      <c r="GA449" s="327"/>
      <c r="GB449" s="327"/>
      <c r="GC449" s="327"/>
      <c r="GD449" s="327"/>
      <c r="GE449" s="327"/>
      <c r="GF449" s="327"/>
      <c r="GG449" s="327"/>
      <c r="GH449" s="327"/>
      <c r="GI449" s="327"/>
      <c r="GJ449" s="327"/>
      <c r="GK449" s="327"/>
      <c r="GL449" s="327"/>
      <c r="GM449" s="327"/>
      <c r="GN449" s="327"/>
      <c r="GO449" s="327"/>
      <c r="GP449" s="327"/>
      <c r="GQ449" s="327"/>
      <c r="GR449" s="327"/>
      <c r="GS449" s="327"/>
      <c r="GT449" s="327"/>
      <c r="GU449" s="327"/>
      <c r="GV449" s="327"/>
      <c r="GW449" s="327"/>
      <c r="GX449" s="327"/>
      <c r="GY449" s="327"/>
      <c r="GZ449" s="327"/>
      <c r="HA449" s="327"/>
      <c r="HB449" s="327"/>
      <c r="HC449" s="327"/>
      <c r="HD449" s="327"/>
      <c r="HE449" s="327"/>
      <c r="HF449" s="327"/>
      <c r="HG449" s="327"/>
      <c r="HH449" s="327"/>
      <c r="HI449" s="327"/>
      <c r="HJ449" s="327"/>
      <c r="HK449" s="327"/>
      <c r="HL449" s="327"/>
      <c r="HM449" s="327"/>
      <c r="HN449" s="327"/>
      <c r="HO449" s="327"/>
      <c r="HP449" s="327"/>
      <c r="HQ449" s="327"/>
      <c r="HR449" s="327"/>
      <c r="HS449" s="327"/>
    </row>
    <row r="450" spans="1:227" ht="15" customHeight="1">
      <c r="A450" s="327">
        <v>17</v>
      </c>
      <c r="B450" s="435" t="str">
        <f>VLOOKUP(Ruimtestaat[[#This Row],[Code]],Locaties[[Code]:[Locatie]],2,FALSE)</f>
        <v>IKC de Tjalk Kadelaan 208 (bijgebouw)</v>
      </c>
      <c r="C450" s="435" t="str">
        <f>VLOOKUP(Ruimtestaat[[#This Row],[Code]],Locaties[[#All],[Code]:[Adres]],4,FALSE)</f>
        <v>Kadelaan 208</v>
      </c>
      <c r="D450" s="435" t="str">
        <f>VLOOKUP(Ruimtestaat[[#This Row],[Code]],Locaties[[#All],[Code]:[Postcode]],5,FALSE)</f>
        <v>2725 BR</v>
      </c>
      <c r="E450" s="435" t="str">
        <f>VLOOKUP(Ruimtestaat[[#This Row],[Code]],Locaties[#All],6,FALSE)</f>
        <v>Zoetermeer</v>
      </c>
      <c r="F450" s="450"/>
      <c r="G450" s="330" t="s">
        <v>1769</v>
      </c>
      <c r="H450" s="434"/>
      <c r="I450" s="438" t="s">
        <v>1869</v>
      </c>
      <c r="J450" s="330">
        <v>20</v>
      </c>
      <c r="K450" s="438" t="str">
        <f>VLOOKUP(Ruimtestaat[[#This Row],[Ruimte code]],Ruimtegroepen[[#All],[Code]:[Ruimte omschrijving]],2,FALSE)</f>
        <v>Niet in Onderhoud</v>
      </c>
      <c r="L450" s="434" t="s">
        <v>101</v>
      </c>
      <c r="M450" s="437" t="s">
        <v>1816</v>
      </c>
      <c r="N450" s="439"/>
      <c r="O450" s="439">
        <v>27.83</v>
      </c>
      <c r="P450" s="439"/>
      <c r="Q450" s="439"/>
      <c r="R450" s="440">
        <f>VLOOKUP(Ruimtestaat[[#This Row],[Ruimte code]],Ruimtegroepen[],4,FALSE)</f>
        <v>0</v>
      </c>
      <c r="S450" s="434"/>
      <c r="T450" s="434"/>
      <c r="U450" s="434">
        <f>IF(S450&gt;0,IF(RIGHT(Ruimtestaat[[#This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50" s="434">
        <f>IF(U450&gt;0,VLOOKUP($J450,Ruimtegroepen[],3,FALSE)*VLOOKUP($L450,Vloersoorten[],3,FALSE)*VLOOKUP($T450,Frequenties[],3,FALSE)*VLOOKUP($A450,Locaties[],3,FALSE),0)</f>
        <v>0</v>
      </c>
      <c r="W450" s="434">
        <f>Ruimtestaat[[#This Row],[Uitvoeringen werkdagen]]*Ruimtestaat[[#This Row],[Oppervlak (netto)]]</f>
        <v>0</v>
      </c>
      <c r="X450" s="441">
        <f>IF(V450&gt;0,Ruimtestaat[[#This Row],[Prest. (m2 /jaar) werkdagen]]/Ruimtestaat[[#This Row],[Norm (m2/uur) werkdagen]],0)</f>
        <v>0</v>
      </c>
      <c r="Y450" s="442">
        <f>Ruimtestaat[[#This Row],[Uitvoeringen werkdagen]]*Ruimtestaat[[#This Row],[Gedeeltelijk]]</f>
        <v>0</v>
      </c>
      <c r="Z450" s="443">
        <f>IF(U450&gt;0,Ruimtestaat[[#This Row],[Prest. (m2 / jaar) werkdagen gedeeld]]/Ruimtestaat[[#This Row],[Norm (m2/uur) werkdagen]],0)</f>
        <v>0</v>
      </c>
      <c r="AA450" s="441">
        <f>Ruimtestaat[[#This Row],[uren / jaar werkdagen gedeeld]]*Tariefsopbouw!$E$35</f>
        <v>0</v>
      </c>
      <c r="AB450" s="441">
        <f>Ruimtestaat[[#This Row],[Uitvoeringen werkdagen]]*Ruimtestaat[[#This Row],[BSO]]</f>
        <v>0</v>
      </c>
      <c r="AC450" s="443">
        <f>IF(U450&gt;0,Ruimtestaat[[#This Row],[Prest. (m2 / jaar) werkdagen BSO]]/Ruimtestaat[[#This Row],[Norm (m2/uur) werkdagen]],0)</f>
        <v>0</v>
      </c>
      <c r="AD450" s="443">
        <f>Ruimtestaat[[#This Row],[uren / jaar werkdagen BSO]]*Tariefsopbouw!$E$35</f>
        <v>0</v>
      </c>
      <c r="AE450" s="444">
        <f>Ruimtestaat[[#This Row],[uren / jaar werkdagen]]*Tariefsopbouw!$E$35</f>
        <v>0</v>
      </c>
      <c r="AF450" s="434"/>
      <c r="AG450" s="434">
        <f>IF(Ruimtestaat[[#This Row],[Frequentie weekend]]&gt;0,VALUE(LEFT(AF450,1))*S450,0)</f>
        <v>0</v>
      </c>
      <c r="AH450" s="445">
        <f>IF($AG450&gt;0,VLOOKUP($J450,Ruimtegroepen[],3,FALSE)*VLOOKUP($L450,Vloersoorten[],3,FALSE)*VLOOKUP($AF450,Frequenties[],3,FALSE)*VLOOKUP(Ruimtestaat[[#This Row],[Code]],Locaties[],3,FALSE),0)</f>
        <v>0</v>
      </c>
      <c r="AI450" s="445">
        <f>Ruimtestaat[[#This Row],[Uitvoeringen weekend]]*Ruimtestaat[[#This Row],[Oppervlak (netto)]]</f>
        <v>0</v>
      </c>
      <c r="AJ450" s="445">
        <f>IF(AH450&gt;0,Ruimtestaat[[#This Row],[Prest. (m2 /jaar) weekend]]/Ruimtestaat[[#This Row],[Norm (m2/uur) weekend]],0)</f>
        <v>0</v>
      </c>
      <c r="AK450" s="444">
        <f>Ruimtestaat[[#This Row],[uren / jaar weekend]]*Tariefsopbouw!$D$40</f>
        <v>0</v>
      </c>
      <c r="AL450" s="441">
        <f>Ruimtestaat[[#This Row],[Prest. (m2 /jaar) weekend]]+Ruimtestaat[[#This Row],[Prest. (m2 /jaar) werkdagen]]</f>
        <v>0</v>
      </c>
      <c r="AM450" s="441">
        <f>Ruimtestaat[[#This Row],[uren / jaar weekend]]+Ruimtestaat[[#This Row],[uren / jaar werkdagen]]</f>
        <v>0</v>
      </c>
      <c r="AN450" s="446">
        <f>Ruimtestaat[[#This Row],[kosten / jaar weekend]]+Ruimtestaat[[#This Row],[kosten / jaar werkdagen]]</f>
        <v>0</v>
      </c>
      <c r="AO450" s="446"/>
      <c r="AP450" s="447" t="str">
        <f>IF(Ruimtestaat[[#This Row],[Frequentie werkdagen]]="","",_xlfn.CONCAT(Ruimtestaat[[#This Row],[Ruimte code]],"-",Ruimtestaat[[#This Row],[Frequentie werkdagen]]," ",Ruimtestaat[[#This Row],[Vloer code]]))</f>
        <v/>
      </c>
      <c r="AQ450" s="448" t="str">
        <f>_xlfn.IFNA(VLOOKUP($AP450,Programma!$F$3:$G$1101,2,0),"")</f>
        <v/>
      </c>
      <c r="AR450" s="448" t="str">
        <f>_xlfn.IFNA(VLOOKUP($AP450,Programma!$F$3:$H$1101,3,0),"")</f>
        <v/>
      </c>
      <c r="AS450" s="448" t="str">
        <f>_xlfn.IFNA(VLOOKUP($AP450,Programma!$F$3:$I$1101,4,0),"")</f>
        <v/>
      </c>
      <c r="AT450" s="448" t="str">
        <f>_xlfn.IFNA(VLOOKUP($AP450,Programma!$F$3:$J$1101,5,0),"")</f>
        <v/>
      </c>
      <c r="AU450" s="448" t="str">
        <f>_xlfn.IFNA(VLOOKUP($AP450,Programma!$F$3:$K$1101,6,0),"")</f>
        <v/>
      </c>
      <c r="AV450" s="448" t="str">
        <f>_xlfn.IFNA(VLOOKUP($AP450,Programma!$F$3:$L$1101,7,0),"")</f>
        <v/>
      </c>
      <c r="AW450" s="448" t="str">
        <f>_xlfn.IFNA(VLOOKUP($AP450,Programma!$F$3:$M$1101,8,0),"")</f>
        <v/>
      </c>
      <c r="AX450" s="448" t="str">
        <f>_xlfn.IFNA(VLOOKUP($AP450,Programma!$F$3:$N$1101,9,0),"")</f>
        <v/>
      </c>
      <c r="AY450" s="448" t="str">
        <f>_xlfn.IFNA(VLOOKUP($AP450,Programma!$F$3:$O$1101,10,0),"")</f>
        <v/>
      </c>
      <c r="AZ450" s="448" t="str">
        <f>_xlfn.IFNA(VLOOKUP($AP450,Programma!$F$3:$P$1101,11,0),"")</f>
        <v/>
      </c>
      <c r="BA450" s="448" t="str">
        <f>_xlfn.IFNA(VLOOKUP($AP450,Programma!$F$3:$Q$1101,12,0),"")</f>
        <v/>
      </c>
      <c r="BB450" s="448" t="str">
        <f>_xlfn.IFNA(VLOOKUP($AP450,Programma!$F$3:$R$1101,13,0),"")</f>
        <v/>
      </c>
      <c r="BC450" s="448" t="str">
        <f>_xlfn.IFNA(VLOOKUP($AP450,Programma!$F$3:$S$1101,14,0),"")</f>
        <v/>
      </c>
      <c r="BD450" s="448" t="str">
        <f>_xlfn.IFNA(VLOOKUP($AP450,Programma!$F$3:$T$1101,15,0),"")</f>
        <v/>
      </c>
      <c r="BE450" s="448" t="str">
        <f>_xlfn.IFNA(VLOOKUP($AP450,Programma!$F$3:$U$1101,16,0),"")</f>
        <v/>
      </c>
      <c r="BF450" s="448" t="str">
        <f>_xlfn.IFNA(VLOOKUP($AP450,Programma!$F$3:$V$1101,17,0),"")</f>
        <v/>
      </c>
      <c r="BG450" s="448" t="str">
        <f>_xlfn.IFNA(VLOOKUP($AP450,Programma!$F$3:$W$1101,18,0),"")</f>
        <v/>
      </c>
      <c r="BH450" s="448" t="str">
        <f>_xlfn.IFNA(VLOOKUP($AP450,Programma!$F$3:$X$1101,19,0),"")</f>
        <v/>
      </c>
      <c r="BI450" s="448" t="str">
        <f>_xlfn.IFNA(VLOOKUP($AP450,Programma!$F$3:$Y$1101,20,0),"")</f>
        <v/>
      </c>
      <c r="BJ450" s="449"/>
      <c r="BK450" s="447" t="str">
        <f>IF(Ruimtestaat[[#This Row],[Frequentie weekend]]="","",_xlfn.CONCAT(Ruimtestaat[[#This Row],[Ruimte code]],"-",Ruimtestaat[[#This Row],[Frequentie weekend]]," ",Ruimtestaat[[#This Row],[Vloer code]]))</f>
        <v/>
      </c>
      <c r="BL450" s="448" t="str">
        <f>_xlfn.IFNA(VLOOKUP($BK450,Programma!$F$3:$G$1101,2,0),"")</f>
        <v/>
      </c>
      <c r="BM450" s="448" t="str">
        <f>_xlfn.IFNA(VLOOKUP($BK450,Programma!$F$3:$H$1101,3,0),"")</f>
        <v/>
      </c>
      <c r="BN450" s="448" t="str">
        <f>_xlfn.IFNA(VLOOKUP($BK450,Programma!$F$3:$I$1101,4,0),"")</f>
        <v/>
      </c>
      <c r="BO450" s="448" t="str">
        <f>_xlfn.IFNA(VLOOKUP($BK450,Programma!$F$3:$J$1101,5,0),"")</f>
        <v/>
      </c>
      <c r="BP450" s="448" t="str">
        <f>_xlfn.IFNA(VLOOKUP($BK450,Programma!$F$3:$K$1101,6,0),"")</f>
        <v/>
      </c>
      <c r="BQ450" s="448" t="str">
        <f>_xlfn.IFNA(VLOOKUP($BK450,Programma!$F$3:$L$1101,7,0),"")</f>
        <v/>
      </c>
      <c r="BR450" s="448" t="str">
        <f>_xlfn.IFNA(VLOOKUP($BK450,Programma!$F$3:$M$1101,8,0),"")</f>
        <v/>
      </c>
      <c r="BS450" s="448" t="str">
        <f>_xlfn.IFNA(VLOOKUP($BK450,Programma!$F$3:$N$1101,9,0),"")</f>
        <v/>
      </c>
      <c r="BT450" s="448" t="str">
        <f>_xlfn.IFNA(VLOOKUP($BK450,Programma!$F$3:$O$1101,10,0),"")</f>
        <v/>
      </c>
      <c r="BU450" s="448" t="str">
        <f>_xlfn.IFNA(VLOOKUP($BK450,Programma!$F$3:$P$1101,11,0),"")</f>
        <v/>
      </c>
      <c r="BV450" s="448" t="str">
        <f>_xlfn.IFNA(VLOOKUP($BK450,Programma!$F$3:$Q$1101,12,0),"")</f>
        <v/>
      </c>
      <c r="BW450" s="448" t="str">
        <f>_xlfn.IFNA(VLOOKUP($BK450,Programma!$F$3:$R$1101,13,0),"")</f>
        <v/>
      </c>
      <c r="BX450" s="448" t="str">
        <f>_xlfn.IFNA(VLOOKUP($BK450,Programma!$F$3:$S$1101,14,0),"")</f>
        <v/>
      </c>
      <c r="BY450" s="448" t="str">
        <f>_xlfn.IFNA(VLOOKUP($BK450,Programma!$F$3:$T$1101,15,0),"")</f>
        <v/>
      </c>
      <c r="BZ450" s="448" t="str">
        <f>_xlfn.IFNA(VLOOKUP($BK450,Programma!$F$3:$U$1101,16,0),"")</f>
        <v/>
      </c>
      <c r="CA450" s="448" t="str">
        <f>_xlfn.IFNA(VLOOKUP($BK450,Programma!$F$3:$V$1101,17,0),"")</f>
        <v/>
      </c>
      <c r="CB450" s="448" t="str">
        <f>_xlfn.IFNA(VLOOKUP($BK450,Programma!$F$3:$W$1101,18,0),"")</f>
        <v/>
      </c>
      <c r="CC450" s="448" t="str">
        <f>_xlfn.IFNA(VLOOKUP($BK450,Programma!$F$3:$X$1101,19,0),"")</f>
        <v/>
      </c>
      <c r="CD450" s="448" t="str">
        <f>_xlfn.IFNA(VLOOKUP($BK450,Programma!$F$3:$Y$1101,20,0),"")</f>
        <v/>
      </c>
      <c r="CE450" s="327"/>
      <c r="CF450" s="327"/>
      <c r="CG450" s="327"/>
      <c r="CH450" s="327"/>
      <c r="CI450" s="327"/>
      <c r="CJ450" s="327"/>
      <c r="CK450" s="327"/>
      <c r="CL450" s="327"/>
      <c r="CM450" s="327"/>
      <c r="CN450" s="327"/>
      <c r="CO450" s="327"/>
      <c r="CP450" s="327"/>
      <c r="CQ450" s="327"/>
      <c r="CR450" s="327"/>
      <c r="CS450" s="327"/>
      <c r="CT450" s="327"/>
      <c r="CU450" s="327"/>
      <c r="CV450" s="327"/>
      <c r="CW450" s="327"/>
      <c r="CX450" s="327"/>
      <c r="CY450" s="327"/>
      <c r="CZ450" s="327"/>
      <c r="DA450" s="327"/>
      <c r="DB450" s="327"/>
      <c r="DC450" s="327"/>
      <c r="DD450" s="327"/>
      <c r="DE450" s="327"/>
      <c r="DF450" s="327"/>
      <c r="DG450" s="327"/>
      <c r="DH450" s="327"/>
      <c r="DI450" s="327"/>
      <c r="DJ450" s="327"/>
      <c r="DK450" s="327"/>
      <c r="DL450" s="327"/>
      <c r="DM450" s="327"/>
      <c r="DN450" s="327"/>
      <c r="DO450" s="327"/>
      <c r="DP450" s="327"/>
      <c r="DQ450" s="327"/>
      <c r="DR450" s="327"/>
      <c r="DS450" s="327"/>
      <c r="DT450" s="327"/>
      <c r="DU450" s="327"/>
      <c r="DV450" s="327"/>
      <c r="DW450" s="327"/>
      <c r="DX450" s="327"/>
      <c r="DY450" s="327"/>
      <c r="DZ450" s="327"/>
      <c r="EA450" s="327"/>
      <c r="EB450" s="327"/>
      <c r="EC450" s="327"/>
      <c r="ED450" s="327"/>
      <c r="EE450" s="327"/>
      <c r="EF450" s="327"/>
      <c r="EG450" s="327"/>
      <c r="EH450" s="327"/>
      <c r="EI450" s="327"/>
      <c r="EJ450" s="327"/>
      <c r="EK450" s="327"/>
      <c r="EL450" s="327"/>
      <c r="EM450" s="327"/>
      <c r="EN450" s="327"/>
      <c r="EO450" s="327"/>
      <c r="EP450" s="327"/>
      <c r="EQ450" s="327"/>
      <c r="ER450" s="327"/>
      <c r="ES450" s="327"/>
      <c r="ET450" s="327"/>
      <c r="EU450" s="327"/>
      <c r="EV450" s="327"/>
      <c r="EW450" s="327"/>
      <c r="EX450" s="327"/>
      <c r="EY450" s="327"/>
      <c r="EZ450" s="327"/>
      <c r="FA450" s="327"/>
      <c r="FB450" s="327"/>
      <c r="FC450" s="327"/>
      <c r="FD450" s="327"/>
      <c r="FE450" s="327"/>
      <c r="FF450" s="327"/>
      <c r="FG450" s="327"/>
      <c r="FH450" s="327"/>
      <c r="FI450" s="327"/>
      <c r="FJ450" s="327"/>
      <c r="FK450" s="327"/>
      <c r="FL450" s="327"/>
      <c r="FM450" s="327"/>
      <c r="FN450" s="327"/>
      <c r="FO450" s="327"/>
      <c r="FP450" s="327"/>
      <c r="FQ450" s="327"/>
      <c r="FR450" s="327"/>
      <c r="FS450" s="327"/>
      <c r="FT450" s="327"/>
      <c r="FU450" s="327"/>
      <c r="FV450" s="327"/>
      <c r="FW450" s="327"/>
      <c r="FX450" s="327"/>
      <c r="FY450" s="327"/>
      <c r="FZ450" s="327"/>
      <c r="GA450" s="327"/>
      <c r="GB450" s="327"/>
      <c r="GC450" s="327"/>
      <c r="GD450" s="327"/>
      <c r="GE450" s="327"/>
      <c r="GF450" s="327"/>
      <c r="GG450" s="327"/>
      <c r="GH450" s="327"/>
      <c r="GI450" s="327"/>
      <c r="GJ450" s="327"/>
      <c r="GK450" s="327"/>
      <c r="GL450" s="327"/>
      <c r="GM450" s="327"/>
      <c r="GN450" s="327"/>
      <c r="GO450" s="327"/>
      <c r="GP450" s="327"/>
      <c r="GQ450" s="327"/>
      <c r="GR450" s="327"/>
      <c r="GS450" s="327"/>
      <c r="GT450" s="327"/>
      <c r="GU450" s="327"/>
      <c r="GV450" s="327"/>
      <c r="GW450" s="327"/>
      <c r="GX450" s="327"/>
      <c r="GY450" s="327"/>
      <c r="GZ450" s="327"/>
      <c r="HA450" s="327"/>
      <c r="HB450" s="327"/>
      <c r="HC450" s="327"/>
      <c r="HD450" s="327"/>
      <c r="HE450" s="327"/>
      <c r="HF450" s="327"/>
      <c r="HG450" s="327"/>
      <c r="HH450" s="327"/>
      <c r="HI450" s="327"/>
      <c r="HJ450" s="327"/>
      <c r="HK450" s="327"/>
      <c r="HL450" s="327"/>
      <c r="HM450" s="327"/>
      <c r="HN450" s="327"/>
      <c r="HO450" s="327"/>
      <c r="HP450" s="327"/>
      <c r="HQ450" s="327"/>
      <c r="HR450" s="327"/>
      <c r="HS450" s="327"/>
    </row>
    <row r="451" spans="1:227" ht="15" customHeight="1">
      <c r="A451" s="327">
        <v>17</v>
      </c>
      <c r="B451" s="435" t="str">
        <f>VLOOKUP(Ruimtestaat[[#This Row],[Code]],Locaties[[Code]:[Locatie]],2,FALSE)</f>
        <v>IKC de Tjalk Kadelaan 208 (bijgebouw)</v>
      </c>
      <c r="C451" s="435" t="str">
        <f>VLOOKUP(Ruimtestaat[[#This Row],[Code]],Locaties[[#All],[Code]:[Adres]],4,FALSE)</f>
        <v>Kadelaan 208</v>
      </c>
      <c r="D451" s="435" t="str">
        <f>VLOOKUP(Ruimtestaat[[#This Row],[Code]],Locaties[[#All],[Code]:[Postcode]],5,FALSE)</f>
        <v>2725 BR</v>
      </c>
      <c r="E451" s="435" t="str">
        <f>VLOOKUP(Ruimtestaat[[#This Row],[Code]],Locaties[#All],6,FALSE)</f>
        <v>Zoetermeer</v>
      </c>
      <c r="F451" s="450"/>
      <c r="G451" s="330" t="s">
        <v>1769</v>
      </c>
      <c r="H451" s="434">
        <v>111</v>
      </c>
      <c r="I451" s="438" t="s">
        <v>1851</v>
      </c>
      <c r="J451" s="330">
        <v>1</v>
      </c>
      <c r="K451" s="438" t="str">
        <f>VLOOKUP(Ruimtestaat[[#This Row],[Ruimte code]],Ruimtegroepen[[#All],[Code]:[Ruimte omschrijving]],2,FALSE)</f>
        <v>Magazijnen/bergingen</v>
      </c>
      <c r="L451" s="434" t="s">
        <v>101</v>
      </c>
      <c r="M451" s="437" t="s">
        <v>1816</v>
      </c>
      <c r="N451" s="439">
        <v>4.1399999999999997</v>
      </c>
      <c r="O451" s="439"/>
      <c r="P451" s="439"/>
      <c r="Q451" s="439"/>
      <c r="R451" s="440" t="str">
        <f>VLOOKUP(Ruimtestaat[[#This Row],[Ruimte code]],Ruimtegroepen[],4,FALSE)</f>
        <v>Ve</v>
      </c>
      <c r="S451" s="434">
        <v>40</v>
      </c>
      <c r="T451" s="434" t="s">
        <v>2</v>
      </c>
      <c r="U451" s="434">
        <f>IF(S451&gt;0,IF(RIGHT(Ruimtestaat[[#This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1" s="434">
        <f>IF(U451&gt;0,VLOOKUP($J451,Ruimtegroepen[],3,FALSE)*VLOOKUP($L451,Vloersoorten[],3,FALSE)*VLOOKUP($T451,Frequenties[],3,FALSE)*VLOOKUP($A451,Locaties[],3,FALSE),0)</f>
        <v>0</v>
      </c>
      <c r="W451" s="434">
        <f>Ruimtestaat[[#This Row],[Uitvoeringen werkdagen]]*Ruimtestaat[[#This Row],[Oppervlak (netto)]]</f>
        <v>827.99999999999989</v>
      </c>
      <c r="X451" s="441">
        <f>IF(V451&gt;0,Ruimtestaat[[#This Row],[Prest. (m2 /jaar) werkdagen]]/Ruimtestaat[[#This Row],[Norm (m2/uur) werkdagen]],0)</f>
        <v>0</v>
      </c>
      <c r="Y451" s="442">
        <f>Ruimtestaat[[#This Row],[Uitvoeringen werkdagen]]*Ruimtestaat[[#This Row],[Gedeeltelijk]]</f>
        <v>0</v>
      </c>
      <c r="Z451" s="443" t="e">
        <f>IF(U451&gt;0,Ruimtestaat[[#This Row],[Prest. (m2 / jaar) werkdagen gedeeld]]/Ruimtestaat[[#This Row],[Norm (m2/uur) werkdagen]],0)</f>
        <v>#DIV/0!</v>
      </c>
      <c r="AA451" s="441" t="e">
        <f>Ruimtestaat[[#This Row],[uren / jaar werkdagen gedeeld]]*Tariefsopbouw!$E$35</f>
        <v>#DIV/0!</v>
      </c>
      <c r="AB451" s="441">
        <f>Ruimtestaat[[#This Row],[Uitvoeringen werkdagen]]*Ruimtestaat[[#This Row],[BSO]]</f>
        <v>0</v>
      </c>
      <c r="AC451" s="443" t="e">
        <f>IF(U451&gt;0,Ruimtestaat[[#This Row],[Prest. (m2 / jaar) werkdagen BSO]]/Ruimtestaat[[#This Row],[Norm (m2/uur) werkdagen]],0)</f>
        <v>#DIV/0!</v>
      </c>
      <c r="AD451" s="443" t="e">
        <f>Ruimtestaat[[#This Row],[uren / jaar werkdagen BSO]]*Tariefsopbouw!$E$35</f>
        <v>#DIV/0!</v>
      </c>
      <c r="AE451" s="444">
        <f>Ruimtestaat[[#This Row],[uren / jaar werkdagen]]*Tariefsopbouw!$E$35</f>
        <v>0</v>
      </c>
      <c r="AF451" s="434"/>
      <c r="AG451" s="434">
        <f>IF(Ruimtestaat[[#This Row],[Frequentie weekend]]&gt;0,VALUE(LEFT(AF451,1))*S451,0)</f>
        <v>0</v>
      </c>
      <c r="AH451" s="445">
        <f>IF($AG451&gt;0,VLOOKUP($J451,Ruimtegroepen[],3,FALSE)*VLOOKUP($L451,Vloersoorten[],3,FALSE)*VLOOKUP($AF451,Frequenties[],3,FALSE)*VLOOKUP(Ruimtestaat[[#This Row],[Code]],Locaties[],3,FALSE),0)</f>
        <v>0</v>
      </c>
      <c r="AI451" s="445">
        <f>Ruimtestaat[[#This Row],[Uitvoeringen weekend]]*Ruimtestaat[[#This Row],[Oppervlak (netto)]]</f>
        <v>0</v>
      </c>
      <c r="AJ451" s="445">
        <f>IF(AH451&gt;0,Ruimtestaat[[#This Row],[Prest. (m2 /jaar) weekend]]/Ruimtestaat[[#This Row],[Norm (m2/uur) weekend]],0)</f>
        <v>0</v>
      </c>
      <c r="AK451" s="444">
        <f>Ruimtestaat[[#This Row],[uren / jaar weekend]]*Tariefsopbouw!$D$40</f>
        <v>0</v>
      </c>
      <c r="AL451" s="441">
        <f>Ruimtestaat[[#This Row],[Prest. (m2 /jaar) weekend]]+Ruimtestaat[[#This Row],[Prest. (m2 /jaar) werkdagen]]</f>
        <v>827.99999999999989</v>
      </c>
      <c r="AM451" s="441">
        <f>Ruimtestaat[[#This Row],[uren / jaar weekend]]+Ruimtestaat[[#This Row],[uren / jaar werkdagen]]</f>
        <v>0</v>
      </c>
      <c r="AN451" s="446">
        <f>Ruimtestaat[[#This Row],[kosten / jaar weekend]]+Ruimtestaat[[#This Row],[kosten / jaar werkdagen]]</f>
        <v>0</v>
      </c>
      <c r="AO451" s="446"/>
      <c r="AP451" s="447" t="str">
        <f>IF(Ruimtestaat[[#This Row],[Frequentie werkdagen]]="","",_xlfn.CONCAT(Ruimtestaat[[#This Row],[Ruimte code]],"-",Ruimtestaat[[#This Row],[Frequentie werkdagen]]," ",Ruimtestaat[[#This Row],[Vloer code]]))</f>
        <v>1-5w S</v>
      </c>
      <c r="AQ451" s="448" t="str">
        <f>_xlfn.IFNA(VLOOKUP($AP451,Programma!$F$3:$G$1101,2,0),"")</f>
        <v>_</v>
      </c>
      <c r="AR451" s="448" t="str">
        <f>_xlfn.IFNA(VLOOKUP($AP451,Programma!$F$3:$H$1101,3,0),"")</f>
        <v>_</v>
      </c>
      <c r="AS451" s="448" t="str">
        <f>_xlfn.IFNA(VLOOKUP($AP451,Programma!$F$3:$I$1101,4,0),"")</f>
        <v>4w</v>
      </c>
      <c r="AT451" s="448" t="str">
        <f>_xlfn.IFNA(VLOOKUP($AP451,Programma!$F$3:$J$1101,5,0),"")</f>
        <v>1w</v>
      </c>
      <c r="AU451" s="448" t="str">
        <f>_xlfn.IFNA(VLOOKUP($AP451,Programma!$F$3:$K$1101,6,0),"")</f>
        <v>1j</v>
      </c>
      <c r="AV451" s="448" t="str">
        <f>_xlfn.IFNA(VLOOKUP($AP451,Programma!$F$3:$L$1101,7,0),"")</f>
        <v>_</v>
      </c>
      <c r="AW451" s="448" t="str">
        <f>_xlfn.IFNA(VLOOKUP($AP451,Programma!$F$3:$M$1101,8,0),"")</f>
        <v>_</v>
      </c>
      <c r="AX451" s="448" t="str">
        <f>_xlfn.IFNA(VLOOKUP($AP451,Programma!$F$3:$N$1101,9,0),"")</f>
        <v>_</v>
      </c>
      <c r="AY451" s="448" t="str">
        <f>_xlfn.IFNA(VLOOKUP($AP451,Programma!$F$3:$O$1101,10,0),"")</f>
        <v>_</v>
      </c>
      <c r="AZ451" s="448" t="str">
        <f>_xlfn.IFNA(VLOOKUP($AP451,Programma!$F$3:$P$1101,11,0),"")</f>
        <v>_</v>
      </c>
      <c r="BA451" s="448" t="str">
        <f>_xlfn.IFNA(VLOOKUP($AP451,Programma!$F$3:$Q$1101,12,0),"")</f>
        <v>_</v>
      </c>
      <c r="BB451" s="448" t="str">
        <f>_xlfn.IFNA(VLOOKUP($AP451,Programma!$F$3:$R$1101,13,0),"")</f>
        <v>_</v>
      </c>
      <c r="BC451" s="448" t="str">
        <f>_xlfn.IFNA(VLOOKUP($AP451,Programma!$F$3:$S$1101,14,0),"")</f>
        <v>5w</v>
      </c>
      <c r="BD451" s="448" t="str">
        <f>_xlfn.IFNA(VLOOKUP($AP451,Programma!$F$3:$T$1101,15,0),"")</f>
        <v>4j</v>
      </c>
      <c r="BE451" s="448" t="str">
        <f>_xlfn.IFNA(VLOOKUP($AP451,Programma!$F$3:$U$1101,16,0),"")</f>
        <v>4j</v>
      </c>
      <c r="BF451" s="448" t="str">
        <f>_xlfn.IFNA(VLOOKUP($AP451,Programma!$F$3:$V$1101,17,0),"")</f>
        <v>_</v>
      </c>
      <c r="BG451" s="448" t="str">
        <f>_xlfn.IFNA(VLOOKUP($AP451,Programma!$F$3:$W$1101,18,0),"")</f>
        <v>_</v>
      </c>
      <c r="BH451" s="448" t="str">
        <f>_xlfn.IFNA(VLOOKUP($AP451,Programma!$F$3:$X$1101,19,0),"")</f>
        <v>_</v>
      </c>
      <c r="BI451" s="448" t="str">
        <f>_xlfn.IFNA(VLOOKUP($AP451,Programma!$F$3:$Y$1101,20,0),"")</f>
        <v>_</v>
      </c>
      <c r="BJ451" s="449"/>
      <c r="BK451" s="447" t="str">
        <f>IF(Ruimtestaat[[#This Row],[Frequentie weekend]]="","",_xlfn.CONCAT(Ruimtestaat[[#This Row],[Ruimte code]],"-",Ruimtestaat[[#This Row],[Frequentie weekend]]," ",Ruimtestaat[[#This Row],[Vloer code]]))</f>
        <v/>
      </c>
      <c r="BL451" s="448" t="str">
        <f>_xlfn.IFNA(VLOOKUP($BK451,Programma!$F$3:$G$1101,2,0),"")</f>
        <v/>
      </c>
      <c r="BM451" s="448" t="str">
        <f>_xlfn.IFNA(VLOOKUP($BK451,Programma!$F$3:$H$1101,3,0),"")</f>
        <v/>
      </c>
      <c r="BN451" s="448" t="str">
        <f>_xlfn.IFNA(VLOOKUP($BK451,Programma!$F$3:$I$1101,4,0),"")</f>
        <v/>
      </c>
      <c r="BO451" s="448" t="str">
        <f>_xlfn.IFNA(VLOOKUP($BK451,Programma!$F$3:$J$1101,5,0),"")</f>
        <v/>
      </c>
      <c r="BP451" s="448" t="str">
        <f>_xlfn.IFNA(VLOOKUP($BK451,Programma!$F$3:$K$1101,6,0),"")</f>
        <v/>
      </c>
      <c r="BQ451" s="448" t="str">
        <f>_xlfn.IFNA(VLOOKUP($BK451,Programma!$F$3:$L$1101,7,0),"")</f>
        <v/>
      </c>
      <c r="BR451" s="448" t="str">
        <f>_xlfn.IFNA(VLOOKUP($BK451,Programma!$F$3:$M$1101,8,0),"")</f>
        <v/>
      </c>
      <c r="BS451" s="448" t="str">
        <f>_xlfn.IFNA(VLOOKUP($BK451,Programma!$F$3:$N$1101,9,0),"")</f>
        <v/>
      </c>
      <c r="BT451" s="448" t="str">
        <f>_xlfn.IFNA(VLOOKUP($BK451,Programma!$F$3:$O$1101,10,0),"")</f>
        <v/>
      </c>
      <c r="BU451" s="448" t="str">
        <f>_xlfn.IFNA(VLOOKUP($BK451,Programma!$F$3:$P$1101,11,0),"")</f>
        <v/>
      </c>
      <c r="BV451" s="448" t="str">
        <f>_xlfn.IFNA(VLOOKUP($BK451,Programma!$F$3:$Q$1101,12,0),"")</f>
        <v/>
      </c>
      <c r="BW451" s="448" t="str">
        <f>_xlfn.IFNA(VLOOKUP($BK451,Programma!$F$3:$R$1101,13,0),"")</f>
        <v/>
      </c>
      <c r="BX451" s="448" t="str">
        <f>_xlfn.IFNA(VLOOKUP($BK451,Programma!$F$3:$S$1101,14,0),"")</f>
        <v/>
      </c>
      <c r="BY451" s="448" t="str">
        <f>_xlfn.IFNA(VLOOKUP($BK451,Programma!$F$3:$T$1101,15,0),"")</f>
        <v/>
      </c>
      <c r="BZ451" s="448" t="str">
        <f>_xlfn.IFNA(VLOOKUP($BK451,Programma!$F$3:$U$1101,16,0),"")</f>
        <v/>
      </c>
      <c r="CA451" s="448" t="str">
        <f>_xlfn.IFNA(VLOOKUP($BK451,Programma!$F$3:$V$1101,17,0),"")</f>
        <v/>
      </c>
      <c r="CB451" s="448" t="str">
        <f>_xlfn.IFNA(VLOOKUP($BK451,Programma!$F$3:$W$1101,18,0),"")</f>
        <v/>
      </c>
      <c r="CC451" s="448" t="str">
        <f>_xlfn.IFNA(VLOOKUP($BK451,Programma!$F$3:$X$1101,19,0),"")</f>
        <v/>
      </c>
      <c r="CD451" s="448" t="str">
        <f>_xlfn.IFNA(VLOOKUP($BK451,Programma!$F$3:$Y$1101,20,0),"")</f>
        <v/>
      </c>
      <c r="CE451" s="327"/>
      <c r="CF451" s="327"/>
      <c r="CG451" s="327"/>
      <c r="CH451" s="327"/>
      <c r="CI451" s="327"/>
      <c r="CJ451" s="327"/>
      <c r="CK451" s="327"/>
      <c r="CL451" s="327"/>
      <c r="CM451" s="327"/>
      <c r="CN451" s="327"/>
      <c r="CO451" s="327"/>
      <c r="CP451" s="327"/>
      <c r="CQ451" s="327"/>
      <c r="CR451" s="327"/>
      <c r="CS451" s="327"/>
      <c r="CT451" s="327"/>
      <c r="CU451" s="327"/>
      <c r="CV451" s="327"/>
      <c r="CW451" s="327"/>
      <c r="CX451" s="327"/>
      <c r="CY451" s="327"/>
      <c r="CZ451" s="327"/>
      <c r="DA451" s="327"/>
      <c r="DB451" s="327"/>
      <c r="DC451" s="327"/>
      <c r="DD451" s="327"/>
      <c r="DE451" s="327"/>
      <c r="DF451" s="327"/>
      <c r="DG451" s="327"/>
      <c r="DH451" s="327"/>
      <c r="DI451" s="327"/>
      <c r="DJ451" s="327"/>
      <c r="DK451" s="327"/>
      <c r="DL451" s="327"/>
      <c r="DM451" s="327"/>
      <c r="DN451" s="327"/>
      <c r="DO451" s="327"/>
      <c r="DP451" s="327"/>
      <c r="DQ451" s="327"/>
      <c r="DR451" s="327"/>
      <c r="DS451" s="327"/>
      <c r="DT451" s="327"/>
      <c r="DU451" s="327"/>
      <c r="DV451" s="327"/>
      <c r="DW451" s="327"/>
      <c r="DX451" s="327"/>
      <c r="DY451" s="327"/>
      <c r="DZ451" s="327"/>
      <c r="EA451" s="327"/>
      <c r="EB451" s="327"/>
      <c r="EC451" s="327"/>
      <c r="ED451" s="327"/>
      <c r="EE451" s="327"/>
      <c r="EF451" s="327"/>
      <c r="EG451" s="327"/>
      <c r="EH451" s="327"/>
      <c r="EI451" s="327"/>
      <c r="EJ451" s="327"/>
      <c r="EK451" s="327"/>
      <c r="EL451" s="327"/>
      <c r="EM451" s="327"/>
      <c r="EN451" s="327"/>
      <c r="EO451" s="327"/>
      <c r="EP451" s="327"/>
      <c r="EQ451" s="327"/>
      <c r="ER451" s="327"/>
      <c r="ES451" s="327"/>
      <c r="ET451" s="327"/>
      <c r="EU451" s="327"/>
      <c r="EV451" s="327"/>
      <c r="EW451" s="327"/>
      <c r="EX451" s="327"/>
      <c r="EY451" s="327"/>
      <c r="EZ451" s="327"/>
      <c r="FA451" s="327"/>
      <c r="FB451" s="327"/>
      <c r="FC451" s="327"/>
      <c r="FD451" s="327"/>
      <c r="FE451" s="327"/>
      <c r="FF451" s="327"/>
      <c r="FG451" s="327"/>
      <c r="FH451" s="327"/>
      <c r="FI451" s="327"/>
      <c r="FJ451" s="327"/>
      <c r="FK451" s="327"/>
      <c r="FL451" s="327"/>
      <c r="FM451" s="327"/>
      <c r="FN451" s="327"/>
      <c r="FO451" s="327"/>
      <c r="FP451" s="327"/>
      <c r="FQ451" s="327"/>
      <c r="FR451" s="327"/>
      <c r="FS451" s="327"/>
      <c r="FT451" s="327"/>
      <c r="FU451" s="327"/>
      <c r="FV451" s="327"/>
      <c r="FW451" s="327"/>
      <c r="FX451" s="327"/>
      <c r="FY451" s="327"/>
      <c r="FZ451" s="327"/>
      <c r="GA451" s="327"/>
      <c r="GB451" s="327"/>
      <c r="GC451" s="327"/>
      <c r="GD451" s="327"/>
      <c r="GE451" s="327"/>
      <c r="GF451" s="327"/>
      <c r="GG451" s="327"/>
      <c r="GH451" s="327"/>
      <c r="GI451" s="327"/>
      <c r="GJ451" s="327"/>
      <c r="GK451" s="327"/>
      <c r="GL451" s="327"/>
      <c r="GM451" s="327"/>
      <c r="GN451" s="327"/>
      <c r="GO451" s="327"/>
      <c r="GP451" s="327"/>
      <c r="GQ451" s="327"/>
      <c r="GR451" s="327"/>
      <c r="GS451" s="327"/>
      <c r="GT451" s="327"/>
      <c r="GU451" s="327"/>
      <c r="GV451" s="327"/>
      <c r="GW451" s="327"/>
      <c r="GX451" s="327"/>
      <c r="GY451" s="327"/>
      <c r="GZ451" s="327"/>
      <c r="HA451" s="327"/>
      <c r="HB451" s="327"/>
      <c r="HC451" s="327"/>
      <c r="HD451" s="327"/>
      <c r="HE451" s="327"/>
      <c r="HF451" s="327"/>
      <c r="HG451" s="327"/>
      <c r="HH451" s="327"/>
      <c r="HI451" s="327"/>
      <c r="HJ451" s="327"/>
      <c r="HK451" s="327"/>
      <c r="HL451" s="327"/>
      <c r="HM451" s="327"/>
      <c r="HN451" s="327"/>
      <c r="HO451" s="327"/>
      <c r="HP451" s="327"/>
      <c r="HQ451" s="327"/>
      <c r="HR451" s="327"/>
      <c r="HS451" s="327"/>
    </row>
    <row r="452" spans="1:227" ht="15" customHeight="1">
      <c r="A452" s="327">
        <v>17</v>
      </c>
      <c r="B452" s="435" t="str">
        <f>VLOOKUP(Ruimtestaat[[#This Row],[Code]],Locaties[[Code]:[Locatie]],2,FALSE)</f>
        <v>IKC de Tjalk Kadelaan 208 (bijgebouw)</v>
      </c>
      <c r="C452" s="435" t="str">
        <f>VLOOKUP(Ruimtestaat[[#This Row],[Code]],Locaties[[#All],[Code]:[Adres]],4,FALSE)</f>
        <v>Kadelaan 208</v>
      </c>
      <c r="D452" s="435" t="str">
        <f>VLOOKUP(Ruimtestaat[[#This Row],[Code]],Locaties[[#All],[Code]:[Postcode]],5,FALSE)</f>
        <v>2725 BR</v>
      </c>
      <c r="E452" s="435" t="str">
        <f>VLOOKUP(Ruimtestaat[[#This Row],[Code]],Locaties[#All],6,FALSE)</f>
        <v>Zoetermeer</v>
      </c>
      <c r="F452" s="450"/>
      <c r="G452" s="330" t="s">
        <v>1769</v>
      </c>
      <c r="H452" s="330">
        <v>112</v>
      </c>
      <c r="I452" s="450" t="s">
        <v>1870</v>
      </c>
      <c r="J452" s="330">
        <v>1</v>
      </c>
      <c r="K452" s="450" t="str">
        <f>VLOOKUP(Ruimtestaat[[#This Row],[Ruimte code]],Ruimtegroepen[[#All],[Code]:[Ruimte omschrijving]],2,FALSE)</f>
        <v>Magazijnen/bergingen</v>
      </c>
      <c r="L452" s="434" t="s">
        <v>101</v>
      </c>
      <c r="M452" s="437" t="s">
        <v>1816</v>
      </c>
      <c r="N452" s="439">
        <v>1.36</v>
      </c>
      <c r="O452" s="439"/>
      <c r="P452" s="439"/>
      <c r="Q452" s="439"/>
      <c r="R452" s="440" t="str">
        <f>VLOOKUP(Ruimtestaat[[#This Row],[Ruimte code]],Ruimtegroepen[],4,FALSE)</f>
        <v>Ve</v>
      </c>
      <c r="S452" s="434">
        <v>40</v>
      </c>
      <c r="T452" s="434" t="s">
        <v>2</v>
      </c>
      <c r="U452" s="434">
        <f>IF(S452&gt;0,IF(RIGHT(Ruimtestaat[[#This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2" s="434">
        <f>IF(U452&gt;0,VLOOKUP($J452,Ruimtegroepen[],3,FALSE)*VLOOKUP($L452,Vloersoorten[],3,FALSE)*VLOOKUP($T452,Frequenties[],3,FALSE)*VLOOKUP($A452,Locaties[],3,FALSE),0)</f>
        <v>0</v>
      </c>
      <c r="W452" s="434">
        <f>Ruimtestaat[[#This Row],[Uitvoeringen werkdagen]]*Ruimtestaat[[#This Row],[Oppervlak (netto)]]</f>
        <v>272</v>
      </c>
      <c r="X452" s="441">
        <f>IF(V452&gt;0,Ruimtestaat[[#This Row],[Prest. (m2 /jaar) werkdagen]]/Ruimtestaat[[#This Row],[Norm (m2/uur) werkdagen]],0)</f>
        <v>0</v>
      </c>
      <c r="Y452" s="442">
        <f>Ruimtestaat[[#This Row],[Uitvoeringen werkdagen]]*Ruimtestaat[[#This Row],[Gedeeltelijk]]</f>
        <v>0</v>
      </c>
      <c r="Z452" s="443" t="e">
        <f>IF(U452&gt;0,Ruimtestaat[[#This Row],[Prest. (m2 / jaar) werkdagen gedeeld]]/Ruimtestaat[[#This Row],[Norm (m2/uur) werkdagen]],0)</f>
        <v>#DIV/0!</v>
      </c>
      <c r="AA452" s="441" t="e">
        <f>Ruimtestaat[[#This Row],[uren / jaar werkdagen gedeeld]]*Tariefsopbouw!$E$35</f>
        <v>#DIV/0!</v>
      </c>
      <c r="AB452" s="441">
        <f>Ruimtestaat[[#This Row],[Uitvoeringen werkdagen]]*Ruimtestaat[[#This Row],[BSO]]</f>
        <v>0</v>
      </c>
      <c r="AC452" s="443" t="e">
        <f>IF(U452&gt;0,Ruimtestaat[[#This Row],[Prest. (m2 / jaar) werkdagen BSO]]/Ruimtestaat[[#This Row],[Norm (m2/uur) werkdagen]],0)</f>
        <v>#DIV/0!</v>
      </c>
      <c r="AD452" s="443" t="e">
        <f>Ruimtestaat[[#This Row],[uren / jaar werkdagen BSO]]*Tariefsopbouw!$E$35</f>
        <v>#DIV/0!</v>
      </c>
      <c r="AE452" s="444">
        <f>Ruimtestaat[[#This Row],[uren / jaar werkdagen]]*Tariefsopbouw!$E$35</f>
        <v>0</v>
      </c>
      <c r="AF452" s="434"/>
      <c r="AG452" s="434">
        <f>IF(Ruimtestaat[[#This Row],[Frequentie weekend]]&gt;0,VALUE(LEFT(AF452,1))*S452,0)</f>
        <v>0</v>
      </c>
      <c r="AH452" s="445">
        <f>IF($AG452&gt;0,VLOOKUP($J452,Ruimtegroepen[],3,FALSE)*VLOOKUP($L452,Vloersoorten[],3,FALSE)*VLOOKUP($AF452,Frequenties[],3,FALSE)*VLOOKUP(Ruimtestaat[[#This Row],[Code]],Locaties[],3,FALSE),0)</f>
        <v>0</v>
      </c>
      <c r="AI452" s="445">
        <f>Ruimtestaat[[#This Row],[Uitvoeringen weekend]]*Ruimtestaat[[#This Row],[Oppervlak (netto)]]</f>
        <v>0</v>
      </c>
      <c r="AJ452" s="445">
        <f>IF(AH452&gt;0,Ruimtestaat[[#This Row],[Prest. (m2 /jaar) weekend]]/Ruimtestaat[[#This Row],[Norm (m2/uur) weekend]],0)</f>
        <v>0</v>
      </c>
      <c r="AK452" s="444">
        <f>Ruimtestaat[[#This Row],[uren / jaar weekend]]*Tariefsopbouw!$D$40</f>
        <v>0</v>
      </c>
      <c r="AL452" s="441">
        <f>Ruimtestaat[[#This Row],[Prest. (m2 /jaar) weekend]]+Ruimtestaat[[#This Row],[Prest. (m2 /jaar) werkdagen]]</f>
        <v>272</v>
      </c>
      <c r="AM452" s="441">
        <f>Ruimtestaat[[#This Row],[uren / jaar weekend]]+Ruimtestaat[[#This Row],[uren / jaar werkdagen]]</f>
        <v>0</v>
      </c>
      <c r="AN452" s="446">
        <f>Ruimtestaat[[#This Row],[kosten / jaar weekend]]+Ruimtestaat[[#This Row],[kosten / jaar werkdagen]]</f>
        <v>0</v>
      </c>
      <c r="AO452" s="446"/>
      <c r="AP452" s="447" t="str">
        <f>IF(Ruimtestaat[[#This Row],[Frequentie werkdagen]]="","",_xlfn.CONCAT(Ruimtestaat[[#This Row],[Ruimte code]],"-",Ruimtestaat[[#This Row],[Frequentie werkdagen]]," ",Ruimtestaat[[#This Row],[Vloer code]]))</f>
        <v>1-5w S</v>
      </c>
      <c r="AQ452" s="448" t="str">
        <f>_xlfn.IFNA(VLOOKUP($AP452,Programma!$F$3:$G$1101,2,0),"")</f>
        <v>_</v>
      </c>
      <c r="AR452" s="448" t="str">
        <f>_xlfn.IFNA(VLOOKUP($AP452,Programma!$F$3:$H$1101,3,0),"")</f>
        <v>_</v>
      </c>
      <c r="AS452" s="448" t="str">
        <f>_xlfn.IFNA(VLOOKUP($AP452,Programma!$F$3:$I$1101,4,0),"")</f>
        <v>4w</v>
      </c>
      <c r="AT452" s="448" t="str">
        <f>_xlfn.IFNA(VLOOKUP($AP452,Programma!$F$3:$J$1101,5,0),"")</f>
        <v>1w</v>
      </c>
      <c r="AU452" s="448" t="str">
        <f>_xlfn.IFNA(VLOOKUP($AP452,Programma!$F$3:$K$1101,6,0),"")</f>
        <v>1j</v>
      </c>
      <c r="AV452" s="448" t="str">
        <f>_xlfn.IFNA(VLOOKUP($AP452,Programma!$F$3:$L$1101,7,0),"")</f>
        <v>_</v>
      </c>
      <c r="AW452" s="448" t="str">
        <f>_xlfn.IFNA(VLOOKUP($AP452,Programma!$F$3:$M$1101,8,0),"")</f>
        <v>_</v>
      </c>
      <c r="AX452" s="448" t="str">
        <f>_xlfn.IFNA(VLOOKUP($AP452,Programma!$F$3:$N$1101,9,0),"")</f>
        <v>_</v>
      </c>
      <c r="AY452" s="448" t="str">
        <f>_xlfn.IFNA(VLOOKUP($AP452,Programma!$F$3:$O$1101,10,0),"")</f>
        <v>_</v>
      </c>
      <c r="AZ452" s="448" t="str">
        <f>_xlfn.IFNA(VLOOKUP($AP452,Programma!$F$3:$P$1101,11,0),"")</f>
        <v>_</v>
      </c>
      <c r="BA452" s="448" t="str">
        <f>_xlfn.IFNA(VLOOKUP($AP452,Programma!$F$3:$Q$1101,12,0),"")</f>
        <v>_</v>
      </c>
      <c r="BB452" s="448" t="str">
        <f>_xlfn.IFNA(VLOOKUP($AP452,Programma!$F$3:$R$1101,13,0),"")</f>
        <v>_</v>
      </c>
      <c r="BC452" s="448" t="str">
        <f>_xlfn.IFNA(VLOOKUP($AP452,Programma!$F$3:$S$1101,14,0),"")</f>
        <v>5w</v>
      </c>
      <c r="BD452" s="448" t="str">
        <f>_xlfn.IFNA(VLOOKUP($AP452,Programma!$F$3:$T$1101,15,0),"")</f>
        <v>4j</v>
      </c>
      <c r="BE452" s="448" t="str">
        <f>_xlfn.IFNA(VLOOKUP($AP452,Programma!$F$3:$U$1101,16,0),"")</f>
        <v>4j</v>
      </c>
      <c r="BF452" s="448" t="str">
        <f>_xlfn.IFNA(VLOOKUP($AP452,Programma!$F$3:$V$1101,17,0),"")</f>
        <v>_</v>
      </c>
      <c r="BG452" s="448" t="str">
        <f>_xlfn.IFNA(VLOOKUP($AP452,Programma!$F$3:$W$1101,18,0),"")</f>
        <v>_</v>
      </c>
      <c r="BH452" s="448" t="str">
        <f>_xlfn.IFNA(VLOOKUP($AP452,Programma!$F$3:$X$1101,19,0),"")</f>
        <v>_</v>
      </c>
      <c r="BI452" s="448" t="str">
        <f>_xlfn.IFNA(VLOOKUP($AP452,Programma!$F$3:$Y$1101,20,0),"")</f>
        <v>_</v>
      </c>
      <c r="BJ452" s="449"/>
      <c r="BK452" s="447" t="str">
        <f>IF(Ruimtestaat[[#This Row],[Frequentie weekend]]="","",_xlfn.CONCAT(Ruimtestaat[[#This Row],[Ruimte code]],"-",Ruimtestaat[[#This Row],[Frequentie weekend]]," ",Ruimtestaat[[#This Row],[Vloer code]]))</f>
        <v/>
      </c>
      <c r="BL452" s="448" t="str">
        <f>_xlfn.IFNA(VLOOKUP($BK452,Programma!$F$3:$G$1101,2,0),"")</f>
        <v/>
      </c>
      <c r="BM452" s="448" t="str">
        <f>_xlfn.IFNA(VLOOKUP($BK452,Programma!$F$3:$H$1101,3,0),"")</f>
        <v/>
      </c>
      <c r="BN452" s="448" t="str">
        <f>_xlfn.IFNA(VLOOKUP($BK452,Programma!$F$3:$I$1101,4,0),"")</f>
        <v/>
      </c>
      <c r="BO452" s="448" t="str">
        <f>_xlfn.IFNA(VLOOKUP($BK452,Programma!$F$3:$J$1101,5,0),"")</f>
        <v/>
      </c>
      <c r="BP452" s="448" t="str">
        <f>_xlfn.IFNA(VLOOKUP($BK452,Programma!$F$3:$K$1101,6,0),"")</f>
        <v/>
      </c>
      <c r="BQ452" s="448" t="str">
        <f>_xlfn.IFNA(VLOOKUP($BK452,Programma!$F$3:$L$1101,7,0),"")</f>
        <v/>
      </c>
      <c r="BR452" s="448" t="str">
        <f>_xlfn.IFNA(VLOOKUP($BK452,Programma!$F$3:$M$1101,8,0),"")</f>
        <v/>
      </c>
      <c r="BS452" s="448" t="str">
        <f>_xlfn.IFNA(VLOOKUP($BK452,Programma!$F$3:$N$1101,9,0),"")</f>
        <v/>
      </c>
      <c r="BT452" s="448" t="str">
        <f>_xlfn.IFNA(VLOOKUP($BK452,Programma!$F$3:$O$1101,10,0),"")</f>
        <v/>
      </c>
      <c r="BU452" s="448" t="str">
        <f>_xlfn.IFNA(VLOOKUP($BK452,Programma!$F$3:$P$1101,11,0),"")</f>
        <v/>
      </c>
      <c r="BV452" s="448" t="str">
        <f>_xlfn.IFNA(VLOOKUP($BK452,Programma!$F$3:$Q$1101,12,0),"")</f>
        <v/>
      </c>
      <c r="BW452" s="448" t="str">
        <f>_xlfn.IFNA(VLOOKUP($BK452,Programma!$F$3:$R$1101,13,0),"")</f>
        <v/>
      </c>
      <c r="BX452" s="448" t="str">
        <f>_xlfn.IFNA(VLOOKUP($BK452,Programma!$F$3:$S$1101,14,0),"")</f>
        <v/>
      </c>
      <c r="BY452" s="448" t="str">
        <f>_xlfn.IFNA(VLOOKUP($BK452,Programma!$F$3:$T$1101,15,0),"")</f>
        <v/>
      </c>
      <c r="BZ452" s="448" t="str">
        <f>_xlfn.IFNA(VLOOKUP($BK452,Programma!$F$3:$U$1101,16,0),"")</f>
        <v/>
      </c>
      <c r="CA452" s="448" t="str">
        <f>_xlfn.IFNA(VLOOKUP($BK452,Programma!$F$3:$V$1101,17,0),"")</f>
        <v/>
      </c>
      <c r="CB452" s="448" t="str">
        <f>_xlfn.IFNA(VLOOKUP($BK452,Programma!$F$3:$W$1101,18,0),"")</f>
        <v/>
      </c>
      <c r="CC452" s="448" t="str">
        <f>_xlfn.IFNA(VLOOKUP($BK452,Programma!$F$3:$X$1101,19,0),"")</f>
        <v/>
      </c>
      <c r="CD452" s="448" t="str">
        <f>_xlfn.IFNA(VLOOKUP($BK452,Programma!$F$3:$Y$1101,20,0),"")</f>
        <v/>
      </c>
      <c r="CE452" s="327"/>
      <c r="CF452" s="327"/>
      <c r="CG452" s="327"/>
      <c r="CH452" s="327"/>
      <c r="CI452" s="327"/>
      <c r="CJ452" s="327"/>
      <c r="CK452" s="327"/>
      <c r="CL452" s="327"/>
      <c r="CM452" s="327"/>
      <c r="CN452" s="327"/>
      <c r="CO452" s="327"/>
      <c r="CP452" s="327"/>
      <c r="CQ452" s="327"/>
      <c r="CR452" s="327"/>
      <c r="CS452" s="327"/>
      <c r="CT452" s="327"/>
      <c r="CU452" s="327"/>
      <c r="CV452" s="327"/>
      <c r="CW452" s="327"/>
      <c r="CX452" s="327"/>
      <c r="CY452" s="327"/>
      <c r="CZ452" s="327"/>
      <c r="DA452" s="327"/>
      <c r="DB452" s="327"/>
      <c r="DC452" s="327"/>
      <c r="DD452" s="327"/>
      <c r="DE452" s="327"/>
      <c r="DF452" s="327"/>
      <c r="DG452" s="327"/>
      <c r="DH452" s="327"/>
      <c r="DI452" s="327"/>
      <c r="DJ452" s="327"/>
      <c r="DK452" s="327"/>
      <c r="DL452" s="327"/>
      <c r="DM452" s="327"/>
      <c r="DN452" s="327"/>
      <c r="DO452" s="327"/>
      <c r="DP452" s="327"/>
      <c r="DQ452" s="327"/>
      <c r="DR452" s="327"/>
      <c r="DS452" s="327"/>
      <c r="DT452" s="327"/>
      <c r="DU452" s="327"/>
      <c r="DV452" s="327"/>
      <c r="DW452" s="327"/>
      <c r="DX452" s="327"/>
      <c r="DY452" s="327"/>
      <c r="DZ452" s="327"/>
      <c r="EA452" s="327"/>
      <c r="EB452" s="327"/>
      <c r="EC452" s="327"/>
      <c r="ED452" s="327"/>
      <c r="EE452" s="327"/>
      <c r="EF452" s="327"/>
      <c r="EG452" s="327"/>
      <c r="EH452" s="327"/>
      <c r="EI452" s="327"/>
      <c r="EJ452" s="327"/>
      <c r="EK452" s="327"/>
      <c r="EL452" s="327"/>
      <c r="EM452" s="327"/>
      <c r="EN452" s="327"/>
      <c r="EO452" s="327"/>
      <c r="EP452" s="327"/>
      <c r="EQ452" s="327"/>
      <c r="ER452" s="327"/>
      <c r="ES452" s="327"/>
      <c r="ET452" s="327"/>
      <c r="EU452" s="327"/>
      <c r="EV452" s="327"/>
      <c r="EW452" s="327"/>
      <c r="EX452" s="327"/>
      <c r="EY452" s="327"/>
      <c r="EZ452" s="327"/>
      <c r="FA452" s="327"/>
      <c r="FB452" s="327"/>
      <c r="FC452" s="327"/>
      <c r="FD452" s="327"/>
      <c r="FE452" s="327"/>
      <c r="FF452" s="327"/>
      <c r="FG452" s="327"/>
      <c r="FH452" s="327"/>
      <c r="FI452" s="327"/>
      <c r="FJ452" s="327"/>
      <c r="FK452" s="327"/>
      <c r="FL452" s="327"/>
      <c r="FM452" s="327"/>
      <c r="FN452" s="327"/>
      <c r="FO452" s="327"/>
      <c r="FP452" s="327"/>
      <c r="FQ452" s="327"/>
      <c r="FR452" s="327"/>
      <c r="FS452" s="327"/>
      <c r="FT452" s="327"/>
      <c r="FU452" s="327"/>
      <c r="FV452" s="327"/>
      <c r="FW452" s="327"/>
      <c r="FX452" s="327"/>
      <c r="FY452" s="327"/>
      <c r="FZ452" s="327"/>
      <c r="GA452" s="327"/>
      <c r="GB452" s="327"/>
      <c r="GC452" s="327"/>
      <c r="GD452" s="327"/>
      <c r="GE452" s="327"/>
      <c r="GF452" s="327"/>
      <c r="GG452" s="327"/>
      <c r="GH452" s="327"/>
      <c r="GI452" s="327"/>
      <c r="GJ452" s="327"/>
      <c r="GK452" s="327"/>
      <c r="GL452" s="327"/>
      <c r="GM452" s="327"/>
      <c r="GN452" s="327"/>
      <c r="GO452" s="327"/>
      <c r="GP452" s="327"/>
      <c r="GQ452" s="327"/>
      <c r="GR452" s="327"/>
      <c r="GS452" s="327"/>
      <c r="GT452" s="327"/>
      <c r="GU452" s="327"/>
      <c r="GV452" s="327"/>
      <c r="GW452" s="327"/>
      <c r="GX452" s="327"/>
      <c r="GY452" s="327"/>
      <c r="GZ452" s="327"/>
      <c r="HA452" s="327"/>
      <c r="HB452" s="327"/>
      <c r="HC452" s="327"/>
      <c r="HD452" s="327"/>
      <c r="HE452" s="327"/>
      <c r="HF452" s="327"/>
      <c r="HG452" s="327"/>
      <c r="HH452" s="327"/>
      <c r="HI452" s="327"/>
      <c r="HJ452" s="327"/>
      <c r="HK452" s="327"/>
      <c r="HL452" s="327"/>
      <c r="HM452" s="327"/>
      <c r="HN452" s="327"/>
      <c r="HO452" s="327"/>
      <c r="HP452" s="327"/>
      <c r="HQ452" s="327"/>
      <c r="HR452" s="327"/>
      <c r="HS452" s="327"/>
    </row>
    <row r="453" spans="1:227" ht="15" customHeight="1">
      <c r="A453" s="327">
        <v>17</v>
      </c>
      <c r="B453" s="435" t="str">
        <f>VLOOKUP(Ruimtestaat[[#This Row],[Code]],Locaties[[Code]:[Locatie]],2,FALSE)</f>
        <v>IKC de Tjalk Kadelaan 208 (bijgebouw)</v>
      </c>
      <c r="C453" s="435" t="str">
        <f>VLOOKUP(Ruimtestaat[[#This Row],[Code]],Locaties[[#All],[Code]:[Adres]],4,FALSE)</f>
        <v>Kadelaan 208</v>
      </c>
      <c r="D453" s="435" t="str">
        <f>VLOOKUP(Ruimtestaat[[#This Row],[Code]],Locaties[[#All],[Code]:[Postcode]],5,FALSE)</f>
        <v>2725 BR</v>
      </c>
      <c r="E453" s="435" t="str">
        <f>VLOOKUP(Ruimtestaat[[#This Row],[Code]],Locaties[#All],6,FALSE)</f>
        <v>Zoetermeer</v>
      </c>
      <c r="F453" s="450"/>
      <c r="G453" s="330" t="s">
        <v>1769</v>
      </c>
      <c r="H453" s="330">
        <v>102</v>
      </c>
      <c r="I453" s="450" t="s">
        <v>1842</v>
      </c>
      <c r="J453" s="330">
        <v>16</v>
      </c>
      <c r="K453" s="450" t="str">
        <f>VLOOKUP(Ruimtestaat[[#This Row],[Ruimte code]],Ruimtegroepen[[#All],[Code]:[Ruimte omschrijving]],2,FALSE)</f>
        <v>Leslokalen</v>
      </c>
      <c r="L453" s="434" t="s">
        <v>101</v>
      </c>
      <c r="M453" s="437" t="s">
        <v>1816</v>
      </c>
      <c r="N453" s="439">
        <v>55.81</v>
      </c>
      <c r="O453" s="439"/>
      <c r="P453" s="439"/>
      <c r="Q453" s="439"/>
      <c r="R453" s="440" t="str">
        <f>VLOOKUP(Ruimtestaat[[#This Row],[Ruimte code]],Ruimtegroepen[],4,FALSE)</f>
        <v>Le</v>
      </c>
      <c r="S453" s="434">
        <v>40</v>
      </c>
      <c r="T453" s="434" t="s">
        <v>2</v>
      </c>
      <c r="U453" s="434">
        <f>IF(S453&gt;0,IF(RIGHT(Ruimtestaat[[#This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3" s="434">
        <f>IF(U453&gt;0,VLOOKUP($J453,Ruimtegroepen[],3,FALSE)*VLOOKUP($L453,Vloersoorten[],3,FALSE)*VLOOKUP($T453,Frequenties[],3,FALSE)*VLOOKUP($A453,Locaties[],3,FALSE),0)</f>
        <v>0</v>
      </c>
      <c r="W453" s="434">
        <f>Ruimtestaat[[#This Row],[Uitvoeringen werkdagen]]*Ruimtestaat[[#This Row],[Oppervlak (netto)]]</f>
        <v>11162</v>
      </c>
      <c r="X453" s="441">
        <f>IF(V453&gt;0,Ruimtestaat[[#This Row],[Prest. (m2 /jaar) werkdagen]]/Ruimtestaat[[#This Row],[Norm (m2/uur) werkdagen]],0)</f>
        <v>0</v>
      </c>
      <c r="Y453" s="442">
        <f>Ruimtestaat[[#This Row],[Uitvoeringen werkdagen]]*Ruimtestaat[[#This Row],[Gedeeltelijk]]</f>
        <v>0</v>
      </c>
      <c r="Z453" s="443" t="e">
        <f>IF(U453&gt;0,Ruimtestaat[[#This Row],[Prest. (m2 / jaar) werkdagen gedeeld]]/Ruimtestaat[[#This Row],[Norm (m2/uur) werkdagen]],0)</f>
        <v>#DIV/0!</v>
      </c>
      <c r="AA453" s="441" t="e">
        <f>Ruimtestaat[[#This Row],[uren / jaar werkdagen gedeeld]]*Tariefsopbouw!$E$35</f>
        <v>#DIV/0!</v>
      </c>
      <c r="AB453" s="441">
        <f>Ruimtestaat[[#This Row],[Uitvoeringen werkdagen]]*Ruimtestaat[[#This Row],[BSO]]</f>
        <v>0</v>
      </c>
      <c r="AC453" s="443" t="e">
        <f>IF(U453&gt;0,Ruimtestaat[[#This Row],[Prest. (m2 / jaar) werkdagen BSO]]/Ruimtestaat[[#This Row],[Norm (m2/uur) werkdagen]],0)</f>
        <v>#DIV/0!</v>
      </c>
      <c r="AD453" s="443" t="e">
        <f>Ruimtestaat[[#This Row],[uren / jaar werkdagen BSO]]*Tariefsopbouw!$E$35</f>
        <v>#DIV/0!</v>
      </c>
      <c r="AE453" s="444">
        <f>Ruimtestaat[[#This Row],[uren / jaar werkdagen]]*Tariefsopbouw!$E$35</f>
        <v>0</v>
      </c>
      <c r="AF453" s="434"/>
      <c r="AG453" s="434">
        <f>IF(Ruimtestaat[[#This Row],[Frequentie weekend]]&gt;0,VALUE(LEFT(AF453,1))*S453,0)</f>
        <v>0</v>
      </c>
      <c r="AH453" s="445">
        <f>IF($AG453&gt;0,VLOOKUP($J453,Ruimtegroepen[],3,FALSE)*VLOOKUP($L453,Vloersoorten[],3,FALSE)*VLOOKUP($AF453,Frequenties[],3,FALSE)*VLOOKUP(Ruimtestaat[[#This Row],[Code]],Locaties[],3,FALSE),0)</f>
        <v>0</v>
      </c>
      <c r="AI453" s="445">
        <f>Ruimtestaat[[#This Row],[Uitvoeringen weekend]]*Ruimtestaat[[#This Row],[Oppervlak (netto)]]</f>
        <v>0</v>
      </c>
      <c r="AJ453" s="445">
        <f>IF(AH453&gt;0,Ruimtestaat[[#This Row],[Prest. (m2 /jaar) weekend]]/Ruimtestaat[[#This Row],[Norm (m2/uur) weekend]],0)</f>
        <v>0</v>
      </c>
      <c r="AK453" s="444">
        <f>Ruimtestaat[[#This Row],[uren / jaar weekend]]*Tariefsopbouw!$D$40</f>
        <v>0</v>
      </c>
      <c r="AL453" s="441">
        <f>Ruimtestaat[[#This Row],[Prest. (m2 /jaar) weekend]]+Ruimtestaat[[#This Row],[Prest. (m2 /jaar) werkdagen]]</f>
        <v>11162</v>
      </c>
      <c r="AM453" s="441">
        <f>Ruimtestaat[[#This Row],[uren / jaar weekend]]+Ruimtestaat[[#This Row],[uren / jaar werkdagen]]</f>
        <v>0</v>
      </c>
      <c r="AN453" s="446">
        <f>Ruimtestaat[[#This Row],[kosten / jaar weekend]]+Ruimtestaat[[#This Row],[kosten / jaar werkdagen]]</f>
        <v>0</v>
      </c>
      <c r="AO453" s="446"/>
      <c r="AP453" s="447" t="str">
        <f>IF(Ruimtestaat[[#This Row],[Frequentie werkdagen]]="","",_xlfn.CONCAT(Ruimtestaat[[#This Row],[Ruimte code]],"-",Ruimtestaat[[#This Row],[Frequentie werkdagen]]," ",Ruimtestaat[[#This Row],[Vloer code]]))</f>
        <v>16-5w S</v>
      </c>
      <c r="AQ453" s="448" t="str">
        <f>_xlfn.IFNA(VLOOKUP($AP453,Programma!$F$3:$G$1101,2,0),"")</f>
        <v>_</v>
      </c>
      <c r="AR453" s="448" t="str">
        <f>_xlfn.IFNA(VLOOKUP($AP453,Programma!$F$3:$H$1101,3,0),"")</f>
        <v>_</v>
      </c>
      <c r="AS453" s="448" t="str">
        <f>_xlfn.IFNA(VLOOKUP($AP453,Programma!$F$3:$I$1101,4,0),"")</f>
        <v>4w</v>
      </c>
      <c r="AT453" s="448" t="str">
        <f>_xlfn.IFNA(VLOOKUP($AP453,Programma!$F$3:$J$1101,5,0),"")</f>
        <v>1w</v>
      </c>
      <c r="AU453" s="448" t="str">
        <f>_xlfn.IFNA(VLOOKUP($AP453,Programma!$F$3:$K$1101,6,0),"")</f>
        <v>1m</v>
      </c>
      <c r="AV453" s="448" t="str">
        <f>_xlfn.IFNA(VLOOKUP($AP453,Programma!$F$3:$L$1101,7,0),"")</f>
        <v>_</v>
      </c>
      <c r="AW453" s="448" t="str">
        <f>_xlfn.IFNA(VLOOKUP($AP453,Programma!$F$3:$M$1101,8,0),"")</f>
        <v>_</v>
      </c>
      <c r="AX453" s="448" t="str">
        <f>_xlfn.IFNA(VLOOKUP($AP453,Programma!$F$3:$N$1101,9,0),"")</f>
        <v>_</v>
      </c>
      <c r="AY453" s="448" t="str">
        <f>_xlfn.IFNA(VLOOKUP($AP453,Programma!$F$3:$O$1101,10,0),"")</f>
        <v>5w</v>
      </c>
      <c r="AZ453" s="448" t="str">
        <f>_xlfn.IFNA(VLOOKUP($AP453,Programma!$F$3:$P$1101,11,0),"")</f>
        <v>5w</v>
      </c>
      <c r="BA453" s="448" t="str">
        <f>_xlfn.IFNA(VLOOKUP($AP453,Programma!$F$3:$Q$1101,12,0),"")</f>
        <v>1w</v>
      </c>
      <c r="BB453" s="448" t="str">
        <f>_xlfn.IFNA(VLOOKUP($AP453,Programma!$F$3:$R$1101,13,0),"")</f>
        <v>1w</v>
      </c>
      <c r="BC453" s="448" t="str">
        <f>_xlfn.IFNA(VLOOKUP($AP453,Programma!$F$3:$S$1101,14,0),"")</f>
        <v>1m</v>
      </c>
      <c r="BD453" s="448" t="str">
        <f>_xlfn.IFNA(VLOOKUP($AP453,Programma!$F$3:$T$1101,15,0),"")</f>
        <v>2j</v>
      </c>
      <c r="BE453" s="448" t="str">
        <f>_xlfn.IFNA(VLOOKUP($AP453,Programma!$F$3:$U$1101,16,0),"")</f>
        <v>1j</v>
      </c>
      <c r="BF453" s="448" t="str">
        <f>_xlfn.IFNA(VLOOKUP($AP453,Programma!$F$3:$V$1101,17,0),"")</f>
        <v>_</v>
      </c>
      <c r="BG453" s="448" t="str">
        <f>_xlfn.IFNA(VLOOKUP($AP453,Programma!$F$3:$W$1101,18,0),"")</f>
        <v>_</v>
      </c>
      <c r="BH453" s="448" t="str">
        <f>_xlfn.IFNA(VLOOKUP($AP453,Programma!$F$3:$X$1101,19,0),"")</f>
        <v>_</v>
      </c>
      <c r="BI453" s="448" t="str">
        <f>_xlfn.IFNA(VLOOKUP($AP453,Programma!$F$3:$Y$1101,20,0),"")</f>
        <v>_</v>
      </c>
      <c r="BJ453" s="449"/>
      <c r="BK453" s="447" t="str">
        <f>IF(Ruimtestaat[[#This Row],[Frequentie weekend]]="","",_xlfn.CONCAT(Ruimtestaat[[#This Row],[Ruimte code]],"-",Ruimtestaat[[#This Row],[Frequentie weekend]]," ",Ruimtestaat[[#This Row],[Vloer code]]))</f>
        <v/>
      </c>
      <c r="BL453" s="448" t="str">
        <f>_xlfn.IFNA(VLOOKUP($BK453,Programma!$F$3:$G$1101,2,0),"")</f>
        <v/>
      </c>
      <c r="BM453" s="448" t="str">
        <f>_xlfn.IFNA(VLOOKUP($BK453,Programma!$F$3:$H$1101,3,0),"")</f>
        <v/>
      </c>
      <c r="BN453" s="448" t="str">
        <f>_xlfn.IFNA(VLOOKUP($BK453,Programma!$F$3:$I$1101,4,0),"")</f>
        <v/>
      </c>
      <c r="BO453" s="448" t="str">
        <f>_xlfn.IFNA(VLOOKUP($BK453,Programma!$F$3:$J$1101,5,0),"")</f>
        <v/>
      </c>
      <c r="BP453" s="448" t="str">
        <f>_xlfn.IFNA(VLOOKUP($BK453,Programma!$F$3:$K$1101,6,0),"")</f>
        <v/>
      </c>
      <c r="BQ453" s="448" t="str">
        <f>_xlfn.IFNA(VLOOKUP($BK453,Programma!$F$3:$L$1101,7,0),"")</f>
        <v/>
      </c>
      <c r="BR453" s="448" t="str">
        <f>_xlfn.IFNA(VLOOKUP($BK453,Programma!$F$3:$M$1101,8,0),"")</f>
        <v/>
      </c>
      <c r="BS453" s="448" t="str">
        <f>_xlfn.IFNA(VLOOKUP($BK453,Programma!$F$3:$N$1101,9,0),"")</f>
        <v/>
      </c>
      <c r="BT453" s="448" t="str">
        <f>_xlfn.IFNA(VLOOKUP($BK453,Programma!$F$3:$O$1101,10,0),"")</f>
        <v/>
      </c>
      <c r="BU453" s="448" t="str">
        <f>_xlfn.IFNA(VLOOKUP($BK453,Programma!$F$3:$P$1101,11,0),"")</f>
        <v/>
      </c>
      <c r="BV453" s="448" t="str">
        <f>_xlfn.IFNA(VLOOKUP($BK453,Programma!$F$3:$Q$1101,12,0),"")</f>
        <v/>
      </c>
      <c r="BW453" s="448" t="str">
        <f>_xlfn.IFNA(VLOOKUP($BK453,Programma!$F$3:$R$1101,13,0),"")</f>
        <v/>
      </c>
      <c r="BX453" s="448" t="str">
        <f>_xlfn.IFNA(VLOOKUP($BK453,Programma!$F$3:$S$1101,14,0),"")</f>
        <v/>
      </c>
      <c r="BY453" s="448" t="str">
        <f>_xlfn.IFNA(VLOOKUP($BK453,Programma!$F$3:$T$1101,15,0),"")</f>
        <v/>
      </c>
      <c r="BZ453" s="448" t="str">
        <f>_xlfn.IFNA(VLOOKUP($BK453,Programma!$F$3:$U$1101,16,0),"")</f>
        <v/>
      </c>
      <c r="CA453" s="448" t="str">
        <f>_xlfn.IFNA(VLOOKUP($BK453,Programma!$F$3:$V$1101,17,0),"")</f>
        <v/>
      </c>
      <c r="CB453" s="448" t="str">
        <f>_xlfn.IFNA(VLOOKUP($BK453,Programma!$F$3:$W$1101,18,0),"")</f>
        <v/>
      </c>
      <c r="CC453" s="448" t="str">
        <f>_xlfn.IFNA(VLOOKUP($BK453,Programma!$F$3:$X$1101,19,0),"")</f>
        <v/>
      </c>
      <c r="CD453" s="448" t="str">
        <f>_xlfn.IFNA(VLOOKUP($BK453,Programma!$F$3:$Y$1101,20,0),"")</f>
        <v/>
      </c>
      <c r="CE453" s="327"/>
      <c r="CF453" s="327"/>
      <c r="CG453" s="327"/>
      <c r="CH453" s="327"/>
      <c r="CI453" s="327"/>
      <c r="CJ453" s="327"/>
      <c r="CK453" s="327"/>
      <c r="CL453" s="327"/>
      <c r="CM453" s="327"/>
      <c r="CN453" s="327"/>
      <c r="CO453" s="327"/>
      <c r="CP453" s="327"/>
      <c r="CQ453" s="327"/>
      <c r="CR453" s="327"/>
      <c r="CS453" s="327"/>
      <c r="CT453" s="327"/>
      <c r="CU453" s="327"/>
      <c r="CV453" s="327"/>
      <c r="CW453" s="327"/>
      <c r="CX453" s="327"/>
      <c r="CY453" s="327"/>
      <c r="CZ453" s="327"/>
      <c r="DA453" s="327"/>
      <c r="DB453" s="327"/>
      <c r="DC453" s="327"/>
      <c r="DD453" s="327"/>
      <c r="DE453" s="327"/>
      <c r="DF453" s="327"/>
      <c r="DG453" s="327"/>
      <c r="DH453" s="327"/>
      <c r="DI453" s="327"/>
      <c r="DJ453" s="327"/>
      <c r="DK453" s="327"/>
      <c r="DL453" s="327"/>
      <c r="DM453" s="327"/>
      <c r="DN453" s="327"/>
      <c r="DO453" s="327"/>
      <c r="DP453" s="327"/>
      <c r="DQ453" s="327"/>
      <c r="DR453" s="327"/>
      <c r="DS453" s="327"/>
      <c r="DT453" s="327"/>
      <c r="DU453" s="327"/>
      <c r="DV453" s="327"/>
      <c r="DW453" s="327"/>
      <c r="DX453" s="327"/>
      <c r="DY453" s="327"/>
      <c r="DZ453" s="327"/>
      <c r="EA453" s="327"/>
      <c r="EB453" s="327"/>
      <c r="EC453" s="327"/>
      <c r="ED453" s="327"/>
      <c r="EE453" s="327"/>
      <c r="EF453" s="327"/>
      <c r="EG453" s="327"/>
      <c r="EH453" s="327"/>
      <c r="EI453" s="327"/>
      <c r="EJ453" s="327"/>
      <c r="EK453" s="327"/>
      <c r="EL453" s="327"/>
      <c r="EM453" s="327"/>
      <c r="EN453" s="327"/>
      <c r="EO453" s="327"/>
      <c r="EP453" s="327"/>
      <c r="EQ453" s="327"/>
      <c r="ER453" s="327"/>
      <c r="ES453" s="327"/>
      <c r="ET453" s="327"/>
      <c r="EU453" s="327"/>
      <c r="EV453" s="327"/>
      <c r="EW453" s="327"/>
      <c r="EX453" s="327"/>
      <c r="EY453" s="327"/>
      <c r="EZ453" s="327"/>
      <c r="FA453" s="327"/>
      <c r="FB453" s="327"/>
      <c r="FC453" s="327"/>
      <c r="FD453" s="327"/>
      <c r="FE453" s="327"/>
      <c r="FF453" s="327"/>
      <c r="FG453" s="327"/>
      <c r="FH453" s="327"/>
      <c r="FI453" s="327"/>
      <c r="FJ453" s="327"/>
      <c r="FK453" s="327"/>
      <c r="FL453" s="327"/>
      <c r="FM453" s="327"/>
      <c r="FN453" s="327"/>
      <c r="FO453" s="327"/>
      <c r="FP453" s="327"/>
      <c r="FQ453" s="327"/>
      <c r="FR453" s="327"/>
      <c r="FS453" s="327"/>
      <c r="FT453" s="327"/>
      <c r="FU453" s="327"/>
      <c r="FV453" s="327"/>
      <c r="FW453" s="327"/>
      <c r="FX453" s="327"/>
      <c r="FY453" s="327"/>
      <c r="FZ453" s="327"/>
      <c r="GA453" s="327"/>
      <c r="GB453" s="327"/>
      <c r="GC453" s="327"/>
      <c r="GD453" s="327"/>
      <c r="GE453" s="327"/>
      <c r="GF453" s="327"/>
      <c r="GG453" s="327"/>
      <c r="GH453" s="327"/>
      <c r="GI453" s="327"/>
      <c r="GJ453" s="327"/>
      <c r="GK453" s="327"/>
      <c r="GL453" s="327"/>
      <c r="GM453" s="327"/>
      <c r="GN453" s="327"/>
      <c r="GO453" s="327"/>
      <c r="GP453" s="327"/>
      <c r="GQ453" s="327"/>
      <c r="GR453" s="327"/>
      <c r="GS453" s="327"/>
      <c r="GT453" s="327"/>
      <c r="GU453" s="327"/>
      <c r="GV453" s="327"/>
      <c r="GW453" s="327"/>
      <c r="GX453" s="327"/>
      <c r="GY453" s="327"/>
      <c r="GZ453" s="327"/>
      <c r="HA453" s="327"/>
      <c r="HB453" s="327"/>
      <c r="HC453" s="327"/>
      <c r="HD453" s="327"/>
      <c r="HE453" s="327"/>
      <c r="HF453" s="327"/>
      <c r="HG453" s="327"/>
      <c r="HH453" s="327"/>
      <c r="HI453" s="327"/>
      <c r="HJ453" s="327"/>
      <c r="HK453" s="327"/>
      <c r="HL453" s="327"/>
      <c r="HM453" s="327"/>
      <c r="HN453" s="327"/>
      <c r="HO453" s="327"/>
      <c r="HP453" s="327"/>
      <c r="HQ453" s="327"/>
      <c r="HR453" s="327"/>
      <c r="HS453" s="327"/>
    </row>
    <row r="454" spans="1:227" ht="15" customHeight="1">
      <c r="A454" s="327">
        <v>17</v>
      </c>
      <c r="B454" s="435" t="str">
        <f>VLOOKUP(Ruimtestaat[[#This Row],[Code]],Locaties[[Code]:[Locatie]],2,FALSE)</f>
        <v>IKC de Tjalk Kadelaan 208 (bijgebouw)</v>
      </c>
      <c r="C454" s="435" t="str">
        <f>VLOOKUP(Ruimtestaat[[#This Row],[Code]],Locaties[[#All],[Code]:[Adres]],4,FALSE)</f>
        <v>Kadelaan 208</v>
      </c>
      <c r="D454" s="435" t="str">
        <f>VLOOKUP(Ruimtestaat[[#This Row],[Code]],Locaties[[#All],[Code]:[Postcode]],5,FALSE)</f>
        <v>2725 BR</v>
      </c>
      <c r="E454" s="435" t="str">
        <f>VLOOKUP(Ruimtestaat[[#This Row],[Code]],Locaties[#All],6,FALSE)</f>
        <v>Zoetermeer</v>
      </c>
      <c r="F454" s="450"/>
      <c r="G454" s="330" t="s">
        <v>1769</v>
      </c>
      <c r="H454" s="330">
        <v>101</v>
      </c>
      <c r="I454" s="450" t="s">
        <v>1842</v>
      </c>
      <c r="J454" s="330">
        <v>16</v>
      </c>
      <c r="K454" s="450" t="str">
        <f>VLOOKUP(Ruimtestaat[[#This Row],[Ruimte code]],Ruimtegroepen[[#All],[Code]:[Ruimte omschrijving]],2,FALSE)</f>
        <v>Leslokalen</v>
      </c>
      <c r="L454" s="434" t="s">
        <v>101</v>
      </c>
      <c r="M454" s="437" t="s">
        <v>1816</v>
      </c>
      <c r="N454" s="439">
        <v>56.28</v>
      </c>
      <c r="O454" s="439"/>
      <c r="P454" s="439"/>
      <c r="Q454" s="439"/>
      <c r="R454" s="440" t="str">
        <f>VLOOKUP(Ruimtestaat[[#This Row],[Ruimte code]],Ruimtegroepen[],4,FALSE)</f>
        <v>Le</v>
      </c>
      <c r="S454" s="434">
        <v>40</v>
      </c>
      <c r="T454" s="434" t="s">
        <v>2</v>
      </c>
      <c r="U454" s="434">
        <f>IF(S454&gt;0,IF(RIGHT(Ruimtestaat[[#This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4" s="434">
        <f>IF(U454&gt;0,VLOOKUP($J454,Ruimtegroepen[],3,FALSE)*VLOOKUP($L454,Vloersoorten[],3,FALSE)*VLOOKUP($T454,Frequenties[],3,FALSE)*VLOOKUP($A454,Locaties[],3,FALSE),0)</f>
        <v>0</v>
      </c>
      <c r="W454" s="434">
        <f>Ruimtestaat[[#This Row],[Uitvoeringen werkdagen]]*Ruimtestaat[[#This Row],[Oppervlak (netto)]]</f>
        <v>11256</v>
      </c>
      <c r="X454" s="441">
        <f>IF(V454&gt;0,Ruimtestaat[[#This Row],[Prest. (m2 /jaar) werkdagen]]/Ruimtestaat[[#This Row],[Norm (m2/uur) werkdagen]],0)</f>
        <v>0</v>
      </c>
      <c r="Y454" s="442">
        <f>Ruimtestaat[[#This Row],[Uitvoeringen werkdagen]]*Ruimtestaat[[#This Row],[Gedeeltelijk]]</f>
        <v>0</v>
      </c>
      <c r="Z454" s="443" t="e">
        <f>IF(U454&gt;0,Ruimtestaat[[#This Row],[Prest. (m2 / jaar) werkdagen gedeeld]]/Ruimtestaat[[#This Row],[Norm (m2/uur) werkdagen]],0)</f>
        <v>#DIV/0!</v>
      </c>
      <c r="AA454" s="441" t="e">
        <f>Ruimtestaat[[#This Row],[uren / jaar werkdagen gedeeld]]*Tariefsopbouw!$E$35</f>
        <v>#DIV/0!</v>
      </c>
      <c r="AB454" s="441">
        <f>Ruimtestaat[[#This Row],[Uitvoeringen werkdagen]]*Ruimtestaat[[#This Row],[BSO]]</f>
        <v>0</v>
      </c>
      <c r="AC454" s="443" t="e">
        <f>IF(U454&gt;0,Ruimtestaat[[#This Row],[Prest. (m2 / jaar) werkdagen BSO]]/Ruimtestaat[[#This Row],[Norm (m2/uur) werkdagen]],0)</f>
        <v>#DIV/0!</v>
      </c>
      <c r="AD454" s="443" t="e">
        <f>Ruimtestaat[[#This Row],[uren / jaar werkdagen BSO]]*Tariefsopbouw!$E$35</f>
        <v>#DIV/0!</v>
      </c>
      <c r="AE454" s="444">
        <f>Ruimtestaat[[#This Row],[uren / jaar werkdagen]]*Tariefsopbouw!$E$35</f>
        <v>0</v>
      </c>
      <c r="AF454" s="434"/>
      <c r="AG454" s="434">
        <f>IF(Ruimtestaat[[#This Row],[Frequentie weekend]]&gt;0,VALUE(LEFT(AF454,1))*S454,0)</f>
        <v>0</v>
      </c>
      <c r="AH454" s="445">
        <f>IF($AG454&gt;0,VLOOKUP($J454,Ruimtegroepen[],3,FALSE)*VLOOKUP($L454,Vloersoorten[],3,FALSE)*VLOOKUP($AF454,Frequenties[],3,FALSE)*VLOOKUP(Ruimtestaat[[#This Row],[Code]],Locaties[],3,FALSE),0)</f>
        <v>0</v>
      </c>
      <c r="AI454" s="445">
        <f>Ruimtestaat[[#This Row],[Uitvoeringen weekend]]*Ruimtestaat[[#This Row],[Oppervlak (netto)]]</f>
        <v>0</v>
      </c>
      <c r="AJ454" s="445">
        <f>IF(AH454&gt;0,Ruimtestaat[[#This Row],[Prest. (m2 /jaar) weekend]]/Ruimtestaat[[#This Row],[Norm (m2/uur) weekend]],0)</f>
        <v>0</v>
      </c>
      <c r="AK454" s="444">
        <f>Ruimtestaat[[#This Row],[uren / jaar weekend]]*Tariefsopbouw!$D$40</f>
        <v>0</v>
      </c>
      <c r="AL454" s="441">
        <f>Ruimtestaat[[#This Row],[Prest. (m2 /jaar) weekend]]+Ruimtestaat[[#This Row],[Prest. (m2 /jaar) werkdagen]]</f>
        <v>11256</v>
      </c>
      <c r="AM454" s="441">
        <f>Ruimtestaat[[#This Row],[uren / jaar weekend]]+Ruimtestaat[[#This Row],[uren / jaar werkdagen]]</f>
        <v>0</v>
      </c>
      <c r="AN454" s="446">
        <f>Ruimtestaat[[#This Row],[kosten / jaar weekend]]+Ruimtestaat[[#This Row],[kosten / jaar werkdagen]]</f>
        <v>0</v>
      </c>
      <c r="AO454" s="446"/>
      <c r="AP454" s="447" t="str">
        <f>IF(Ruimtestaat[[#This Row],[Frequentie werkdagen]]="","",_xlfn.CONCAT(Ruimtestaat[[#This Row],[Ruimte code]],"-",Ruimtestaat[[#This Row],[Frequentie werkdagen]]," ",Ruimtestaat[[#This Row],[Vloer code]]))</f>
        <v>16-5w S</v>
      </c>
      <c r="AQ454" s="448" t="str">
        <f>_xlfn.IFNA(VLOOKUP($AP454,Programma!$F$3:$G$1101,2,0),"")</f>
        <v>_</v>
      </c>
      <c r="AR454" s="448" t="str">
        <f>_xlfn.IFNA(VLOOKUP($AP454,Programma!$F$3:$H$1101,3,0),"")</f>
        <v>_</v>
      </c>
      <c r="AS454" s="448" t="str">
        <f>_xlfn.IFNA(VLOOKUP($AP454,Programma!$F$3:$I$1101,4,0),"")</f>
        <v>4w</v>
      </c>
      <c r="AT454" s="448" t="str">
        <f>_xlfn.IFNA(VLOOKUP($AP454,Programma!$F$3:$J$1101,5,0),"")</f>
        <v>1w</v>
      </c>
      <c r="AU454" s="448" t="str">
        <f>_xlfn.IFNA(VLOOKUP($AP454,Programma!$F$3:$K$1101,6,0),"")</f>
        <v>1m</v>
      </c>
      <c r="AV454" s="448" t="str">
        <f>_xlfn.IFNA(VLOOKUP($AP454,Programma!$F$3:$L$1101,7,0),"")</f>
        <v>_</v>
      </c>
      <c r="AW454" s="448" t="str">
        <f>_xlfn.IFNA(VLOOKUP($AP454,Programma!$F$3:$M$1101,8,0),"")</f>
        <v>_</v>
      </c>
      <c r="AX454" s="448" t="str">
        <f>_xlfn.IFNA(VLOOKUP($AP454,Programma!$F$3:$N$1101,9,0),"")</f>
        <v>_</v>
      </c>
      <c r="AY454" s="448" t="str">
        <f>_xlfn.IFNA(VLOOKUP($AP454,Programma!$F$3:$O$1101,10,0),"")</f>
        <v>5w</v>
      </c>
      <c r="AZ454" s="448" t="str">
        <f>_xlfn.IFNA(VLOOKUP($AP454,Programma!$F$3:$P$1101,11,0),"")</f>
        <v>5w</v>
      </c>
      <c r="BA454" s="448" t="str">
        <f>_xlfn.IFNA(VLOOKUP($AP454,Programma!$F$3:$Q$1101,12,0),"")</f>
        <v>1w</v>
      </c>
      <c r="BB454" s="448" t="str">
        <f>_xlfn.IFNA(VLOOKUP($AP454,Programma!$F$3:$R$1101,13,0),"")</f>
        <v>1w</v>
      </c>
      <c r="BC454" s="448" t="str">
        <f>_xlfn.IFNA(VLOOKUP($AP454,Programma!$F$3:$S$1101,14,0),"")</f>
        <v>1m</v>
      </c>
      <c r="BD454" s="448" t="str">
        <f>_xlfn.IFNA(VLOOKUP($AP454,Programma!$F$3:$T$1101,15,0),"")</f>
        <v>2j</v>
      </c>
      <c r="BE454" s="448" t="str">
        <f>_xlfn.IFNA(VLOOKUP($AP454,Programma!$F$3:$U$1101,16,0),"")</f>
        <v>1j</v>
      </c>
      <c r="BF454" s="448" t="str">
        <f>_xlfn.IFNA(VLOOKUP($AP454,Programma!$F$3:$V$1101,17,0),"")</f>
        <v>_</v>
      </c>
      <c r="BG454" s="448" t="str">
        <f>_xlfn.IFNA(VLOOKUP($AP454,Programma!$F$3:$W$1101,18,0),"")</f>
        <v>_</v>
      </c>
      <c r="BH454" s="448" t="str">
        <f>_xlfn.IFNA(VLOOKUP($AP454,Programma!$F$3:$X$1101,19,0),"")</f>
        <v>_</v>
      </c>
      <c r="BI454" s="448" t="str">
        <f>_xlfn.IFNA(VLOOKUP($AP454,Programma!$F$3:$Y$1101,20,0),"")</f>
        <v>_</v>
      </c>
      <c r="BJ454" s="449"/>
      <c r="BK454" s="447" t="str">
        <f>IF(Ruimtestaat[[#This Row],[Frequentie weekend]]="","",_xlfn.CONCAT(Ruimtestaat[[#This Row],[Ruimte code]],"-",Ruimtestaat[[#This Row],[Frequentie weekend]]," ",Ruimtestaat[[#This Row],[Vloer code]]))</f>
        <v/>
      </c>
      <c r="BL454" s="448" t="str">
        <f>_xlfn.IFNA(VLOOKUP($BK454,Programma!$F$3:$G$1101,2,0),"")</f>
        <v/>
      </c>
      <c r="BM454" s="448" t="str">
        <f>_xlfn.IFNA(VLOOKUP($BK454,Programma!$F$3:$H$1101,3,0),"")</f>
        <v/>
      </c>
      <c r="BN454" s="448" t="str">
        <f>_xlfn.IFNA(VLOOKUP($BK454,Programma!$F$3:$I$1101,4,0),"")</f>
        <v/>
      </c>
      <c r="BO454" s="448" t="str">
        <f>_xlfn.IFNA(VLOOKUP($BK454,Programma!$F$3:$J$1101,5,0),"")</f>
        <v/>
      </c>
      <c r="BP454" s="448" t="str">
        <f>_xlfn.IFNA(VLOOKUP($BK454,Programma!$F$3:$K$1101,6,0),"")</f>
        <v/>
      </c>
      <c r="BQ454" s="448" t="str">
        <f>_xlfn.IFNA(VLOOKUP($BK454,Programma!$F$3:$L$1101,7,0),"")</f>
        <v/>
      </c>
      <c r="BR454" s="448" t="str">
        <f>_xlfn.IFNA(VLOOKUP($BK454,Programma!$F$3:$M$1101,8,0),"")</f>
        <v/>
      </c>
      <c r="BS454" s="448" t="str">
        <f>_xlfn.IFNA(VLOOKUP($BK454,Programma!$F$3:$N$1101,9,0),"")</f>
        <v/>
      </c>
      <c r="BT454" s="448" t="str">
        <f>_xlfn.IFNA(VLOOKUP($BK454,Programma!$F$3:$O$1101,10,0),"")</f>
        <v/>
      </c>
      <c r="BU454" s="448" t="str">
        <f>_xlfn.IFNA(VLOOKUP($BK454,Programma!$F$3:$P$1101,11,0),"")</f>
        <v/>
      </c>
      <c r="BV454" s="448" t="str">
        <f>_xlfn.IFNA(VLOOKUP($BK454,Programma!$F$3:$Q$1101,12,0),"")</f>
        <v/>
      </c>
      <c r="BW454" s="448" t="str">
        <f>_xlfn.IFNA(VLOOKUP($BK454,Programma!$F$3:$R$1101,13,0),"")</f>
        <v/>
      </c>
      <c r="BX454" s="448" t="str">
        <f>_xlfn.IFNA(VLOOKUP($BK454,Programma!$F$3:$S$1101,14,0),"")</f>
        <v/>
      </c>
      <c r="BY454" s="448" t="str">
        <f>_xlfn.IFNA(VLOOKUP($BK454,Programma!$F$3:$T$1101,15,0),"")</f>
        <v/>
      </c>
      <c r="BZ454" s="448" t="str">
        <f>_xlfn.IFNA(VLOOKUP($BK454,Programma!$F$3:$U$1101,16,0),"")</f>
        <v/>
      </c>
      <c r="CA454" s="448" t="str">
        <f>_xlfn.IFNA(VLOOKUP($BK454,Programma!$F$3:$V$1101,17,0),"")</f>
        <v/>
      </c>
      <c r="CB454" s="448" t="str">
        <f>_xlfn.IFNA(VLOOKUP($BK454,Programma!$F$3:$W$1101,18,0),"")</f>
        <v/>
      </c>
      <c r="CC454" s="448" t="str">
        <f>_xlfn.IFNA(VLOOKUP($BK454,Programma!$F$3:$X$1101,19,0),"")</f>
        <v/>
      </c>
      <c r="CD454" s="448" t="str">
        <f>_xlfn.IFNA(VLOOKUP($BK454,Programma!$F$3:$Y$1101,20,0),"")</f>
        <v/>
      </c>
      <c r="CE454" s="327"/>
      <c r="CF454" s="327"/>
      <c r="CG454" s="327"/>
      <c r="CH454" s="327"/>
      <c r="CI454" s="327"/>
      <c r="CJ454" s="327"/>
      <c r="CK454" s="327"/>
      <c r="CL454" s="327"/>
      <c r="CM454" s="327"/>
      <c r="CN454" s="327"/>
      <c r="CO454" s="327"/>
      <c r="CP454" s="327"/>
      <c r="CQ454" s="327"/>
      <c r="CR454" s="327"/>
      <c r="CS454" s="327"/>
      <c r="CT454" s="327"/>
      <c r="CU454" s="327"/>
      <c r="CV454" s="327"/>
      <c r="CW454" s="327"/>
      <c r="CX454" s="327"/>
      <c r="CY454" s="327"/>
      <c r="CZ454" s="327"/>
      <c r="DA454" s="327"/>
      <c r="DB454" s="327"/>
      <c r="DC454" s="327"/>
      <c r="DD454" s="327"/>
      <c r="DE454" s="327"/>
      <c r="DF454" s="327"/>
      <c r="DG454" s="327"/>
      <c r="DH454" s="327"/>
      <c r="DI454" s="327"/>
      <c r="DJ454" s="327"/>
      <c r="DK454" s="327"/>
      <c r="DL454" s="327"/>
      <c r="DM454" s="327"/>
      <c r="DN454" s="327"/>
      <c r="DO454" s="327"/>
      <c r="DP454" s="327"/>
      <c r="DQ454" s="327"/>
      <c r="DR454" s="327"/>
      <c r="DS454" s="327"/>
      <c r="DT454" s="327"/>
      <c r="DU454" s="327"/>
      <c r="DV454" s="327"/>
      <c r="DW454" s="327"/>
      <c r="DX454" s="327"/>
      <c r="DY454" s="327"/>
      <c r="DZ454" s="327"/>
      <c r="EA454" s="327"/>
      <c r="EB454" s="327"/>
      <c r="EC454" s="327"/>
      <c r="ED454" s="327"/>
      <c r="EE454" s="327"/>
      <c r="EF454" s="327"/>
      <c r="EG454" s="327"/>
      <c r="EH454" s="327"/>
      <c r="EI454" s="327"/>
      <c r="EJ454" s="327"/>
      <c r="EK454" s="327"/>
      <c r="EL454" s="327"/>
      <c r="EM454" s="327"/>
      <c r="EN454" s="327"/>
      <c r="EO454" s="327"/>
      <c r="EP454" s="327"/>
      <c r="EQ454" s="327"/>
      <c r="ER454" s="327"/>
      <c r="ES454" s="327"/>
      <c r="ET454" s="327"/>
      <c r="EU454" s="327"/>
      <c r="EV454" s="327"/>
      <c r="EW454" s="327"/>
      <c r="EX454" s="327"/>
      <c r="EY454" s="327"/>
      <c r="EZ454" s="327"/>
      <c r="FA454" s="327"/>
      <c r="FB454" s="327"/>
      <c r="FC454" s="327"/>
      <c r="FD454" s="327"/>
      <c r="FE454" s="327"/>
      <c r="FF454" s="327"/>
      <c r="FG454" s="327"/>
      <c r="FH454" s="327"/>
      <c r="FI454" s="327"/>
      <c r="FJ454" s="327"/>
      <c r="FK454" s="327"/>
      <c r="FL454" s="327"/>
      <c r="FM454" s="327"/>
      <c r="FN454" s="327"/>
      <c r="FO454" s="327"/>
      <c r="FP454" s="327"/>
      <c r="FQ454" s="327"/>
      <c r="FR454" s="327"/>
      <c r="FS454" s="327"/>
      <c r="FT454" s="327"/>
      <c r="FU454" s="327"/>
      <c r="FV454" s="327"/>
      <c r="FW454" s="327"/>
      <c r="FX454" s="327"/>
      <c r="FY454" s="327"/>
      <c r="FZ454" s="327"/>
      <c r="GA454" s="327"/>
      <c r="GB454" s="327"/>
      <c r="GC454" s="327"/>
      <c r="GD454" s="327"/>
      <c r="GE454" s="327"/>
      <c r="GF454" s="327"/>
      <c r="GG454" s="327"/>
      <c r="GH454" s="327"/>
      <c r="GI454" s="327"/>
      <c r="GJ454" s="327"/>
      <c r="GK454" s="327"/>
      <c r="GL454" s="327"/>
      <c r="GM454" s="327"/>
      <c r="GN454" s="327"/>
      <c r="GO454" s="327"/>
      <c r="GP454" s="327"/>
      <c r="GQ454" s="327"/>
      <c r="GR454" s="327"/>
      <c r="GS454" s="327"/>
      <c r="GT454" s="327"/>
      <c r="GU454" s="327"/>
      <c r="GV454" s="327"/>
      <c r="GW454" s="327"/>
      <c r="GX454" s="327"/>
      <c r="GY454" s="327"/>
      <c r="GZ454" s="327"/>
      <c r="HA454" s="327"/>
      <c r="HB454" s="327"/>
      <c r="HC454" s="327"/>
      <c r="HD454" s="327"/>
      <c r="HE454" s="327"/>
      <c r="HF454" s="327"/>
      <c r="HG454" s="327"/>
      <c r="HH454" s="327"/>
      <c r="HI454" s="327"/>
      <c r="HJ454" s="327"/>
      <c r="HK454" s="327"/>
      <c r="HL454" s="327"/>
      <c r="HM454" s="327"/>
      <c r="HN454" s="327"/>
      <c r="HO454" s="327"/>
      <c r="HP454" s="327"/>
      <c r="HQ454" s="327"/>
      <c r="HR454" s="327"/>
      <c r="HS454" s="327"/>
    </row>
    <row r="455" spans="1:227" ht="15" customHeight="1">
      <c r="A455" s="362">
        <v>18</v>
      </c>
      <c r="B455" s="435" t="str">
        <f>VLOOKUP(Ruimtestaat[[#This Row],[Code]],Locaties[[Code]:[Locatie]],2,FALSE)</f>
        <v>IKC De Triangel</v>
      </c>
      <c r="C455" s="435" t="str">
        <f>VLOOKUP(Ruimtestaat[[#This Row],[Code]],Locaties[[#All],[Code]:[Adres]],4,FALSE)</f>
        <v>Vlasakker 33-35</v>
      </c>
      <c r="D455" s="435" t="str">
        <f>VLOOKUP(Ruimtestaat[[#This Row],[Code]],Locaties[[#All],[Code]:[Postcode]],5,FALSE)</f>
        <v>2723 TP</v>
      </c>
      <c r="E455" s="435" t="str">
        <f>VLOOKUP(Ruimtestaat[[#This Row],[Code]],Locaties[#All],6,FALSE)</f>
        <v>Zoetermeer</v>
      </c>
      <c r="F455" s="450"/>
      <c r="G455" s="330" t="s">
        <v>1678</v>
      </c>
      <c r="H455" s="330" t="s">
        <v>1662</v>
      </c>
      <c r="I455" s="450" t="s">
        <v>1871</v>
      </c>
      <c r="J455" s="330">
        <v>7</v>
      </c>
      <c r="K455" s="450" t="str">
        <f>VLOOKUP(Ruimtestaat[[#This Row],[Ruimte code]],Ruimtegroepen[[#All],[Code]:[Ruimte omschrijving]],2,FALSE)</f>
        <v>Entree</v>
      </c>
      <c r="L455" s="434" t="s">
        <v>100</v>
      </c>
      <c r="M455" s="437" t="s">
        <v>1759</v>
      </c>
      <c r="N455" s="439">
        <v>7.1</v>
      </c>
      <c r="O455" s="439"/>
      <c r="P455" s="439"/>
      <c r="Q455" s="439"/>
      <c r="R455" s="440" t="str">
        <f>VLOOKUP(Ruimtestaat[[#This Row],[Ruimte code]],Ruimtegroepen[],4,FALSE)</f>
        <v>Ve</v>
      </c>
      <c r="S455" s="434">
        <v>41</v>
      </c>
      <c r="T455" s="434" t="s">
        <v>2</v>
      </c>
      <c r="U455" s="434">
        <f>IF(S455&gt;0,IF(RIGHT(Ruimtestaat[[#This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55" s="434">
        <f>IF(U455&gt;0,VLOOKUP($J455,Ruimtegroepen[],3,FALSE)*VLOOKUP($L455,Vloersoorten[],3,FALSE)*VLOOKUP($T455,Frequenties[],3,FALSE)*VLOOKUP($A455,Locaties[],3,FALSE),0)</f>
        <v>0</v>
      </c>
      <c r="W455" s="434">
        <f>Ruimtestaat[[#This Row],[Uitvoeringen werkdagen]]*Ruimtestaat[[#This Row],[Oppervlak (netto)]]</f>
        <v>1455.5</v>
      </c>
      <c r="X455" s="441">
        <f>IF(V455&gt;0,Ruimtestaat[[#This Row],[Prest. (m2 /jaar) werkdagen]]/Ruimtestaat[[#This Row],[Norm (m2/uur) werkdagen]],0)</f>
        <v>0</v>
      </c>
      <c r="Y455" s="442">
        <f>Ruimtestaat[[#This Row],[Uitvoeringen werkdagen]]*Ruimtestaat[[#This Row],[Gedeeltelijk]]</f>
        <v>0</v>
      </c>
      <c r="Z455" s="443" t="e">
        <f>IF(U455&gt;0,Ruimtestaat[[#This Row],[Prest. (m2 / jaar) werkdagen gedeeld]]/Ruimtestaat[[#This Row],[Norm (m2/uur) werkdagen]],0)</f>
        <v>#DIV/0!</v>
      </c>
      <c r="AA455" s="441" t="e">
        <f>Ruimtestaat[[#This Row],[uren / jaar werkdagen gedeeld]]*Tariefsopbouw!$E$35</f>
        <v>#DIV/0!</v>
      </c>
      <c r="AB455" s="441">
        <f>Ruimtestaat[[#This Row],[Uitvoeringen werkdagen]]*Ruimtestaat[[#This Row],[BSO]]</f>
        <v>0</v>
      </c>
      <c r="AC455" s="443" t="e">
        <f>IF(U455&gt;0,Ruimtestaat[[#This Row],[Prest. (m2 / jaar) werkdagen BSO]]/Ruimtestaat[[#This Row],[Norm (m2/uur) werkdagen]],0)</f>
        <v>#DIV/0!</v>
      </c>
      <c r="AD455" s="443" t="e">
        <f>Ruimtestaat[[#This Row],[uren / jaar werkdagen BSO]]*Tariefsopbouw!$E$35</f>
        <v>#DIV/0!</v>
      </c>
      <c r="AE455" s="444">
        <f>Ruimtestaat[[#This Row],[uren / jaar werkdagen]]*Tariefsopbouw!$E$35</f>
        <v>0</v>
      </c>
      <c r="AF455" s="434"/>
      <c r="AG455" s="434">
        <f>IF(Ruimtestaat[[#This Row],[Frequentie weekend]]&gt;0,VALUE(LEFT(AF455,1))*S455,0)</f>
        <v>0</v>
      </c>
      <c r="AH455" s="445">
        <f>IF($AG455&gt;0,VLOOKUP($J455,Ruimtegroepen[],3,FALSE)*VLOOKUP($L455,Vloersoorten[],3,FALSE)*VLOOKUP($AF455,Frequenties[],3,FALSE)*VLOOKUP(Ruimtestaat[[#This Row],[Code]],Locaties[],3,FALSE),0)</f>
        <v>0</v>
      </c>
      <c r="AI455" s="445">
        <f>Ruimtestaat[[#This Row],[Uitvoeringen weekend]]*Ruimtestaat[[#This Row],[Oppervlak (netto)]]</f>
        <v>0</v>
      </c>
      <c r="AJ455" s="445">
        <f>IF(AH455&gt;0,Ruimtestaat[[#This Row],[Prest. (m2 /jaar) weekend]]/Ruimtestaat[[#This Row],[Norm (m2/uur) weekend]],0)</f>
        <v>0</v>
      </c>
      <c r="AK455" s="444">
        <f>Ruimtestaat[[#This Row],[uren / jaar weekend]]*Tariefsopbouw!$D$40</f>
        <v>0</v>
      </c>
      <c r="AL455" s="441">
        <f>Ruimtestaat[[#This Row],[Prest. (m2 /jaar) weekend]]+Ruimtestaat[[#This Row],[Prest. (m2 /jaar) werkdagen]]</f>
        <v>1455.5</v>
      </c>
      <c r="AM455" s="441">
        <f>Ruimtestaat[[#This Row],[uren / jaar weekend]]+Ruimtestaat[[#This Row],[uren / jaar werkdagen]]</f>
        <v>0</v>
      </c>
      <c r="AN455" s="446">
        <f>Ruimtestaat[[#This Row],[kosten / jaar weekend]]+Ruimtestaat[[#This Row],[kosten / jaar werkdagen]]</f>
        <v>0</v>
      </c>
      <c r="AO455" s="446"/>
      <c r="AP455" s="447" t="str">
        <f>IF(Ruimtestaat[[#This Row],[Frequentie werkdagen]]="","",_xlfn.CONCAT(Ruimtestaat[[#This Row],[Ruimte code]],"-",Ruimtestaat[[#This Row],[Frequentie werkdagen]]," ",Ruimtestaat[[#This Row],[Vloer code]]))</f>
        <v>7-5w L</v>
      </c>
      <c r="AQ455" s="448" t="str">
        <f>_xlfn.IFNA(VLOOKUP($AP455,Programma!$F$3:$G$1101,2,0),"")</f>
        <v>_</v>
      </c>
      <c r="AR455" s="448" t="str">
        <f>_xlfn.IFNA(VLOOKUP($AP455,Programma!$F$3:$H$1101,3,0),"")</f>
        <v>_</v>
      </c>
      <c r="AS455" s="448" t="str">
        <f>_xlfn.IFNA(VLOOKUP($AP455,Programma!$F$3:$I$1101,4,0),"")</f>
        <v>_</v>
      </c>
      <c r="AT455" s="448" t="str">
        <f>_xlfn.IFNA(VLOOKUP($AP455,Programma!$F$3:$J$1101,5,0),"")</f>
        <v>5w</v>
      </c>
      <c r="AU455" s="448" t="str">
        <f>_xlfn.IFNA(VLOOKUP($AP455,Programma!$F$3:$K$1101,6,0),"")</f>
        <v>_</v>
      </c>
      <c r="AV455" s="448" t="str">
        <f>_xlfn.IFNA(VLOOKUP($AP455,Programma!$F$3:$L$1101,7,0),"")</f>
        <v>_</v>
      </c>
      <c r="AW455" s="448" t="str">
        <f>_xlfn.IFNA(VLOOKUP($AP455,Programma!$F$3:$M$1101,8,0),"")</f>
        <v>_</v>
      </c>
      <c r="AX455" s="448" t="str">
        <f>_xlfn.IFNA(VLOOKUP($AP455,Programma!$F$3:$N$1101,9,0),"")</f>
        <v>_</v>
      </c>
      <c r="AY455" s="448" t="str">
        <f>_xlfn.IFNA(VLOOKUP($AP455,Programma!$F$3:$O$1101,10,0),"")</f>
        <v>5w</v>
      </c>
      <c r="AZ455" s="448" t="str">
        <f>_xlfn.IFNA(VLOOKUP($AP455,Programma!$F$3:$P$1101,11,0),"")</f>
        <v>5w</v>
      </c>
      <c r="BA455" s="448" t="str">
        <f>_xlfn.IFNA(VLOOKUP($AP455,Programma!$F$3:$Q$1101,12,0),"")</f>
        <v>1w</v>
      </c>
      <c r="BB455" s="448" t="str">
        <f>_xlfn.IFNA(VLOOKUP($AP455,Programma!$F$3:$R$1101,13,0),"")</f>
        <v>1w</v>
      </c>
      <c r="BC455" s="448" t="str">
        <f>_xlfn.IFNA(VLOOKUP($AP455,Programma!$F$3:$S$1101,14,0),"")</f>
        <v>1m</v>
      </c>
      <c r="BD455" s="448" t="str">
        <f>_xlfn.IFNA(VLOOKUP($AP455,Programma!$F$3:$T$1101,15,0),"")</f>
        <v>2j</v>
      </c>
      <c r="BE455" s="448" t="str">
        <f>_xlfn.IFNA(VLOOKUP($AP455,Programma!$F$3:$U$1101,16,0),"")</f>
        <v>1j</v>
      </c>
      <c r="BF455" s="448" t="str">
        <f>_xlfn.IFNA(VLOOKUP($AP455,Programma!$F$3:$V$1101,17,0),"")</f>
        <v>_</v>
      </c>
      <c r="BG455" s="448" t="str">
        <f>_xlfn.IFNA(VLOOKUP($AP455,Programma!$F$3:$W$1101,18,0),"")</f>
        <v>_</v>
      </c>
      <c r="BH455" s="448" t="str">
        <f>_xlfn.IFNA(VLOOKUP($AP455,Programma!$F$3:$X$1101,19,0),"")</f>
        <v>_</v>
      </c>
      <c r="BI455" s="448" t="str">
        <f>_xlfn.IFNA(VLOOKUP($AP455,Programma!$F$3:$Y$1101,20,0),"")</f>
        <v>_</v>
      </c>
      <c r="BJ455" s="449"/>
      <c r="BK455" s="447" t="str">
        <f>IF(Ruimtestaat[[#This Row],[Frequentie weekend]]="","",_xlfn.CONCAT(Ruimtestaat[[#This Row],[Ruimte code]],"-",Ruimtestaat[[#This Row],[Frequentie weekend]]," ",Ruimtestaat[[#This Row],[Vloer code]]))</f>
        <v/>
      </c>
      <c r="BL455" s="448" t="str">
        <f>_xlfn.IFNA(VLOOKUP($BK455,Programma!$F$3:$G$1101,2,0),"")</f>
        <v/>
      </c>
      <c r="BM455" s="448" t="str">
        <f>_xlfn.IFNA(VLOOKUP($BK455,Programma!$F$3:$H$1101,3,0),"")</f>
        <v/>
      </c>
      <c r="BN455" s="448" t="str">
        <f>_xlfn.IFNA(VLOOKUP($BK455,Programma!$F$3:$I$1101,4,0),"")</f>
        <v/>
      </c>
      <c r="BO455" s="448" t="str">
        <f>_xlfn.IFNA(VLOOKUP($BK455,Programma!$F$3:$J$1101,5,0),"")</f>
        <v/>
      </c>
      <c r="BP455" s="448" t="str">
        <f>_xlfn.IFNA(VLOOKUP($BK455,Programma!$F$3:$K$1101,6,0),"")</f>
        <v/>
      </c>
      <c r="BQ455" s="448" t="str">
        <f>_xlfn.IFNA(VLOOKUP($BK455,Programma!$F$3:$L$1101,7,0),"")</f>
        <v/>
      </c>
      <c r="BR455" s="448" t="str">
        <f>_xlfn.IFNA(VLOOKUP($BK455,Programma!$F$3:$M$1101,8,0),"")</f>
        <v/>
      </c>
      <c r="BS455" s="448" t="str">
        <f>_xlfn.IFNA(VLOOKUP($BK455,Programma!$F$3:$N$1101,9,0),"")</f>
        <v/>
      </c>
      <c r="BT455" s="448" t="str">
        <f>_xlfn.IFNA(VLOOKUP($BK455,Programma!$F$3:$O$1101,10,0),"")</f>
        <v/>
      </c>
      <c r="BU455" s="448" t="str">
        <f>_xlfn.IFNA(VLOOKUP($BK455,Programma!$F$3:$P$1101,11,0),"")</f>
        <v/>
      </c>
      <c r="BV455" s="448" t="str">
        <f>_xlfn.IFNA(VLOOKUP($BK455,Programma!$F$3:$Q$1101,12,0),"")</f>
        <v/>
      </c>
      <c r="BW455" s="448" t="str">
        <f>_xlfn.IFNA(VLOOKUP($BK455,Programma!$F$3:$R$1101,13,0),"")</f>
        <v/>
      </c>
      <c r="BX455" s="448" t="str">
        <f>_xlfn.IFNA(VLOOKUP($BK455,Programma!$F$3:$S$1101,14,0),"")</f>
        <v/>
      </c>
      <c r="BY455" s="448" t="str">
        <f>_xlfn.IFNA(VLOOKUP($BK455,Programma!$F$3:$T$1101,15,0),"")</f>
        <v/>
      </c>
      <c r="BZ455" s="448" t="str">
        <f>_xlfn.IFNA(VLOOKUP($BK455,Programma!$F$3:$U$1101,16,0),"")</f>
        <v/>
      </c>
      <c r="CA455" s="448" t="str">
        <f>_xlfn.IFNA(VLOOKUP($BK455,Programma!$F$3:$V$1101,17,0),"")</f>
        <v/>
      </c>
      <c r="CB455" s="448" t="str">
        <f>_xlfn.IFNA(VLOOKUP($BK455,Programma!$F$3:$W$1101,18,0),"")</f>
        <v/>
      </c>
      <c r="CC455" s="448" t="str">
        <f>_xlfn.IFNA(VLOOKUP($BK455,Programma!$F$3:$X$1101,19,0),"")</f>
        <v/>
      </c>
      <c r="CD455" s="448" t="str">
        <f>_xlfn.IFNA(VLOOKUP($BK455,Programma!$F$3:$Y$1101,20,0),"")</f>
        <v/>
      </c>
      <c r="CE455" s="327"/>
      <c r="CF455" s="327"/>
      <c r="CG455" s="327"/>
      <c r="CH455" s="327"/>
      <c r="CI455" s="327"/>
      <c r="CJ455" s="327"/>
      <c r="CK455" s="327"/>
      <c r="CL455" s="327"/>
      <c r="CM455" s="327"/>
      <c r="CN455" s="327"/>
      <c r="CO455" s="327"/>
      <c r="CP455" s="327"/>
      <c r="CQ455" s="327"/>
      <c r="CR455" s="327"/>
      <c r="CS455" s="327"/>
      <c r="CT455" s="327"/>
      <c r="CU455" s="327"/>
      <c r="CV455" s="327"/>
      <c r="CW455" s="327"/>
      <c r="CX455" s="327"/>
      <c r="CY455" s="327"/>
      <c r="CZ455" s="327"/>
      <c r="DA455" s="327"/>
      <c r="DB455" s="327"/>
      <c r="DC455" s="327"/>
      <c r="DD455" s="327"/>
      <c r="DE455" s="327"/>
      <c r="DF455" s="327"/>
      <c r="DG455" s="327"/>
      <c r="DH455" s="327"/>
      <c r="DI455" s="327"/>
      <c r="DJ455" s="327"/>
      <c r="DK455" s="327"/>
      <c r="DL455" s="327"/>
      <c r="DM455" s="327"/>
      <c r="DN455" s="327"/>
      <c r="DO455" s="327"/>
      <c r="DP455" s="327"/>
      <c r="DQ455" s="327"/>
      <c r="DR455" s="327"/>
      <c r="DS455" s="327"/>
      <c r="DT455" s="327"/>
      <c r="DU455" s="327"/>
      <c r="DV455" s="327"/>
      <c r="DW455" s="327"/>
      <c r="DX455" s="327"/>
      <c r="DY455" s="327"/>
      <c r="DZ455" s="327"/>
      <c r="EA455" s="327"/>
      <c r="EB455" s="327"/>
      <c r="EC455" s="327"/>
      <c r="ED455" s="327"/>
      <c r="EE455" s="327"/>
      <c r="EF455" s="327"/>
      <c r="EG455" s="327"/>
      <c r="EH455" s="327"/>
      <c r="EI455" s="327"/>
      <c r="EJ455" s="327"/>
      <c r="EK455" s="327"/>
      <c r="EL455" s="327"/>
      <c r="EM455" s="327"/>
      <c r="EN455" s="327"/>
      <c r="EO455" s="327"/>
      <c r="EP455" s="327"/>
      <c r="EQ455" s="327"/>
      <c r="ER455" s="327"/>
      <c r="ES455" s="327"/>
      <c r="ET455" s="327"/>
      <c r="EU455" s="327"/>
      <c r="EV455" s="327"/>
      <c r="EW455" s="327"/>
      <c r="EX455" s="327"/>
      <c r="EY455" s="327"/>
      <c r="EZ455" s="327"/>
      <c r="FA455" s="327"/>
      <c r="FB455" s="327"/>
      <c r="FC455" s="327"/>
      <c r="FD455" s="327"/>
      <c r="FE455" s="327"/>
      <c r="FF455" s="327"/>
      <c r="FG455" s="327"/>
      <c r="FH455" s="327"/>
      <c r="FI455" s="327"/>
      <c r="FJ455" s="327"/>
      <c r="FK455" s="327"/>
      <c r="FL455" s="327"/>
      <c r="FM455" s="327"/>
      <c r="FN455" s="327"/>
      <c r="FO455" s="327"/>
      <c r="FP455" s="327"/>
      <c r="FQ455" s="327"/>
      <c r="FR455" s="327"/>
      <c r="FS455" s="327"/>
      <c r="FT455" s="327"/>
      <c r="FU455" s="327"/>
      <c r="FV455" s="327"/>
      <c r="FW455" s="327"/>
      <c r="FX455" s="327"/>
      <c r="FY455" s="327"/>
      <c r="FZ455" s="327"/>
      <c r="GA455" s="327"/>
      <c r="GB455" s="327"/>
      <c r="GC455" s="327"/>
      <c r="GD455" s="327"/>
      <c r="GE455" s="327"/>
      <c r="GF455" s="327"/>
      <c r="GG455" s="327"/>
      <c r="GH455" s="327"/>
      <c r="GI455" s="327"/>
      <c r="GJ455" s="327"/>
      <c r="GK455" s="327"/>
      <c r="GL455" s="327"/>
      <c r="GM455" s="327"/>
      <c r="GN455" s="327"/>
      <c r="GO455" s="327"/>
      <c r="GP455" s="327"/>
      <c r="GQ455" s="327"/>
      <c r="GR455" s="327"/>
      <c r="GS455" s="327"/>
      <c r="GT455" s="327"/>
      <c r="GU455" s="327"/>
      <c r="GV455" s="327"/>
      <c r="GW455" s="327"/>
      <c r="GX455" s="327"/>
      <c r="GY455" s="327"/>
      <c r="GZ455" s="327"/>
      <c r="HA455" s="327"/>
      <c r="HB455" s="327"/>
      <c r="HC455" s="327"/>
      <c r="HD455" s="327"/>
      <c r="HE455" s="327"/>
      <c r="HF455" s="327"/>
      <c r="HG455" s="327"/>
      <c r="HH455" s="327"/>
      <c r="HI455" s="327"/>
      <c r="HJ455" s="327"/>
      <c r="HK455" s="327"/>
      <c r="HL455" s="327"/>
      <c r="HM455" s="327"/>
      <c r="HN455" s="327"/>
      <c r="HO455" s="327"/>
      <c r="HP455" s="327"/>
      <c r="HQ455" s="327"/>
      <c r="HR455" s="327"/>
      <c r="HS455" s="327"/>
    </row>
    <row r="456" spans="1:227" ht="15" customHeight="1">
      <c r="A456" s="362">
        <v>18</v>
      </c>
      <c r="B456" s="435" t="str">
        <f>VLOOKUP(Ruimtestaat[[#This Row],[Code]],Locaties[[Code]:[Locatie]],2,FALSE)</f>
        <v>IKC De Triangel</v>
      </c>
      <c r="C456" s="435" t="str">
        <f>VLOOKUP(Ruimtestaat[[#This Row],[Code]],Locaties[[#All],[Code]:[Adres]],4,FALSE)</f>
        <v>Vlasakker 33-35</v>
      </c>
      <c r="D456" s="435" t="str">
        <f>VLOOKUP(Ruimtestaat[[#This Row],[Code]],Locaties[[#All],[Code]:[Postcode]],5,FALSE)</f>
        <v>2723 TP</v>
      </c>
      <c r="E456" s="435" t="str">
        <f>VLOOKUP(Ruimtestaat[[#This Row],[Code]],Locaties[#All],6,FALSE)</f>
        <v>Zoetermeer</v>
      </c>
      <c r="F456" s="450"/>
      <c r="G456" s="330" t="s">
        <v>1678</v>
      </c>
      <c r="H456" s="330" t="s">
        <v>1665</v>
      </c>
      <c r="I456" s="450" t="s">
        <v>1675</v>
      </c>
      <c r="J456" s="330">
        <v>6</v>
      </c>
      <c r="K456" s="450" t="str">
        <f>VLOOKUP(Ruimtestaat[[#This Row],[Ruimte code]],Ruimtegroepen[[#All],[Code]:[Ruimte omschrijving]],2,FALSE)</f>
        <v>Gangen/hallen</v>
      </c>
      <c r="L456" s="434" t="s">
        <v>100</v>
      </c>
      <c r="M456" s="437" t="s">
        <v>1759</v>
      </c>
      <c r="N456" s="439">
        <v>9.5</v>
      </c>
      <c r="O456" s="439"/>
      <c r="P456" s="439"/>
      <c r="Q456" s="439"/>
      <c r="R456" s="440" t="str">
        <f>VLOOKUP(Ruimtestaat[[#This Row],[Ruimte code]],Ruimtegroepen[],4,FALSE)</f>
        <v>Ve</v>
      </c>
      <c r="S456" s="434">
        <v>41</v>
      </c>
      <c r="T456" s="434" t="s">
        <v>2</v>
      </c>
      <c r="U456" s="453">
        <f>IF(S456&gt;0,IF(RIGHT(Ruimtestaat[[#This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56" s="434">
        <f>IF(U456&gt;0,VLOOKUP($J456,Ruimtegroepen[],3,FALSE)*VLOOKUP($L456,Vloersoorten[],3,FALSE)*VLOOKUP($T456,Frequenties[],3,FALSE)*VLOOKUP($A456,Locaties[],3,FALSE),0)</f>
        <v>0</v>
      </c>
      <c r="W456" s="434">
        <f>Ruimtestaat[[#This Row],[Uitvoeringen werkdagen]]*Ruimtestaat[[#This Row],[Oppervlak (netto)]]</f>
        <v>1947.5</v>
      </c>
      <c r="X456" s="441">
        <f>IF(V456&gt;0,Ruimtestaat[[#This Row],[Prest. (m2 /jaar) werkdagen]]/Ruimtestaat[[#This Row],[Norm (m2/uur) werkdagen]],0)</f>
        <v>0</v>
      </c>
      <c r="Y456" s="442">
        <f>Ruimtestaat[[#This Row],[Uitvoeringen werkdagen]]*Ruimtestaat[[#This Row],[Gedeeltelijk]]</f>
        <v>0</v>
      </c>
      <c r="Z456" s="443" t="e">
        <f>IF(U456&gt;0,Ruimtestaat[[#This Row],[Prest. (m2 / jaar) werkdagen gedeeld]]/Ruimtestaat[[#This Row],[Norm (m2/uur) werkdagen]],0)</f>
        <v>#DIV/0!</v>
      </c>
      <c r="AA456" s="441" t="e">
        <f>Ruimtestaat[[#This Row],[uren / jaar werkdagen gedeeld]]*Tariefsopbouw!$E$35</f>
        <v>#DIV/0!</v>
      </c>
      <c r="AB456" s="441">
        <f>Ruimtestaat[[#This Row],[Uitvoeringen werkdagen]]*Ruimtestaat[[#This Row],[BSO]]</f>
        <v>0</v>
      </c>
      <c r="AC456" s="443" t="e">
        <f>IF(U456&gt;0,Ruimtestaat[[#This Row],[Prest. (m2 / jaar) werkdagen BSO]]/Ruimtestaat[[#This Row],[Norm (m2/uur) werkdagen]],0)</f>
        <v>#DIV/0!</v>
      </c>
      <c r="AD456" s="443" t="e">
        <f>Ruimtestaat[[#This Row],[uren / jaar werkdagen BSO]]*Tariefsopbouw!$E$35</f>
        <v>#DIV/0!</v>
      </c>
      <c r="AE456" s="444">
        <f>Ruimtestaat[[#This Row],[uren / jaar werkdagen]]*Tariefsopbouw!$E$35</f>
        <v>0</v>
      </c>
      <c r="AF456" s="454"/>
      <c r="AG456" s="455">
        <f>IF(Ruimtestaat[[#This Row],[Frequentie weekend]]&gt;0,VALUE(LEFT(AF456,1))*S456,0)</f>
        <v>0</v>
      </c>
      <c r="AH456" s="455">
        <f>IF($AG456&gt;0,VLOOKUP($J456,Ruimtegroepen[],3,FALSE)*VLOOKUP($L456,Vloersoorten[],3,FALSE)*VLOOKUP($AF456,Frequenties[],3,FALSE)*VLOOKUP(#REF!,Locaties[],3,FALSE),0)</f>
        <v>0</v>
      </c>
      <c r="AI456" s="434">
        <f>Ruimtestaat[[#This Row],[Uitvoeringen weekend]]*Ruimtestaat[[#This Row],[Oppervlak (netto)]]</f>
        <v>0</v>
      </c>
      <c r="AJ456" s="434">
        <f>IF(AH456&gt;0,Ruimtestaat[[#This Row],[Prest. (m2 /jaar) weekend]]/Ruimtestaat[[#This Row],[Norm (m2/uur) weekend]],0)</f>
        <v>0</v>
      </c>
      <c r="AK456" s="444">
        <f>Ruimtestaat[[#This Row],[uren / jaar weekend]]*Tariefsopbouw!$D$40</f>
        <v>0</v>
      </c>
      <c r="AL456" s="441">
        <f>Ruimtestaat[[#This Row],[Prest. (m2 /jaar) weekend]]+Ruimtestaat[[#This Row],[Prest. (m2 /jaar) werkdagen]]</f>
        <v>1947.5</v>
      </c>
      <c r="AM456" s="441">
        <f>Ruimtestaat[[#This Row],[uren / jaar weekend]]+Ruimtestaat[[#This Row],[uren / jaar werkdagen]]</f>
        <v>0</v>
      </c>
      <c r="AN456" s="446">
        <f>Ruimtestaat[[#This Row],[kosten / jaar weekend]]+Ruimtestaat[[#This Row],[kosten / jaar werkdagen]]</f>
        <v>0</v>
      </c>
      <c r="AO456" s="446"/>
      <c r="AP456" s="446" t="str">
        <f>IF(Ruimtestaat[[#This Row],[Frequentie werkdagen]]="","",_xlfn.CONCAT(Ruimtestaat[[#This Row],[Ruimte code]],"-",Ruimtestaat[[#This Row],[Frequentie werkdagen]]," ",Ruimtestaat[[#This Row],[Vloer code]]))</f>
        <v>6-5w L</v>
      </c>
      <c r="AQ456" s="448" t="str">
        <f>_xlfn.IFNA(VLOOKUP($AP456,Programma!$F$3:$G$1101,2,0),"")</f>
        <v>_</v>
      </c>
      <c r="AR456" s="448" t="str">
        <f>_xlfn.IFNA(VLOOKUP($AP456,Programma!$F$3:$H$1101,3,0),"")</f>
        <v>_</v>
      </c>
      <c r="AS456" s="448" t="str">
        <f>_xlfn.IFNA(VLOOKUP($AP456,Programma!$F$3:$I$1101,4,0),"")</f>
        <v>_</v>
      </c>
      <c r="AT456" s="448" t="str">
        <f>_xlfn.IFNA(VLOOKUP($AP456,Programma!$F$3:$J$1101,5,0),"")</f>
        <v>5w</v>
      </c>
      <c r="AU456" s="448" t="str">
        <f>_xlfn.IFNA(VLOOKUP($AP456,Programma!$F$3:$K$1101,6,0),"")</f>
        <v>_</v>
      </c>
      <c r="AV456" s="448" t="str">
        <f>_xlfn.IFNA(VLOOKUP($AP456,Programma!$F$3:$L$1101,7,0),"")</f>
        <v>_</v>
      </c>
      <c r="AW456" s="448" t="str">
        <f>_xlfn.IFNA(VLOOKUP($AP456,Programma!$F$3:$M$1101,8,0),"")</f>
        <v>_</v>
      </c>
      <c r="AX456" s="448" t="str">
        <f>_xlfn.IFNA(VLOOKUP($AP456,Programma!$F$3:$N$1101,9,0),"")</f>
        <v>_</v>
      </c>
      <c r="AY456" s="448" t="str">
        <f>_xlfn.IFNA(VLOOKUP($AP456,Programma!$F$3:$O$1101,10,0),"")</f>
        <v>5w</v>
      </c>
      <c r="AZ456" s="448" t="str">
        <f>_xlfn.IFNA(VLOOKUP($AP456,Programma!$F$3:$P$1101,11,0),"")</f>
        <v>5w</v>
      </c>
      <c r="BA456" s="448" t="str">
        <f>_xlfn.IFNA(VLOOKUP($AP456,Programma!$F$3:$Q$1101,12,0),"")</f>
        <v>1w</v>
      </c>
      <c r="BB456" s="448" t="str">
        <f>_xlfn.IFNA(VLOOKUP($AP456,Programma!$F$3:$R$1101,13,0),"")</f>
        <v>1w</v>
      </c>
      <c r="BC456" s="448" t="str">
        <f>_xlfn.IFNA(VLOOKUP($AP456,Programma!$F$3:$S$1101,14,0),"")</f>
        <v>1m</v>
      </c>
      <c r="BD456" s="448" t="str">
        <f>_xlfn.IFNA(VLOOKUP($AP456,Programma!$F$3:$T$1101,15,0),"")</f>
        <v>2j</v>
      </c>
      <c r="BE456" s="448" t="str">
        <f>_xlfn.IFNA(VLOOKUP($AP456,Programma!$F$3:$U$1101,16,0),"")</f>
        <v>1j</v>
      </c>
      <c r="BF456" s="448" t="str">
        <f>_xlfn.IFNA(VLOOKUP($AP456,Programma!$F$3:$V$1101,17,0),"")</f>
        <v>_</v>
      </c>
      <c r="BG456" s="448" t="str">
        <f>_xlfn.IFNA(VLOOKUP($AP456,Programma!$F$3:$W$1101,18,0),"")</f>
        <v>_</v>
      </c>
      <c r="BH456" s="448" t="str">
        <f>_xlfn.IFNA(VLOOKUP($AP456,Programma!$F$3:$X$1101,19,0),"")</f>
        <v>_</v>
      </c>
      <c r="BI456" s="448" t="str">
        <f>_xlfn.IFNA(VLOOKUP($AP456,Programma!$F$3:$Y$1101,20,0),"")</f>
        <v>_</v>
      </c>
      <c r="BJ456" s="449"/>
      <c r="BK456" s="446" t="str">
        <f>IF(Ruimtestaat[[#This Row],[Frequentie weekend]]="","",_xlfn.CONCAT(Ruimtestaat[[#This Row],[Ruimte code]],"-",Ruimtestaat[[#This Row],[Frequentie weekend]]," ",Ruimtestaat[[#This Row],[Vloer code]]))</f>
        <v/>
      </c>
      <c r="BL456" s="448" t="str">
        <f>_xlfn.IFNA(VLOOKUP($BK456,Programma!$F$3:$G$1101,2,0),"")</f>
        <v/>
      </c>
      <c r="BM456" s="448" t="str">
        <f>_xlfn.IFNA(VLOOKUP($BK456,Programma!$F$3:$H$1101,3,0),"")</f>
        <v/>
      </c>
      <c r="BN456" s="448" t="str">
        <f>_xlfn.IFNA(VLOOKUP($BK456,Programma!$F$3:$I$1101,4,0),"")</f>
        <v/>
      </c>
      <c r="BO456" s="448" t="str">
        <f>_xlfn.IFNA(VLOOKUP($BK456,Programma!$F$3:$J$1101,5,0),"")</f>
        <v/>
      </c>
      <c r="BP456" s="448" t="str">
        <f>_xlfn.IFNA(VLOOKUP($BK456,Programma!$F$3:$K$1101,6,0),"")</f>
        <v/>
      </c>
      <c r="BQ456" s="448" t="str">
        <f>_xlfn.IFNA(VLOOKUP($BK456,Programma!$F$3:$L$1101,7,0),"")</f>
        <v/>
      </c>
      <c r="BR456" s="448" t="str">
        <f>_xlfn.IFNA(VLOOKUP($BK456,Programma!$F$3:$M$1101,8,0),"")</f>
        <v/>
      </c>
      <c r="BS456" s="448" t="str">
        <f>_xlfn.IFNA(VLOOKUP($BK456,Programma!$F$3:$N$1101,9,0),"")</f>
        <v/>
      </c>
      <c r="BT456" s="448" t="str">
        <f>_xlfn.IFNA(VLOOKUP($BK456,Programma!$F$3:$O$1101,10,0),"")</f>
        <v/>
      </c>
      <c r="BU456" s="448" t="str">
        <f>_xlfn.IFNA(VLOOKUP($BK456,Programma!$F$3:$P$1101,11,0),"")</f>
        <v/>
      </c>
      <c r="BV456" s="448" t="str">
        <f>_xlfn.IFNA(VLOOKUP($BK456,Programma!$F$3:$Q$1101,12,0),"")</f>
        <v/>
      </c>
      <c r="BW456" s="448" t="str">
        <f>_xlfn.IFNA(VLOOKUP($BK456,Programma!$F$3:$R$1101,13,0),"")</f>
        <v/>
      </c>
      <c r="BX456" s="448" t="str">
        <f>_xlfn.IFNA(VLOOKUP($BK456,Programma!$F$3:$S$1101,14,0),"")</f>
        <v/>
      </c>
      <c r="BY456" s="448" t="str">
        <f>_xlfn.IFNA(VLOOKUP($BK456,Programma!$F$3:$T$1101,15,0),"")</f>
        <v/>
      </c>
      <c r="BZ456" s="448" t="str">
        <f>_xlfn.IFNA(VLOOKUP($BK456,Programma!$F$3:$U$1101,16,0),"")</f>
        <v/>
      </c>
      <c r="CA456" s="448" t="str">
        <f>_xlfn.IFNA(VLOOKUP($BK456,Programma!$F$3:$V$1101,17,0),"")</f>
        <v/>
      </c>
      <c r="CB456" s="448" t="str">
        <f>_xlfn.IFNA(VLOOKUP($BK456,Programma!$F$3:$W$1101,18,0),"")</f>
        <v/>
      </c>
      <c r="CC456" s="448" t="str">
        <f>_xlfn.IFNA(VLOOKUP($BK456,Programma!$F$3:$X$1101,19,0),"")</f>
        <v/>
      </c>
      <c r="CD456" s="448" t="str">
        <f>_xlfn.IFNA(VLOOKUP($BK456,Programma!$F$3:$Y$1101,20,0),"")</f>
        <v/>
      </c>
    </row>
    <row r="457" spans="1:227" ht="15" customHeight="1">
      <c r="A457" s="362">
        <v>18</v>
      </c>
      <c r="B457" s="435" t="str">
        <f>VLOOKUP(Ruimtestaat[[#This Row],[Code]],Locaties[[Code]:[Locatie]],2,FALSE)</f>
        <v>IKC De Triangel</v>
      </c>
      <c r="C457" s="435" t="str">
        <f>VLOOKUP(Ruimtestaat[[#This Row],[Code]],Locaties[[#All],[Code]:[Adres]],4,FALSE)</f>
        <v>Vlasakker 33-35</v>
      </c>
      <c r="D457" s="435" t="str">
        <f>VLOOKUP(Ruimtestaat[[#This Row],[Code]],Locaties[[#All],[Code]:[Postcode]],5,FALSE)</f>
        <v>2723 TP</v>
      </c>
      <c r="E457" s="435" t="str">
        <f>VLOOKUP(Ruimtestaat[[#This Row],[Code]],Locaties[#All],6,FALSE)</f>
        <v>Zoetermeer</v>
      </c>
      <c r="F457" s="450"/>
      <c r="G457" s="330" t="s">
        <v>1678</v>
      </c>
      <c r="H457" s="330" t="s">
        <v>1667</v>
      </c>
      <c r="I457" s="450" t="s">
        <v>1872</v>
      </c>
      <c r="J457" s="330">
        <v>20</v>
      </c>
      <c r="K457" s="450" t="str">
        <f>VLOOKUP(Ruimtestaat[[#This Row],[Ruimte code]],Ruimtegroepen[[#All],[Code]:[Ruimte omschrijving]],2,FALSE)</f>
        <v>Niet in Onderhoud</v>
      </c>
      <c r="M457" s="330"/>
      <c r="N457" s="439"/>
      <c r="O457" s="439">
        <v>0</v>
      </c>
      <c r="P457" s="439"/>
      <c r="Q457" s="439"/>
      <c r="R457" s="440">
        <f>VLOOKUP(Ruimtestaat[[#This Row],[Ruimte code]],Ruimtegroepen[],4,FALSE)</f>
        <v>0</v>
      </c>
      <c r="S457" s="434"/>
      <c r="T457" s="434"/>
      <c r="U457" s="453">
        <f>IF(S457&gt;0,IF(RIGHT(Ruimtestaat[[#This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57" s="434">
        <f>IF(U457&gt;0,VLOOKUP($J457,Ruimtegroepen[],3,FALSE)*VLOOKUP($L457,Vloersoorten[],3,FALSE)*VLOOKUP($T457,Frequenties[],3,FALSE)*VLOOKUP($A457,Locaties[],3,FALSE),0)</f>
        <v>0</v>
      </c>
      <c r="W457" s="434">
        <f>Ruimtestaat[[#This Row],[Uitvoeringen werkdagen]]*Ruimtestaat[[#This Row],[Oppervlak (netto)]]</f>
        <v>0</v>
      </c>
      <c r="X457" s="441">
        <f>IF(V457&gt;0,Ruimtestaat[[#This Row],[Prest. (m2 /jaar) werkdagen]]/Ruimtestaat[[#This Row],[Norm (m2/uur) werkdagen]],0)</f>
        <v>0</v>
      </c>
      <c r="Y457" s="442">
        <f>Ruimtestaat[[#This Row],[Uitvoeringen werkdagen]]*Ruimtestaat[[#This Row],[Gedeeltelijk]]</f>
        <v>0</v>
      </c>
      <c r="Z457" s="443">
        <f>IF(U457&gt;0,Ruimtestaat[[#This Row],[Prest. (m2 / jaar) werkdagen gedeeld]]/Ruimtestaat[[#This Row],[Norm (m2/uur) werkdagen]],0)</f>
        <v>0</v>
      </c>
      <c r="AA457" s="441">
        <f>Ruimtestaat[[#This Row],[uren / jaar werkdagen gedeeld]]*Tariefsopbouw!$E$35</f>
        <v>0</v>
      </c>
      <c r="AB457" s="441">
        <f>Ruimtestaat[[#This Row],[Uitvoeringen werkdagen]]*Ruimtestaat[[#This Row],[BSO]]</f>
        <v>0</v>
      </c>
      <c r="AC457" s="443">
        <f>IF(U457&gt;0,Ruimtestaat[[#This Row],[Prest. (m2 / jaar) werkdagen BSO]]/Ruimtestaat[[#This Row],[Norm (m2/uur) werkdagen]],0)</f>
        <v>0</v>
      </c>
      <c r="AD457" s="443">
        <f>Ruimtestaat[[#This Row],[uren / jaar werkdagen BSO]]*Tariefsopbouw!$E$35</f>
        <v>0</v>
      </c>
      <c r="AE457" s="444">
        <f>Ruimtestaat[[#This Row],[uren / jaar werkdagen]]*Tariefsopbouw!$E$35</f>
        <v>0</v>
      </c>
      <c r="AF457" s="454"/>
      <c r="AG457" s="455">
        <f>IF(Ruimtestaat[[#This Row],[Frequentie weekend]]&gt;0,VALUE(LEFT(AF457,1))*S457,0)</f>
        <v>0</v>
      </c>
      <c r="AH457" s="455">
        <f>IF($AG457&gt;0,VLOOKUP($J457,Ruimtegroepen[],3,FALSE)*VLOOKUP($L457,Vloersoorten[],3,FALSE)*VLOOKUP($AF457,Frequenties[],3,FALSE)*VLOOKUP(#REF!,Locaties[],3,FALSE),0)</f>
        <v>0</v>
      </c>
      <c r="AI457" s="434">
        <f>Ruimtestaat[[#This Row],[Uitvoeringen weekend]]*Ruimtestaat[[#This Row],[Oppervlak (netto)]]</f>
        <v>0</v>
      </c>
      <c r="AJ457" s="434">
        <f>IF(AH457&gt;0,Ruimtestaat[[#This Row],[Prest. (m2 /jaar) weekend]]/Ruimtestaat[[#This Row],[Norm (m2/uur) weekend]],0)</f>
        <v>0</v>
      </c>
      <c r="AK457" s="444">
        <f>Ruimtestaat[[#This Row],[uren / jaar weekend]]*Tariefsopbouw!$D$40</f>
        <v>0</v>
      </c>
      <c r="AL457" s="441">
        <f>Ruimtestaat[[#This Row],[Prest. (m2 /jaar) weekend]]+Ruimtestaat[[#This Row],[Prest. (m2 /jaar) werkdagen]]</f>
        <v>0</v>
      </c>
      <c r="AM457" s="441">
        <f>Ruimtestaat[[#This Row],[uren / jaar weekend]]+Ruimtestaat[[#This Row],[uren / jaar werkdagen]]</f>
        <v>0</v>
      </c>
      <c r="AN457" s="446">
        <f>Ruimtestaat[[#This Row],[kosten / jaar weekend]]+Ruimtestaat[[#This Row],[kosten / jaar werkdagen]]</f>
        <v>0</v>
      </c>
      <c r="AO457" s="446"/>
      <c r="AP457" s="446" t="str">
        <f>IF(Ruimtestaat[[#This Row],[Frequentie werkdagen]]="","",_xlfn.CONCAT(Ruimtestaat[[#This Row],[Ruimte code]],"-",Ruimtestaat[[#This Row],[Frequentie werkdagen]]," ",Ruimtestaat[[#This Row],[Vloer code]]))</f>
        <v/>
      </c>
      <c r="AQ457" s="448" t="str">
        <f>_xlfn.IFNA(VLOOKUP($AP457,Programma!$F$3:$G$1101,2,0),"")</f>
        <v/>
      </c>
      <c r="AR457" s="448" t="str">
        <f>_xlfn.IFNA(VLOOKUP($AP457,Programma!$F$3:$H$1101,3,0),"")</f>
        <v/>
      </c>
      <c r="AS457" s="448" t="str">
        <f>_xlfn.IFNA(VLOOKUP($AP457,Programma!$F$3:$I$1101,4,0),"")</f>
        <v/>
      </c>
      <c r="AT457" s="448" t="str">
        <f>_xlfn.IFNA(VLOOKUP($AP457,Programma!$F$3:$J$1101,5,0),"")</f>
        <v/>
      </c>
      <c r="AU457" s="448" t="str">
        <f>_xlfn.IFNA(VLOOKUP($AP457,Programma!$F$3:$K$1101,6,0),"")</f>
        <v/>
      </c>
      <c r="AV457" s="448" t="str">
        <f>_xlfn.IFNA(VLOOKUP($AP457,Programma!$F$3:$L$1101,7,0),"")</f>
        <v/>
      </c>
      <c r="AW457" s="448" t="str">
        <f>_xlfn.IFNA(VLOOKUP($AP457,Programma!$F$3:$M$1101,8,0),"")</f>
        <v/>
      </c>
      <c r="AX457" s="448" t="str">
        <f>_xlfn.IFNA(VLOOKUP($AP457,Programma!$F$3:$N$1101,9,0),"")</f>
        <v/>
      </c>
      <c r="AY457" s="448" t="str">
        <f>_xlfn.IFNA(VLOOKUP($AP457,Programma!$F$3:$O$1101,10,0),"")</f>
        <v/>
      </c>
      <c r="AZ457" s="448" t="str">
        <f>_xlfn.IFNA(VLOOKUP($AP457,Programma!$F$3:$P$1101,11,0),"")</f>
        <v/>
      </c>
      <c r="BA457" s="448" t="str">
        <f>_xlfn.IFNA(VLOOKUP($AP457,Programma!$F$3:$Q$1101,12,0),"")</f>
        <v/>
      </c>
      <c r="BB457" s="448" t="str">
        <f>_xlfn.IFNA(VLOOKUP($AP457,Programma!$F$3:$R$1101,13,0),"")</f>
        <v/>
      </c>
      <c r="BC457" s="448" t="str">
        <f>_xlfn.IFNA(VLOOKUP($AP457,Programma!$F$3:$S$1101,14,0),"")</f>
        <v/>
      </c>
      <c r="BD457" s="448" t="str">
        <f>_xlfn.IFNA(VLOOKUP($AP457,Programma!$F$3:$T$1101,15,0),"")</f>
        <v/>
      </c>
      <c r="BE457" s="448" t="str">
        <f>_xlfn.IFNA(VLOOKUP($AP457,Programma!$F$3:$U$1101,16,0),"")</f>
        <v/>
      </c>
      <c r="BF457" s="448" t="str">
        <f>_xlfn.IFNA(VLOOKUP($AP457,Programma!$F$3:$V$1101,17,0),"")</f>
        <v/>
      </c>
      <c r="BG457" s="448" t="str">
        <f>_xlfn.IFNA(VLOOKUP($AP457,Programma!$F$3:$W$1101,18,0),"")</f>
        <v/>
      </c>
      <c r="BH457" s="448" t="str">
        <f>_xlfn.IFNA(VLOOKUP($AP457,Programma!$F$3:$X$1101,19,0),"")</f>
        <v/>
      </c>
      <c r="BI457" s="448" t="str">
        <f>_xlfn.IFNA(VLOOKUP($AP457,Programma!$F$3:$Y$1101,20,0),"")</f>
        <v/>
      </c>
      <c r="BJ457" s="449"/>
      <c r="BK457" s="446" t="str">
        <f>IF(Ruimtestaat[[#This Row],[Frequentie weekend]]="","",_xlfn.CONCAT(Ruimtestaat[[#This Row],[Ruimte code]],"-",Ruimtestaat[[#This Row],[Frequentie weekend]]," ",Ruimtestaat[[#This Row],[Vloer code]]))</f>
        <v/>
      </c>
      <c r="BL457" s="448" t="str">
        <f>_xlfn.IFNA(VLOOKUP($BK457,Programma!$F$3:$G$1101,2,0),"")</f>
        <v/>
      </c>
      <c r="BM457" s="448" t="str">
        <f>_xlfn.IFNA(VLOOKUP($BK457,Programma!$F$3:$H$1101,3,0),"")</f>
        <v/>
      </c>
      <c r="BN457" s="448" t="str">
        <f>_xlfn.IFNA(VLOOKUP($BK457,Programma!$F$3:$I$1101,4,0),"")</f>
        <v/>
      </c>
      <c r="BO457" s="448" t="str">
        <f>_xlfn.IFNA(VLOOKUP($BK457,Programma!$F$3:$J$1101,5,0),"")</f>
        <v/>
      </c>
      <c r="BP457" s="448" t="str">
        <f>_xlfn.IFNA(VLOOKUP($BK457,Programma!$F$3:$K$1101,6,0),"")</f>
        <v/>
      </c>
      <c r="BQ457" s="448" t="str">
        <f>_xlfn.IFNA(VLOOKUP($BK457,Programma!$F$3:$L$1101,7,0),"")</f>
        <v/>
      </c>
      <c r="BR457" s="448" t="str">
        <f>_xlfn.IFNA(VLOOKUP($BK457,Programma!$F$3:$M$1101,8,0),"")</f>
        <v/>
      </c>
      <c r="BS457" s="448" t="str">
        <f>_xlfn.IFNA(VLOOKUP($BK457,Programma!$F$3:$N$1101,9,0),"")</f>
        <v/>
      </c>
      <c r="BT457" s="448" t="str">
        <f>_xlfn.IFNA(VLOOKUP($BK457,Programma!$F$3:$O$1101,10,0),"")</f>
        <v/>
      </c>
      <c r="BU457" s="448" t="str">
        <f>_xlfn.IFNA(VLOOKUP($BK457,Programma!$F$3:$P$1101,11,0),"")</f>
        <v/>
      </c>
      <c r="BV457" s="448" t="str">
        <f>_xlfn.IFNA(VLOOKUP($BK457,Programma!$F$3:$Q$1101,12,0),"")</f>
        <v/>
      </c>
      <c r="BW457" s="448" t="str">
        <f>_xlfn.IFNA(VLOOKUP($BK457,Programma!$F$3:$R$1101,13,0),"")</f>
        <v/>
      </c>
      <c r="BX457" s="448" t="str">
        <f>_xlfn.IFNA(VLOOKUP($BK457,Programma!$F$3:$S$1101,14,0),"")</f>
        <v/>
      </c>
      <c r="BY457" s="448" t="str">
        <f>_xlfn.IFNA(VLOOKUP($BK457,Programma!$F$3:$T$1101,15,0),"")</f>
        <v/>
      </c>
      <c r="BZ457" s="448" t="str">
        <f>_xlfn.IFNA(VLOOKUP($BK457,Programma!$F$3:$U$1101,16,0),"")</f>
        <v/>
      </c>
      <c r="CA457" s="448" t="str">
        <f>_xlfn.IFNA(VLOOKUP($BK457,Programma!$F$3:$V$1101,17,0),"")</f>
        <v/>
      </c>
      <c r="CB457" s="448" t="str">
        <f>_xlfn.IFNA(VLOOKUP($BK457,Programma!$F$3:$W$1101,18,0),"")</f>
        <v/>
      </c>
      <c r="CC457" s="448" t="str">
        <f>_xlfn.IFNA(VLOOKUP($BK457,Programma!$F$3:$X$1101,19,0),"")</f>
        <v/>
      </c>
      <c r="CD457" s="448" t="str">
        <f>_xlfn.IFNA(VLOOKUP($BK457,Programma!$F$3:$Y$1101,20,0),"")</f>
        <v/>
      </c>
    </row>
    <row r="458" spans="1:227" ht="15" customHeight="1">
      <c r="A458" s="362">
        <v>18</v>
      </c>
      <c r="B458" s="435" t="str">
        <f>VLOOKUP(Ruimtestaat[[#This Row],[Code]],Locaties[[Code]:[Locatie]],2,FALSE)</f>
        <v>IKC De Triangel</v>
      </c>
      <c r="C458" s="435" t="str">
        <f>VLOOKUP(Ruimtestaat[[#This Row],[Code]],Locaties[[#All],[Code]:[Adres]],4,FALSE)</f>
        <v>Vlasakker 33-35</v>
      </c>
      <c r="D458" s="435" t="str">
        <f>VLOOKUP(Ruimtestaat[[#This Row],[Code]],Locaties[[#All],[Code]:[Postcode]],5,FALSE)</f>
        <v>2723 TP</v>
      </c>
      <c r="E458" s="435" t="str">
        <f>VLOOKUP(Ruimtestaat[[#This Row],[Code]],Locaties[#All],6,FALSE)</f>
        <v>Zoetermeer</v>
      </c>
      <c r="F458" s="450"/>
      <c r="G458" s="330" t="s">
        <v>1678</v>
      </c>
      <c r="H458" s="330" t="s">
        <v>1668</v>
      </c>
      <c r="I458" s="450" t="s">
        <v>1873</v>
      </c>
      <c r="J458" s="330">
        <v>2</v>
      </c>
      <c r="K458" s="450" t="str">
        <f>VLOOKUP(Ruimtestaat[[#This Row],[Ruimte code]],Ruimtegroepen[[#All],[Code]:[Ruimte omschrijving]],2,FALSE)</f>
        <v>Kantoren</v>
      </c>
      <c r="L458" s="434" t="s">
        <v>100</v>
      </c>
      <c r="M458" s="437" t="s">
        <v>1759</v>
      </c>
      <c r="N458" s="439">
        <v>12.4</v>
      </c>
      <c r="O458" s="439"/>
      <c r="P458" s="439"/>
      <c r="Q458" s="439"/>
      <c r="R458" s="440" t="str">
        <f>VLOOKUP(Ruimtestaat[[#This Row],[Ruimte code]],Ruimtegroepen[],4,FALSE)</f>
        <v>Bu</v>
      </c>
      <c r="S458" s="434">
        <v>41</v>
      </c>
      <c r="T458" s="434" t="s">
        <v>2</v>
      </c>
      <c r="U458" s="453">
        <f>IF(S458&gt;0,IF(RIGHT(Ruimtestaat[[#This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58" s="434">
        <f>IF(U458&gt;0,VLOOKUP($J458,Ruimtegroepen[],3,FALSE)*VLOOKUP($L458,Vloersoorten[],3,FALSE)*VLOOKUP($T458,Frequenties[],3,FALSE)*VLOOKUP($A458,Locaties[],3,FALSE),0)</f>
        <v>0</v>
      </c>
      <c r="W458" s="434">
        <f>Ruimtestaat[[#This Row],[Uitvoeringen werkdagen]]*Ruimtestaat[[#This Row],[Oppervlak (netto)]]</f>
        <v>2542</v>
      </c>
      <c r="X458" s="441">
        <f>IF(V458&gt;0,Ruimtestaat[[#This Row],[Prest. (m2 /jaar) werkdagen]]/Ruimtestaat[[#This Row],[Norm (m2/uur) werkdagen]],0)</f>
        <v>0</v>
      </c>
      <c r="Y458" s="442">
        <f>Ruimtestaat[[#This Row],[Uitvoeringen werkdagen]]*Ruimtestaat[[#This Row],[Gedeeltelijk]]</f>
        <v>0</v>
      </c>
      <c r="Z458" s="443" t="e">
        <f>IF(U458&gt;0,Ruimtestaat[[#This Row],[Prest. (m2 / jaar) werkdagen gedeeld]]/Ruimtestaat[[#This Row],[Norm (m2/uur) werkdagen]],0)</f>
        <v>#DIV/0!</v>
      </c>
      <c r="AA458" s="441" t="e">
        <f>Ruimtestaat[[#This Row],[uren / jaar werkdagen gedeeld]]*Tariefsopbouw!$E$35</f>
        <v>#DIV/0!</v>
      </c>
      <c r="AB458" s="441">
        <f>Ruimtestaat[[#This Row],[Uitvoeringen werkdagen]]*Ruimtestaat[[#This Row],[BSO]]</f>
        <v>0</v>
      </c>
      <c r="AC458" s="443" t="e">
        <f>IF(U458&gt;0,Ruimtestaat[[#This Row],[Prest. (m2 / jaar) werkdagen BSO]]/Ruimtestaat[[#This Row],[Norm (m2/uur) werkdagen]],0)</f>
        <v>#DIV/0!</v>
      </c>
      <c r="AD458" s="443" t="e">
        <f>Ruimtestaat[[#This Row],[uren / jaar werkdagen BSO]]*Tariefsopbouw!$E$35</f>
        <v>#DIV/0!</v>
      </c>
      <c r="AE458" s="444">
        <f>Ruimtestaat[[#This Row],[uren / jaar werkdagen]]*Tariefsopbouw!$E$35</f>
        <v>0</v>
      </c>
      <c r="AF458" s="454"/>
      <c r="AG458" s="455">
        <f>IF(Ruimtestaat[[#This Row],[Frequentie weekend]]&gt;0,VALUE(LEFT(AF458,1))*S458,0)</f>
        <v>0</v>
      </c>
      <c r="AH458" s="455">
        <f>IF($AG458&gt;0,VLOOKUP($J458,Ruimtegroepen[],3,FALSE)*VLOOKUP($L458,Vloersoorten[],3,FALSE)*VLOOKUP($AF458,Frequenties[],3,FALSE)*VLOOKUP(#REF!,Locaties[],3,FALSE),0)</f>
        <v>0</v>
      </c>
      <c r="AI458" s="434">
        <f>Ruimtestaat[[#This Row],[Uitvoeringen weekend]]*Ruimtestaat[[#This Row],[Oppervlak (netto)]]</f>
        <v>0</v>
      </c>
      <c r="AJ458" s="434">
        <f>IF(AH458&gt;0,Ruimtestaat[[#This Row],[Prest. (m2 /jaar) weekend]]/Ruimtestaat[[#This Row],[Norm (m2/uur) weekend]],0)</f>
        <v>0</v>
      </c>
      <c r="AK458" s="444">
        <f>Ruimtestaat[[#This Row],[uren / jaar weekend]]*Tariefsopbouw!$D$40</f>
        <v>0</v>
      </c>
      <c r="AL458" s="441">
        <f>Ruimtestaat[[#This Row],[Prest. (m2 /jaar) weekend]]+Ruimtestaat[[#This Row],[Prest. (m2 /jaar) werkdagen]]</f>
        <v>2542</v>
      </c>
      <c r="AM458" s="441">
        <f>Ruimtestaat[[#This Row],[uren / jaar weekend]]+Ruimtestaat[[#This Row],[uren / jaar werkdagen]]</f>
        <v>0</v>
      </c>
      <c r="AN458" s="446">
        <f>Ruimtestaat[[#This Row],[kosten / jaar weekend]]+Ruimtestaat[[#This Row],[kosten / jaar werkdagen]]</f>
        <v>0</v>
      </c>
      <c r="AO458" s="446"/>
      <c r="AP458" s="446" t="str">
        <f>IF(Ruimtestaat[[#This Row],[Frequentie werkdagen]]="","",_xlfn.CONCAT(Ruimtestaat[[#This Row],[Ruimte code]],"-",Ruimtestaat[[#This Row],[Frequentie werkdagen]]," ",Ruimtestaat[[#This Row],[Vloer code]]))</f>
        <v>2-5w L</v>
      </c>
      <c r="AQ458" s="448" t="str">
        <f>_xlfn.IFNA(VLOOKUP($AP458,Programma!$F$3:$G$1101,2,0),"")</f>
        <v>_</v>
      </c>
      <c r="AR458" s="448" t="str">
        <f>_xlfn.IFNA(VLOOKUP($AP458,Programma!$F$3:$H$1101,3,0),"")</f>
        <v>_</v>
      </c>
      <c r="AS458" s="448" t="str">
        <f>_xlfn.IFNA(VLOOKUP($AP458,Programma!$F$3:$I$1101,4,0),"")</f>
        <v>4w</v>
      </c>
      <c r="AT458" s="448" t="str">
        <f>_xlfn.IFNA(VLOOKUP($AP458,Programma!$F$3:$J$1101,5,0),"")</f>
        <v>1w</v>
      </c>
      <c r="AU458" s="448" t="str">
        <f>_xlfn.IFNA(VLOOKUP($AP458,Programma!$F$3:$K$1101,6,0),"")</f>
        <v>_</v>
      </c>
      <c r="AV458" s="448" t="str">
        <f>_xlfn.IFNA(VLOOKUP($AP458,Programma!$F$3:$L$1101,7,0),"")</f>
        <v>_</v>
      </c>
      <c r="AW458" s="448" t="str">
        <f>_xlfn.IFNA(VLOOKUP($AP458,Programma!$F$3:$M$1101,8,0),"")</f>
        <v>_</v>
      </c>
      <c r="AX458" s="448" t="str">
        <f>_xlfn.IFNA(VLOOKUP($AP458,Programma!$F$3:$N$1101,9,0),"")</f>
        <v>_</v>
      </c>
      <c r="AY458" s="448" t="str">
        <f>_xlfn.IFNA(VLOOKUP($AP458,Programma!$F$3:$O$1101,10,0),"")</f>
        <v>5w</v>
      </c>
      <c r="AZ458" s="448" t="str">
        <f>_xlfn.IFNA(VLOOKUP($AP458,Programma!$F$3:$P$1101,11,0),"")</f>
        <v>5w</v>
      </c>
      <c r="BA458" s="448" t="str">
        <f>_xlfn.IFNA(VLOOKUP($AP458,Programma!$F$3:$Q$1101,12,0),"")</f>
        <v>1w</v>
      </c>
      <c r="BB458" s="448" t="str">
        <f>_xlfn.IFNA(VLOOKUP($AP458,Programma!$F$3:$R$1101,13,0),"")</f>
        <v>1w</v>
      </c>
      <c r="BC458" s="448" t="str">
        <f>_xlfn.IFNA(VLOOKUP($AP458,Programma!$F$3:$S$1101,14,0),"")</f>
        <v>1m</v>
      </c>
      <c r="BD458" s="448" t="str">
        <f>_xlfn.IFNA(VLOOKUP($AP458,Programma!$F$3:$T$1101,15,0),"")</f>
        <v>2j</v>
      </c>
      <c r="BE458" s="448" t="str">
        <f>_xlfn.IFNA(VLOOKUP($AP458,Programma!$F$3:$U$1101,16,0),"")</f>
        <v>1j</v>
      </c>
      <c r="BF458" s="448" t="str">
        <f>_xlfn.IFNA(VLOOKUP($AP458,Programma!$F$3:$V$1101,17,0),"")</f>
        <v>_</v>
      </c>
      <c r="BG458" s="448" t="str">
        <f>_xlfn.IFNA(VLOOKUP($AP458,Programma!$F$3:$W$1101,18,0),"")</f>
        <v>_</v>
      </c>
      <c r="BH458" s="448" t="str">
        <f>_xlfn.IFNA(VLOOKUP($AP458,Programma!$F$3:$X$1101,19,0),"")</f>
        <v>_</v>
      </c>
      <c r="BI458" s="448" t="str">
        <f>_xlfn.IFNA(VLOOKUP($AP458,Programma!$F$3:$Y$1101,20,0),"")</f>
        <v>_</v>
      </c>
      <c r="BJ458" s="449"/>
      <c r="BK458" s="446" t="str">
        <f>IF(Ruimtestaat[[#This Row],[Frequentie weekend]]="","",_xlfn.CONCAT(Ruimtestaat[[#This Row],[Ruimte code]],"-",Ruimtestaat[[#This Row],[Frequentie weekend]]," ",Ruimtestaat[[#This Row],[Vloer code]]))</f>
        <v/>
      </c>
      <c r="BL458" s="448" t="str">
        <f>_xlfn.IFNA(VLOOKUP($BK458,Programma!$F$3:$G$1101,2,0),"")</f>
        <v/>
      </c>
      <c r="BM458" s="448" t="str">
        <f>_xlfn.IFNA(VLOOKUP($BK458,Programma!$F$3:$H$1101,3,0),"")</f>
        <v/>
      </c>
      <c r="BN458" s="448" t="str">
        <f>_xlfn.IFNA(VLOOKUP($BK458,Programma!$F$3:$I$1101,4,0),"")</f>
        <v/>
      </c>
      <c r="BO458" s="448" t="str">
        <f>_xlfn.IFNA(VLOOKUP($BK458,Programma!$F$3:$J$1101,5,0),"")</f>
        <v/>
      </c>
      <c r="BP458" s="448" t="str">
        <f>_xlfn.IFNA(VLOOKUP($BK458,Programma!$F$3:$K$1101,6,0),"")</f>
        <v/>
      </c>
      <c r="BQ458" s="448" t="str">
        <f>_xlfn.IFNA(VLOOKUP($BK458,Programma!$F$3:$L$1101,7,0),"")</f>
        <v/>
      </c>
      <c r="BR458" s="448" t="str">
        <f>_xlfn.IFNA(VLOOKUP($BK458,Programma!$F$3:$M$1101,8,0),"")</f>
        <v/>
      </c>
      <c r="BS458" s="448" t="str">
        <f>_xlfn.IFNA(VLOOKUP($BK458,Programma!$F$3:$N$1101,9,0),"")</f>
        <v/>
      </c>
      <c r="BT458" s="448" t="str">
        <f>_xlfn.IFNA(VLOOKUP($BK458,Programma!$F$3:$O$1101,10,0),"")</f>
        <v/>
      </c>
      <c r="BU458" s="448" t="str">
        <f>_xlfn.IFNA(VLOOKUP($BK458,Programma!$F$3:$P$1101,11,0),"")</f>
        <v/>
      </c>
      <c r="BV458" s="448" t="str">
        <f>_xlfn.IFNA(VLOOKUP($BK458,Programma!$F$3:$Q$1101,12,0),"")</f>
        <v/>
      </c>
      <c r="BW458" s="448" t="str">
        <f>_xlfn.IFNA(VLOOKUP($BK458,Programma!$F$3:$R$1101,13,0),"")</f>
        <v/>
      </c>
      <c r="BX458" s="448" t="str">
        <f>_xlfn.IFNA(VLOOKUP($BK458,Programma!$F$3:$S$1101,14,0),"")</f>
        <v/>
      </c>
      <c r="BY458" s="448" t="str">
        <f>_xlfn.IFNA(VLOOKUP($BK458,Programma!$F$3:$T$1101,15,0),"")</f>
        <v/>
      </c>
      <c r="BZ458" s="448" t="str">
        <f>_xlfn.IFNA(VLOOKUP($BK458,Programma!$F$3:$U$1101,16,0),"")</f>
        <v/>
      </c>
      <c r="CA458" s="448" t="str">
        <f>_xlfn.IFNA(VLOOKUP($BK458,Programma!$F$3:$V$1101,17,0),"")</f>
        <v/>
      </c>
      <c r="CB458" s="448" t="str">
        <f>_xlfn.IFNA(VLOOKUP($BK458,Programma!$F$3:$W$1101,18,0),"")</f>
        <v/>
      </c>
      <c r="CC458" s="448" t="str">
        <f>_xlfn.IFNA(VLOOKUP($BK458,Programma!$F$3:$X$1101,19,0),"")</f>
        <v/>
      </c>
      <c r="CD458" s="448" t="str">
        <f>_xlfn.IFNA(VLOOKUP($BK458,Programma!$F$3:$Y$1101,20,0),"")</f>
        <v/>
      </c>
    </row>
    <row r="459" spans="1:227" ht="15" customHeight="1">
      <c r="A459" s="362">
        <v>18</v>
      </c>
      <c r="B459" s="435" t="str">
        <f>VLOOKUP(Ruimtestaat[[#This Row],[Code]],Locaties[[Code]:[Locatie]],2,FALSE)</f>
        <v>IKC De Triangel</v>
      </c>
      <c r="C459" s="435" t="str">
        <f>VLOOKUP(Ruimtestaat[[#This Row],[Code]],Locaties[[#All],[Code]:[Adres]],4,FALSE)</f>
        <v>Vlasakker 33-35</v>
      </c>
      <c r="D459" s="435" t="str">
        <f>VLOOKUP(Ruimtestaat[[#This Row],[Code]],Locaties[[#All],[Code]:[Postcode]],5,FALSE)</f>
        <v>2723 TP</v>
      </c>
      <c r="E459" s="435" t="str">
        <f>VLOOKUP(Ruimtestaat[[#This Row],[Code]],Locaties[#All],6,FALSE)</f>
        <v>Zoetermeer</v>
      </c>
      <c r="F459" s="450"/>
      <c r="G459" s="330" t="s">
        <v>1678</v>
      </c>
      <c r="H459" s="330" t="s">
        <v>1669</v>
      </c>
      <c r="I459" s="450" t="s">
        <v>1874</v>
      </c>
      <c r="J459" s="330">
        <v>20</v>
      </c>
      <c r="K459" s="450" t="str">
        <f>VLOOKUP(Ruimtestaat[[#This Row],[Ruimte code]],Ruimtegroepen[[#All],[Code]:[Ruimte omschrijving]],2,FALSE)</f>
        <v>Niet in Onderhoud</v>
      </c>
      <c r="M459" s="330"/>
      <c r="N459" s="439"/>
      <c r="O459" s="439">
        <v>4.0999999999999996</v>
      </c>
      <c r="P459" s="439"/>
      <c r="Q459" s="439"/>
      <c r="R459" s="440">
        <f>VLOOKUP(Ruimtestaat[[#This Row],[Ruimte code]],Ruimtegroepen[],4,FALSE)</f>
        <v>0</v>
      </c>
      <c r="S459" s="434"/>
      <c r="T459" s="434"/>
      <c r="U459" s="453">
        <f>IF(S459&gt;0,IF(RIGHT(Ruimtestaat[[#This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59" s="434">
        <f>IF(U459&gt;0,VLOOKUP($J459,Ruimtegroepen[],3,FALSE)*VLOOKUP($L459,Vloersoorten[],3,FALSE)*VLOOKUP($T459,Frequenties[],3,FALSE)*VLOOKUP($A459,Locaties[],3,FALSE),0)</f>
        <v>0</v>
      </c>
      <c r="W459" s="434">
        <f>Ruimtestaat[[#This Row],[Uitvoeringen werkdagen]]*Ruimtestaat[[#This Row],[Oppervlak (netto)]]</f>
        <v>0</v>
      </c>
      <c r="X459" s="441">
        <f>IF(V459&gt;0,Ruimtestaat[[#This Row],[Prest. (m2 /jaar) werkdagen]]/Ruimtestaat[[#This Row],[Norm (m2/uur) werkdagen]],0)</f>
        <v>0</v>
      </c>
      <c r="Y459" s="442">
        <f>Ruimtestaat[[#This Row],[Uitvoeringen werkdagen]]*Ruimtestaat[[#This Row],[Gedeeltelijk]]</f>
        <v>0</v>
      </c>
      <c r="Z459" s="443">
        <f>IF(U459&gt;0,Ruimtestaat[[#This Row],[Prest. (m2 / jaar) werkdagen gedeeld]]/Ruimtestaat[[#This Row],[Norm (m2/uur) werkdagen]],0)</f>
        <v>0</v>
      </c>
      <c r="AA459" s="441">
        <f>Ruimtestaat[[#This Row],[uren / jaar werkdagen gedeeld]]*Tariefsopbouw!$E$35</f>
        <v>0</v>
      </c>
      <c r="AB459" s="441">
        <f>Ruimtestaat[[#This Row],[Uitvoeringen werkdagen]]*Ruimtestaat[[#This Row],[BSO]]</f>
        <v>0</v>
      </c>
      <c r="AC459" s="443">
        <f>IF(U459&gt;0,Ruimtestaat[[#This Row],[Prest. (m2 / jaar) werkdagen BSO]]/Ruimtestaat[[#This Row],[Norm (m2/uur) werkdagen]],0)</f>
        <v>0</v>
      </c>
      <c r="AD459" s="443">
        <f>Ruimtestaat[[#This Row],[uren / jaar werkdagen BSO]]*Tariefsopbouw!$E$35</f>
        <v>0</v>
      </c>
      <c r="AE459" s="444">
        <f>Ruimtestaat[[#This Row],[uren / jaar werkdagen]]*Tariefsopbouw!$E$35</f>
        <v>0</v>
      </c>
      <c r="AF459" s="454"/>
      <c r="AG459" s="455">
        <f>IF(Ruimtestaat[[#This Row],[Frequentie weekend]]&gt;0,VALUE(LEFT(AF459,1))*S459,0)</f>
        <v>0</v>
      </c>
      <c r="AH459" s="455">
        <f>IF($AG459&gt;0,VLOOKUP($J459,Ruimtegroepen[],3,FALSE)*VLOOKUP($L459,Vloersoorten[],3,FALSE)*VLOOKUP($AF459,Frequenties[],3,FALSE)*VLOOKUP(#REF!,Locaties[],3,FALSE),0)</f>
        <v>0</v>
      </c>
      <c r="AI459" s="434">
        <f>Ruimtestaat[[#This Row],[Uitvoeringen weekend]]*Ruimtestaat[[#This Row],[Oppervlak (netto)]]</f>
        <v>0</v>
      </c>
      <c r="AJ459" s="434">
        <f>IF(AH459&gt;0,Ruimtestaat[[#This Row],[Prest. (m2 /jaar) weekend]]/Ruimtestaat[[#This Row],[Norm (m2/uur) weekend]],0)</f>
        <v>0</v>
      </c>
      <c r="AK459" s="444">
        <f>Ruimtestaat[[#This Row],[uren / jaar weekend]]*Tariefsopbouw!$D$40</f>
        <v>0</v>
      </c>
      <c r="AL459" s="441">
        <f>Ruimtestaat[[#This Row],[Prest. (m2 /jaar) weekend]]+Ruimtestaat[[#This Row],[Prest. (m2 /jaar) werkdagen]]</f>
        <v>0</v>
      </c>
      <c r="AM459" s="441">
        <f>Ruimtestaat[[#This Row],[uren / jaar weekend]]+Ruimtestaat[[#This Row],[uren / jaar werkdagen]]</f>
        <v>0</v>
      </c>
      <c r="AN459" s="446">
        <f>Ruimtestaat[[#This Row],[kosten / jaar weekend]]+Ruimtestaat[[#This Row],[kosten / jaar werkdagen]]</f>
        <v>0</v>
      </c>
      <c r="AO459" s="446"/>
      <c r="AP459" s="446" t="str">
        <f>IF(Ruimtestaat[[#This Row],[Frequentie werkdagen]]="","",_xlfn.CONCAT(Ruimtestaat[[#This Row],[Ruimte code]],"-",Ruimtestaat[[#This Row],[Frequentie werkdagen]]," ",Ruimtestaat[[#This Row],[Vloer code]]))</f>
        <v/>
      </c>
      <c r="AQ459" s="448" t="str">
        <f>_xlfn.IFNA(VLOOKUP($AP459,Programma!$F$3:$G$1101,2,0),"")</f>
        <v/>
      </c>
      <c r="AR459" s="448" t="str">
        <f>_xlfn.IFNA(VLOOKUP($AP459,Programma!$F$3:$H$1101,3,0),"")</f>
        <v/>
      </c>
      <c r="AS459" s="448" t="str">
        <f>_xlfn.IFNA(VLOOKUP($AP459,Programma!$F$3:$I$1101,4,0),"")</f>
        <v/>
      </c>
      <c r="AT459" s="448" t="str">
        <f>_xlfn.IFNA(VLOOKUP($AP459,Programma!$F$3:$J$1101,5,0),"")</f>
        <v/>
      </c>
      <c r="AU459" s="448" t="str">
        <f>_xlfn.IFNA(VLOOKUP($AP459,Programma!$F$3:$K$1101,6,0),"")</f>
        <v/>
      </c>
      <c r="AV459" s="448" t="str">
        <f>_xlfn.IFNA(VLOOKUP($AP459,Programma!$F$3:$L$1101,7,0),"")</f>
        <v/>
      </c>
      <c r="AW459" s="448" t="str">
        <f>_xlfn.IFNA(VLOOKUP($AP459,Programma!$F$3:$M$1101,8,0),"")</f>
        <v/>
      </c>
      <c r="AX459" s="448" t="str">
        <f>_xlfn.IFNA(VLOOKUP($AP459,Programma!$F$3:$N$1101,9,0),"")</f>
        <v/>
      </c>
      <c r="AY459" s="448" t="str">
        <f>_xlfn.IFNA(VLOOKUP($AP459,Programma!$F$3:$O$1101,10,0),"")</f>
        <v/>
      </c>
      <c r="AZ459" s="448" t="str">
        <f>_xlfn.IFNA(VLOOKUP($AP459,Programma!$F$3:$P$1101,11,0),"")</f>
        <v/>
      </c>
      <c r="BA459" s="448" t="str">
        <f>_xlfn.IFNA(VLOOKUP($AP459,Programma!$F$3:$Q$1101,12,0),"")</f>
        <v/>
      </c>
      <c r="BB459" s="448" t="str">
        <f>_xlfn.IFNA(VLOOKUP($AP459,Programma!$F$3:$R$1101,13,0),"")</f>
        <v/>
      </c>
      <c r="BC459" s="448" t="str">
        <f>_xlfn.IFNA(VLOOKUP($AP459,Programma!$F$3:$S$1101,14,0),"")</f>
        <v/>
      </c>
      <c r="BD459" s="448" t="str">
        <f>_xlfn.IFNA(VLOOKUP($AP459,Programma!$F$3:$T$1101,15,0),"")</f>
        <v/>
      </c>
      <c r="BE459" s="448" t="str">
        <f>_xlfn.IFNA(VLOOKUP($AP459,Programma!$F$3:$U$1101,16,0),"")</f>
        <v/>
      </c>
      <c r="BF459" s="448" t="str">
        <f>_xlfn.IFNA(VLOOKUP($AP459,Programma!$F$3:$V$1101,17,0),"")</f>
        <v/>
      </c>
      <c r="BG459" s="448" t="str">
        <f>_xlfn.IFNA(VLOOKUP($AP459,Programma!$F$3:$W$1101,18,0),"")</f>
        <v/>
      </c>
      <c r="BH459" s="448" t="str">
        <f>_xlfn.IFNA(VLOOKUP($AP459,Programma!$F$3:$X$1101,19,0),"")</f>
        <v/>
      </c>
      <c r="BI459" s="448" t="str">
        <f>_xlfn.IFNA(VLOOKUP($AP459,Programma!$F$3:$Y$1101,20,0),"")</f>
        <v/>
      </c>
      <c r="BJ459" s="449"/>
      <c r="BK459" s="446" t="str">
        <f>IF(Ruimtestaat[[#This Row],[Frequentie weekend]]="","",_xlfn.CONCAT(Ruimtestaat[[#This Row],[Ruimte code]],"-",Ruimtestaat[[#This Row],[Frequentie weekend]]," ",Ruimtestaat[[#This Row],[Vloer code]]))</f>
        <v/>
      </c>
      <c r="BL459" s="448" t="str">
        <f>_xlfn.IFNA(VLOOKUP($BK459,Programma!$F$3:$G$1101,2,0),"")</f>
        <v/>
      </c>
      <c r="BM459" s="448" t="str">
        <f>_xlfn.IFNA(VLOOKUP($BK459,Programma!$F$3:$H$1101,3,0),"")</f>
        <v/>
      </c>
      <c r="BN459" s="448" t="str">
        <f>_xlfn.IFNA(VLOOKUP($BK459,Programma!$F$3:$I$1101,4,0),"")</f>
        <v/>
      </c>
      <c r="BO459" s="448" t="str">
        <f>_xlfn.IFNA(VLOOKUP($BK459,Programma!$F$3:$J$1101,5,0),"")</f>
        <v/>
      </c>
      <c r="BP459" s="448" t="str">
        <f>_xlfn.IFNA(VLOOKUP($BK459,Programma!$F$3:$K$1101,6,0),"")</f>
        <v/>
      </c>
      <c r="BQ459" s="448" t="str">
        <f>_xlfn.IFNA(VLOOKUP($BK459,Programma!$F$3:$L$1101,7,0),"")</f>
        <v/>
      </c>
      <c r="BR459" s="448" t="str">
        <f>_xlfn.IFNA(VLOOKUP($BK459,Programma!$F$3:$M$1101,8,0),"")</f>
        <v/>
      </c>
      <c r="BS459" s="448" t="str">
        <f>_xlfn.IFNA(VLOOKUP($BK459,Programma!$F$3:$N$1101,9,0),"")</f>
        <v/>
      </c>
      <c r="BT459" s="448" t="str">
        <f>_xlfn.IFNA(VLOOKUP($BK459,Programma!$F$3:$O$1101,10,0),"")</f>
        <v/>
      </c>
      <c r="BU459" s="448" t="str">
        <f>_xlfn.IFNA(VLOOKUP($BK459,Programma!$F$3:$P$1101,11,0),"")</f>
        <v/>
      </c>
      <c r="BV459" s="448" t="str">
        <f>_xlfn.IFNA(VLOOKUP($BK459,Programma!$F$3:$Q$1101,12,0),"")</f>
        <v/>
      </c>
      <c r="BW459" s="448" t="str">
        <f>_xlfn.IFNA(VLOOKUP($BK459,Programma!$F$3:$R$1101,13,0),"")</f>
        <v/>
      </c>
      <c r="BX459" s="448" t="str">
        <f>_xlfn.IFNA(VLOOKUP($BK459,Programma!$F$3:$S$1101,14,0),"")</f>
        <v/>
      </c>
      <c r="BY459" s="448" t="str">
        <f>_xlfn.IFNA(VLOOKUP($BK459,Programma!$F$3:$T$1101,15,0),"")</f>
        <v/>
      </c>
      <c r="BZ459" s="448" t="str">
        <f>_xlfn.IFNA(VLOOKUP($BK459,Programma!$F$3:$U$1101,16,0),"")</f>
        <v/>
      </c>
      <c r="CA459" s="448" t="str">
        <f>_xlfn.IFNA(VLOOKUP($BK459,Programma!$F$3:$V$1101,17,0),"")</f>
        <v/>
      </c>
      <c r="CB459" s="448" t="str">
        <f>_xlfn.IFNA(VLOOKUP($BK459,Programma!$F$3:$W$1101,18,0),"")</f>
        <v/>
      </c>
      <c r="CC459" s="448" t="str">
        <f>_xlfn.IFNA(VLOOKUP($BK459,Programma!$F$3:$X$1101,19,0),"")</f>
        <v/>
      </c>
      <c r="CD459" s="448" t="str">
        <f>_xlfn.IFNA(VLOOKUP($BK459,Programma!$F$3:$Y$1101,20,0),"")</f>
        <v/>
      </c>
    </row>
    <row r="460" spans="1:227" ht="15" customHeight="1">
      <c r="A460" s="362">
        <v>18</v>
      </c>
      <c r="B460" s="435" t="str">
        <f>VLOOKUP(Ruimtestaat[[#This Row],[Code]],Locaties[[Code]:[Locatie]],2,FALSE)</f>
        <v>IKC De Triangel</v>
      </c>
      <c r="C460" s="435" t="str">
        <f>VLOOKUP(Ruimtestaat[[#This Row],[Code]],Locaties[[#All],[Code]:[Adres]],4,FALSE)</f>
        <v>Vlasakker 33-35</v>
      </c>
      <c r="D460" s="435" t="str">
        <f>VLOOKUP(Ruimtestaat[[#This Row],[Code]],Locaties[[#All],[Code]:[Postcode]],5,FALSE)</f>
        <v>2723 TP</v>
      </c>
      <c r="E460" s="435" t="str">
        <f>VLOOKUP(Ruimtestaat[[#This Row],[Code]],Locaties[#All],6,FALSE)</f>
        <v>Zoetermeer</v>
      </c>
      <c r="F460" s="450"/>
      <c r="G460" s="330" t="s">
        <v>1678</v>
      </c>
      <c r="H460" s="330" t="s">
        <v>1670</v>
      </c>
      <c r="I460" s="450" t="s">
        <v>1724</v>
      </c>
      <c r="J460" s="330">
        <v>20</v>
      </c>
      <c r="K460" s="450" t="str">
        <f>VLOOKUP(Ruimtestaat[[#This Row],[Ruimte code]],Ruimtegroepen[[#All],[Code]:[Ruimte omschrijving]],2,FALSE)</f>
        <v>Niet in Onderhoud</v>
      </c>
      <c r="M460" s="330"/>
      <c r="N460" s="439"/>
      <c r="O460" s="439">
        <v>1.7</v>
      </c>
      <c r="P460" s="439"/>
      <c r="Q460" s="439"/>
      <c r="R460" s="440">
        <f>VLOOKUP(Ruimtestaat[[#This Row],[Ruimte code]],Ruimtegroepen[],4,FALSE)</f>
        <v>0</v>
      </c>
      <c r="S460" s="434"/>
      <c r="T460" s="434"/>
      <c r="U460" s="453">
        <f>IF(S460&gt;0,IF(RIGHT(Ruimtestaat[[#This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60" s="434">
        <f>IF(U460&gt;0,VLOOKUP($J460,Ruimtegroepen[],3,FALSE)*VLOOKUP($L460,Vloersoorten[],3,FALSE)*VLOOKUP($T460,Frequenties[],3,FALSE)*VLOOKUP($A460,Locaties[],3,FALSE),0)</f>
        <v>0</v>
      </c>
      <c r="W460" s="434">
        <f>Ruimtestaat[[#This Row],[Uitvoeringen werkdagen]]*Ruimtestaat[[#This Row],[Oppervlak (netto)]]</f>
        <v>0</v>
      </c>
      <c r="X460" s="441">
        <f>IF(V460&gt;0,Ruimtestaat[[#This Row],[Prest. (m2 /jaar) werkdagen]]/Ruimtestaat[[#This Row],[Norm (m2/uur) werkdagen]],0)</f>
        <v>0</v>
      </c>
      <c r="Y460" s="442">
        <f>Ruimtestaat[[#This Row],[Uitvoeringen werkdagen]]*Ruimtestaat[[#This Row],[Gedeeltelijk]]</f>
        <v>0</v>
      </c>
      <c r="Z460" s="443">
        <f>IF(U460&gt;0,Ruimtestaat[[#This Row],[Prest. (m2 / jaar) werkdagen gedeeld]]/Ruimtestaat[[#This Row],[Norm (m2/uur) werkdagen]],0)</f>
        <v>0</v>
      </c>
      <c r="AA460" s="441">
        <f>Ruimtestaat[[#This Row],[uren / jaar werkdagen gedeeld]]*Tariefsopbouw!$E$35</f>
        <v>0</v>
      </c>
      <c r="AB460" s="441">
        <f>Ruimtestaat[[#This Row],[Uitvoeringen werkdagen]]*Ruimtestaat[[#This Row],[BSO]]</f>
        <v>0</v>
      </c>
      <c r="AC460" s="443">
        <f>IF(U460&gt;0,Ruimtestaat[[#This Row],[Prest. (m2 / jaar) werkdagen BSO]]/Ruimtestaat[[#This Row],[Norm (m2/uur) werkdagen]],0)</f>
        <v>0</v>
      </c>
      <c r="AD460" s="443">
        <f>Ruimtestaat[[#This Row],[uren / jaar werkdagen BSO]]*Tariefsopbouw!$E$35</f>
        <v>0</v>
      </c>
      <c r="AE460" s="444">
        <f>Ruimtestaat[[#This Row],[uren / jaar werkdagen]]*Tariefsopbouw!$E$35</f>
        <v>0</v>
      </c>
      <c r="AF460" s="454"/>
      <c r="AG460" s="455">
        <f>IF(Ruimtestaat[[#This Row],[Frequentie weekend]]&gt;0,VALUE(LEFT(AF460,1))*S460,0)</f>
        <v>0</v>
      </c>
      <c r="AH460" s="455">
        <f>IF($AG460&gt;0,VLOOKUP($J460,Ruimtegroepen[],3,FALSE)*VLOOKUP($L460,Vloersoorten[],3,FALSE)*VLOOKUP($AF460,Frequenties[],3,FALSE)*VLOOKUP(#REF!,Locaties[],3,FALSE),0)</f>
        <v>0</v>
      </c>
      <c r="AI460" s="434">
        <f>Ruimtestaat[[#This Row],[Uitvoeringen weekend]]*Ruimtestaat[[#This Row],[Oppervlak (netto)]]</f>
        <v>0</v>
      </c>
      <c r="AJ460" s="434">
        <f>IF(AH460&gt;0,Ruimtestaat[[#This Row],[Prest. (m2 /jaar) weekend]]/Ruimtestaat[[#This Row],[Norm (m2/uur) weekend]],0)</f>
        <v>0</v>
      </c>
      <c r="AK460" s="444">
        <f>Ruimtestaat[[#This Row],[uren / jaar weekend]]*Tariefsopbouw!$D$40</f>
        <v>0</v>
      </c>
      <c r="AL460" s="441">
        <f>Ruimtestaat[[#This Row],[Prest. (m2 /jaar) weekend]]+Ruimtestaat[[#This Row],[Prest. (m2 /jaar) werkdagen]]</f>
        <v>0</v>
      </c>
      <c r="AM460" s="441">
        <f>Ruimtestaat[[#This Row],[uren / jaar weekend]]+Ruimtestaat[[#This Row],[uren / jaar werkdagen]]</f>
        <v>0</v>
      </c>
      <c r="AN460" s="446">
        <f>Ruimtestaat[[#This Row],[kosten / jaar weekend]]+Ruimtestaat[[#This Row],[kosten / jaar werkdagen]]</f>
        <v>0</v>
      </c>
      <c r="AO460" s="446"/>
      <c r="AP460" s="446" t="str">
        <f>IF(Ruimtestaat[[#This Row],[Frequentie werkdagen]]="","",_xlfn.CONCAT(Ruimtestaat[[#This Row],[Ruimte code]],"-",Ruimtestaat[[#This Row],[Frequentie werkdagen]]," ",Ruimtestaat[[#This Row],[Vloer code]]))</f>
        <v/>
      </c>
      <c r="AQ460" s="448" t="str">
        <f>_xlfn.IFNA(VLOOKUP($AP460,Programma!$F$3:$G$1101,2,0),"")</f>
        <v/>
      </c>
      <c r="AR460" s="448" t="str">
        <f>_xlfn.IFNA(VLOOKUP($AP460,Programma!$F$3:$H$1101,3,0),"")</f>
        <v/>
      </c>
      <c r="AS460" s="448" t="str">
        <f>_xlfn.IFNA(VLOOKUP($AP460,Programma!$F$3:$I$1101,4,0),"")</f>
        <v/>
      </c>
      <c r="AT460" s="448" t="str">
        <f>_xlfn.IFNA(VLOOKUP($AP460,Programma!$F$3:$J$1101,5,0),"")</f>
        <v/>
      </c>
      <c r="AU460" s="448" t="str">
        <f>_xlfn.IFNA(VLOOKUP($AP460,Programma!$F$3:$K$1101,6,0),"")</f>
        <v/>
      </c>
      <c r="AV460" s="448" t="str">
        <f>_xlfn.IFNA(VLOOKUP($AP460,Programma!$F$3:$L$1101,7,0),"")</f>
        <v/>
      </c>
      <c r="AW460" s="448" t="str">
        <f>_xlfn.IFNA(VLOOKUP($AP460,Programma!$F$3:$M$1101,8,0),"")</f>
        <v/>
      </c>
      <c r="AX460" s="448" t="str">
        <f>_xlfn.IFNA(VLOOKUP($AP460,Programma!$F$3:$N$1101,9,0),"")</f>
        <v/>
      </c>
      <c r="AY460" s="448" t="str">
        <f>_xlfn.IFNA(VLOOKUP($AP460,Programma!$F$3:$O$1101,10,0),"")</f>
        <v/>
      </c>
      <c r="AZ460" s="448" t="str">
        <f>_xlfn.IFNA(VLOOKUP($AP460,Programma!$F$3:$P$1101,11,0),"")</f>
        <v/>
      </c>
      <c r="BA460" s="448" t="str">
        <f>_xlfn.IFNA(VLOOKUP($AP460,Programma!$F$3:$Q$1101,12,0),"")</f>
        <v/>
      </c>
      <c r="BB460" s="448" t="str">
        <f>_xlfn.IFNA(VLOOKUP($AP460,Programma!$F$3:$R$1101,13,0),"")</f>
        <v/>
      </c>
      <c r="BC460" s="448" t="str">
        <f>_xlfn.IFNA(VLOOKUP($AP460,Programma!$F$3:$S$1101,14,0),"")</f>
        <v/>
      </c>
      <c r="BD460" s="448" t="str">
        <f>_xlfn.IFNA(VLOOKUP($AP460,Programma!$F$3:$T$1101,15,0),"")</f>
        <v/>
      </c>
      <c r="BE460" s="448" t="str">
        <f>_xlfn.IFNA(VLOOKUP($AP460,Programma!$F$3:$U$1101,16,0),"")</f>
        <v/>
      </c>
      <c r="BF460" s="448" t="str">
        <f>_xlfn.IFNA(VLOOKUP($AP460,Programma!$F$3:$V$1101,17,0),"")</f>
        <v/>
      </c>
      <c r="BG460" s="448" t="str">
        <f>_xlfn.IFNA(VLOOKUP($AP460,Programma!$F$3:$W$1101,18,0),"")</f>
        <v/>
      </c>
      <c r="BH460" s="448" t="str">
        <f>_xlfn.IFNA(VLOOKUP($AP460,Programma!$F$3:$X$1101,19,0),"")</f>
        <v/>
      </c>
      <c r="BI460" s="448" t="str">
        <f>_xlfn.IFNA(VLOOKUP($AP460,Programma!$F$3:$Y$1101,20,0),"")</f>
        <v/>
      </c>
      <c r="BJ460" s="449"/>
      <c r="BK460" s="446" t="str">
        <f>IF(Ruimtestaat[[#This Row],[Frequentie weekend]]="","",_xlfn.CONCAT(Ruimtestaat[[#This Row],[Ruimte code]],"-",Ruimtestaat[[#This Row],[Frequentie weekend]]," ",Ruimtestaat[[#This Row],[Vloer code]]))</f>
        <v/>
      </c>
      <c r="BL460" s="448" t="str">
        <f>_xlfn.IFNA(VLOOKUP($BK460,Programma!$F$3:$G$1101,2,0),"")</f>
        <v/>
      </c>
      <c r="BM460" s="448" t="str">
        <f>_xlfn.IFNA(VLOOKUP($BK460,Programma!$F$3:$H$1101,3,0),"")</f>
        <v/>
      </c>
      <c r="BN460" s="448" t="str">
        <f>_xlfn.IFNA(VLOOKUP($BK460,Programma!$F$3:$I$1101,4,0),"")</f>
        <v/>
      </c>
      <c r="BO460" s="448" t="str">
        <f>_xlfn.IFNA(VLOOKUP($BK460,Programma!$F$3:$J$1101,5,0),"")</f>
        <v/>
      </c>
      <c r="BP460" s="448" t="str">
        <f>_xlfn.IFNA(VLOOKUP($BK460,Programma!$F$3:$K$1101,6,0),"")</f>
        <v/>
      </c>
      <c r="BQ460" s="448" t="str">
        <f>_xlfn.IFNA(VLOOKUP($BK460,Programma!$F$3:$L$1101,7,0),"")</f>
        <v/>
      </c>
      <c r="BR460" s="448" t="str">
        <f>_xlfn.IFNA(VLOOKUP($BK460,Programma!$F$3:$M$1101,8,0),"")</f>
        <v/>
      </c>
      <c r="BS460" s="448" t="str">
        <f>_xlfn.IFNA(VLOOKUP($BK460,Programma!$F$3:$N$1101,9,0),"")</f>
        <v/>
      </c>
      <c r="BT460" s="448" t="str">
        <f>_xlfn.IFNA(VLOOKUP($BK460,Programma!$F$3:$O$1101,10,0),"")</f>
        <v/>
      </c>
      <c r="BU460" s="448" t="str">
        <f>_xlfn.IFNA(VLOOKUP($BK460,Programma!$F$3:$P$1101,11,0),"")</f>
        <v/>
      </c>
      <c r="BV460" s="448" t="str">
        <f>_xlfn.IFNA(VLOOKUP($BK460,Programma!$F$3:$Q$1101,12,0),"")</f>
        <v/>
      </c>
      <c r="BW460" s="448" t="str">
        <f>_xlfn.IFNA(VLOOKUP($BK460,Programma!$F$3:$R$1101,13,0),"")</f>
        <v/>
      </c>
      <c r="BX460" s="448" t="str">
        <f>_xlfn.IFNA(VLOOKUP($BK460,Programma!$F$3:$S$1101,14,0),"")</f>
        <v/>
      </c>
      <c r="BY460" s="448" t="str">
        <f>_xlfn.IFNA(VLOOKUP($BK460,Programma!$F$3:$T$1101,15,0),"")</f>
        <v/>
      </c>
      <c r="BZ460" s="448" t="str">
        <f>_xlfn.IFNA(VLOOKUP($BK460,Programma!$F$3:$U$1101,16,0),"")</f>
        <v/>
      </c>
      <c r="CA460" s="448" t="str">
        <f>_xlfn.IFNA(VLOOKUP($BK460,Programma!$F$3:$V$1101,17,0),"")</f>
        <v/>
      </c>
      <c r="CB460" s="448" t="str">
        <f>_xlfn.IFNA(VLOOKUP($BK460,Programma!$F$3:$W$1101,18,0),"")</f>
        <v/>
      </c>
      <c r="CC460" s="448" t="str">
        <f>_xlfn.IFNA(VLOOKUP($BK460,Programma!$F$3:$X$1101,19,0),"")</f>
        <v/>
      </c>
      <c r="CD460" s="448" t="str">
        <f>_xlfn.IFNA(VLOOKUP($BK460,Programma!$F$3:$Y$1101,20,0),"")</f>
        <v/>
      </c>
    </row>
    <row r="461" spans="1:227" ht="15" customHeight="1">
      <c r="A461" s="362">
        <v>18</v>
      </c>
      <c r="B461" s="435" t="str">
        <f>VLOOKUP(Ruimtestaat[[#This Row],[Code]],Locaties[[Code]:[Locatie]],2,FALSE)</f>
        <v>IKC De Triangel</v>
      </c>
      <c r="C461" s="435" t="str">
        <f>VLOOKUP(Ruimtestaat[[#This Row],[Code]],Locaties[[#All],[Code]:[Adres]],4,FALSE)</f>
        <v>Vlasakker 33-35</v>
      </c>
      <c r="D461" s="435" t="str">
        <f>VLOOKUP(Ruimtestaat[[#This Row],[Code]],Locaties[[#All],[Code]:[Postcode]],5,FALSE)</f>
        <v>2723 TP</v>
      </c>
      <c r="E461" s="435" t="str">
        <f>VLOOKUP(Ruimtestaat[[#This Row],[Code]],Locaties[#All],6,FALSE)</f>
        <v>Zoetermeer</v>
      </c>
      <c r="F461" s="450"/>
      <c r="G461" s="330" t="s">
        <v>1678</v>
      </c>
      <c r="H461" s="330" t="s">
        <v>1672</v>
      </c>
      <c r="I461" s="450" t="s">
        <v>1673</v>
      </c>
      <c r="J461" s="330">
        <v>5</v>
      </c>
      <c r="K461" s="450" t="str">
        <f>VLOOKUP(Ruimtestaat[[#This Row],[Ruimte code]],Ruimtegroepen[[#All],[Code]:[Ruimte omschrijving]],2,FALSE)</f>
        <v>Sanitair</v>
      </c>
      <c r="L461" s="330" t="s">
        <v>101</v>
      </c>
      <c r="M461" s="437" t="s">
        <v>1947</v>
      </c>
      <c r="N461" s="439">
        <v>4.8</v>
      </c>
      <c r="O461" s="439"/>
      <c r="P461" s="439"/>
      <c r="Q461" s="439"/>
      <c r="R461" s="440" t="str">
        <f>VLOOKUP(Ruimtestaat[[#This Row],[Ruimte code]],Ruimtegroepen[],4,FALSE)</f>
        <v>Sa</v>
      </c>
      <c r="S461" s="434">
        <v>41</v>
      </c>
      <c r="T461" s="434" t="s">
        <v>2</v>
      </c>
      <c r="U461" s="453">
        <f>IF(S461&gt;0,IF(RIGHT(Ruimtestaat[[#This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61" s="434">
        <f>IF(U461&gt;0,VLOOKUP($J461,Ruimtegroepen[],3,FALSE)*VLOOKUP($L461,Vloersoorten[],3,FALSE)*VLOOKUP($T461,Frequenties[],3,FALSE)*VLOOKUP($A461,Locaties[],3,FALSE),0)</f>
        <v>0</v>
      </c>
      <c r="W461" s="434">
        <f>Ruimtestaat[[#This Row],[Uitvoeringen werkdagen]]*Ruimtestaat[[#This Row],[Oppervlak (netto)]]</f>
        <v>984</v>
      </c>
      <c r="X461" s="441">
        <f>IF(V461&gt;0,Ruimtestaat[[#This Row],[Prest. (m2 /jaar) werkdagen]]/Ruimtestaat[[#This Row],[Norm (m2/uur) werkdagen]],0)</f>
        <v>0</v>
      </c>
      <c r="Y461" s="442">
        <f>Ruimtestaat[[#This Row],[Uitvoeringen werkdagen]]*Ruimtestaat[[#This Row],[Gedeeltelijk]]</f>
        <v>0</v>
      </c>
      <c r="Z461" s="443" t="e">
        <f>IF(U461&gt;0,Ruimtestaat[[#This Row],[Prest. (m2 / jaar) werkdagen gedeeld]]/Ruimtestaat[[#This Row],[Norm (m2/uur) werkdagen]],0)</f>
        <v>#DIV/0!</v>
      </c>
      <c r="AA461" s="441" t="e">
        <f>Ruimtestaat[[#This Row],[uren / jaar werkdagen gedeeld]]*Tariefsopbouw!$E$35</f>
        <v>#DIV/0!</v>
      </c>
      <c r="AB461" s="441">
        <f>Ruimtestaat[[#This Row],[Uitvoeringen werkdagen]]*Ruimtestaat[[#This Row],[BSO]]</f>
        <v>0</v>
      </c>
      <c r="AC461" s="443" t="e">
        <f>IF(U461&gt;0,Ruimtestaat[[#This Row],[Prest. (m2 / jaar) werkdagen BSO]]/Ruimtestaat[[#This Row],[Norm (m2/uur) werkdagen]],0)</f>
        <v>#DIV/0!</v>
      </c>
      <c r="AD461" s="443" t="e">
        <f>Ruimtestaat[[#This Row],[uren / jaar werkdagen BSO]]*Tariefsopbouw!$E$35</f>
        <v>#DIV/0!</v>
      </c>
      <c r="AE461" s="444">
        <f>Ruimtestaat[[#This Row],[uren / jaar werkdagen]]*Tariefsopbouw!$E$35</f>
        <v>0</v>
      </c>
      <c r="AF461" s="454"/>
      <c r="AG461" s="455">
        <f>IF(Ruimtestaat[[#This Row],[Frequentie weekend]]&gt;0,VALUE(LEFT(AF461,1))*S461,0)</f>
        <v>0</v>
      </c>
      <c r="AH461" s="455">
        <f>IF($AG461&gt;0,VLOOKUP($J461,Ruimtegroepen[],3,FALSE)*VLOOKUP($L461,Vloersoorten[],3,FALSE)*VLOOKUP($AF461,Frequenties[],3,FALSE)*VLOOKUP(#REF!,Locaties[],3,FALSE),0)</f>
        <v>0</v>
      </c>
      <c r="AI461" s="434">
        <f>Ruimtestaat[[#This Row],[Uitvoeringen weekend]]*Ruimtestaat[[#This Row],[Oppervlak (netto)]]</f>
        <v>0</v>
      </c>
      <c r="AJ461" s="434">
        <f>IF(AH461&gt;0,Ruimtestaat[[#This Row],[Prest. (m2 /jaar) weekend]]/Ruimtestaat[[#This Row],[Norm (m2/uur) weekend]],0)</f>
        <v>0</v>
      </c>
      <c r="AK461" s="444">
        <f>Ruimtestaat[[#This Row],[uren / jaar weekend]]*Tariefsopbouw!$D$40</f>
        <v>0</v>
      </c>
      <c r="AL461" s="441">
        <f>Ruimtestaat[[#This Row],[Prest. (m2 /jaar) weekend]]+Ruimtestaat[[#This Row],[Prest. (m2 /jaar) werkdagen]]</f>
        <v>984</v>
      </c>
      <c r="AM461" s="441">
        <f>Ruimtestaat[[#This Row],[uren / jaar weekend]]+Ruimtestaat[[#This Row],[uren / jaar werkdagen]]</f>
        <v>0</v>
      </c>
      <c r="AN461" s="446">
        <f>Ruimtestaat[[#This Row],[kosten / jaar weekend]]+Ruimtestaat[[#This Row],[kosten / jaar werkdagen]]</f>
        <v>0</v>
      </c>
      <c r="AO461" s="446"/>
      <c r="AP461" s="446" t="str">
        <f>IF(Ruimtestaat[[#This Row],[Frequentie werkdagen]]="","",_xlfn.CONCAT(Ruimtestaat[[#This Row],[Ruimte code]],"-",Ruimtestaat[[#This Row],[Frequentie werkdagen]]," ",Ruimtestaat[[#This Row],[Vloer code]]))</f>
        <v>5-5w S</v>
      </c>
      <c r="AQ461" s="448" t="str">
        <f>_xlfn.IFNA(VLOOKUP($AP461,Programma!$F$3:$G$1101,2,0),"")</f>
        <v>_</v>
      </c>
      <c r="AR461" s="448" t="str">
        <f>_xlfn.IFNA(VLOOKUP($AP461,Programma!$F$3:$H$1101,3,0),"")</f>
        <v>_</v>
      </c>
      <c r="AS461" s="448" t="str">
        <f>_xlfn.IFNA(VLOOKUP($AP461,Programma!$F$3:$I$1101,4,0),"")</f>
        <v>_</v>
      </c>
      <c r="AT461" s="448" t="str">
        <f>_xlfn.IFNA(VLOOKUP($AP461,Programma!$F$3:$J$1101,5,0),"")</f>
        <v>4w</v>
      </c>
      <c r="AU461" s="448" t="str">
        <f>_xlfn.IFNA(VLOOKUP($AP461,Programma!$F$3:$K$1101,6,0),"")</f>
        <v>1w</v>
      </c>
      <c r="AV461" s="448" t="str">
        <f>_xlfn.IFNA(VLOOKUP($AP461,Programma!$F$3:$L$1101,7,0),"")</f>
        <v>_</v>
      </c>
      <c r="AW461" s="448" t="str">
        <f>_xlfn.IFNA(VLOOKUP($AP461,Programma!$F$3:$M$1101,8,0),"")</f>
        <v>_</v>
      </c>
      <c r="AX461" s="448" t="str">
        <f>_xlfn.IFNA(VLOOKUP($AP461,Programma!$F$3:$N$1101,9,0),"")</f>
        <v>_</v>
      </c>
      <c r="AY461" s="448" t="str">
        <f>_xlfn.IFNA(VLOOKUP($AP461,Programma!$F$3:$O$1101,10,0),"")</f>
        <v>_</v>
      </c>
      <c r="AZ461" s="448" t="str">
        <f>_xlfn.IFNA(VLOOKUP($AP461,Programma!$F$3:$P$1101,11,0),"")</f>
        <v>_</v>
      </c>
      <c r="BA461" s="448" t="str">
        <f>_xlfn.IFNA(VLOOKUP($AP461,Programma!$F$3:$Q$1101,12,0),"")</f>
        <v>_</v>
      </c>
      <c r="BB461" s="448" t="str">
        <f>_xlfn.IFNA(VLOOKUP($AP461,Programma!$F$3:$R$1101,13,0),"")</f>
        <v>_</v>
      </c>
      <c r="BC461" s="448" t="str">
        <f>_xlfn.IFNA(VLOOKUP($AP461,Programma!$F$3:$S$1101,14,0),"")</f>
        <v>_</v>
      </c>
      <c r="BD461" s="448" t="str">
        <f>_xlfn.IFNA(VLOOKUP($AP461,Programma!$F$3:$T$1101,15,0),"")</f>
        <v>_</v>
      </c>
      <c r="BE461" s="448" t="str">
        <f>_xlfn.IFNA(VLOOKUP($AP461,Programma!$F$3:$U$1101,16,0),"")</f>
        <v>_</v>
      </c>
      <c r="BF461" s="448" t="str">
        <f>_xlfn.IFNA(VLOOKUP($AP461,Programma!$F$3:$V$1101,17,0),"")</f>
        <v>_</v>
      </c>
      <c r="BG461" s="448" t="str">
        <f>_xlfn.IFNA(VLOOKUP($AP461,Programma!$F$3:$W$1101,18,0),"")</f>
        <v>4w</v>
      </c>
      <c r="BH461" s="448" t="str">
        <f>_xlfn.IFNA(VLOOKUP($AP461,Programma!$F$3:$X$1101,19,0),"")</f>
        <v>1w</v>
      </c>
      <c r="BI461" s="448" t="str">
        <f>_xlfn.IFNA(VLOOKUP($AP461,Programma!$F$3:$Y$1101,20,0),"")</f>
        <v>_</v>
      </c>
      <c r="BJ461" s="449"/>
      <c r="BK461" s="446" t="str">
        <f>IF(Ruimtestaat[[#This Row],[Frequentie weekend]]="","",_xlfn.CONCAT(Ruimtestaat[[#This Row],[Ruimte code]],"-",Ruimtestaat[[#This Row],[Frequentie weekend]]," ",Ruimtestaat[[#This Row],[Vloer code]]))</f>
        <v/>
      </c>
      <c r="BL461" s="448" t="str">
        <f>_xlfn.IFNA(VLOOKUP($BK461,Programma!$F$3:$G$1101,2,0),"")</f>
        <v/>
      </c>
      <c r="BM461" s="448" t="str">
        <f>_xlfn.IFNA(VLOOKUP($BK461,Programma!$F$3:$H$1101,3,0),"")</f>
        <v/>
      </c>
      <c r="BN461" s="448" t="str">
        <f>_xlfn.IFNA(VLOOKUP($BK461,Programma!$F$3:$I$1101,4,0),"")</f>
        <v/>
      </c>
      <c r="BO461" s="448" t="str">
        <f>_xlfn.IFNA(VLOOKUP($BK461,Programma!$F$3:$J$1101,5,0),"")</f>
        <v/>
      </c>
      <c r="BP461" s="448" t="str">
        <f>_xlfn.IFNA(VLOOKUP($BK461,Programma!$F$3:$K$1101,6,0),"")</f>
        <v/>
      </c>
      <c r="BQ461" s="448" t="str">
        <f>_xlfn.IFNA(VLOOKUP($BK461,Programma!$F$3:$L$1101,7,0),"")</f>
        <v/>
      </c>
      <c r="BR461" s="448" t="str">
        <f>_xlfn.IFNA(VLOOKUP($BK461,Programma!$F$3:$M$1101,8,0),"")</f>
        <v/>
      </c>
      <c r="BS461" s="448" t="str">
        <f>_xlfn.IFNA(VLOOKUP($BK461,Programma!$F$3:$N$1101,9,0),"")</f>
        <v/>
      </c>
      <c r="BT461" s="448" t="str">
        <f>_xlfn.IFNA(VLOOKUP($BK461,Programma!$F$3:$O$1101,10,0),"")</f>
        <v/>
      </c>
      <c r="BU461" s="448" t="str">
        <f>_xlfn.IFNA(VLOOKUP($BK461,Programma!$F$3:$P$1101,11,0),"")</f>
        <v/>
      </c>
      <c r="BV461" s="448" t="str">
        <f>_xlfn.IFNA(VLOOKUP($BK461,Programma!$F$3:$Q$1101,12,0),"")</f>
        <v/>
      </c>
      <c r="BW461" s="448" t="str">
        <f>_xlfn.IFNA(VLOOKUP($BK461,Programma!$F$3:$R$1101,13,0),"")</f>
        <v/>
      </c>
      <c r="BX461" s="448" t="str">
        <f>_xlfn.IFNA(VLOOKUP($BK461,Programma!$F$3:$S$1101,14,0),"")</f>
        <v/>
      </c>
      <c r="BY461" s="448" t="str">
        <f>_xlfn.IFNA(VLOOKUP($BK461,Programma!$F$3:$T$1101,15,0),"")</f>
        <v/>
      </c>
      <c r="BZ461" s="448" t="str">
        <f>_xlfn.IFNA(VLOOKUP($BK461,Programma!$F$3:$U$1101,16,0),"")</f>
        <v/>
      </c>
      <c r="CA461" s="448" t="str">
        <f>_xlfn.IFNA(VLOOKUP($BK461,Programma!$F$3:$V$1101,17,0),"")</f>
        <v/>
      </c>
      <c r="CB461" s="448" t="str">
        <f>_xlfn.IFNA(VLOOKUP($BK461,Programma!$F$3:$W$1101,18,0),"")</f>
        <v/>
      </c>
      <c r="CC461" s="448" t="str">
        <f>_xlfn.IFNA(VLOOKUP($BK461,Programma!$F$3:$X$1101,19,0),"")</f>
        <v/>
      </c>
      <c r="CD461" s="448" t="str">
        <f>_xlfn.IFNA(VLOOKUP($BK461,Programma!$F$3:$Y$1101,20,0),"")</f>
        <v/>
      </c>
    </row>
    <row r="462" spans="1:227" ht="15" customHeight="1">
      <c r="A462" s="362">
        <v>18</v>
      </c>
      <c r="B462" s="435" t="str">
        <f>VLOOKUP(Ruimtestaat[[#This Row],[Code]],Locaties[[Code]:[Locatie]],2,FALSE)</f>
        <v>IKC De Triangel</v>
      </c>
      <c r="C462" s="435" t="str">
        <f>VLOOKUP(Ruimtestaat[[#This Row],[Code]],Locaties[[#All],[Code]:[Adres]],4,FALSE)</f>
        <v>Vlasakker 33-35</v>
      </c>
      <c r="D462" s="435" t="str">
        <f>VLOOKUP(Ruimtestaat[[#This Row],[Code]],Locaties[[#All],[Code]:[Postcode]],5,FALSE)</f>
        <v>2723 TP</v>
      </c>
      <c r="E462" s="435" t="str">
        <f>VLOOKUP(Ruimtestaat[[#This Row],[Code]],Locaties[#All],6,FALSE)</f>
        <v>Zoetermeer</v>
      </c>
      <c r="F462" s="450"/>
      <c r="G462" s="330" t="s">
        <v>1678</v>
      </c>
      <c r="H462" s="330" t="s">
        <v>1674</v>
      </c>
      <c r="I462" s="450" t="s">
        <v>1875</v>
      </c>
      <c r="J462" s="330">
        <v>6</v>
      </c>
      <c r="K462" s="450" t="str">
        <f>VLOOKUP(Ruimtestaat[[#This Row],[Ruimte code]],Ruimtegroepen[[#All],[Code]:[Ruimte omschrijving]],2,FALSE)</f>
        <v>Gangen/hallen</v>
      </c>
      <c r="L462" s="434" t="s">
        <v>100</v>
      </c>
      <c r="M462" s="437" t="s">
        <v>1759</v>
      </c>
      <c r="N462" s="439">
        <v>130.30000000000001</v>
      </c>
      <c r="O462" s="439"/>
      <c r="P462" s="439"/>
      <c r="Q462" s="439"/>
      <c r="R462" s="440" t="str">
        <f>VLOOKUP(Ruimtestaat[[#This Row],[Ruimte code]],Ruimtegroepen[],4,FALSE)</f>
        <v>Ve</v>
      </c>
      <c r="S462" s="434">
        <v>41</v>
      </c>
      <c r="T462" s="434" t="s">
        <v>2</v>
      </c>
      <c r="U462" s="453">
        <f>IF(S462&gt;0,IF(RIGHT(Ruimtestaat[[#This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62" s="434">
        <f>IF(U462&gt;0,VLOOKUP($J462,Ruimtegroepen[],3,FALSE)*VLOOKUP($L462,Vloersoorten[],3,FALSE)*VLOOKUP($T462,Frequenties[],3,FALSE)*VLOOKUP($A462,Locaties[],3,FALSE),0)</f>
        <v>0</v>
      </c>
      <c r="W462" s="434">
        <f>Ruimtestaat[[#This Row],[Uitvoeringen werkdagen]]*Ruimtestaat[[#This Row],[Oppervlak (netto)]]</f>
        <v>26711.500000000004</v>
      </c>
      <c r="X462" s="441">
        <f>IF(V462&gt;0,Ruimtestaat[[#This Row],[Prest. (m2 /jaar) werkdagen]]/Ruimtestaat[[#This Row],[Norm (m2/uur) werkdagen]],0)</f>
        <v>0</v>
      </c>
      <c r="Y462" s="442">
        <f>Ruimtestaat[[#This Row],[Uitvoeringen werkdagen]]*Ruimtestaat[[#This Row],[Gedeeltelijk]]</f>
        <v>0</v>
      </c>
      <c r="Z462" s="443" t="e">
        <f>IF(U462&gt;0,Ruimtestaat[[#This Row],[Prest. (m2 / jaar) werkdagen gedeeld]]/Ruimtestaat[[#This Row],[Norm (m2/uur) werkdagen]],0)</f>
        <v>#DIV/0!</v>
      </c>
      <c r="AA462" s="441" t="e">
        <f>Ruimtestaat[[#This Row],[uren / jaar werkdagen gedeeld]]*Tariefsopbouw!$E$35</f>
        <v>#DIV/0!</v>
      </c>
      <c r="AB462" s="441">
        <f>Ruimtestaat[[#This Row],[Uitvoeringen werkdagen]]*Ruimtestaat[[#This Row],[BSO]]</f>
        <v>0</v>
      </c>
      <c r="AC462" s="443" t="e">
        <f>IF(U462&gt;0,Ruimtestaat[[#This Row],[Prest. (m2 / jaar) werkdagen BSO]]/Ruimtestaat[[#This Row],[Norm (m2/uur) werkdagen]],0)</f>
        <v>#DIV/0!</v>
      </c>
      <c r="AD462" s="443" t="e">
        <f>Ruimtestaat[[#This Row],[uren / jaar werkdagen BSO]]*Tariefsopbouw!$E$35</f>
        <v>#DIV/0!</v>
      </c>
      <c r="AE462" s="444">
        <f>Ruimtestaat[[#This Row],[uren / jaar werkdagen]]*Tariefsopbouw!$E$35</f>
        <v>0</v>
      </c>
      <c r="AF462" s="454"/>
      <c r="AG462" s="455">
        <f>IF(Ruimtestaat[[#This Row],[Frequentie weekend]]&gt;0,VALUE(LEFT(AF462,1))*S462,0)</f>
        <v>0</v>
      </c>
      <c r="AH462" s="455">
        <f>IF($AG462&gt;0,VLOOKUP($J462,Ruimtegroepen[],3,FALSE)*VLOOKUP($L462,Vloersoorten[],3,FALSE)*VLOOKUP($AF462,Frequenties[],3,FALSE)*VLOOKUP(#REF!,Locaties[],3,FALSE),0)</f>
        <v>0</v>
      </c>
      <c r="AI462" s="434">
        <f>Ruimtestaat[[#This Row],[Uitvoeringen weekend]]*Ruimtestaat[[#This Row],[Oppervlak (netto)]]</f>
        <v>0</v>
      </c>
      <c r="AJ462" s="434">
        <f>IF(AH462&gt;0,Ruimtestaat[[#This Row],[Prest. (m2 /jaar) weekend]]/Ruimtestaat[[#This Row],[Norm (m2/uur) weekend]],0)</f>
        <v>0</v>
      </c>
      <c r="AK462" s="444">
        <f>Ruimtestaat[[#This Row],[uren / jaar weekend]]*Tariefsopbouw!$D$40</f>
        <v>0</v>
      </c>
      <c r="AL462" s="441">
        <f>Ruimtestaat[[#This Row],[Prest. (m2 /jaar) weekend]]+Ruimtestaat[[#This Row],[Prest. (m2 /jaar) werkdagen]]</f>
        <v>26711.500000000004</v>
      </c>
      <c r="AM462" s="441">
        <f>Ruimtestaat[[#This Row],[uren / jaar weekend]]+Ruimtestaat[[#This Row],[uren / jaar werkdagen]]</f>
        <v>0</v>
      </c>
      <c r="AN462" s="446">
        <f>Ruimtestaat[[#This Row],[kosten / jaar weekend]]+Ruimtestaat[[#This Row],[kosten / jaar werkdagen]]</f>
        <v>0</v>
      </c>
      <c r="AO462" s="446"/>
      <c r="AP462" s="446" t="str">
        <f>IF(Ruimtestaat[[#This Row],[Frequentie werkdagen]]="","",_xlfn.CONCAT(Ruimtestaat[[#This Row],[Ruimte code]],"-",Ruimtestaat[[#This Row],[Frequentie werkdagen]]," ",Ruimtestaat[[#This Row],[Vloer code]]))</f>
        <v>6-5w L</v>
      </c>
      <c r="AQ462" s="448" t="str">
        <f>_xlfn.IFNA(VLOOKUP($AP462,Programma!$F$3:$G$1101,2,0),"")</f>
        <v>_</v>
      </c>
      <c r="AR462" s="448" t="str">
        <f>_xlfn.IFNA(VLOOKUP($AP462,Programma!$F$3:$H$1101,3,0),"")</f>
        <v>_</v>
      </c>
      <c r="AS462" s="448" t="str">
        <f>_xlfn.IFNA(VLOOKUP($AP462,Programma!$F$3:$I$1101,4,0),"")</f>
        <v>_</v>
      </c>
      <c r="AT462" s="448" t="str">
        <f>_xlfn.IFNA(VLOOKUP($AP462,Programma!$F$3:$J$1101,5,0),"")</f>
        <v>5w</v>
      </c>
      <c r="AU462" s="448" t="str">
        <f>_xlfn.IFNA(VLOOKUP($AP462,Programma!$F$3:$K$1101,6,0),"")</f>
        <v>_</v>
      </c>
      <c r="AV462" s="448" t="str">
        <f>_xlfn.IFNA(VLOOKUP($AP462,Programma!$F$3:$L$1101,7,0),"")</f>
        <v>_</v>
      </c>
      <c r="AW462" s="448" t="str">
        <f>_xlfn.IFNA(VLOOKUP($AP462,Programma!$F$3:$M$1101,8,0),"")</f>
        <v>_</v>
      </c>
      <c r="AX462" s="448" t="str">
        <f>_xlfn.IFNA(VLOOKUP($AP462,Programma!$F$3:$N$1101,9,0),"")</f>
        <v>_</v>
      </c>
      <c r="AY462" s="448" t="str">
        <f>_xlfn.IFNA(VLOOKUP($AP462,Programma!$F$3:$O$1101,10,0),"")</f>
        <v>5w</v>
      </c>
      <c r="AZ462" s="448" t="str">
        <f>_xlfn.IFNA(VLOOKUP($AP462,Programma!$F$3:$P$1101,11,0),"")</f>
        <v>5w</v>
      </c>
      <c r="BA462" s="448" t="str">
        <f>_xlfn.IFNA(VLOOKUP($AP462,Programma!$F$3:$Q$1101,12,0),"")</f>
        <v>1w</v>
      </c>
      <c r="BB462" s="448" t="str">
        <f>_xlfn.IFNA(VLOOKUP($AP462,Programma!$F$3:$R$1101,13,0),"")</f>
        <v>1w</v>
      </c>
      <c r="BC462" s="448" t="str">
        <f>_xlfn.IFNA(VLOOKUP($AP462,Programma!$F$3:$S$1101,14,0),"")</f>
        <v>1m</v>
      </c>
      <c r="BD462" s="448" t="str">
        <f>_xlfn.IFNA(VLOOKUP($AP462,Programma!$F$3:$T$1101,15,0),"")</f>
        <v>2j</v>
      </c>
      <c r="BE462" s="448" t="str">
        <f>_xlfn.IFNA(VLOOKUP($AP462,Programma!$F$3:$U$1101,16,0),"")</f>
        <v>1j</v>
      </c>
      <c r="BF462" s="448" t="str">
        <f>_xlfn.IFNA(VLOOKUP($AP462,Programma!$F$3:$V$1101,17,0),"")</f>
        <v>_</v>
      </c>
      <c r="BG462" s="448" t="str">
        <f>_xlfn.IFNA(VLOOKUP($AP462,Programma!$F$3:$W$1101,18,0),"")</f>
        <v>_</v>
      </c>
      <c r="BH462" s="448" t="str">
        <f>_xlfn.IFNA(VLOOKUP($AP462,Programma!$F$3:$X$1101,19,0),"")</f>
        <v>_</v>
      </c>
      <c r="BI462" s="448" t="str">
        <f>_xlfn.IFNA(VLOOKUP($AP462,Programma!$F$3:$Y$1101,20,0),"")</f>
        <v>_</v>
      </c>
      <c r="BJ462" s="449"/>
      <c r="BK462" s="446" t="str">
        <f>IF(Ruimtestaat[[#This Row],[Frequentie weekend]]="","",_xlfn.CONCAT(Ruimtestaat[[#This Row],[Ruimte code]],"-",Ruimtestaat[[#This Row],[Frequentie weekend]]," ",Ruimtestaat[[#This Row],[Vloer code]]))</f>
        <v/>
      </c>
      <c r="BL462" s="448" t="str">
        <f>_xlfn.IFNA(VLOOKUP($BK462,Programma!$F$3:$G$1101,2,0),"")</f>
        <v/>
      </c>
      <c r="BM462" s="448" t="str">
        <f>_xlfn.IFNA(VLOOKUP($BK462,Programma!$F$3:$H$1101,3,0),"")</f>
        <v/>
      </c>
      <c r="BN462" s="448" t="str">
        <f>_xlfn.IFNA(VLOOKUP($BK462,Programma!$F$3:$I$1101,4,0),"")</f>
        <v/>
      </c>
      <c r="BO462" s="448" t="str">
        <f>_xlfn.IFNA(VLOOKUP($BK462,Programma!$F$3:$J$1101,5,0),"")</f>
        <v/>
      </c>
      <c r="BP462" s="448" t="str">
        <f>_xlfn.IFNA(VLOOKUP($BK462,Programma!$F$3:$K$1101,6,0),"")</f>
        <v/>
      </c>
      <c r="BQ462" s="448" t="str">
        <f>_xlfn.IFNA(VLOOKUP($BK462,Programma!$F$3:$L$1101,7,0),"")</f>
        <v/>
      </c>
      <c r="BR462" s="448" t="str">
        <f>_xlfn.IFNA(VLOOKUP($BK462,Programma!$F$3:$M$1101,8,0),"")</f>
        <v/>
      </c>
      <c r="BS462" s="448" t="str">
        <f>_xlfn.IFNA(VLOOKUP($BK462,Programma!$F$3:$N$1101,9,0),"")</f>
        <v/>
      </c>
      <c r="BT462" s="448" t="str">
        <f>_xlfn.IFNA(VLOOKUP($BK462,Programma!$F$3:$O$1101,10,0),"")</f>
        <v/>
      </c>
      <c r="BU462" s="448" t="str">
        <f>_xlfn.IFNA(VLOOKUP($BK462,Programma!$F$3:$P$1101,11,0),"")</f>
        <v/>
      </c>
      <c r="BV462" s="448" t="str">
        <f>_xlfn.IFNA(VLOOKUP($BK462,Programma!$F$3:$Q$1101,12,0),"")</f>
        <v/>
      </c>
      <c r="BW462" s="448" t="str">
        <f>_xlfn.IFNA(VLOOKUP($BK462,Programma!$F$3:$R$1101,13,0),"")</f>
        <v/>
      </c>
      <c r="BX462" s="448" t="str">
        <f>_xlfn.IFNA(VLOOKUP($BK462,Programma!$F$3:$S$1101,14,0),"")</f>
        <v/>
      </c>
      <c r="BY462" s="448" t="str">
        <f>_xlfn.IFNA(VLOOKUP($BK462,Programma!$F$3:$T$1101,15,0),"")</f>
        <v/>
      </c>
      <c r="BZ462" s="448" t="str">
        <f>_xlfn.IFNA(VLOOKUP($BK462,Programma!$F$3:$U$1101,16,0),"")</f>
        <v/>
      </c>
      <c r="CA462" s="448" t="str">
        <f>_xlfn.IFNA(VLOOKUP($BK462,Programma!$F$3:$V$1101,17,0),"")</f>
        <v/>
      </c>
      <c r="CB462" s="448" t="str">
        <f>_xlfn.IFNA(VLOOKUP($BK462,Programma!$F$3:$W$1101,18,0),"")</f>
        <v/>
      </c>
      <c r="CC462" s="448" t="str">
        <f>_xlfn.IFNA(VLOOKUP($BK462,Programma!$F$3:$X$1101,19,0),"")</f>
        <v/>
      </c>
      <c r="CD462" s="448" t="str">
        <f>_xlfn.IFNA(VLOOKUP($BK462,Programma!$F$3:$Y$1101,20,0),"")</f>
        <v/>
      </c>
    </row>
    <row r="463" spans="1:227" ht="15" customHeight="1">
      <c r="A463" s="362">
        <v>18</v>
      </c>
      <c r="B463" s="435" t="str">
        <f>VLOOKUP(Ruimtestaat[[#This Row],[Code]],Locaties[[Code]:[Locatie]],2,FALSE)</f>
        <v>IKC De Triangel</v>
      </c>
      <c r="C463" s="435" t="str">
        <f>VLOOKUP(Ruimtestaat[[#This Row],[Code]],Locaties[[#All],[Code]:[Adres]],4,FALSE)</f>
        <v>Vlasakker 33-35</v>
      </c>
      <c r="D463" s="435" t="str">
        <f>VLOOKUP(Ruimtestaat[[#This Row],[Code]],Locaties[[#All],[Code]:[Postcode]],5,FALSE)</f>
        <v>2723 TP</v>
      </c>
      <c r="E463" s="435" t="str">
        <f>VLOOKUP(Ruimtestaat[[#This Row],[Code]],Locaties[#All],6,FALSE)</f>
        <v>Zoetermeer</v>
      </c>
      <c r="F463" s="450"/>
      <c r="G463" s="330" t="s">
        <v>1678</v>
      </c>
      <c r="H463" s="330" t="s">
        <v>1680</v>
      </c>
      <c r="I463" s="450" t="s">
        <v>1876</v>
      </c>
      <c r="J463" s="330">
        <v>6</v>
      </c>
      <c r="K463" s="450" t="str">
        <f>VLOOKUP(Ruimtestaat[[#This Row],[Ruimte code]],Ruimtegroepen[[#All],[Code]:[Ruimte omschrijving]],2,FALSE)</f>
        <v>Gangen/hallen</v>
      </c>
      <c r="L463" s="434" t="s">
        <v>100</v>
      </c>
      <c r="M463" s="437" t="s">
        <v>1759</v>
      </c>
      <c r="N463" s="439">
        <v>52</v>
      </c>
      <c r="O463" s="439"/>
      <c r="P463" s="439"/>
      <c r="Q463" s="439"/>
      <c r="R463" s="440" t="str">
        <f>VLOOKUP(Ruimtestaat[[#This Row],[Ruimte code]],Ruimtegroepen[],4,FALSE)</f>
        <v>Ve</v>
      </c>
      <c r="S463" s="434">
        <v>41</v>
      </c>
      <c r="T463" s="434" t="s">
        <v>2</v>
      </c>
      <c r="U463" s="453">
        <f>IF(S463&gt;0,IF(RIGHT(Ruimtestaat[[#This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63" s="434">
        <f>IF(U463&gt;0,VLOOKUP($J463,Ruimtegroepen[],3,FALSE)*VLOOKUP($L463,Vloersoorten[],3,FALSE)*VLOOKUP($T463,Frequenties[],3,FALSE)*VLOOKUP($A463,Locaties[],3,FALSE),0)</f>
        <v>0</v>
      </c>
      <c r="W463" s="434">
        <f>Ruimtestaat[[#This Row],[Uitvoeringen werkdagen]]*Ruimtestaat[[#This Row],[Oppervlak (netto)]]</f>
        <v>10660</v>
      </c>
      <c r="X463" s="441">
        <f>IF(V463&gt;0,Ruimtestaat[[#This Row],[Prest. (m2 /jaar) werkdagen]]/Ruimtestaat[[#This Row],[Norm (m2/uur) werkdagen]],0)</f>
        <v>0</v>
      </c>
      <c r="Y463" s="442">
        <f>Ruimtestaat[[#This Row],[Uitvoeringen werkdagen]]*Ruimtestaat[[#This Row],[Gedeeltelijk]]</f>
        <v>0</v>
      </c>
      <c r="Z463" s="443" t="e">
        <f>IF(U463&gt;0,Ruimtestaat[[#This Row],[Prest. (m2 / jaar) werkdagen gedeeld]]/Ruimtestaat[[#This Row],[Norm (m2/uur) werkdagen]],0)</f>
        <v>#DIV/0!</v>
      </c>
      <c r="AA463" s="441" t="e">
        <f>Ruimtestaat[[#This Row],[uren / jaar werkdagen gedeeld]]*Tariefsopbouw!$E$35</f>
        <v>#DIV/0!</v>
      </c>
      <c r="AB463" s="441">
        <f>Ruimtestaat[[#This Row],[Uitvoeringen werkdagen]]*Ruimtestaat[[#This Row],[BSO]]</f>
        <v>0</v>
      </c>
      <c r="AC463" s="443" t="e">
        <f>IF(U463&gt;0,Ruimtestaat[[#This Row],[Prest. (m2 / jaar) werkdagen BSO]]/Ruimtestaat[[#This Row],[Norm (m2/uur) werkdagen]],0)</f>
        <v>#DIV/0!</v>
      </c>
      <c r="AD463" s="443" t="e">
        <f>Ruimtestaat[[#This Row],[uren / jaar werkdagen BSO]]*Tariefsopbouw!$E$35</f>
        <v>#DIV/0!</v>
      </c>
      <c r="AE463" s="444">
        <f>Ruimtestaat[[#This Row],[uren / jaar werkdagen]]*Tariefsopbouw!$E$35</f>
        <v>0</v>
      </c>
      <c r="AF463" s="454"/>
      <c r="AG463" s="455">
        <f>IF(Ruimtestaat[[#This Row],[Frequentie weekend]]&gt;0,VALUE(LEFT(AF463,1))*S463,0)</f>
        <v>0</v>
      </c>
      <c r="AH463" s="455">
        <f>IF($AG463&gt;0,VLOOKUP($J463,Ruimtegroepen[],3,FALSE)*VLOOKUP($L463,Vloersoorten[],3,FALSE)*VLOOKUP($AF463,Frequenties[],3,FALSE)*VLOOKUP(#REF!,Locaties[],3,FALSE),0)</f>
        <v>0</v>
      </c>
      <c r="AI463" s="434">
        <f>Ruimtestaat[[#This Row],[Uitvoeringen weekend]]*Ruimtestaat[[#This Row],[Oppervlak (netto)]]</f>
        <v>0</v>
      </c>
      <c r="AJ463" s="434">
        <f>IF(AH463&gt;0,Ruimtestaat[[#This Row],[Prest. (m2 /jaar) weekend]]/Ruimtestaat[[#This Row],[Norm (m2/uur) weekend]],0)</f>
        <v>0</v>
      </c>
      <c r="AK463" s="444">
        <f>Ruimtestaat[[#This Row],[uren / jaar weekend]]*Tariefsopbouw!$D$40</f>
        <v>0</v>
      </c>
      <c r="AL463" s="441">
        <f>Ruimtestaat[[#This Row],[Prest. (m2 /jaar) weekend]]+Ruimtestaat[[#This Row],[Prest. (m2 /jaar) werkdagen]]</f>
        <v>10660</v>
      </c>
      <c r="AM463" s="441">
        <f>Ruimtestaat[[#This Row],[uren / jaar weekend]]+Ruimtestaat[[#This Row],[uren / jaar werkdagen]]</f>
        <v>0</v>
      </c>
      <c r="AN463" s="446">
        <f>Ruimtestaat[[#This Row],[kosten / jaar weekend]]+Ruimtestaat[[#This Row],[kosten / jaar werkdagen]]</f>
        <v>0</v>
      </c>
      <c r="AO463" s="446"/>
      <c r="AP463" s="446" t="str">
        <f>IF(Ruimtestaat[[#This Row],[Frequentie werkdagen]]="","",_xlfn.CONCAT(Ruimtestaat[[#This Row],[Ruimte code]],"-",Ruimtestaat[[#This Row],[Frequentie werkdagen]]," ",Ruimtestaat[[#This Row],[Vloer code]]))</f>
        <v>6-5w L</v>
      </c>
      <c r="AQ463" s="448" t="str">
        <f>_xlfn.IFNA(VLOOKUP($AP463,Programma!$F$3:$G$1101,2,0),"")</f>
        <v>_</v>
      </c>
      <c r="AR463" s="448" t="str">
        <f>_xlfn.IFNA(VLOOKUP($AP463,Programma!$F$3:$H$1101,3,0),"")</f>
        <v>_</v>
      </c>
      <c r="AS463" s="448" t="str">
        <f>_xlfn.IFNA(VLOOKUP($AP463,Programma!$F$3:$I$1101,4,0),"")</f>
        <v>_</v>
      </c>
      <c r="AT463" s="448" t="str">
        <f>_xlfn.IFNA(VLOOKUP($AP463,Programma!$F$3:$J$1101,5,0),"")</f>
        <v>5w</v>
      </c>
      <c r="AU463" s="448" t="str">
        <f>_xlfn.IFNA(VLOOKUP($AP463,Programma!$F$3:$K$1101,6,0),"")</f>
        <v>_</v>
      </c>
      <c r="AV463" s="448" t="str">
        <f>_xlfn.IFNA(VLOOKUP($AP463,Programma!$F$3:$L$1101,7,0),"")</f>
        <v>_</v>
      </c>
      <c r="AW463" s="448" t="str">
        <f>_xlfn.IFNA(VLOOKUP($AP463,Programma!$F$3:$M$1101,8,0),"")</f>
        <v>_</v>
      </c>
      <c r="AX463" s="448" t="str">
        <f>_xlfn.IFNA(VLOOKUP($AP463,Programma!$F$3:$N$1101,9,0),"")</f>
        <v>_</v>
      </c>
      <c r="AY463" s="448" t="str">
        <f>_xlfn.IFNA(VLOOKUP($AP463,Programma!$F$3:$O$1101,10,0),"")</f>
        <v>5w</v>
      </c>
      <c r="AZ463" s="448" t="str">
        <f>_xlfn.IFNA(VLOOKUP($AP463,Programma!$F$3:$P$1101,11,0),"")</f>
        <v>5w</v>
      </c>
      <c r="BA463" s="448" t="str">
        <f>_xlfn.IFNA(VLOOKUP($AP463,Programma!$F$3:$Q$1101,12,0),"")</f>
        <v>1w</v>
      </c>
      <c r="BB463" s="448" t="str">
        <f>_xlfn.IFNA(VLOOKUP($AP463,Programma!$F$3:$R$1101,13,0),"")</f>
        <v>1w</v>
      </c>
      <c r="BC463" s="448" t="str">
        <f>_xlfn.IFNA(VLOOKUP($AP463,Programma!$F$3:$S$1101,14,0),"")</f>
        <v>1m</v>
      </c>
      <c r="BD463" s="448" t="str">
        <f>_xlfn.IFNA(VLOOKUP($AP463,Programma!$F$3:$T$1101,15,0),"")</f>
        <v>2j</v>
      </c>
      <c r="BE463" s="448" t="str">
        <f>_xlfn.IFNA(VLOOKUP($AP463,Programma!$F$3:$U$1101,16,0),"")</f>
        <v>1j</v>
      </c>
      <c r="BF463" s="448" t="str">
        <f>_xlfn.IFNA(VLOOKUP($AP463,Programma!$F$3:$V$1101,17,0),"")</f>
        <v>_</v>
      </c>
      <c r="BG463" s="448" t="str">
        <f>_xlfn.IFNA(VLOOKUP($AP463,Programma!$F$3:$W$1101,18,0),"")</f>
        <v>_</v>
      </c>
      <c r="BH463" s="448" t="str">
        <f>_xlfn.IFNA(VLOOKUP($AP463,Programma!$F$3:$X$1101,19,0),"")</f>
        <v>_</v>
      </c>
      <c r="BI463" s="448" t="str">
        <f>_xlfn.IFNA(VLOOKUP($AP463,Programma!$F$3:$Y$1101,20,0),"")</f>
        <v>_</v>
      </c>
      <c r="BJ463" s="449"/>
      <c r="BK463" s="446" t="str">
        <f>IF(Ruimtestaat[[#This Row],[Frequentie weekend]]="","",_xlfn.CONCAT(Ruimtestaat[[#This Row],[Ruimte code]],"-",Ruimtestaat[[#This Row],[Frequentie weekend]]," ",Ruimtestaat[[#This Row],[Vloer code]]))</f>
        <v/>
      </c>
      <c r="BL463" s="448" t="str">
        <f>_xlfn.IFNA(VLOOKUP($BK463,Programma!$F$3:$G$1101,2,0),"")</f>
        <v/>
      </c>
      <c r="BM463" s="448" t="str">
        <f>_xlfn.IFNA(VLOOKUP($BK463,Programma!$F$3:$H$1101,3,0),"")</f>
        <v/>
      </c>
      <c r="BN463" s="448" t="str">
        <f>_xlfn.IFNA(VLOOKUP($BK463,Programma!$F$3:$I$1101,4,0),"")</f>
        <v/>
      </c>
      <c r="BO463" s="448" t="str">
        <f>_xlfn.IFNA(VLOOKUP($BK463,Programma!$F$3:$J$1101,5,0),"")</f>
        <v/>
      </c>
      <c r="BP463" s="448" t="str">
        <f>_xlfn.IFNA(VLOOKUP($BK463,Programma!$F$3:$K$1101,6,0),"")</f>
        <v/>
      </c>
      <c r="BQ463" s="448" t="str">
        <f>_xlfn.IFNA(VLOOKUP($BK463,Programma!$F$3:$L$1101,7,0),"")</f>
        <v/>
      </c>
      <c r="BR463" s="448" t="str">
        <f>_xlfn.IFNA(VLOOKUP($BK463,Programma!$F$3:$M$1101,8,0),"")</f>
        <v/>
      </c>
      <c r="BS463" s="448" t="str">
        <f>_xlfn.IFNA(VLOOKUP($BK463,Programma!$F$3:$N$1101,9,0),"")</f>
        <v/>
      </c>
      <c r="BT463" s="448" t="str">
        <f>_xlfn.IFNA(VLOOKUP($BK463,Programma!$F$3:$O$1101,10,0),"")</f>
        <v/>
      </c>
      <c r="BU463" s="448" t="str">
        <f>_xlfn.IFNA(VLOOKUP($BK463,Programma!$F$3:$P$1101,11,0),"")</f>
        <v/>
      </c>
      <c r="BV463" s="448" t="str">
        <f>_xlfn.IFNA(VLOOKUP($BK463,Programma!$F$3:$Q$1101,12,0),"")</f>
        <v/>
      </c>
      <c r="BW463" s="448" t="str">
        <f>_xlfn.IFNA(VLOOKUP($BK463,Programma!$F$3:$R$1101,13,0),"")</f>
        <v/>
      </c>
      <c r="BX463" s="448" t="str">
        <f>_xlfn.IFNA(VLOOKUP($BK463,Programma!$F$3:$S$1101,14,0),"")</f>
        <v/>
      </c>
      <c r="BY463" s="448" t="str">
        <f>_xlfn.IFNA(VLOOKUP($BK463,Programma!$F$3:$T$1101,15,0),"")</f>
        <v/>
      </c>
      <c r="BZ463" s="448" t="str">
        <f>_xlfn.IFNA(VLOOKUP($BK463,Programma!$F$3:$U$1101,16,0),"")</f>
        <v/>
      </c>
      <c r="CA463" s="448" t="str">
        <f>_xlfn.IFNA(VLOOKUP($BK463,Programma!$F$3:$V$1101,17,0),"")</f>
        <v/>
      </c>
      <c r="CB463" s="448" t="str">
        <f>_xlfn.IFNA(VLOOKUP($BK463,Programma!$F$3:$W$1101,18,0),"")</f>
        <v/>
      </c>
      <c r="CC463" s="448" t="str">
        <f>_xlfn.IFNA(VLOOKUP($BK463,Programma!$F$3:$X$1101,19,0),"")</f>
        <v/>
      </c>
      <c r="CD463" s="448" t="str">
        <f>_xlfn.IFNA(VLOOKUP($BK463,Programma!$F$3:$Y$1101,20,0),"")</f>
        <v/>
      </c>
    </row>
    <row r="464" spans="1:227" ht="15" customHeight="1">
      <c r="A464" s="362">
        <v>18</v>
      </c>
      <c r="B464" s="435" t="str">
        <f>VLOOKUP(Ruimtestaat[[#This Row],[Code]],Locaties[[Code]:[Locatie]],2,FALSE)</f>
        <v>IKC De Triangel</v>
      </c>
      <c r="C464" s="435" t="str">
        <f>VLOOKUP(Ruimtestaat[[#This Row],[Code]],Locaties[[#All],[Code]:[Adres]],4,FALSE)</f>
        <v>Vlasakker 33-35</v>
      </c>
      <c r="D464" s="435" t="str">
        <f>VLOOKUP(Ruimtestaat[[#This Row],[Code]],Locaties[[#All],[Code]:[Postcode]],5,FALSE)</f>
        <v>2723 TP</v>
      </c>
      <c r="E464" s="435" t="str">
        <f>VLOOKUP(Ruimtestaat[[#This Row],[Code]],Locaties[#All],6,FALSE)</f>
        <v>Zoetermeer</v>
      </c>
      <c r="F464" s="450"/>
      <c r="G464" s="330" t="s">
        <v>1678</v>
      </c>
      <c r="H464" s="330">
        <v>10</v>
      </c>
      <c r="I464" s="450" t="s">
        <v>1679</v>
      </c>
      <c r="J464" s="330">
        <v>16</v>
      </c>
      <c r="K464" s="450" t="str">
        <f>VLOOKUP(Ruimtestaat[[#This Row],[Ruimte code]],Ruimtegroepen[[#All],[Code]:[Ruimte omschrijving]],2,FALSE)</f>
        <v>Leslokalen</v>
      </c>
      <c r="L464" s="434" t="s">
        <v>100</v>
      </c>
      <c r="M464" s="437" t="s">
        <v>1759</v>
      </c>
      <c r="N464" s="439">
        <v>56.3</v>
      </c>
      <c r="O464" s="439"/>
      <c r="P464" s="439"/>
      <c r="Q464" s="439"/>
      <c r="R464" s="440" t="str">
        <f>VLOOKUP(Ruimtestaat[[#This Row],[Ruimte code]],Ruimtegroepen[],4,FALSE)</f>
        <v>Le</v>
      </c>
      <c r="S464" s="434">
        <v>40</v>
      </c>
      <c r="T464" s="434" t="s">
        <v>2</v>
      </c>
      <c r="U464" s="453">
        <f>IF(S464&gt;0,IF(RIGHT(Ruimtestaat[[#This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4" s="434">
        <f>IF(U464&gt;0,VLOOKUP($J464,Ruimtegroepen[],3,FALSE)*VLOOKUP($L464,Vloersoorten[],3,FALSE)*VLOOKUP($T464,Frequenties[],3,FALSE)*VLOOKUP($A464,Locaties[],3,FALSE),0)</f>
        <v>0</v>
      </c>
      <c r="W464" s="434">
        <f>Ruimtestaat[[#This Row],[Uitvoeringen werkdagen]]*Ruimtestaat[[#This Row],[Oppervlak (netto)]]</f>
        <v>11260</v>
      </c>
      <c r="X464" s="441">
        <f>IF(V464&gt;0,Ruimtestaat[[#This Row],[Prest. (m2 /jaar) werkdagen]]/Ruimtestaat[[#This Row],[Norm (m2/uur) werkdagen]],0)</f>
        <v>0</v>
      </c>
      <c r="Y464" s="442">
        <f>Ruimtestaat[[#This Row],[Uitvoeringen werkdagen]]*Ruimtestaat[[#This Row],[Gedeeltelijk]]</f>
        <v>0</v>
      </c>
      <c r="Z464" s="443" t="e">
        <f>IF(U464&gt;0,Ruimtestaat[[#This Row],[Prest. (m2 / jaar) werkdagen gedeeld]]/Ruimtestaat[[#This Row],[Norm (m2/uur) werkdagen]],0)</f>
        <v>#DIV/0!</v>
      </c>
      <c r="AA464" s="441" t="e">
        <f>Ruimtestaat[[#This Row],[uren / jaar werkdagen gedeeld]]*Tariefsopbouw!$E$35</f>
        <v>#DIV/0!</v>
      </c>
      <c r="AB464" s="441">
        <f>Ruimtestaat[[#This Row],[Uitvoeringen werkdagen]]*Ruimtestaat[[#This Row],[BSO]]</f>
        <v>0</v>
      </c>
      <c r="AC464" s="443" t="e">
        <f>IF(U464&gt;0,Ruimtestaat[[#This Row],[Prest. (m2 / jaar) werkdagen BSO]]/Ruimtestaat[[#This Row],[Norm (m2/uur) werkdagen]],0)</f>
        <v>#DIV/0!</v>
      </c>
      <c r="AD464" s="443" t="e">
        <f>Ruimtestaat[[#This Row],[uren / jaar werkdagen BSO]]*Tariefsopbouw!$E$35</f>
        <v>#DIV/0!</v>
      </c>
      <c r="AE464" s="444">
        <f>Ruimtestaat[[#This Row],[uren / jaar werkdagen]]*Tariefsopbouw!$E$35</f>
        <v>0</v>
      </c>
      <c r="AF464" s="454"/>
      <c r="AG464" s="455">
        <f>IF(Ruimtestaat[[#This Row],[Frequentie weekend]]&gt;0,VALUE(LEFT(AF464,1))*S464,0)</f>
        <v>0</v>
      </c>
      <c r="AH464" s="455">
        <f>IF($AG464&gt;0,VLOOKUP($J464,Ruimtegroepen[],3,FALSE)*VLOOKUP($L464,Vloersoorten[],3,FALSE)*VLOOKUP($AF464,Frequenties[],3,FALSE)*VLOOKUP(#REF!,Locaties[],3,FALSE),0)</f>
        <v>0</v>
      </c>
      <c r="AI464" s="434">
        <f>Ruimtestaat[[#This Row],[Uitvoeringen weekend]]*Ruimtestaat[[#This Row],[Oppervlak (netto)]]</f>
        <v>0</v>
      </c>
      <c r="AJ464" s="434">
        <f>IF(AH464&gt;0,Ruimtestaat[[#This Row],[Prest. (m2 /jaar) weekend]]/Ruimtestaat[[#This Row],[Norm (m2/uur) weekend]],0)</f>
        <v>0</v>
      </c>
      <c r="AK464" s="444">
        <f>Ruimtestaat[[#This Row],[uren / jaar weekend]]*Tariefsopbouw!$D$40</f>
        <v>0</v>
      </c>
      <c r="AL464" s="441">
        <f>Ruimtestaat[[#This Row],[Prest. (m2 /jaar) weekend]]+Ruimtestaat[[#This Row],[Prest. (m2 /jaar) werkdagen]]</f>
        <v>11260</v>
      </c>
      <c r="AM464" s="441">
        <f>Ruimtestaat[[#This Row],[uren / jaar weekend]]+Ruimtestaat[[#This Row],[uren / jaar werkdagen]]</f>
        <v>0</v>
      </c>
      <c r="AN464" s="446">
        <f>Ruimtestaat[[#This Row],[kosten / jaar weekend]]+Ruimtestaat[[#This Row],[kosten / jaar werkdagen]]</f>
        <v>0</v>
      </c>
      <c r="AO464" s="446"/>
      <c r="AP464" s="446" t="str">
        <f>IF(Ruimtestaat[[#This Row],[Frequentie werkdagen]]="","",_xlfn.CONCAT(Ruimtestaat[[#This Row],[Ruimte code]],"-",Ruimtestaat[[#This Row],[Frequentie werkdagen]]," ",Ruimtestaat[[#This Row],[Vloer code]]))</f>
        <v>16-5w L</v>
      </c>
      <c r="AQ464" s="448" t="str">
        <f>_xlfn.IFNA(VLOOKUP($AP464,Programma!$F$3:$G$1101,2,0),"")</f>
        <v>_</v>
      </c>
      <c r="AR464" s="448" t="str">
        <f>_xlfn.IFNA(VLOOKUP($AP464,Programma!$F$3:$H$1101,3,0),"")</f>
        <v>_</v>
      </c>
      <c r="AS464" s="448" t="str">
        <f>_xlfn.IFNA(VLOOKUP($AP464,Programma!$F$3:$I$1101,4,0),"")</f>
        <v>4w</v>
      </c>
      <c r="AT464" s="448" t="str">
        <f>_xlfn.IFNA(VLOOKUP($AP464,Programma!$F$3:$J$1101,5,0),"")</f>
        <v>1w</v>
      </c>
      <c r="AU464" s="448" t="str">
        <f>_xlfn.IFNA(VLOOKUP($AP464,Programma!$F$3:$K$1101,6,0),"")</f>
        <v>_</v>
      </c>
      <c r="AV464" s="448" t="str">
        <f>_xlfn.IFNA(VLOOKUP($AP464,Programma!$F$3:$L$1101,7,0),"")</f>
        <v>_</v>
      </c>
      <c r="AW464" s="448" t="str">
        <f>_xlfn.IFNA(VLOOKUP($AP464,Programma!$F$3:$M$1101,8,0),"")</f>
        <v>_</v>
      </c>
      <c r="AX464" s="448" t="str">
        <f>_xlfn.IFNA(VLOOKUP($AP464,Programma!$F$3:$N$1101,9,0),"")</f>
        <v>_</v>
      </c>
      <c r="AY464" s="448" t="str">
        <f>_xlfn.IFNA(VLOOKUP($AP464,Programma!$F$3:$O$1101,10,0),"")</f>
        <v>5w</v>
      </c>
      <c r="AZ464" s="448" t="str">
        <f>_xlfn.IFNA(VLOOKUP($AP464,Programma!$F$3:$P$1101,11,0),"")</f>
        <v>5w</v>
      </c>
      <c r="BA464" s="448" t="str">
        <f>_xlfn.IFNA(VLOOKUP($AP464,Programma!$F$3:$Q$1101,12,0),"")</f>
        <v>1w</v>
      </c>
      <c r="BB464" s="448" t="str">
        <f>_xlfn.IFNA(VLOOKUP($AP464,Programma!$F$3:$R$1101,13,0),"")</f>
        <v>1w</v>
      </c>
      <c r="BC464" s="448" t="str">
        <f>_xlfn.IFNA(VLOOKUP($AP464,Programma!$F$3:$S$1101,14,0),"")</f>
        <v>1m</v>
      </c>
      <c r="BD464" s="448" t="str">
        <f>_xlfn.IFNA(VLOOKUP($AP464,Programma!$F$3:$T$1101,15,0),"")</f>
        <v>2j</v>
      </c>
      <c r="BE464" s="448" t="str">
        <f>_xlfn.IFNA(VLOOKUP($AP464,Programma!$F$3:$U$1101,16,0),"")</f>
        <v>1j</v>
      </c>
      <c r="BF464" s="448" t="str">
        <f>_xlfn.IFNA(VLOOKUP($AP464,Programma!$F$3:$V$1101,17,0),"")</f>
        <v>_</v>
      </c>
      <c r="BG464" s="448" t="str">
        <f>_xlfn.IFNA(VLOOKUP($AP464,Programma!$F$3:$W$1101,18,0),"")</f>
        <v>_</v>
      </c>
      <c r="BH464" s="448" t="str">
        <f>_xlfn.IFNA(VLOOKUP($AP464,Programma!$F$3:$X$1101,19,0),"")</f>
        <v>_</v>
      </c>
      <c r="BI464" s="448" t="str">
        <f>_xlfn.IFNA(VLOOKUP($AP464,Programma!$F$3:$Y$1101,20,0),"")</f>
        <v>_</v>
      </c>
      <c r="BJ464" s="449"/>
      <c r="BK464" s="446" t="str">
        <f>IF(Ruimtestaat[[#This Row],[Frequentie weekend]]="","",_xlfn.CONCAT(Ruimtestaat[[#This Row],[Ruimte code]],"-",Ruimtestaat[[#This Row],[Frequentie weekend]]," ",Ruimtestaat[[#This Row],[Vloer code]]))</f>
        <v/>
      </c>
      <c r="BL464" s="448" t="str">
        <f>_xlfn.IFNA(VLOOKUP($BK464,Programma!$F$3:$G$1101,2,0),"")</f>
        <v/>
      </c>
      <c r="BM464" s="448" t="str">
        <f>_xlfn.IFNA(VLOOKUP($BK464,Programma!$F$3:$H$1101,3,0),"")</f>
        <v/>
      </c>
      <c r="BN464" s="448" t="str">
        <f>_xlfn.IFNA(VLOOKUP($BK464,Programma!$F$3:$I$1101,4,0),"")</f>
        <v/>
      </c>
      <c r="BO464" s="448" t="str">
        <f>_xlfn.IFNA(VLOOKUP($BK464,Programma!$F$3:$J$1101,5,0),"")</f>
        <v/>
      </c>
      <c r="BP464" s="448" t="str">
        <f>_xlfn.IFNA(VLOOKUP($BK464,Programma!$F$3:$K$1101,6,0),"")</f>
        <v/>
      </c>
      <c r="BQ464" s="448" t="str">
        <f>_xlfn.IFNA(VLOOKUP($BK464,Programma!$F$3:$L$1101,7,0),"")</f>
        <v/>
      </c>
      <c r="BR464" s="448" t="str">
        <f>_xlfn.IFNA(VLOOKUP($BK464,Programma!$F$3:$M$1101,8,0),"")</f>
        <v/>
      </c>
      <c r="BS464" s="448" t="str">
        <f>_xlfn.IFNA(VLOOKUP($BK464,Programma!$F$3:$N$1101,9,0),"")</f>
        <v/>
      </c>
      <c r="BT464" s="448" t="str">
        <f>_xlfn.IFNA(VLOOKUP($BK464,Programma!$F$3:$O$1101,10,0),"")</f>
        <v/>
      </c>
      <c r="BU464" s="448" t="str">
        <f>_xlfn.IFNA(VLOOKUP($BK464,Programma!$F$3:$P$1101,11,0),"")</f>
        <v/>
      </c>
      <c r="BV464" s="448" t="str">
        <f>_xlfn.IFNA(VLOOKUP($BK464,Programma!$F$3:$Q$1101,12,0),"")</f>
        <v/>
      </c>
      <c r="BW464" s="448" t="str">
        <f>_xlfn.IFNA(VLOOKUP($BK464,Programma!$F$3:$R$1101,13,0),"")</f>
        <v/>
      </c>
      <c r="BX464" s="448" t="str">
        <f>_xlfn.IFNA(VLOOKUP($BK464,Programma!$F$3:$S$1101,14,0),"")</f>
        <v/>
      </c>
      <c r="BY464" s="448" t="str">
        <f>_xlfn.IFNA(VLOOKUP($BK464,Programma!$F$3:$T$1101,15,0),"")</f>
        <v/>
      </c>
      <c r="BZ464" s="448" t="str">
        <f>_xlfn.IFNA(VLOOKUP($BK464,Programma!$F$3:$U$1101,16,0),"")</f>
        <v/>
      </c>
      <c r="CA464" s="448" t="str">
        <f>_xlfn.IFNA(VLOOKUP($BK464,Programma!$F$3:$V$1101,17,0),"")</f>
        <v/>
      </c>
      <c r="CB464" s="448" t="str">
        <f>_xlfn.IFNA(VLOOKUP($BK464,Programma!$F$3:$W$1101,18,0),"")</f>
        <v/>
      </c>
      <c r="CC464" s="448" t="str">
        <f>_xlfn.IFNA(VLOOKUP($BK464,Programma!$F$3:$X$1101,19,0),"")</f>
        <v/>
      </c>
      <c r="CD464" s="448" t="str">
        <f>_xlfn.IFNA(VLOOKUP($BK464,Programma!$F$3:$Y$1101,20,0),"")</f>
        <v/>
      </c>
    </row>
    <row r="465" spans="1:82" ht="15" customHeight="1">
      <c r="A465" s="362">
        <v>18</v>
      </c>
      <c r="B465" s="435" t="str">
        <f>VLOOKUP(Ruimtestaat[[#This Row],[Code]],Locaties[[Code]:[Locatie]],2,FALSE)</f>
        <v>IKC De Triangel</v>
      </c>
      <c r="C465" s="435" t="str">
        <f>VLOOKUP(Ruimtestaat[[#This Row],[Code]],Locaties[[#All],[Code]:[Adres]],4,FALSE)</f>
        <v>Vlasakker 33-35</v>
      </c>
      <c r="D465" s="435" t="str">
        <f>VLOOKUP(Ruimtestaat[[#This Row],[Code]],Locaties[[#All],[Code]:[Postcode]],5,FALSE)</f>
        <v>2723 TP</v>
      </c>
      <c r="E465" s="435" t="str">
        <f>VLOOKUP(Ruimtestaat[[#This Row],[Code]],Locaties[#All],6,FALSE)</f>
        <v>Zoetermeer</v>
      </c>
      <c r="F465" s="450"/>
      <c r="G465" s="330" t="s">
        <v>1678</v>
      </c>
      <c r="H465" s="330">
        <v>11</v>
      </c>
      <c r="I465" s="450" t="s">
        <v>1679</v>
      </c>
      <c r="J465" s="330">
        <v>16</v>
      </c>
      <c r="K465" s="450" t="str">
        <f>VLOOKUP(Ruimtestaat[[#This Row],[Ruimte code]],Ruimtegroepen[[#All],[Code]:[Ruimte omschrijving]],2,FALSE)</f>
        <v>Leslokalen</v>
      </c>
      <c r="L465" s="434" t="s">
        <v>100</v>
      </c>
      <c r="M465" s="437" t="s">
        <v>1759</v>
      </c>
      <c r="N465" s="439">
        <v>56.3</v>
      </c>
      <c r="O465" s="439"/>
      <c r="P465" s="439"/>
      <c r="Q465" s="439"/>
      <c r="R465" s="440" t="str">
        <f>VLOOKUP(Ruimtestaat[[#This Row],[Ruimte code]],Ruimtegroepen[],4,FALSE)</f>
        <v>Le</v>
      </c>
      <c r="S465" s="434">
        <v>40</v>
      </c>
      <c r="T465" s="434" t="s">
        <v>2</v>
      </c>
      <c r="U465" s="453">
        <f>IF(S465&gt;0,IF(RIGHT(Ruimtestaat[[#This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5" s="434">
        <f>IF(U465&gt;0,VLOOKUP($J465,Ruimtegroepen[],3,FALSE)*VLOOKUP($L465,Vloersoorten[],3,FALSE)*VLOOKUP($T465,Frequenties[],3,FALSE)*VLOOKUP($A465,Locaties[],3,FALSE),0)</f>
        <v>0</v>
      </c>
      <c r="W465" s="434">
        <f>Ruimtestaat[[#This Row],[Uitvoeringen werkdagen]]*Ruimtestaat[[#This Row],[Oppervlak (netto)]]</f>
        <v>11260</v>
      </c>
      <c r="X465" s="441">
        <f>IF(V465&gt;0,Ruimtestaat[[#This Row],[Prest. (m2 /jaar) werkdagen]]/Ruimtestaat[[#This Row],[Norm (m2/uur) werkdagen]],0)</f>
        <v>0</v>
      </c>
      <c r="Y465" s="442">
        <f>Ruimtestaat[[#This Row],[Uitvoeringen werkdagen]]*Ruimtestaat[[#This Row],[Gedeeltelijk]]</f>
        <v>0</v>
      </c>
      <c r="Z465" s="443" t="e">
        <f>IF(U465&gt;0,Ruimtestaat[[#This Row],[Prest. (m2 / jaar) werkdagen gedeeld]]/Ruimtestaat[[#This Row],[Norm (m2/uur) werkdagen]],0)</f>
        <v>#DIV/0!</v>
      </c>
      <c r="AA465" s="441" t="e">
        <f>Ruimtestaat[[#This Row],[uren / jaar werkdagen gedeeld]]*Tariefsopbouw!$E$35</f>
        <v>#DIV/0!</v>
      </c>
      <c r="AB465" s="441">
        <f>Ruimtestaat[[#This Row],[Uitvoeringen werkdagen]]*Ruimtestaat[[#This Row],[BSO]]</f>
        <v>0</v>
      </c>
      <c r="AC465" s="443" t="e">
        <f>IF(U465&gt;0,Ruimtestaat[[#This Row],[Prest. (m2 / jaar) werkdagen BSO]]/Ruimtestaat[[#This Row],[Norm (m2/uur) werkdagen]],0)</f>
        <v>#DIV/0!</v>
      </c>
      <c r="AD465" s="443" t="e">
        <f>Ruimtestaat[[#This Row],[uren / jaar werkdagen BSO]]*Tariefsopbouw!$E$35</f>
        <v>#DIV/0!</v>
      </c>
      <c r="AE465" s="444">
        <f>Ruimtestaat[[#This Row],[uren / jaar werkdagen]]*Tariefsopbouw!$E$35</f>
        <v>0</v>
      </c>
      <c r="AF465" s="454"/>
      <c r="AG465" s="455">
        <f>IF(Ruimtestaat[[#This Row],[Frequentie weekend]]&gt;0,VALUE(LEFT(AF465,1))*S465,0)</f>
        <v>0</v>
      </c>
      <c r="AH465" s="455">
        <f>IF($AG465&gt;0,VLOOKUP($J465,Ruimtegroepen[],3,FALSE)*VLOOKUP($L465,Vloersoorten[],3,FALSE)*VLOOKUP($AF465,Frequenties[],3,FALSE)*VLOOKUP(#REF!,Locaties[],3,FALSE),0)</f>
        <v>0</v>
      </c>
      <c r="AI465" s="434">
        <f>Ruimtestaat[[#This Row],[Uitvoeringen weekend]]*Ruimtestaat[[#This Row],[Oppervlak (netto)]]</f>
        <v>0</v>
      </c>
      <c r="AJ465" s="434">
        <f>IF(AH465&gt;0,Ruimtestaat[[#This Row],[Prest. (m2 /jaar) weekend]]/Ruimtestaat[[#This Row],[Norm (m2/uur) weekend]],0)</f>
        <v>0</v>
      </c>
      <c r="AK465" s="444">
        <f>Ruimtestaat[[#This Row],[uren / jaar weekend]]*Tariefsopbouw!$D$40</f>
        <v>0</v>
      </c>
      <c r="AL465" s="441">
        <f>Ruimtestaat[[#This Row],[Prest. (m2 /jaar) weekend]]+Ruimtestaat[[#This Row],[Prest. (m2 /jaar) werkdagen]]</f>
        <v>11260</v>
      </c>
      <c r="AM465" s="441">
        <f>Ruimtestaat[[#This Row],[uren / jaar weekend]]+Ruimtestaat[[#This Row],[uren / jaar werkdagen]]</f>
        <v>0</v>
      </c>
      <c r="AN465" s="446">
        <f>Ruimtestaat[[#This Row],[kosten / jaar weekend]]+Ruimtestaat[[#This Row],[kosten / jaar werkdagen]]</f>
        <v>0</v>
      </c>
      <c r="AO465" s="446"/>
      <c r="AP465" s="446" t="str">
        <f>IF(Ruimtestaat[[#This Row],[Frequentie werkdagen]]="","",_xlfn.CONCAT(Ruimtestaat[[#This Row],[Ruimte code]],"-",Ruimtestaat[[#This Row],[Frequentie werkdagen]]," ",Ruimtestaat[[#This Row],[Vloer code]]))</f>
        <v>16-5w L</v>
      </c>
      <c r="AQ465" s="448" t="str">
        <f>_xlfn.IFNA(VLOOKUP($AP465,Programma!$F$3:$G$1101,2,0),"")</f>
        <v>_</v>
      </c>
      <c r="AR465" s="448" t="str">
        <f>_xlfn.IFNA(VLOOKUP($AP465,Programma!$F$3:$H$1101,3,0),"")</f>
        <v>_</v>
      </c>
      <c r="AS465" s="448" t="str">
        <f>_xlfn.IFNA(VLOOKUP($AP465,Programma!$F$3:$I$1101,4,0),"")</f>
        <v>4w</v>
      </c>
      <c r="AT465" s="448" t="str">
        <f>_xlfn.IFNA(VLOOKUP($AP465,Programma!$F$3:$J$1101,5,0),"")</f>
        <v>1w</v>
      </c>
      <c r="AU465" s="448" t="str">
        <f>_xlfn.IFNA(VLOOKUP($AP465,Programma!$F$3:$K$1101,6,0),"")</f>
        <v>_</v>
      </c>
      <c r="AV465" s="448" t="str">
        <f>_xlfn.IFNA(VLOOKUP($AP465,Programma!$F$3:$L$1101,7,0),"")</f>
        <v>_</v>
      </c>
      <c r="AW465" s="448" t="str">
        <f>_xlfn.IFNA(VLOOKUP($AP465,Programma!$F$3:$M$1101,8,0),"")</f>
        <v>_</v>
      </c>
      <c r="AX465" s="448" t="str">
        <f>_xlfn.IFNA(VLOOKUP($AP465,Programma!$F$3:$N$1101,9,0),"")</f>
        <v>_</v>
      </c>
      <c r="AY465" s="448" t="str">
        <f>_xlfn.IFNA(VLOOKUP($AP465,Programma!$F$3:$O$1101,10,0),"")</f>
        <v>5w</v>
      </c>
      <c r="AZ465" s="448" t="str">
        <f>_xlfn.IFNA(VLOOKUP($AP465,Programma!$F$3:$P$1101,11,0),"")</f>
        <v>5w</v>
      </c>
      <c r="BA465" s="448" t="str">
        <f>_xlfn.IFNA(VLOOKUP($AP465,Programma!$F$3:$Q$1101,12,0),"")</f>
        <v>1w</v>
      </c>
      <c r="BB465" s="448" t="str">
        <f>_xlfn.IFNA(VLOOKUP($AP465,Programma!$F$3:$R$1101,13,0),"")</f>
        <v>1w</v>
      </c>
      <c r="BC465" s="448" t="str">
        <f>_xlfn.IFNA(VLOOKUP($AP465,Programma!$F$3:$S$1101,14,0),"")</f>
        <v>1m</v>
      </c>
      <c r="BD465" s="448" t="str">
        <f>_xlfn.IFNA(VLOOKUP($AP465,Programma!$F$3:$T$1101,15,0),"")</f>
        <v>2j</v>
      </c>
      <c r="BE465" s="448" t="str">
        <f>_xlfn.IFNA(VLOOKUP($AP465,Programma!$F$3:$U$1101,16,0),"")</f>
        <v>1j</v>
      </c>
      <c r="BF465" s="448" t="str">
        <f>_xlfn.IFNA(VLOOKUP($AP465,Programma!$F$3:$V$1101,17,0),"")</f>
        <v>_</v>
      </c>
      <c r="BG465" s="448" t="str">
        <f>_xlfn.IFNA(VLOOKUP($AP465,Programma!$F$3:$W$1101,18,0),"")</f>
        <v>_</v>
      </c>
      <c r="BH465" s="448" t="str">
        <f>_xlfn.IFNA(VLOOKUP($AP465,Programma!$F$3:$X$1101,19,0),"")</f>
        <v>_</v>
      </c>
      <c r="BI465" s="448" t="str">
        <f>_xlfn.IFNA(VLOOKUP($AP465,Programma!$F$3:$Y$1101,20,0),"")</f>
        <v>_</v>
      </c>
      <c r="BJ465" s="449"/>
      <c r="BK465" s="446" t="str">
        <f>IF(Ruimtestaat[[#This Row],[Frequentie weekend]]="","",_xlfn.CONCAT(Ruimtestaat[[#This Row],[Ruimte code]],"-",Ruimtestaat[[#This Row],[Frequentie weekend]]," ",Ruimtestaat[[#This Row],[Vloer code]]))</f>
        <v/>
      </c>
      <c r="BL465" s="448" t="str">
        <f>_xlfn.IFNA(VLOOKUP($BK465,Programma!$F$3:$G$1101,2,0),"")</f>
        <v/>
      </c>
      <c r="BM465" s="448" t="str">
        <f>_xlfn.IFNA(VLOOKUP($BK465,Programma!$F$3:$H$1101,3,0),"")</f>
        <v/>
      </c>
      <c r="BN465" s="448" t="str">
        <f>_xlfn.IFNA(VLOOKUP($BK465,Programma!$F$3:$I$1101,4,0),"")</f>
        <v/>
      </c>
      <c r="BO465" s="448" t="str">
        <f>_xlfn.IFNA(VLOOKUP($BK465,Programma!$F$3:$J$1101,5,0),"")</f>
        <v/>
      </c>
      <c r="BP465" s="448" t="str">
        <f>_xlfn.IFNA(VLOOKUP($BK465,Programma!$F$3:$K$1101,6,0),"")</f>
        <v/>
      </c>
      <c r="BQ465" s="448" t="str">
        <f>_xlfn.IFNA(VLOOKUP($BK465,Programma!$F$3:$L$1101,7,0),"")</f>
        <v/>
      </c>
      <c r="BR465" s="448" t="str">
        <f>_xlfn.IFNA(VLOOKUP($BK465,Programma!$F$3:$M$1101,8,0),"")</f>
        <v/>
      </c>
      <c r="BS465" s="448" t="str">
        <f>_xlfn.IFNA(VLOOKUP($BK465,Programma!$F$3:$N$1101,9,0),"")</f>
        <v/>
      </c>
      <c r="BT465" s="448" t="str">
        <f>_xlfn.IFNA(VLOOKUP($BK465,Programma!$F$3:$O$1101,10,0),"")</f>
        <v/>
      </c>
      <c r="BU465" s="448" t="str">
        <f>_xlfn.IFNA(VLOOKUP($BK465,Programma!$F$3:$P$1101,11,0),"")</f>
        <v/>
      </c>
      <c r="BV465" s="448" t="str">
        <f>_xlfn.IFNA(VLOOKUP($BK465,Programma!$F$3:$Q$1101,12,0),"")</f>
        <v/>
      </c>
      <c r="BW465" s="448" t="str">
        <f>_xlfn.IFNA(VLOOKUP($BK465,Programma!$F$3:$R$1101,13,0),"")</f>
        <v/>
      </c>
      <c r="BX465" s="448" t="str">
        <f>_xlfn.IFNA(VLOOKUP($BK465,Programma!$F$3:$S$1101,14,0),"")</f>
        <v/>
      </c>
      <c r="BY465" s="448" t="str">
        <f>_xlfn.IFNA(VLOOKUP($BK465,Programma!$F$3:$T$1101,15,0),"")</f>
        <v/>
      </c>
      <c r="BZ465" s="448" t="str">
        <f>_xlfn.IFNA(VLOOKUP($BK465,Programma!$F$3:$U$1101,16,0),"")</f>
        <v/>
      </c>
      <c r="CA465" s="448" t="str">
        <f>_xlfn.IFNA(VLOOKUP($BK465,Programma!$F$3:$V$1101,17,0),"")</f>
        <v/>
      </c>
      <c r="CB465" s="448" t="str">
        <f>_xlfn.IFNA(VLOOKUP($BK465,Programma!$F$3:$W$1101,18,0),"")</f>
        <v/>
      </c>
      <c r="CC465" s="448" t="str">
        <f>_xlfn.IFNA(VLOOKUP($BK465,Programma!$F$3:$X$1101,19,0),"")</f>
        <v/>
      </c>
      <c r="CD465" s="448" t="str">
        <f>_xlfn.IFNA(VLOOKUP($BK465,Programma!$F$3:$Y$1101,20,0),"")</f>
        <v/>
      </c>
    </row>
    <row r="466" spans="1:82" ht="15" customHeight="1">
      <c r="A466" s="362">
        <v>18</v>
      </c>
      <c r="B466" s="435" t="str">
        <f>VLOOKUP(Ruimtestaat[[#This Row],[Code]],Locaties[[Code]:[Locatie]],2,FALSE)</f>
        <v>IKC De Triangel</v>
      </c>
      <c r="C466" s="435" t="str">
        <f>VLOOKUP(Ruimtestaat[[#This Row],[Code]],Locaties[[#All],[Code]:[Adres]],4,FALSE)</f>
        <v>Vlasakker 33-35</v>
      </c>
      <c r="D466" s="435" t="str">
        <f>VLOOKUP(Ruimtestaat[[#This Row],[Code]],Locaties[[#All],[Code]:[Postcode]],5,FALSE)</f>
        <v>2723 TP</v>
      </c>
      <c r="E466" s="435" t="str">
        <f>VLOOKUP(Ruimtestaat[[#This Row],[Code]],Locaties[#All],6,FALSE)</f>
        <v>Zoetermeer</v>
      </c>
      <c r="F466" s="450"/>
      <c r="G466" s="330" t="s">
        <v>1678</v>
      </c>
      <c r="H466" s="330">
        <v>12</v>
      </c>
      <c r="I466" s="450" t="s">
        <v>1679</v>
      </c>
      <c r="J466" s="330">
        <v>16</v>
      </c>
      <c r="K466" s="450" t="str">
        <f>VLOOKUP(Ruimtestaat[[#This Row],[Ruimte code]],Ruimtegroepen[[#All],[Code]:[Ruimte omschrijving]],2,FALSE)</f>
        <v>Leslokalen</v>
      </c>
      <c r="L466" s="434" t="s">
        <v>100</v>
      </c>
      <c r="M466" s="437" t="s">
        <v>1759</v>
      </c>
      <c r="N466" s="439">
        <v>63.3</v>
      </c>
      <c r="O466" s="439"/>
      <c r="P466" s="439"/>
      <c r="Q466" s="439"/>
      <c r="R466" s="440" t="str">
        <f>VLOOKUP(Ruimtestaat[[#This Row],[Ruimte code]],Ruimtegroepen[],4,FALSE)</f>
        <v>Le</v>
      </c>
      <c r="S466" s="434">
        <v>40</v>
      </c>
      <c r="T466" s="434" t="s">
        <v>2</v>
      </c>
      <c r="U466" s="453">
        <f>IF(S466&gt;0,IF(RIGHT(Ruimtestaat[[#This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6" s="434">
        <f>IF(U466&gt;0,VLOOKUP($J466,Ruimtegroepen[],3,FALSE)*VLOOKUP($L466,Vloersoorten[],3,FALSE)*VLOOKUP($T466,Frequenties[],3,FALSE)*VLOOKUP($A466,Locaties[],3,FALSE),0)</f>
        <v>0</v>
      </c>
      <c r="W466" s="434">
        <f>Ruimtestaat[[#This Row],[Uitvoeringen werkdagen]]*Ruimtestaat[[#This Row],[Oppervlak (netto)]]</f>
        <v>12660</v>
      </c>
      <c r="X466" s="441">
        <f>IF(V466&gt;0,Ruimtestaat[[#This Row],[Prest. (m2 /jaar) werkdagen]]/Ruimtestaat[[#This Row],[Norm (m2/uur) werkdagen]],0)</f>
        <v>0</v>
      </c>
      <c r="Y466" s="442">
        <f>Ruimtestaat[[#This Row],[Uitvoeringen werkdagen]]*Ruimtestaat[[#This Row],[Gedeeltelijk]]</f>
        <v>0</v>
      </c>
      <c r="Z466" s="443" t="e">
        <f>IF(U466&gt;0,Ruimtestaat[[#This Row],[Prest. (m2 / jaar) werkdagen gedeeld]]/Ruimtestaat[[#This Row],[Norm (m2/uur) werkdagen]],0)</f>
        <v>#DIV/0!</v>
      </c>
      <c r="AA466" s="441" t="e">
        <f>Ruimtestaat[[#This Row],[uren / jaar werkdagen gedeeld]]*Tariefsopbouw!$E$35</f>
        <v>#DIV/0!</v>
      </c>
      <c r="AB466" s="441">
        <f>Ruimtestaat[[#This Row],[Uitvoeringen werkdagen]]*Ruimtestaat[[#This Row],[BSO]]</f>
        <v>0</v>
      </c>
      <c r="AC466" s="443" t="e">
        <f>IF(U466&gt;0,Ruimtestaat[[#This Row],[Prest. (m2 / jaar) werkdagen BSO]]/Ruimtestaat[[#This Row],[Norm (m2/uur) werkdagen]],0)</f>
        <v>#DIV/0!</v>
      </c>
      <c r="AD466" s="443" t="e">
        <f>Ruimtestaat[[#This Row],[uren / jaar werkdagen BSO]]*Tariefsopbouw!$E$35</f>
        <v>#DIV/0!</v>
      </c>
      <c r="AE466" s="444">
        <f>Ruimtestaat[[#This Row],[uren / jaar werkdagen]]*Tariefsopbouw!$E$35</f>
        <v>0</v>
      </c>
      <c r="AF466" s="454"/>
      <c r="AG466" s="455">
        <f>IF(Ruimtestaat[[#This Row],[Frequentie weekend]]&gt;0,VALUE(LEFT(AF466,1))*S466,0)</f>
        <v>0</v>
      </c>
      <c r="AH466" s="455">
        <f>IF($AG466&gt;0,VLOOKUP($J466,Ruimtegroepen[],3,FALSE)*VLOOKUP($L466,Vloersoorten[],3,FALSE)*VLOOKUP($AF466,Frequenties[],3,FALSE)*VLOOKUP(#REF!,Locaties[],3,FALSE),0)</f>
        <v>0</v>
      </c>
      <c r="AI466" s="434">
        <f>Ruimtestaat[[#This Row],[Uitvoeringen weekend]]*Ruimtestaat[[#This Row],[Oppervlak (netto)]]</f>
        <v>0</v>
      </c>
      <c r="AJ466" s="434">
        <f>IF(AH466&gt;0,Ruimtestaat[[#This Row],[Prest. (m2 /jaar) weekend]]/Ruimtestaat[[#This Row],[Norm (m2/uur) weekend]],0)</f>
        <v>0</v>
      </c>
      <c r="AK466" s="444">
        <f>Ruimtestaat[[#This Row],[uren / jaar weekend]]*Tariefsopbouw!$D$40</f>
        <v>0</v>
      </c>
      <c r="AL466" s="441">
        <f>Ruimtestaat[[#This Row],[Prest. (m2 /jaar) weekend]]+Ruimtestaat[[#This Row],[Prest. (m2 /jaar) werkdagen]]</f>
        <v>12660</v>
      </c>
      <c r="AM466" s="441">
        <f>Ruimtestaat[[#This Row],[uren / jaar weekend]]+Ruimtestaat[[#This Row],[uren / jaar werkdagen]]</f>
        <v>0</v>
      </c>
      <c r="AN466" s="446">
        <f>Ruimtestaat[[#This Row],[kosten / jaar weekend]]+Ruimtestaat[[#This Row],[kosten / jaar werkdagen]]</f>
        <v>0</v>
      </c>
      <c r="AO466" s="446"/>
      <c r="AP466" s="446" t="str">
        <f>IF(Ruimtestaat[[#This Row],[Frequentie werkdagen]]="","",_xlfn.CONCAT(Ruimtestaat[[#This Row],[Ruimte code]],"-",Ruimtestaat[[#This Row],[Frequentie werkdagen]]," ",Ruimtestaat[[#This Row],[Vloer code]]))</f>
        <v>16-5w L</v>
      </c>
      <c r="AQ466" s="448" t="str">
        <f>_xlfn.IFNA(VLOOKUP($AP466,Programma!$F$3:$G$1101,2,0),"")</f>
        <v>_</v>
      </c>
      <c r="AR466" s="448" t="str">
        <f>_xlfn.IFNA(VLOOKUP($AP466,Programma!$F$3:$H$1101,3,0),"")</f>
        <v>_</v>
      </c>
      <c r="AS466" s="448" t="str">
        <f>_xlfn.IFNA(VLOOKUP($AP466,Programma!$F$3:$I$1101,4,0),"")</f>
        <v>4w</v>
      </c>
      <c r="AT466" s="448" t="str">
        <f>_xlfn.IFNA(VLOOKUP($AP466,Programma!$F$3:$J$1101,5,0),"")</f>
        <v>1w</v>
      </c>
      <c r="AU466" s="448" t="str">
        <f>_xlfn.IFNA(VLOOKUP($AP466,Programma!$F$3:$K$1101,6,0),"")</f>
        <v>_</v>
      </c>
      <c r="AV466" s="448" t="str">
        <f>_xlfn.IFNA(VLOOKUP($AP466,Programma!$F$3:$L$1101,7,0),"")</f>
        <v>_</v>
      </c>
      <c r="AW466" s="448" t="str">
        <f>_xlfn.IFNA(VLOOKUP($AP466,Programma!$F$3:$M$1101,8,0),"")</f>
        <v>_</v>
      </c>
      <c r="AX466" s="448" t="str">
        <f>_xlfn.IFNA(VLOOKUP($AP466,Programma!$F$3:$N$1101,9,0),"")</f>
        <v>_</v>
      </c>
      <c r="AY466" s="448" t="str">
        <f>_xlfn.IFNA(VLOOKUP($AP466,Programma!$F$3:$O$1101,10,0),"")</f>
        <v>5w</v>
      </c>
      <c r="AZ466" s="448" t="str">
        <f>_xlfn.IFNA(VLOOKUP($AP466,Programma!$F$3:$P$1101,11,0),"")</f>
        <v>5w</v>
      </c>
      <c r="BA466" s="448" t="str">
        <f>_xlfn.IFNA(VLOOKUP($AP466,Programma!$F$3:$Q$1101,12,0),"")</f>
        <v>1w</v>
      </c>
      <c r="BB466" s="448" t="str">
        <f>_xlfn.IFNA(VLOOKUP($AP466,Programma!$F$3:$R$1101,13,0),"")</f>
        <v>1w</v>
      </c>
      <c r="BC466" s="448" t="str">
        <f>_xlfn.IFNA(VLOOKUP($AP466,Programma!$F$3:$S$1101,14,0),"")</f>
        <v>1m</v>
      </c>
      <c r="BD466" s="448" t="str">
        <f>_xlfn.IFNA(VLOOKUP($AP466,Programma!$F$3:$T$1101,15,0),"")</f>
        <v>2j</v>
      </c>
      <c r="BE466" s="448" t="str">
        <f>_xlfn.IFNA(VLOOKUP($AP466,Programma!$F$3:$U$1101,16,0),"")</f>
        <v>1j</v>
      </c>
      <c r="BF466" s="448" t="str">
        <f>_xlfn.IFNA(VLOOKUP($AP466,Programma!$F$3:$V$1101,17,0),"")</f>
        <v>_</v>
      </c>
      <c r="BG466" s="448" t="str">
        <f>_xlfn.IFNA(VLOOKUP($AP466,Programma!$F$3:$W$1101,18,0),"")</f>
        <v>_</v>
      </c>
      <c r="BH466" s="448" t="str">
        <f>_xlfn.IFNA(VLOOKUP($AP466,Programma!$F$3:$X$1101,19,0),"")</f>
        <v>_</v>
      </c>
      <c r="BI466" s="448" t="str">
        <f>_xlfn.IFNA(VLOOKUP($AP466,Programma!$F$3:$Y$1101,20,0),"")</f>
        <v>_</v>
      </c>
      <c r="BJ466" s="449"/>
      <c r="BK466" s="446" t="str">
        <f>IF(Ruimtestaat[[#This Row],[Frequentie weekend]]="","",_xlfn.CONCAT(Ruimtestaat[[#This Row],[Ruimte code]],"-",Ruimtestaat[[#This Row],[Frequentie weekend]]," ",Ruimtestaat[[#This Row],[Vloer code]]))</f>
        <v/>
      </c>
      <c r="BL466" s="448" t="str">
        <f>_xlfn.IFNA(VLOOKUP($BK466,Programma!$F$3:$G$1101,2,0),"")</f>
        <v/>
      </c>
      <c r="BM466" s="448" t="str">
        <f>_xlfn.IFNA(VLOOKUP($BK466,Programma!$F$3:$H$1101,3,0),"")</f>
        <v/>
      </c>
      <c r="BN466" s="448" t="str">
        <f>_xlfn.IFNA(VLOOKUP($BK466,Programma!$F$3:$I$1101,4,0),"")</f>
        <v/>
      </c>
      <c r="BO466" s="448" t="str">
        <f>_xlfn.IFNA(VLOOKUP($BK466,Programma!$F$3:$J$1101,5,0),"")</f>
        <v/>
      </c>
      <c r="BP466" s="448" t="str">
        <f>_xlfn.IFNA(VLOOKUP($BK466,Programma!$F$3:$K$1101,6,0),"")</f>
        <v/>
      </c>
      <c r="BQ466" s="448" t="str">
        <f>_xlfn.IFNA(VLOOKUP($BK466,Programma!$F$3:$L$1101,7,0),"")</f>
        <v/>
      </c>
      <c r="BR466" s="448" t="str">
        <f>_xlfn.IFNA(VLOOKUP($BK466,Programma!$F$3:$M$1101,8,0),"")</f>
        <v/>
      </c>
      <c r="BS466" s="448" t="str">
        <f>_xlfn.IFNA(VLOOKUP($BK466,Programma!$F$3:$N$1101,9,0),"")</f>
        <v/>
      </c>
      <c r="BT466" s="448" t="str">
        <f>_xlfn.IFNA(VLOOKUP($BK466,Programma!$F$3:$O$1101,10,0),"")</f>
        <v/>
      </c>
      <c r="BU466" s="448" t="str">
        <f>_xlfn.IFNA(VLOOKUP($BK466,Programma!$F$3:$P$1101,11,0),"")</f>
        <v/>
      </c>
      <c r="BV466" s="448" t="str">
        <f>_xlfn.IFNA(VLOOKUP($BK466,Programma!$F$3:$Q$1101,12,0),"")</f>
        <v/>
      </c>
      <c r="BW466" s="448" t="str">
        <f>_xlfn.IFNA(VLOOKUP($BK466,Programma!$F$3:$R$1101,13,0),"")</f>
        <v/>
      </c>
      <c r="BX466" s="448" t="str">
        <f>_xlfn.IFNA(VLOOKUP($BK466,Programma!$F$3:$S$1101,14,0),"")</f>
        <v/>
      </c>
      <c r="BY466" s="448" t="str">
        <f>_xlfn.IFNA(VLOOKUP($BK466,Programma!$F$3:$T$1101,15,0),"")</f>
        <v/>
      </c>
      <c r="BZ466" s="448" t="str">
        <f>_xlfn.IFNA(VLOOKUP($BK466,Programma!$F$3:$U$1101,16,0),"")</f>
        <v/>
      </c>
      <c r="CA466" s="448" t="str">
        <f>_xlfn.IFNA(VLOOKUP($BK466,Programma!$F$3:$V$1101,17,0),"")</f>
        <v/>
      </c>
      <c r="CB466" s="448" t="str">
        <f>_xlfn.IFNA(VLOOKUP($BK466,Programma!$F$3:$W$1101,18,0),"")</f>
        <v/>
      </c>
      <c r="CC466" s="448" t="str">
        <f>_xlfn.IFNA(VLOOKUP($BK466,Programma!$F$3:$X$1101,19,0),"")</f>
        <v/>
      </c>
      <c r="CD466" s="448" t="str">
        <f>_xlfn.IFNA(VLOOKUP($BK466,Programma!$F$3:$Y$1101,20,0),"")</f>
        <v/>
      </c>
    </row>
    <row r="467" spans="1:82" ht="15" customHeight="1">
      <c r="A467" s="362">
        <v>18</v>
      </c>
      <c r="B467" s="435" t="str">
        <f>VLOOKUP(Ruimtestaat[[#This Row],[Code]],Locaties[[Code]:[Locatie]],2,FALSE)</f>
        <v>IKC De Triangel</v>
      </c>
      <c r="C467" s="435" t="str">
        <f>VLOOKUP(Ruimtestaat[[#This Row],[Code]],Locaties[[#All],[Code]:[Adres]],4,FALSE)</f>
        <v>Vlasakker 33-35</v>
      </c>
      <c r="D467" s="435" t="str">
        <f>VLOOKUP(Ruimtestaat[[#This Row],[Code]],Locaties[[#All],[Code]:[Postcode]],5,FALSE)</f>
        <v>2723 TP</v>
      </c>
      <c r="E467" s="435" t="str">
        <f>VLOOKUP(Ruimtestaat[[#This Row],[Code]],Locaties[#All],6,FALSE)</f>
        <v>Zoetermeer</v>
      </c>
      <c r="F467" s="450"/>
      <c r="G467" s="330" t="s">
        <v>1678</v>
      </c>
      <c r="H467" s="330">
        <v>13</v>
      </c>
      <c r="I467" s="450" t="s">
        <v>1679</v>
      </c>
      <c r="J467" s="330">
        <v>16</v>
      </c>
      <c r="K467" s="450" t="str">
        <f>VLOOKUP(Ruimtestaat[[#This Row],[Ruimte code]],Ruimtegroepen[[#All],[Code]:[Ruimte omschrijving]],2,FALSE)</f>
        <v>Leslokalen</v>
      </c>
      <c r="L467" s="434" t="s">
        <v>100</v>
      </c>
      <c r="M467" s="437" t="s">
        <v>1759</v>
      </c>
      <c r="N467" s="439"/>
      <c r="O467" s="439"/>
      <c r="P467" s="439">
        <v>70.5</v>
      </c>
      <c r="Q467" s="439"/>
      <c r="R467" s="440" t="str">
        <f>VLOOKUP(Ruimtestaat[[#This Row],[Ruimte code]],Ruimtegroepen[],4,FALSE)</f>
        <v>Le</v>
      </c>
      <c r="S467" s="434">
        <v>40</v>
      </c>
      <c r="T467" s="434" t="s">
        <v>20</v>
      </c>
      <c r="U467" s="453">
        <f>IF(S467&gt;0,IF(RIGHT(Ruimtestaat[[#This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467" s="434">
        <f>IF(U467&gt;0,VLOOKUP($J467,Ruimtegroepen[],3,FALSE)*VLOOKUP($L467,Vloersoorten[],3,FALSE)*VLOOKUP($T467,Frequenties[],3,FALSE)*VLOOKUP($A467,Locaties[],3,FALSE),0)</f>
        <v>0</v>
      </c>
      <c r="W467" s="434">
        <f>Ruimtestaat[[#This Row],[Uitvoeringen werkdagen]]*Ruimtestaat[[#This Row],[Oppervlak (netto)]]</f>
        <v>0</v>
      </c>
      <c r="X467" s="441">
        <f>IF(V467&gt;0,Ruimtestaat[[#This Row],[Prest. (m2 /jaar) werkdagen]]/Ruimtestaat[[#This Row],[Norm (m2/uur) werkdagen]],0)</f>
        <v>0</v>
      </c>
      <c r="Y467" s="442">
        <f>Ruimtestaat[[#This Row],[Uitvoeringen werkdagen]]*Ruimtestaat[[#This Row],[Gedeeltelijk]]</f>
        <v>11280</v>
      </c>
      <c r="Z467" s="443" t="e">
        <f>IF(U467&gt;0,Ruimtestaat[[#This Row],[Prest. (m2 / jaar) werkdagen gedeeld]]/Ruimtestaat[[#This Row],[Norm (m2/uur) werkdagen]],0)</f>
        <v>#DIV/0!</v>
      </c>
      <c r="AA467" s="441" t="e">
        <f>Ruimtestaat[[#This Row],[uren / jaar werkdagen gedeeld]]*Tariefsopbouw!$E$35</f>
        <v>#DIV/0!</v>
      </c>
      <c r="AB467" s="441">
        <f>Ruimtestaat[[#This Row],[Uitvoeringen werkdagen]]*Ruimtestaat[[#This Row],[BSO]]</f>
        <v>0</v>
      </c>
      <c r="AC467" s="443" t="e">
        <f>IF(U467&gt;0,Ruimtestaat[[#This Row],[Prest. (m2 / jaar) werkdagen BSO]]/Ruimtestaat[[#This Row],[Norm (m2/uur) werkdagen]],0)</f>
        <v>#DIV/0!</v>
      </c>
      <c r="AD467" s="443" t="e">
        <f>Ruimtestaat[[#This Row],[uren / jaar werkdagen BSO]]*Tariefsopbouw!$E$35</f>
        <v>#DIV/0!</v>
      </c>
      <c r="AE467" s="444">
        <f>Ruimtestaat[[#This Row],[uren / jaar werkdagen]]*Tariefsopbouw!$E$35</f>
        <v>0</v>
      </c>
      <c r="AF467" s="454"/>
      <c r="AG467" s="455">
        <f>IF(Ruimtestaat[[#This Row],[Frequentie weekend]]&gt;0,VALUE(LEFT(AF467,1))*S467,0)</f>
        <v>0</v>
      </c>
      <c r="AH467" s="455">
        <f>IF($AG467&gt;0,VLOOKUP($J467,Ruimtegroepen[],3,FALSE)*VLOOKUP($L467,Vloersoorten[],3,FALSE)*VLOOKUP($AF467,Frequenties[],3,FALSE)*VLOOKUP(#REF!,Locaties[],3,FALSE),0)</f>
        <v>0</v>
      </c>
      <c r="AI467" s="434">
        <f>Ruimtestaat[[#This Row],[Uitvoeringen weekend]]*Ruimtestaat[[#This Row],[Oppervlak (netto)]]</f>
        <v>0</v>
      </c>
      <c r="AJ467" s="434">
        <f>IF(AH467&gt;0,Ruimtestaat[[#This Row],[Prest. (m2 /jaar) weekend]]/Ruimtestaat[[#This Row],[Norm (m2/uur) weekend]],0)</f>
        <v>0</v>
      </c>
      <c r="AK467" s="444">
        <f>Ruimtestaat[[#This Row],[uren / jaar weekend]]*Tariefsopbouw!$D$40</f>
        <v>0</v>
      </c>
      <c r="AL467" s="441">
        <f>Ruimtestaat[[#This Row],[Prest. (m2 /jaar) weekend]]+Ruimtestaat[[#This Row],[Prest. (m2 /jaar) werkdagen]]</f>
        <v>0</v>
      </c>
      <c r="AM467" s="441">
        <f>Ruimtestaat[[#This Row],[uren / jaar weekend]]+Ruimtestaat[[#This Row],[uren / jaar werkdagen]]</f>
        <v>0</v>
      </c>
      <c r="AN467" s="446">
        <f>Ruimtestaat[[#This Row],[kosten / jaar weekend]]+Ruimtestaat[[#This Row],[kosten / jaar werkdagen]]</f>
        <v>0</v>
      </c>
      <c r="AO467" s="446"/>
      <c r="AP467" s="446" t="str">
        <f>IF(Ruimtestaat[[#This Row],[Frequentie werkdagen]]="","",_xlfn.CONCAT(Ruimtestaat[[#This Row],[Ruimte code]],"-",Ruimtestaat[[#This Row],[Frequentie werkdagen]]," ",Ruimtestaat[[#This Row],[Vloer code]]))</f>
        <v>16-4w L</v>
      </c>
      <c r="AQ467" s="448" t="str">
        <f>_xlfn.IFNA(VLOOKUP($AP467,Programma!$F$3:$G$1101,2,0),"")</f>
        <v>_</v>
      </c>
      <c r="AR467" s="448" t="str">
        <f>_xlfn.IFNA(VLOOKUP($AP467,Programma!$F$3:$H$1101,3,0),"")</f>
        <v>_</v>
      </c>
      <c r="AS467" s="448" t="str">
        <f>_xlfn.IFNA(VLOOKUP($AP467,Programma!$F$3:$I$1101,4,0),"")</f>
        <v>3w</v>
      </c>
      <c r="AT467" s="448" t="str">
        <f>_xlfn.IFNA(VLOOKUP($AP467,Programma!$F$3:$J$1101,5,0),"")</f>
        <v>1w</v>
      </c>
      <c r="AU467" s="448" t="str">
        <f>_xlfn.IFNA(VLOOKUP($AP467,Programma!$F$3:$K$1101,6,0),"")</f>
        <v>_</v>
      </c>
      <c r="AV467" s="448" t="str">
        <f>_xlfn.IFNA(VLOOKUP($AP467,Programma!$F$3:$L$1101,7,0),"")</f>
        <v>_</v>
      </c>
      <c r="AW467" s="448" t="str">
        <f>_xlfn.IFNA(VLOOKUP($AP467,Programma!$F$3:$M$1101,8,0),"")</f>
        <v>_</v>
      </c>
      <c r="AX467" s="448" t="str">
        <f>_xlfn.IFNA(VLOOKUP($AP467,Programma!$F$3:$N$1101,9,0),"")</f>
        <v>_</v>
      </c>
      <c r="AY467" s="448" t="str">
        <f>_xlfn.IFNA(VLOOKUP($AP467,Programma!$F$3:$O$1101,10,0),"")</f>
        <v>4w</v>
      </c>
      <c r="AZ467" s="448" t="str">
        <f>_xlfn.IFNA(VLOOKUP($AP467,Programma!$F$3:$P$1101,11,0),"")</f>
        <v>4w</v>
      </c>
      <c r="BA467" s="448" t="str">
        <f>_xlfn.IFNA(VLOOKUP($AP467,Programma!$F$3:$Q$1101,12,0),"")</f>
        <v>1w</v>
      </c>
      <c r="BB467" s="448" t="str">
        <f>_xlfn.IFNA(VLOOKUP($AP467,Programma!$F$3:$R$1101,13,0),"")</f>
        <v>1w</v>
      </c>
      <c r="BC467" s="448" t="str">
        <f>_xlfn.IFNA(VLOOKUP($AP467,Programma!$F$3:$S$1101,14,0),"")</f>
        <v>1m</v>
      </c>
      <c r="BD467" s="448" t="str">
        <f>_xlfn.IFNA(VLOOKUP($AP467,Programma!$F$3:$T$1101,15,0),"")</f>
        <v>2j</v>
      </c>
      <c r="BE467" s="448" t="str">
        <f>_xlfn.IFNA(VLOOKUP($AP467,Programma!$F$3:$U$1101,16,0),"")</f>
        <v>1j</v>
      </c>
      <c r="BF467" s="448" t="str">
        <f>_xlfn.IFNA(VLOOKUP($AP467,Programma!$F$3:$V$1101,17,0),"")</f>
        <v>_</v>
      </c>
      <c r="BG467" s="448" t="str">
        <f>_xlfn.IFNA(VLOOKUP($AP467,Programma!$F$3:$W$1101,18,0),"")</f>
        <v>_</v>
      </c>
      <c r="BH467" s="448" t="str">
        <f>_xlfn.IFNA(VLOOKUP($AP467,Programma!$F$3:$X$1101,19,0),"")</f>
        <v>_</v>
      </c>
      <c r="BI467" s="448" t="str">
        <f>_xlfn.IFNA(VLOOKUP($AP467,Programma!$F$3:$Y$1101,20,0),"")</f>
        <v>_</v>
      </c>
      <c r="BJ467" s="449"/>
      <c r="BK467" s="446" t="str">
        <f>IF(Ruimtestaat[[#This Row],[Frequentie weekend]]="","",_xlfn.CONCAT(Ruimtestaat[[#This Row],[Ruimte code]],"-",Ruimtestaat[[#This Row],[Frequentie weekend]]," ",Ruimtestaat[[#This Row],[Vloer code]]))</f>
        <v/>
      </c>
      <c r="BL467" s="448" t="str">
        <f>_xlfn.IFNA(VLOOKUP($BK467,Programma!$F$3:$G$1101,2,0),"")</f>
        <v/>
      </c>
      <c r="BM467" s="448" t="str">
        <f>_xlfn.IFNA(VLOOKUP($BK467,Programma!$F$3:$H$1101,3,0),"")</f>
        <v/>
      </c>
      <c r="BN467" s="448" t="str">
        <f>_xlfn.IFNA(VLOOKUP($BK467,Programma!$F$3:$I$1101,4,0),"")</f>
        <v/>
      </c>
      <c r="BO467" s="448" t="str">
        <f>_xlfn.IFNA(VLOOKUP($BK467,Programma!$F$3:$J$1101,5,0),"")</f>
        <v/>
      </c>
      <c r="BP467" s="448" t="str">
        <f>_xlfn.IFNA(VLOOKUP($BK467,Programma!$F$3:$K$1101,6,0),"")</f>
        <v/>
      </c>
      <c r="BQ467" s="448" t="str">
        <f>_xlfn.IFNA(VLOOKUP($BK467,Programma!$F$3:$L$1101,7,0),"")</f>
        <v/>
      </c>
      <c r="BR467" s="448" t="str">
        <f>_xlfn.IFNA(VLOOKUP($BK467,Programma!$F$3:$M$1101,8,0),"")</f>
        <v/>
      </c>
      <c r="BS467" s="448" t="str">
        <f>_xlfn.IFNA(VLOOKUP($BK467,Programma!$F$3:$N$1101,9,0),"")</f>
        <v/>
      </c>
      <c r="BT467" s="448" t="str">
        <f>_xlfn.IFNA(VLOOKUP($BK467,Programma!$F$3:$O$1101,10,0),"")</f>
        <v/>
      </c>
      <c r="BU467" s="448" t="str">
        <f>_xlfn.IFNA(VLOOKUP($BK467,Programma!$F$3:$P$1101,11,0),"")</f>
        <v/>
      </c>
      <c r="BV467" s="448" t="str">
        <f>_xlfn.IFNA(VLOOKUP($BK467,Programma!$F$3:$Q$1101,12,0),"")</f>
        <v/>
      </c>
      <c r="BW467" s="448" t="str">
        <f>_xlfn.IFNA(VLOOKUP($BK467,Programma!$F$3:$R$1101,13,0),"")</f>
        <v/>
      </c>
      <c r="BX467" s="448" t="str">
        <f>_xlfn.IFNA(VLOOKUP($BK467,Programma!$F$3:$S$1101,14,0),"")</f>
        <v/>
      </c>
      <c r="BY467" s="448" t="str">
        <f>_xlfn.IFNA(VLOOKUP($BK467,Programma!$F$3:$T$1101,15,0),"")</f>
        <v/>
      </c>
      <c r="BZ467" s="448" t="str">
        <f>_xlfn.IFNA(VLOOKUP($BK467,Programma!$F$3:$U$1101,16,0),"")</f>
        <v/>
      </c>
      <c r="CA467" s="448" t="str">
        <f>_xlfn.IFNA(VLOOKUP($BK467,Programma!$F$3:$V$1101,17,0),"")</f>
        <v/>
      </c>
      <c r="CB467" s="448" t="str">
        <f>_xlfn.IFNA(VLOOKUP($BK467,Programma!$F$3:$W$1101,18,0),"")</f>
        <v/>
      </c>
      <c r="CC467" s="448" t="str">
        <f>_xlfn.IFNA(VLOOKUP($BK467,Programma!$F$3:$X$1101,19,0),"")</f>
        <v/>
      </c>
      <c r="CD467" s="448" t="str">
        <f>_xlfn.IFNA(VLOOKUP($BK467,Programma!$F$3:$Y$1101,20,0),"")</f>
        <v/>
      </c>
    </row>
    <row r="468" spans="1:82" ht="15" customHeight="1">
      <c r="A468" s="362">
        <v>18</v>
      </c>
      <c r="B468" s="435" t="str">
        <f>VLOOKUP(Ruimtestaat[[#This Row],[Code]],Locaties[[Code]:[Locatie]],2,FALSE)</f>
        <v>IKC De Triangel</v>
      </c>
      <c r="C468" s="435" t="str">
        <f>VLOOKUP(Ruimtestaat[[#This Row],[Code]],Locaties[[#All],[Code]:[Adres]],4,FALSE)</f>
        <v>Vlasakker 33-35</v>
      </c>
      <c r="D468" s="435" t="str">
        <f>VLOOKUP(Ruimtestaat[[#This Row],[Code]],Locaties[[#All],[Code]:[Postcode]],5,FALSE)</f>
        <v>2723 TP</v>
      </c>
      <c r="E468" s="435" t="str">
        <f>VLOOKUP(Ruimtestaat[[#This Row],[Code]],Locaties[#All],6,FALSE)</f>
        <v>Zoetermeer</v>
      </c>
      <c r="F468" s="450"/>
      <c r="G468" s="330" t="s">
        <v>1678</v>
      </c>
      <c r="H468" s="330">
        <v>14</v>
      </c>
      <c r="I468" s="450" t="s">
        <v>1877</v>
      </c>
      <c r="J468" s="330">
        <v>20</v>
      </c>
      <c r="K468" s="450" t="str">
        <f>VLOOKUP(Ruimtestaat[[#This Row],[Ruimte code]],Ruimtegroepen[[#All],[Code]:[Ruimte omschrijving]],2,FALSE)</f>
        <v>Niet in Onderhoud</v>
      </c>
      <c r="L468" s="434" t="s">
        <v>100</v>
      </c>
      <c r="M468" s="437" t="s">
        <v>1759</v>
      </c>
      <c r="N468" s="439"/>
      <c r="O468" s="439">
        <v>70.3</v>
      </c>
      <c r="P468" s="439"/>
      <c r="Q468" s="439"/>
      <c r="R468" s="440">
        <f>VLOOKUP(Ruimtestaat[[#This Row],[Ruimte code]],Ruimtegroepen[],4,FALSE)</f>
        <v>0</v>
      </c>
      <c r="S468" s="434"/>
      <c r="T468" s="434"/>
      <c r="U468" s="453">
        <f>IF(S468&gt;0,IF(RIGHT(Ruimtestaat[[#This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68" s="434">
        <f>IF(U468&gt;0,VLOOKUP($J468,Ruimtegroepen[],3,FALSE)*VLOOKUP($L468,Vloersoorten[],3,FALSE)*VLOOKUP($T468,Frequenties[],3,FALSE)*VLOOKUP($A468,Locaties[],3,FALSE),0)</f>
        <v>0</v>
      </c>
      <c r="W468" s="434">
        <f>Ruimtestaat[[#This Row],[Uitvoeringen werkdagen]]*Ruimtestaat[[#This Row],[Oppervlak (netto)]]</f>
        <v>0</v>
      </c>
      <c r="X468" s="441">
        <f>IF(V468&gt;0,Ruimtestaat[[#This Row],[Prest. (m2 /jaar) werkdagen]]/Ruimtestaat[[#This Row],[Norm (m2/uur) werkdagen]],0)</f>
        <v>0</v>
      </c>
      <c r="Y468" s="442">
        <f>Ruimtestaat[[#This Row],[Uitvoeringen werkdagen]]*Ruimtestaat[[#This Row],[Gedeeltelijk]]</f>
        <v>0</v>
      </c>
      <c r="Z468" s="443">
        <f>IF(U468&gt;0,Ruimtestaat[[#This Row],[Prest. (m2 / jaar) werkdagen gedeeld]]/Ruimtestaat[[#This Row],[Norm (m2/uur) werkdagen]],0)</f>
        <v>0</v>
      </c>
      <c r="AA468" s="441">
        <f>Ruimtestaat[[#This Row],[uren / jaar werkdagen gedeeld]]*Tariefsopbouw!$E$35</f>
        <v>0</v>
      </c>
      <c r="AB468" s="441">
        <f>Ruimtestaat[[#This Row],[Uitvoeringen werkdagen]]*Ruimtestaat[[#This Row],[BSO]]</f>
        <v>0</v>
      </c>
      <c r="AC468" s="443">
        <f>IF(U468&gt;0,Ruimtestaat[[#This Row],[Prest. (m2 / jaar) werkdagen BSO]]/Ruimtestaat[[#This Row],[Norm (m2/uur) werkdagen]],0)</f>
        <v>0</v>
      </c>
      <c r="AD468" s="443">
        <f>Ruimtestaat[[#This Row],[uren / jaar werkdagen BSO]]*Tariefsopbouw!$E$35</f>
        <v>0</v>
      </c>
      <c r="AE468" s="444">
        <f>Ruimtestaat[[#This Row],[uren / jaar werkdagen]]*Tariefsopbouw!$E$35</f>
        <v>0</v>
      </c>
      <c r="AF468" s="454"/>
      <c r="AG468" s="455">
        <f>IF(Ruimtestaat[[#This Row],[Frequentie weekend]]&gt;0,VALUE(LEFT(AF468,1))*S468,0)</f>
        <v>0</v>
      </c>
      <c r="AH468" s="455">
        <f>IF($AG468&gt;0,VLOOKUP($J468,Ruimtegroepen[],3,FALSE)*VLOOKUP($L468,Vloersoorten[],3,FALSE)*VLOOKUP($AF468,Frequenties[],3,FALSE)*VLOOKUP(#REF!,Locaties[],3,FALSE),0)</f>
        <v>0</v>
      </c>
      <c r="AI468" s="434">
        <f>Ruimtestaat[[#This Row],[Uitvoeringen weekend]]*Ruimtestaat[[#This Row],[Oppervlak (netto)]]</f>
        <v>0</v>
      </c>
      <c r="AJ468" s="434">
        <f>IF(AH468&gt;0,Ruimtestaat[[#This Row],[Prest. (m2 /jaar) weekend]]/Ruimtestaat[[#This Row],[Norm (m2/uur) weekend]],0)</f>
        <v>0</v>
      </c>
      <c r="AK468" s="444">
        <f>Ruimtestaat[[#This Row],[uren / jaar weekend]]*Tariefsopbouw!$D$40</f>
        <v>0</v>
      </c>
      <c r="AL468" s="441">
        <f>Ruimtestaat[[#This Row],[Prest. (m2 /jaar) weekend]]+Ruimtestaat[[#This Row],[Prest. (m2 /jaar) werkdagen]]</f>
        <v>0</v>
      </c>
      <c r="AM468" s="441">
        <f>Ruimtestaat[[#This Row],[uren / jaar weekend]]+Ruimtestaat[[#This Row],[uren / jaar werkdagen]]</f>
        <v>0</v>
      </c>
      <c r="AN468" s="446">
        <f>Ruimtestaat[[#This Row],[kosten / jaar weekend]]+Ruimtestaat[[#This Row],[kosten / jaar werkdagen]]</f>
        <v>0</v>
      </c>
      <c r="AO468" s="446"/>
      <c r="AP468" s="446" t="str">
        <f>IF(Ruimtestaat[[#This Row],[Frequentie werkdagen]]="","",_xlfn.CONCAT(Ruimtestaat[[#This Row],[Ruimte code]],"-",Ruimtestaat[[#This Row],[Frequentie werkdagen]]," ",Ruimtestaat[[#This Row],[Vloer code]]))</f>
        <v/>
      </c>
      <c r="AQ468" s="448" t="str">
        <f>_xlfn.IFNA(VLOOKUP($AP468,Programma!$F$3:$G$1101,2,0),"")</f>
        <v/>
      </c>
      <c r="AR468" s="448" t="str">
        <f>_xlfn.IFNA(VLOOKUP($AP468,Programma!$F$3:$H$1101,3,0),"")</f>
        <v/>
      </c>
      <c r="AS468" s="448" t="str">
        <f>_xlfn.IFNA(VLOOKUP($AP468,Programma!$F$3:$I$1101,4,0),"")</f>
        <v/>
      </c>
      <c r="AT468" s="448" t="str">
        <f>_xlfn.IFNA(VLOOKUP($AP468,Programma!$F$3:$J$1101,5,0),"")</f>
        <v/>
      </c>
      <c r="AU468" s="448" t="str">
        <f>_xlfn.IFNA(VLOOKUP($AP468,Programma!$F$3:$K$1101,6,0),"")</f>
        <v/>
      </c>
      <c r="AV468" s="448" t="str">
        <f>_xlfn.IFNA(VLOOKUP($AP468,Programma!$F$3:$L$1101,7,0),"")</f>
        <v/>
      </c>
      <c r="AW468" s="448" t="str">
        <f>_xlfn.IFNA(VLOOKUP($AP468,Programma!$F$3:$M$1101,8,0),"")</f>
        <v/>
      </c>
      <c r="AX468" s="448" t="str">
        <f>_xlfn.IFNA(VLOOKUP($AP468,Programma!$F$3:$N$1101,9,0),"")</f>
        <v/>
      </c>
      <c r="AY468" s="448" t="str">
        <f>_xlfn.IFNA(VLOOKUP($AP468,Programma!$F$3:$O$1101,10,0),"")</f>
        <v/>
      </c>
      <c r="AZ468" s="448" t="str">
        <f>_xlfn.IFNA(VLOOKUP($AP468,Programma!$F$3:$P$1101,11,0),"")</f>
        <v/>
      </c>
      <c r="BA468" s="448" t="str">
        <f>_xlfn.IFNA(VLOOKUP($AP468,Programma!$F$3:$Q$1101,12,0),"")</f>
        <v/>
      </c>
      <c r="BB468" s="448" t="str">
        <f>_xlfn.IFNA(VLOOKUP($AP468,Programma!$F$3:$R$1101,13,0),"")</f>
        <v/>
      </c>
      <c r="BC468" s="448" t="str">
        <f>_xlfn.IFNA(VLOOKUP($AP468,Programma!$F$3:$S$1101,14,0),"")</f>
        <v/>
      </c>
      <c r="BD468" s="448" t="str">
        <f>_xlfn.IFNA(VLOOKUP($AP468,Programma!$F$3:$T$1101,15,0),"")</f>
        <v/>
      </c>
      <c r="BE468" s="448" t="str">
        <f>_xlfn.IFNA(VLOOKUP($AP468,Programma!$F$3:$U$1101,16,0),"")</f>
        <v/>
      </c>
      <c r="BF468" s="448" t="str">
        <f>_xlfn.IFNA(VLOOKUP($AP468,Programma!$F$3:$V$1101,17,0),"")</f>
        <v/>
      </c>
      <c r="BG468" s="448" t="str">
        <f>_xlfn.IFNA(VLOOKUP($AP468,Programma!$F$3:$W$1101,18,0),"")</f>
        <v/>
      </c>
      <c r="BH468" s="448" t="str">
        <f>_xlfn.IFNA(VLOOKUP($AP468,Programma!$F$3:$X$1101,19,0),"")</f>
        <v/>
      </c>
      <c r="BI468" s="448" t="str">
        <f>_xlfn.IFNA(VLOOKUP($AP468,Programma!$F$3:$Y$1101,20,0),"")</f>
        <v/>
      </c>
      <c r="BJ468" s="449"/>
      <c r="BK468" s="446" t="str">
        <f>IF(Ruimtestaat[[#This Row],[Frequentie weekend]]="","",_xlfn.CONCAT(Ruimtestaat[[#This Row],[Ruimte code]],"-",Ruimtestaat[[#This Row],[Frequentie weekend]]," ",Ruimtestaat[[#This Row],[Vloer code]]))</f>
        <v/>
      </c>
      <c r="BL468" s="448" t="str">
        <f>_xlfn.IFNA(VLOOKUP($BK468,Programma!$F$3:$G$1101,2,0),"")</f>
        <v/>
      </c>
      <c r="BM468" s="448" t="str">
        <f>_xlfn.IFNA(VLOOKUP($BK468,Programma!$F$3:$H$1101,3,0),"")</f>
        <v/>
      </c>
      <c r="BN468" s="448" t="str">
        <f>_xlfn.IFNA(VLOOKUP($BK468,Programma!$F$3:$I$1101,4,0),"")</f>
        <v/>
      </c>
      <c r="BO468" s="448" t="str">
        <f>_xlfn.IFNA(VLOOKUP($BK468,Programma!$F$3:$J$1101,5,0),"")</f>
        <v/>
      </c>
      <c r="BP468" s="448" t="str">
        <f>_xlfn.IFNA(VLOOKUP($BK468,Programma!$F$3:$K$1101,6,0),"")</f>
        <v/>
      </c>
      <c r="BQ468" s="448" t="str">
        <f>_xlfn.IFNA(VLOOKUP($BK468,Programma!$F$3:$L$1101,7,0),"")</f>
        <v/>
      </c>
      <c r="BR468" s="448" t="str">
        <f>_xlfn.IFNA(VLOOKUP($BK468,Programma!$F$3:$M$1101,8,0),"")</f>
        <v/>
      </c>
      <c r="BS468" s="448" t="str">
        <f>_xlfn.IFNA(VLOOKUP($BK468,Programma!$F$3:$N$1101,9,0),"")</f>
        <v/>
      </c>
      <c r="BT468" s="448" t="str">
        <f>_xlfn.IFNA(VLOOKUP($BK468,Programma!$F$3:$O$1101,10,0),"")</f>
        <v/>
      </c>
      <c r="BU468" s="448" t="str">
        <f>_xlfn.IFNA(VLOOKUP($BK468,Programma!$F$3:$P$1101,11,0),"")</f>
        <v/>
      </c>
      <c r="BV468" s="448" t="str">
        <f>_xlfn.IFNA(VLOOKUP($BK468,Programma!$F$3:$Q$1101,12,0),"")</f>
        <v/>
      </c>
      <c r="BW468" s="448" t="str">
        <f>_xlfn.IFNA(VLOOKUP($BK468,Programma!$F$3:$R$1101,13,0),"")</f>
        <v/>
      </c>
      <c r="BX468" s="448" t="str">
        <f>_xlfn.IFNA(VLOOKUP($BK468,Programma!$F$3:$S$1101,14,0),"")</f>
        <v/>
      </c>
      <c r="BY468" s="448" t="str">
        <f>_xlfn.IFNA(VLOOKUP($BK468,Programma!$F$3:$T$1101,15,0),"")</f>
        <v/>
      </c>
      <c r="BZ468" s="448" t="str">
        <f>_xlfn.IFNA(VLOOKUP($BK468,Programma!$F$3:$U$1101,16,0),"")</f>
        <v/>
      </c>
      <c r="CA468" s="448" t="str">
        <f>_xlfn.IFNA(VLOOKUP($BK468,Programma!$F$3:$V$1101,17,0),"")</f>
        <v/>
      </c>
      <c r="CB468" s="448" t="str">
        <f>_xlfn.IFNA(VLOOKUP($BK468,Programma!$F$3:$W$1101,18,0),"")</f>
        <v/>
      </c>
      <c r="CC468" s="448" t="str">
        <f>_xlfn.IFNA(VLOOKUP($BK468,Programma!$F$3:$X$1101,19,0),"")</f>
        <v/>
      </c>
      <c r="CD468" s="448" t="str">
        <f>_xlfn.IFNA(VLOOKUP($BK468,Programma!$F$3:$Y$1101,20,0),"")</f>
        <v/>
      </c>
    </row>
    <row r="469" spans="1:82" ht="15" customHeight="1">
      <c r="A469" s="362">
        <v>18</v>
      </c>
      <c r="B469" s="435" t="str">
        <f>VLOOKUP(Ruimtestaat[[#This Row],[Code]],Locaties[[Code]:[Locatie]],2,FALSE)</f>
        <v>IKC De Triangel</v>
      </c>
      <c r="C469" s="435" t="str">
        <f>VLOOKUP(Ruimtestaat[[#This Row],[Code]],Locaties[[#All],[Code]:[Adres]],4,FALSE)</f>
        <v>Vlasakker 33-35</v>
      </c>
      <c r="D469" s="435" t="str">
        <f>VLOOKUP(Ruimtestaat[[#This Row],[Code]],Locaties[[#All],[Code]:[Postcode]],5,FALSE)</f>
        <v>2723 TP</v>
      </c>
      <c r="E469" s="435" t="str">
        <f>VLOOKUP(Ruimtestaat[[#This Row],[Code]],Locaties[#All],6,FALSE)</f>
        <v>Zoetermeer</v>
      </c>
      <c r="F469" s="450"/>
      <c r="G469" s="330" t="s">
        <v>1678</v>
      </c>
      <c r="H469" s="330">
        <v>15</v>
      </c>
      <c r="I469" s="450" t="s">
        <v>1679</v>
      </c>
      <c r="J469" s="330">
        <v>16</v>
      </c>
      <c r="K469" s="450" t="str">
        <f>VLOOKUP(Ruimtestaat[[#This Row],[Ruimte code]],Ruimtegroepen[[#All],[Code]:[Ruimte omschrijving]],2,FALSE)</f>
        <v>Leslokalen</v>
      </c>
      <c r="L469" s="434" t="s">
        <v>100</v>
      </c>
      <c r="M469" s="437" t="s">
        <v>1759</v>
      </c>
      <c r="N469" s="439">
        <v>58.3</v>
      </c>
      <c r="O469" s="439"/>
      <c r="P469" s="439"/>
      <c r="Q469" s="439"/>
      <c r="R469" s="440" t="str">
        <f>VLOOKUP(Ruimtestaat[[#This Row],[Ruimte code]],Ruimtegroepen[],4,FALSE)</f>
        <v>Le</v>
      </c>
      <c r="S469" s="434">
        <v>40</v>
      </c>
      <c r="T469" s="434" t="s">
        <v>2</v>
      </c>
      <c r="U469" s="453">
        <f>IF(S469&gt;0,IF(RIGHT(Ruimtestaat[[#This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9" s="434">
        <f>IF(U469&gt;0,VLOOKUP($J469,Ruimtegroepen[],3,FALSE)*VLOOKUP($L469,Vloersoorten[],3,FALSE)*VLOOKUP($T469,Frequenties[],3,FALSE)*VLOOKUP($A469,Locaties[],3,FALSE),0)</f>
        <v>0</v>
      </c>
      <c r="W469" s="434">
        <f>Ruimtestaat[[#This Row],[Uitvoeringen werkdagen]]*Ruimtestaat[[#This Row],[Oppervlak (netto)]]</f>
        <v>11660</v>
      </c>
      <c r="X469" s="441">
        <f>IF(V469&gt;0,Ruimtestaat[[#This Row],[Prest. (m2 /jaar) werkdagen]]/Ruimtestaat[[#This Row],[Norm (m2/uur) werkdagen]],0)</f>
        <v>0</v>
      </c>
      <c r="Y469" s="442">
        <f>Ruimtestaat[[#This Row],[Uitvoeringen werkdagen]]*Ruimtestaat[[#This Row],[Gedeeltelijk]]</f>
        <v>0</v>
      </c>
      <c r="Z469" s="443" t="e">
        <f>IF(U469&gt;0,Ruimtestaat[[#This Row],[Prest. (m2 / jaar) werkdagen gedeeld]]/Ruimtestaat[[#This Row],[Norm (m2/uur) werkdagen]],0)</f>
        <v>#DIV/0!</v>
      </c>
      <c r="AA469" s="441" t="e">
        <f>Ruimtestaat[[#This Row],[uren / jaar werkdagen gedeeld]]*Tariefsopbouw!$E$35</f>
        <v>#DIV/0!</v>
      </c>
      <c r="AB469" s="441">
        <f>Ruimtestaat[[#This Row],[Uitvoeringen werkdagen]]*Ruimtestaat[[#This Row],[BSO]]</f>
        <v>0</v>
      </c>
      <c r="AC469" s="443" t="e">
        <f>IF(U469&gt;0,Ruimtestaat[[#This Row],[Prest. (m2 / jaar) werkdagen BSO]]/Ruimtestaat[[#This Row],[Norm (m2/uur) werkdagen]],0)</f>
        <v>#DIV/0!</v>
      </c>
      <c r="AD469" s="443" t="e">
        <f>Ruimtestaat[[#This Row],[uren / jaar werkdagen BSO]]*Tariefsopbouw!$E$35</f>
        <v>#DIV/0!</v>
      </c>
      <c r="AE469" s="444">
        <f>Ruimtestaat[[#This Row],[uren / jaar werkdagen]]*Tariefsopbouw!$E$35</f>
        <v>0</v>
      </c>
      <c r="AF469" s="454"/>
      <c r="AG469" s="455">
        <f>IF(Ruimtestaat[[#This Row],[Frequentie weekend]]&gt;0,VALUE(LEFT(AF469,1))*S469,0)</f>
        <v>0</v>
      </c>
      <c r="AH469" s="455">
        <f>IF($AG469&gt;0,VLOOKUP($J469,Ruimtegroepen[],3,FALSE)*VLOOKUP($L469,Vloersoorten[],3,FALSE)*VLOOKUP($AF469,Frequenties[],3,FALSE)*VLOOKUP(#REF!,Locaties[],3,FALSE),0)</f>
        <v>0</v>
      </c>
      <c r="AI469" s="434">
        <f>Ruimtestaat[[#This Row],[Uitvoeringen weekend]]*Ruimtestaat[[#This Row],[Oppervlak (netto)]]</f>
        <v>0</v>
      </c>
      <c r="AJ469" s="434">
        <f>IF(AH469&gt;0,Ruimtestaat[[#This Row],[Prest. (m2 /jaar) weekend]]/Ruimtestaat[[#This Row],[Norm (m2/uur) weekend]],0)</f>
        <v>0</v>
      </c>
      <c r="AK469" s="444">
        <f>Ruimtestaat[[#This Row],[uren / jaar weekend]]*Tariefsopbouw!$D$40</f>
        <v>0</v>
      </c>
      <c r="AL469" s="441">
        <f>Ruimtestaat[[#This Row],[Prest. (m2 /jaar) weekend]]+Ruimtestaat[[#This Row],[Prest. (m2 /jaar) werkdagen]]</f>
        <v>11660</v>
      </c>
      <c r="AM469" s="441">
        <f>Ruimtestaat[[#This Row],[uren / jaar weekend]]+Ruimtestaat[[#This Row],[uren / jaar werkdagen]]</f>
        <v>0</v>
      </c>
      <c r="AN469" s="446">
        <f>Ruimtestaat[[#This Row],[kosten / jaar weekend]]+Ruimtestaat[[#This Row],[kosten / jaar werkdagen]]</f>
        <v>0</v>
      </c>
      <c r="AO469" s="446"/>
      <c r="AP469" s="446" t="str">
        <f>IF(Ruimtestaat[[#This Row],[Frequentie werkdagen]]="","",_xlfn.CONCAT(Ruimtestaat[[#This Row],[Ruimte code]],"-",Ruimtestaat[[#This Row],[Frequentie werkdagen]]," ",Ruimtestaat[[#This Row],[Vloer code]]))</f>
        <v>16-5w L</v>
      </c>
      <c r="AQ469" s="448" t="str">
        <f>_xlfn.IFNA(VLOOKUP($AP469,Programma!$F$3:$G$1101,2,0),"")</f>
        <v>_</v>
      </c>
      <c r="AR469" s="448" t="str">
        <f>_xlfn.IFNA(VLOOKUP($AP469,Programma!$F$3:$H$1101,3,0),"")</f>
        <v>_</v>
      </c>
      <c r="AS469" s="448" t="str">
        <f>_xlfn.IFNA(VLOOKUP($AP469,Programma!$F$3:$I$1101,4,0),"")</f>
        <v>4w</v>
      </c>
      <c r="AT469" s="448" t="str">
        <f>_xlfn.IFNA(VLOOKUP($AP469,Programma!$F$3:$J$1101,5,0),"")</f>
        <v>1w</v>
      </c>
      <c r="AU469" s="448" t="str">
        <f>_xlfn.IFNA(VLOOKUP($AP469,Programma!$F$3:$K$1101,6,0),"")</f>
        <v>_</v>
      </c>
      <c r="AV469" s="448" t="str">
        <f>_xlfn.IFNA(VLOOKUP($AP469,Programma!$F$3:$L$1101,7,0),"")</f>
        <v>_</v>
      </c>
      <c r="AW469" s="448" t="str">
        <f>_xlfn.IFNA(VLOOKUP($AP469,Programma!$F$3:$M$1101,8,0),"")</f>
        <v>_</v>
      </c>
      <c r="AX469" s="448" t="str">
        <f>_xlfn.IFNA(VLOOKUP($AP469,Programma!$F$3:$N$1101,9,0),"")</f>
        <v>_</v>
      </c>
      <c r="AY469" s="448" t="str">
        <f>_xlfn.IFNA(VLOOKUP($AP469,Programma!$F$3:$O$1101,10,0),"")</f>
        <v>5w</v>
      </c>
      <c r="AZ469" s="448" t="str">
        <f>_xlfn.IFNA(VLOOKUP($AP469,Programma!$F$3:$P$1101,11,0),"")</f>
        <v>5w</v>
      </c>
      <c r="BA469" s="448" t="str">
        <f>_xlfn.IFNA(VLOOKUP($AP469,Programma!$F$3:$Q$1101,12,0),"")</f>
        <v>1w</v>
      </c>
      <c r="BB469" s="448" t="str">
        <f>_xlfn.IFNA(VLOOKUP($AP469,Programma!$F$3:$R$1101,13,0),"")</f>
        <v>1w</v>
      </c>
      <c r="BC469" s="448" t="str">
        <f>_xlfn.IFNA(VLOOKUP($AP469,Programma!$F$3:$S$1101,14,0),"")</f>
        <v>1m</v>
      </c>
      <c r="BD469" s="448" t="str">
        <f>_xlfn.IFNA(VLOOKUP($AP469,Programma!$F$3:$T$1101,15,0),"")</f>
        <v>2j</v>
      </c>
      <c r="BE469" s="448" t="str">
        <f>_xlfn.IFNA(VLOOKUP($AP469,Programma!$F$3:$U$1101,16,0),"")</f>
        <v>1j</v>
      </c>
      <c r="BF469" s="448" t="str">
        <f>_xlfn.IFNA(VLOOKUP($AP469,Programma!$F$3:$V$1101,17,0),"")</f>
        <v>_</v>
      </c>
      <c r="BG469" s="448" t="str">
        <f>_xlfn.IFNA(VLOOKUP($AP469,Programma!$F$3:$W$1101,18,0),"")</f>
        <v>_</v>
      </c>
      <c r="BH469" s="448" t="str">
        <f>_xlfn.IFNA(VLOOKUP($AP469,Programma!$F$3:$X$1101,19,0),"")</f>
        <v>_</v>
      </c>
      <c r="BI469" s="448" t="str">
        <f>_xlfn.IFNA(VLOOKUP($AP469,Programma!$F$3:$Y$1101,20,0),"")</f>
        <v>_</v>
      </c>
      <c r="BJ469" s="449"/>
      <c r="BK469" s="446" t="str">
        <f>IF(Ruimtestaat[[#This Row],[Frequentie weekend]]="","",_xlfn.CONCAT(Ruimtestaat[[#This Row],[Ruimte code]],"-",Ruimtestaat[[#This Row],[Frequentie weekend]]," ",Ruimtestaat[[#This Row],[Vloer code]]))</f>
        <v/>
      </c>
      <c r="BL469" s="448" t="str">
        <f>_xlfn.IFNA(VLOOKUP($BK469,Programma!$F$3:$G$1101,2,0),"")</f>
        <v/>
      </c>
      <c r="BM469" s="448" t="str">
        <f>_xlfn.IFNA(VLOOKUP($BK469,Programma!$F$3:$H$1101,3,0),"")</f>
        <v/>
      </c>
      <c r="BN469" s="448" t="str">
        <f>_xlfn.IFNA(VLOOKUP($BK469,Programma!$F$3:$I$1101,4,0),"")</f>
        <v/>
      </c>
      <c r="BO469" s="448" t="str">
        <f>_xlfn.IFNA(VLOOKUP($BK469,Programma!$F$3:$J$1101,5,0),"")</f>
        <v/>
      </c>
      <c r="BP469" s="448" t="str">
        <f>_xlfn.IFNA(VLOOKUP($BK469,Programma!$F$3:$K$1101,6,0),"")</f>
        <v/>
      </c>
      <c r="BQ469" s="448" t="str">
        <f>_xlfn.IFNA(VLOOKUP($BK469,Programma!$F$3:$L$1101,7,0),"")</f>
        <v/>
      </c>
      <c r="BR469" s="448" t="str">
        <f>_xlfn.IFNA(VLOOKUP($BK469,Programma!$F$3:$M$1101,8,0),"")</f>
        <v/>
      </c>
      <c r="BS469" s="448" t="str">
        <f>_xlfn.IFNA(VLOOKUP($BK469,Programma!$F$3:$N$1101,9,0),"")</f>
        <v/>
      </c>
      <c r="BT469" s="448" t="str">
        <f>_xlfn.IFNA(VLOOKUP($BK469,Programma!$F$3:$O$1101,10,0),"")</f>
        <v/>
      </c>
      <c r="BU469" s="448" t="str">
        <f>_xlfn.IFNA(VLOOKUP($BK469,Programma!$F$3:$P$1101,11,0),"")</f>
        <v/>
      </c>
      <c r="BV469" s="448" t="str">
        <f>_xlfn.IFNA(VLOOKUP($BK469,Programma!$F$3:$Q$1101,12,0),"")</f>
        <v/>
      </c>
      <c r="BW469" s="448" t="str">
        <f>_xlfn.IFNA(VLOOKUP($BK469,Programma!$F$3:$R$1101,13,0),"")</f>
        <v/>
      </c>
      <c r="BX469" s="448" t="str">
        <f>_xlfn.IFNA(VLOOKUP($BK469,Programma!$F$3:$S$1101,14,0),"")</f>
        <v/>
      </c>
      <c r="BY469" s="448" t="str">
        <f>_xlfn.IFNA(VLOOKUP($BK469,Programma!$F$3:$T$1101,15,0),"")</f>
        <v/>
      </c>
      <c r="BZ469" s="448" t="str">
        <f>_xlfn.IFNA(VLOOKUP($BK469,Programma!$F$3:$U$1101,16,0),"")</f>
        <v/>
      </c>
      <c r="CA469" s="448" t="str">
        <f>_xlfn.IFNA(VLOOKUP($BK469,Programma!$F$3:$V$1101,17,0),"")</f>
        <v/>
      </c>
      <c r="CB469" s="448" t="str">
        <f>_xlfn.IFNA(VLOOKUP($BK469,Programma!$F$3:$W$1101,18,0),"")</f>
        <v/>
      </c>
      <c r="CC469" s="448" t="str">
        <f>_xlfn.IFNA(VLOOKUP($BK469,Programma!$F$3:$X$1101,19,0),"")</f>
        <v/>
      </c>
      <c r="CD469" s="448" t="str">
        <f>_xlfn.IFNA(VLOOKUP($BK469,Programma!$F$3:$Y$1101,20,0),"")</f>
        <v/>
      </c>
    </row>
    <row r="470" spans="1:82" ht="15" customHeight="1">
      <c r="A470" s="362">
        <v>18</v>
      </c>
      <c r="B470" s="435" t="str">
        <f>VLOOKUP(Ruimtestaat[[#This Row],[Code]],Locaties[[Code]:[Locatie]],2,FALSE)</f>
        <v>IKC De Triangel</v>
      </c>
      <c r="C470" s="435" t="str">
        <f>VLOOKUP(Ruimtestaat[[#This Row],[Code]],Locaties[[#All],[Code]:[Adres]],4,FALSE)</f>
        <v>Vlasakker 33-35</v>
      </c>
      <c r="D470" s="435" t="str">
        <f>VLOOKUP(Ruimtestaat[[#This Row],[Code]],Locaties[[#All],[Code]:[Postcode]],5,FALSE)</f>
        <v>2723 TP</v>
      </c>
      <c r="E470" s="435" t="str">
        <f>VLOOKUP(Ruimtestaat[[#This Row],[Code]],Locaties[#All],6,FALSE)</f>
        <v>Zoetermeer</v>
      </c>
      <c r="F470" s="450"/>
      <c r="G470" s="330" t="s">
        <v>1678</v>
      </c>
      <c r="H470" s="330">
        <v>16</v>
      </c>
      <c r="I470" s="450" t="s">
        <v>1679</v>
      </c>
      <c r="J470" s="330">
        <v>16</v>
      </c>
      <c r="K470" s="450" t="str">
        <f>VLOOKUP(Ruimtestaat[[#This Row],[Ruimte code]],Ruimtegroepen[[#All],[Code]:[Ruimte omschrijving]],2,FALSE)</f>
        <v>Leslokalen</v>
      </c>
      <c r="L470" s="434" t="s">
        <v>100</v>
      </c>
      <c r="M470" s="437" t="s">
        <v>1759</v>
      </c>
      <c r="N470" s="439">
        <v>56.1</v>
      </c>
      <c r="O470" s="439"/>
      <c r="P470" s="439"/>
      <c r="Q470" s="439"/>
      <c r="R470" s="440" t="str">
        <f>VLOOKUP(Ruimtestaat[[#This Row],[Ruimte code]],Ruimtegroepen[],4,FALSE)</f>
        <v>Le</v>
      </c>
      <c r="S470" s="434">
        <v>40</v>
      </c>
      <c r="T470" s="434" t="s">
        <v>2</v>
      </c>
      <c r="U470" s="453">
        <f>IF(S470&gt;0,IF(RIGHT(Ruimtestaat[[#This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0" s="434">
        <f>IF(U470&gt;0,VLOOKUP($J470,Ruimtegroepen[],3,FALSE)*VLOOKUP($L470,Vloersoorten[],3,FALSE)*VLOOKUP($T470,Frequenties[],3,FALSE)*VLOOKUP($A470,Locaties[],3,FALSE),0)</f>
        <v>0</v>
      </c>
      <c r="W470" s="434">
        <f>Ruimtestaat[[#This Row],[Uitvoeringen werkdagen]]*Ruimtestaat[[#This Row],[Oppervlak (netto)]]</f>
        <v>11220</v>
      </c>
      <c r="X470" s="441">
        <f>IF(V470&gt;0,Ruimtestaat[[#This Row],[Prest. (m2 /jaar) werkdagen]]/Ruimtestaat[[#This Row],[Norm (m2/uur) werkdagen]],0)</f>
        <v>0</v>
      </c>
      <c r="Y470" s="442">
        <f>Ruimtestaat[[#This Row],[Uitvoeringen werkdagen]]*Ruimtestaat[[#This Row],[Gedeeltelijk]]</f>
        <v>0</v>
      </c>
      <c r="Z470" s="443" t="e">
        <f>IF(U470&gt;0,Ruimtestaat[[#This Row],[Prest. (m2 / jaar) werkdagen gedeeld]]/Ruimtestaat[[#This Row],[Norm (m2/uur) werkdagen]],0)</f>
        <v>#DIV/0!</v>
      </c>
      <c r="AA470" s="441" t="e">
        <f>Ruimtestaat[[#This Row],[uren / jaar werkdagen gedeeld]]*Tariefsopbouw!$E$35</f>
        <v>#DIV/0!</v>
      </c>
      <c r="AB470" s="441">
        <f>Ruimtestaat[[#This Row],[Uitvoeringen werkdagen]]*Ruimtestaat[[#This Row],[BSO]]</f>
        <v>0</v>
      </c>
      <c r="AC470" s="443" t="e">
        <f>IF(U470&gt;0,Ruimtestaat[[#This Row],[Prest. (m2 / jaar) werkdagen BSO]]/Ruimtestaat[[#This Row],[Norm (m2/uur) werkdagen]],0)</f>
        <v>#DIV/0!</v>
      </c>
      <c r="AD470" s="443" t="e">
        <f>Ruimtestaat[[#This Row],[uren / jaar werkdagen BSO]]*Tariefsopbouw!$E$35</f>
        <v>#DIV/0!</v>
      </c>
      <c r="AE470" s="444">
        <f>Ruimtestaat[[#This Row],[uren / jaar werkdagen]]*Tariefsopbouw!$E$35</f>
        <v>0</v>
      </c>
      <c r="AF470" s="454"/>
      <c r="AG470" s="455">
        <f>IF(Ruimtestaat[[#This Row],[Frequentie weekend]]&gt;0,VALUE(LEFT(AF470,1))*S470,0)</f>
        <v>0</v>
      </c>
      <c r="AH470" s="455">
        <f>IF($AG470&gt;0,VLOOKUP($J470,Ruimtegroepen[],3,FALSE)*VLOOKUP($L470,Vloersoorten[],3,FALSE)*VLOOKUP($AF470,Frequenties[],3,FALSE)*VLOOKUP(#REF!,Locaties[],3,FALSE),0)</f>
        <v>0</v>
      </c>
      <c r="AI470" s="434">
        <f>Ruimtestaat[[#This Row],[Uitvoeringen weekend]]*Ruimtestaat[[#This Row],[Oppervlak (netto)]]</f>
        <v>0</v>
      </c>
      <c r="AJ470" s="434">
        <f>IF(AH470&gt;0,Ruimtestaat[[#This Row],[Prest. (m2 /jaar) weekend]]/Ruimtestaat[[#This Row],[Norm (m2/uur) weekend]],0)</f>
        <v>0</v>
      </c>
      <c r="AK470" s="444">
        <f>Ruimtestaat[[#This Row],[uren / jaar weekend]]*Tariefsopbouw!$D$40</f>
        <v>0</v>
      </c>
      <c r="AL470" s="441">
        <f>Ruimtestaat[[#This Row],[Prest. (m2 /jaar) weekend]]+Ruimtestaat[[#This Row],[Prest. (m2 /jaar) werkdagen]]</f>
        <v>11220</v>
      </c>
      <c r="AM470" s="441">
        <f>Ruimtestaat[[#This Row],[uren / jaar weekend]]+Ruimtestaat[[#This Row],[uren / jaar werkdagen]]</f>
        <v>0</v>
      </c>
      <c r="AN470" s="446">
        <f>Ruimtestaat[[#This Row],[kosten / jaar weekend]]+Ruimtestaat[[#This Row],[kosten / jaar werkdagen]]</f>
        <v>0</v>
      </c>
      <c r="AO470" s="446"/>
      <c r="AP470" s="446" t="str">
        <f>IF(Ruimtestaat[[#This Row],[Frequentie werkdagen]]="","",_xlfn.CONCAT(Ruimtestaat[[#This Row],[Ruimte code]],"-",Ruimtestaat[[#This Row],[Frequentie werkdagen]]," ",Ruimtestaat[[#This Row],[Vloer code]]))</f>
        <v>16-5w L</v>
      </c>
      <c r="AQ470" s="448" t="str">
        <f>_xlfn.IFNA(VLOOKUP($AP470,Programma!$F$3:$G$1101,2,0),"")</f>
        <v>_</v>
      </c>
      <c r="AR470" s="448" t="str">
        <f>_xlfn.IFNA(VLOOKUP($AP470,Programma!$F$3:$H$1101,3,0),"")</f>
        <v>_</v>
      </c>
      <c r="AS470" s="448" t="str">
        <f>_xlfn.IFNA(VLOOKUP($AP470,Programma!$F$3:$I$1101,4,0),"")</f>
        <v>4w</v>
      </c>
      <c r="AT470" s="448" t="str">
        <f>_xlfn.IFNA(VLOOKUP($AP470,Programma!$F$3:$J$1101,5,0),"")</f>
        <v>1w</v>
      </c>
      <c r="AU470" s="448" t="str">
        <f>_xlfn.IFNA(VLOOKUP($AP470,Programma!$F$3:$K$1101,6,0),"")</f>
        <v>_</v>
      </c>
      <c r="AV470" s="448" t="str">
        <f>_xlfn.IFNA(VLOOKUP($AP470,Programma!$F$3:$L$1101,7,0),"")</f>
        <v>_</v>
      </c>
      <c r="AW470" s="448" t="str">
        <f>_xlfn.IFNA(VLOOKUP($AP470,Programma!$F$3:$M$1101,8,0),"")</f>
        <v>_</v>
      </c>
      <c r="AX470" s="448" t="str">
        <f>_xlfn.IFNA(VLOOKUP($AP470,Programma!$F$3:$N$1101,9,0),"")</f>
        <v>_</v>
      </c>
      <c r="AY470" s="448" t="str">
        <f>_xlfn.IFNA(VLOOKUP($AP470,Programma!$F$3:$O$1101,10,0),"")</f>
        <v>5w</v>
      </c>
      <c r="AZ470" s="448" t="str">
        <f>_xlfn.IFNA(VLOOKUP($AP470,Programma!$F$3:$P$1101,11,0),"")</f>
        <v>5w</v>
      </c>
      <c r="BA470" s="448" t="str">
        <f>_xlfn.IFNA(VLOOKUP($AP470,Programma!$F$3:$Q$1101,12,0),"")</f>
        <v>1w</v>
      </c>
      <c r="BB470" s="448" t="str">
        <f>_xlfn.IFNA(VLOOKUP($AP470,Programma!$F$3:$R$1101,13,0),"")</f>
        <v>1w</v>
      </c>
      <c r="BC470" s="448" t="str">
        <f>_xlfn.IFNA(VLOOKUP($AP470,Programma!$F$3:$S$1101,14,0),"")</f>
        <v>1m</v>
      </c>
      <c r="BD470" s="448" t="str">
        <f>_xlfn.IFNA(VLOOKUP($AP470,Programma!$F$3:$T$1101,15,0),"")</f>
        <v>2j</v>
      </c>
      <c r="BE470" s="448" t="str">
        <f>_xlfn.IFNA(VLOOKUP($AP470,Programma!$F$3:$U$1101,16,0),"")</f>
        <v>1j</v>
      </c>
      <c r="BF470" s="448" t="str">
        <f>_xlfn.IFNA(VLOOKUP($AP470,Programma!$F$3:$V$1101,17,0),"")</f>
        <v>_</v>
      </c>
      <c r="BG470" s="448" t="str">
        <f>_xlfn.IFNA(VLOOKUP($AP470,Programma!$F$3:$W$1101,18,0),"")</f>
        <v>_</v>
      </c>
      <c r="BH470" s="448" t="str">
        <f>_xlfn.IFNA(VLOOKUP($AP470,Programma!$F$3:$X$1101,19,0),"")</f>
        <v>_</v>
      </c>
      <c r="BI470" s="448" t="str">
        <f>_xlfn.IFNA(VLOOKUP($AP470,Programma!$F$3:$Y$1101,20,0),"")</f>
        <v>_</v>
      </c>
      <c r="BJ470" s="449"/>
      <c r="BK470" s="446" t="str">
        <f>IF(Ruimtestaat[[#This Row],[Frequentie weekend]]="","",_xlfn.CONCAT(Ruimtestaat[[#This Row],[Ruimte code]],"-",Ruimtestaat[[#This Row],[Frequentie weekend]]," ",Ruimtestaat[[#This Row],[Vloer code]]))</f>
        <v/>
      </c>
      <c r="BL470" s="448" t="str">
        <f>_xlfn.IFNA(VLOOKUP($BK470,Programma!$F$3:$G$1101,2,0),"")</f>
        <v/>
      </c>
      <c r="BM470" s="448" t="str">
        <f>_xlfn.IFNA(VLOOKUP($BK470,Programma!$F$3:$H$1101,3,0),"")</f>
        <v/>
      </c>
      <c r="BN470" s="448" t="str">
        <f>_xlfn.IFNA(VLOOKUP($BK470,Programma!$F$3:$I$1101,4,0),"")</f>
        <v/>
      </c>
      <c r="BO470" s="448" t="str">
        <f>_xlfn.IFNA(VLOOKUP($BK470,Programma!$F$3:$J$1101,5,0),"")</f>
        <v/>
      </c>
      <c r="BP470" s="448" t="str">
        <f>_xlfn.IFNA(VLOOKUP($BK470,Programma!$F$3:$K$1101,6,0),"")</f>
        <v/>
      </c>
      <c r="BQ470" s="448" t="str">
        <f>_xlfn.IFNA(VLOOKUP($BK470,Programma!$F$3:$L$1101,7,0),"")</f>
        <v/>
      </c>
      <c r="BR470" s="448" t="str">
        <f>_xlfn.IFNA(VLOOKUP($BK470,Programma!$F$3:$M$1101,8,0),"")</f>
        <v/>
      </c>
      <c r="BS470" s="448" t="str">
        <f>_xlfn.IFNA(VLOOKUP($BK470,Programma!$F$3:$N$1101,9,0),"")</f>
        <v/>
      </c>
      <c r="BT470" s="448" t="str">
        <f>_xlfn.IFNA(VLOOKUP($BK470,Programma!$F$3:$O$1101,10,0),"")</f>
        <v/>
      </c>
      <c r="BU470" s="448" t="str">
        <f>_xlfn.IFNA(VLOOKUP($BK470,Programma!$F$3:$P$1101,11,0),"")</f>
        <v/>
      </c>
      <c r="BV470" s="448" t="str">
        <f>_xlfn.IFNA(VLOOKUP($BK470,Programma!$F$3:$Q$1101,12,0),"")</f>
        <v/>
      </c>
      <c r="BW470" s="448" t="str">
        <f>_xlfn.IFNA(VLOOKUP($BK470,Programma!$F$3:$R$1101,13,0),"")</f>
        <v/>
      </c>
      <c r="BX470" s="448" t="str">
        <f>_xlfn.IFNA(VLOOKUP($BK470,Programma!$F$3:$S$1101,14,0),"")</f>
        <v/>
      </c>
      <c r="BY470" s="448" t="str">
        <f>_xlfn.IFNA(VLOOKUP($BK470,Programma!$F$3:$T$1101,15,0),"")</f>
        <v/>
      </c>
      <c r="BZ470" s="448" t="str">
        <f>_xlfn.IFNA(VLOOKUP($BK470,Programma!$F$3:$U$1101,16,0),"")</f>
        <v/>
      </c>
      <c r="CA470" s="448" t="str">
        <f>_xlfn.IFNA(VLOOKUP($BK470,Programma!$F$3:$V$1101,17,0),"")</f>
        <v/>
      </c>
      <c r="CB470" s="448" t="str">
        <f>_xlfn.IFNA(VLOOKUP($BK470,Programma!$F$3:$W$1101,18,0),"")</f>
        <v/>
      </c>
      <c r="CC470" s="448" t="str">
        <f>_xlfn.IFNA(VLOOKUP($BK470,Programma!$F$3:$X$1101,19,0),"")</f>
        <v/>
      </c>
      <c r="CD470" s="448" t="str">
        <f>_xlfn.IFNA(VLOOKUP($BK470,Programma!$F$3:$Y$1101,20,0),"")</f>
        <v/>
      </c>
    </row>
    <row r="471" spans="1:82" ht="15" customHeight="1">
      <c r="A471" s="362">
        <v>18</v>
      </c>
      <c r="B471" s="435" t="str">
        <f>VLOOKUP(Ruimtestaat[[#This Row],[Code]],Locaties[[Code]:[Locatie]],2,FALSE)</f>
        <v>IKC De Triangel</v>
      </c>
      <c r="C471" s="435" t="str">
        <f>VLOOKUP(Ruimtestaat[[#This Row],[Code]],Locaties[[#All],[Code]:[Adres]],4,FALSE)</f>
        <v>Vlasakker 33-35</v>
      </c>
      <c r="D471" s="435" t="str">
        <f>VLOOKUP(Ruimtestaat[[#This Row],[Code]],Locaties[[#All],[Code]:[Postcode]],5,FALSE)</f>
        <v>2723 TP</v>
      </c>
      <c r="E471" s="435" t="str">
        <f>VLOOKUP(Ruimtestaat[[#This Row],[Code]],Locaties[#All],6,FALSE)</f>
        <v>Zoetermeer</v>
      </c>
      <c r="F471" s="450"/>
      <c r="G471" s="330" t="s">
        <v>1678</v>
      </c>
      <c r="H471" s="330">
        <v>17</v>
      </c>
      <c r="I471" s="450" t="s">
        <v>1679</v>
      </c>
      <c r="J471" s="330">
        <v>16</v>
      </c>
      <c r="K471" s="450" t="str">
        <f>VLOOKUP(Ruimtestaat[[#This Row],[Ruimte code]],Ruimtegroepen[[#All],[Code]:[Ruimte omschrijving]],2,FALSE)</f>
        <v>Leslokalen</v>
      </c>
      <c r="L471" s="434" t="s">
        <v>100</v>
      </c>
      <c r="M471" s="437" t="s">
        <v>1759</v>
      </c>
      <c r="N471" s="439">
        <v>56.3</v>
      </c>
      <c r="O471" s="439"/>
      <c r="P471" s="439"/>
      <c r="Q471" s="439"/>
      <c r="R471" s="440" t="str">
        <f>VLOOKUP(Ruimtestaat[[#This Row],[Ruimte code]],Ruimtegroepen[],4,FALSE)</f>
        <v>Le</v>
      </c>
      <c r="S471" s="434">
        <v>40</v>
      </c>
      <c r="T471" s="434" t="s">
        <v>2</v>
      </c>
      <c r="U471" s="453">
        <f>IF(S471&gt;0,IF(RIGHT(Ruimtestaat[[#This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1" s="434">
        <f>IF(U471&gt;0,VLOOKUP($J471,Ruimtegroepen[],3,FALSE)*VLOOKUP($L471,Vloersoorten[],3,FALSE)*VLOOKUP($T471,Frequenties[],3,FALSE)*VLOOKUP($A471,Locaties[],3,FALSE),0)</f>
        <v>0</v>
      </c>
      <c r="W471" s="434">
        <f>Ruimtestaat[[#This Row],[Uitvoeringen werkdagen]]*Ruimtestaat[[#This Row],[Oppervlak (netto)]]</f>
        <v>11260</v>
      </c>
      <c r="X471" s="441">
        <f>IF(V471&gt;0,Ruimtestaat[[#This Row],[Prest. (m2 /jaar) werkdagen]]/Ruimtestaat[[#This Row],[Norm (m2/uur) werkdagen]],0)</f>
        <v>0</v>
      </c>
      <c r="Y471" s="442">
        <f>Ruimtestaat[[#This Row],[Uitvoeringen werkdagen]]*Ruimtestaat[[#This Row],[Gedeeltelijk]]</f>
        <v>0</v>
      </c>
      <c r="Z471" s="443" t="e">
        <f>IF(U471&gt;0,Ruimtestaat[[#This Row],[Prest. (m2 / jaar) werkdagen gedeeld]]/Ruimtestaat[[#This Row],[Norm (m2/uur) werkdagen]],0)</f>
        <v>#DIV/0!</v>
      </c>
      <c r="AA471" s="441" t="e">
        <f>Ruimtestaat[[#This Row],[uren / jaar werkdagen gedeeld]]*Tariefsopbouw!$E$35</f>
        <v>#DIV/0!</v>
      </c>
      <c r="AB471" s="441">
        <f>Ruimtestaat[[#This Row],[Uitvoeringen werkdagen]]*Ruimtestaat[[#This Row],[BSO]]</f>
        <v>0</v>
      </c>
      <c r="AC471" s="443" t="e">
        <f>IF(U471&gt;0,Ruimtestaat[[#This Row],[Prest. (m2 / jaar) werkdagen BSO]]/Ruimtestaat[[#This Row],[Norm (m2/uur) werkdagen]],0)</f>
        <v>#DIV/0!</v>
      </c>
      <c r="AD471" s="443" t="e">
        <f>Ruimtestaat[[#This Row],[uren / jaar werkdagen BSO]]*Tariefsopbouw!$E$35</f>
        <v>#DIV/0!</v>
      </c>
      <c r="AE471" s="444">
        <f>Ruimtestaat[[#This Row],[uren / jaar werkdagen]]*Tariefsopbouw!$E$35</f>
        <v>0</v>
      </c>
      <c r="AF471" s="454"/>
      <c r="AG471" s="455">
        <f>IF(Ruimtestaat[[#This Row],[Frequentie weekend]]&gt;0,VALUE(LEFT(AF471,1))*S471,0)</f>
        <v>0</v>
      </c>
      <c r="AH471" s="455">
        <f>IF($AG471&gt;0,VLOOKUP($J471,Ruimtegroepen[],3,FALSE)*VLOOKUP($L471,Vloersoorten[],3,FALSE)*VLOOKUP($AF471,Frequenties[],3,FALSE)*VLOOKUP(#REF!,Locaties[],3,FALSE),0)</f>
        <v>0</v>
      </c>
      <c r="AI471" s="434">
        <f>Ruimtestaat[[#This Row],[Uitvoeringen weekend]]*Ruimtestaat[[#This Row],[Oppervlak (netto)]]</f>
        <v>0</v>
      </c>
      <c r="AJ471" s="434">
        <f>IF(AH471&gt;0,Ruimtestaat[[#This Row],[Prest. (m2 /jaar) weekend]]/Ruimtestaat[[#This Row],[Norm (m2/uur) weekend]],0)</f>
        <v>0</v>
      </c>
      <c r="AK471" s="444">
        <f>Ruimtestaat[[#This Row],[uren / jaar weekend]]*Tariefsopbouw!$D$40</f>
        <v>0</v>
      </c>
      <c r="AL471" s="441">
        <f>Ruimtestaat[[#This Row],[Prest. (m2 /jaar) weekend]]+Ruimtestaat[[#This Row],[Prest. (m2 /jaar) werkdagen]]</f>
        <v>11260</v>
      </c>
      <c r="AM471" s="441">
        <f>Ruimtestaat[[#This Row],[uren / jaar weekend]]+Ruimtestaat[[#This Row],[uren / jaar werkdagen]]</f>
        <v>0</v>
      </c>
      <c r="AN471" s="446">
        <f>Ruimtestaat[[#This Row],[kosten / jaar weekend]]+Ruimtestaat[[#This Row],[kosten / jaar werkdagen]]</f>
        <v>0</v>
      </c>
      <c r="AO471" s="446"/>
      <c r="AP471" s="446" t="str">
        <f>IF(Ruimtestaat[[#This Row],[Frequentie werkdagen]]="","",_xlfn.CONCAT(Ruimtestaat[[#This Row],[Ruimte code]],"-",Ruimtestaat[[#This Row],[Frequentie werkdagen]]," ",Ruimtestaat[[#This Row],[Vloer code]]))</f>
        <v>16-5w L</v>
      </c>
      <c r="AQ471" s="448" t="str">
        <f>_xlfn.IFNA(VLOOKUP($AP471,Programma!$F$3:$G$1101,2,0),"")</f>
        <v>_</v>
      </c>
      <c r="AR471" s="448" t="str">
        <f>_xlfn.IFNA(VLOOKUP($AP471,Programma!$F$3:$H$1101,3,0),"")</f>
        <v>_</v>
      </c>
      <c r="AS471" s="448" t="str">
        <f>_xlfn.IFNA(VLOOKUP($AP471,Programma!$F$3:$I$1101,4,0),"")</f>
        <v>4w</v>
      </c>
      <c r="AT471" s="448" t="str">
        <f>_xlfn.IFNA(VLOOKUP($AP471,Programma!$F$3:$J$1101,5,0),"")</f>
        <v>1w</v>
      </c>
      <c r="AU471" s="448" t="str">
        <f>_xlfn.IFNA(VLOOKUP($AP471,Programma!$F$3:$K$1101,6,0),"")</f>
        <v>_</v>
      </c>
      <c r="AV471" s="448" t="str">
        <f>_xlfn.IFNA(VLOOKUP($AP471,Programma!$F$3:$L$1101,7,0),"")</f>
        <v>_</v>
      </c>
      <c r="AW471" s="448" t="str">
        <f>_xlfn.IFNA(VLOOKUP($AP471,Programma!$F$3:$M$1101,8,0),"")</f>
        <v>_</v>
      </c>
      <c r="AX471" s="448" t="str">
        <f>_xlfn.IFNA(VLOOKUP($AP471,Programma!$F$3:$N$1101,9,0),"")</f>
        <v>_</v>
      </c>
      <c r="AY471" s="448" t="str">
        <f>_xlfn.IFNA(VLOOKUP($AP471,Programma!$F$3:$O$1101,10,0),"")</f>
        <v>5w</v>
      </c>
      <c r="AZ471" s="448" t="str">
        <f>_xlfn.IFNA(VLOOKUP($AP471,Programma!$F$3:$P$1101,11,0),"")</f>
        <v>5w</v>
      </c>
      <c r="BA471" s="448" t="str">
        <f>_xlfn.IFNA(VLOOKUP($AP471,Programma!$F$3:$Q$1101,12,0),"")</f>
        <v>1w</v>
      </c>
      <c r="BB471" s="448" t="str">
        <f>_xlfn.IFNA(VLOOKUP($AP471,Programma!$F$3:$R$1101,13,0),"")</f>
        <v>1w</v>
      </c>
      <c r="BC471" s="448" t="str">
        <f>_xlfn.IFNA(VLOOKUP($AP471,Programma!$F$3:$S$1101,14,0),"")</f>
        <v>1m</v>
      </c>
      <c r="BD471" s="448" t="str">
        <f>_xlfn.IFNA(VLOOKUP($AP471,Programma!$F$3:$T$1101,15,0),"")</f>
        <v>2j</v>
      </c>
      <c r="BE471" s="448" t="str">
        <f>_xlfn.IFNA(VLOOKUP($AP471,Programma!$F$3:$U$1101,16,0),"")</f>
        <v>1j</v>
      </c>
      <c r="BF471" s="448" t="str">
        <f>_xlfn.IFNA(VLOOKUP($AP471,Programma!$F$3:$V$1101,17,0),"")</f>
        <v>_</v>
      </c>
      <c r="BG471" s="448" t="str">
        <f>_xlfn.IFNA(VLOOKUP($AP471,Programma!$F$3:$W$1101,18,0),"")</f>
        <v>_</v>
      </c>
      <c r="BH471" s="448" t="str">
        <f>_xlfn.IFNA(VLOOKUP($AP471,Programma!$F$3:$X$1101,19,0),"")</f>
        <v>_</v>
      </c>
      <c r="BI471" s="448" t="str">
        <f>_xlfn.IFNA(VLOOKUP($AP471,Programma!$F$3:$Y$1101,20,0),"")</f>
        <v>_</v>
      </c>
      <c r="BJ471" s="449"/>
      <c r="BK471" s="446" t="str">
        <f>IF(Ruimtestaat[[#This Row],[Frequentie weekend]]="","",_xlfn.CONCAT(Ruimtestaat[[#This Row],[Ruimte code]],"-",Ruimtestaat[[#This Row],[Frequentie weekend]]," ",Ruimtestaat[[#This Row],[Vloer code]]))</f>
        <v/>
      </c>
      <c r="BL471" s="448" t="str">
        <f>_xlfn.IFNA(VLOOKUP($BK471,Programma!$F$3:$G$1101,2,0),"")</f>
        <v/>
      </c>
      <c r="BM471" s="448" t="str">
        <f>_xlfn.IFNA(VLOOKUP($BK471,Programma!$F$3:$H$1101,3,0),"")</f>
        <v/>
      </c>
      <c r="BN471" s="448" t="str">
        <f>_xlfn.IFNA(VLOOKUP($BK471,Programma!$F$3:$I$1101,4,0),"")</f>
        <v/>
      </c>
      <c r="BO471" s="448" t="str">
        <f>_xlfn.IFNA(VLOOKUP($BK471,Programma!$F$3:$J$1101,5,0),"")</f>
        <v/>
      </c>
      <c r="BP471" s="448" t="str">
        <f>_xlfn.IFNA(VLOOKUP($BK471,Programma!$F$3:$K$1101,6,0),"")</f>
        <v/>
      </c>
      <c r="BQ471" s="448" t="str">
        <f>_xlfn.IFNA(VLOOKUP($BK471,Programma!$F$3:$L$1101,7,0),"")</f>
        <v/>
      </c>
      <c r="BR471" s="448" t="str">
        <f>_xlfn.IFNA(VLOOKUP($BK471,Programma!$F$3:$M$1101,8,0),"")</f>
        <v/>
      </c>
      <c r="BS471" s="448" t="str">
        <f>_xlfn.IFNA(VLOOKUP($BK471,Programma!$F$3:$N$1101,9,0),"")</f>
        <v/>
      </c>
      <c r="BT471" s="448" t="str">
        <f>_xlfn.IFNA(VLOOKUP($BK471,Programma!$F$3:$O$1101,10,0),"")</f>
        <v/>
      </c>
      <c r="BU471" s="448" t="str">
        <f>_xlfn.IFNA(VLOOKUP($BK471,Programma!$F$3:$P$1101,11,0),"")</f>
        <v/>
      </c>
      <c r="BV471" s="448" t="str">
        <f>_xlfn.IFNA(VLOOKUP($BK471,Programma!$F$3:$Q$1101,12,0),"")</f>
        <v/>
      </c>
      <c r="BW471" s="448" t="str">
        <f>_xlfn.IFNA(VLOOKUP($BK471,Programma!$F$3:$R$1101,13,0),"")</f>
        <v/>
      </c>
      <c r="BX471" s="448" t="str">
        <f>_xlfn.IFNA(VLOOKUP($BK471,Programma!$F$3:$S$1101,14,0),"")</f>
        <v/>
      </c>
      <c r="BY471" s="448" t="str">
        <f>_xlfn.IFNA(VLOOKUP($BK471,Programma!$F$3:$T$1101,15,0),"")</f>
        <v/>
      </c>
      <c r="BZ471" s="448" t="str">
        <f>_xlfn.IFNA(VLOOKUP($BK471,Programma!$F$3:$U$1101,16,0),"")</f>
        <v/>
      </c>
      <c r="CA471" s="448" t="str">
        <f>_xlfn.IFNA(VLOOKUP($BK471,Programma!$F$3:$V$1101,17,0),"")</f>
        <v/>
      </c>
      <c r="CB471" s="448" t="str">
        <f>_xlfn.IFNA(VLOOKUP($BK471,Programma!$F$3:$W$1101,18,0),"")</f>
        <v/>
      </c>
      <c r="CC471" s="448" t="str">
        <f>_xlfn.IFNA(VLOOKUP($BK471,Programma!$F$3:$X$1101,19,0),"")</f>
        <v/>
      </c>
      <c r="CD471" s="448" t="str">
        <f>_xlfn.IFNA(VLOOKUP($BK471,Programma!$F$3:$Y$1101,20,0),"")</f>
        <v/>
      </c>
    </row>
    <row r="472" spans="1:82" ht="15" customHeight="1">
      <c r="A472" s="362">
        <v>18</v>
      </c>
      <c r="B472" s="435" t="str">
        <f>VLOOKUP(Ruimtestaat[[#This Row],[Code]],Locaties[[Code]:[Locatie]],2,FALSE)</f>
        <v>IKC De Triangel</v>
      </c>
      <c r="C472" s="435" t="str">
        <f>VLOOKUP(Ruimtestaat[[#This Row],[Code]],Locaties[[#All],[Code]:[Adres]],4,FALSE)</f>
        <v>Vlasakker 33-35</v>
      </c>
      <c r="D472" s="435" t="str">
        <f>VLOOKUP(Ruimtestaat[[#This Row],[Code]],Locaties[[#All],[Code]:[Postcode]],5,FALSE)</f>
        <v>2723 TP</v>
      </c>
      <c r="E472" s="435" t="str">
        <f>VLOOKUP(Ruimtestaat[[#This Row],[Code]],Locaties[#All],6,FALSE)</f>
        <v>Zoetermeer</v>
      </c>
      <c r="F472" s="450"/>
      <c r="G472" s="330" t="s">
        <v>1678</v>
      </c>
      <c r="H472" s="330">
        <v>18</v>
      </c>
      <c r="I472" s="450" t="s">
        <v>1679</v>
      </c>
      <c r="J472" s="330">
        <v>16</v>
      </c>
      <c r="K472" s="450" t="str">
        <f>VLOOKUP(Ruimtestaat[[#This Row],[Ruimte code]],Ruimtegroepen[[#All],[Code]:[Ruimte omschrijving]],2,FALSE)</f>
        <v>Leslokalen</v>
      </c>
      <c r="L472" s="434" t="s">
        <v>100</v>
      </c>
      <c r="M472" s="437" t="s">
        <v>1759</v>
      </c>
      <c r="N472" s="439">
        <v>63.2</v>
      </c>
      <c r="O472" s="439"/>
      <c r="P472" s="439"/>
      <c r="Q472" s="439"/>
      <c r="R472" s="440" t="str">
        <f>VLOOKUP(Ruimtestaat[[#This Row],[Ruimte code]],Ruimtegroepen[],4,FALSE)</f>
        <v>Le</v>
      </c>
      <c r="S472" s="434">
        <v>40</v>
      </c>
      <c r="T472" s="434" t="s">
        <v>2</v>
      </c>
      <c r="U472" s="453">
        <f>IF(S472&gt;0,IF(RIGHT(Ruimtestaat[[#This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2" s="434">
        <f>IF(U472&gt;0,VLOOKUP($J472,Ruimtegroepen[],3,FALSE)*VLOOKUP($L472,Vloersoorten[],3,FALSE)*VLOOKUP($T472,Frequenties[],3,FALSE)*VLOOKUP($A472,Locaties[],3,FALSE),0)</f>
        <v>0</v>
      </c>
      <c r="W472" s="434">
        <f>Ruimtestaat[[#This Row],[Uitvoeringen werkdagen]]*Ruimtestaat[[#This Row],[Oppervlak (netto)]]</f>
        <v>12640</v>
      </c>
      <c r="X472" s="441">
        <f>IF(V472&gt;0,Ruimtestaat[[#This Row],[Prest. (m2 /jaar) werkdagen]]/Ruimtestaat[[#This Row],[Norm (m2/uur) werkdagen]],0)</f>
        <v>0</v>
      </c>
      <c r="Y472" s="442">
        <f>Ruimtestaat[[#This Row],[Uitvoeringen werkdagen]]*Ruimtestaat[[#This Row],[Gedeeltelijk]]</f>
        <v>0</v>
      </c>
      <c r="Z472" s="443" t="e">
        <f>IF(U472&gt;0,Ruimtestaat[[#This Row],[Prest. (m2 / jaar) werkdagen gedeeld]]/Ruimtestaat[[#This Row],[Norm (m2/uur) werkdagen]],0)</f>
        <v>#DIV/0!</v>
      </c>
      <c r="AA472" s="441" t="e">
        <f>Ruimtestaat[[#This Row],[uren / jaar werkdagen gedeeld]]*Tariefsopbouw!$E$35</f>
        <v>#DIV/0!</v>
      </c>
      <c r="AB472" s="441">
        <f>Ruimtestaat[[#This Row],[Uitvoeringen werkdagen]]*Ruimtestaat[[#This Row],[BSO]]</f>
        <v>0</v>
      </c>
      <c r="AC472" s="443" t="e">
        <f>IF(U472&gt;0,Ruimtestaat[[#This Row],[Prest. (m2 / jaar) werkdagen BSO]]/Ruimtestaat[[#This Row],[Norm (m2/uur) werkdagen]],0)</f>
        <v>#DIV/0!</v>
      </c>
      <c r="AD472" s="443" t="e">
        <f>Ruimtestaat[[#This Row],[uren / jaar werkdagen BSO]]*Tariefsopbouw!$E$35</f>
        <v>#DIV/0!</v>
      </c>
      <c r="AE472" s="444">
        <f>Ruimtestaat[[#This Row],[uren / jaar werkdagen]]*Tariefsopbouw!$E$35</f>
        <v>0</v>
      </c>
      <c r="AF472" s="454"/>
      <c r="AG472" s="455">
        <f>IF(Ruimtestaat[[#This Row],[Frequentie weekend]]&gt;0,VALUE(LEFT(AF472,1))*S472,0)</f>
        <v>0</v>
      </c>
      <c r="AH472" s="455">
        <f>IF($AG472&gt;0,VLOOKUP($J472,Ruimtegroepen[],3,FALSE)*VLOOKUP($L472,Vloersoorten[],3,FALSE)*VLOOKUP($AF472,Frequenties[],3,FALSE)*VLOOKUP(#REF!,Locaties[],3,FALSE),0)</f>
        <v>0</v>
      </c>
      <c r="AI472" s="434">
        <f>Ruimtestaat[[#This Row],[Uitvoeringen weekend]]*Ruimtestaat[[#This Row],[Oppervlak (netto)]]</f>
        <v>0</v>
      </c>
      <c r="AJ472" s="434">
        <f>IF(AH472&gt;0,Ruimtestaat[[#This Row],[Prest. (m2 /jaar) weekend]]/Ruimtestaat[[#This Row],[Norm (m2/uur) weekend]],0)</f>
        <v>0</v>
      </c>
      <c r="AK472" s="444">
        <f>Ruimtestaat[[#This Row],[uren / jaar weekend]]*Tariefsopbouw!$D$40</f>
        <v>0</v>
      </c>
      <c r="AL472" s="441">
        <f>Ruimtestaat[[#This Row],[Prest. (m2 /jaar) weekend]]+Ruimtestaat[[#This Row],[Prest. (m2 /jaar) werkdagen]]</f>
        <v>12640</v>
      </c>
      <c r="AM472" s="441">
        <f>Ruimtestaat[[#This Row],[uren / jaar weekend]]+Ruimtestaat[[#This Row],[uren / jaar werkdagen]]</f>
        <v>0</v>
      </c>
      <c r="AN472" s="446">
        <f>Ruimtestaat[[#This Row],[kosten / jaar weekend]]+Ruimtestaat[[#This Row],[kosten / jaar werkdagen]]</f>
        <v>0</v>
      </c>
      <c r="AO472" s="446"/>
      <c r="AP472" s="446" t="str">
        <f>IF(Ruimtestaat[[#This Row],[Frequentie werkdagen]]="","",_xlfn.CONCAT(Ruimtestaat[[#This Row],[Ruimte code]],"-",Ruimtestaat[[#This Row],[Frequentie werkdagen]]," ",Ruimtestaat[[#This Row],[Vloer code]]))</f>
        <v>16-5w L</v>
      </c>
      <c r="AQ472" s="448" t="str">
        <f>_xlfn.IFNA(VLOOKUP($AP472,Programma!$F$3:$G$1101,2,0),"")</f>
        <v>_</v>
      </c>
      <c r="AR472" s="448" t="str">
        <f>_xlfn.IFNA(VLOOKUP($AP472,Programma!$F$3:$H$1101,3,0),"")</f>
        <v>_</v>
      </c>
      <c r="AS472" s="448" t="str">
        <f>_xlfn.IFNA(VLOOKUP($AP472,Programma!$F$3:$I$1101,4,0),"")</f>
        <v>4w</v>
      </c>
      <c r="AT472" s="448" t="str">
        <f>_xlfn.IFNA(VLOOKUP($AP472,Programma!$F$3:$J$1101,5,0),"")</f>
        <v>1w</v>
      </c>
      <c r="AU472" s="448" t="str">
        <f>_xlfn.IFNA(VLOOKUP($AP472,Programma!$F$3:$K$1101,6,0),"")</f>
        <v>_</v>
      </c>
      <c r="AV472" s="448" t="str">
        <f>_xlfn.IFNA(VLOOKUP($AP472,Programma!$F$3:$L$1101,7,0),"")</f>
        <v>_</v>
      </c>
      <c r="AW472" s="448" t="str">
        <f>_xlfn.IFNA(VLOOKUP($AP472,Programma!$F$3:$M$1101,8,0),"")</f>
        <v>_</v>
      </c>
      <c r="AX472" s="448" t="str">
        <f>_xlfn.IFNA(VLOOKUP($AP472,Programma!$F$3:$N$1101,9,0),"")</f>
        <v>_</v>
      </c>
      <c r="AY472" s="448" t="str">
        <f>_xlfn.IFNA(VLOOKUP($AP472,Programma!$F$3:$O$1101,10,0),"")</f>
        <v>5w</v>
      </c>
      <c r="AZ472" s="448" t="str">
        <f>_xlfn.IFNA(VLOOKUP($AP472,Programma!$F$3:$P$1101,11,0),"")</f>
        <v>5w</v>
      </c>
      <c r="BA472" s="448" t="str">
        <f>_xlfn.IFNA(VLOOKUP($AP472,Programma!$F$3:$Q$1101,12,0),"")</f>
        <v>1w</v>
      </c>
      <c r="BB472" s="448" t="str">
        <f>_xlfn.IFNA(VLOOKUP($AP472,Programma!$F$3:$R$1101,13,0),"")</f>
        <v>1w</v>
      </c>
      <c r="BC472" s="448" t="str">
        <f>_xlfn.IFNA(VLOOKUP($AP472,Programma!$F$3:$S$1101,14,0),"")</f>
        <v>1m</v>
      </c>
      <c r="BD472" s="448" t="str">
        <f>_xlfn.IFNA(VLOOKUP($AP472,Programma!$F$3:$T$1101,15,0),"")</f>
        <v>2j</v>
      </c>
      <c r="BE472" s="448" t="str">
        <f>_xlfn.IFNA(VLOOKUP($AP472,Programma!$F$3:$U$1101,16,0),"")</f>
        <v>1j</v>
      </c>
      <c r="BF472" s="448" t="str">
        <f>_xlfn.IFNA(VLOOKUP($AP472,Programma!$F$3:$V$1101,17,0),"")</f>
        <v>_</v>
      </c>
      <c r="BG472" s="448" t="str">
        <f>_xlfn.IFNA(VLOOKUP($AP472,Programma!$F$3:$W$1101,18,0),"")</f>
        <v>_</v>
      </c>
      <c r="BH472" s="448" t="str">
        <f>_xlfn.IFNA(VLOOKUP($AP472,Programma!$F$3:$X$1101,19,0),"")</f>
        <v>_</v>
      </c>
      <c r="BI472" s="448" t="str">
        <f>_xlfn.IFNA(VLOOKUP($AP472,Programma!$F$3:$Y$1101,20,0),"")</f>
        <v>_</v>
      </c>
      <c r="BJ472" s="449"/>
      <c r="BK472" s="446" t="str">
        <f>IF(Ruimtestaat[[#This Row],[Frequentie weekend]]="","",_xlfn.CONCAT(Ruimtestaat[[#This Row],[Ruimte code]],"-",Ruimtestaat[[#This Row],[Frequentie weekend]]," ",Ruimtestaat[[#This Row],[Vloer code]]))</f>
        <v/>
      </c>
      <c r="BL472" s="448" t="str">
        <f>_xlfn.IFNA(VLOOKUP($BK472,Programma!$F$3:$G$1101,2,0),"")</f>
        <v/>
      </c>
      <c r="BM472" s="448" t="str">
        <f>_xlfn.IFNA(VLOOKUP($BK472,Programma!$F$3:$H$1101,3,0),"")</f>
        <v/>
      </c>
      <c r="BN472" s="448" t="str">
        <f>_xlfn.IFNA(VLOOKUP($BK472,Programma!$F$3:$I$1101,4,0),"")</f>
        <v/>
      </c>
      <c r="BO472" s="448" t="str">
        <f>_xlfn.IFNA(VLOOKUP($BK472,Programma!$F$3:$J$1101,5,0),"")</f>
        <v/>
      </c>
      <c r="BP472" s="448" t="str">
        <f>_xlfn.IFNA(VLOOKUP($BK472,Programma!$F$3:$K$1101,6,0),"")</f>
        <v/>
      </c>
      <c r="BQ472" s="448" t="str">
        <f>_xlfn.IFNA(VLOOKUP($BK472,Programma!$F$3:$L$1101,7,0),"")</f>
        <v/>
      </c>
      <c r="BR472" s="448" t="str">
        <f>_xlfn.IFNA(VLOOKUP($BK472,Programma!$F$3:$M$1101,8,0),"")</f>
        <v/>
      </c>
      <c r="BS472" s="448" t="str">
        <f>_xlfn.IFNA(VLOOKUP($BK472,Programma!$F$3:$N$1101,9,0),"")</f>
        <v/>
      </c>
      <c r="BT472" s="448" t="str">
        <f>_xlfn.IFNA(VLOOKUP($BK472,Programma!$F$3:$O$1101,10,0),"")</f>
        <v/>
      </c>
      <c r="BU472" s="448" t="str">
        <f>_xlfn.IFNA(VLOOKUP($BK472,Programma!$F$3:$P$1101,11,0),"")</f>
        <v/>
      </c>
      <c r="BV472" s="448" t="str">
        <f>_xlfn.IFNA(VLOOKUP($BK472,Programma!$F$3:$Q$1101,12,0),"")</f>
        <v/>
      </c>
      <c r="BW472" s="448" t="str">
        <f>_xlfn.IFNA(VLOOKUP($BK472,Programma!$F$3:$R$1101,13,0),"")</f>
        <v/>
      </c>
      <c r="BX472" s="448" t="str">
        <f>_xlfn.IFNA(VLOOKUP($BK472,Programma!$F$3:$S$1101,14,0),"")</f>
        <v/>
      </c>
      <c r="BY472" s="448" t="str">
        <f>_xlfn.IFNA(VLOOKUP($BK472,Programma!$F$3:$T$1101,15,0),"")</f>
        <v/>
      </c>
      <c r="BZ472" s="448" t="str">
        <f>_xlfn.IFNA(VLOOKUP($BK472,Programma!$F$3:$U$1101,16,0),"")</f>
        <v/>
      </c>
      <c r="CA472" s="448" t="str">
        <f>_xlfn.IFNA(VLOOKUP($BK472,Programma!$F$3:$V$1101,17,0),"")</f>
        <v/>
      </c>
      <c r="CB472" s="448" t="str">
        <f>_xlfn.IFNA(VLOOKUP($BK472,Programma!$F$3:$W$1101,18,0),"")</f>
        <v/>
      </c>
      <c r="CC472" s="448" t="str">
        <f>_xlfn.IFNA(VLOOKUP($BK472,Programma!$F$3:$X$1101,19,0),"")</f>
        <v/>
      </c>
      <c r="CD472" s="448" t="str">
        <f>_xlfn.IFNA(VLOOKUP($BK472,Programma!$F$3:$Y$1101,20,0),"")</f>
        <v/>
      </c>
    </row>
    <row r="473" spans="1:82" ht="15" customHeight="1">
      <c r="A473" s="362">
        <v>18</v>
      </c>
      <c r="B473" s="435" t="str">
        <f>VLOOKUP(Ruimtestaat[[#This Row],[Code]],Locaties[[Code]:[Locatie]],2,FALSE)</f>
        <v>IKC De Triangel</v>
      </c>
      <c r="C473" s="435" t="str">
        <f>VLOOKUP(Ruimtestaat[[#This Row],[Code]],Locaties[[#All],[Code]:[Adres]],4,FALSE)</f>
        <v>Vlasakker 33-35</v>
      </c>
      <c r="D473" s="435" t="str">
        <f>VLOOKUP(Ruimtestaat[[#This Row],[Code]],Locaties[[#All],[Code]:[Postcode]],5,FALSE)</f>
        <v>2723 TP</v>
      </c>
      <c r="E473" s="435" t="str">
        <f>VLOOKUP(Ruimtestaat[[#This Row],[Code]],Locaties[#All],6,FALSE)</f>
        <v>Zoetermeer</v>
      </c>
      <c r="F473" s="450"/>
      <c r="G473" s="330" t="s">
        <v>1678</v>
      </c>
      <c r="H473" s="330">
        <v>19</v>
      </c>
      <c r="I473" s="450" t="s">
        <v>1726</v>
      </c>
      <c r="J473" s="330">
        <v>16</v>
      </c>
      <c r="K473" s="450" t="str">
        <f>VLOOKUP(Ruimtestaat[[#This Row],[Ruimte code]],Ruimtegroepen[[#All],[Code]:[Ruimte omschrijving]],2,FALSE)</f>
        <v>Leslokalen</v>
      </c>
      <c r="L473" s="434" t="s">
        <v>100</v>
      </c>
      <c r="M473" s="437" t="s">
        <v>1759</v>
      </c>
      <c r="N473" s="439">
        <v>85</v>
      </c>
      <c r="O473" s="439"/>
      <c r="P473" s="439"/>
      <c r="Q473" s="439"/>
      <c r="R473" s="440" t="str">
        <f>VLOOKUP(Ruimtestaat[[#This Row],[Ruimte code]],Ruimtegroepen[],4,FALSE)</f>
        <v>Le</v>
      </c>
      <c r="S473" s="434">
        <v>40</v>
      </c>
      <c r="T473" s="434" t="s">
        <v>2</v>
      </c>
      <c r="U473" s="453">
        <f>IF(S473&gt;0,IF(RIGHT(Ruimtestaat[[#This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3" s="434">
        <f>IF(U473&gt;0,VLOOKUP($J473,Ruimtegroepen[],3,FALSE)*VLOOKUP($L473,Vloersoorten[],3,FALSE)*VLOOKUP($T473,Frequenties[],3,FALSE)*VLOOKUP($A473,Locaties[],3,FALSE),0)</f>
        <v>0</v>
      </c>
      <c r="W473" s="434">
        <f>Ruimtestaat[[#This Row],[Uitvoeringen werkdagen]]*Ruimtestaat[[#This Row],[Oppervlak (netto)]]</f>
        <v>17000</v>
      </c>
      <c r="X473" s="441">
        <f>IF(V473&gt;0,Ruimtestaat[[#This Row],[Prest. (m2 /jaar) werkdagen]]/Ruimtestaat[[#This Row],[Norm (m2/uur) werkdagen]],0)</f>
        <v>0</v>
      </c>
      <c r="Y473" s="442">
        <f>Ruimtestaat[[#This Row],[Uitvoeringen werkdagen]]*Ruimtestaat[[#This Row],[Gedeeltelijk]]</f>
        <v>0</v>
      </c>
      <c r="Z473" s="443" t="e">
        <f>IF(U473&gt;0,Ruimtestaat[[#This Row],[Prest. (m2 / jaar) werkdagen gedeeld]]/Ruimtestaat[[#This Row],[Norm (m2/uur) werkdagen]],0)</f>
        <v>#DIV/0!</v>
      </c>
      <c r="AA473" s="441" t="e">
        <f>Ruimtestaat[[#This Row],[uren / jaar werkdagen gedeeld]]*Tariefsopbouw!$E$35</f>
        <v>#DIV/0!</v>
      </c>
      <c r="AB473" s="441">
        <f>Ruimtestaat[[#This Row],[Uitvoeringen werkdagen]]*Ruimtestaat[[#This Row],[BSO]]</f>
        <v>0</v>
      </c>
      <c r="AC473" s="443" t="e">
        <f>IF(U473&gt;0,Ruimtestaat[[#This Row],[Prest. (m2 / jaar) werkdagen BSO]]/Ruimtestaat[[#This Row],[Norm (m2/uur) werkdagen]],0)</f>
        <v>#DIV/0!</v>
      </c>
      <c r="AD473" s="443" t="e">
        <f>Ruimtestaat[[#This Row],[uren / jaar werkdagen BSO]]*Tariefsopbouw!$E$35</f>
        <v>#DIV/0!</v>
      </c>
      <c r="AE473" s="444">
        <f>Ruimtestaat[[#This Row],[uren / jaar werkdagen]]*Tariefsopbouw!$E$35</f>
        <v>0</v>
      </c>
      <c r="AF473" s="454"/>
      <c r="AG473" s="455">
        <f>IF(Ruimtestaat[[#This Row],[Frequentie weekend]]&gt;0,VALUE(LEFT(AF473,1))*S473,0)</f>
        <v>0</v>
      </c>
      <c r="AH473" s="455">
        <f>IF($AG473&gt;0,VLOOKUP($J473,Ruimtegroepen[],3,FALSE)*VLOOKUP($L473,Vloersoorten[],3,FALSE)*VLOOKUP($AF473,Frequenties[],3,FALSE)*VLOOKUP(#REF!,Locaties[],3,FALSE),0)</f>
        <v>0</v>
      </c>
      <c r="AI473" s="434">
        <f>Ruimtestaat[[#This Row],[Uitvoeringen weekend]]*Ruimtestaat[[#This Row],[Oppervlak (netto)]]</f>
        <v>0</v>
      </c>
      <c r="AJ473" s="434">
        <f>IF(AH473&gt;0,Ruimtestaat[[#This Row],[Prest. (m2 /jaar) weekend]]/Ruimtestaat[[#This Row],[Norm (m2/uur) weekend]],0)</f>
        <v>0</v>
      </c>
      <c r="AK473" s="444">
        <f>Ruimtestaat[[#This Row],[uren / jaar weekend]]*Tariefsopbouw!$D$40</f>
        <v>0</v>
      </c>
      <c r="AL473" s="441">
        <f>Ruimtestaat[[#This Row],[Prest. (m2 /jaar) weekend]]+Ruimtestaat[[#This Row],[Prest. (m2 /jaar) werkdagen]]</f>
        <v>17000</v>
      </c>
      <c r="AM473" s="441">
        <f>Ruimtestaat[[#This Row],[uren / jaar weekend]]+Ruimtestaat[[#This Row],[uren / jaar werkdagen]]</f>
        <v>0</v>
      </c>
      <c r="AN473" s="446">
        <f>Ruimtestaat[[#This Row],[kosten / jaar weekend]]+Ruimtestaat[[#This Row],[kosten / jaar werkdagen]]</f>
        <v>0</v>
      </c>
      <c r="AO473" s="446"/>
      <c r="AP473" s="446" t="str">
        <f>IF(Ruimtestaat[[#This Row],[Frequentie werkdagen]]="","",_xlfn.CONCAT(Ruimtestaat[[#This Row],[Ruimte code]],"-",Ruimtestaat[[#This Row],[Frequentie werkdagen]]," ",Ruimtestaat[[#This Row],[Vloer code]]))</f>
        <v>16-5w L</v>
      </c>
      <c r="AQ473" s="448" t="str">
        <f>_xlfn.IFNA(VLOOKUP($AP473,Programma!$F$3:$G$1101,2,0),"")</f>
        <v>_</v>
      </c>
      <c r="AR473" s="448" t="str">
        <f>_xlfn.IFNA(VLOOKUP($AP473,Programma!$F$3:$H$1101,3,0),"")</f>
        <v>_</v>
      </c>
      <c r="AS473" s="448" t="str">
        <f>_xlfn.IFNA(VLOOKUP($AP473,Programma!$F$3:$I$1101,4,0),"")</f>
        <v>4w</v>
      </c>
      <c r="AT473" s="448" t="str">
        <f>_xlfn.IFNA(VLOOKUP($AP473,Programma!$F$3:$J$1101,5,0),"")</f>
        <v>1w</v>
      </c>
      <c r="AU473" s="448" t="str">
        <f>_xlfn.IFNA(VLOOKUP($AP473,Programma!$F$3:$K$1101,6,0),"")</f>
        <v>_</v>
      </c>
      <c r="AV473" s="448" t="str">
        <f>_xlfn.IFNA(VLOOKUP($AP473,Programma!$F$3:$L$1101,7,0),"")</f>
        <v>_</v>
      </c>
      <c r="AW473" s="448" t="str">
        <f>_xlfn.IFNA(VLOOKUP($AP473,Programma!$F$3:$M$1101,8,0),"")</f>
        <v>_</v>
      </c>
      <c r="AX473" s="448" t="str">
        <f>_xlfn.IFNA(VLOOKUP($AP473,Programma!$F$3:$N$1101,9,0),"")</f>
        <v>_</v>
      </c>
      <c r="AY473" s="448" t="str">
        <f>_xlfn.IFNA(VLOOKUP($AP473,Programma!$F$3:$O$1101,10,0),"")</f>
        <v>5w</v>
      </c>
      <c r="AZ473" s="448" t="str">
        <f>_xlfn.IFNA(VLOOKUP($AP473,Programma!$F$3:$P$1101,11,0),"")</f>
        <v>5w</v>
      </c>
      <c r="BA473" s="448" t="str">
        <f>_xlfn.IFNA(VLOOKUP($AP473,Programma!$F$3:$Q$1101,12,0),"")</f>
        <v>1w</v>
      </c>
      <c r="BB473" s="448" t="str">
        <f>_xlfn.IFNA(VLOOKUP($AP473,Programma!$F$3:$R$1101,13,0),"")</f>
        <v>1w</v>
      </c>
      <c r="BC473" s="448" t="str">
        <f>_xlfn.IFNA(VLOOKUP($AP473,Programma!$F$3:$S$1101,14,0),"")</f>
        <v>1m</v>
      </c>
      <c r="BD473" s="448" t="str">
        <f>_xlfn.IFNA(VLOOKUP($AP473,Programma!$F$3:$T$1101,15,0),"")</f>
        <v>2j</v>
      </c>
      <c r="BE473" s="448" t="str">
        <f>_xlfn.IFNA(VLOOKUP($AP473,Programma!$F$3:$U$1101,16,0),"")</f>
        <v>1j</v>
      </c>
      <c r="BF473" s="448" t="str">
        <f>_xlfn.IFNA(VLOOKUP($AP473,Programma!$F$3:$V$1101,17,0),"")</f>
        <v>_</v>
      </c>
      <c r="BG473" s="448" t="str">
        <f>_xlfn.IFNA(VLOOKUP($AP473,Programma!$F$3:$W$1101,18,0),"")</f>
        <v>_</v>
      </c>
      <c r="BH473" s="448" t="str">
        <f>_xlfn.IFNA(VLOOKUP($AP473,Programma!$F$3:$X$1101,19,0),"")</f>
        <v>_</v>
      </c>
      <c r="BI473" s="448" t="str">
        <f>_xlfn.IFNA(VLOOKUP($AP473,Programma!$F$3:$Y$1101,20,0),"")</f>
        <v>_</v>
      </c>
      <c r="BJ473" s="449"/>
      <c r="BK473" s="446" t="str">
        <f>IF(Ruimtestaat[[#This Row],[Frequentie weekend]]="","",_xlfn.CONCAT(Ruimtestaat[[#This Row],[Ruimte code]],"-",Ruimtestaat[[#This Row],[Frequentie weekend]]," ",Ruimtestaat[[#This Row],[Vloer code]]))</f>
        <v/>
      </c>
      <c r="BL473" s="448" t="str">
        <f>_xlfn.IFNA(VLOOKUP($BK473,Programma!$F$3:$G$1101,2,0),"")</f>
        <v/>
      </c>
      <c r="BM473" s="448" t="str">
        <f>_xlfn.IFNA(VLOOKUP($BK473,Programma!$F$3:$H$1101,3,0),"")</f>
        <v/>
      </c>
      <c r="BN473" s="448" t="str">
        <f>_xlfn.IFNA(VLOOKUP($BK473,Programma!$F$3:$I$1101,4,0),"")</f>
        <v/>
      </c>
      <c r="BO473" s="448" t="str">
        <f>_xlfn.IFNA(VLOOKUP($BK473,Programma!$F$3:$J$1101,5,0),"")</f>
        <v/>
      </c>
      <c r="BP473" s="448" t="str">
        <f>_xlfn.IFNA(VLOOKUP($BK473,Programma!$F$3:$K$1101,6,0),"")</f>
        <v/>
      </c>
      <c r="BQ473" s="448" t="str">
        <f>_xlfn.IFNA(VLOOKUP($BK473,Programma!$F$3:$L$1101,7,0),"")</f>
        <v/>
      </c>
      <c r="BR473" s="448" t="str">
        <f>_xlfn.IFNA(VLOOKUP($BK473,Programma!$F$3:$M$1101,8,0),"")</f>
        <v/>
      </c>
      <c r="BS473" s="448" t="str">
        <f>_xlfn.IFNA(VLOOKUP($BK473,Programma!$F$3:$N$1101,9,0),"")</f>
        <v/>
      </c>
      <c r="BT473" s="448" t="str">
        <f>_xlfn.IFNA(VLOOKUP($BK473,Programma!$F$3:$O$1101,10,0),"")</f>
        <v/>
      </c>
      <c r="BU473" s="448" t="str">
        <f>_xlfn.IFNA(VLOOKUP($BK473,Programma!$F$3:$P$1101,11,0),"")</f>
        <v/>
      </c>
      <c r="BV473" s="448" t="str">
        <f>_xlfn.IFNA(VLOOKUP($BK473,Programma!$F$3:$Q$1101,12,0),"")</f>
        <v/>
      </c>
      <c r="BW473" s="448" t="str">
        <f>_xlfn.IFNA(VLOOKUP($BK473,Programma!$F$3:$R$1101,13,0),"")</f>
        <v/>
      </c>
      <c r="BX473" s="448" t="str">
        <f>_xlfn.IFNA(VLOOKUP($BK473,Programma!$F$3:$S$1101,14,0),"")</f>
        <v/>
      </c>
      <c r="BY473" s="448" t="str">
        <f>_xlfn.IFNA(VLOOKUP($BK473,Programma!$F$3:$T$1101,15,0),"")</f>
        <v/>
      </c>
      <c r="BZ473" s="448" t="str">
        <f>_xlfn.IFNA(VLOOKUP($BK473,Programma!$F$3:$U$1101,16,0),"")</f>
        <v/>
      </c>
      <c r="CA473" s="448" t="str">
        <f>_xlfn.IFNA(VLOOKUP($BK473,Programma!$F$3:$V$1101,17,0),"")</f>
        <v/>
      </c>
      <c r="CB473" s="448" t="str">
        <f>_xlfn.IFNA(VLOOKUP($BK473,Programma!$F$3:$W$1101,18,0),"")</f>
        <v/>
      </c>
      <c r="CC473" s="448" t="str">
        <f>_xlfn.IFNA(VLOOKUP($BK473,Programma!$F$3:$X$1101,19,0),"")</f>
        <v/>
      </c>
      <c r="CD473" s="448" t="str">
        <f>_xlfn.IFNA(VLOOKUP($BK473,Programma!$F$3:$Y$1101,20,0),"")</f>
        <v/>
      </c>
    </row>
    <row r="474" spans="1:82" ht="15" customHeight="1">
      <c r="A474" s="362">
        <v>18</v>
      </c>
      <c r="B474" s="435" t="str">
        <f>VLOOKUP(Ruimtestaat[[#This Row],[Code]],Locaties[[Code]:[Locatie]],2,FALSE)</f>
        <v>IKC De Triangel</v>
      </c>
      <c r="C474" s="435" t="str">
        <f>VLOOKUP(Ruimtestaat[[#This Row],[Code]],Locaties[[#All],[Code]:[Adres]],4,FALSE)</f>
        <v>Vlasakker 33-35</v>
      </c>
      <c r="D474" s="435" t="str">
        <f>VLOOKUP(Ruimtestaat[[#This Row],[Code]],Locaties[[#All],[Code]:[Postcode]],5,FALSE)</f>
        <v>2723 TP</v>
      </c>
      <c r="E474" s="435" t="str">
        <f>VLOOKUP(Ruimtestaat[[#This Row],[Code]],Locaties[#All],6,FALSE)</f>
        <v>Zoetermeer</v>
      </c>
      <c r="F474" s="450"/>
      <c r="G474" s="330" t="s">
        <v>1678</v>
      </c>
      <c r="H474" s="330">
        <v>20</v>
      </c>
      <c r="I474" s="450" t="s">
        <v>1673</v>
      </c>
      <c r="J474" s="330">
        <v>5</v>
      </c>
      <c r="K474" s="450" t="str">
        <f>VLOOKUP(Ruimtestaat[[#This Row],[Ruimte code]],Ruimtegroepen[[#All],[Code]:[Ruimte omschrijving]],2,FALSE)</f>
        <v>Sanitair</v>
      </c>
      <c r="L474" s="330" t="s">
        <v>101</v>
      </c>
      <c r="M474" s="437" t="s">
        <v>1947</v>
      </c>
      <c r="N474" s="439">
        <v>3.2</v>
      </c>
      <c r="O474" s="439"/>
      <c r="P474" s="439"/>
      <c r="Q474" s="439"/>
      <c r="R474" s="440" t="str">
        <f>VLOOKUP(Ruimtestaat[[#This Row],[Ruimte code]],Ruimtegroepen[],4,FALSE)</f>
        <v>Sa</v>
      </c>
      <c r="S474" s="434">
        <v>41</v>
      </c>
      <c r="T474" s="434" t="s">
        <v>2</v>
      </c>
      <c r="U474" s="453">
        <f>IF(S474&gt;0,IF(RIGHT(Ruimtestaat[[#This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74" s="434">
        <f>IF(U474&gt;0,VLOOKUP($J474,Ruimtegroepen[],3,FALSE)*VLOOKUP($L474,Vloersoorten[],3,FALSE)*VLOOKUP($T474,Frequenties[],3,FALSE)*VLOOKUP($A474,Locaties[],3,FALSE),0)</f>
        <v>0</v>
      </c>
      <c r="W474" s="434">
        <f>Ruimtestaat[[#This Row],[Uitvoeringen werkdagen]]*Ruimtestaat[[#This Row],[Oppervlak (netto)]]</f>
        <v>656</v>
      </c>
      <c r="X474" s="441">
        <f>IF(V474&gt;0,Ruimtestaat[[#This Row],[Prest. (m2 /jaar) werkdagen]]/Ruimtestaat[[#This Row],[Norm (m2/uur) werkdagen]],0)</f>
        <v>0</v>
      </c>
      <c r="Y474" s="442">
        <f>Ruimtestaat[[#This Row],[Uitvoeringen werkdagen]]*Ruimtestaat[[#This Row],[Gedeeltelijk]]</f>
        <v>0</v>
      </c>
      <c r="Z474" s="443" t="e">
        <f>IF(U474&gt;0,Ruimtestaat[[#This Row],[Prest. (m2 / jaar) werkdagen gedeeld]]/Ruimtestaat[[#This Row],[Norm (m2/uur) werkdagen]],0)</f>
        <v>#DIV/0!</v>
      </c>
      <c r="AA474" s="441" t="e">
        <f>Ruimtestaat[[#This Row],[uren / jaar werkdagen gedeeld]]*Tariefsopbouw!$E$35</f>
        <v>#DIV/0!</v>
      </c>
      <c r="AB474" s="441">
        <f>Ruimtestaat[[#This Row],[Uitvoeringen werkdagen]]*Ruimtestaat[[#This Row],[BSO]]</f>
        <v>0</v>
      </c>
      <c r="AC474" s="443" t="e">
        <f>IF(U474&gt;0,Ruimtestaat[[#This Row],[Prest. (m2 / jaar) werkdagen BSO]]/Ruimtestaat[[#This Row],[Norm (m2/uur) werkdagen]],0)</f>
        <v>#DIV/0!</v>
      </c>
      <c r="AD474" s="443" t="e">
        <f>Ruimtestaat[[#This Row],[uren / jaar werkdagen BSO]]*Tariefsopbouw!$E$35</f>
        <v>#DIV/0!</v>
      </c>
      <c r="AE474" s="444">
        <f>Ruimtestaat[[#This Row],[uren / jaar werkdagen]]*Tariefsopbouw!$E$35</f>
        <v>0</v>
      </c>
      <c r="AF474" s="454"/>
      <c r="AG474" s="455">
        <f>IF(Ruimtestaat[[#This Row],[Frequentie weekend]]&gt;0,VALUE(LEFT(AF474,1))*S474,0)</f>
        <v>0</v>
      </c>
      <c r="AH474" s="455">
        <f>IF($AG474&gt;0,VLOOKUP($J474,Ruimtegroepen[],3,FALSE)*VLOOKUP($L474,Vloersoorten[],3,FALSE)*VLOOKUP($AF474,Frequenties[],3,FALSE)*VLOOKUP(#REF!,Locaties[],3,FALSE),0)</f>
        <v>0</v>
      </c>
      <c r="AI474" s="434">
        <f>Ruimtestaat[[#This Row],[Uitvoeringen weekend]]*Ruimtestaat[[#This Row],[Oppervlak (netto)]]</f>
        <v>0</v>
      </c>
      <c r="AJ474" s="434">
        <f>IF(AH474&gt;0,Ruimtestaat[[#This Row],[Prest. (m2 /jaar) weekend]]/Ruimtestaat[[#This Row],[Norm (m2/uur) weekend]],0)</f>
        <v>0</v>
      </c>
      <c r="AK474" s="444">
        <f>Ruimtestaat[[#This Row],[uren / jaar weekend]]*Tariefsopbouw!$D$40</f>
        <v>0</v>
      </c>
      <c r="AL474" s="441">
        <f>Ruimtestaat[[#This Row],[Prest. (m2 /jaar) weekend]]+Ruimtestaat[[#This Row],[Prest. (m2 /jaar) werkdagen]]</f>
        <v>656</v>
      </c>
      <c r="AM474" s="441">
        <f>Ruimtestaat[[#This Row],[uren / jaar weekend]]+Ruimtestaat[[#This Row],[uren / jaar werkdagen]]</f>
        <v>0</v>
      </c>
      <c r="AN474" s="446">
        <f>Ruimtestaat[[#This Row],[kosten / jaar weekend]]+Ruimtestaat[[#This Row],[kosten / jaar werkdagen]]</f>
        <v>0</v>
      </c>
      <c r="AO474" s="446"/>
      <c r="AP474" s="446" t="str">
        <f>IF(Ruimtestaat[[#This Row],[Frequentie werkdagen]]="","",_xlfn.CONCAT(Ruimtestaat[[#This Row],[Ruimte code]],"-",Ruimtestaat[[#This Row],[Frequentie werkdagen]]," ",Ruimtestaat[[#This Row],[Vloer code]]))</f>
        <v>5-5w S</v>
      </c>
      <c r="AQ474" s="448" t="str">
        <f>_xlfn.IFNA(VLOOKUP($AP474,Programma!$F$3:$G$1101,2,0),"")</f>
        <v>_</v>
      </c>
      <c r="AR474" s="448" t="str">
        <f>_xlfn.IFNA(VLOOKUP($AP474,Programma!$F$3:$H$1101,3,0),"")</f>
        <v>_</v>
      </c>
      <c r="AS474" s="448" t="str">
        <f>_xlfn.IFNA(VLOOKUP($AP474,Programma!$F$3:$I$1101,4,0),"")</f>
        <v>_</v>
      </c>
      <c r="AT474" s="448" t="str">
        <f>_xlfn.IFNA(VLOOKUP($AP474,Programma!$F$3:$J$1101,5,0),"")</f>
        <v>4w</v>
      </c>
      <c r="AU474" s="448" t="str">
        <f>_xlfn.IFNA(VLOOKUP($AP474,Programma!$F$3:$K$1101,6,0),"")</f>
        <v>1w</v>
      </c>
      <c r="AV474" s="448" t="str">
        <f>_xlfn.IFNA(VLOOKUP($AP474,Programma!$F$3:$L$1101,7,0),"")</f>
        <v>_</v>
      </c>
      <c r="AW474" s="448" t="str">
        <f>_xlfn.IFNA(VLOOKUP($AP474,Programma!$F$3:$M$1101,8,0),"")</f>
        <v>_</v>
      </c>
      <c r="AX474" s="448" t="str">
        <f>_xlfn.IFNA(VLOOKUP($AP474,Programma!$F$3:$N$1101,9,0),"")</f>
        <v>_</v>
      </c>
      <c r="AY474" s="448" t="str">
        <f>_xlfn.IFNA(VLOOKUP($AP474,Programma!$F$3:$O$1101,10,0),"")</f>
        <v>_</v>
      </c>
      <c r="AZ474" s="448" t="str">
        <f>_xlfn.IFNA(VLOOKUP($AP474,Programma!$F$3:$P$1101,11,0),"")</f>
        <v>_</v>
      </c>
      <c r="BA474" s="448" t="str">
        <f>_xlfn.IFNA(VLOOKUP($AP474,Programma!$F$3:$Q$1101,12,0),"")</f>
        <v>_</v>
      </c>
      <c r="BB474" s="448" t="str">
        <f>_xlfn.IFNA(VLOOKUP($AP474,Programma!$F$3:$R$1101,13,0),"")</f>
        <v>_</v>
      </c>
      <c r="BC474" s="448" t="str">
        <f>_xlfn.IFNA(VLOOKUP($AP474,Programma!$F$3:$S$1101,14,0),"")</f>
        <v>_</v>
      </c>
      <c r="BD474" s="448" t="str">
        <f>_xlfn.IFNA(VLOOKUP($AP474,Programma!$F$3:$T$1101,15,0),"")</f>
        <v>_</v>
      </c>
      <c r="BE474" s="448" t="str">
        <f>_xlfn.IFNA(VLOOKUP($AP474,Programma!$F$3:$U$1101,16,0),"")</f>
        <v>_</v>
      </c>
      <c r="BF474" s="448" t="str">
        <f>_xlfn.IFNA(VLOOKUP($AP474,Programma!$F$3:$V$1101,17,0),"")</f>
        <v>_</v>
      </c>
      <c r="BG474" s="448" t="str">
        <f>_xlfn.IFNA(VLOOKUP($AP474,Programma!$F$3:$W$1101,18,0),"")</f>
        <v>4w</v>
      </c>
      <c r="BH474" s="448" t="str">
        <f>_xlfn.IFNA(VLOOKUP($AP474,Programma!$F$3:$X$1101,19,0),"")</f>
        <v>1w</v>
      </c>
      <c r="BI474" s="448" t="str">
        <f>_xlfn.IFNA(VLOOKUP($AP474,Programma!$F$3:$Y$1101,20,0),"")</f>
        <v>_</v>
      </c>
      <c r="BJ474" s="449"/>
      <c r="BK474" s="446" t="str">
        <f>IF(Ruimtestaat[[#This Row],[Frequentie weekend]]="","",_xlfn.CONCAT(Ruimtestaat[[#This Row],[Ruimte code]],"-",Ruimtestaat[[#This Row],[Frequentie weekend]]," ",Ruimtestaat[[#This Row],[Vloer code]]))</f>
        <v/>
      </c>
      <c r="BL474" s="448" t="str">
        <f>_xlfn.IFNA(VLOOKUP($BK474,Programma!$F$3:$G$1101,2,0),"")</f>
        <v/>
      </c>
      <c r="BM474" s="448" t="str">
        <f>_xlfn.IFNA(VLOOKUP($BK474,Programma!$F$3:$H$1101,3,0),"")</f>
        <v/>
      </c>
      <c r="BN474" s="448" t="str">
        <f>_xlfn.IFNA(VLOOKUP($BK474,Programma!$F$3:$I$1101,4,0),"")</f>
        <v/>
      </c>
      <c r="BO474" s="448" t="str">
        <f>_xlfn.IFNA(VLOOKUP($BK474,Programma!$F$3:$J$1101,5,0),"")</f>
        <v/>
      </c>
      <c r="BP474" s="448" t="str">
        <f>_xlfn.IFNA(VLOOKUP($BK474,Programma!$F$3:$K$1101,6,0),"")</f>
        <v/>
      </c>
      <c r="BQ474" s="448" t="str">
        <f>_xlfn.IFNA(VLOOKUP($BK474,Programma!$F$3:$L$1101,7,0),"")</f>
        <v/>
      </c>
      <c r="BR474" s="448" t="str">
        <f>_xlfn.IFNA(VLOOKUP($BK474,Programma!$F$3:$M$1101,8,0),"")</f>
        <v/>
      </c>
      <c r="BS474" s="448" t="str">
        <f>_xlfn.IFNA(VLOOKUP($BK474,Programma!$F$3:$N$1101,9,0),"")</f>
        <v/>
      </c>
      <c r="BT474" s="448" t="str">
        <f>_xlfn.IFNA(VLOOKUP($BK474,Programma!$F$3:$O$1101,10,0),"")</f>
        <v/>
      </c>
      <c r="BU474" s="448" t="str">
        <f>_xlfn.IFNA(VLOOKUP($BK474,Programma!$F$3:$P$1101,11,0),"")</f>
        <v/>
      </c>
      <c r="BV474" s="448" t="str">
        <f>_xlfn.IFNA(VLOOKUP($BK474,Programma!$F$3:$Q$1101,12,0),"")</f>
        <v/>
      </c>
      <c r="BW474" s="448" t="str">
        <f>_xlfn.IFNA(VLOOKUP($BK474,Programma!$F$3:$R$1101,13,0),"")</f>
        <v/>
      </c>
      <c r="BX474" s="448" t="str">
        <f>_xlfn.IFNA(VLOOKUP($BK474,Programma!$F$3:$S$1101,14,0),"")</f>
        <v/>
      </c>
      <c r="BY474" s="448" t="str">
        <f>_xlfn.IFNA(VLOOKUP($BK474,Programma!$F$3:$T$1101,15,0),"")</f>
        <v/>
      </c>
      <c r="BZ474" s="448" t="str">
        <f>_xlfn.IFNA(VLOOKUP($BK474,Programma!$F$3:$U$1101,16,0),"")</f>
        <v/>
      </c>
      <c r="CA474" s="448" t="str">
        <f>_xlfn.IFNA(VLOOKUP($BK474,Programma!$F$3:$V$1101,17,0),"")</f>
        <v/>
      </c>
      <c r="CB474" s="448" t="str">
        <f>_xlfn.IFNA(VLOOKUP($BK474,Programma!$F$3:$W$1101,18,0),"")</f>
        <v/>
      </c>
      <c r="CC474" s="448" t="str">
        <f>_xlfn.IFNA(VLOOKUP($BK474,Programma!$F$3:$X$1101,19,0),"")</f>
        <v/>
      </c>
      <c r="CD474" s="448" t="str">
        <f>_xlfn.IFNA(VLOOKUP($BK474,Programma!$F$3:$Y$1101,20,0),"")</f>
        <v/>
      </c>
    </row>
    <row r="475" spans="1:82" ht="15" customHeight="1">
      <c r="A475" s="362">
        <v>18</v>
      </c>
      <c r="B475" s="435" t="str">
        <f>VLOOKUP(Ruimtestaat[[#This Row],[Code]],Locaties[[Code]:[Locatie]],2,FALSE)</f>
        <v>IKC De Triangel</v>
      </c>
      <c r="C475" s="435" t="str">
        <f>VLOOKUP(Ruimtestaat[[#This Row],[Code]],Locaties[[#All],[Code]:[Adres]],4,FALSE)</f>
        <v>Vlasakker 33-35</v>
      </c>
      <c r="D475" s="435" t="str">
        <f>VLOOKUP(Ruimtestaat[[#This Row],[Code]],Locaties[[#All],[Code]:[Postcode]],5,FALSE)</f>
        <v>2723 TP</v>
      </c>
      <c r="E475" s="435" t="str">
        <f>VLOOKUP(Ruimtestaat[[#This Row],[Code]],Locaties[#All],6,FALSE)</f>
        <v>Zoetermeer</v>
      </c>
      <c r="F475" s="450"/>
      <c r="G475" s="330" t="s">
        <v>1678</v>
      </c>
      <c r="H475" s="330">
        <v>21</v>
      </c>
      <c r="I475" s="450" t="s">
        <v>1724</v>
      </c>
      <c r="J475" s="330">
        <v>20</v>
      </c>
      <c r="K475" s="450" t="str">
        <f>VLOOKUP(Ruimtestaat[[#This Row],[Ruimte code]],Ruimtegroepen[[#All],[Code]:[Ruimte omschrijving]],2,FALSE)</f>
        <v>Niet in Onderhoud</v>
      </c>
      <c r="M475" s="330"/>
      <c r="N475" s="439"/>
      <c r="O475" s="439">
        <v>1.7</v>
      </c>
      <c r="P475" s="439"/>
      <c r="Q475" s="439"/>
      <c r="R475" s="440">
        <f>VLOOKUP(Ruimtestaat[[#This Row],[Ruimte code]],Ruimtegroepen[],4,FALSE)</f>
        <v>0</v>
      </c>
      <c r="S475" s="434"/>
      <c r="T475" s="434"/>
      <c r="U475" s="453">
        <f>IF(S475&gt;0,IF(RIGHT(Ruimtestaat[[#This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75" s="434">
        <f>IF(U475&gt;0,VLOOKUP($J475,Ruimtegroepen[],3,FALSE)*VLOOKUP($L475,Vloersoorten[],3,FALSE)*VLOOKUP($T475,Frequenties[],3,FALSE)*VLOOKUP($A475,Locaties[],3,FALSE),0)</f>
        <v>0</v>
      </c>
      <c r="W475" s="434">
        <f>Ruimtestaat[[#This Row],[Uitvoeringen werkdagen]]*Ruimtestaat[[#This Row],[Oppervlak (netto)]]</f>
        <v>0</v>
      </c>
      <c r="X475" s="441">
        <f>IF(V475&gt;0,Ruimtestaat[[#This Row],[Prest. (m2 /jaar) werkdagen]]/Ruimtestaat[[#This Row],[Norm (m2/uur) werkdagen]],0)</f>
        <v>0</v>
      </c>
      <c r="Y475" s="442">
        <f>Ruimtestaat[[#This Row],[Uitvoeringen werkdagen]]*Ruimtestaat[[#This Row],[Gedeeltelijk]]</f>
        <v>0</v>
      </c>
      <c r="Z475" s="443">
        <f>IF(U475&gt;0,Ruimtestaat[[#This Row],[Prest. (m2 / jaar) werkdagen gedeeld]]/Ruimtestaat[[#This Row],[Norm (m2/uur) werkdagen]],0)</f>
        <v>0</v>
      </c>
      <c r="AA475" s="441">
        <f>Ruimtestaat[[#This Row],[uren / jaar werkdagen gedeeld]]*Tariefsopbouw!$E$35</f>
        <v>0</v>
      </c>
      <c r="AB475" s="441">
        <f>Ruimtestaat[[#This Row],[Uitvoeringen werkdagen]]*Ruimtestaat[[#This Row],[BSO]]</f>
        <v>0</v>
      </c>
      <c r="AC475" s="443">
        <f>IF(U475&gt;0,Ruimtestaat[[#This Row],[Prest. (m2 / jaar) werkdagen BSO]]/Ruimtestaat[[#This Row],[Norm (m2/uur) werkdagen]],0)</f>
        <v>0</v>
      </c>
      <c r="AD475" s="443">
        <f>Ruimtestaat[[#This Row],[uren / jaar werkdagen BSO]]*Tariefsopbouw!$E$35</f>
        <v>0</v>
      </c>
      <c r="AE475" s="444">
        <f>Ruimtestaat[[#This Row],[uren / jaar werkdagen]]*Tariefsopbouw!$E$35</f>
        <v>0</v>
      </c>
      <c r="AF475" s="454"/>
      <c r="AG475" s="455">
        <f>IF(Ruimtestaat[[#This Row],[Frequentie weekend]]&gt;0,VALUE(LEFT(AF475,1))*S475,0)</f>
        <v>0</v>
      </c>
      <c r="AH475" s="455">
        <f>IF($AG475&gt;0,VLOOKUP($J475,Ruimtegroepen[],3,FALSE)*VLOOKUP($L475,Vloersoorten[],3,FALSE)*VLOOKUP($AF475,Frequenties[],3,FALSE)*VLOOKUP(#REF!,Locaties[],3,FALSE),0)</f>
        <v>0</v>
      </c>
      <c r="AI475" s="434">
        <f>Ruimtestaat[[#This Row],[Uitvoeringen weekend]]*Ruimtestaat[[#This Row],[Oppervlak (netto)]]</f>
        <v>0</v>
      </c>
      <c r="AJ475" s="434">
        <f>IF(AH475&gt;0,Ruimtestaat[[#This Row],[Prest. (m2 /jaar) weekend]]/Ruimtestaat[[#This Row],[Norm (m2/uur) weekend]],0)</f>
        <v>0</v>
      </c>
      <c r="AK475" s="444">
        <f>Ruimtestaat[[#This Row],[uren / jaar weekend]]*Tariefsopbouw!$D$40</f>
        <v>0</v>
      </c>
      <c r="AL475" s="441">
        <f>Ruimtestaat[[#This Row],[Prest. (m2 /jaar) weekend]]+Ruimtestaat[[#This Row],[Prest. (m2 /jaar) werkdagen]]</f>
        <v>0</v>
      </c>
      <c r="AM475" s="441">
        <f>Ruimtestaat[[#This Row],[uren / jaar weekend]]+Ruimtestaat[[#This Row],[uren / jaar werkdagen]]</f>
        <v>0</v>
      </c>
      <c r="AN475" s="446">
        <f>Ruimtestaat[[#This Row],[kosten / jaar weekend]]+Ruimtestaat[[#This Row],[kosten / jaar werkdagen]]</f>
        <v>0</v>
      </c>
      <c r="AO475" s="446"/>
      <c r="AP475" s="446" t="str">
        <f>IF(Ruimtestaat[[#This Row],[Frequentie werkdagen]]="","",_xlfn.CONCAT(Ruimtestaat[[#This Row],[Ruimte code]],"-",Ruimtestaat[[#This Row],[Frequentie werkdagen]]," ",Ruimtestaat[[#This Row],[Vloer code]]))</f>
        <v/>
      </c>
      <c r="AQ475" s="448" t="str">
        <f>_xlfn.IFNA(VLOOKUP($AP475,Programma!$F$3:$G$1101,2,0),"")</f>
        <v/>
      </c>
      <c r="AR475" s="448" t="str">
        <f>_xlfn.IFNA(VLOOKUP($AP475,Programma!$F$3:$H$1101,3,0),"")</f>
        <v/>
      </c>
      <c r="AS475" s="448" t="str">
        <f>_xlfn.IFNA(VLOOKUP($AP475,Programma!$F$3:$I$1101,4,0),"")</f>
        <v/>
      </c>
      <c r="AT475" s="448" t="str">
        <f>_xlfn.IFNA(VLOOKUP($AP475,Programma!$F$3:$J$1101,5,0),"")</f>
        <v/>
      </c>
      <c r="AU475" s="448" t="str">
        <f>_xlfn.IFNA(VLOOKUP($AP475,Programma!$F$3:$K$1101,6,0),"")</f>
        <v/>
      </c>
      <c r="AV475" s="448" t="str">
        <f>_xlfn.IFNA(VLOOKUP($AP475,Programma!$F$3:$L$1101,7,0),"")</f>
        <v/>
      </c>
      <c r="AW475" s="448" t="str">
        <f>_xlfn.IFNA(VLOOKUP($AP475,Programma!$F$3:$M$1101,8,0),"")</f>
        <v/>
      </c>
      <c r="AX475" s="448" t="str">
        <f>_xlfn.IFNA(VLOOKUP($AP475,Programma!$F$3:$N$1101,9,0),"")</f>
        <v/>
      </c>
      <c r="AY475" s="448" t="str">
        <f>_xlfn.IFNA(VLOOKUP($AP475,Programma!$F$3:$O$1101,10,0),"")</f>
        <v/>
      </c>
      <c r="AZ475" s="448" t="str">
        <f>_xlfn.IFNA(VLOOKUP($AP475,Programma!$F$3:$P$1101,11,0),"")</f>
        <v/>
      </c>
      <c r="BA475" s="448" t="str">
        <f>_xlfn.IFNA(VLOOKUP($AP475,Programma!$F$3:$Q$1101,12,0),"")</f>
        <v/>
      </c>
      <c r="BB475" s="448" t="str">
        <f>_xlfn.IFNA(VLOOKUP($AP475,Programma!$F$3:$R$1101,13,0),"")</f>
        <v/>
      </c>
      <c r="BC475" s="448" t="str">
        <f>_xlfn.IFNA(VLOOKUP($AP475,Programma!$F$3:$S$1101,14,0),"")</f>
        <v/>
      </c>
      <c r="BD475" s="448" t="str">
        <f>_xlfn.IFNA(VLOOKUP($AP475,Programma!$F$3:$T$1101,15,0),"")</f>
        <v/>
      </c>
      <c r="BE475" s="448" t="str">
        <f>_xlfn.IFNA(VLOOKUP($AP475,Programma!$F$3:$U$1101,16,0),"")</f>
        <v/>
      </c>
      <c r="BF475" s="448" t="str">
        <f>_xlfn.IFNA(VLOOKUP($AP475,Programma!$F$3:$V$1101,17,0),"")</f>
        <v/>
      </c>
      <c r="BG475" s="448" t="str">
        <f>_xlfn.IFNA(VLOOKUP($AP475,Programma!$F$3:$W$1101,18,0),"")</f>
        <v/>
      </c>
      <c r="BH475" s="448" t="str">
        <f>_xlfn.IFNA(VLOOKUP($AP475,Programma!$F$3:$X$1101,19,0),"")</f>
        <v/>
      </c>
      <c r="BI475" s="448" t="str">
        <f>_xlfn.IFNA(VLOOKUP($AP475,Programma!$F$3:$Y$1101,20,0),"")</f>
        <v/>
      </c>
      <c r="BJ475" s="449"/>
      <c r="BK475" s="446" t="str">
        <f>IF(Ruimtestaat[[#This Row],[Frequentie weekend]]="","",_xlfn.CONCAT(Ruimtestaat[[#This Row],[Ruimte code]],"-",Ruimtestaat[[#This Row],[Frequentie weekend]]," ",Ruimtestaat[[#This Row],[Vloer code]]))</f>
        <v/>
      </c>
      <c r="BL475" s="448" t="str">
        <f>_xlfn.IFNA(VLOOKUP($BK475,Programma!$F$3:$G$1101,2,0),"")</f>
        <v/>
      </c>
      <c r="BM475" s="448" t="str">
        <f>_xlfn.IFNA(VLOOKUP($BK475,Programma!$F$3:$H$1101,3,0),"")</f>
        <v/>
      </c>
      <c r="BN475" s="448" t="str">
        <f>_xlfn.IFNA(VLOOKUP($BK475,Programma!$F$3:$I$1101,4,0),"")</f>
        <v/>
      </c>
      <c r="BO475" s="448" t="str">
        <f>_xlfn.IFNA(VLOOKUP($BK475,Programma!$F$3:$J$1101,5,0),"")</f>
        <v/>
      </c>
      <c r="BP475" s="448" t="str">
        <f>_xlfn.IFNA(VLOOKUP($BK475,Programma!$F$3:$K$1101,6,0),"")</f>
        <v/>
      </c>
      <c r="BQ475" s="448" t="str">
        <f>_xlfn.IFNA(VLOOKUP($BK475,Programma!$F$3:$L$1101,7,0),"")</f>
        <v/>
      </c>
      <c r="BR475" s="448" t="str">
        <f>_xlfn.IFNA(VLOOKUP($BK475,Programma!$F$3:$M$1101,8,0),"")</f>
        <v/>
      </c>
      <c r="BS475" s="448" t="str">
        <f>_xlfn.IFNA(VLOOKUP($BK475,Programma!$F$3:$N$1101,9,0),"")</f>
        <v/>
      </c>
      <c r="BT475" s="448" t="str">
        <f>_xlfn.IFNA(VLOOKUP($BK475,Programma!$F$3:$O$1101,10,0),"")</f>
        <v/>
      </c>
      <c r="BU475" s="448" t="str">
        <f>_xlfn.IFNA(VLOOKUP($BK475,Programma!$F$3:$P$1101,11,0),"")</f>
        <v/>
      </c>
      <c r="BV475" s="448" t="str">
        <f>_xlfn.IFNA(VLOOKUP($BK475,Programma!$F$3:$Q$1101,12,0),"")</f>
        <v/>
      </c>
      <c r="BW475" s="448" t="str">
        <f>_xlfn.IFNA(VLOOKUP($BK475,Programma!$F$3:$R$1101,13,0),"")</f>
        <v/>
      </c>
      <c r="BX475" s="448" t="str">
        <f>_xlfn.IFNA(VLOOKUP($BK475,Programma!$F$3:$S$1101,14,0),"")</f>
        <v/>
      </c>
      <c r="BY475" s="448" t="str">
        <f>_xlfn.IFNA(VLOOKUP($BK475,Programma!$F$3:$T$1101,15,0),"")</f>
        <v/>
      </c>
      <c r="BZ475" s="448" t="str">
        <f>_xlfn.IFNA(VLOOKUP($BK475,Programma!$F$3:$U$1101,16,0),"")</f>
        <v/>
      </c>
      <c r="CA475" s="448" t="str">
        <f>_xlfn.IFNA(VLOOKUP($BK475,Programma!$F$3:$V$1101,17,0),"")</f>
        <v/>
      </c>
      <c r="CB475" s="448" t="str">
        <f>_xlfn.IFNA(VLOOKUP($BK475,Programma!$F$3:$W$1101,18,0),"")</f>
        <v/>
      </c>
      <c r="CC475" s="448" t="str">
        <f>_xlfn.IFNA(VLOOKUP($BK475,Programma!$F$3:$X$1101,19,0),"")</f>
        <v/>
      </c>
      <c r="CD475" s="448" t="str">
        <f>_xlfn.IFNA(VLOOKUP($BK475,Programma!$F$3:$Y$1101,20,0),"")</f>
        <v/>
      </c>
    </row>
    <row r="476" spans="1:82" ht="15" customHeight="1">
      <c r="A476" s="362">
        <v>18</v>
      </c>
      <c r="B476" s="435" t="str">
        <f>VLOOKUP(Ruimtestaat[[#This Row],[Code]],Locaties[[Code]:[Locatie]],2,FALSE)</f>
        <v>IKC De Triangel</v>
      </c>
      <c r="C476" s="435" t="str">
        <f>VLOOKUP(Ruimtestaat[[#This Row],[Code]],Locaties[[#All],[Code]:[Adres]],4,FALSE)</f>
        <v>Vlasakker 33-35</v>
      </c>
      <c r="D476" s="435" t="str">
        <f>VLOOKUP(Ruimtestaat[[#This Row],[Code]],Locaties[[#All],[Code]:[Postcode]],5,FALSE)</f>
        <v>2723 TP</v>
      </c>
      <c r="E476" s="435" t="str">
        <f>VLOOKUP(Ruimtestaat[[#This Row],[Code]],Locaties[#All],6,FALSE)</f>
        <v>Zoetermeer</v>
      </c>
      <c r="F476" s="450"/>
      <c r="G476" s="330" t="s">
        <v>1678</v>
      </c>
      <c r="H476" s="330">
        <v>22</v>
      </c>
      <c r="I476" s="450" t="s">
        <v>1673</v>
      </c>
      <c r="J476" s="330">
        <v>5</v>
      </c>
      <c r="K476" s="450" t="str">
        <f>VLOOKUP(Ruimtestaat[[#This Row],[Ruimte code]],Ruimtegroepen[[#All],[Code]:[Ruimte omschrijving]],2,FALSE)</f>
        <v>Sanitair</v>
      </c>
      <c r="L476" s="330" t="s">
        <v>101</v>
      </c>
      <c r="M476" s="437" t="s">
        <v>1947</v>
      </c>
      <c r="N476" s="439">
        <v>4.8</v>
      </c>
      <c r="O476" s="439"/>
      <c r="P476" s="439"/>
      <c r="Q476" s="439"/>
      <c r="R476" s="440" t="str">
        <f>VLOOKUP(Ruimtestaat[[#This Row],[Ruimte code]],Ruimtegroepen[],4,FALSE)</f>
        <v>Sa</v>
      </c>
      <c r="S476" s="434">
        <v>41</v>
      </c>
      <c r="T476" s="434" t="s">
        <v>2</v>
      </c>
      <c r="U476" s="453">
        <f>IF(S476&gt;0,IF(RIGHT(Ruimtestaat[[#This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76" s="434">
        <f>IF(U476&gt;0,VLOOKUP($J476,Ruimtegroepen[],3,FALSE)*VLOOKUP($L476,Vloersoorten[],3,FALSE)*VLOOKUP($T476,Frequenties[],3,FALSE)*VLOOKUP($A476,Locaties[],3,FALSE),0)</f>
        <v>0</v>
      </c>
      <c r="W476" s="434">
        <f>Ruimtestaat[[#This Row],[Uitvoeringen werkdagen]]*Ruimtestaat[[#This Row],[Oppervlak (netto)]]</f>
        <v>984</v>
      </c>
      <c r="X476" s="441">
        <f>IF(V476&gt;0,Ruimtestaat[[#This Row],[Prest. (m2 /jaar) werkdagen]]/Ruimtestaat[[#This Row],[Norm (m2/uur) werkdagen]],0)</f>
        <v>0</v>
      </c>
      <c r="Y476" s="442">
        <f>Ruimtestaat[[#This Row],[Uitvoeringen werkdagen]]*Ruimtestaat[[#This Row],[Gedeeltelijk]]</f>
        <v>0</v>
      </c>
      <c r="Z476" s="443" t="e">
        <f>IF(U476&gt;0,Ruimtestaat[[#This Row],[Prest. (m2 / jaar) werkdagen gedeeld]]/Ruimtestaat[[#This Row],[Norm (m2/uur) werkdagen]],0)</f>
        <v>#DIV/0!</v>
      </c>
      <c r="AA476" s="441" t="e">
        <f>Ruimtestaat[[#This Row],[uren / jaar werkdagen gedeeld]]*Tariefsopbouw!$E$35</f>
        <v>#DIV/0!</v>
      </c>
      <c r="AB476" s="441">
        <f>Ruimtestaat[[#This Row],[Uitvoeringen werkdagen]]*Ruimtestaat[[#This Row],[BSO]]</f>
        <v>0</v>
      </c>
      <c r="AC476" s="443" t="e">
        <f>IF(U476&gt;0,Ruimtestaat[[#This Row],[Prest. (m2 / jaar) werkdagen BSO]]/Ruimtestaat[[#This Row],[Norm (m2/uur) werkdagen]],0)</f>
        <v>#DIV/0!</v>
      </c>
      <c r="AD476" s="443" t="e">
        <f>Ruimtestaat[[#This Row],[uren / jaar werkdagen BSO]]*Tariefsopbouw!$E$35</f>
        <v>#DIV/0!</v>
      </c>
      <c r="AE476" s="444">
        <f>Ruimtestaat[[#This Row],[uren / jaar werkdagen]]*Tariefsopbouw!$E$35</f>
        <v>0</v>
      </c>
      <c r="AF476" s="454"/>
      <c r="AG476" s="455">
        <f>IF(Ruimtestaat[[#This Row],[Frequentie weekend]]&gt;0,VALUE(LEFT(AF476,1))*S476,0)</f>
        <v>0</v>
      </c>
      <c r="AH476" s="455">
        <f>IF($AG476&gt;0,VLOOKUP($J476,Ruimtegroepen[],3,FALSE)*VLOOKUP($L476,Vloersoorten[],3,FALSE)*VLOOKUP($AF476,Frequenties[],3,FALSE)*VLOOKUP(#REF!,Locaties[],3,FALSE),0)</f>
        <v>0</v>
      </c>
      <c r="AI476" s="434">
        <f>Ruimtestaat[[#This Row],[Uitvoeringen weekend]]*Ruimtestaat[[#This Row],[Oppervlak (netto)]]</f>
        <v>0</v>
      </c>
      <c r="AJ476" s="434">
        <f>IF(AH476&gt;0,Ruimtestaat[[#This Row],[Prest. (m2 /jaar) weekend]]/Ruimtestaat[[#This Row],[Norm (m2/uur) weekend]],0)</f>
        <v>0</v>
      </c>
      <c r="AK476" s="444">
        <f>Ruimtestaat[[#This Row],[uren / jaar weekend]]*Tariefsopbouw!$D$40</f>
        <v>0</v>
      </c>
      <c r="AL476" s="441">
        <f>Ruimtestaat[[#This Row],[Prest. (m2 /jaar) weekend]]+Ruimtestaat[[#This Row],[Prest. (m2 /jaar) werkdagen]]</f>
        <v>984</v>
      </c>
      <c r="AM476" s="441">
        <f>Ruimtestaat[[#This Row],[uren / jaar weekend]]+Ruimtestaat[[#This Row],[uren / jaar werkdagen]]</f>
        <v>0</v>
      </c>
      <c r="AN476" s="446">
        <f>Ruimtestaat[[#This Row],[kosten / jaar weekend]]+Ruimtestaat[[#This Row],[kosten / jaar werkdagen]]</f>
        <v>0</v>
      </c>
      <c r="AO476" s="446"/>
      <c r="AP476" s="446" t="str">
        <f>IF(Ruimtestaat[[#This Row],[Frequentie werkdagen]]="","",_xlfn.CONCAT(Ruimtestaat[[#This Row],[Ruimte code]],"-",Ruimtestaat[[#This Row],[Frequentie werkdagen]]," ",Ruimtestaat[[#This Row],[Vloer code]]))</f>
        <v>5-5w S</v>
      </c>
      <c r="AQ476" s="448" t="str">
        <f>_xlfn.IFNA(VLOOKUP($AP476,Programma!$F$3:$G$1101,2,0),"")</f>
        <v>_</v>
      </c>
      <c r="AR476" s="448" t="str">
        <f>_xlfn.IFNA(VLOOKUP($AP476,Programma!$F$3:$H$1101,3,0),"")</f>
        <v>_</v>
      </c>
      <c r="AS476" s="448" t="str">
        <f>_xlfn.IFNA(VLOOKUP($AP476,Programma!$F$3:$I$1101,4,0),"")</f>
        <v>_</v>
      </c>
      <c r="AT476" s="448" t="str">
        <f>_xlfn.IFNA(VLOOKUP($AP476,Programma!$F$3:$J$1101,5,0),"")</f>
        <v>4w</v>
      </c>
      <c r="AU476" s="448" t="str">
        <f>_xlfn.IFNA(VLOOKUP($AP476,Programma!$F$3:$K$1101,6,0),"")</f>
        <v>1w</v>
      </c>
      <c r="AV476" s="448" t="str">
        <f>_xlfn.IFNA(VLOOKUP($AP476,Programma!$F$3:$L$1101,7,0),"")</f>
        <v>_</v>
      </c>
      <c r="AW476" s="448" t="str">
        <f>_xlfn.IFNA(VLOOKUP($AP476,Programma!$F$3:$M$1101,8,0),"")</f>
        <v>_</v>
      </c>
      <c r="AX476" s="448" t="str">
        <f>_xlfn.IFNA(VLOOKUP($AP476,Programma!$F$3:$N$1101,9,0),"")</f>
        <v>_</v>
      </c>
      <c r="AY476" s="448" t="str">
        <f>_xlfn.IFNA(VLOOKUP($AP476,Programma!$F$3:$O$1101,10,0),"")</f>
        <v>_</v>
      </c>
      <c r="AZ476" s="448" t="str">
        <f>_xlfn.IFNA(VLOOKUP($AP476,Programma!$F$3:$P$1101,11,0),"")</f>
        <v>_</v>
      </c>
      <c r="BA476" s="448" t="str">
        <f>_xlfn.IFNA(VLOOKUP($AP476,Programma!$F$3:$Q$1101,12,0),"")</f>
        <v>_</v>
      </c>
      <c r="BB476" s="448" t="str">
        <f>_xlfn.IFNA(VLOOKUP($AP476,Programma!$F$3:$R$1101,13,0),"")</f>
        <v>_</v>
      </c>
      <c r="BC476" s="448" t="str">
        <f>_xlfn.IFNA(VLOOKUP($AP476,Programma!$F$3:$S$1101,14,0),"")</f>
        <v>_</v>
      </c>
      <c r="BD476" s="448" t="str">
        <f>_xlfn.IFNA(VLOOKUP($AP476,Programma!$F$3:$T$1101,15,0),"")</f>
        <v>_</v>
      </c>
      <c r="BE476" s="448" t="str">
        <f>_xlfn.IFNA(VLOOKUP($AP476,Programma!$F$3:$U$1101,16,0),"")</f>
        <v>_</v>
      </c>
      <c r="BF476" s="448" t="str">
        <f>_xlfn.IFNA(VLOOKUP($AP476,Programma!$F$3:$V$1101,17,0),"")</f>
        <v>_</v>
      </c>
      <c r="BG476" s="448" t="str">
        <f>_xlfn.IFNA(VLOOKUP($AP476,Programma!$F$3:$W$1101,18,0),"")</f>
        <v>4w</v>
      </c>
      <c r="BH476" s="448" t="str">
        <f>_xlfn.IFNA(VLOOKUP($AP476,Programma!$F$3:$X$1101,19,0),"")</f>
        <v>1w</v>
      </c>
      <c r="BI476" s="448" t="str">
        <f>_xlfn.IFNA(VLOOKUP($AP476,Programma!$F$3:$Y$1101,20,0),"")</f>
        <v>_</v>
      </c>
      <c r="BJ476" s="449"/>
      <c r="BK476" s="446" t="str">
        <f>IF(Ruimtestaat[[#This Row],[Frequentie weekend]]="","",_xlfn.CONCAT(Ruimtestaat[[#This Row],[Ruimte code]],"-",Ruimtestaat[[#This Row],[Frequentie weekend]]," ",Ruimtestaat[[#This Row],[Vloer code]]))</f>
        <v/>
      </c>
      <c r="BL476" s="448" t="str">
        <f>_xlfn.IFNA(VLOOKUP($BK476,Programma!$F$3:$G$1101,2,0),"")</f>
        <v/>
      </c>
      <c r="BM476" s="448" t="str">
        <f>_xlfn.IFNA(VLOOKUP($BK476,Programma!$F$3:$H$1101,3,0),"")</f>
        <v/>
      </c>
      <c r="BN476" s="448" t="str">
        <f>_xlfn.IFNA(VLOOKUP($BK476,Programma!$F$3:$I$1101,4,0),"")</f>
        <v/>
      </c>
      <c r="BO476" s="448" t="str">
        <f>_xlfn.IFNA(VLOOKUP($BK476,Programma!$F$3:$J$1101,5,0),"")</f>
        <v/>
      </c>
      <c r="BP476" s="448" t="str">
        <f>_xlfn.IFNA(VLOOKUP($BK476,Programma!$F$3:$K$1101,6,0),"")</f>
        <v/>
      </c>
      <c r="BQ476" s="448" t="str">
        <f>_xlfn.IFNA(VLOOKUP($BK476,Programma!$F$3:$L$1101,7,0),"")</f>
        <v/>
      </c>
      <c r="BR476" s="448" t="str">
        <f>_xlfn.IFNA(VLOOKUP($BK476,Programma!$F$3:$M$1101,8,0),"")</f>
        <v/>
      </c>
      <c r="BS476" s="448" t="str">
        <f>_xlfn.IFNA(VLOOKUP($BK476,Programma!$F$3:$N$1101,9,0),"")</f>
        <v/>
      </c>
      <c r="BT476" s="448" t="str">
        <f>_xlfn.IFNA(VLOOKUP($BK476,Programma!$F$3:$O$1101,10,0),"")</f>
        <v/>
      </c>
      <c r="BU476" s="448" t="str">
        <f>_xlfn.IFNA(VLOOKUP($BK476,Programma!$F$3:$P$1101,11,0),"")</f>
        <v/>
      </c>
      <c r="BV476" s="448" t="str">
        <f>_xlfn.IFNA(VLOOKUP($BK476,Programma!$F$3:$Q$1101,12,0),"")</f>
        <v/>
      </c>
      <c r="BW476" s="448" t="str">
        <f>_xlfn.IFNA(VLOOKUP($BK476,Programma!$F$3:$R$1101,13,0),"")</f>
        <v/>
      </c>
      <c r="BX476" s="448" t="str">
        <f>_xlfn.IFNA(VLOOKUP($BK476,Programma!$F$3:$S$1101,14,0),"")</f>
        <v/>
      </c>
      <c r="BY476" s="448" t="str">
        <f>_xlfn.IFNA(VLOOKUP($BK476,Programma!$F$3:$T$1101,15,0),"")</f>
        <v/>
      </c>
      <c r="BZ476" s="448" t="str">
        <f>_xlfn.IFNA(VLOOKUP($BK476,Programma!$F$3:$U$1101,16,0),"")</f>
        <v/>
      </c>
      <c r="CA476" s="448" t="str">
        <f>_xlfn.IFNA(VLOOKUP($BK476,Programma!$F$3:$V$1101,17,0),"")</f>
        <v/>
      </c>
      <c r="CB476" s="448" t="str">
        <f>_xlfn.IFNA(VLOOKUP($BK476,Programma!$F$3:$W$1101,18,0),"")</f>
        <v/>
      </c>
      <c r="CC476" s="448" t="str">
        <f>_xlfn.IFNA(VLOOKUP($BK476,Programma!$F$3:$X$1101,19,0),"")</f>
        <v/>
      </c>
      <c r="CD476" s="448" t="str">
        <f>_xlfn.IFNA(VLOOKUP($BK476,Programma!$F$3:$Y$1101,20,0),"")</f>
        <v/>
      </c>
    </row>
    <row r="477" spans="1:82" ht="15" customHeight="1">
      <c r="A477" s="362">
        <v>18</v>
      </c>
      <c r="B477" s="435" t="str">
        <f>VLOOKUP(Ruimtestaat[[#This Row],[Code]],Locaties[[Code]:[Locatie]],2,FALSE)</f>
        <v>IKC De Triangel</v>
      </c>
      <c r="C477" s="435" t="str">
        <f>VLOOKUP(Ruimtestaat[[#This Row],[Code]],Locaties[[#All],[Code]:[Adres]],4,FALSE)</f>
        <v>Vlasakker 33-35</v>
      </c>
      <c r="D477" s="435" t="str">
        <f>VLOOKUP(Ruimtestaat[[#This Row],[Code]],Locaties[[#All],[Code]:[Postcode]],5,FALSE)</f>
        <v>2723 TP</v>
      </c>
      <c r="E477" s="435" t="str">
        <f>VLOOKUP(Ruimtestaat[[#This Row],[Code]],Locaties[#All],6,FALSE)</f>
        <v>Zoetermeer</v>
      </c>
      <c r="F477" s="450"/>
      <c r="G477" s="330" t="s">
        <v>1678</v>
      </c>
      <c r="H477" s="330">
        <v>23</v>
      </c>
      <c r="I477" s="450" t="s">
        <v>1871</v>
      </c>
      <c r="J477" s="330">
        <v>7</v>
      </c>
      <c r="K477" s="450" t="str">
        <f>VLOOKUP(Ruimtestaat[[#This Row],[Ruimte code]],Ruimtegroepen[[#All],[Code]:[Ruimte omschrijving]],2,FALSE)</f>
        <v>Entree</v>
      </c>
      <c r="L477" s="434" t="s">
        <v>100</v>
      </c>
      <c r="M477" s="437" t="s">
        <v>1759</v>
      </c>
      <c r="N477" s="439">
        <v>9.6</v>
      </c>
      <c r="O477" s="439"/>
      <c r="P477" s="439"/>
      <c r="Q477" s="439"/>
      <c r="R477" s="440" t="str">
        <f>VLOOKUP(Ruimtestaat[[#This Row],[Ruimte code]],Ruimtegroepen[],4,FALSE)</f>
        <v>Ve</v>
      </c>
      <c r="S477" s="434">
        <v>41</v>
      </c>
      <c r="T477" s="434" t="s">
        <v>2</v>
      </c>
      <c r="U477" s="453">
        <f>IF(S477&gt;0,IF(RIGHT(Ruimtestaat[[#This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77" s="434">
        <f>IF(U477&gt;0,VLOOKUP($J477,Ruimtegroepen[],3,FALSE)*VLOOKUP($L477,Vloersoorten[],3,FALSE)*VLOOKUP($T477,Frequenties[],3,FALSE)*VLOOKUP($A477,Locaties[],3,FALSE),0)</f>
        <v>0</v>
      </c>
      <c r="W477" s="434">
        <f>Ruimtestaat[[#This Row],[Uitvoeringen werkdagen]]*Ruimtestaat[[#This Row],[Oppervlak (netto)]]</f>
        <v>1968</v>
      </c>
      <c r="X477" s="441">
        <f>IF(V477&gt;0,Ruimtestaat[[#This Row],[Prest. (m2 /jaar) werkdagen]]/Ruimtestaat[[#This Row],[Norm (m2/uur) werkdagen]],0)</f>
        <v>0</v>
      </c>
      <c r="Y477" s="442">
        <f>Ruimtestaat[[#This Row],[Uitvoeringen werkdagen]]*Ruimtestaat[[#This Row],[Gedeeltelijk]]</f>
        <v>0</v>
      </c>
      <c r="Z477" s="443" t="e">
        <f>IF(U477&gt;0,Ruimtestaat[[#This Row],[Prest. (m2 / jaar) werkdagen gedeeld]]/Ruimtestaat[[#This Row],[Norm (m2/uur) werkdagen]],0)</f>
        <v>#DIV/0!</v>
      </c>
      <c r="AA477" s="441" t="e">
        <f>Ruimtestaat[[#This Row],[uren / jaar werkdagen gedeeld]]*Tariefsopbouw!$E$35</f>
        <v>#DIV/0!</v>
      </c>
      <c r="AB477" s="441">
        <f>Ruimtestaat[[#This Row],[Uitvoeringen werkdagen]]*Ruimtestaat[[#This Row],[BSO]]</f>
        <v>0</v>
      </c>
      <c r="AC477" s="443" t="e">
        <f>IF(U477&gt;0,Ruimtestaat[[#This Row],[Prest. (m2 / jaar) werkdagen BSO]]/Ruimtestaat[[#This Row],[Norm (m2/uur) werkdagen]],0)</f>
        <v>#DIV/0!</v>
      </c>
      <c r="AD477" s="443" t="e">
        <f>Ruimtestaat[[#This Row],[uren / jaar werkdagen BSO]]*Tariefsopbouw!$E$35</f>
        <v>#DIV/0!</v>
      </c>
      <c r="AE477" s="444">
        <f>Ruimtestaat[[#This Row],[uren / jaar werkdagen]]*Tariefsopbouw!$E$35</f>
        <v>0</v>
      </c>
      <c r="AF477" s="454"/>
      <c r="AG477" s="455">
        <f>IF(Ruimtestaat[[#This Row],[Frequentie weekend]]&gt;0,VALUE(LEFT(AF477,1))*S477,0)</f>
        <v>0</v>
      </c>
      <c r="AH477" s="455">
        <f>IF($AG477&gt;0,VLOOKUP($J477,Ruimtegroepen[],3,FALSE)*VLOOKUP($L477,Vloersoorten[],3,FALSE)*VLOOKUP($AF477,Frequenties[],3,FALSE)*VLOOKUP(#REF!,Locaties[],3,FALSE),0)</f>
        <v>0</v>
      </c>
      <c r="AI477" s="434">
        <f>Ruimtestaat[[#This Row],[Uitvoeringen weekend]]*Ruimtestaat[[#This Row],[Oppervlak (netto)]]</f>
        <v>0</v>
      </c>
      <c r="AJ477" s="434">
        <f>IF(AH477&gt;0,Ruimtestaat[[#This Row],[Prest. (m2 /jaar) weekend]]/Ruimtestaat[[#This Row],[Norm (m2/uur) weekend]],0)</f>
        <v>0</v>
      </c>
      <c r="AK477" s="444">
        <f>Ruimtestaat[[#This Row],[uren / jaar weekend]]*Tariefsopbouw!$D$40</f>
        <v>0</v>
      </c>
      <c r="AL477" s="441">
        <f>Ruimtestaat[[#This Row],[Prest. (m2 /jaar) weekend]]+Ruimtestaat[[#This Row],[Prest. (m2 /jaar) werkdagen]]</f>
        <v>1968</v>
      </c>
      <c r="AM477" s="441">
        <f>Ruimtestaat[[#This Row],[uren / jaar weekend]]+Ruimtestaat[[#This Row],[uren / jaar werkdagen]]</f>
        <v>0</v>
      </c>
      <c r="AN477" s="446">
        <f>Ruimtestaat[[#This Row],[kosten / jaar weekend]]+Ruimtestaat[[#This Row],[kosten / jaar werkdagen]]</f>
        <v>0</v>
      </c>
      <c r="AO477" s="446"/>
      <c r="AP477" s="446" t="str">
        <f>IF(Ruimtestaat[[#This Row],[Frequentie werkdagen]]="","",_xlfn.CONCAT(Ruimtestaat[[#This Row],[Ruimte code]],"-",Ruimtestaat[[#This Row],[Frequentie werkdagen]]," ",Ruimtestaat[[#This Row],[Vloer code]]))</f>
        <v>7-5w L</v>
      </c>
      <c r="AQ477" s="448" t="str">
        <f>_xlfn.IFNA(VLOOKUP($AP477,Programma!$F$3:$G$1101,2,0),"")</f>
        <v>_</v>
      </c>
      <c r="AR477" s="448" t="str">
        <f>_xlfn.IFNA(VLOOKUP($AP477,Programma!$F$3:$H$1101,3,0),"")</f>
        <v>_</v>
      </c>
      <c r="AS477" s="448" t="str">
        <f>_xlfn.IFNA(VLOOKUP($AP477,Programma!$F$3:$I$1101,4,0),"")</f>
        <v>_</v>
      </c>
      <c r="AT477" s="448" t="str">
        <f>_xlfn.IFNA(VLOOKUP($AP477,Programma!$F$3:$J$1101,5,0),"")</f>
        <v>5w</v>
      </c>
      <c r="AU477" s="448" t="str">
        <f>_xlfn.IFNA(VLOOKUP($AP477,Programma!$F$3:$K$1101,6,0),"")</f>
        <v>_</v>
      </c>
      <c r="AV477" s="448" t="str">
        <f>_xlfn.IFNA(VLOOKUP($AP477,Programma!$F$3:$L$1101,7,0),"")</f>
        <v>_</v>
      </c>
      <c r="AW477" s="448" t="str">
        <f>_xlfn.IFNA(VLOOKUP($AP477,Programma!$F$3:$M$1101,8,0),"")</f>
        <v>_</v>
      </c>
      <c r="AX477" s="448" t="str">
        <f>_xlfn.IFNA(VLOOKUP($AP477,Programma!$F$3:$N$1101,9,0),"")</f>
        <v>_</v>
      </c>
      <c r="AY477" s="448" t="str">
        <f>_xlfn.IFNA(VLOOKUP($AP477,Programma!$F$3:$O$1101,10,0),"")</f>
        <v>5w</v>
      </c>
      <c r="AZ477" s="448" t="str">
        <f>_xlfn.IFNA(VLOOKUP($AP477,Programma!$F$3:$P$1101,11,0),"")</f>
        <v>5w</v>
      </c>
      <c r="BA477" s="448" t="str">
        <f>_xlfn.IFNA(VLOOKUP($AP477,Programma!$F$3:$Q$1101,12,0),"")</f>
        <v>1w</v>
      </c>
      <c r="BB477" s="448" t="str">
        <f>_xlfn.IFNA(VLOOKUP($AP477,Programma!$F$3:$R$1101,13,0),"")</f>
        <v>1w</v>
      </c>
      <c r="BC477" s="448" t="str">
        <f>_xlfn.IFNA(VLOOKUP($AP477,Programma!$F$3:$S$1101,14,0),"")</f>
        <v>1m</v>
      </c>
      <c r="BD477" s="448" t="str">
        <f>_xlfn.IFNA(VLOOKUP($AP477,Programma!$F$3:$T$1101,15,0),"")</f>
        <v>2j</v>
      </c>
      <c r="BE477" s="448" t="str">
        <f>_xlfn.IFNA(VLOOKUP($AP477,Programma!$F$3:$U$1101,16,0),"")</f>
        <v>1j</v>
      </c>
      <c r="BF477" s="448" t="str">
        <f>_xlfn.IFNA(VLOOKUP($AP477,Programma!$F$3:$V$1101,17,0),"")</f>
        <v>_</v>
      </c>
      <c r="BG477" s="448" t="str">
        <f>_xlfn.IFNA(VLOOKUP($AP477,Programma!$F$3:$W$1101,18,0),"")</f>
        <v>_</v>
      </c>
      <c r="BH477" s="448" t="str">
        <f>_xlfn.IFNA(VLOOKUP($AP477,Programma!$F$3:$X$1101,19,0),"")</f>
        <v>_</v>
      </c>
      <c r="BI477" s="448" t="str">
        <f>_xlfn.IFNA(VLOOKUP($AP477,Programma!$F$3:$Y$1101,20,0),"")</f>
        <v>_</v>
      </c>
      <c r="BJ477" s="449"/>
      <c r="BK477" s="446" t="str">
        <f>IF(Ruimtestaat[[#This Row],[Frequentie weekend]]="","",_xlfn.CONCAT(Ruimtestaat[[#This Row],[Ruimte code]],"-",Ruimtestaat[[#This Row],[Frequentie weekend]]," ",Ruimtestaat[[#This Row],[Vloer code]]))</f>
        <v/>
      </c>
      <c r="BL477" s="448" t="str">
        <f>_xlfn.IFNA(VLOOKUP($BK477,Programma!$F$3:$G$1101,2,0),"")</f>
        <v/>
      </c>
      <c r="BM477" s="448" t="str">
        <f>_xlfn.IFNA(VLOOKUP($BK477,Programma!$F$3:$H$1101,3,0),"")</f>
        <v/>
      </c>
      <c r="BN477" s="448" t="str">
        <f>_xlfn.IFNA(VLOOKUP($BK477,Programma!$F$3:$I$1101,4,0),"")</f>
        <v/>
      </c>
      <c r="BO477" s="448" t="str">
        <f>_xlfn.IFNA(VLOOKUP($BK477,Programma!$F$3:$J$1101,5,0),"")</f>
        <v/>
      </c>
      <c r="BP477" s="448" t="str">
        <f>_xlfn.IFNA(VLOOKUP($BK477,Programma!$F$3:$K$1101,6,0),"")</f>
        <v/>
      </c>
      <c r="BQ477" s="448" t="str">
        <f>_xlfn.IFNA(VLOOKUP($BK477,Programma!$F$3:$L$1101,7,0),"")</f>
        <v/>
      </c>
      <c r="BR477" s="448" t="str">
        <f>_xlfn.IFNA(VLOOKUP($BK477,Programma!$F$3:$M$1101,8,0),"")</f>
        <v/>
      </c>
      <c r="BS477" s="448" t="str">
        <f>_xlfn.IFNA(VLOOKUP($BK477,Programma!$F$3:$N$1101,9,0),"")</f>
        <v/>
      </c>
      <c r="BT477" s="448" t="str">
        <f>_xlfn.IFNA(VLOOKUP($BK477,Programma!$F$3:$O$1101,10,0),"")</f>
        <v/>
      </c>
      <c r="BU477" s="448" t="str">
        <f>_xlfn.IFNA(VLOOKUP($BK477,Programma!$F$3:$P$1101,11,0),"")</f>
        <v/>
      </c>
      <c r="BV477" s="448" t="str">
        <f>_xlfn.IFNA(VLOOKUP($BK477,Programma!$F$3:$Q$1101,12,0),"")</f>
        <v/>
      </c>
      <c r="BW477" s="448" t="str">
        <f>_xlfn.IFNA(VLOOKUP($BK477,Programma!$F$3:$R$1101,13,0),"")</f>
        <v/>
      </c>
      <c r="BX477" s="448" t="str">
        <f>_xlfn.IFNA(VLOOKUP($BK477,Programma!$F$3:$S$1101,14,0),"")</f>
        <v/>
      </c>
      <c r="BY477" s="448" t="str">
        <f>_xlfn.IFNA(VLOOKUP($BK477,Programma!$F$3:$T$1101,15,0),"")</f>
        <v/>
      </c>
      <c r="BZ477" s="448" t="str">
        <f>_xlfn.IFNA(VLOOKUP($BK477,Programma!$F$3:$U$1101,16,0),"")</f>
        <v/>
      </c>
      <c r="CA477" s="448" t="str">
        <f>_xlfn.IFNA(VLOOKUP($BK477,Programma!$F$3:$V$1101,17,0),"")</f>
        <v/>
      </c>
      <c r="CB477" s="448" t="str">
        <f>_xlfn.IFNA(VLOOKUP($BK477,Programma!$F$3:$W$1101,18,0),"")</f>
        <v/>
      </c>
      <c r="CC477" s="448" t="str">
        <f>_xlfn.IFNA(VLOOKUP($BK477,Programma!$F$3:$X$1101,19,0),"")</f>
        <v/>
      </c>
      <c r="CD477" s="448" t="str">
        <f>_xlfn.IFNA(VLOOKUP($BK477,Programma!$F$3:$Y$1101,20,0),"")</f>
        <v/>
      </c>
    </row>
    <row r="478" spans="1:82" ht="15" customHeight="1">
      <c r="A478" s="362">
        <v>18</v>
      </c>
      <c r="B478" s="435" t="str">
        <f>VLOOKUP(Ruimtestaat[[#This Row],[Code]],Locaties[[Code]:[Locatie]],2,FALSE)</f>
        <v>IKC De Triangel</v>
      </c>
      <c r="C478" s="435" t="str">
        <f>VLOOKUP(Ruimtestaat[[#This Row],[Code]],Locaties[[#All],[Code]:[Adres]],4,FALSE)</f>
        <v>Vlasakker 33-35</v>
      </c>
      <c r="D478" s="435" t="str">
        <f>VLOOKUP(Ruimtestaat[[#This Row],[Code]],Locaties[[#All],[Code]:[Postcode]],5,FALSE)</f>
        <v>2723 TP</v>
      </c>
      <c r="E478" s="435" t="str">
        <f>VLOOKUP(Ruimtestaat[[#This Row],[Code]],Locaties[#All],6,FALSE)</f>
        <v>Zoetermeer</v>
      </c>
      <c r="F478" s="450"/>
      <c r="G478" s="330" t="s">
        <v>1678</v>
      </c>
      <c r="H478" s="330">
        <v>24</v>
      </c>
      <c r="I478" s="450" t="s">
        <v>1772</v>
      </c>
      <c r="J478" s="330">
        <v>6</v>
      </c>
      <c r="K478" s="450" t="str">
        <f>VLOOKUP(Ruimtestaat[[#This Row],[Ruimte code]],Ruimtegroepen[[#All],[Code]:[Ruimte omschrijving]],2,FALSE)</f>
        <v>Gangen/hallen</v>
      </c>
      <c r="L478" s="434" t="s">
        <v>100</v>
      </c>
      <c r="M478" s="437" t="s">
        <v>1759</v>
      </c>
      <c r="N478" s="439">
        <v>33.9</v>
      </c>
      <c r="O478" s="439"/>
      <c r="P478" s="439"/>
      <c r="Q478" s="439"/>
      <c r="R478" s="440" t="str">
        <f>VLOOKUP(Ruimtestaat[[#This Row],[Ruimte code]],Ruimtegroepen[],4,FALSE)</f>
        <v>Ve</v>
      </c>
      <c r="S478" s="434">
        <v>41</v>
      </c>
      <c r="T478" s="434" t="s">
        <v>2</v>
      </c>
      <c r="U478" s="453">
        <f>IF(S478&gt;0,IF(RIGHT(Ruimtestaat[[#This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78" s="434">
        <f>IF(U478&gt;0,VLOOKUP($J478,Ruimtegroepen[],3,FALSE)*VLOOKUP($L478,Vloersoorten[],3,FALSE)*VLOOKUP($T478,Frequenties[],3,FALSE)*VLOOKUP($A478,Locaties[],3,FALSE),0)</f>
        <v>0</v>
      </c>
      <c r="W478" s="434">
        <f>Ruimtestaat[[#This Row],[Uitvoeringen werkdagen]]*Ruimtestaat[[#This Row],[Oppervlak (netto)]]</f>
        <v>6949.5</v>
      </c>
      <c r="X478" s="441">
        <f>IF(V478&gt;0,Ruimtestaat[[#This Row],[Prest. (m2 /jaar) werkdagen]]/Ruimtestaat[[#This Row],[Norm (m2/uur) werkdagen]],0)</f>
        <v>0</v>
      </c>
      <c r="Y478" s="442">
        <f>Ruimtestaat[[#This Row],[Uitvoeringen werkdagen]]*Ruimtestaat[[#This Row],[Gedeeltelijk]]</f>
        <v>0</v>
      </c>
      <c r="Z478" s="443" t="e">
        <f>IF(U478&gt;0,Ruimtestaat[[#This Row],[Prest. (m2 / jaar) werkdagen gedeeld]]/Ruimtestaat[[#This Row],[Norm (m2/uur) werkdagen]],0)</f>
        <v>#DIV/0!</v>
      </c>
      <c r="AA478" s="441" t="e">
        <f>Ruimtestaat[[#This Row],[uren / jaar werkdagen gedeeld]]*Tariefsopbouw!$E$35</f>
        <v>#DIV/0!</v>
      </c>
      <c r="AB478" s="441">
        <f>Ruimtestaat[[#This Row],[Uitvoeringen werkdagen]]*Ruimtestaat[[#This Row],[BSO]]</f>
        <v>0</v>
      </c>
      <c r="AC478" s="443" t="e">
        <f>IF(U478&gt;0,Ruimtestaat[[#This Row],[Prest. (m2 / jaar) werkdagen BSO]]/Ruimtestaat[[#This Row],[Norm (m2/uur) werkdagen]],0)</f>
        <v>#DIV/0!</v>
      </c>
      <c r="AD478" s="443" t="e">
        <f>Ruimtestaat[[#This Row],[uren / jaar werkdagen BSO]]*Tariefsopbouw!$E$35</f>
        <v>#DIV/0!</v>
      </c>
      <c r="AE478" s="444">
        <f>Ruimtestaat[[#This Row],[uren / jaar werkdagen]]*Tariefsopbouw!$E$35</f>
        <v>0</v>
      </c>
      <c r="AF478" s="454"/>
      <c r="AG478" s="455">
        <f>IF(Ruimtestaat[[#This Row],[Frequentie weekend]]&gt;0,VALUE(LEFT(AF478,1))*S478,0)</f>
        <v>0</v>
      </c>
      <c r="AH478" s="455">
        <f>IF($AG478&gt;0,VLOOKUP($J478,Ruimtegroepen[],3,FALSE)*VLOOKUP($L478,Vloersoorten[],3,FALSE)*VLOOKUP($AF478,Frequenties[],3,FALSE)*VLOOKUP(#REF!,Locaties[],3,FALSE),0)</f>
        <v>0</v>
      </c>
      <c r="AI478" s="434">
        <f>Ruimtestaat[[#This Row],[Uitvoeringen weekend]]*Ruimtestaat[[#This Row],[Oppervlak (netto)]]</f>
        <v>0</v>
      </c>
      <c r="AJ478" s="434">
        <f>IF(AH478&gt;0,Ruimtestaat[[#This Row],[Prest. (m2 /jaar) weekend]]/Ruimtestaat[[#This Row],[Norm (m2/uur) weekend]],0)</f>
        <v>0</v>
      </c>
      <c r="AK478" s="444">
        <f>Ruimtestaat[[#This Row],[uren / jaar weekend]]*Tariefsopbouw!$D$40</f>
        <v>0</v>
      </c>
      <c r="AL478" s="441">
        <f>Ruimtestaat[[#This Row],[Prest. (m2 /jaar) weekend]]+Ruimtestaat[[#This Row],[Prest. (m2 /jaar) werkdagen]]</f>
        <v>6949.5</v>
      </c>
      <c r="AM478" s="441">
        <f>Ruimtestaat[[#This Row],[uren / jaar weekend]]+Ruimtestaat[[#This Row],[uren / jaar werkdagen]]</f>
        <v>0</v>
      </c>
      <c r="AN478" s="446">
        <f>Ruimtestaat[[#This Row],[kosten / jaar weekend]]+Ruimtestaat[[#This Row],[kosten / jaar werkdagen]]</f>
        <v>0</v>
      </c>
      <c r="AO478" s="446"/>
      <c r="AP478" s="446" t="str">
        <f>IF(Ruimtestaat[[#This Row],[Frequentie werkdagen]]="","",_xlfn.CONCAT(Ruimtestaat[[#This Row],[Ruimte code]],"-",Ruimtestaat[[#This Row],[Frequentie werkdagen]]," ",Ruimtestaat[[#This Row],[Vloer code]]))</f>
        <v>6-5w L</v>
      </c>
      <c r="AQ478" s="448" t="str">
        <f>_xlfn.IFNA(VLOOKUP($AP478,Programma!$F$3:$G$1101,2,0),"")</f>
        <v>_</v>
      </c>
      <c r="AR478" s="448" t="str">
        <f>_xlfn.IFNA(VLOOKUP($AP478,Programma!$F$3:$H$1101,3,0),"")</f>
        <v>_</v>
      </c>
      <c r="AS478" s="448" t="str">
        <f>_xlfn.IFNA(VLOOKUP($AP478,Programma!$F$3:$I$1101,4,0),"")</f>
        <v>_</v>
      </c>
      <c r="AT478" s="448" t="str">
        <f>_xlfn.IFNA(VLOOKUP($AP478,Programma!$F$3:$J$1101,5,0),"")</f>
        <v>5w</v>
      </c>
      <c r="AU478" s="448" t="str">
        <f>_xlfn.IFNA(VLOOKUP($AP478,Programma!$F$3:$K$1101,6,0),"")</f>
        <v>_</v>
      </c>
      <c r="AV478" s="448" t="str">
        <f>_xlfn.IFNA(VLOOKUP($AP478,Programma!$F$3:$L$1101,7,0),"")</f>
        <v>_</v>
      </c>
      <c r="AW478" s="448" t="str">
        <f>_xlfn.IFNA(VLOOKUP($AP478,Programma!$F$3:$M$1101,8,0),"")</f>
        <v>_</v>
      </c>
      <c r="AX478" s="448" t="str">
        <f>_xlfn.IFNA(VLOOKUP($AP478,Programma!$F$3:$N$1101,9,0),"")</f>
        <v>_</v>
      </c>
      <c r="AY478" s="448" t="str">
        <f>_xlfn.IFNA(VLOOKUP($AP478,Programma!$F$3:$O$1101,10,0),"")</f>
        <v>5w</v>
      </c>
      <c r="AZ478" s="448" t="str">
        <f>_xlfn.IFNA(VLOOKUP($AP478,Programma!$F$3:$P$1101,11,0),"")</f>
        <v>5w</v>
      </c>
      <c r="BA478" s="448" t="str">
        <f>_xlfn.IFNA(VLOOKUP($AP478,Programma!$F$3:$Q$1101,12,0),"")</f>
        <v>1w</v>
      </c>
      <c r="BB478" s="448" t="str">
        <f>_xlfn.IFNA(VLOOKUP($AP478,Programma!$F$3:$R$1101,13,0),"")</f>
        <v>1w</v>
      </c>
      <c r="BC478" s="448" t="str">
        <f>_xlfn.IFNA(VLOOKUP($AP478,Programma!$F$3:$S$1101,14,0),"")</f>
        <v>1m</v>
      </c>
      <c r="BD478" s="448" t="str">
        <f>_xlfn.IFNA(VLOOKUP($AP478,Programma!$F$3:$T$1101,15,0),"")</f>
        <v>2j</v>
      </c>
      <c r="BE478" s="448" t="str">
        <f>_xlfn.IFNA(VLOOKUP($AP478,Programma!$F$3:$U$1101,16,0),"")</f>
        <v>1j</v>
      </c>
      <c r="BF478" s="448" t="str">
        <f>_xlfn.IFNA(VLOOKUP($AP478,Programma!$F$3:$V$1101,17,0),"")</f>
        <v>_</v>
      </c>
      <c r="BG478" s="448" t="str">
        <f>_xlfn.IFNA(VLOOKUP($AP478,Programma!$F$3:$W$1101,18,0),"")</f>
        <v>_</v>
      </c>
      <c r="BH478" s="448" t="str">
        <f>_xlfn.IFNA(VLOOKUP($AP478,Programma!$F$3:$X$1101,19,0),"")</f>
        <v>_</v>
      </c>
      <c r="BI478" s="448" t="str">
        <f>_xlfn.IFNA(VLOOKUP($AP478,Programma!$F$3:$Y$1101,20,0),"")</f>
        <v>_</v>
      </c>
      <c r="BJ478" s="449"/>
      <c r="BK478" s="446" t="str">
        <f>IF(Ruimtestaat[[#This Row],[Frequentie weekend]]="","",_xlfn.CONCAT(Ruimtestaat[[#This Row],[Ruimte code]],"-",Ruimtestaat[[#This Row],[Frequentie weekend]]," ",Ruimtestaat[[#This Row],[Vloer code]]))</f>
        <v/>
      </c>
      <c r="BL478" s="448" t="str">
        <f>_xlfn.IFNA(VLOOKUP($BK478,Programma!$F$3:$G$1101,2,0),"")</f>
        <v/>
      </c>
      <c r="BM478" s="448" t="str">
        <f>_xlfn.IFNA(VLOOKUP($BK478,Programma!$F$3:$H$1101,3,0),"")</f>
        <v/>
      </c>
      <c r="BN478" s="448" t="str">
        <f>_xlfn.IFNA(VLOOKUP($BK478,Programma!$F$3:$I$1101,4,0),"")</f>
        <v/>
      </c>
      <c r="BO478" s="448" t="str">
        <f>_xlfn.IFNA(VLOOKUP($BK478,Programma!$F$3:$J$1101,5,0),"")</f>
        <v/>
      </c>
      <c r="BP478" s="448" t="str">
        <f>_xlfn.IFNA(VLOOKUP($BK478,Programma!$F$3:$K$1101,6,0),"")</f>
        <v/>
      </c>
      <c r="BQ478" s="448" t="str">
        <f>_xlfn.IFNA(VLOOKUP($BK478,Programma!$F$3:$L$1101,7,0),"")</f>
        <v/>
      </c>
      <c r="BR478" s="448" t="str">
        <f>_xlfn.IFNA(VLOOKUP($BK478,Programma!$F$3:$M$1101,8,0),"")</f>
        <v/>
      </c>
      <c r="BS478" s="448" t="str">
        <f>_xlfn.IFNA(VLOOKUP($BK478,Programma!$F$3:$N$1101,9,0),"")</f>
        <v/>
      </c>
      <c r="BT478" s="448" t="str">
        <f>_xlfn.IFNA(VLOOKUP($BK478,Programma!$F$3:$O$1101,10,0),"")</f>
        <v/>
      </c>
      <c r="BU478" s="448" t="str">
        <f>_xlfn.IFNA(VLOOKUP($BK478,Programma!$F$3:$P$1101,11,0),"")</f>
        <v/>
      </c>
      <c r="BV478" s="448" t="str">
        <f>_xlfn.IFNA(VLOOKUP($BK478,Programma!$F$3:$Q$1101,12,0),"")</f>
        <v/>
      </c>
      <c r="BW478" s="448" t="str">
        <f>_xlfn.IFNA(VLOOKUP($BK478,Programma!$F$3:$R$1101,13,0),"")</f>
        <v/>
      </c>
      <c r="BX478" s="448" t="str">
        <f>_xlfn.IFNA(VLOOKUP($BK478,Programma!$F$3:$S$1101,14,0),"")</f>
        <v/>
      </c>
      <c r="BY478" s="448" t="str">
        <f>_xlfn.IFNA(VLOOKUP($BK478,Programma!$F$3:$T$1101,15,0),"")</f>
        <v/>
      </c>
      <c r="BZ478" s="448" t="str">
        <f>_xlfn.IFNA(VLOOKUP($BK478,Programma!$F$3:$U$1101,16,0),"")</f>
        <v/>
      </c>
      <c r="CA478" s="448" t="str">
        <f>_xlfn.IFNA(VLOOKUP($BK478,Programma!$F$3:$V$1101,17,0),"")</f>
        <v/>
      </c>
      <c r="CB478" s="448" t="str">
        <f>_xlfn.IFNA(VLOOKUP($BK478,Programma!$F$3:$W$1101,18,0),"")</f>
        <v/>
      </c>
      <c r="CC478" s="448" t="str">
        <f>_xlfn.IFNA(VLOOKUP($BK478,Programma!$F$3:$X$1101,19,0),"")</f>
        <v/>
      </c>
      <c r="CD478" s="448" t="str">
        <f>_xlfn.IFNA(VLOOKUP($BK478,Programma!$F$3:$Y$1101,20,0),"")</f>
        <v/>
      </c>
    </row>
    <row r="479" spans="1:82" ht="15" customHeight="1">
      <c r="A479" s="362">
        <v>18</v>
      </c>
      <c r="B479" s="435" t="str">
        <f>VLOOKUP(Ruimtestaat[[#This Row],[Code]],Locaties[[Code]:[Locatie]],2,FALSE)</f>
        <v>IKC De Triangel</v>
      </c>
      <c r="C479" s="435" t="str">
        <f>VLOOKUP(Ruimtestaat[[#This Row],[Code]],Locaties[[#All],[Code]:[Adres]],4,FALSE)</f>
        <v>Vlasakker 33-35</v>
      </c>
      <c r="D479" s="435" t="str">
        <f>VLOOKUP(Ruimtestaat[[#This Row],[Code]],Locaties[[#All],[Code]:[Postcode]],5,FALSE)</f>
        <v>2723 TP</v>
      </c>
      <c r="E479" s="435" t="str">
        <f>VLOOKUP(Ruimtestaat[[#This Row],[Code]],Locaties[#All],6,FALSE)</f>
        <v>Zoetermeer</v>
      </c>
      <c r="F479" s="450"/>
      <c r="G479" s="330" t="s">
        <v>1678</v>
      </c>
      <c r="H479" s="330">
        <v>25</v>
      </c>
      <c r="I479" s="450" t="s">
        <v>1673</v>
      </c>
      <c r="J479" s="330">
        <v>20</v>
      </c>
      <c r="K479" s="450" t="str">
        <f>VLOOKUP(Ruimtestaat[[#This Row],[Ruimte code]],Ruimtegroepen[[#All],[Code]:[Ruimte omschrijving]],2,FALSE)</f>
        <v>Niet in Onderhoud</v>
      </c>
      <c r="L479" s="330" t="s">
        <v>101</v>
      </c>
      <c r="M479" s="437" t="s">
        <v>1947</v>
      </c>
      <c r="N479" s="439"/>
      <c r="O479" s="439">
        <v>4.8</v>
      </c>
      <c r="P479" s="439"/>
      <c r="Q479" s="439"/>
      <c r="R479" s="440">
        <f>VLOOKUP(Ruimtestaat[[#This Row],[Ruimte code]],Ruimtegroepen[],4,FALSE)</f>
        <v>0</v>
      </c>
      <c r="S479" s="434"/>
      <c r="T479" s="434"/>
      <c r="U479" s="453">
        <f>IF(S479&gt;0,IF(RIGHT(Ruimtestaat[[#This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79" s="434">
        <f>IF(U479&gt;0,VLOOKUP($J479,Ruimtegroepen[],3,FALSE)*VLOOKUP($L479,Vloersoorten[],3,FALSE)*VLOOKUP($T479,Frequenties[],3,FALSE)*VLOOKUP($A479,Locaties[],3,FALSE),0)</f>
        <v>0</v>
      </c>
      <c r="W479" s="434">
        <f>Ruimtestaat[[#This Row],[Uitvoeringen werkdagen]]*Ruimtestaat[[#This Row],[Oppervlak (netto)]]</f>
        <v>0</v>
      </c>
      <c r="X479" s="441">
        <f>IF(V479&gt;0,Ruimtestaat[[#This Row],[Prest. (m2 /jaar) werkdagen]]/Ruimtestaat[[#This Row],[Norm (m2/uur) werkdagen]],0)</f>
        <v>0</v>
      </c>
      <c r="Y479" s="442">
        <f>Ruimtestaat[[#This Row],[Uitvoeringen werkdagen]]*Ruimtestaat[[#This Row],[Gedeeltelijk]]</f>
        <v>0</v>
      </c>
      <c r="Z479" s="443">
        <f>IF(U479&gt;0,Ruimtestaat[[#This Row],[Prest. (m2 / jaar) werkdagen gedeeld]]/Ruimtestaat[[#This Row],[Norm (m2/uur) werkdagen]],0)</f>
        <v>0</v>
      </c>
      <c r="AA479" s="441">
        <f>Ruimtestaat[[#This Row],[uren / jaar werkdagen gedeeld]]*Tariefsopbouw!$E$35</f>
        <v>0</v>
      </c>
      <c r="AB479" s="441">
        <f>Ruimtestaat[[#This Row],[Uitvoeringen werkdagen]]*Ruimtestaat[[#This Row],[BSO]]</f>
        <v>0</v>
      </c>
      <c r="AC479" s="443">
        <f>IF(U479&gt;0,Ruimtestaat[[#This Row],[Prest. (m2 / jaar) werkdagen BSO]]/Ruimtestaat[[#This Row],[Norm (m2/uur) werkdagen]],0)</f>
        <v>0</v>
      </c>
      <c r="AD479" s="443">
        <f>Ruimtestaat[[#This Row],[uren / jaar werkdagen BSO]]*Tariefsopbouw!$E$35</f>
        <v>0</v>
      </c>
      <c r="AE479" s="444">
        <f>Ruimtestaat[[#This Row],[uren / jaar werkdagen]]*Tariefsopbouw!$E$35</f>
        <v>0</v>
      </c>
      <c r="AF479" s="454"/>
      <c r="AG479" s="455">
        <f>IF(Ruimtestaat[[#This Row],[Frequentie weekend]]&gt;0,VALUE(LEFT(AF479,1))*S479,0)</f>
        <v>0</v>
      </c>
      <c r="AH479" s="455">
        <f>IF($AG479&gt;0,VLOOKUP($J479,Ruimtegroepen[],3,FALSE)*VLOOKUP($L479,Vloersoorten[],3,FALSE)*VLOOKUP($AF479,Frequenties[],3,FALSE)*VLOOKUP(#REF!,Locaties[],3,FALSE),0)</f>
        <v>0</v>
      </c>
      <c r="AI479" s="434">
        <f>Ruimtestaat[[#This Row],[Uitvoeringen weekend]]*Ruimtestaat[[#This Row],[Oppervlak (netto)]]</f>
        <v>0</v>
      </c>
      <c r="AJ479" s="434">
        <f>IF(AH479&gt;0,Ruimtestaat[[#This Row],[Prest. (m2 /jaar) weekend]]/Ruimtestaat[[#This Row],[Norm (m2/uur) weekend]],0)</f>
        <v>0</v>
      </c>
      <c r="AK479" s="444">
        <f>Ruimtestaat[[#This Row],[uren / jaar weekend]]*Tariefsopbouw!$D$40</f>
        <v>0</v>
      </c>
      <c r="AL479" s="441">
        <f>Ruimtestaat[[#This Row],[Prest. (m2 /jaar) weekend]]+Ruimtestaat[[#This Row],[Prest. (m2 /jaar) werkdagen]]</f>
        <v>0</v>
      </c>
      <c r="AM479" s="441">
        <f>Ruimtestaat[[#This Row],[uren / jaar weekend]]+Ruimtestaat[[#This Row],[uren / jaar werkdagen]]</f>
        <v>0</v>
      </c>
      <c r="AN479" s="446">
        <f>Ruimtestaat[[#This Row],[kosten / jaar weekend]]+Ruimtestaat[[#This Row],[kosten / jaar werkdagen]]</f>
        <v>0</v>
      </c>
      <c r="AO479" s="446"/>
      <c r="AP479" s="446" t="str">
        <f>IF(Ruimtestaat[[#This Row],[Frequentie werkdagen]]="","",_xlfn.CONCAT(Ruimtestaat[[#This Row],[Ruimte code]],"-",Ruimtestaat[[#This Row],[Frequentie werkdagen]]," ",Ruimtestaat[[#This Row],[Vloer code]]))</f>
        <v/>
      </c>
      <c r="AQ479" s="448" t="str">
        <f>_xlfn.IFNA(VLOOKUP($AP479,Programma!$F$3:$G$1101,2,0),"")</f>
        <v/>
      </c>
      <c r="AR479" s="448" t="str">
        <f>_xlfn.IFNA(VLOOKUP($AP479,Programma!$F$3:$H$1101,3,0),"")</f>
        <v/>
      </c>
      <c r="AS479" s="448" t="str">
        <f>_xlfn.IFNA(VLOOKUP($AP479,Programma!$F$3:$I$1101,4,0),"")</f>
        <v/>
      </c>
      <c r="AT479" s="448" t="str">
        <f>_xlfn.IFNA(VLOOKUP($AP479,Programma!$F$3:$J$1101,5,0),"")</f>
        <v/>
      </c>
      <c r="AU479" s="448" t="str">
        <f>_xlfn.IFNA(VLOOKUP($AP479,Programma!$F$3:$K$1101,6,0),"")</f>
        <v/>
      </c>
      <c r="AV479" s="448" t="str">
        <f>_xlfn.IFNA(VLOOKUP($AP479,Programma!$F$3:$L$1101,7,0),"")</f>
        <v/>
      </c>
      <c r="AW479" s="448" t="str">
        <f>_xlfn.IFNA(VLOOKUP($AP479,Programma!$F$3:$M$1101,8,0),"")</f>
        <v/>
      </c>
      <c r="AX479" s="448" t="str">
        <f>_xlfn.IFNA(VLOOKUP($AP479,Programma!$F$3:$N$1101,9,0),"")</f>
        <v/>
      </c>
      <c r="AY479" s="448" t="str">
        <f>_xlfn.IFNA(VLOOKUP($AP479,Programma!$F$3:$O$1101,10,0),"")</f>
        <v/>
      </c>
      <c r="AZ479" s="448" t="str">
        <f>_xlfn.IFNA(VLOOKUP($AP479,Programma!$F$3:$P$1101,11,0),"")</f>
        <v/>
      </c>
      <c r="BA479" s="448" t="str">
        <f>_xlfn.IFNA(VLOOKUP($AP479,Programma!$F$3:$Q$1101,12,0),"")</f>
        <v/>
      </c>
      <c r="BB479" s="448" t="str">
        <f>_xlfn.IFNA(VLOOKUP($AP479,Programma!$F$3:$R$1101,13,0),"")</f>
        <v/>
      </c>
      <c r="BC479" s="448" t="str">
        <f>_xlfn.IFNA(VLOOKUP($AP479,Programma!$F$3:$S$1101,14,0),"")</f>
        <v/>
      </c>
      <c r="BD479" s="448" t="str">
        <f>_xlfn.IFNA(VLOOKUP($AP479,Programma!$F$3:$T$1101,15,0),"")</f>
        <v/>
      </c>
      <c r="BE479" s="448" t="str">
        <f>_xlfn.IFNA(VLOOKUP($AP479,Programma!$F$3:$U$1101,16,0),"")</f>
        <v/>
      </c>
      <c r="BF479" s="448" t="str">
        <f>_xlfn.IFNA(VLOOKUP($AP479,Programma!$F$3:$V$1101,17,0),"")</f>
        <v/>
      </c>
      <c r="BG479" s="448" t="str">
        <f>_xlfn.IFNA(VLOOKUP($AP479,Programma!$F$3:$W$1101,18,0),"")</f>
        <v/>
      </c>
      <c r="BH479" s="448" t="str">
        <f>_xlfn.IFNA(VLOOKUP($AP479,Programma!$F$3:$X$1101,19,0),"")</f>
        <v/>
      </c>
      <c r="BI479" s="448" t="str">
        <f>_xlfn.IFNA(VLOOKUP($AP479,Programma!$F$3:$Y$1101,20,0),"")</f>
        <v/>
      </c>
      <c r="BJ479" s="449"/>
      <c r="BK479" s="446" t="str">
        <f>IF(Ruimtestaat[[#This Row],[Frequentie weekend]]="","",_xlfn.CONCAT(Ruimtestaat[[#This Row],[Ruimte code]],"-",Ruimtestaat[[#This Row],[Frequentie weekend]]," ",Ruimtestaat[[#This Row],[Vloer code]]))</f>
        <v/>
      </c>
      <c r="BL479" s="448" t="str">
        <f>_xlfn.IFNA(VLOOKUP($BK479,Programma!$F$3:$G$1101,2,0),"")</f>
        <v/>
      </c>
      <c r="BM479" s="448" t="str">
        <f>_xlfn.IFNA(VLOOKUP($BK479,Programma!$F$3:$H$1101,3,0),"")</f>
        <v/>
      </c>
      <c r="BN479" s="448" t="str">
        <f>_xlfn.IFNA(VLOOKUP($BK479,Programma!$F$3:$I$1101,4,0),"")</f>
        <v/>
      </c>
      <c r="BO479" s="448" t="str">
        <f>_xlfn.IFNA(VLOOKUP($BK479,Programma!$F$3:$J$1101,5,0),"")</f>
        <v/>
      </c>
      <c r="BP479" s="448" t="str">
        <f>_xlfn.IFNA(VLOOKUP($BK479,Programma!$F$3:$K$1101,6,0),"")</f>
        <v/>
      </c>
      <c r="BQ479" s="448" t="str">
        <f>_xlfn.IFNA(VLOOKUP($BK479,Programma!$F$3:$L$1101,7,0),"")</f>
        <v/>
      </c>
      <c r="BR479" s="448" t="str">
        <f>_xlfn.IFNA(VLOOKUP($BK479,Programma!$F$3:$M$1101,8,0),"")</f>
        <v/>
      </c>
      <c r="BS479" s="448" t="str">
        <f>_xlfn.IFNA(VLOOKUP($BK479,Programma!$F$3:$N$1101,9,0),"")</f>
        <v/>
      </c>
      <c r="BT479" s="448" t="str">
        <f>_xlfn.IFNA(VLOOKUP($BK479,Programma!$F$3:$O$1101,10,0),"")</f>
        <v/>
      </c>
      <c r="BU479" s="448" t="str">
        <f>_xlfn.IFNA(VLOOKUP($BK479,Programma!$F$3:$P$1101,11,0),"")</f>
        <v/>
      </c>
      <c r="BV479" s="448" t="str">
        <f>_xlfn.IFNA(VLOOKUP($BK479,Programma!$F$3:$Q$1101,12,0),"")</f>
        <v/>
      </c>
      <c r="BW479" s="448" t="str">
        <f>_xlfn.IFNA(VLOOKUP($BK479,Programma!$F$3:$R$1101,13,0),"")</f>
        <v/>
      </c>
      <c r="BX479" s="448" t="str">
        <f>_xlfn.IFNA(VLOOKUP($BK479,Programma!$F$3:$S$1101,14,0),"")</f>
        <v/>
      </c>
      <c r="BY479" s="448" t="str">
        <f>_xlfn.IFNA(VLOOKUP($BK479,Programma!$F$3:$T$1101,15,0),"")</f>
        <v/>
      </c>
      <c r="BZ479" s="448" t="str">
        <f>_xlfn.IFNA(VLOOKUP($BK479,Programma!$F$3:$U$1101,16,0),"")</f>
        <v/>
      </c>
      <c r="CA479" s="448" t="str">
        <f>_xlfn.IFNA(VLOOKUP($BK479,Programma!$F$3:$V$1101,17,0),"")</f>
        <v/>
      </c>
      <c r="CB479" s="448" t="str">
        <f>_xlfn.IFNA(VLOOKUP($BK479,Programma!$F$3:$W$1101,18,0),"")</f>
        <v/>
      </c>
      <c r="CC479" s="448" t="str">
        <f>_xlfn.IFNA(VLOOKUP($BK479,Programma!$F$3:$X$1101,19,0),"")</f>
        <v/>
      </c>
      <c r="CD479" s="448" t="str">
        <f>_xlfn.IFNA(VLOOKUP($BK479,Programma!$F$3:$Y$1101,20,0),"")</f>
        <v/>
      </c>
    </row>
    <row r="480" spans="1:82" ht="15" customHeight="1">
      <c r="A480" s="362">
        <v>18</v>
      </c>
      <c r="B480" s="435" t="str">
        <f>VLOOKUP(Ruimtestaat[[#This Row],[Code]],Locaties[[Code]:[Locatie]],2,FALSE)</f>
        <v>IKC De Triangel</v>
      </c>
      <c r="C480" s="435" t="str">
        <f>VLOOKUP(Ruimtestaat[[#This Row],[Code]],Locaties[[#All],[Code]:[Adres]],4,FALSE)</f>
        <v>Vlasakker 33-35</v>
      </c>
      <c r="D480" s="435" t="str">
        <f>VLOOKUP(Ruimtestaat[[#This Row],[Code]],Locaties[[#All],[Code]:[Postcode]],5,FALSE)</f>
        <v>2723 TP</v>
      </c>
      <c r="E480" s="435" t="str">
        <f>VLOOKUP(Ruimtestaat[[#This Row],[Code]],Locaties[#All],6,FALSE)</f>
        <v>Zoetermeer</v>
      </c>
      <c r="F480" s="450"/>
      <c r="G480" s="330" t="s">
        <v>1678</v>
      </c>
      <c r="H480" s="330">
        <v>26</v>
      </c>
      <c r="I480" s="450" t="s">
        <v>1673</v>
      </c>
      <c r="J480" s="330">
        <v>5</v>
      </c>
      <c r="K480" s="450" t="str">
        <f>VLOOKUP(Ruimtestaat[[#This Row],[Ruimte code]],Ruimtegroepen[[#All],[Code]:[Ruimte omschrijving]],2,FALSE)</f>
        <v>Sanitair</v>
      </c>
      <c r="L480" s="330" t="s">
        <v>101</v>
      </c>
      <c r="M480" s="437" t="s">
        <v>1947</v>
      </c>
      <c r="N480" s="439"/>
      <c r="O480" s="439"/>
      <c r="P480" s="439">
        <v>4.8</v>
      </c>
      <c r="Q480" s="439"/>
      <c r="R480" s="440" t="str">
        <f>VLOOKUP(Ruimtestaat[[#This Row],[Ruimte code]],Ruimtegroepen[],4,FALSE)</f>
        <v>Sa</v>
      </c>
      <c r="S480" s="434">
        <v>41</v>
      </c>
      <c r="T480" s="434" t="s">
        <v>20</v>
      </c>
      <c r="U480" s="453">
        <f>IF(S480&gt;0,IF(RIGHT(Ruimtestaat[[#This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164</v>
      </c>
      <c r="V480" s="434">
        <f>IF(U480&gt;0,VLOOKUP($J480,Ruimtegroepen[],3,FALSE)*VLOOKUP($L480,Vloersoorten[],3,FALSE)*VLOOKUP($T480,Frequenties[],3,FALSE)*VLOOKUP($A480,Locaties[],3,FALSE),0)</f>
        <v>0</v>
      </c>
      <c r="W480" s="434">
        <f>Ruimtestaat[[#This Row],[Uitvoeringen werkdagen]]*Ruimtestaat[[#This Row],[Oppervlak (netto)]]</f>
        <v>0</v>
      </c>
      <c r="X480" s="441">
        <f>IF(V480&gt;0,Ruimtestaat[[#This Row],[Prest. (m2 /jaar) werkdagen]]/Ruimtestaat[[#This Row],[Norm (m2/uur) werkdagen]],0)</f>
        <v>0</v>
      </c>
      <c r="Y480" s="442">
        <f>Ruimtestaat[[#This Row],[Uitvoeringen werkdagen]]*Ruimtestaat[[#This Row],[Gedeeltelijk]]</f>
        <v>787.19999999999993</v>
      </c>
      <c r="Z480" s="443" t="e">
        <f>IF(U480&gt;0,Ruimtestaat[[#This Row],[Prest. (m2 / jaar) werkdagen gedeeld]]/Ruimtestaat[[#This Row],[Norm (m2/uur) werkdagen]],0)</f>
        <v>#DIV/0!</v>
      </c>
      <c r="AA480" s="441" t="e">
        <f>Ruimtestaat[[#This Row],[uren / jaar werkdagen gedeeld]]*Tariefsopbouw!$E$35</f>
        <v>#DIV/0!</v>
      </c>
      <c r="AB480" s="441">
        <f>Ruimtestaat[[#This Row],[Uitvoeringen werkdagen]]*Ruimtestaat[[#This Row],[BSO]]</f>
        <v>0</v>
      </c>
      <c r="AC480" s="443" t="e">
        <f>IF(U480&gt;0,Ruimtestaat[[#This Row],[Prest. (m2 / jaar) werkdagen BSO]]/Ruimtestaat[[#This Row],[Norm (m2/uur) werkdagen]],0)</f>
        <v>#DIV/0!</v>
      </c>
      <c r="AD480" s="443" t="e">
        <f>Ruimtestaat[[#This Row],[uren / jaar werkdagen BSO]]*Tariefsopbouw!$E$35</f>
        <v>#DIV/0!</v>
      </c>
      <c r="AE480" s="444">
        <f>Ruimtestaat[[#This Row],[uren / jaar werkdagen]]*Tariefsopbouw!$E$35</f>
        <v>0</v>
      </c>
      <c r="AF480" s="454"/>
      <c r="AG480" s="455">
        <f>IF(Ruimtestaat[[#This Row],[Frequentie weekend]]&gt;0,VALUE(LEFT(AF480,1))*S480,0)</f>
        <v>0</v>
      </c>
      <c r="AH480" s="455">
        <f>IF($AG480&gt;0,VLOOKUP($J480,Ruimtegroepen[],3,FALSE)*VLOOKUP($L480,Vloersoorten[],3,FALSE)*VLOOKUP($AF480,Frequenties[],3,FALSE)*VLOOKUP(#REF!,Locaties[],3,FALSE),0)</f>
        <v>0</v>
      </c>
      <c r="AI480" s="434">
        <f>Ruimtestaat[[#This Row],[Uitvoeringen weekend]]*Ruimtestaat[[#This Row],[Oppervlak (netto)]]</f>
        <v>0</v>
      </c>
      <c r="AJ480" s="434">
        <f>IF(AH480&gt;0,Ruimtestaat[[#This Row],[Prest. (m2 /jaar) weekend]]/Ruimtestaat[[#This Row],[Norm (m2/uur) weekend]],0)</f>
        <v>0</v>
      </c>
      <c r="AK480" s="444">
        <f>Ruimtestaat[[#This Row],[uren / jaar weekend]]*Tariefsopbouw!$D$40</f>
        <v>0</v>
      </c>
      <c r="AL480" s="441">
        <f>Ruimtestaat[[#This Row],[Prest. (m2 /jaar) weekend]]+Ruimtestaat[[#This Row],[Prest. (m2 /jaar) werkdagen]]</f>
        <v>0</v>
      </c>
      <c r="AM480" s="441">
        <f>Ruimtestaat[[#This Row],[uren / jaar weekend]]+Ruimtestaat[[#This Row],[uren / jaar werkdagen]]</f>
        <v>0</v>
      </c>
      <c r="AN480" s="446">
        <f>Ruimtestaat[[#This Row],[kosten / jaar weekend]]+Ruimtestaat[[#This Row],[kosten / jaar werkdagen]]</f>
        <v>0</v>
      </c>
      <c r="AO480" s="446"/>
      <c r="AP480" s="446" t="str">
        <f>IF(Ruimtestaat[[#This Row],[Frequentie werkdagen]]="","",_xlfn.CONCAT(Ruimtestaat[[#This Row],[Ruimte code]],"-",Ruimtestaat[[#This Row],[Frequentie werkdagen]]," ",Ruimtestaat[[#This Row],[Vloer code]]))</f>
        <v>5-4w S</v>
      </c>
      <c r="AQ480" s="448" t="str">
        <f>_xlfn.IFNA(VLOOKUP($AP480,Programma!$F$3:$G$1101,2,0),"")</f>
        <v>_</v>
      </c>
      <c r="AR480" s="448" t="str">
        <f>_xlfn.IFNA(VLOOKUP($AP480,Programma!$F$3:$H$1101,3,0),"")</f>
        <v>_</v>
      </c>
      <c r="AS480" s="448" t="str">
        <f>_xlfn.IFNA(VLOOKUP($AP480,Programma!$F$3:$I$1101,4,0),"")</f>
        <v>_</v>
      </c>
      <c r="AT480" s="448" t="str">
        <f>_xlfn.IFNA(VLOOKUP($AP480,Programma!$F$3:$J$1101,5,0),"")</f>
        <v>3w</v>
      </c>
      <c r="AU480" s="448" t="str">
        <f>_xlfn.IFNA(VLOOKUP($AP480,Programma!$F$3:$K$1101,6,0),"")</f>
        <v>1w</v>
      </c>
      <c r="AV480" s="448" t="str">
        <f>_xlfn.IFNA(VLOOKUP($AP480,Programma!$F$3:$L$1101,7,0),"")</f>
        <v>_</v>
      </c>
      <c r="AW480" s="448" t="str">
        <f>_xlfn.IFNA(VLOOKUP($AP480,Programma!$F$3:$M$1101,8,0),"")</f>
        <v>_</v>
      </c>
      <c r="AX480" s="448" t="str">
        <f>_xlfn.IFNA(VLOOKUP($AP480,Programma!$F$3:$N$1101,9,0),"")</f>
        <v>_</v>
      </c>
      <c r="AY480" s="448" t="str">
        <f>_xlfn.IFNA(VLOOKUP($AP480,Programma!$F$3:$O$1101,10,0),"")</f>
        <v>_</v>
      </c>
      <c r="AZ480" s="448" t="str">
        <f>_xlfn.IFNA(VLOOKUP($AP480,Programma!$F$3:$P$1101,11,0),"")</f>
        <v>_</v>
      </c>
      <c r="BA480" s="448" t="str">
        <f>_xlfn.IFNA(VLOOKUP($AP480,Programma!$F$3:$Q$1101,12,0),"")</f>
        <v>_</v>
      </c>
      <c r="BB480" s="448" t="str">
        <f>_xlfn.IFNA(VLOOKUP($AP480,Programma!$F$3:$R$1101,13,0),"")</f>
        <v>_</v>
      </c>
      <c r="BC480" s="448" t="str">
        <f>_xlfn.IFNA(VLOOKUP($AP480,Programma!$F$3:$S$1101,14,0),"")</f>
        <v>_</v>
      </c>
      <c r="BD480" s="448" t="str">
        <f>_xlfn.IFNA(VLOOKUP($AP480,Programma!$F$3:$T$1101,15,0),"")</f>
        <v>_</v>
      </c>
      <c r="BE480" s="448" t="str">
        <f>_xlfn.IFNA(VLOOKUP($AP480,Programma!$F$3:$U$1101,16,0),"")</f>
        <v>_</v>
      </c>
      <c r="BF480" s="448" t="str">
        <f>_xlfn.IFNA(VLOOKUP($AP480,Programma!$F$3:$V$1101,17,0),"")</f>
        <v>_</v>
      </c>
      <c r="BG480" s="448" t="str">
        <f>_xlfn.IFNA(VLOOKUP($AP480,Programma!$F$3:$W$1101,18,0),"")</f>
        <v>3w</v>
      </c>
      <c r="BH480" s="448" t="str">
        <f>_xlfn.IFNA(VLOOKUP($AP480,Programma!$F$3:$X$1101,19,0),"")</f>
        <v>1w</v>
      </c>
      <c r="BI480" s="448" t="str">
        <f>_xlfn.IFNA(VLOOKUP($AP480,Programma!$F$3:$Y$1101,20,0),"")</f>
        <v>_</v>
      </c>
      <c r="BJ480" s="449"/>
      <c r="BK480" s="446" t="str">
        <f>IF(Ruimtestaat[[#This Row],[Frequentie weekend]]="","",_xlfn.CONCAT(Ruimtestaat[[#This Row],[Ruimte code]],"-",Ruimtestaat[[#This Row],[Frequentie weekend]]," ",Ruimtestaat[[#This Row],[Vloer code]]))</f>
        <v/>
      </c>
      <c r="BL480" s="448" t="str">
        <f>_xlfn.IFNA(VLOOKUP($BK480,Programma!$F$3:$G$1101,2,0),"")</f>
        <v/>
      </c>
      <c r="BM480" s="448" t="str">
        <f>_xlfn.IFNA(VLOOKUP($BK480,Programma!$F$3:$H$1101,3,0),"")</f>
        <v/>
      </c>
      <c r="BN480" s="448" t="str">
        <f>_xlfn.IFNA(VLOOKUP($BK480,Programma!$F$3:$I$1101,4,0),"")</f>
        <v/>
      </c>
      <c r="BO480" s="448" t="str">
        <f>_xlfn.IFNA(VLOOKUP($BK480,Programma!$F$3:$J$1101,5,0),"")</f>
        <v/>
      </c>
      <c r="BP480" s="448" t="str">
        <f>_xlfn.IFNA(VLOOKUP($BK480,Programma!$F$3:$K$1101,6,0),"")</f>
        <v/>
      </c>
      <c r="BQ480" s="448" t="str">
        <f>_xlfn.IFNA(VLOOKUP($BK480,Programma!$F$3:$L$1101,7,0),"")</f>
        <v/>
      </c>
      <c r="BR480" s="448" t="str">
        <f>_xlfn.IFNA(VLOOKUP($BK480,Programma!$F$3:$M$1101,8,0),"")</f>
        <v/>
      </c>
      <c r="BS480" s="448" t="str">
        <f>_xlfn.IFNA(VLOOKUP($BK480,Programma!$F$3:$N$1101,9,0),"")</f>
        <v/>
      </c>
      <c r="BT480" s="448" t="str">
        <f>_xlfn.IFNA(VLOOKUP($BK480,Programma!$F$3:$O$1101,10,0),"")</f>
        <v/>
      </c>
      <c r="BU480" s="448" t="str">
        <f>_xlfn.IFNA(VLOOKUP($BK480,Programma!$F$3:$P$1101,11,0),"")</f>
        <v/>
      </c>
      <c r="BV480" s="448" t="str">
        <f>_xlfn.IFNA(VLOOKUP($BK480,Programma!$F$3:$Q$1101,12,0),"")</f>
        <v/>
      </c>
      <c r="BW480" s="448" t="str">
        <f>_xlfn.IFNA(VLOOKUP($BK480,Programma!$F$3:$R$1101,13,0),"")</f>
        <v/>
      </c>
      <c r="BX480" s="448" t="str">
        <f>_xlfn.IFNA(VLOOKUP($BK480,Programma!$F$3:$S$1101,14,0),"")</f>
        <v/>
      </c>
      <c r="BY480" s="448" t="str">
        <f>_xlfn.IFNA(VLOOKUP($BK480,Programma!$F$3:$T$1101,15,0),"")</f>
        <v/>
      </c>
      <c r="BZ480" s="448" t="str">
        <f>_xlfn.IFNA(VLOOKUP($BK480,Programma!$F$3:$U$1101,16,0),"")</f>
        <v/>
      </c>
      <c r="CA480" s="448" t="str">
        <f>_xlfn.IFNA(VLOOKUP($BK480,Programma!$F$3:$V$1101,17,0),"")</f>
        <v/>
      </c>
      <c r="CB480" s="448" t="str">
        <f>_xlfn.IFNA(VLOOKUP($BK480,Programma!$F$3:$W$1101,18,0),"")</f>
        <v/>
      </c>
      <c r="CC480" s="448" t="str">
        <f>_xlfn.IFNA(VLOOKUP($BK480,Programma!$F$3:$X$1101,19,0),"")</f>
        <v/>
      </c>
      <c r="CD480" s="448" t="str">
        <f>_xlfn.IFNA(VLOOKUP($BK480,Programma!$F$3:$Y$1101,20,0),"")</f>
        <v/>
      </c>
    </row>
    <row r="481" spans="1:82" ht="15" customHeight="1">
      <c r="A481" s="362">
        <v>18</v>
      </c>
      <c r="B481" s="435" t="str">
        <f>VLOOKUP(Ruimtestaat[[#This Row],[Code]],Locaties[[Code]:[Locatie]],2,FALSE)</f>
        <v>IKC De Triangel</v>
      </c>
      <c r="C481" s="435" t="str">
        <f>VLOOKUP(Ruimtestaat[[#This Row],[Code]],Locaties[[#All],[Code]:[Adres]],4,FALSE)</f>
        <v>Vlasakker 33-35</v>
      </c>
      <c r="D481" s="435" t="str">
        <f>VLOOKUP(Ruimtestaat[[#This Row],[Code]],Locaties[[#All],[Code]:[Postcode]],5,FALSE)</f>
        <v>2723 TP</v>
      </c>
      <c r="E481" s="435" t="str">
        <f>VLOOKUP(Ruimtestaat[[#This Row],[Code]],Locaties[#All],6,FALSE)</f>
        <v>Zoetermeer</v>
      </c>
      <c r="F481" s="450"/>
      <c r="G481" s="330" t="s">
        <v>1678</v>
      </c>
      <c r="H481" s="330">
        <v>27</v>
      </c>
      <c r="I481" s="450" t="s">
        <v>1724</v>
      </c>
      <c r="J481" s="330">
        <v>20</v>
      </c>
      <c r="K481" s="450" t="str">
        <f>VLOOKUP(Ruimtestaat[[#This Row],[Ruimte code]],Ruimtegroepen[[#All],[Code]:[Ruimte omschrijving]],2,FALSE)</f>
        <v>Niet in Onderhoud</v>
      </c>
      <c r="M481" s="330"/>
      <c r="N481" s="439"/>
      <c r="O481" s="439">
        <v>6.6</v>
      </c>
      <c r="P481" s="439"/>
      <c r="Q481" s="439"/>
      <c r="R481" s="440">
        <f>VLOOKUP(Ruimtestaat[[#This Row],[Ruimte code]],Ruimtegroepen[],4,FALSE)</f>
        <v>0</v>
      </c>
      <c r="S481" s="434"/>
      <c r="T481" s="434"/>
      <c r="U481" s="453">
        <f>IF(S481&gt;0,IF(RIGHT(Ruimtestaat[[#This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81" s="434">
        <f>IF(U481&gt;0,VLOOKUP($J481,Ruimtegroepen[],3,FALSE)*VLOOKUP($L481,Vloersoorten[],3,FALSE)*VLOOKUP($T481,Frequenties[],3,FALSE)*VLOOKUP($A481,Locaties[],3,FALSE),0)</f>
        <v>0</v>
      </c>
      <c r="W481" s="434">
        <f>Ruimtestaat[[#This Row],[Uitvoeringen werkdagen]]*Ruimtestaat[[#This Row],[Oppervlak (netto)]]</f>
        <v>0</v>
      </c>
      <c r="X481" s="441">
        <f>IF(V481&gt;0,Ruimtestaat[[#This Row],[Prest. (m2 /jaar) werkdagen]]/Ruimtestaat[[#This Row],[Norm (m2/uur) werkdagen]],0)</f>
        <v>0</v>
      </c>
      <c r="Y481" s="442">
        <f>Ruimtestaat[[#This Row],[Uitvoeringen werkdagen]]*Ruimtestaat[[#This Row],[Gedeeltelijk]]</f>
        <v>0</v>
      </c>
      <c r="Z481" s="443">
        <f>IF(U481&gt;0,Ruimtestaat[[#This Row],[Prest. (m2 / jaar) werkdagen gedeeld]]/Ruimtestaat[[#This Row],[Norm (m2/uur) werkdagen]],0)</f>
        <v>0</v>
      </c>
      <c r="AA481" s="441">
        <f>Ruimtestaat[[#This Row],[uren / jaar werkdagen gedeeld]]*Tariefsopbouw!$E$35</f>
        <v>0</v>
      </c>
      <c r="AB481" s="441">
        <f>Ruimtestaat[[#This Row],[Uitvoeringen werkdagen]]*Ruimtestaat[[#This Row],[BSO]]</f>
        <v>0</v>
      </c>
      <c r="AC481" s="443">
        <f>IF(U481&gt;0,Ruimtestaat[[#This Row],[Prest. (m2 / jaar) werkdagen BSO]]/Ruimtestaat[[#This Row],[Norm (m2/uur) werkdagen]],0)</f>
        <v>0</v>
      </c>
      <c r="AD481" s="443">
        <f>Ruimtestaat[[#This Row],[uren / jaar werkdagen BSO]]*Tariefsopbouw!$E$35</f>
        <v>0</v>
      </c>
      <c r="AE481" s="444">
        <f>Ruimtestaat[[#This Row],[uren / jaar werkdagen]]*Tariefsopbouw!$E$35</f>
        <v>0</v>
      </c>
      <c r="AF481" s="454"/>
      <c r="AG481" s="455">
        <f>IF(Ruimtestaat[[#This Row],[Frequentie weekend]]&gt;0,VALUE(LEFT(AF481,1))*S481,0)</f>
        <v>0</v>
      </c>
      <c r="AH481" s="455">
        <f>IF($AG481&gt;0,VLOOKUP($J481,Ruimtegroepen[],3,FALSE)*VLOOKUP($L481,Vloersoorten[],3,FALSE)*VLOOKUP($AF481,Frequenties[],3,FALSE)*VLOOKUP(#REF!,Locaties[],3,FALSE),0)</f>
        <v>0</v>
      </c>
      <c r="AI481" s="434">
        <f>Ruimtestaat[[#This Row],[Uitvoeringen weekend]]*Ruimtestaat[[#This Row],[Oppervlak (netto)]]</f>
        <v>0</v>
      </c>
      <c r="AJ481" s="434">
        <f>IF(AH481&gt;0,Ruimtestaat[[#This Row],[Prest. (m2 /jaar) weekend]]/Ruimtestaat[[#This Row],[Norm (m2/uur) weekend]],0)</f>
        <v>0</v>
      </c>
      <c r="AK481" s="444">
        <f>Ruimtestaat[[#This Row],[uren / jaar weekend]]*Tariefsopbouw!$D$40</f>
        <v>0</v>
      </c>
      <c r="AL481" s="441">
        <f>Ruimtestaat[[#This Row],[Prest. (m2 /jaar) weekend]]+Ruimtestaat[[#This Row],[Prest. (m2 /jaar) werkdagen]]</f>
        <v>0</v>
      </c>
      <c r="AM481" s="441">
        <f>Ruimtestaat[[#This Row],[uren / jaar weekend]]+Ruimtestaat[[#This Row],[uren / jaar werkdagen]]</f>
        <v>0</v>
      </c>
      <c r="AN481" s="446">
        <f>Ruimtestaat[[#This Row],[kosten / jaar weekend]]+Ruimtestaat[[#This Row],[kosten / jaar werkdagen]]</f>
        <v>0</v>
      </c>
      <c r="AO481" s="446"/>
      <c r="AP481" s="446" t="str">
        <f>IF(Ruimtestaat[[#This Row],[Frequentie werkdagen]]="","",_xlfn.CONCAT(Ruimtestaat[[#This Row],[Ruimte code]],"-",Ruimtestaat[[#This Row],[Frequentie werkdagen]]," ",Ruimtestaat[[#This Row],[Vloer code]]))</f>
        <v/>
      </c>
      <c r="AQ481" s="448" t="str">
        <f>_xlfn.IFNA(VLOOKUP($AP481,Programma!$F$3:$G$1101,2,0),"")</f>
        <v/>
      </c>
      <c r="AR481" s="448" t="str">
        <f>_xlfn.IFNA(VLOOKUP($AP481,Programma!$F$3:$H$1101,3,0),"")</f>
        <v/>
      </c>
      <c r="AS481" s="448" t="str">
        <f>_xlfn.IFNA(VLOOKUP($AP481,Programma!$F$3:$I$1101,4,0),"")</f>
        <v/>
      </c>
      <c r="AT481" s="448" t="str">
        <f>_xlfn.IFNA(VLOOKUP($AP481,Programma!$F$3:$J$1101,5,0),"")</f>
        <v/>
      </c>
      <c r="AU481" s="448" t="str">
        <f>_xlfn.IFNA(VLOOKUP($AP481,Programma!$F$3:$K$1101,6,0),"")</f>
        <v/>
      </c>
      <c r="AV481" s="448" t="str">
        <f>_xlfn.IFNA(VLOOKUP($AP481,Programma!$F$3:$L$1101,7,0),"")</f>
        <v/>
      </c>
      <c r="AW481" s="448" t="str">
        <f>_xlfn.IFNA(VLOOKUP($AP481,Programma!$F$3:$M$1101,8,0),"")</f>
        <v/>
      </c>
      <c r="AX481" s="448" t="str">
        <f>_xlfn.IFNA(VLOOKUP($AP481,Programma!$F$3:$N$1101,9,0),"")</f>
        <v/>
      </c>
      <c r="AY481" s="448" t="str">
        <f>_xlfn.IFNA(VLOOKUP($AP481,Programma!$F$3:$O$1101,10,0),"")</f>
        <v/>
      </c>
      <c r="AZ481" s="448" t="str">
        <f>_xlfn.IFNA(VLOOKUP($AP481,Programma!$F$3:$P$1101,11,0),"")</f>
        <v/>
      </c>
      <c r="BA481" s="448" t="str">
        <f>_xlfn.IFNA(VLOOKUP($AP481,Programma!$F$3:$Q$1101,12,0),"")</f>
        <v/>
      </c>
      <c r="BB481" s="448" t="str">
        <f>_xlfn.IFNA(VLOOKUP($AP481,Programma!$F$3:$R$1101,13,0),"")</f>
        <v/>
      </c>
      <c r="BC481" s="448" t="str">
        <f>_xlfn.IFNA(VLOOKUP($AP481,Programma!$F$3:$S$1101,14,0),"")</f>
        <v/>
      </c>
      <c r="BD481" s="448" t="str">
        <f>_xlfn.IFNA(VLOOKUP($AP481,Programma!$F$3:$T$1101,15,0),"")</f>
        <v/>
      </c>
      <c r="BE481" s="448" t="str">
        <f>_xlfn.IFNA(VLOOKUP($AP481,Programma!$F$3:$U$1101,16,0),"")</f>
        <v/>
      </c>
      <c r="BF481" s="448" t="str">
        <f>_xlfn.IFNA(VLOOKUP($AP481,Programma!$F$3:$V$1101,17,0),"")</f>
        <v/>
      </c>
      <c r="BG481" s="448" t="str">
        <f>_xlfn.IFNA(VLOOKUP($AP481,Programma!$F$3:$W$1101,18,0),"")</f>
        <v/>
      </c>
      <c r="BH481" s="448" t="str">
        <f>_xlfn.IFNA(VLOOKUP($AP481,Programma!$F$3:$X$1101,19,0),"")</f>
        <v/>
      </c>
      <c r="BI481" s="448" t="str">
        <f>_xlfn.IFNA(VLOOKUP($AP481,Programma!$F$3:$Y$1101,20,0),"")</f>
        <v/>
      </c>
      <c r="BJ481" s="449"/>
      <c r="BK481" s="446" t="str">
        <f>IF(Ruimtestaat[[#This Row],[Frequentie weekend]]="","",_xlfn.CONCAT(Ruimtestaat[[#This Row],[Ruimte code]],"-",Ruimtestaat[[#This Row],[Frequentie weekend]]," ",Ruimtestaat[[#This Row],[Vloer code]]))</f>
        <v/>
      </c>
      <c r="BL481" s="448" t="str">
        <f>_xlfn.IFNA(VLOOKUP($BK481,Programma!$F$3:$G$1101,2,0),"")</f>
        <v/>
      </c>
      <c r="BM481" s="448" t="str">
        <f>_xlfn.IFNA(VLOOKUP($BK481,Programma!$F$3:$H$1101,3,0),"")</f>
        <v/>
      </c>
      <c r="BN481" s="448" t="str">
        <f>_xlfn.IFNA(VLOOKUP($BK481,Programma!$F$3:$I$1101,4,0),"")</f>
        <v/>
      </c>
      <c r="BO481" s="448" t="str">
        <f>_xlfn.IFNA(VLOOKUP($BK481,Programma!$F$3:$J$1101,5,0),"")</f>
        <v/>
      </c>
      <c r="BP481" s="448" t="str">
        <f>_xlfn.IFNA(VLOOKUP($BK481,Programma!$F$3:$K$1101,6,0),"")</f>
        <v/>
      </c>
      <c r="BQ481" s="448" t="str">
        <f>_xlfn.IFNA(VLOOKUP($BK481,Programma!$F$3:$L$1101,7,0),"")</f>
        <v/>
      </c>
      <c r="BR481" s="448" t="str">
        <f>_xlfn.IFNA(VLOOKUP($BK481,Programma!$F$3:$M$1101,8,0),"")</f>
        <v/>
      </c>
      <c r="BS481" s="448" t="str">
        <f>_xlfn.IFNA(VLOOKUP($BK481,Programma!$F$3:$N$1101,9,0),"")</f>
        <v/>
      </c>
      <c r="BT481" s="448" t="str">
        <f>_xlfn.IFNA(VLOOKUP($BK481,Programma!$F$3:$O$1101,10,0),"")</f>
        <v/>
      </c>
      <c r="BU481" s="448" t="str">
        <f>_xlfn.IFNA(VLOOKUP($BK481,Programma!$F$3:$P$1101,11,0),"")</f>
        <v/>
      </c>
      <c r="BV481" s="448" t="str">
        <f>_xlfn.IFNA(VLOOKUP($BK481,Programma!$F$3:$Q$1101,12,0),"")</f>
        <v/>
      </c>
      <c r="BW481" s="448" t="str">
        <f>_xlfn.IFNA(VLOOKUP($BK481,Programma!$F$3:$R$1101,13,0),"")</f>
        <v/>
      </c>
      <c r="BX481" s="448" t="str">
        <f>_xlfn.IFNA(VLOOKUP($BK481,Programma!$F$3:$S$1101,14,0),"")</f>
        <v/>
      </c>
      <c r="BY481" s="448" t="str">
        <f>_xlfn.IFNA(VLOOKUP($BK481,Programma!$F$3:$T$1101,15,0),"")</f>
        <v/>
      </c>
      <c r="BZ481" s="448" t="str">
        <f>_xlfn.IFNA(VLOOKUP($BK481,Programma!$F$3:$U$1101,16,0),"")</f>
        <v/>
      </c>
      <c r="CA481" s="448" t="str">
        <f>_xlfn.IFNA(VLOOKUP($BK481,Programma!$F$3:$V$1101,17,0),"")</f>
        <v/>
      </c>
      <c r="CB481" s="448" t="str">
        <f>_xlfn.IFNA(VLOOKUP($BK481,Programma!$F$3:$W$1101,18,0),"")</f>
        <v/>
      </c>
      <c r="CC481" s="448" t="str">
        <f>_xlfn.IFNA(VLOOKUP($BK481,Programma!$F$3:$X$1101,19,0),"")</f>
        <v/>
      </c>
      <c r="CD481" s="448" t="str">
        <f>_xlfn.IFNA(VLOOKUP($BK481,Programma!$F$3:$Y$1101,20,0),"")</f>
        <v/>
      </c>
    </row>
    <row r="482" spans="1:82" ht="15" customHeight="1">
      <c r="A482" s="362">
        <v>18</v>
      </c>
      <c r="B482" s="435" t="str">
        <f>VLOOKUP(Ruimtestaat[[#This Row],[Code]],Locaties[[Code]:[Locatie]],2,FALSE)</f>
        <v>IKC De Triangel</v>
      </c>
      <c r="C482" s="435" t="str">
        <f>VLOOKUP(Ruimtestaat[[#This Row],[Code]],Locaties[[#All],[Code]:[Adres]],4,FALSE)</f>
        <v>Vlasakker 33-35</v>
      </c>
      <c r="D482" s="435" t="str">
        <f>VLOOKUP(Ruimtestaat[[#This Row],[Code]],Locaties[[#All],[Code]:[Postcode]],5,FALSE)</f>
        <v>2723 TP</v>
      </c>
      <c r="E482" s="435" t="str">
        <f>VLOOKUP(Ruimtestaat[[#This Row],[Code]],Locaties[#All],6,FALSE)</f>
        <v>Zoetermeer</v>
      </c>
      <c r="F482" s="450"/>
      <c r="G482" s="330" t="s">
        <v>1678</v>
      </c>
      <c r="H482" s="330">
        <v>28</v>
      </c>
      <c r="I482" s="450" t="s">
        <v>1724</v>
      </c>
      <c r="J482" s="330">
        <v>20</v>
      </c>
      <c r="K482" s="450" t="str">
        <f>VLOOKUP(Ruimtestaat[[#This Row],[Ruimte code]],Ruimtegroepen[[#All],[Code]:[Ruimte omschrijving]],2,FALSE)</f>
        <v>Niet in Onderhoud</v>
      </c>
      <c r="M482" s="330"/>
      <c r="N482" s="439"/>
      <c r="O482" s="439">
        <v>1.7</v>
      </c>
      <c r="P482" s="439"/>
      <c r="Q482" s="439"/>
      <c r="R482" s="440">
        <f>VLOOKUP(Ruimtestaat[[#This Row],[Ruimte code]],Ruimtegroepen[],4,FALSE)</f>
        <v>0</v>
      </c>
      <c r="S482" s="434"/>
      <c r="T482" s="434"/>
      <c r="U482" s="453">
        <f>IF(S482&gt;0,IF(RIGHT(Ruimtestaat[[#This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82" s="434">
        <f>IF(U482&gt;0,VLOOKUP($J482,Ruimtegroepen[],3,FALSE)*VLOOKUP($L482,Vloersoorten[],3,FALSE)*VLOOKUP($T482,Frequenties[],3,FALSE)*VLOOKUP($A482,Locaties[],3,FALSE),0)</f>
        <v>0</v>
      </c>
      <c r="W482" s="434">
        <f>Ruimtestaat[[#This Row],[Uitvoeringen werkdagen]]*Ruimtestaat[[#This Row],[Oppervlak (netto)]]</f>
        <v>0</v>
      </c>
      <c r="X482" s="441">
        <f>IF(V482&gt;0,Ruimtestaat[[#This Row],[Prest. (m2 /jaar) werkdagen]]/Ruimtestaat[[#This Row],[Norm (m2/uur) werkdagen]],0)</f>
        <v>0</v>
      </c>
      <c r="Y482" s="442">
        <f>Ruimtestaat[[#This Row],[Uitvoeringen werkdagen]]*Ruimtestaat[[#This Row],[Gedeeltelijk]]</f>
        <v>0</v>
      </c>
      <c r="Z482" s="443">
        <f>IF(U482&gt;0,Ruimtestaat[[#This Row],[Prest. (m2 / jaar) werkdagen gedeeld]]/Ruimtestaat[[#This Row],[Norm (m2/uur) werkdagen]],0)</f>
        <v>0</v>
      </c>
      <c r="AA482" s="441">
        <f>Ruimtestaat[[#This Row],[uren / jaar werkdagen gedeeld]]*Tariefsopbouw!$E$35</f>
        <v>0</v>
      </c>
      <c r="AB482" s="441">
        <f>Ruimtestaat[[#This Row],[Uitvoeringen werkdagen]]*Ruimtestaat[[#This Row],[BSO]]</f>
        <v>0</v>
      </c>
      <c r="AC482" s="443">
        <f>IF(U482&gt;0,Ruimtestaat[[#This Row],[Prest. (m2 / jaar) werkdagen BSO]]/Ruimtestaat[[#This Row],[Norm (m2/uur) werkdagen]],0)</f>
        <v>0</v>
      </c>
      <c r="AD482" s="443">
        <f>Ruimtestaat[[#This Row],[uren / jaar werkdagen BSO]]*Tariefsopbouw!$E$35</f>
        <v>0</v>
      </c>
      <c r="AE482" s="444">
        <f>Ruimtestaat[[#This Row],[uren / jaar werkdagen]]*Tariefsopbouw!$E$35</f>
        <v>0</v>
      </c>
      <c r="AF482" s="454"/>
      <c r="AG482" s="455">
        <f>IF(Ruimtestaat[[#This Row],[Frequentie weekend]]&gt;0,VALUE(LEFT(AF482,1))*S482,0)</f>
        <v>0</v>
      </c>
      <c r="AH482" s="455">
        <f>IF($AG482&gt;0,VLOOKUP($J482,Ruimtegroepen[],3,FALSE)*VLOOKUP($L482,Vloersoorten[],3,FALSE)*VLOOKUP($AF482,Frequenties[],3,FALSE)*VLOOKUP(#REF!,Locaties[],3,FALSE),0)</f>
        <v>0</v>
      </c>
      <c r="AI482" s="434">
        <f>Ruimtestaat[[#This Row],[Uitvoeringen weekend]]*Ruimtestaat[[#This Row],[Oppervlak (netto)]]</f>
        <v>0</v>
      </c>
      <c r="AJ482" s="434">
        <f>IF(AH482&gt;0,Ruimtestaat[[#This Row],[Prest. (m2 /jaar) weekend]]/Ruimtestaat[[#This Row],[Norm (m2/uur) weekend]],0)</f>
        <v>0</v>
      </c>
      <c r="AK482" s="444">
        <f>Ruimtestaat[[#This Row],[uren / jaar weekend]]*Tariefsopbouw!$D$40</f>
        <v>0</v>
      </c>
      <c r="AL482" s="441">
        <f>Ruimtestaat[[#This Row],[Prest. (m2 /jaar) weekend]]+Ruimtestaat[[#This Row],[Prest. (m2 /jaar) werkdagen]]</f>
        <v>0</v>
      </c>
      <c r="AM482" s="441">
        <f>Ruimtestaat[[#This Row],[uren / jaar weekend]]+Ruimtestaat[[#This Row],[uren / jaar werkdagen]]</f>
        <v>0</v>
      </c>
      <c r="AN482" s="446">
        <f>Ruimtestaat[[#This Row],[kosten / jaar weekend]]+Ruimtestaat[[#This Row],[kosten / jaar werkdagen]]</f>
        <v>0</v>
      </c>
      <c r="AO482" s="446"/>
      <c r="AP482" s="446" t="str">
        <f>IF(Ruimtestaat[[#This Row],[Frequentie werkdagen]]="","",_xlfn.CONCAT(Ruimtestaat[[#This Row],[Ruimte code]],"-",Ruimtestaat[[#This Row],[Frequentie werkdagen]]," ",Ruimtestaat[[#This Row],[Vloer code]]))</f>
        <v/>
      </c>
      <c r="AQ482" s="448" t="str">
        <f>_xlfn.IFNA(VLOOKUP($AP482,Programma!$F$3:$G$1101,2,0),"")</f>
        <v/>
      </c>
      <c r="AR482" s="448" t="str">
        <f>_xlfn.IFNA(VLOOKUP($AP482,Programma!$F$3:$H$1101,3,0),"")</f>
        <v/>
      </c>
      <c r="AS482" s="448" t="str">
        <f>_xlfn.IFNA(VLOOKUP($AP482,Programma!$F$3:$I$1101,4,0),"")</f>
        <v/>
      </c>
      <c r="AT482" s="448" t="str">
        <f>_xlfn.IFNA(VLOOKUP($AP482,Programma!$F$3:$J$1101,5,0),"")</f>
        <v/>
      </c>
      <c r="AU482" s="448" t="str">
        <f>_xlfn.IFNA(VLOOKUP($AP482,Programma!$F$3:$K$1101,6,0),"")</f>
        <v/>
      </c>
      <c r="AV482" s="448" t="str">
        <f>_xlfn.IFNA(VLOOKUP($AP482,Programma!$F$3:$L$1101,7,0),"")</f>
        <v/>
      </c>
      <c r="AW482" s="448" t="str">
        <f>_xlfn.IFNA(VLOOKUP($AP482,Programma!$F$3:$M$1101,8,0),"")</f>
        <v/>
      </c>
      <c r="AX482" s="448" t="str">
        <f>_xlfn.IFNA(VLOOKUP($AP482,Programma!$F$3:$N$1101,9,0),"")</f>
        <v/>
      </c>
      <c r="AY482" s="448" t="str">
        <f>_xlfn.IFNA(VLOOKUP($AP482,Programma!$F$3:$O$1101,10,0),"")</f>
        <v/>
      </c>
      <c r="AZ482" s="448" t="str">
        <f>_xlfn.IFNA(VLOOKUP($AP482,Programma!$F$3:$P$1101,11,0),"")</f>
        <v/>
      </c>
      <c r="BA482" s="448" t="str">
        <f>_xlfn.IFNA(VLOOKUP($AP482,Programma!$F$3:$Q$1101,12,0),"")</f>
        <v/>
      </c>
      <c r="BB482" s="448" t="str">
        <f>_xlfn.IFNA(VLOOKUP($AP482,Programma!$F$3:$R$1101,13,0),"")</f>
        <v/>
      </c>
      <c r="BC482" s="448" t="str">
        <f>_xlfn.IFNA(VLOOKUP($AP482,Programma!$F$3:$S$1101,14,0),"")</f>
        <v/>
      </c>
      <c r="BD482" s="448" t="str">
        <f>_xlfn.IFNA(VLOOKUP($AP482,Programma!$F$3:$T$1101,15,0),"")</f>
        <v/>
      </c>
      <c r="BE482" s="448" t="str">
        <f>_xlfn.IFNA(VLOOKUP($AP482,Programma!$F$3:$U$1101,16,0),"")</f>
        <v/>
      </c>
      <c r="BF482" s="448" t="str">
        <f>_xlfn.IFNA(VLOOKUP($AP482,Programma!$F$3:$V$1101,17,0),"")</f>
        <v/>
      </c>
      <c r="BG482" s="448" t="str">
        <f>_xlfn.IFNA(VLOOKUP($AP482,Programma!$F$3:$W$1101,18,0),"")</f>
        <v/>
      </c>
      <c r="BH482" s="448" t="str">
        <f>_xlfn.IFNA(VLOOKUP($AP482,Programma!$F$3:$X$1101,19,0),"")</f>
        <v/>
      </c>
      <c r="BI482" s="448" t="str">
        <f>_xlfn.IFNA(VLOOKUP($AP482,Programma!$F$3:$Y$1101,20,0),"")</f>
        <v/>
      </c>
      <c r="BJ482" s="449"/>
      <c r="BK482" s="446" t="str">
        <f>IF(Ruimtestaat[[#This Row],[Frequentie weekend]]="","",_xlfn.CONCAT(Ruimtestaat[[#This Row],[Ruimte code]],"-",Ruimtestaat[[#This Row],[Frequentie weekend]]," ",Ruimtestaat[[#This Row],[Vloer code]]))</f>
        <v/>
      </c>
      <c r="BL482" s="448" t="str">
        <f>_xlfn.IFNA(VLOOKUP($BK482,Programma!$F$3:$G$1101,2,0),"")</f>
        <v/>
      </c>
      <c r="BM482" s="448" t="str">
        <f>_xlfn.IFNA(VLOOKUP($BK482,Programma!$F$3:$H$1101,3,0),"")</f>
        <v/>
      </c>
      <c r="BN482" s="448" t="str">
        <f>_xlfn.IFNA(VLOOKUP($BK482,Programma!$F$3:$I$1101,4,0),"")</f>
        <v/>
      </c>
      <c r="BO482" s="448" t="str">
        <f>_xlfn.IFNA(VLOOKUP($BK482,Programma!$F$3:$J$1101,5,0),"")</f>
        <v/>
      </c>
      <c r="BP482" s="448" t="str">
        <f>_xlfn.IFNA(VLOOKUP($BK482,Programma!$F$3:$K$1101,6,0),"")</f>
        <v/>
      </c>
      <c r="BQ482" s="448" t="str">
        <f>_xlfn.IFNA(VLOOKUP($BK482,Programma!$F$3:$L$1101,7,0),"")</f>
        <v/>
      </c>
      <c r="BR482" s="448" t="str">
        <f>_xlfn.IFNA(VLOOKUP($BK482,Programma!$F$3:$M$1101,8,0),"")</f>
        <v/>
      </c>
      <c r="BS482" s="448" t="str">
        <f>_xlfn.IFNA(VLOOKUP($BK482,Programma!$F$3:$N$1101,9,0),"")</f>
        <v/>
      </c>
      <c r="BT482" s="448" t="str">
        <f>_xlfn.IFNA(VLOOKUP($BK482,Programma!$F$3:$O$1101,10,0),"")</f>
        <v/>
      </c>
      <c r="BU482" s="448" t="str">
        <f>_xlfn.IFNA(VLOOKUP($BK482,Programma!$F$3:$P$1101,11,0),"")</f>
        <v/>
      </c>
      <c r="BV482" s="448" t="str">
        <f>_xlfn.IFNA(VLOOKUP($BK482,Programma!$F$3:$Q$1101,12,0),"")</f>
        <v/>
      </c>
      <c r="BW482" s="448" t="str">
        <f>_xlfn.IFNA(VLOOKUP($BK482,Programma!$F$3:$R$1101,13,0),"")</f>
        <v/>
      </c>
      <c r="BX482" s="448" t="str">
        <f>_xlfn.IFNA(VLOOKUP($BK482,Programma!$F$3:$S$1101,14,0),"")</f>
        <v/>
      </c>
      <c r="BY482" s="448" t="str">
        <f>_xlfn.IFNA(VLOOKUP($BK482,Programma!$F$3:$T$1101,15,0),"")</f>
        <v/>
      </c>
      <c r="BZ482" s="448" t="str">
        <f>_xlfn.IFNA(VLOOKUP($BK482,Programma!$F$3:$U$1101,16,0),"")</f>
        <v/>
      </c>
      <c r="CA482" s="448" t="str">
        <f>_xlfn.IFNA(VLOOKUP($BK482,Programma!$F$3:$V$1101,17,0),"")</f>
        <v/>
      </c>
      <c r="CB482" s="448" t="str">
        <f>_xlfn.IFNA(VLOOKUP($BK482,Programma!$F$3:$W$1101,18,0),"")</f>
        <v/>
      </c>
      <c r="CC482" s="448" t="str">
        <f>_xlfn.IFNA(VLOOKUP($BK482,Programma!$F$3:$X$1101,19,0),"")</f>
        <v/>
      </c>
      <c r="CD482" s="448" t="str">
        <f>_xlfn.IFNA(VLOOKUP($BK482,Programma!$F$3:$Y$1101,20,0),"")</f>
        <v/>
      </c>
    </row>
    <row r="483" spans="1:82" ht="15" customHeight="1">
      <c r="A483" s="362">
        <v>18</v>
      </c>
      <c r="B483" s="435" t="str">
        <f>VLOOKUP(Ruimtestaat[[#This Row],[Code]],Locaties[[Code]:[Locatie]],2,FALSE)</f>
        <v>IKC De Triangel</v>
      </c>
      <c r="C483" s="435" t="str">
        <f>VLOOKUP(Ruimtestaat[[#This Row],[Code]],Locaties[[#All],[Code]:[Adres]],4,FALSE)</f>
        <v>Vlasakker 33-35</v>
      </c>
      <c r="D483" s="435" t="str">
        <f>VLOOKUP(Ruimtestaat[[#This Row],[Code]],Locaties[[#All],[Code]:[Postcode]],5,FALSE)</f>
        <v>2723 TP</v>
      </c>
      <c r="E483" s="435" t="str">
        <f>VLOOKUP(Ruimtestaat[[#This Row],[Code]],Locaties[#All],6,FALSE)</f>
        <v>Zoetermeer</v>
      </c>
      <c r="F483" s="450"/>
      <c r="G483" s="330" t="s">
        <v>1678</v>
      </c>
      <c r="H483" s="330">
        <v>29</v>
      </c>
      <c r="I483" s="450" t="s">
        <v>1673</v>
      </c>
      <c r="J483" s="330">
        <v>5</v>
      </c>
      <c r="K483" s="450" t="str">
        <f>VLOOKUP(Ruimtestaat[[#This Row],[Ruimte code]],Ruimtegroepen[[#All],[Code]:[Ruimte omschrijving]],2,FALSE)</f>
        <v>Sanitair</v>
      </c>
      <c r="L483" s="330" t="s">
        <v>101</v>
      </c>
      <c r="M483" s="437" t="s">
        <v>1947</v>
      </c>
      <c r="N483" s="439">
        <v>4.8</v>
      </c>
      <c r="O483" s="439"/>
      <c r="P483" s="439"/>
      <c r="Q483" s="439"/>
      <c r="R483" s="440" t="str">
        <f>VLOOKUP(Ruimtestaat[[#This Row],[Ruimte code]],Ruimtegroepen[],4,FALSE)</f>
        <v>Sa</v>
      </c>
      <c r="S483" s="434">
        <v>41</v>
      </c>
      <c r="T483" s="434" t="s">
        <v>2</v>
      </c>
      <c r="U483" s="453">
        <f>IF(S483&gt;0,IF(RIGHT(Ruimtestaat[[#This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83" s="434">
        <f>IF(U483&gt;0,VLOOKUP($J483,Ruimtegroepen[],3,FALSE)*VLOOKUP($L483,Vloersoorten[],3,FALSE)*VLOOKUP($T483,Frequenties[],3,FALSE)*VLOOKUP($A483,Locaties[],3,FALSE),0)</f>
        <v>0</v>
      </c>
      <c r="W483" s="434">
        <f>Ruimtestaat[[#This Row],[Uitvoeringen werkdagen]]*Ruimtestaat[[#This Row],[Oppervlak (netto)]]</f>
        <v>984</v>
      </c>
      <c r="X483" s="441">
        <f>IF(V483&gt;0,Ruimtestaat[[#This Row],[Prest. (m2 /jaar) werkdagen]]/Ruimtestaat[[#This Row],[Norm (m2/uur) werkdagen]],0)</f>
        <v>0</v>
      </c>
      <c r="Y483" s="442">
        <f>Ruimtestaat[[#This Row],[Uitvoeringen werkdagen]]*Ruimtestaat[[#This Row],[Gedeeltelijk]]</f>
        <v>0</v>
      </c>
      <c r="Z483" s="443" t="e">
        <f>IF(U483&gt;0,Ruimtestaat[[#This Row],[Prest. (m2 / jaar) werkdagen gedeeld]]/Ruimtestaat[[#This Row],[Norm (m2/uur) werkdagen]],0)</f>
        <v>#DIV/0!</v>
      </c>
      <c r="AA483" s="441" t="e">
        <f>Ruimtestaat[[#This Row],[uren / jaar werkdagen gedeeld]]*Tariefsopbouw!$E$35</f>
        <v>#DIV/0!</v>
      </c>
      <c r="AB483" s="441">
        <f>Ruimtestaat[[#This Row],[Uitvoeringen werkdagen]]*Ruimtestaat[[#This Row],[BSO]]</f>
        <v>0</v>
      </c>
      <c r="AC483" s="443" t="e">
        <f>IF(U483&gt;0,Ruimtestaat[[#This Row],[Prest. (m2 / jaar) werkdagen BSO]]/Ruimtestaat[[#This Row],[Norm (m2/uur) werkdagen]],0)</f>
        <v>#DIV/0!</v>
      </c>
      <c r="AD483" s="443" t="e">
        <f>Ruimtestaat[[#This Row],[uren / jaar werkdagen BSO]]*Tariefsopbouw!$E$35</f>
        <v>#DIV/0!</v>
      </c>
      <c r="AE483" s="444">
        <f>Ruimtestaat[[#This Row],[uren / jaar werkdagen]]*Tariefsopbouw!$E$35</f>
        <v>0</v>
      </c>
      <c r="AF483" s="454"/>
      <c r="AG483" s="455">
        <f>IF(Ruimtestaat[[#This Row],[Frequentie weekend]]&gt;0,VALUE(LEFT(AF483,1))*S483,0)</f>
        <v>0</v>
      </c>
      <c r="AH483" s="455">
        <f>IF($AG483&gt;0,VLOOKUP($J483,Ruimtegroepen[],3,FALSE)*VLOOKUP($L483,Vloersoorten[],3,FALSE)*VLOOKUP($AF483,Frequenties[],3,FALSE)*VLOOKUP(#REF!,Locaties[],3,FALSE),0)</f>
        <v>0</v>
      </c>
      <c r="AI483" s="434">
        <f>Ruimtestaat[[#This Row],[Uitvoeringen weekend]]*Ruimtestaat[[#This Row],[Oppervlak (netto)]]</f>
        <v>0</v>
      </c>
      <c r="AJ483" s="434">
        <f>IF(AH483&gt;0,Ruimtestaat[[#This Row],[Prest. (m2 /jaar) weekend]]/Ruimtestaat[[#This Row],[Norm (m2/uur) weekend]],0)</f>
        <v>0</v>
      </c>
      <c r="AK483" s="444">
        <f>Ruimtestaat[[#This Row],[uren / jaar weekend]]*Tariefsopbouw!$D$40</f>
        <v>0</v>
      </c>
      <c r="AL483" s="441">
        <f>Ruimtestaat[[#This Row],[Prest. (m2 /jaar) weekend]]+Ruimtestaat[[#This Row],[Prest. (m2 /jaar) werkdagen]]</f>
        <v>984</v>
      </c>
      <c r="AM483" s="441">
        <f>Ruimtestaat[[#This Row],[uren / jaar weekend]]+Ruimtestaat[[#This Row],[uren / jaar werkdagen]]</f>
        <v>0</v>
      </c>
      <c r="AN483" s="446">
        <f>Ruimtestaat[[#This Row],[kosten / jaar weekend]]+Ruimtestaat[[#This Row],[kosten / jaar werkdagen]]</f>
        <v>0</v>
      </c>
      <c r="AO483" s="446"/>
      <c r="AP483" s="446" t="str">
        <f>IF(Ruimtestaat[[#This Row],[Frequentie werkdagen]]="","",_xlfn.CONCAT(Ruimtestaat[[#This Row],[Ruimte code]],"-",Ruimtestaat[[#This Row],[Frequentie werkdagen]]," ",Ruimtestaat[[#This Row],[Vloer code]]))</f>
        <v>5-5w S</v>
      </c>
      <c r="AQ483" s="448" t="str">
        <f>_xlfn.IFNA(VLOOKUP($AP483,Programma!$F$3:$G$1101,2,0),"")</f>
        <v>_</v>
      </c>
      <c r="AR483" s="448" t="str">
        <f>_xlfn.IFNA(VLOOKUP($AP483,Programma!$F$3:$H$1101,3,0),"")</f>
        <v>_</v>
      </c>
      <c r="AS483" s="448" t="str">
        <f>_xlfn.IFNA(VLOOKUP($AP483,Programma!$F$3:$I$1101,4,0),"")</f>
        <v>_</v>
      </c>
      <c r="AT483" s="448" t="str">
        <f>_xlfn.IFNA(VLOOKUP($AP483,Programma!$F$3:$J$1101,5,0),"")</f>
        <v>4w</v>
      </c>
      <c r="AU483" s="448" t="str">
        <f>_xlfn.IFNA(VLOOKUP($AP483,Programma!$F$3:$K$1101,6,0),"")</f>
        <v>1w</v>
      </c>
      <c r="AV483" s="448" t="str">
        <f>_xlfn.IFNA(VLOOKUP($AP483,Programma!$F$3:$L$1101,7,0),"")</f>
        <v>_</v>
      </c>
      <c r="AW483" s="448" t="str">
        <f>_xlfn.IFNA(VLOOKUP($AP483,Programma!$F$3:$M$1101,8,0),"")</f>
        <v>_</v>
      </c>
      <c r="AX483" s="448" t="str">
        <f>_xlfn.IFNA(VLOOKUP($AP483,Programma!$F$3:$N$1101,9,0),"")</f>
        <v>_</v>
      </c>
      <c r="AY483" s="448" t="str">
        <f>_xlfn.IFNA(VLOOKUP($AP483,Programma!$F$3:$O$1101,10,0),"")</f>
        <v>_</v>
      </c>
      <c r="AZ483" s="448" t="str">
        <f>_xlfn.IFNA(VLOOKUP($AP483,Programma!$F$3:$P$1101,11,0),"")</f>
        <v>_</v>
      </c>
      <c r="BA483" s="448" t="str">
        <f>_xlfn.IFNA(VLOOKUP($AP483,Programma!$F$3:$Q$1101,12,0),"")</f>
        <v>_</v>
      </c>
      <c r="BB483" s="448" t="str">
        <f>_xlfn.IFNA(VLOOKUP($AP483,Programma!$F$3:$R$1101,13,0),"")</f>
        <v>_</v>
      </c>
      <c r="BC483" s="448" t="str">
        <f>_xlfn.IFNA(VLOOKUP($AP483,Programma!$F$3:$S$1101,14,0),"")</f>
        <v>_</v>
      </c>
      <c r="BD483" s="448" t="str">
        <f>_xlfn.IFNA(VLOOKUP($AP483,Programma!$F$3:$T$1101,15,0),"")</f>
        <v>_</v>
      </c>
      <c r="BE483" s="448" t="str">
        <f>_xlfn.IFNA(VLOOKUP($AP483,Programma!$F$3:$U$1101,16,0),"")</f>
        <v>_</v>
      </c>
      <c r="BF483" s="448" t="str">
        <f>_xlfn.IFNA(VLOOKUP($AP483,Programma!$F$3:$V$1101,17,0),"")</f>
        <v>_</v>
      </c>
      <c r="BG483" s="448" t="str">
        <f>_xlfn.IFNA(VLOOKUP($AP483,Programma!$F$3:$W$1101,18,0),"")</f>
        <v>4w</v>
      </c>
      <c r="BH483" s="448" t="str">
        <f>_xlfn.IFNA(VLOOKUP($AP483,Programma!$F$3:$X$1101,19,0),"")</f>
        <v>1w</v>
      </c>
      <c r="BI483" s="448" t="str">
        <f>_xlfn.IFNA(VLOOKUP($AP483,Programma!$F$3:$Y$1101,20,0),"")</f>
        <v>_</v>
      </c>
      <c r="BJ483" s="449"/>
      <c r="BK483" s="446" t="str">
        <f>IF(Ruimtestaat[[#This Row],[Frequentie weekend]]="","",_xlfn.CONCAT(Ruimtestaat[[#This Row],[Ruimte code]],"-",Ruimtestaat[[#This Row],[Frequentie weekend]]," ",Ruimtestaat[[#This Row],[Vloer code]]))</f>
        <v/>
      </c>
      <c r="BL483" s="448" t="str">
        <f>_xlfn.IFNA(VLOOKUP($BK483,Programma!$F$3:$G$1101,2,0),"")</f>
        <v/>
      </c>
      <c r="BM483" s="448" t="str">
        <f>_xlfn.IFNA(VLOOKUP($BK483,Programma!$F$3:$H$1101,3,0),"")</f>
        <v/>
      </c>
      <c r="BN483" s="448" t="str">
        <f>_xlfn.IFNA(VLOOKUP($BK483,Programma!$F$3:$I$1101,4,0),"")</f>
        <v/>
      </c>
      <c r="BO483" s="448" t="str">
        <f>_xlfn.IFNA(VLOOKUP($BK483,Programma!$F$3:$J$1101,5,0),"")</f>
        <v/>
      </c>
      <c r="BP483" s="448" t="str">
        <f>_xlfn.IFNA(VLOOKUP($BK483,Programma!$F$3:$K$1101,6,0),"")</f>
        <v/>
      </c>
      <c r="BQ483" s="448" t="str">
        <f>_xlfn.IFNA(VLOOKUP($BK483,Programma!$F$3:$L$1101,7,0),"")</f>
        <v/>
      </c>
      <c r="BR483" s="448" t="str">
        <f>_xlfn.IFNA(VLOOKUP($BK483,Programma!$F$3:$M$1101,8,0),"")</f>
        <v/>
      </c>
      <c r="BS483" s="448" t="str">
        <f>_xlfn.IFNA(VLOOKUP($BK483,Programma!$F$3:$N$1101,9,0),"")</f>
        <v/>
      </c>
      <c r="BT483" s="448" t="str">
        <f>_xlfn.IFNA(VLOOKUP($BK483,Programma!$F$3:$O$1101,10,0),"")</f>
        <v/>
      </c>
      <c r="BU483" s="448" t="str">
        <f>_xlfn.IFNA(VLOOKUP($BK483,Programma!$F$3:$P$1101,11,0),"")</f>
        <v/>
      </c>
      <c r="BV483" s="448" t="str">
        <f>_xlfn.IFNA(VLOOKUP($BK483,Programma!$F$3:$Q$1101,12,0),"")</f>
        <v/>
      </c>
      <c r="BW483" s="448" t="str">
        <f>_xlfn.IFNA(VLOOKUP($BK483,Programma!$F$3:$R$1101,13,0),"")</f>
        <v/>
      </c>
      <c r="BX483" s="448" t="str">
        <f>_xlfn.IFNA(VLOOKUP($BK483,Programma!$F$3:$S$1101,14,0),"")</f>
        <v/>
      </c>
      <c r="BY483" s="448" t="str">
        <f>_xlfn.IFNA(VLOOKUP($BK483,Programma!$F$3:$T$1101,15,0),"")</f>
        <v/>
      </c>
      <c r="BZ483" s="448" t="str">
        <f>_xlfn.IFNA(VLOOKUP($BK483,Programma!$F$3:$U$1101,16,0),"")</f>
        <v/>
      </c>
      <c r="CA483" s="448" t="str">
        <f>_xlfn.IFNA(VLOOKUP($BK483,Programma!$F$3:$V$1101,17,0),"")</f>
        <v/>
      </c>
      <c r="CB483" s="448" t="str">
        <f>_xlfn.IFNA(VLOOKUP($BK483,Programma!$F$3:$W$1101,18,0),"")</f>
        <v/>
      </c>
      <c r="CC483" s="448" t="str">
        <f>_xlfn.IFNA(VLOOKUP($BK483,Programma!$F$3:$X$1101,19,0),"")</f>
        <v/>
      </c>
      <c r="CD483" s="448" t="str">
        <f>_xlfn.IFNA(VLOOKUP($BK483,Programma!$F$3:$Y$1101,20,0),"")</f>
        <v/>
      </c>
    </row>
    <row r="484" spans="1:82" ht="15" customHeight="1">
      <c r="A484" s="362">
        <v>18</v>
      </c>
      <c r="B484" s="435" t="str">
        <f>VLOOKUP(Ruimtestaat[[#This Row],[Code]],Locaties[[Code]:[Locatie]],2,FALSE)</f>
        <v>IKC De Triangel</v>
      </c>
      <c r="C484" s="435" t="str">
        <f>VLOOKUP(Ruimtestaat[[#This Row],[Code]],Locaties[[#All],[Code]:[Adres]],4,FALSE)</f>
        <v>Vlasakker 33-35</v>
      </c>
      <c r="D484" s="435" t="str">
        <f>VLOOKUP(Ruimtestaat[[#This Row],[Code]],Locaties[[#All],[Code]:[Postcode]],5,FALSE)</f>
        <v>2723 TP</v>
      </c>
      <c r="E484" s="435" t="str">
        <f>VLOOKUP(Ruimtestaat[[#This Row],[Code]],Locaties[#All],6,FALSE)</f>
        <v>Zoetermeer</v>
      </c>
      <c r="F484" s="450"/>
      <c r="G484" s="330" t="s">
        <v>1678</v>
      </c>
      <c r="H484" s="330">
        <v>30</v>
      </c>
      <c r="I484" s="450" t="s">
        <v>1876</v>
      </c>
      <c r="J484" s="330">
        <v>6</v>
      </c>
      <c r="K484" s="450" t="str">
        <f>VLOOKUP(Ruimtestaat[[#This Row],[Ruimte code]],Ruimtegroepen[[#All],[Code]:[Ruimte omschrijving]],2,FALSE)</f>
        <v>Gangen/hallen</v>
      </c>
      <c r="L484" s="434" t="s">
        <v>100</v>
      </c>
      <c r="M484" s="437" t="s">
        <v>1759</v>
      </c>
      <c r="N484" s="439">
        <v>71.099999999999994</v>
      </c>
      <c r="O484" s="439"/>
      <c r="P484" s="439"/>
      <c r="Q484" s="439"/>
      <c r="R484" s="440" t="str">
        <f>VLOOKUP(Ruimtestaat[[#This Row],[Ruimte code]],Ruimtegroepen[],4,FALSE)</f>
        <v>Ve</v>
      </c>
      <c r="S484" s="434">
        <v>41</v>
      </c>
      <c r="T484" s="434" t="s">
        <v>2</v>
      </c>
      <c r="U484" s="453">
        <f>IF(S484&gt;0,IF(RIGHT(Ruimtestaat[[#This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84" s="434">
        <f>IF(U484&gt;0,VLOOKUP($J484,Ruimtegroepen[],3,FALSE)*VLOOKUP($L484,Vloersoorten[],3,FALSE)*VLOOKUP($T484,Frequenties[],3,FALSE)*VLOOKUP($A484,Locaties[],3,FALSE),0)</f>
        <v>0</v>
      </c>
      <c r="W484" s="434">
        <f>Ruimtestaat[[#This Row],[Uitvoeringen werkdagen]]*Ruimtestaat[[#This Row],[Oppervlak (netto)]]</f>
        <v>14575.499999999998</v>
      </c>
      <c r="X484" s="441">
        <f>IF(V484&gt;0,Ruimtestaat[[#This Row],[Prest. (m2 /jaar) werkdagen]]/Ruimtestaat[[#This Row],[Norm (m2/uur) werkdagen]],0)</f>
        <v>0</v>
      </c>
      <c r="Y484" s="442">
        <f>Ruimtestaat[[#This Row],[Uitvoeringen werkdagen]]*Ruimtestaat[[#This Row],[Gedeeltelijk]]</f>
        <v>0</v>
      </c>
      <c r="Z484" s="443" t="e">
        <f>IF(U484&gt;0,Ruimtestaat[[#This Row],[Prest. (m2 / jaar) werkdagen gedeeld]]/Ruimtestaat[[#This Row],[Norm (m2/uur) werkdagen]],0)</f>
        <v>#DIV/0!</v>
      </c>
      <c r="AA484" s="441" t="e">
        <f>Ruimtestaat[[#This Row],[uren / jaar werkdagen gedeeld]]*Tariefsopbouw!$E$35</f>
        <v>#DIV/0!</v>
      </c>
      <c r="AB484" s="441">
        <f>Ruimtestaat[[#This Row],[Uitvoeringen werkdagen]]*Ruimtestaat[[#This Row],[BSO]]</f>
        <v>0</v>
      </c>
      <c r="AC484" s="443" t="e">
        <f>IF(U484&gt;0,Ruimtestaat[[#This Row],[Prest. (m2 / jaar) werkdagen BSO]]/Ruimtestaat[[#This Row],[Norm (m2/uur) werkdagen]],0)</f>
        <v>#DIV/0!</v>
      </c>
      <c r="AD484" s="443" t="e">
        <f>Ruimtestaat[[#This Row],[uren / jaar werkdagen BSO]]*Tariefsopbouw!$E$35</f>
        <v>#DIV/0!</v>
      </c>
      <c r="AE484" s="444">
        <f>Ruimtestaat[[#This Row],[uren / jaar werkdagen]]*Tariefsopbouw!$E$35</f>
        <v>0</v>
      </c>
      <c r="AF484" s="454"/>
      <c r="AG484" s="455">
        <f>IF(Ruimtestaat[[#This Row],[Frequentie weekend]]&gt;0,VALUE(LEFT(AF484,1))*S484,0)</f>
        <v>0</v>
      </c>
      <c r="AH484" s="455">
        <f>IF($AG484&gt;0,VLOOKUP($J484,Ruimtegroepen[],3,FALSE)*VLOOKUP($L484,Vloersoorten[],3,FALSE)*VLOOKUP($AF484,Frequenties[],3,FALSE)*VLOOKUP(#REF!,Locaties[],3,FALSE),0)</f>
        <v>0</v>
      </c>
      <c r="AI484" s="434">
        <f>Ruimtestaat[[#This Row],[Uitvoeringen weekend]]*Ruimtestaat[[#This Row],[Oppervlak (netto)]]</f>
        <v>0</v>
      </c>
      <c r="AJ484" s="434">
        <f>IF(AH484&gt;0,Ruimtestaat[[#This Row],[Prest. (m2 /jaar) weekend]]/Ruimtestaat[[#This Row],[Norm (m2/uur) weekend]],0)</f>
        <v>0</v>
      </c>
      <c r="AK484" s="444">
        <f>Ruimtestaat[[#This Row],[uren / jaar weekend]]*Tariefsopbouw!$D$40</f>
        <v>0</v>
      </c>
      <c r="AL484" s="441">
        <f>Ruimtestaat[[#This Row],[Prest. (m2 /jaar) weekend]]+Ruimtestaat[[#This Row],[Prest. (m2 /jaar) werkdagen]]</f>
        <v>14575.499999999998</v>
      </c>
      <c r="AM484" s="441">
        <f>Ruimtestaat[[#This Row],[uren / jaar weekend]]+Ruimtestaat[[#This Row],[uren / jaar werkdagen]]</f>
        <v>0</v>
      </c>
      <c r="AN484" s="446">
        <f>Ruimtestaat[[#This Row],[kosten / jaar weekend]]+Ruimtestaat[[#This Row],[kosten / jaar werkdagen]]</f>
        <v>0</v>
      </c>
      <c r="AO484" s="446"/>
      <c r="AP484" s="446" t="str">
        <f>IF(Ruimtestaat[[#This Row],[Frequentie werkdagen]]="","",_xlfn.CONCAT(Ruimtestaat[[#This Row],[Ruimte code]],"-",Ruimtestaat[[#This Row],[Frequentie werkdagen]]," ",Ruimtestaat[[#This Row],[Vloer code]]))</f>
        <v>6-5w L</v>
      </c>
      <c r="AQ484" s="448" t="str">
        <f>_xlfn.IFNA(VLOOKUP($AP484,Programma!$F$3:$G$1101,2,0),"")</f>
        <v>_</v>
      </c>
      <c r="AR484" s="448" t="str">
        <f>_xlfn.IFNA(VLOOKUP($AP484,Programma!$F$3:$H$1101,3,0),"")</f>
        <v>_</v>
      </c>
      <c r="AS484" s="448" t="str">
        <f>_xlfn.IFNA(VLOOKUP($AP484,Programma!$F$3:$I$1101,4,0),"")</f>
        <v>_</v>
      </c>
      <c r="AT484" s="448" t="str">
        <f>_xlfn.IFNA(VLOOKUP($AP484,Programma!$F$3:$J$1101,5,0),"")</f>
        <v>5w</v>
      </c>
      <c r="AU484" s="448" t="str">
        <f>_xlfn.IFNA(VLOOKUP($AP484,Programma!$F$3:$K$1101,6,0),"")</f>
        <v>_</v>
      </c>
      <c r="AV484" s="448" t="str">
        <f>_xlfn.IFNA(VLOOKUP($AP484,Programma!$F$3:$L$1101,7,0),"")</f>
        <v>_</v>
      </c>
      <c r="AW484" s="448" t="str">
        <f>_xlfn.IFNA(VLOOKUP($AP484,Programma!$F$3:$M$1101,8,0),"")</f>
        <v>_</v>
      </c>
      <c r="AX484" s="448" t="str">
        <f>_xlfn.IFNA(VLOOKUP($AP484,Programma!$F$3:$N$1101,9,0),"")</f>
        <v>_</v>
      </c>
      <c r="AY484" s="448" t="str">
        <f>_xlfn.IFNA(VLOOKUP($AP484,Programma!$F$3:$O$1101,10,0),"")</f>
        <v>5w</v>
      </c>
      <c r="AZ484" s="448" t="str">
        <f>_xlfn.IFNA(VLOOKUP($AP484,Programma!$F$3:$P$1101,11,0),"")</f>
        <v>5w</v>
      </c>
      <c r="BA484" s="448" t="str">
        <f>_xlfn.IFNA(VLOOKUP($AP484,Programma!$F$3:$Q$1101,12,0),"")</f>
        <v>1w</v>
      </c>
      <c r="BB484" s="448" t="str">
        <f>_xlfn.IFNA(VLOOKUP($AP484,Programma!$F$3:$R$1101,13,0),"")</f>
        <v>1w</v>
      </c>
      <c r="BC484" s="448" t="str">
        <f>_xlfn.IFNA(VLOOKUP($AP484,Programma!$F$3:$S$1101,14,0),"")</f>
        <v>1m</v>
      </c>
      <c r="BD484" s="448" t="str">
        <f>_xlfn.IFNA(VLOOKUP($AP484,Programma!$F$3:$T$1101,15,0),"")</f>
        <v>2j</v>
      </c>
      <c r="BE484" s="448" t="str">
        <f>_xlfn.IFNA(VLOOKUP($AP484,Programma!$F$3:$U$1101,16,0),"")</f>
        <v>1j</v>
      </c>
      <c r="BF484" s="448" t="str">
        <f>_xlfn.IFNA(VLOOKUP($AP484,Programma!$F$3:$V$1101,17,0),"")</f>
        <v>_</v>
      </c>
      <c r="BG484" s="448" t="str">
        <f>_xlfn.IFNA(VLOOKUP($AP484,Programma!$F$3:$W$1101,18,0),"")</f>
        <v>_</v>
      </c>
      <c r="BH484" s="448" t="str">
        <f>_xlfn.IFNA(VLOOKUP($AP484,Programma!$F$3:$X$1101,19,0),"")</f>
        <v>_</v>
      </c>
      <c r="BI484" s="448" t="str">
        <f>_xlfn.IFNA(VLOOKUP($AP484,Programma!$F$3:$Y$1101,20,0),"")</f>
        <v>_</v>
      </c>
      <c r="BJ484" s="449"/>
      <c r="BK484" s="446" t="str">
        <f>IF(Ruimtestaat[[#This Row],[Frequentie weekend]]="","",_xlfn.CONCAT(Ruimtestaat[[#This Row],[Ruimte code]],"-",Ruimtestaat[[#This Row],[Frequentie weekend]]," ",Ruimtestaat[[#This Row],[Vloer code]]))</f>
        <v/>
      </c>
      <c r="BL484" s="448" t="str">
        <f>_xlfn.IFNA(VLOOKUP($BK484,Programma!$F$3:$G$1101,2,0),"")</f>
        <v/>
      </c>
      <c r="BM484" s="448" t="str">
        <f>_xlfn.IFNA(VLOOKUP($BK484,Programma!$F$3:$H$1101,3,0),"")</f>
        <v/>
      </c>
      <c r="BN484" s="448" t="str">
        <f>_xlfn.IFNA(VLOOKUP($BK484,Programma!$F$3:$I$1101,4,0),"")</f>
        <v/>
      </c>
      <c r="BO484" s="448" t="str">
        <f>_xlfn.IFNA(VLOOKUP($BK484,Programma!$F$3:$J$1101,5,0),"")</f>
        <v/>
      </c>
      <c r="BP484" s="448" t="str">
        <f>_xlfn.IFNA(VLOOKUP($BK484,Programma!$F$3:$K$1101,6,0),"")</f>
        <v/>
      </c>
      <c r="BQ484" s="448" t="str">
        <f>_xlfn.IFNA(VLOOKUP($BK484,Programma!$F$3:$L$1101,7,0),"")</f>
        <v/>
      </c>
      <c r="BR484" s="448" t="str">
        <f>_xlfn.IFNA(VLOOKUP($BK484,Programma!$F$3:$M$1101,8,0),"")</f>
        <v/>
      </c>
      <c r="BS484" s="448" t="str">
        <f>_xlfn.IFNA(VLOOKUP($BK484,Programma!$F$3:$N$1101,9,0),"")</f>
        <v/>
      </c>
      <c r="BT484" s="448" t="str">
        <f>_xlfn.IFNA(VLOOKUP($BK484,Programma!$F$3:$O$1101,10,0),"")</f>
        <v/>
      </c>
      <c r="BU484" s="448" t="str">
        <f>_xlfn.IFNA(VLOOKUP($BK484,Programma!$F$3:$P$1101,11,0),"")</f>
        <v/>
      </c>
      <c r="BV484" s="448" t="str">
        <f>_xlfn.IFNA(VLOOKUP($BK484,Programma!$F$3:$Q$1101,12,0),"")</f>
        <v/>
      </c>
      <c r="BW484" s="448" t="str">
        <f>_xlfn.IFNA(VLOOKUP($BK484,Programma!$F$3:$R$1101,13,0),"")</f>
        <v/>
      </c>
      <c r="BX484" s="448" t="str">
        <f>_xlfn.IFNA(VLOOKUP($BK484,Programma!$F$3:$S$1101,14,0),"")</f>
        <v/>
      </c>
      <c r="BY484" s="448" t="str">
        <f>_xlfn.IFNA(VLOOKUP($BK484,Programma!$F$3:$T$1101,15,0),"")</f>
        <v/>
      </c>
      <c r="BZ484" s="448" t="str">
        <f>_xlfn.IFNA(VLOOKUP($BK484,Programma!$F$3:$U$1101,16,0),"")</f>
        <v/>
      </c>
      <c r="CA484" s="448" t="str">
        <f>_xlfn.IFNA(VLOOKUP($BK484,Programma!$F$3:$V$1101,17,0),"")</f>
        <v/>
      </c>
      <c r="CB484" s="448" t="str">
        <f>_xlfn.IFNA(VLOOKUP($BK484,Programma!$F$3:$W$1101,18,0),"")</f>
        <v/>
      </c>
      <c r="CC484" s="448" t="str">
        <f>_xlfn.IFNA(VLOOKUP($BK484,Programma!$F$3:$X$1101,19,0),"")</f>
        <v/>
      </c>
      <c r="CD484" s="448" t="str">
        <f>_xlfn.IFNA(VLOOKUP($BK484,Programma!$F$3:$Y$1101,20,0),"")</f>
        <v/>
      </c>
    </row>
    <row r="485" spans="1:82" ht="15" customHeight="1">
      <c r="A485" s="362">
        <v>18</v>
      </c>
      <c r="B485" s="435" t="str">
        <f>VLOOKUP(Ruimtestaat[[#This Row],[Code]],Locaties[[Code]:[Locatie]],2,FALSE)</f>
        <v>IKC De Triangel</v>
      </c>
      <c r="C485" s="435" t="str">
        <f>VLOOKUP(Ruimtestaat[[#This Row],[Code]],Locaties[[#All],[Code]:[Adres]],4,FALSE)</f>
        <v>Vlasakker 33-35</v>
      </c>
      <c r="D485" s="435" t="str">
        <f>VLOOKUP(Ruimtestaat[[#This Row],[Code]],Locaties[[#All],[Code]:[Postcode]],5,FALSE)</f>
        <v>2723 TP</v>
      </c>
      <c r="E485" s="435" t="str">
        <f>VLOOKUP(Ruimtestaat[[#This Row],[Code]],Locaties[#All],6,FALSE)</f>
        <v>Zoetermeer</v>
      </c>
      <c r="F485" s="450"/>
      <c r="G485" s="330" t="s">
        <v>1678</v>
      </c>
      <c r="H485" s="330">
        <v>31</v>
      </c>
      <c r="I485" s="450" t="s">
        <v>1878</v>
      </c>
      <c r="J485" s="330">
        <v>2</v>
      </c>
      <c r="K485" s="450" t="str">
        <f>VLOOKUP(Ruimtestaat[[#This Row],[Ruimte code]],Ruimtegroepen[[#All],[Code]:[Ruimte omschrijving]],2,FALSE)</f>
        <v>Kantoren</v>
      </c>
      <c r="L485" s="434" t="s">
        <v>100</v>
      </c>
      <c r="M485" s="437" t="s">
        <v>1759</v>
      </c>
      <c r="N485" s="439">
        <v>13.7</v>
      </c>
      <c r="O485" s="439"/>
      <c r="P485" s="439"/>
      <c r="Q485" s="439"/>
      <c r="R485" s="440" t="str">
        <f>VLOOKUP(Ruimtestaat[[#This Row],[Ruimte code]],Ruimtegroepen[],4,FALSE)</f>
        <v>Bu</v>
      </c>
      <c r="S485" s="434">
        <v>41</v>
      </c>
      <c r="T485" s="434" t="s">
        <v>17</v>
      </c>
      <c r="U485" s="453">
        <f>IF(S485&gt;0,IF(RIGHT(Ruimtestaat[[#This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485" s="434">
        <f>IF(U485&gt;0,VLOOKUP($J485,Ruimtegroepen[],3,FALSE)*VLOOKUP($L485,Vloersoorten[],3,FALSE)*VLOOKUP($T485,Frequenties[],3,FALSE)*VLOOKUP($A485,Locaties[],3,FALSE),0)</f>
        <v>0</v>
      </c>
      <c r="W485" s="434">
        <f>Ruimtestaat[[#This Row],[Uitvoeringen werkdagen]]*Ruimtestaat[[#This Row],[Oppervlak (netto)]]</f>
        <v>1123.3999999999999</v>
      </c>
      <c r="X485" s="441">
        <f>IF(V485&gt;0,Ruimtestaat[[#This Row],[Prest. (m2 /jaar) werkdagen]]/Ruimtestaat[[#This Row],[Norm (m2/uur) werkdagen]],0)</f>
        <v>0</v>
      </c>
      <c r="Y485" s="442">
        <f>Ruimtestaat[[#This Row],[Uitvoeringen werkdagen]]*Ruimtestaat[[#This Row],[Gedeeltelijk]]</f>
        <v>0</v>
      </c>
      <c r="Z485" s="443" t="e">
        <f>IF(U485&gt;0,Ruimtestaat[[#This Row],[Prest. (m2 / jaar) werkdagen gedeeld]]/Ruimtestaat[[#This Row],[Norm (m2/uur) werkdagen]],0)</f>
        <v>#DIV/0!</v>
      </c>
      <c r="AA485" s="441" t="e">
        <f>Ruimtestaat[[#This Row],[uren / jaar werkdagen gedeeld]]*Tariefsopbouw!$E$35</f>
        <v>#DIV/0!</v>
      </c>
      <c r="AB485" s="441">
        <f>Ruimtestaat[[#This Row],[Uitvoeringen werkdagen]]*Ruimtestaat[[#This Row],[BSO]]</f>
        <v>0</v>
      </c>
      <c r="AC485" s="443" t="e">
        <f>IF(U485&gt;0,Ruimtestaat[[#This Row],[Prest. (m2 / jaar) werkdagen BSO]]/Ruimtestaat[[#This Row],[Norm (m2/uur) werkdagen]],0)</f>
        <v>#DIV/0!</v>
      </c>
      <c r="AD485" s="443" t="e">
        <f>Ruimtestaat[[#This Row],[uren / jaar werkdagen BSO]]*Tariefsopbouw!$E$35</f>
        <v>#DIV/0!</v>
      </c>
      <c r="AE485" s="444">
        <f>Ruimtestaat[[#This Row],[uren / jaar werkdagen]]*Tariefsopbouw!$E$35</f>
        <v>0</v>
      </c>
      <c r="AF485" s="454"/>
      <c r="AG485" s="455">
        <f>IF(Ruimtestaat[[#This Row],[Frequentie weekend]]&gt;0,VALUE(LEFT(AF485,1))*S485,0)</f>
        <v>0</v>
      </c>
      <c r="AH485" s="455">
        <f>IF($AG485&gt;0,VLOOKUP($J485,Ruimtegroepen[],3,FALSE)*VLOOKUP($L485,Vloersoorten[],3,FALSE)*VLOOKUP($AF485,Frequenties[],3,FALSE)*VLOOKUP(#REF!,Locaties[],3,FALSE),0)</f>
        <v>0</v>
      </c>
      <c r="AI485" s="434">
        <f>Ruimtestaat[[#This Row],[Uitvoeringen weekend]]*Ruimtestaat[[#This Row],[Oppervlak (netto)]]</f>
        <v>0</v>
      </c>
      <c r="AJ485" s="434">
        <f>IF(AH485&gt;0,Ruimtestaat[[#This Row],[Prest. (m2 /jaar) weekend]]/Ruimtestaat[[#This Row],[Norm (m2/uur) weekend]],0)</f>
        <v>0</v>
      </c>
      <c r="AK485" s="444">
        <f>Ruimtestaat[[#This Row],[uren / jaar weekend]]*Tariefsopbouw!$D$40</f>
        <v>0</v>
      </c>
      <c r="AL485" s="441">
        <f>Ruimtestaat[[#This Row],[Prest. (m2 /jaar) weekend]]+Ruimtestaat[[#This Row],[Prest. (m2 /jaar) werkdagen]]</f>
        <v>1123.3999999999999</v>
      </c>
      <c r="AM485" s="441">
        <f>Ruimtestaat[[#This Row],[uren / jaar weekend]]+Ruimtestaat[[#This Row],[uren / jaar werkdagen]]</f>
        <v>0</v>
      </c>
      <c r="AN485" s="446">
        <f>Ruimtestaat[[#This Row],[kosten / jaar weekend]]+Ruimtestaat[[#This Row],[kosten / jaar werkdagen]]</f>
        <v>0</v>
      </c>
      <c r="AO485" s="446"/>
      <c r="AP485" s="446" t="str">
        <f>IF(Ruimtestaat[[#This Row],[Frequentie werkdagen]]="","",_xlfn.CONCAT(Ruimtestaat[[#This Row],[Ruimte code]],"-",Ruimtestaat[[#This Row],[Frequentie werkdagen]]," ",Ruimtestaat[[#This Row],[Vloer code]]))</f>
        <v>2-2w L</v>
      </c>
      <c r="AQ485" s="448" t="str">
        <f>_xlfn.IFNA(VLOOKUP($AP485,Programma!$F$3:$G$1101,2,0),"")</f>
        <v>_</v>
      </c>
      <c r="AR485" s="448" t="str">
        <f>_xlfn.IFNA(VLOOKUP($AP485,Programma!$F$3:$H$1101,3,0),"")</f>
        <v>_</v>
      </c>
      <c r="AS485" s="448" t="str">
        <f>_xlfn.IFNA(VLOOKUP($AP485,Programma!$F$3:$I$1101,4,0),"")</f>
        <v>1w</v>
      </c>
      <c r="AT485" s="448" t="str">
        <f>_xlfn.IFNA(VLOOKUP($AP485,Programma!$F$3:$J$1101,5,0),"")</f>
        <v>1w</v>
      </c>
      <c r="AU485" s="448" t="str">
        <f>_xlfn.IFNA(VLOOKUP($AP485,Programma!$F$3:$K$1101,6,0),"")</f>
        <v>_</v>
      </c>
      <c r="AV485" s="448" t="str">
        <f>_xlfn.IFNA(VLOOKUP($AP485,Programma!$F$3:$L$1101,7,0),"")</f>
        <v>_</v>
      </c>
      <c r="AW485" s="448" t="str">
        <f>_xlfn.IFNA(VLOOKUP($AP485,Programma!$F$3:$M$1101,8,0),"")</f>
        <v>_</v>
      </c>
      <c r="AX485" s="448" t="str">
        <f>_xlfn.IFNA(VLOOKUP($AP485,Programma!$F$3:$N$1101,9,0),"")</f>
        <v>_</v>
      </c>
      <c r="AY485" s="448" t="str">
        <f>_xlfn.IFNA(VLOOKUP($AP485,Programma!$F$3:$O$1101,10,0),"")</f>
        <v>2w</v>
      </c>
      <c r="AZ485" s="448" t="str">
        <f>_xlfn.IFNA(VLOOKUP($AP485,Programma!$F$3:$P$1101,11,0),"")</f>
        <v>2w</v>
      </c>
      <c r="BA485" s="448" t="str">
        <f>_xlfn.IFNA(VLOOKUP($AP485,Programma!$F$3:$Q$1101,12,0),"")</f>
        <v>1w</v>
      </c>
      <c r="BB485" s="448" t="str">
        <f>_xlfn.IFNA(VLOOKUP($AP485,Programma!$F$3:$R$1101,13,0),"")</f>
        <v>1w</v>
      </c>
      <c r="BC485" s="448" t="str">
        <f>_xlfn.IFNA(VLOOKUP($AP485,Programma!$F$3:$S$1101,14,0),"")</f>
        <v>1m</v>
      </c>
      <c r="BD485" s="448" t="str">
        <f>_xlfn.IFNA(VLOOKUP($AP485,Programma!$F$3:$T$1101,15,0),"")</f>
        <v>2j</v>
      </c>
      <c r="BE485" s="448" t="str">
        <f>_xlfn.IFNA(VLOOKUP($AP485,Programma!$F$3:$U$1101,16,0),"")</f>
        <v>1j</v>
      </c>
      <c r="BF485" s="448" t="str">
        <f>_xlfn.IFNA(VLOOKUP($AP485,Programma!$F$3:$V$1101,17,0),"")</f>
        <v>_</v>
      </c>
      <c r="BG485" s="448" t="str">
        <f>_xlfn.IFNA(VLOOKUP($AP485,Programma!$F$3:$W$1101,18,0),"")</f>
        <v>_</v>
      </c>
      <c r="BH485" s="448" t="str">
        <f>_xlfn.IFNA(VLOOKUP($AP485,Programma!$F$3:$X$1101,19,0),"")</f>
        <v>_</v>
      </c>
      <c r="BI485" s="448" t="str">
        <f>_xlfn.IFNA(VLOOKUP($AP485,Programma!$F$3:$Y$1101,20,0),"")</f>
        <v>_</v>
      </c>
      <c r="BJ485" s="449"/>
      <c r="BK485" s="446" t="str">
        <f>IF(Ruimtestaat[[#This Row],[Frequentie weekend]]="","",_xlfn.CONCAT(Ruimtestaat[[#This Row],[Ruimte code]],"-",Ruimtestaat[[#This Row],[Frequentie weekend]]," ",Ruimtestaat[[#This Row],[Vloer code]]))</f>
        <v/>
      </c>
      <c r="BL485" s="448" t="str">
        <f>_xlfn.IFNA(VLOOKUP($BK485,Programma!$F$3:$G$1101,2,0),"")</f>
        <v/>
      </c>
      <c r="BM485" s="448" t="str">
        <f>_xlfn.IFNA(VLOOKUP($BK485,Programma!$F$3:$H$1101,3,0),"")</f>
        <v/>
      </c>
      <c r="BN485" s="448" t="str">
        <f>_xlfn.IFNA(VLOOKUP($BK485,Programma!$F$3:$I$1101,4,0),"")</f>
        <v/>
      </c>
      <c r="BO485" s="448" t="str">
        <f>_xlfn.IFNA(VLOOKUP($BK485,Programma!$F$3:$J$1101,5,0),"")</f>
        <v/>
      </c>
      <c r="BP485" s="448" t="str">
        <f>_xlfn.IFNA(VLOOKUP($BK485,Programma!$F$3:$K$1101,6,0),"")</f>
        <v/>
      </c>
      <c r="BQ485" s="448" t="str">
        <f>_xlfn.IFNA(VLOOKUP($BK485,Programma!$F$3:$L$1101,7,0),"")</f>
        <v/>
      </c>
      <c r="BR485" s="448" t="str">
        <f>_xlfn.IFNA(VLOOKUP($BK485,Programma!$F$3:$M$1101,8,0),"")</f>
        <v/>
      </c>
      <c r="BS485" s="448" t="str">
        <f>_xlfn.IFNA(VLOOKUP($BK485,Programma!$F$3:$N$1101,9,0),"")</f>
        <v/>
      </c>
      <c r="BT485" s="448" t="str">
        <f>_xlfn.IFNA(VLOOKUP($BK485,Programma!$F$3:$O$1101,10,0),"")</f>
        <v/>
      </c>
      <c r="BU485" s="448" t="str">
        <f>_xlfn.IFNA(VLOOKUP($BK485,Programma!$F$3:$P$1101,11,0),"")</f>
        <v/>
      </c>
      <c r="BV485" s="448" t="str">
        <f>_xlfn.IFNA(VLOOKUP($BK485,Programma!$F$3:$Q$1101,12,0),"")</f>
        <v/>
      </c>
      <c r="BW485" s="448" t="str">
        <f>_xlfn.IFNA(VLOOKUP($BK485,Programma!$F$3:$R$1101,13,0),"")</f>
        <v/>
      </c>
      <c r="BX485" s="448" t="str">
        <f>_xlfn.IFNA(VLOOKUP($BK485,Programma!$F$3:$S$1101,14,0),"")</f>
        <v/>
      </c>
      <c r="BY485" s="448" t="str">
        <f>_xlfn.IFNA(VLOOKUP($BK485,Programma!$F$3:$T$1101,15,0),"")</f>
        <v/>
      </c>
      <c r="BZ485" s="448" t="str">
        <f>_xlfn.IFNA(VLOOKUP($BK485,Programma!$F$3:$U$1101,16,0),"")</f>
        <v/>
      </c>
      <c r="CA485" s="448" t="str">
        <f>_xlfn.IFNA(VLOOKUP($BK485,Programma!$F$3:$V$1101,17,0),"")</f>
        <v/>
      </c>
      <c r="CB485" s="448" t="str">
        <f>_xlfn.IFNA(VLOOKUP($BK485,Programma!$F$3:$W$1101,18,0),"")</f>
        <v/>
      </c>
      <c r="CC485" s="448" t="str">
        <f>_xlfn.IFNA(VLOOKUP($BK485,Programma!$F$3:$X$1101,19,0),"")</f>
        <v/>
      </c>
      <c r="CD485" s="448" t="str">
        <f>_xlfn.IFNA(VLOOKUP($BK485,Programma!$F$3:$Y$1101,20,0),"")</f>
        <v/>
      </c>
    </row>
    <row r="486" spans="1:82" ht="15" customHeight="1">
      <c r="A486" s="362">
        <v>18</v>
      </c>
      <c r="B486" s="435" t="str">
        <f>VLOOKUP(Ruimtestaat[[#This Row],[Code]],Locaties[[Code]:[Locatie]],2,FALSE)</f>
        <v>IKC De Triangel</v>
      </c>
      <c r="C486" s="435" t="str">
        <f>VLOOKUP(Ruimtestaat[[#This Row],[Code]],Locaties[[#All],[Code]:[Adres]],4,FALSE)</f>
        <v>Vlasakker 33-35</v>
      </c>
      <c r="D486" s="435" t="str">
        <f>VLOOKUP(Ruimtestaat[[#This Row],[Code]],Locaties[[#All],[Code]:[Postcode]],5,FALSE)</f>
        <v>2723 TP</v>
      </c>
      <c r="E486" s="435" t="str">
        <f>VLOOKUP(Ruimtestaat[[#This Row],[Code]],Locaties[#All],6,FALSE)</f>
        <v>Zoetermeer</v>
      </c>
      <c r="F486" s="450"/>
      <c r="G486" s="330" t="s">
        <v>1678</v>
      </c>
      <c r="H486" s="330">
        <v>32</v>
      </c>
      <c r="I486" s="450" t="s">
        <v>1879</v>
      </c>
      <c r="J486" s="330">
        <v>13</v>
      </c>
      <c r="K486" s="450" t="str">
        <f>VLOOKUP(Ruimtestaat[[#This Row],[Ruimte code]],Ruimtegroepen[[#All],[Code]:[Ruimte omschrijving]],2,FALSE)</f>
        <v>Personeelskamer</v>
      </c>
      <c r="L486" s="434" t="s">
        <v>100</v>
      </c>
      <c r="M486" s="437" t="s">
        <v>1759</v>
      </c>
      <c r="N486" s="439">
        <v>20.7</v>
      </c>
      <c r="O486" s="439"/>
      <c r="P486" s="439"/>
      <c r="Q486" s="439"/>
      <c r="R486" s="440" t="str">
        <f>VLOOKUP(Ruimtestaat[[#This Row],[Ruimte code]],Ruimtegroepen[],4,FALSE)</f>
        <v>Ve</v>
      </c>
      <c r="S486" s="434">
        <v>41</v>
      </c>
      <c r="T486" s="434" t="s">
        <v>17</v>
      </c>
      <c r="U486" s="453">
        <f>IF(S486&gt;0,IF(RIGHT(Ruimtestaat[[#This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486" s="434">
        <f>IF(U486&gt;0,VLOOKUP($J486,Ruimtegroepen[],3,FALSE)*VLOOKUP($L486,Vloersoorten[],3,FALSE)*VLOOKUP($T486,Frequenties[],3,FALSE)*VLOOKUP($A486,Locaties[],3,FALSE),0)</f>
        <v>0</v>
      </c>
      <c r="W486" s="434">
        <f>Ruimtestaat[[#This Row],[Uitvoeringen werkdagen]]*Ruimtestaat[[#This Row],[Oppervlak (netto)]]</f>
        <v>1697.3999999999999</v>
      </c>
      <c r="X486" s="441">
        <f>IF(V486&gt;0,Ruimtestaat[[#This Row],[Prest. (m2 /jaar) werkdagen]]/Ruimtestaat[[#This Row],[Norm (m2/uur) werkdagen]],0)</f>
        <v>0</v>
      </c>
      <c r="Y486" s="442">
        <f>Ruimtestaat[[#This Row],[Uitvoeringen werkdagen]]*Ruimtestaat[[#This Row],[Gedeeltelijk]]</f>
        <v>0</v>
      </c>
      <c r="Z486" s="443" t="e">
        <f>IF(U486&gt;0,Ruimtestaat[[#This Row],[Prest. (m2 / jaar) werkdagen gedeeld]]/Ruimtestaat[[#This Row],[Norm (m2/uur) werkdagen]],0)</f>
        <v>#DIV/0!</v>
      </c>
      <c r="AA486" s="441" t="e">
        <f>Ruimtestaat[[#This Row],[uren / jaar werkdagen gedeeld]]*Tariefsopbouw!$E$35</f>
        <v>#DIV/0!</v>
      </c>
      <c r="AB486" s="441">
        <f>Ruimtestaat[[#This Row],[Uitvoeringen werkdagen]]*Ruimtestaat[[#This Row],[BSO]]</f>
        <v>0</v>
      </c>
      <c r="AC486" s="443" t="e">
        <f>IF(U486&gt;0,Ruimtestaat[[#This Row],[Prest. (m2 / jaar) werkdagen BSO]]/Ruimtestaat[[#This Row],[Norm (m2/uur) werkdagen]],0)</f>
        <v>#DIV/0!</v>
      </c>
      <c r="AD486" s="443" t="e">
        <f>Ruimtestaat[[#This Row],[uren / jaar werkdagen BSO]]*Tariefsopbouw!$E$35</f>
        <v>#DIV/0!</v>
      </c>
      <c r="AE486" s="444">
        <f>Ruimtestaat[[#This Row],[uren / jaar werkdagen]]*Tariefsopbouw!$E$35</f>
        <v>0</v>
      </c>
      <c r="AF486" s="454"/>
      <c r="AG486" s="455">
        <f>IF(Ruimtestaat[[#This Row],[Frequentie weekend]]&gt;0,VALUE(LEFT(AF486,1))*S486,0)</f>
        <v>0</v>
      </c>
      <c r="AH486" s="455">
        <f>IF($AG486&gt;0,VLOOKUP($J486,Ruimtegroepen[],3,FALSE)*VLOOKUP($L486,Vloersoorten[],3,FALSE)*VLOOKUP($AF486,Frequenties[],3,FALSE)*VLOOKUP(#REF!,Locaties[],3,FALSE),0)</f>
        <v>0</v>
      </c>
      <c r="AI486" s="434">
        <f>Ruimtestaat[[#This Row],[Uitvoeringen weekend]]*Ruimtestaat[[#This Row],[Oppervlak (netto)]]</f>
        <v>0</v>
      </c>
      <c r="AJ486" s="434">
        <f>IF(AH486&gt;0,Ruimtestaat[[#This Row],[Prest. (m2 /jaar) weekend]]/Ruimtestaat[[#This Row],[Norm (m2/uur) weekend]],0)</f>
        <v>0</v>
      </c>
      <c r="AK486" s="444">
        <f>Ruimtestaat[[#This Row],[uren / jaar weekend]]*Tariefsopbouw!$D$40</f>
        <v>0</v>
      </c>
      <c r="AL486" s="441">
        <f>Ruimtestaat[[#This Row],[Prest. (m2 /jaar) weekend]]+Ruimtestaat[[#This Row],[Prest. (m2 /jaar) werkdagen]]</f>
        <v>1697.3999999999999</v>
      </c>
      <c r="AM486" s="441">
        <f>Ruimtestaat[[#This Row],[uren / jaar weekend]]+Ruimtestaat[[#This Row],[uren / jaar werkdagen]]</f>
        <v>0</v>
      </c>
      <c r="AN486" s="446">
        <f>Ruimtestaat[[#This Row],[kosten / jaar weekend]]+Ruimtestaat[[#This Row],[kosten / jaar werkdagen]]</f>
        <v>0</v>
      </c>
      <c r="AO486" s="446"/>
      <c r="AP486" s="446" t="str">
        <f>IF(Ruimtestaat[[#This Row],[Frequentie werkdagen]]="","",_xlfn.CONCAT(Ruimtestaat[[#This Row],[Ruimte code]],"-",Ruimtestaat[[#This Row],[Frequentie werkdagen]]," ",Ruimtestaat[[#This Row],[Vloer code]]))</f>
        <v>13-2w L</v>
      </c>
      <c r="AQ486" s="448" t="str">
        <f>_xlfn.IFNA(VLOOKUP($AP486,Programma!$F$3:$G$1101,2,0),"")</f>
        <v>_</v>
      </c>
      <c r="AR486" s="448" t="str">
        <f>_xlfn.IFNA(VLOOKUP($AP486,Programma!$F$3:$H$1101,3,0),"")</f>
        <v>_</v>
      </c>
      <c r="AS486" s="448" t="str">
        <f>_xlfn.IFNA(VLOOKUP($AP486,Programma!$F$3:$I$1101,4,0),"")</f>
        <v>1w</v>
      </c>
      <c r="AT486" s="448" t="str">
        <f>_xlfn.IFNA(VLOOKUP($AP486,Programma!$F$3:$J$1101,5,0),"")</f>
        <v>1w</v>
      </c>
      <c r="AU486" s="448" t="str">
        <f>_xlfn.IFNA(VLOOKUP($AP486,Programma!$F$3:$K$1101,6,0),"")</f>
        <v>_</v>
      </c>
      <c r="AV486" s="448" t="str">
        <f>_xlfn.IFNA(VLOOKUP($AP486,Programma!$F$3:$L$1101,7,0),"")</f>
        <v>_</v>
      </c>
      <c r="AW486" s="448" t="str">
        <f>_xlfn.IFNA(VLOOKUP($AP486,Programma!$F$3:$M$1101,8,0),"")</f>
        <v>_</v>
      </c>
      <c r="AX486" s="448" t="str">
        <f>_xlfn.IFNA(VLOOKUP($AP486,Programma!$F$3:$N$1101,9,0),"")</f>
        <v>_</v>
      </c>
      <c r="AY486" s="448" t="str">
        <f>_xlfn.IFNA(VLOOKUP($AP486,Programma!$F$3:$O$1101,10,0),"")</f>
        <v>2w</v>
      </c>
      <c r="AZ486" s="448" t="str">
        <f>_xlfn.IFNA(VLOOKUP($AP486,Programma!$F$3:$P$1101,11,0),"")</f>
        <v>2w</v>
      </c>
      <c r="BA486" s="448" t="str">
        <f>_xlfn.IFNA(VLOOKUP($AP486,Programma!$F$3:$Q$1101,12,0),"")</f>
        <v>1w</v>
      </c>
      <c r="BB486" s="448" t="str">
        <f>_xlfn.IFNA(VLOOKUP($AP486,Programma!$F$3:$R$1101,13,0),"")</f>
        <v>1w</v>
      </c>
      <c r="BC486" s="448" t="str">
        <f>_xlfn.IFNA(VLOOKUP($AP486,Programma!$F$3:$S$1101,14,0),"")</f>
        <v>1m</v>
      </c>
      <c r="BD486" s="448" t="str">
        <f>_xlfn.IFNA(VLOOKUP($AP486,Programma!$F$3:$T$1101,15,0),"")</f>
        <v>2j</v>
      </c>
      <c r="BE486" s="448" t="str">
        <f>_xlfn.IFNA(VLOOKUP($AP486,Programma!$F$3:$U$1101,16,0),"")</f>
        <v>1j</v>
      </c>
      <c r="BF486" s="448" t="str">
        <f>_xlfn.IFNA(VLOOKUP($AP486,Programma!$F$3:$V$1101,17,0),"")</f>
        <v>_</v>
      </c>
      <c r="BG486" s="448" t="str">
        <f>_xlfn.IFNA(VLOOKUP($AP486,Programma!$F$3:$W$1101,18,0),"")</f>
        <v>_</v>
      </c>
      <c r="BH486" s="448" t="str">
        <f>_xlfn.IFNA(VLOOKUP($AP486,Programma!$F$3:$X$1101,19,0),"")</f>
        <v>_</v>
      </c>
      <c r="BI486" s="448" t="str">
        <f>_xlfn.IFNA(VLOOKUP($AP486,Programma!$F$3:$Y$1101,20,0),"")</f>
        <v>_</v>
      </c>
      <c r="BJ486" s="449"/>
      <c r="BK486" s="446" t="str">
        <f>IF(Ruimtestaat[[#This Row],[Frequentie weekend]]="","",_xlfn.CONCAT(Ruimtestaat[[#This Row],[Ruimte code]],"-",Ruimtestaat[[#This Row],[Frequentie weekend]]," ",Ruimtestaat[[#This Row],[Vloer code]]))</f>
        <v/>
      </c>
      <c r="BL486" s="448" t="str">
        <f>_xlfn.IFNA(VLOOKUP($BK486,Programma!$F$3:$G$1101,2,0),"")</f>
        <v/>
      </c>
      <c r="BM486" s="448" t="str">
        <f>_xlfn.IFNA(VLOOKUP($BK486,Programma!$F$3:$H$1101,3,0),"")</f>
        <v/>
      </c>
      <c r="BN486" s="448" t="str">
        <f>_xlfn.IFNA(VLOOKUP($BK486,Programma!$F$3:$I$1101,4,0),"")</f>
        <v/>
      </c>
      <c r="BO486" s="448" t="str">
        <f>_xlfn.IFNA(VLOOKUP($BK486,Programma!$F$3:$J$1101,5,0),"")</f>
        <v/>
      </c>
      <c r="BP486" s="448" t="str">
        <f>_xlfn.IFNA(VLOOKUP($BK486,Programma!$F$3:$K$1101,6,0),"")</f>
        <v/>
      </c>
      <c r="BQ486" s="448" t="str">
        <f>_xlfn.IFNA(VLOOKUP($BK486,Programma!$F$3:$L$1101,7,0),"")</f>
        <v/>
      </c>
      <c r="BR486" s="448" t="str">
        <f>_xlfn.IFNA(VLOOKUP($BK486,Programma!$F$3:$M$1101,8,0),"")</f>
        <v/>
      </c>
      <c r="BS486" s="448" t="str">
        <f>_xlfn.IFNA(VLOOKUP($BK486,Programma!$F$3:$N$1101,9,0),"")</f>
        <v/>
      </c>
      <c r="BT486" s="448" t="str">
        <f>_xlfn.IFNA(VLOOKUP($BK486,Programma!$F$3:$O$1101,10,0),"")</f>
        <v/>
      </c>
      <c r="BU486" s="448" t="str">
        <f>_xlfn.IFNA(VLOOKUP($BK486,Programma!$F$3:$P$1101,11,0),"")</f>
        <v/>
      </c>
      <c r="BV486" s="448" t="str">
        <f>_xlfn.IFNA(VLOOKUP($BK486,Programma!$F$3:$Q$1101,12,0),"")</f>
        <v/>
      </c>
      <c r="BW486" s="448" t="str">
        <f>_xlfn.IFNA(VLOOKUP($BK486,Programma!$F$3:$R$1101,13,0),"")</f>
        <v/>
      </c>
      <c r="BX486" s="448" t="str">
        <f>_xlfn.IFNA(VLOOKUP($BK486,Programma!$F$3:$S$1101,14,0),"")</f>
        <v/>
      </c>
      <c r="BY486" s="448" t="str">
        <f>_xlfn.IFNA(VLOOKUP($BK486,Programma!$F$3:$T$1101,15,0),"")</f>
        <v/>
      </c>
      <c r="BZ486" s="448" t="str">
        <f>_xlfn.IFNA(VLOOKUP($BK486,Programma!$F$3:$U$1101,16,0),"")</f>
        <v/>
      </c>
      <c r="CA486" s="448" t="str">
        <f>_xlfn.IFNA(VLOOKUP($BK486,Programma!$F$3:$V$1101,17,0),"")</f>
        <v/>
      </c>
      <c r="CB486" s="448" t="str">
        <f>_xlfn.IFNA(VLOOKUP($BK486,Programma!$F$3:$W$1101,18,0),"")</f>
        <v/>
      </c>
      <c r="CC486" s="448" t="str">
        <f>_xlfn.IFNA(VLOOKUP($BK486,Programma!$F$3:$X$1101,19,0),"")</f>
        <v/>
      </c>
      <c r="CD486" s="448" t="str">
        <f>_xlfn.IFNA(VLOOKUP($BK486,Programma!$F$3:$Y$1101,20,0),"")</f>
        <v/>
      </c>
    </row>
    <row r="487" spans="1:82" ht="15" customHeight="1">
      <c r="A487" s="362">
        <v>18</v>
      </c>
      <c r="B487" s="435" t="str">
        <f>VLOOKUP(Ruimtestaat[[#This Row],[Code]],Locaties[[Code]:[Locatie]],2,FALSE)</f>
        <v>IKC De Triangel</v>
      </c>
      <c r="C487" s="435" t="str">
        <f>VLOOKUP(Ruimtestaat[[#This Row],[Code]],Locaties[[#All],[Code]:[Adres]],4,FALSE)</f>
        <v>Vlasakker 33-35</v>
      </c>
      <c r="D487" s="435" t="str">
        <f>VLOOKUP(Ruimtestaat[[#This Row],[Code]],Locaties[[#All],[Code]:[Postcode]],5,FALSE)</f>
        <v>2723 TP</v>
      </c>
      <c r="E487" s="435" t="str">
        <f>VLOOKUP(Ruimtestaat[[#This Row],[Code]],Locaties[#All],6,FALSE)</f>
        <v>Zoetermeer</v>
      </c>
      <c r="F487" s="450"/>
      <c r="G487" s="330" t="s">
        <v>1678</v>
      </c>
      <c r="H487" s="330">
        <v>33</v>
      </c>
      <c r="I487" s="450" t="s">
        <v>121</v>
      </c>
      <c r="J487" s="330">
        <v>15</v>
      </c>
      <c r="K487" s="450" t="str">
        <f>VLOOKUP(Ruimtestaat[[#This Row],[Ruimte code]],Ruimtegroepen[[#All],[Code]:[Ruimte omschrijving]],2,FALSE)</f>
        <v>Keuken/pantry</v>
      </c>
      <c r="L487" s="434" t="s">
        <v>100</v>
      </c>
      <c r="M487" s="437" t="s">
        <v>1759</v>
      </c>
      <c r="N487" s="439">
        <v>9.3000000000000007</v>
      </c>
      <c r="O487" s="439"/>
      <c r="P487" s="439"/>
      <c r="Q487" s="439"/>
      <c r="R487" s="440" t="str">
        <f>VLOOKUP(Ruimtestaat[[#This Row],[Ruimte code]],Ruimtegroepen[],4,FALSE)</f>
        <v>Ve</v>
      </c>
      <c r="S487" s="434">
        <v>41</v>
      </c>
      <c r="T487" s="434" t="s">
        <v>2</v>
      </c>
      <c r="U487" s="453">
        <f>IF(S487&gt;0,IF(RIGHT(Ruimtestaat[[#This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87" s="434">
        <f>IF(U487&gt;0,VLOOKUP($J487,Ruimtegroepen[],3,FALSE)*VLOOKUP($L487,Vloersoorten[],3,FALSE)*VLOOKUP($T487,Frequenties[],3,FALSE)*VLOOKUP($A487,Locaties[],3,FALSE),0)</f>
        <v>0</v>
      </c>
      <c r="W487" s="434">
        <f>Ruimtestaat[[#This Row],[Uitvoeringen werkdagen]]*Ruimtestaat[[#This Row],[Oppervlak (netto)]]</f>
        <v>1906.5000000000002</v>
      </c>
      <c r="X487" s="441">
        <f>IF(V487&gt;0,Ruimtestaat[[#This Row],[Prest. (m2 /jaar) werkdagen]]/Ruimtestaat[[#This Row],[Norm (m2/uur) werkdagen]],0)</f>
        <v>0</v>
      </c>
      <c r="Y487" s="442">
        <f>Ruimtestaat[[#This Row],[Uitvoeringen werkdagen]]*Ruimtestaat[[#This Row],[Gedeeltelijk]]</f>
        <v>0</v>
      </c>
      <c r="Z487" s="443" t="e">
        <f>IF(U487&gt;0,Ruimtestaat[[#This Row],[Prest. (m2 / jaar) werkdagen gedeeld]]/Ruimtestaat[[#This Row],[Norm (m2/uur) werkdagen]],0)</f>
        <v>#DIV/0!</v>
      </c>
      <c r="AA487" s="441" t="e">
        <f>Ruimtestaat[[#This Row],[uren / jaar werkdagen gedeeld]]*Tariefsopbouw!$E$35</f>
        <v>#DIV/0!</v>
      </c>
      <c r="AB487" s="441">
        <f>Ruimtestaat[[#This Row],[Uitvoeringen werkdagen]]*Ruimtestaat[[#This Row],[BSO]]</f>
        <v>0</v>
      </c>
      <c r="AC487" s="443" t="e">
        <f>IF(U487&gt;0,Ruimtestaat[[#This Row],[Prest. (m2 / jaar) werkdagen BSO]]/Ruimtestaat[[#This Row],[Norm (m2/uur) werkdagen]],0)</f>
        <v>#DIV/0!</v>
      </c>
      <c r="AD487" s="443" t="e">
        <f>Ruimtestaat[[#This Row],[uren / jaar werkdagen BSO]]*Tariefsopbouw!$E$35</f>
        <v>#DIV/0!</v>
      </c>
      <c r="AE487" s="444">
        <f>Ruimtestaat[[#This Row],[uren / jaar werkdagen]]*Tariefsopbouw!$E$35</f>
        <v>0</v>
      </c>
      <c r="AF487" s="454"/>
      <c r="AG487" s="455">
        <f>IF(Ruimtestaat[[#This Row],[Frequentie weekend]]&gt;0,VALUE(LEFT(AF487,1))*S487,0)</f>
        <v>0</v>
      </c>
      <c r="AH487" s="455">
        <f>IF($AG487&gt;0,VLOOKUP($J487,Ruimtegroepen[],3,FALSE)*VLOOKUP($L487,Vloersoorten[],3,FALSE)*VLOOKUP($AF487,Frequenties[],3,FALSE)*VLOOKUP(#REF!,Locaties[],3,FALSE),0)</f>
        <v>0</v>
      </c>
      <c r="AI487" s="434">
        <f>Ruimtestaat[[#This Row],[Uitvoeringen weekend]]*Ruimtestaat[[#This Row],[Oppervlak (netto)]]</f>
        <v>0</v>
      </c>
      <c r="AJ487" s="434">
        <f>IF(AH487&gt;0,Ruimtestaat[[#This Row],[Prest. (m2 /jaar) weekend]]/Ruimtestaat[[#This Row],[Norm (m2/uur) weekend]],0)</f>
        <v>0</v>
      </c>
      <c r="AK487" s="444">
        <f>Ruimtestaat[[#This Row],[uren / jaar weekend]]*Tariefsopbouw!$D$40</f>
        <v>0</v>
      </c>
      <c r="AL487" s="441">
        <f>Ruimtestaat[[#This Row],[Prest. (m2 /jaar) weekend]]+Ruimtestaat[[#This Row],[Prest. (m2 /jaar) werkdagen]]</f>
        <v>1906.5000000000002</v>
      </c>
      <c r="AM487" s="441">
        <f>Ruimtestaat[[#This Row],[uren / jaar weekend]]+Ruimtestaat[[#This Row],[uren / jaar werkdagen]]</f>
        <v>0</v>
      </c>
      <c r="AN487" s="446">
        <f>Ruimtestaat[[#This Row],[kosten / jaar weekend]]+Ruimtestaat[[#This Row],[kosten / jaar werkdagen]]</f>
        <v>0</v>
      </c>
      <c r="AO487" s="446"/>
      <c r="AP487" s="446" t="str">
        <f>IF(Ruimtestaat[[#This Row],[Frequentie werkdagen]]="","",_xlfn.CONCAT(Ruimtestaat[[#This Row],[Ruimte code]],"-",Ruimtestaat[[#This Row],[Frequentie werkdagen]]," ",Ruimtestaat[[#This Row],[Vloer code]]))</f>
        <v>15-5w L</v>
      </c>
      <c r="AQ487" s="448" t="str">
        <f>_xlfn.IFNA(VLOOKUP($AP487,Programma!$F$3:$G$1101,2,0),"")</f>
        <v>_</v>
      </c>
      <c r="AR487" s="448" t="str">
        <f>_xlfn.IFNA(VLOOKUP($AP487,Programma!$F$3:$H$1101,3,0),"")</f>
        <v>_</v>
      </c>
      <c r="AS487" s="448" t="str">
        <f>_xlfn.IFNA(VLOOKUP($AP487,Programma!$F$3:$I$1101,4,0),"")</f>
        <v>_</v>
      </c>
      <c r="AT487" s="448" t="str">
        <f>_xlfn.IFNA(VLOOKUP($AP487,Programma!$F$3:$J$1101,5,0),"")</f>
        <v>5w</v>
      </c>
      <c r="AU487" s="448" t="str">
        <f>_xlfn.IFNA(VLOOKUP($AP487,Programma!$F$3:$K$1101,6,0),"")</f>
        <v>_</v>
      </c>
      <c r="AV487" s="448" t="str">
        <f>_xlfn.IFNA(VLOOKUP($AP487,Programma!$F$3:$L$1101,7,0),"")</f>
        <v>_</v>
      </c>
      <c r="AW487" s="448" t="str">
        <f>_xlfn.IFNA(VLOOKUP($AP487,Programma!$F$3:$M$1101,8,0),"")</f>
        <v>_</v>
      </c>
      <c r="AX487" s="448" t="str">
        <f>_xlfn.IFNA(VLOOKUP($AP487,Programma!$F$3:$N$1101,9,0),"")</f>
        <v>_</v>
      </c>
      <c r="AY487" s="448" t="str">
        <f>_xlfn.IFNA(VLOOKUP($AP487,Programma!$F$3:$O$1101,10,0),"")</f>
        <v>5w</v>
      </c>
      <c r="AZ487" s="448" t="str">
        <f>_xlfn.IFNA(VLOOKUP($AP487,Programma!$F$3:$P$1101,11,0),"")</f>
        <v>5w</v>
      </c>
      <c r="BA487" s="448" t="str">
        <f>_xlfn.IFNA(VLOOKUP($AP487,Programma!$F$3:$Q$1101,12,0),"")</f>
        <v>1w</v>
      </c>
      <c r="BB487" s="448" t="str">
        <f>_xlfn.IFNA(VLOOKUP($AP487,Programma!$F$3:$R$1101,13,0),"")</f>
        <v>1w</v>
      </c>
      <c r="BC487" s="448" t="str">
        <f>_xlfn.IFNA(VLOOKUP($AP487,Programma!$F$3:$S$1101,14,0),"")</f>
        <v>1m</v>
      </c>
      <c r="BD487" s="448" t="str">
        <f>_xlfn.IFNA(VLOOKUP($AP487,Programma!$F$3:$T$1101,15,0),"")</f>
        <v>2j</v>
      </c>
      <c r="BE487" s="448" t="str">
        <f>_xlfn.IFNA(VLOOKUP($AP487,Programma!$F$3:$U$1101,16,0),"")</f>
        <v>1j</v>
      </c>
      <c r="BF487" s="448" t="str">
        <f>_xlfn.IFNA(VLOOKUP($AP487,Programma!$F$3:$V$1101,17,0),"")</f>
        <v>_</v>
      </c>
      <c r="BG487" s="448" t="str">
        <f>_xlfn.IFNA(VLOOKUP($AP487,Programma!$F$3:$W$1101,18,0),"")</f>
        <v>_</v>
      </c>
      <c r="BH487" s="448" t="str">
        <f>_xlfn.IFNA(VLOOKUP($AP487,Programma!$F$3:$X$1101,19,0),"")</f>
        <v>_</v>
      </c>
      <c r="BI487" s="448" t="str">
        <f>_xlfn.IFNA(VLOOKUP($AP487,Programma!$F$3:$Y$1101,20,0),"")</f>
        <v>_</v>
      </c>
      <c r="BJ487" s="449"/>
      <c r="BK487" s="446" t="str">
        <f>IF(Ruimtestaat[[#This Row],[Frequentie weekend]]="","",_xlfn.CONCAT(Ruimtestaat[[#This Row],[Ruimte code]],"-",Ruimtestaat[[#This Row],[Frequentie weekend]]," ",Ruimtestaat[[#This Row],[Vloer code]]))</f>
        <v/>
      </c>
      <c r="BL487" s="448" t="str">
        <f>_xlfn.IFNA(VLOOKUP($BK487,Programma!$F$3:$G$1101,2,0),"")</f>
        <v/>
      </c>
      <c r="BM487" s="448" t="str">
        <f>_xlfn.IFNA(VLOOKUP($BK487,Programma!$F$3:$H$1101,3,0),"")</f>
        <v/>
      </c>
      <c r="BN487" s="448" t="str">
        <f>_xlfn.IFNA(VLOOKUP($BK487,Programma!$F$3:$I$1101,4,0),"")</f>
        <v/>
      </c>
      <c r="BO487" s="448" t="str">
        <f>_xlfn.IFNA(VLOOKUP($BK487,Programma!$F$3:$J$1101,5,0),"")</f>
        <v/>
      </c>
      <c r="BP487" s="448" t="str">
        <f>_xlfn.IFNA(VLOOKUP($BK487,Programma!$F$3:$K$1101,6,0),"")</f>
        <v/>
      </c>
      <c r="BQ487" s="448" t="str">
        <f>_xlfn.IFNA(VLOOKUP($BK487,Programma!$F$3:$L$1101,7,0),"")</f>
        <v/>
      </c>
      <c r="BR487" s="448" t="str">
        <f>_xlfn.IFNA(VLOOKUP($BK487,Programma!$F$3:$M$1101,8,0),"")</f>
        <v/>
      </c>
      <c r="BS487" s="448" t="str">
        <f>_xlfn.IFNA(VLOOKUP($BK487,Programma!$F$3:$N$1101,9,0),"")</f>
        <v/>
      </c>
      <c r="BT487" s="448" t="str">
        <f>_xlfn.IFNA(VLOOKUP($BK487,Programma!$F$3:$O$1101,10,0),"")</f>
        <v/>
      </c>
      <c r="BU487" s="448" t="str">
        <f>_xlfn.IFNA(VLOOKUP($BK487,Programma!$F$3:$P$1101,11,0),"")</f>
        <v/>
      </c>
      <c r="BV487" s="448" t="str">
        <f>_xlfn.IFNA(VLOOKUP($BK487,Programma!$F$3:$Q$1101,12,0),"")</f>
        <v/>
      </c>
      <c r="BW487" s="448" t="str">
        <f>_xlfn.IFNA(VLOOKUP($BK487,Programma!$F$3:$R$1101,13,0),"")</f>
        <v/>
      </c>
      <c r="BX487" s="448" t="str">
        <f>_xlfn.IFNA(VLOOKUP($BK487,Programma!$F$3:$S$1101,14,0),"")</f>
        <v/>
      </c>
      <c r="BY487" s="448" t="str">
        <f>_xlfn.IFNA(VLOOKUP($BK487,Programma!$F$3:$T$1101,15,0),"")</f>
        <v/>
      </c>
      <c r="BZ487" s="448" t="str">
        <f>_xlfn.IFNA(VLOOKUP($BK487,Programma!$F$3:$U$1101,16,0),"")</f>
        <v/>
      </c>
      <c r="CA487" s="448" t="str">
        <f>_xlfn.IFNA(VLOOKUP($BK487,Programma!$F$3:$V$1101,17,0),"")</f>
        <v/>
      </c>
      <c r="CB487" s="448" t="str">
        <f>_xlfn.IFNA(VLOOKUP($BK487,Programma!$F$3:$W$1101,18,0),"")</f>
        <v/>
      </c>
      <c r="CC487" s="448" t="str">
        <f>_xlfn.IFNA(VLOOKUP($BK487,Programma!$F$3:$X$1101,19,0),"")</f>
        <v/>
      </c>
      <c r="CD487" s="448" t="str">
        <f>_xlfn.IFNA(VLOOKUP($BK487,Programma!$F$3:$Y$1101,20,0),"")</f>
        <v/>
      </c>
    </row>
    <row r="488" spans="1:82" ht="15" customHeight="1">
      <c r="A488" s="362">
        <v>18</v>
      </c>
      <c r="B488" s="435" t="str">
        <f>VLOOKUP(Ruimtestaat[[#This Row],[Code]],Locaties[[Code]:[Locatie]],2,FALSE)</f>
        <v>IKC De Triangel</v>
      </c>
      <c r="C488" s="435" t="str">
        <f>VLOOKUP(Ruimtestaat[[#This Row],[Code]],Locaties[[#All],[Code]:[Adres]],4,FALSE)</f>
        <v>Vlasakker 33-35</v>
      </c>
      <c r="D488" s="435" t="str">
        <f>VLOOKUP(Ruimtestaat[[#This Row],[Code]],Locaties[[#All],[Code]:[Postcode]],5,FALSE)</f>
        <v>2723 TP</v>
      </c>
      <c r="E488" s="435" t="str">
        <f>VLOOKUP(Ruimtestaat[[#This Row],[Code]],Locaties[#All],6,FALSE)</f>
        <v>Zoetermeer</v>
      </c>
      <c r="F488" s="450"/>
      <c r="G488" s="330" t="s">
        <v>1678</v>
      </c>
      <c r="H488" s="330">
        <v>34</v>
      </c>
      <c r="I488" s="450" t="s">
        <v>1878</v>
      </c>
      <c r="J488" s="330">
        <v>2</v>
      </c>
      <c r="K488" s="450" t="str">
        <f>VLOOKUP(Ruimtestaat[[#This Row],[Ruimte code]],Ruimtegroepen[[#All],[Code]:[Ruimte omschrijving]],2,FALSE)</f>
        <v>Kantoren</v>
      </c>
      <c r="L488" s="434" t="s">
        <v>100</v>
      </c>
      <c r="M488" s="437" t="s">
        <v>1759</v>
      </c>
      <c r="N488" s="439">
        <v>27.9</v>
      </c>
      <c r="O488" s="439"/>
      <c r="P488" s="439"/>
      <c r="Q488" s="439"/>
      <c r="R488" s="440" t="str">
        <f>VLOOKUP(Ruimtestaat[[#This Row],[Ruimte code]],Ruimtegroepen[],4,FALSE)</f>
        <v>Bu</v>
      </c>
      <c r="S488" s="434">
        <v>41</v>
      </c>
      <c r="T488" s="434" t="s">
        <v>2</v>
      </c>
      <c r="U488" s="453">
        <f>IF(S488&gt;0,IF(RIGHT(Ruimtestaat[[#This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88" s="434">
        <f>IF(U488&gt;0,VLOOKUP($J488,Ruimtegroepen[],3,FALSE)*VLOOKUP($L488,Vloersoorten[],3,FALSE)*VLOOKUP($T488,Frequenties[],3,FALSE)*VLOOKUP($A488,Locaties[],3,FALSE),0)</f>
        <v>0</v>
      </c>
      <c r="W488" s="434">
        <f>Ruimtestaat[[#This Row],[Uitvoeringen werkdagen]]*Ruimtestaat[[#This Row],[Oppervlak (netto)]]</f>
        <v>5719.5</v>
      </c>
      <c r="X488" s="441">
        <f>IF(V488&gt;0,Ruimtestaat[[#This Row],[Prest. (m2 /jaar) werkdagen]]/Ruimtestaat[[#This Row],[Norm (m2/uur) werkdagen]],0)</f>
        <v>0</v>
      </c>
      <c r="Y488" s="442">
        <f>Ruimtestaat[[#This Row],[Uitvoeringen werkdagen]]*Ruimtestaat[[#This Row],[Gedeeltelijk]]</f>
        <v>0</v>
      </c>
      <c r="Z488" s="443" t="e">
        <f>IF(U488&gt;0,Ruimtestaat[[#This Row],[Prest. (m2 / jaar) werkdagen gedeeld]]/Ruimtestaat[[#This Row],[Norm (m2/uur) werkdagen]],0)</f>
        <v>#DIV/0!</v>
      </c>
      <c r="AA488" s="441" t="e">
        <f>Ruimtestaat[[#This Row],[uren / jaar werkdagen gedeeld]]*Tariefsopbouw!$E$35</f>
        <v>#DIV/0!</v>
      </c>
      <c r="AB488" s="441">
        <f>Ruimtestaat[[#This Row],[Uitvoeringen werkdagen]]*Ruimtestaat[[#This Row],[BSO]]</f>
        <v>0</v>
      </c>
      <c r="AC488" s="443" t="e">
        <f>IF(U488&gt;0,Ruimtestaat[[#This Row],[Prest. (m2 / jaar) werkdagen BSO]]/Ruimtestaat[[#This Row],[Norm (m2/uur) werkdagen]],0)</f>
        <v>#DIV/0!</v>
      </c>
      <c r="AD488" s="443" t="e">
        <f>Ruimtestaat[[#This Row],[uren / jaar werkdagen BSO]]*Tariefsopbouw!$E$35</f>
        <v>#DIV/0!</v>
      </c>
      <c r="AE488" s="444">
        <f>Ruimtestaat[[#This Row],[uren / jaar werkdagen]]*Tariefsopbouw!$E$35</f>
        <v>0</v>
      </c>
      <c r="AF488" s="454"/>
      <c r="AG488" s="455">
        <f>IF(Ruimtestaat[[#This Row],[Frequentie weekend]]&gt;0,VALUE(LEFT(AF488,1))*S488,0)</f>
        <v>0</v>
      </c>
      <c r="AH488" s="455">
        <f>IF($AG488&gt;0,VLOOKUP($J488,Ruimtegroepen[],3,FALSE)*VLOOKUP($L488,Vloersoorten[],3,FALSE)*VLOOKUP($AF488,Frequenties[],3,FALSE)*VLOOKUP(#REF!,Locaties[],3,FALSE),0)</f>
        <v>0</v>
      </c>
      <c r="AI488" s="434">
        <f>Ruimtestaat[[#This Row],[Uitvoeringen weekend]]*Ruimtestaat[[#This Row],[Oppervlak (netto)]]</f>
        <v>0</v>
      </c>
      <c r="AJ488" s="434">
        <f>IF(AH488&gt;0,Ruimtestaat[[#This Row],[Prest. (m2 /jaar) weekend]]/Ruimtestaat[[#This Row],[Norm (m2/uur) weekend]],0)</f>
        <v>0</v>
      </c>
      <c r="AK488" s="444">
        <f>Ruimtestaat[[#This Row],[uren / jaar weekend]]*Tariefsopbouw!$D$40</f>
        <v>0</v>
      </c>
      <c r="AL488" s="441">
        <f>Ruimtestaat[[#This Row],[Prest. (m2 /jaar) weekend]]+Ruimtestaat[[#This Row],[Prest. (m2 /jaar) werkdagen]]</f>
        <v>5719.5</v>
      </c>
      <c r="AM488" s="441">
        <f>Ruimtestaat[[#This Row],[uren / jaar weekend]]+Ruimtestaat[[#This Row],[uren / jaar werkdagen]]</f>
        <v>0</v>
      </c>
      <c r="AN488" s="446">
        <f>Ruimtestaat[[#This Row],[kosten / jaar weekend]]+Ruimtestaat[[#This Row],[kosten / jaar werkdagen]]</f>
        <v>0</v>
      </c>
      <c r="AO488" s="446"/>
      <c r="AP488" s="446" t="str">
        <f>IF(Ruimtestaat[[#This Row],[Frequentie werkdagen]]="","",_xlfn.CONCAT(Ruimtestaat[[#This Row],[Ruimte code]],"-",Ruimtestaat[[#This Row],[Frequentie werkdagen]]," ",Ruimtestaat[[#This Row],[Vloer code]]))</f>
        <v>2-5w L</v>
      </c>
      <c r="AQ488" s="448" t="str">
        <f>_xlfn.IFNA(VLOOKUP($AP488,Programma!$F$3:$G$1101,2,0),"")</f>
        <v>_</v>
      </c>
      <c r="AR488" s="448" t="str">
        <f>_xlfn.IFNA(VLOOKUP($AP488,Programma!$F$3:$H$1101,3,0),"")</f>
        <v>_</v>
      </c>
      <c r="AS488" s="448" t="str">
        <f>_xlfn.IFNA(VLOOKUP($AP488,Programma!$F$3:$I$1101,4,0),"")</f>
        <v>4w</v>
      </c>
      <c r="AT488" s="448" t="str">
        <f>_xlfn.IFNA(VLOOKUP($AP488,Programma!$F$3:$J$1101,5,0),"")</f>
        <v>1w</v>
      </c>
      <c r="AU488" s="448" t="str">
        <f>_xlfn.IFNA(VLOOKUP($AP488,Programma!$F$3:$K$1101,6,0),"")</f>
        <v>_</v>
      </c>
      <c r="AV488" s="448" t="str">
        <f>_xlfn.IFNA(VLOOKUP($AP488,Programma!$F$3:$L$1101,7,0),"")</f>
        <v>_</v>
      </c>
      <c r="AW488" s="448" t="str">
        <f>_xlfn.IFNA(VLOOKUP($AP488,Programma!$F$3:$M$1101,8,0),"")</f>
        <v>_</v>
      </c>
      <c r="AX488" s="448" t="str">
        <f>_xlfn.IFNA(VLOOKUP($AP488,Programma!$F$3:$N$1101,9,0),"")</f>
        <v>_</v>
      </c>
      <c r="AY488" s="448" t="str">
        <f>_xlfn.IFNA(VLOOKUP($AP488,Programma!$F$3:$O$1101,10,0),"")</f>
        <v>5w</v>
      </c>
      <c r="AZ488" s="448" t="str">
        <f>_xlfn.IFNA(VLOOKUP($AP488,Programma!$F$3:$P$1101,11,0),"")</f>
        <v>5w</v>
      </c>
      <c r="BA488" s="448" t="str">
        <f>_xlfn.IFNA(VLOOKUP($AP488,Programma!$F$3:$Q$1101,12,0),"")</f>
        <v>1w</v>
      </c>
      <c r="BB488" s="448" t="str">
        <f>_xlfn.IFNA(VLOOKUP($AP488,Programma!$F$3:$R$1101,13,0),"")</f>
        <v>1w</v>
      </c>
      <c r="BC488" s="448" t="str">
        <f>_xlfn.IFNA(VLOOKUP($AP488,Programma!$F$3:$S$1101,14,0),"")</f>
        <v>1m</v>
      </c>
      <c r="BD488" s="448" t="str">
        <f>_xlfn.IFNA(VLOOKUP($AP488,Programma!$F$3:$T$1101,15,0),"")</f>
        <v>2j</v>
      </c>
      <c r="BE488" s="448" t="str">
        <f>_xlfn.IFNA(VLOOKUP($AP488,Programma!$F$3:$U$1101,16,0),"")</f>
        <v>1j</v>
      </c>
      <c r="BF488" s="448" t="str">
        <f>_xlfn.IFNA(VLOOKUP($AP488,Programma!$F$3:$V$1101,17,0),"")</f>
        <v>_</v>
      </c>
      <c r="BG488" s="448" t="str">
        <f>_xlfn.IFNA(VLOOKUP($AP488,Programma!$F$3:$W$1101,18,0),"")</f>
        <v>_</v>
      </c>
      <c r="BH488" s="448" t="str">
        <f>_xlfn.IFNA(VLOOKUP($AP488,Programma!$F$3:$X$1101,19,0),"")</f>
        <v>_</v>
      </c>
      <c r="BI488" s="448" t="str">
        <f>_xlfn.IFNA(VLOOKUP($AP488,Programma!$F$3:$Y$1101,20,0),"")</f>
        <v>_</v>
      </c>
      <c r="BJ488" s="449"/>
      <c r="BK488" s="446" t="str">
        <f>IF(Ruimtestaat[[#This Row],[Frequentie weekend]]="","",_xlfn.CONCAT(Ruimtestaat[[#This Row],[Ruimte code]],"-",Ruimtestaat[[#This Row],[Frequentie weekend]]," ",Ruimtestaat[[#This Row],[Vloer code]]))</f>
        <v/>
      </c>
      <c r="BL488" s="448" t="str">
        <f>_xlfn.IFNA(VLOOKUP($BK488,Programma!$F$3:$G$1101,2,0),"")</f>
        <v/>
      </c>
      <c r="BM488" s="448" t="str">
        <f>_xlfn.IFNA(VLOOKUP($BK488,Programma!$F$3:$H$1101,3,0),"")</f>
        <v/>
      </c>
      <c r="BN488" s="448" t="str">
        <f>_xlfn.IFNA(VLOOKUP($BK488,Programma!$F$3:$I$1101,4,0),"")</f>
        <v/>
      </c>
      <c r="BO488" s="448" t="str">
        <f>_xlfn.IFNA(VLOOKUP($BK488,Programma!$F$3:$J$1101,5,0),"")</f>
        <v/>
      </c>
      <c r="BP488" s="448" t="str">
        <f>_xlfn.IFNA(VLOOKUP($BK488,Programma!$F$3:$K$1101,6,0),"")</f>
        <v/>
      </c>
      <c r="BQ488" s="448" t="str">
        <f>_xlfn.IFNA(VLOOKUP($BK488,Programma!$F$3:$L$1101,7,0),"")</f>
        <v/>
      </c>
      <c r="BR488" s="448" t="str">
        <f>_xlfn.IFNA(VLOOKUP($BK488,Programma!$F$3:$M$1101,8,0),"")</f>
        <v/>
      </c>
      <c r="BS488" s="448" t="str">
        <f>_xlfn.IFNA(VLOOKUP($BK488,Programma!$F$3:$N$1101,9,0),"")</f>
        <v/>
      </c>
      <c r="BT488" s="448" t="str">
        <f>_xlfn.IFNA(VLOOKUP($BK488,Programma!$F$3:$O$1101,10,0),"")</f>
        <v/>
      </c>
      <c r="BU488" s="448" t="str">
        <f>_xlfn.IFNA(VLOOKUP($BK488,Programma!$F$3:$P$1101,11,0),"")</f>
        <v/>
      </c>
      <c r="BV488" s="448" t="str">
        <f>_xlfn.IFNA(VLOOKUP($BK488,Programma!$F$3:$Q$1101,12,0),"")</f>
        <v/>
      </c>
      <c r="BW488" s="448" t="str">
        <f>_xlfn.IFNA(VLOOKUP($BK488,Programma!$F$3:$R$1101,13,0),"")</f>
        <v/>
      </c>
      <c r="BX488" s="448" t="str">
        <f>_xlfn.IFNA(VLOOKUP($BK488,Programma!$F$3:$S$1101,14,0),"")</f>
        <v/>
      </c>
      <c r="BY488" s="448" t="str">
        <f>_xlfn.IFNA(VLOOKUP($BK488,Programma!$F$3:$T$1101,15,0),"")</f>
        <v/>
      </c>
      <c r="BZ488" s="448" t="str">
        <f>_xlfn.IFNA(VLOOKUP($BK488,Programma!$F$3:$U$1101,16,0),"")</f>
        <v/>
      </c>
      <c r="CA488" s="448" t="str">
        <f>_xlfn.IFNA(VLOOKUP($BK488,Programma!$F$3:$V$1101,17,0),"")</f>
        <v/>
      </c>
      <c r="CB488" s="448" t="str">
        <f>_xlfn.IFNA(VLOOKUP($BK488,Programma!$F$3:$W$1101,18,0),"")</f>
        <v/>
      </c>
      <c r="CC488" s="448" t="str">
        <f>_xlfn.IFNA(VLOOKUP($BK488,Programma!$F$3:$X$1101,19,0),"")</f>
        <v/>
      </c>
      <c r="CD488" s="448" t="str">
        <f>_xlfn.IFNA(VLOOKUP($BK488,Programma!$F$3:$Y$1101,20,0),"")</f>
        <v/>
      </c>
    </row>
    <row r="489" spans="1:82" ht="15" customHeight="1">
      <c r="A489" s="362">
        <v>18</v>
      </c>
      <c r="B489" s="435" t="str">
        <f>VLOOKUP(Ruimtestaat[[#This Row],[Code]],Locaties[[Code]:[Locatie]],2,FALSE)</f>
        <v>IKC De Triangel</v>
      </c>
      <c r="C489" s="435" t="str">
        <f>VLOOKUP(Ruimtestaat[[#This Row],[Code]],Locaties[[#All],[Code]:[Adres]],4,FALSE)</f>
        <v>Vlasakker 33-35</v>
      </c>
      <c r="D489" s="435" t="str">
        <f>VLOOKUP(Ruimtestaat[[#This Row],[Code]],Locaties[[#All],[Code]:[Postcode]],5,FALSE)</f>
        <v>2723 TP</v>
      </c>
      <c r="E489" s="435" t="str">
        <f>VLOOKUP(Ruimtestaat[[#This Row],[Code]],Locaties[#All],6,FALSE)</f>
        <v>Zoetermeer</v>
      </c>
      <c r="F489" s="450"/>
      <c r="G489" s="330" t="s">
        <v>1678</v>
      </c>
      <c r="H489" s="330">
        <v>36</v>
      </c>
      <c r="I489" s="450" t="s">
        <v>1880</v>
      </c>
      <c r="J489" s="330">
        <v>5</v>
      </c>
      <c r="K489" s="450" t="str">
        <f>VLOOKUP(Ruimtestaat[[#This Row],[Ruimte code]],Ruimtegroepen[[#All],[Code]:[Ruimte omschrijving]],2,FALSE)</f>
        <v>Sanitair</v>
      </c>
      <c r="L489" s="330" t="s">
        <v>101</v>
      </c>
      <c r="M489" s="437" t="s">
        <v>1947</v>
      </c>
      <c r="N489" s="439">
        <v>3.9</v>
      </c>
      <c r="O489" s="439"/>
      <c r="P489" s="439"/>
      <c r="Q489" s="439"/>
      <c r="R489" s="440" t="str">
        <f>VLOOKUP(Ruimtestaat[[#This Row],[Ruimte code]],Ruimtegroepen[],4,FALSE)</f>
        <v>Sa</v>
      </c>
      <c r="S489" s="434">
        <v>41</v>
      </c>
      <c r="T489" s="434" t="s">
        <v>2</v>
      </c>
      <c r="U489" s="453">
        <f>IF(S489&gt;0,IF(RIGHT(Ruimtestaat[[#This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89" s="434">
        <f>IF(U489&gt;0,VLOOKUP($J489,Ruimtegroepen[],3,FALSE)*VLOOKUP($L489,Vloersoorten[],3,FALSE)*VLOOKUP($T489,Frequenties[],3,FALSE)*VLOOKUP($A489,Locaties[],3,FALSE),0)</f>
        <v>0</v>
      </c>
      <c r="W489" s="434">
        <f>Ruimtestaat[[#This Row],[Uitvoeringen werkdagen]]*Ruimtestaat[[#This Row],[Oppervlak (netto)]]</f>
        <v>799.5</v>
      </c>
      <c r="X489" s="441">
        <f>IF(V489&gt;0,Ruimtestaat[[#This Row],[Prest. (m2 /jaar) werkdagen]]/Ruimtestaat[[#This Row],[Norm (m2/uur) werkdagen]],0)</f>
        <v>0</v>
      </c>
      <c r="Y489" s="442">
        <f>Ruimtestaat[[#This Row],[Uitvoeringen werkdagen]]*Ruimtestaat[[#This Row],[Gedeeltelijk]]</f>
        <v>0</v>
      </c>
      <c r="Z489" s="443" t="e">
        <f>IF(U489&gt;0,Ruimtestaat[[#This Row],[Prest. (m2 / jaar) werkdagen gedeeld]]/Ruimtestaat[[#This Row],[Norm (m2/uur) werkdagen]],0)</f>
        <v>#DIV/0!</v>
      </c>
      <c r="AA489" s="441" t="e">
        <f>Ruimtestaat[[#This Row],[uren / jaar werkdagen gedeeld]]*Tariefsopbouw!$E$35</f>
        <v>#DIV/0!</v>
      </c>
      <c r="AB489" s="441">
        <f>Ruimtestaat[[#This Row],[Uitvoeringen werkdagen]]*Ruimtestaat[[#This Row],[BSO]]</f>
        <v>0</v>
      </c>
      <c r="AC489" s="443" t="e">
        <f>IF(U489&gt;0,Ruimtestaat[[#This Row],[Prest. (m2 / jaar) werkdagen BSO]]/Ruimtestaat[[#This Row],[Norm (m2/uur) werkdagen]],0)</f>
        <v>#DIV/0!</v>
      </c>
      <c r="AD489" s="443" t="e">
        <f>Ruimtestaat[[#This Row],[uren / jaar werkdagen BSO]]*Tariefsopbouw!$E$35</f>
        <v>#DIV/0!</v>
      </c>
      <c r="AE489" s="444">
        <f>Ruimtestaat[[#This Row],[uren / jaar werkdagen]]*Tariefsopbouw!$E$35</f>
        <v>0</v>
      </c>
      <c r="AF489" s="454"/>
      <c r="AG489" s="455">
        <f>IF(Ruimtestaat[[#This Row],[Frequentie weekend]]&gt;0,VALUE(LEFT(AF489,1))*S489,0)</f>
        <v>0</v>
      </c>
      <c r="AH489" s="455">
        <f>IF($AG489&gt;0,VLOOKUP($J489,Ruimtegroepen[],3,FALSE)*VLOOKUP($L489,Vloersoorten[],3,FALSE)*VLOOKUP($AF489,Frequenties[],3,FALSE)*VLOOKUP(#REF!,Locaties[],3,FALSE),0)</f>
        <v>0</v>
      </c>
      <c r="AI489" s="434">
        <f>Ruimtestaat[[#This Row],[Uitvoeringen weekend]]*Ruimtestaat[[#This Row],[Oppervlak (netto)]]</f>
        <v>0</v>
      </c>
      <c r="AJ489" s="434">
        <f>IF(AH489&gt;0,Ruimtestaat[[#This Row],[Prest. (m2 /jaar) weekend]]/Ruimtestaat[[#This Row],[Norm (m2/uur) weekend]],0)</f>
        <v>0</v>
      </c>
      <c r="AK489" s="444">
        <f>Ruimtestaat[[#This Row],[uren / jaar weekend]]*Tariefsopbouw!$D$40</f>
        <v>0</v>
      </c>
      <c r="AL489" s="441">
        <f>Ruimtestaat[[#This Row],[Prest. (m2 /jaar) weekend]]+Ruimtestaat[[#This Row],[Prest. (m2 /jaar) werkdagen]]</f>
        <v>799.5</v>
      </c>
      <c r="AM489" s="441">
        <f>Ruimtestaat[[#This Row],[uren / jaar weekend]]+Ruimtestaat[[#This Row],[uren / jaar werkdagen]]</f>
        <v>0</v>
      </c>
      <c r="AN489" s="446">
        <f>Ruimtestaat[[#This Row],[kosten / jaar weekend]]+Ruimtestaat[[#This Row],[kosten / jaar werkdagen]]</f>
        <v>0</v>
      </c>
      <c r="AO489" s="446"/>
      <c r="AP489" s="446" t="str">
        <f>IF(Ruimtestaat[[#This Row],[Frequentie werkdagen]]="","",_xlfn.CONCAT(Ruimtestaat[[#This Row],[Ruimte code]],"-",Ruimtestaat[[#This Row],[Frequentie werkdagen]]," ",Ruimtestaat[[#This Row],[Vloer code]]))</f>
        <v>5-5w S</v>
      </c>
      <c r="AQ489" s="448" t="str">
        <f>_xlfn.IFNA(VLOOKUP($AP489,Programma!$F$3:$G$1101,2,0),"")</f>
        <v>_</v>
      </c>
      <c r="AR489" s="448" t="str">
        <f>_xlfn.IFNA(VLOOKUP($AP489,Programma!$F$3:$H$1101,3,0),"")</f>
        <v>_</v>
      </c>
      <c r="AS489" s="448" t="str">
        <f>_xlfn.IFNA(VLOOKUP($AP489,Programma!$F$3:$I$1101,4,0),"")</f>
        <v>_</v>
      </c>
      <c r="AT489" s="448" t="str">
        <f>_xlfn.IFNA(VLOOKUP($AP489,Programma!$F$3:$J$1101,5,0),"")</f>
        <v>4w</v>
      </c>
      <c r="AU489" s="448" t="str">
        <f>_xlfn.IFNA(VLOOKUP($AP489,Programma!$F$3:$K$1101,6,0),"")</f>
        <v>1w</v>
      </c>
      <c r="AV489" s="448" t="str">
        <f>_xlfn.IFNA(VLOOKUP($AP489,Programma!$F$3:$L$1101,7,0),"")</f>
        <v>_</v>
      </c>
      <c r="AW489" s="448" t="str">
        <f>_xlfn.IFNA(VLOOKUP($AP489,Programma!$F$3:$M$1101,8,0),"")</f>
        <v>_</v>
      </c>
      <c r="AX489" s="448" t="str">
        <f>_xlfn.IFNA(VLOOKUP($AP489,Programma!$F$3:$N$1101,9,0),"")</f>
        <v>_</v>
      </c>
      <c r="AY489" s="448" t="str">
        <f>_xlfn.IFNA(VLOOKUP($AP489,Programma!$F$3:$O$1101,10,0),"")</f>
        <v>_</v>
      </c>
      <c r="AZ489" s="448" t="str">
        <f>_xlfn.IFNA(VLOOKUP($AP489,Programma!$F$3:$P$1101,11,0),"")</f>
        <v>_</v>
      </c>
      <c r="BA489" s="448" t="str">
        <f>_xlfn.IFNA(VLOOKUP($AP489,Programma!$F$3:$Q$1101,12,0),"")</f>
        <v>_</v>
      </c>
      <c r="BB489" s="448" t="str">
        <f>_xlfn.IFNA(VLOOKUP($AP489,Programma!$F$3:$R$1101,13,0),"")</f>
        <v>_</v>
      </c>
      <c r="BC489" s="448" t="str">
        <f>_xlfn.IFNA(VLOOKUP($AP489,Programma!$F$3:$S$1101,14,0),"")</f>
        <v>_</v>
      </c>
      <c r="BD489" s="448" t="str">
        <f>_xlfn.IFNA(VLOOKUP($AP489,Programma!$F$3:$T$1101,15,0),"")</f>
        <v>_</v>
      </c>
      <c r="BE489" s="448" t="str">
        <f>_xlfn.IFNA(VLOOKUP($AP489,Programma!$F$3:$U$1101,16,0),"")</f>
        <v>_</v>
      </c>
      <c r="BF489" s="448" t="str">
        <f>_xlfn.IFNA(VLOOKUP($AP489,Programma!$F$3:$V$1101,17,0),"")</f>
        <v>_</v>
      </c>
      <c r="BG489" s="448" t="str">
        <f>_xlfn.IFNA(VLOOKUP($AP489,Programma!$F$3:$W$1101,18,0),"")</f>
        <v>4w</v>
      </c>
      <c r="BH489" s="448" t="str">
        <f>_xlfn.IFNA(VLOOKUP($AP489,Programma!$F$3:$X$1101,19,0),"")</f>
        <v>1w</v>
      </c>
      <c r="BI489" s="448" t="str">
        <f>_xlfn.IFNA(VLOOKUP($AP489,Programma!$F$3:$Y$1101,20,0),"")</f>
        <v>_</v>
      </c>
      <c r="BJ489" s="449"/>
      <c r="BK489" s="446" t="str">
        <f>IF(Ruimtestaat[[#This Row],[Frequentie weekend]]="","",_xlfn.CONCAT(Ruimtestaat[[#This Row],[Ruimte code]],"-",Ruimtestaat[[#This Row],[Frequentie weekend]]," ",Ruimtestaat[[#This Row],[Vloer code]]))</f>
        <v/>
      </c>
      <c r="BL489" s="448" t="str">
        <f>_xlfn.IFNA(VLOOKUP($BK489,Programma!$F$3:$G$1101,2,0),"")</f>
        <v/>
      </c>
      <c r="BM489" s="448" t="str">
        <f>_xlfn.IFNA(VLOOKUP($BK489,Programma!$F$3:$H$1101,3,0),"")</f>
        <v/>
      </c>
      <c r="BN489" s="448" t="str">
        <f>_xlfn.IFNA(VLOOKUP($BK489,Programma!$F$3:$I$1101,4,0),"")</f>
        <v/>
      </c>
      <c r="BO489" s="448" t="str">
        <f>_xlfn.IFNA(VLOOKUP($BK489,Programma!$F$3:$J$1101,5,0),"")</f>
        <v/>
      </c>
      <c r="BP489" s="448" t="str">
        <f>_xlfn.IFNA(VLOOKUP($BK489,Programma!$F$3:$K$1101,6,0),"")</f>
        <v/>
      </c>
      <c r="BQ489" s="448" t="str">
        <f>_xlfn.IFNA(VLOOKUP($BK489,Programma!$F$3:$L$1101,7,0),"")</f>
        <v/>
      </c>
      <c r="BR489" s="448" t="str">
        <f>_xlfn.IFNA(VLOOKUP($BK489,Programma!$F$3:$M$1101,8,0),"")</f>
        <v/>
      </c>
      <c r="BS489" s="448" t="str">
        <f>_xlfn.IFNA(VLOOKUP($BK489,Programma!$F$3:$N$1101,9,0),"")</f>
        <v/>
      </c>
      <c r="BT489" s="448" t="str">
        <f>_xlfn.IFNA(VLOOKUP($BK489,Programma!$F$3:$O$1101,10,0),"")</f>
        <v/>
      </c>
      <c r="BU489" s="448" t="str">
        <f>_xlfn.IFNA(VLOOKUP($BK489,Programma!$F$3:$P$1101,11,0),"")</f>
        <v/>
      </c>
      <c r="BV489" s="448" t="str">
        <f>_xlfn.IFNA(VLOOKUP($BK489,Programma!$F$3:$Q$1101,12,0),"")</f>
        <v/>
      </c>
      <c r="BW489" s="448" t="str">
        <f>_xlfn.IFNA(VLOOKUP($BK489,Programma!$F$3:$R$1101,13,0),"")</f>
        <v/>
      </c>
      <c r="BX489" s="448" t="str">
        <f>_xlfn.IFNA(VLOOKUP($BK489,Programma!$F$3:$S$1101,14,0),"")</f>
        <v/>
      </c>
      <c r="BY489" s="448" t="str">
        <f>_xlfn.IFNA(VLOOKUP($BK489,Programma!$F$3:$T$1101,15,0),"")</f>
        <v/>
      </c>
      <c r="BZ489" s="448" t="str">
        <f>_xlfn.IFNA(VLOOKUP($BK489,Programma!$F$3:$U$1101,16,0),"")</f>
        <v/>
      </c>
      <c r="CA489" s="448" t="str">
        <f>_xlfn.IFNA(VLOOKUP($BK489,Programma!$F$3:$V$1101,17,0),"")</f>
        <v/>
      </c>
      <c r="CB489" s="448" t="str">
        <f>_xlfn.IFNA(VLOOKUP($BK489,Programma!$F$3:$W$1101,18,0),"")</f>
        <v/>
      </c>
      <c r="CC489" s="448" t="str">
        <f>_xlfn.IFNA(VLOOKUP($BK489,Programma!$F$3:$X$1101,19,0),"")</f>
        <v/>
      </c>
      <c r="CD489" s="448" t="str">
        <f>_xlfn.IFNA(VLOOKUP($BK489,Programma!$F$3:$Y$1101,20,0),"")</f>
        <v/>
      </c>
    </row>
    <row r="490" spans="1:82" ht="15" customHeight="1">
      <c r="A490" s="362">
        <v>18</v>
      </c>
      <c r="B490" s="435" t="str">
        <f>VLOOKUP(Ruimtestaat[[#This Row],[Code]],Locaties[[Code]:[Locatie]],2,FALSE)</f>
        <v>IKC De Triangel</v>
      </c>
      <c r="C490" s="435" t="str">
        <f>VLOOKUP(Ruimtestaat[[#This Row],[Code]],Locaties[[#All],[Code]:[Adres]],4,FALSE)</f>
        <v>Vlasakker 33-35</v>
      </c>
      <c r="D490" s="435" t="str">
        <f>VLOOKUP(Ruimtestaat[[#This Row],[Code]],Locaties[[#All],[Code]:[Postcode]],5,FALSE)</f>
        <v>2723 TP</v>
      </c>
      <c r="E490" s="435" t="str">
        <f>VLOOKUP(Ruimtestaat[[#This Row],[Code]],Locaties[#All],6,FALSE)</f>
        <v>Zoetermeer</v>
      </c>
      <c r="F490" s="450"/>
      <c r="G490" s="330" t="s">
        <v>1678</v>
      </c>
      <c r="H490" s="330">
        <v>37</v>
      </c>
      <c r="I490" s="450" t="s">
        <v>1724</v>
      </c>
      <c r="J490" s="330">
        <v>20</v>
      </c>
      <c r="K490" s="450" t="str">
        <f>VLOOKUP(Ruimtestaat[[#This Row],[Ruimte code]],Ruimtegroepen[[#All],[Code]:[Ruimte omschrijving]],2,FALSE)</f>
        <v>Niet in Onderhoud</v>
      </c>
      <c r="M490" s="330"/>
      <c r="N490" s="439"/>
      <c r="O490" s="439">
        <v>10</v>
      </c>
      <c r="P490" s="439"/>
      <c r="Q490" s="439"/>
      <c r="R490" s="440">
        <f>VLOOKUP(Ruimtestaat[[#This Row],[Ruimte code]],Ruimtegroepen[],4,FALSE)</f>
        <v>0</v>
      </c>
      <c r="S490" s="434"/>
      <c r="T490" s="434"/>
      <c r="U490" s="453">
        <f>IF(S490&gt;0,IF(RIGHT(Ruimtestaat[[#This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90" s="434">
        <f>IF(U490&gt;0,VLOOKUP($J490,Ruimtegroepen[],3,FALSE)*VLOOKUP($L490,Vloersoorten[],3,FALSE)*VLOOKUP($T490,Frequenties[],3,FALSE)*VLOOKUP($A490,Locaties[],3,FALSE),0)</f>
        <v>0</v>
      </c>
      <c r="W490" s="434">
        <f>Ruimtestaat[[#This Row],[Uitvoeringen werkdagen]]*Ruimtestaat[[#This Row],[Oppervlak (netto)]]</f>
        <v>0</v>
      </c>
      <c r="X490" s="441">
        <f>IF(V490&gt;0,Ruimtestaat[[#This Row],[Prest. (m2 /jaar) werkdagen]]/Ruimtestaat[[#This Row],[Norm (m2/uur) werkdagen]],0)</f>
        <v>0</v>
      </c>
      <c r="Y490" s="442">
        <f>Ruimtestaat[[#This Row],[Uitvoeringen werkdagen]]*Ruimtestaat[[#This Row],[Gedeeltelijk]]</f>
        <v>0</v>
      </c>
      <c r="Z490" s="443">
        <f>IF(U490&gt;0,Ruimtestaat[[#This Row],[Prest. (m2 / jaar) werkdagen gedeeld]]/Ruimtestaat[[#This Row],[Norm (m2/uur) werkdagen]],0)</f>
        <v>0</v>
      </c>
      <c r="AA490" s="441">
        <f>Ruimtestaat[[#This Row],[uren / jaar werkdagen gedeeld]]*Tariefsopbouw!$E$35</f>
        <v>0</v>
      </c>
      <c r="AB490" s="441">
        <f>Ruimtestaat[[#This Row],[Uitvoeringen werkdagen]]*Ruimtestaat[[#This Row],[BSO]]</f>
        <v>0</v>
      </c>
      <c r="AC490" s="443">
        <f>IF(U490&gt;0,Ruimtestaat[[#This Row],[Prest. (m2 / jaar) werkdagen BSO]]/Ruimtestaat[[#This Row],[Norm (m2/uur) werkdagen]],0)</f>
        <v>0</v>
      </c>
      <c r="AD490" s="443">
        <f>Ruimtestaat[[#This Row],[uren / jaar werkdagen BSO]]*Tariefsopbouw!$E$35</f>
        <v>0</v>
      </c>
      <c r="AE490" s="444">
        <f>Ruimtestaat[[#This Row],[uren / jaar werkdagen]]*Tariefsopbouw!$E$35</f>
        <v>0</v>
      </c>
      <c r="AF490" s="454"/>
      <c r="AG490" s="455">
        <f>IF(Ruimtestaat[[#This Row],[Frequentie weekend]]&gt;0,VALUE(LEFT(AF490,1))*S490,0)</f>
        <v>0</v>
      </c>
      <c r="AH490" s="455">
        <f>IF($AG490&gt;0,VLOOKUP($J490,Ruimtegroepen[],3,FALSE)*VLOOKUP($L490,Vloersoorten[],3,FALSE)*VLOOKUP($AF490,Frequenties[],3,FALSE)*VLOOKUP(#REF!,Locaties[],3,FALSE),0)</f>
        <v>0</v>
      </c>
      <c r="AI490" s="434">
        <f>Ruimtestaat[[#This Row],[Uitvoeringen weekend]]*Ruimtestaat[[#This Row],[Oppervlak (netto)]]</f>
        <v>0</v>
      </c>
      <c r="AJ490" s="434">
        <f>IF(AH490&gt;0,Ruimtestaat[[#This Row],[Prest. (m2 /jaar) weekend]]/Ruimtestaat[[#This Row],[Norm (m2/uur) weekend]],0)</f>
        <v>0</v>
      </c>
      <c r="AK490" s="444">
        <f>Ruimtestaat[[#This Row],[uren / jaar weekend]]*Tariefsopbouw!$D$40</f>
        <v>0</v>
      </c>
      <c r="AL490" s="441">
        <f>Ruimtestaat[[#This Row],[Prest. (m2 /jaar) weekend]]+Ruimtestaat[[#This Row],[Prest. (m2 /jaar) werkdagen]]</f>
        <v>0</v>
      </c>
      <c r="AM490" s="441">
        <f>Ruimtestaat[[#This Row],[uren / jaar weekend]]+Ruimtestaat[[#This Row],[uren / jaar werkdagen]]</f>
        <v>0</v>
      </c>
      <c r="AN490" s="446">
        <f>Ruimtestaat[[#This Row],[kosten / jaar weekend]]+Ruimtestaat[[#This Row],[kosten / jaar werkdagen]]</f>
        <v>0</v>
      </c>
      <c r="AO490" s="446"/>
      <c r="AP490" s="446" t="str">
        <f>IF(Ruimtestaat[[#This Row],[Frequentie werkdagen]]="","",_xlfn.CONCAT(Ruimtestaat[[#This Row],[Ruimte code]],"-",Ruimtestaat[[#This Row],[Frequentie werkdagen]]," ",Ruimtestaat[[#This Row],[Vloer code]]))</f>
        <v/>
      </c>
      <c r="AQ490" s="448" t="str">
        <f>_xlfn.IFNA(VLOOKUP($AP490,Programma!$F$3:$G$1101,2,0),"")</f>
        <v/>
      </c>
      <c r="AR490" s="448" t="str">
        <f>_xlfn.IFNA(VLOOKUP($AP490,Programma!$F$3:$H$1101,3,0),"")</f>
        <v/>
      </c>
      <c r="AS490" s="448" t="str">
        <f>_xlfn.IFNA(VLOOKUP($AP490,Programma!$F$3:$I$1101,4,0),"")</f>
        <v/>
      </c>
      <c r="AT490" s="448" t="str">
        <f>_xlfn.IFNA(VLOOKUP($AP490,Programma!$F$3:$J$1101,5,0),"")</f>
        <v/>
      </c>
      <c r="AU490" s="448" t="str">
        <f>_xlfn.IFNA(VLOOKUP($AP490,Programma!$F$3:$K$1101,6,0),"")</f>
        <v/>
      </c>
      <c r="AV490" s="448" t="str">
        <f>_xlfn.IFNA(VLOOKUP($AP490,Programma!$F$3:$L$1101,7,0),"")</f>
        <v/>
      </c>
      <c r="AW490" s="448" t="str">
        <f>_xlfn.IFNA(VLOOKUP($AP490,Programma!$F$3:$M$1101,8,0),"")</f>
        <v/>
      </c>
      <c r="AX490" s="448" t="str">
        <f>_xlfn.IFNA(VLOOKUP($AP490,Programma!$F$3:$N$1101,9,0),"")</f>
        <v/>
      </c>
      <c r="AY490" s="448" t="str">
        <f>_xlfn.IFNA(VLOOKUP($AP490,Programma!$F$3:$O$1101,10,0),"")</f>
        <v/>
      </c>
      <c r="AZ490" s="448" t="str">
        <f>_xlfn.IFNA(VLOOKUP($AP490,Programma!$F$3:$P$1101,11,0),"")</f>
        <v/>
      </c>
      <c r="BA490" s="448" t="str">
        <f>_xlfn.IFNA(VLOOKUP($AP490,Programma!$F$3:$Q$1101,12,0),"")</f>
        <v/>
      </c>
      <c r="BB490" s="448" t="str">
        <f>_xlfn.IFNA(VLOOKUP($AP490,Programma!$F$3:$R$1101,13,0),"")</f>
        <v/>
      </c>
      <c r="BC490" s="448" t="str">
        <f>_xlfn.IFNA(VLOOKUP($AP490,Programma!$F$3:$S$1101,14,0),"")</f>
        <v/>
      </c>
      <c r="BD490" s="448" t="str">
        <f>_xlfn.IFNA(VLOOKUP($AP490,Programma!$F$3:$T$1101,15,0),"")</f>
        <v/>
      </c>
      <c r="BE490" s="448" t="str">
        <f>_xlfn.IFNA(VLOOKUP($AP490,Programma!$F$3:$U$1101,16,0),"")</f>
        <v/>
      </c>
      <c r="BF490" s="448" t="str">
        <f>_xlfn.IFNA(VLOOKUP($AP490,Programma!$F$3:$V$1101,17,0),"")</f>
        <v/>
      </c>
      <c r="BG490" s="448" t="str">
        <f>_xlfn.IFNA(VLOOKUP($AP490,Programma!$F$3:$W$1101,18,0),"")</f>
        <v/>
      </c>
      <c r="BH490" s="448" t="str">
        <f>_xlfn.IFNA(VLOOKUP($AP490,Programma!$F$3:$X$1101,19,0),"")</f>
        <v/>
      </c>
      <c r="BI490" s="448" t="str">
        <f>_xlfn.IFNA(VLOOKUP($AP490,Programma!$F$3:$Y$1101,20,0),"")</f>
        <v/>
      </c>
      <c r="BJ490" s="449"/>
      <c r="BK490" s="446" t="str">
        <f>IF(Ruimtestaat[[#This Row],[Frequentie weekend]]="","",_xlfn.CONCAT(Ruimtestaat[[#This Row],[Ruimte code]],"-",Ruimtestaat[[#This Row],[Frequentie weekend]]," ",Ruimtestaat[[#This Row],[Vloer code]]))</f>
        <v/>
      </c>
      <c r="BL490" s="448" t="str">
        <f>_xlfn.IFNA(VLOOKUP($BK490,Programma!$F$3:$G$1101,2,0),"")</f>
        <v/>
      </c>
      <c r="BM490" s="448" t="str">
        <f>_xlfn.IFNA(VLOOKUP($BK490,Programma!$F$3:$H$1101,3,0),"")</f>
        <v/>
      </c>
      <c r="BN490" s="448" t="str">
        <f>_xlfn.IFNA(VLOOKUP($BK490,Programma!$F$3:$I$1101,4,0),"")</f>
        <v/>
      </c>
      <c r="BO490" s="448" t="str">
        <f>_xlfn.IFNA(VLOOKUP($BK490,Programma!$F$3:$J$1101,5,0),"")</f>
        <v/>
      </c>
      <c r="BP490" s="448" t="str">
        <f>_xlfn.IFNA(VLOOKUP($BK490,Programma!$F$3:$K$1101,6,0),"")</f>
        <v/>
      </c>
      <c r="BQ490" s="448" t="str">
        <f>_xlfn.IFNA(VLOOKUP($BK490,Programma!$F$3:$L$1101,7,0),"")</f>
        <v/>
      </c>
      <c r="BR490" s="448" t="str">
        <f>_xlfn.IFNA(VLOOKUP($BK490,Programma!$F$3:$M$1101,8,0),"")</f>
        <v/>
      </c>
      <c r="BS490" s="448" t="str">
        <f>_xlfn.IFNA(VLOOKUP($BK490,Programma!$F$3:$N$1101,9,0),"")</f>
        <v/>
      </c>
      <c r="BT490" s="448" t="str">
        <f>_xlfn.IFNA(VLOOKUP($BK490,Programma!$F$3:$O$1101,10,0),"")</f>
        <v/>
      </c>
      <c r="BU490" s="448" t="str">
        <f>_xlfn.IFNA(VLOOKUP($BK490,Programma!$F$3:$P$1101,11,0),"")</f>
        <v/>
      </c>
      <c r="BV490" s="448" t="str">
        <f>_xlfn.IFNA(VLOOKUP($BK490,Programma!$F$3:$Q$1101,12,0),"")</f>
        <v/>
      </c>
      <c r="BW490" s="448" t="str">
        <f>_xlfn.IFNA(VLOOKUP($BK490,Programma!$F$3:$R$1101,13,0),"")</f>
        <v/>
      </c>
      <c r="BX490" s="448" t="str">
        <f>_xlfn.IFNA(VLOOKUP($BK490,Programma!$F$3:$S$1101,14,0),"")</f>
        <v/>
      </c>
      <c r="BY490" s="448" t="str">
        <f>_xlfn.IFNA(VLOOKUP($BK490,Programma!$F$3:$T$1101,15,0),"")</f>
        <v/>
      </c>
      <c r="BZ490" s="448" t="str">
        <f>_xlfn.IFNA(VLOOKUP($BK490,Programma!$F$3:$U$1101,16,0),"")</f>
        <v/>
      </c>
      <c r="CA490" s="448" t="str">
        <f>_xlfn.IFNA(VLOOKUP($BK490,Programma!$F$3:$V$1101,17,0),"")</f>
        <v/>
      </c>
      <c r="CB490" s="448" t="str">
        <f>_xlfn.IFNA(VLOOKUP($BK490,Programma!$F$3:$W$1101,18,0),"")</f>
        <v/>
      </c>
      <c r="CC490" s="448" t="str">
        <f>_xlfn.IFNA(VLOOKUP($BK490,Programma!$F$3:$X$1101,19,0),"")</f>
        <v/>
      </c>
      <c r="CD490" s="448" t="str">
        <f>_xlfn.IFNA(VLOOKUP($BK490,Programma!$F$3:$Y$1101,20,0),"")</f>
        <v/>
      </c>
    </row>
    <row r="491" spans="1:82" ht="15" customHeight="1">
      <c r="A491" s="362">
        <v>18</v>
      </c>
      <c r="B491" s="435" t="str">
        <f>VLOOKUP(Ruimtestaat[[#This Row],[Code]],Locaties[[Code]:[Locatie]],2,FALSE)</f>
        <v>IKC De Triangel</v>
      </c>
      <c r="C491" s="435" t="str">
        <f>VLOOKUP(Ruimtestaat[[#This Row],[Code]],Locaties[[#All],[Code]:[Adres]],4,FALSE)</f>
        <v>Vlasakker 33-35</v>
      </c>
      <c r="D491" s="435" t="str">
        <f>VLOOKUP(Ruimtestaat[[#This Row],[Code]],Locaties[[#All],[Code]:[Postcode]],5,FALSE)</f>
        <v>2723 TP</v>
      </c>
      <c r="E491" s="435" t="str">
        <f>VLOOKUP(Ruimtestaat[[#This Row],[Code]],Locaties[#All],6,FALSE)</f>
        <v>Zoetermeer</v>
      </c>
      <c r="F491" s="450"/>
      <c r="G491" s="330" t="s">
        <v>1678</v>
      </c>
      <c r="H491" s="330">
        <v>38</v>
      </c>
      <c r="I491" s="450" t="s">
        <v>1852</v>
      </c>
      <c r="J491" s="330">
        <v>20</v>
      </c>
      <c r="K491" s="450" t="str">
        <f>VLOOKUP(Ruimtestaat[[#This Row],[Ruimte code]],Ruimtegroepen[[#All],[Code]:[Ruimte omschrijving]],2,FALSE)</f>
        <v>Niet in Onderhoud</v>
      </c>
      <c r="M491" s="330"/>
      <c r="N491" s="439"/>
      <c r="O491" s="439">
        <v>0</v>
      </c>
      <c r="P491" s="439"/>
      <c r="Q491" s="439"/>
      <c r="R491" s="440">
        <f>VLOOKUP(Ruimtestaat[[#This Row],[Ruimte code]],Ruimtegroepen[],4,FALSE)</f>
        <v>0</v>
      </c>
      <c r="S491" s="434"/>
      <c r="T491" s="434"/>
      <c r="U491" s="453">
        <f>IF(S491&gt;0,IF(RIGHT(Ruimtestaat[[#This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91" s="434">
        <f>IF(U491&gt;0,VLOOKUP($J491,Ruimtegroepen[],3,FALSE)*VLOOKUP($L491,Vloersoorten[],3,FALSE)*VLOOKUP($T491,Frequenties[],3,FALSE)*VLOOKUP($A491,Locaties[],3,FALSE),0)</f>
        <v>0</v>
      </c>
      <c r="W491" s="434">
        <f>Ruimtestaat[[#This Row],[Uitvoeringen werkdagen]]*Ruimtestaat[[#This Row],[Oppervlak (netto)]]</f>
        <v>0</v>
      </c>
      <c r="X491" s="441">
        <f>IF(V491&gt;0,Ruimtestaat[[#This Row],[Prest. (m2 /jaar) werkdagen]]/Ruimtestaat[[#This Row],[Norm (m2/uur) werkdagen]],0)</f>
        <v>0</v>
      </c>
      <c r="Y491" s="442">
        <f>Ruimtestaat[[#This Row],[Uitvoeringen werkdagen]]*Ruimtestaat[[#This Row],[Gedeeltelijk]]</f>
        <v>0</v>
      </c>
      <c r="Z491" s="443">
        <f>IF(U491&gt;0,Ruimtestaat[[#This Row],[Prest. (m2 / jaar) werkdagen gedeeld]]/Ruimtestaat[[#This Row],[Norm (m2/uur) werkdagen]],0)</f>
        <v>0</v>
      </c>
      <c r="AA491" s="441">
        <f>Ruimtestaat[[#This Row],[uren / jaar werkdagen gedeeld]]*Tariefsopbouw!$E$35</f>
        <v>0</v>
      </c>
      <c r="AB491" s="441">
        <f>Ruimtestaat[[#This Row],[Uitvoeringen werkdagen]]*Ruimtestaat[[#This Row],[BSO]]</f>
        <v>0</v>
      </c>
      <c r="AC491" s="443">
        <f>IF(U491&gt;0,Ruimtestaat[[#This Row],[Prest. (m2 / jaar) werkdagen BSO]]/Ruimtestaat[[#This Row],[Norm (m2/uur) werkdagen]],0)</f>
        <v>0</v>
      </c>
      <c r="AD491" s="443">
        <f>Ruimtestaat[[#This Row],[uren / jaar werkdagen BSO]]*Tariefsopbouw!$E$35</f>
        <v>0</v>
      </c>
      <c r="AE491" s="444">
        <f>Ruimtestaat[[#This Row],[uren / jaar werkdagen]]*Tariefsopbouw!$E$35</f>
        <v>0</v>
      </c>
      <c r="AF491" s="454"/>
      <c r="AG491" s="455">
        <f>IF(Ruimtestaat[[#This Row],[Frequentie weekend]]&gt;0,VALUE(LEFT(AF491,1))*S491,0)</f>
        <v>0</v>
      </c>
      <c r="AH491" s="455">
        <f>IF($AG491&gt;0,VLOOKUP($J491,Ruimtegroepen[],3,FALSE)*VLOOKUP($L491,Vloersoorten[],3,FALSE)*VLOOKUP($AF491,Frequenties[],3,FALSE)*VLOOKUP(#REF!,Locaties[],3,FALSE),0)</f>
        <v>0</v>
      </c>
      <c r="AI491" s="434">
        <f>Ruimtestaat[[#This Row],[Uitvoeringen weekend]]*Ruimtestaat[[#This Row],[Oppervlak (netto)]]</f>
        <v>0</v>
      </c>
      <c r="AJ491" s="434">
        <f>IF(AH491&gt;0,Ruimtestaat[[#This Row],[Prest. (m2 /jaar) weekend]]/Ruimtestaat[[#This Row],[Norm (m2/uur) weekend]],0)</f>
        <v>0</v>
      </c>
      <c r="AK491" s="444">
        <f>Ruimtestaat[[#This Row],[uren / jaar weekend]]*Tariefsopbouw!$D$40</f>
        <v>0</v>
      </c>
      <c r="AL491" s="441">
        <f>Ruimtestaat[[#This Row],[Prest. (m2 /jaar) weekend]]+Ruimtestaat[[#This Row],[Prest. (m2 /jaar) werkdagen]]</f>
        <v>0</v>
      </c>
      <c r="AM491" s="441">
        <f>Ruimtestaat[[#This Row],[uren / jaar weekend]]+Ruimtestaat[[#This Row],[uren / jaar werkdagen]]</f>
        <v>0</v>
      </c>
      <c r="AN491" s="446">
        <f>Ruimtestaat[[#This Row],[kosten / jaar weekend]]+Ruimtestaat[[#This Row],[kosten / jaar werkdagen]]</f>
        <v>0</v>
      </c>
      <c r="AO491" s="446"/>
      <c r="AP491" s="446" t="str">
        <f>IF(Ruimtestaat[[#This Row],[Frequentie werkdagen]]="","",_xlfn.CONCAT(Ruimtestaat[[#This Row],[Ruimte code]],"-",Ruimtestaat[[#This Row],[Frequentie werkdagen]]," ",Ruimtestaat[[#This Row],[Vloer code]]))</f>
        <v/>
      </c>
      <c r="AQ491" s="448" t="str">
        <f>_xlfn.IFNA(VLOOKUP($AP491,Programma!$F$3:$G$1101,2,0),"")</f>
        <v/>
      </c>
      <c r="AR491" s="448" t="str">
        <f>_xlfn.IFNA(VLOOKUP($AP491,Programma!$F$3:$H$1101,3,0),"")</f>
        <v/>
      </c>
      <c r="AS491" s="448" t="str">
        <f>_xlfn.IFNA(VLOOKUP($AP491,Programma!$F$3:$I$1101,4,0),"")</f>
        <v/>
      </c>
      <c r="AT491" s="448" t="str">
        <f>_xlfn.IFNA(VLOOKUP($AP491,Programma!$F$3:$J$1101,5,0),"")</f>
        <v/>
      </c>
      <c r="AU491" s="448" t="str">
        <f>_xlfn.IFNA(VLOOKUP($AP491,Programma!$F$3:$K$1101,6,0),"")</f>
        <v/>
      </c>
      <c r="AV491" s="448" t="str">
        <f>_xlfn.IFNA(VLOOKUP($AP491,Programma!$F$3:$L$1101,7,0),"")</f>
        <v/>
      </c>
      <c r="AW491" s="448" t="str">
        <f>_xlfn.IFNA(VLOOKUP($AP491,Programma!$F$3:$M$1101,8,0),"")</f>
        <v/>
      </c>
      <c r="AX491" s="448" t="str">
        <f>_xlfn.IFNA(VLOOKUP($AP491,Programma!$F$3:$N$1101,9,0),"")</f>
        <v/>
      </c>
      <c r="AY491" s="448" t="str">
        <f>_xlfn.IFNA(VLOOKUP($AP491,Programma!$F$3:$O$1101,10,0),"")</f>
        <v/>
      </c>
      <c r="AZ491" s="448" t="str">
        <f>_xlfn.IFNA(VLOOKUP($AP491,Programma!$F$3:$P$1101,11,0),"")</f>
        <v/>
      </c>
      <c r="BA491" s="448" t="str">
        <f>_xlfn.IFNA(VLOOKUP($AP491,Programma!$F$3:$Q$1101,12,0),"")</f>
        <v/>
      </c>
      <c r="BB491" s="448" t="str">
        <f>_xlfn.IFNA(VLOOKUP($AP491,Programma!$F$3:$R$1101,13,0),"")</f>
        <v/>
      </c>
      <c r="BC491" s="448" t="str">
        <f>_xlfn.IFNA(VLOOKUP($AP491,Programma!$F$3:$S$1101,14,0),"")</f>
        <v/>
      </c>
      <c r="BD491" s="448" t="str">
        <f>_xlfn.IFNA(VLOOKUP($AP491,Programma!$F$3:$T$1101,15,0),"")</f>
        <v/>
      </c>
      <c r="BE491" s="448" t="str">
        <f>_xlfn.IFNA(VLOOKUP($AP491,Programma!$F$3:$U$1101,16,0),"")</f>
        <v/>
      </c>
      <c r="BF491" s="448" t="str">
        <f>_xlfn.IFNA(VLOOKUP($AP491,Programma!$F$3:$V$1101,17,0),"")</f>
        <v/>
      </c>
      <c r="BG491" s="448" t="str">
        <f>_xlfn.IFNA(VLOOKUP($AP491,Programma!$F$3:$W$1101,18,0),"")</f>
        <v/>
      </c>
      <c r="BH491" s="448" t="str">
        <f>_xlfn.IFNA(VLOOKUP($AP491,Programma!$F$3:$X$1101,19,0),"")</f>
        <v/>
      </c>
      <c r="BI491" s="448" t="str">
        <f>_xlfn.IFNA(VLOOKUP($AP491,Programma!$F$3:$Y$1101,20,0),"")</f>
        <v/>
      </c>
      <c r="BJ491" s="449"/>
      <c r="BK491" s="446" t="str">
        <f>IF(Ruimtestaat[[#This Row],[Frequentie weekend]]="","",_xlfn.CONCAT(Ruimtestaat[[#This Row],[Ruimte code]],"-",Ruimtestaat[[#This Row],[Frequentie weekend]]," ",Ruimtestaat[[#This Row],[Vloer code]]))</f>
        <v/>
      </c>
      <c r="BL491" s="448" t="str">
        <f>_xlfn.IFNA(VLOOKUP($BK491,Programma!$F$3:$G$1101,2,0),"")</f>
        <v/>
      </c>
      <c r="BM491" s="448" t="str">
        <f>_xlfn.IFNA(VLOOKUP($BK491,Programma!$F$3:$H$1101,3,0),"")</f>
        <v/>
      </c>
      <c r="BN491" s="448" t="str">
        <f>_xlfn.IFNA(VLOOKUP($BK491,Programma!$F$3:$I$1101,4,0),"")</f>
        <v/>
      </c>
      <c r="BO491" s="448" t="str">
        <f>_xlfn.IFNA(VLOOKUP($BK491,Programma!$F$3:$J$1101,5,0),"")</f>
        <v/>
      </c>
      <c r="BP491" s="448" t="str">
        <f>_xlfn.IFNA(VLOOKUP($BK491,Programma!$F$3:$K$1101,6,0),"")</f>
        <v/>
      </c>
      <c r="BQ491" s="448" t="str">
        <f>_xlfn.IFNA(VLOOKUP($BK491,Programma!$F$3:$L$1101,7,0),"")</f>
        <v/>
      </c>
      <c r="BR491" s="448" t="str">
        <f>_xlfn.IFNA(VLOOKUP($BK491,Programma!$F$3:$M$1101,8,0),"")</f>
        <v/>
      </c>
      <c r="BS491" s="448" t="str">
        <f>_xlfn.IFNA(VLOOKUP($BK491,Programma!$F$3:$N$1101,9,0),"")</f>
        <v/>
      </c>
      <c r="BT491" s="448" t="str">
        <f>_xlfn.IFNA(VLOOKUP($BK491,Programma!$F$3:$O$1101,10,0),"")</f>
        <v/>
      </c>
      <c r="BU491" s="448" t="str">
        <f>_xlfn.IFNA(VLOOKUP($BK491,Programma!$F$3:$P$1101,11,0),"")</f>
        <v/>
      </c>
      <c r="BV491" s="448" t="str">
        <f>_xlfn.IFNA(VLOOKUP($BK491,Programma!$F$3:$Q$1101,12,0),"")</f>
        <v/>
      </c>
      <c r="BW491" s="448" t="str">
        <f>_xlfn.IFNA(VLOOKUP($BK491,Programma!$F$3:$R$1101,13,0),"")</f>
        <v/>
      </c>
      <c r="BX491" s="448" t="str">
        <f>_xlfn.IFNA(VLOOKUP($BK491,Programma!$F$3:$S$1101,14,0),"")</f>
        <v/>
      </c>
      <c r="BY491" s="448" t="str">
        <f>_xlfn.IFNA(VLOOKUP($BK491,Programma!$F$3:$T$1101,15,0),"")</f>
        <v/>
      </c>
      <c r="BZ491" s="448" t="str">
        <f>_xlfn.IFNA(VLOOKUP($BK491,Programma!$F$3:$U$1101,16,0),"")</f>
        <v/>
      </c>
      <c r="CA491" s="448" t="str">
        <f>_xlfn.IFNA(VLOOKUP($BK491,Programma!$F$3:$V$1101,17,0),"")</f>
        <v/>
      </c>
      <c r="CB491" s="448" t="str">
        <f>_xlfn.IFNA(VLOOKUP($BK491,Programma!$F$3:$W$1101,18,0),"")</f>
        <v/>
      </c>
      <c r="CC491" s="448" t="str">
        <f>_xlfn.IFNA(VLOOKUP($BK491,Programma!$F$3:$X$1101,19,0),"")</f>
        <v/>
      </c>
      <c r="CD491" s="448" t="str">
        <f>_xlfn.IFNA(VLOOKUP($BK491,Programma!$F$3:$Y$1101,20,0),"")</f>
        <v/>
      </c>
    </row>
    <row r="492" spans="1:82" ht="15" customHeight="1">
      <c r="A492" s="362">
        <v>18</v>
      </c>
      <c r="B492" s="435" t="str">
        <f>VLOOKUP(Ruimtestaat[[#This Row],[Code]],Locaties[[Code]:[Locatie]],2,FALSE)</f>
        <v>IKC De Triangel</v>
      </c>
      <c r="C492" s="435" t="str">
        <f>VLOOKUP(Ruimtestaat[[#This Row],[Code]],Locaties[[#All],[Code]:[Adres]],4,FALSE)</f>
        <v>Vlasakker 33-35</v>
      </c>
      <c r="D492" s="435" t="str">
        <f>VLOOKUP(Ruimtestaat[[#This Row],[Code]],Locaties[[#All],[Code]:[Postcode]],5,FALSE)</f>
        <v>2723 TP</v>
      </c>
      <c r="E492" s="435" t="str">
        <f>VLOOKUP(Ruimtestaat[[#This Row],[Code]],Locaties[#All],6,FALSE)</f>
        <v>Zoetermeer</v>
      </c>
      <c r="F492" s="450"/>
      <c r="G492" s="330" t="s">
        <v>1678</v>
      </c>
      <c r="H492" s="330">
        <v>39</v>
      </c>
      <c r="I492" s="450" t="s">
        <v>1724</v>
      </c>
      <c r="J492" s="330">
        <v>20</v>
      </c>
      <c r="K492" s="450" t="str">
        <f>VLOOKUP(Ruimtestaat[[#This Row],[Ruimte code]],Ruimtegroepen[[#All],[Code]:[Ruimte omschrijving]],2,FALSE)</f>
        <v>Niet in Onderhoud</v>
      </c>
      <c r="M492" s="330"/>
      <c r="N492" s="439"/>
      <c r="O492" s="439">
        <v>0</v>
      </c>
      <c r="P492" s="439"/>
      <c r="Q492" s="439"/>
      <c r="R492" s="440">
        <f>VLOOKUP(Ruimtestaat[[#This Row],[Ruimte code]],Ruimtegroepen[],4,FALSE)</f>
        <v>0</v>
      </c>
      <c r="S492" s="434"/>
      <c r="T492" s="434"/>
      <c r="U492" s="453">
        <f>IF(S492&gt;0,IF(RIGHT(Ruimtestaat[[#This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92" s="434">
        <f>IF(U492&gt;0,VLOOKUP($J492,Ruimtegroepen[],3,FALSE)*VLOOKUP($L492,Vloersoorten[],3,FALSE)*VLOOKUP($T492,Frequenties[],3,FALSE)*VLOOKUP($A492,Locaties[],3,FALSE),0)</f>
        <v>0</v>
      </c>
      <c r="W492" s="434">
        <f>Ruimtestaat[[#This Row],[Uitvoeringen werkdagen]]*Ruimtestaat[[#This Row],[Oppervlak (netto)]]</f>
        <v>0</v>
      </c>
      <c r="X492" s="441">
        <f>IF(V492&gt;0,Ruimtestaat[[#This Row],[Prest. (m2 /jaar) werkdagen]]/Ruimtestaat[[#This Row],[Norm (m2/uur) werkdagen]],0)</f>
        <v>0</v>
      </c>
      <c r="Y492" s="442">
        <f>Ruimtestaat[[#This Row],[Uitvoeringen werkdagen]]*Ruimtestaat[[#This Row],[Gedeeltelijk]]</f>
        <v>0</v>
      </c>
      <c r="Z492" s="443">
        <f>IF(U492&gt;0,Ruimtestaat[[#This Row],[Prest. (m2 / jaar) werkdagen gedeeld]]/Ruimtestaat[[#This Row],[Norm (m2/uur) werkdagen]],0)</f>
        <v>0</v>
      </c>
      <c r="AA492" s="441">
        <f>Ruimtestaat[[#This Row],[uren / jaar werkdagen gedeeld]]*Tariefsopbouw!$E$35</f>
        <v>0</v>
      </c>
      <c r="AB492" s="441">
        <f>Ruimtestaat[[#This Row],[Uitvoeringen werkdagen]]*Ruimtestaat[[#This Row],[BSO]]</f>
        <v>0</v>
      </c>
      <c r="AC492" s="443">
        <f>IF(U492&gt;0,Ruimtestaat[[#This Row],[Prest. (m2 / jaar) werkdagen BSO]]/Ruimtestaat[[#This Row],[Norm (m2/uur) werkdagen]],0)</f>
        <v>0</v>
      </c>
      <c r="AD492" s="443">
        <f>Ruimtestaat[[#This Row],[uren / jaar werkdagen BSO]]*Tariefsopbouw!$E$35</f>
        <v>0</v>
      </c>
      <c r="AE492" s="444">
        <f>Ruimtestaat[[#This Row],[uren / jaar werkdagen]]*Tariefsopbouw!$E$35</f>
        <v>0</v>
      </c>
      <c r="AF492" s="454"/>
      <c r="AG492" s="455">
        <f>IF(Ruimtestaat[[#This Row],[Frequentie weekend]]&gt;0,VALUE(LEFT(AF492,1))*S492,0)</f>
        <v>0</v>
      </c>
      <c r="AH492" s="455">
        <f>IF($AG492&gt;0,VLOOKUP($J492,Ruimtegroepen[],3,FALSE)*VLOOKUP($L492,Vloersoorten[],3,FALSE)*VLOOKUP($AF492,Frequenties[],3,FALSE)*VLOOKUP(#REF!,Locaties[],3,FALSE),0)</f>
        <v>0</v>
      </c>
      <c r="AI492" s="434">
        <f>Ruimtestaat[[#This Row],[Uitvoeringen weekend]]*Ruimtestaat[[#This Row],[Oppervlak (netto)]]</f>
        <v>0</v>
      </c>
      <c r="AJ492" s="434">
        <f>IF(AH492&gt;0,Ruimtestaat[[#This Row],[Prest. (m2 /jaar) weekend]]/Ruimtestaat[[#This Row],[Norm (m2/uur) weekend]],0)</f>
        <v>0</v>
      </c>
      <c r="AK492" s="444">
        <f>Ruimtestaat[[#This Row],[uren / jaar weekend]]*Tariefsopbouw!$D$40</f>
        <v>0</v>
      </c>
      <c r="AL492" s="441">
        <f>Ruimtestaat[[#This Row],[Prest. (m2 /jaar) weekend]]+Ruimtestaat[[#This Row],[Prest. (m2 /jaar) werkdagen]]</f>
        <v>0</v>
      </c>
      <c r="AM492" s="441">
        <f>Ruimtestaat[[#This Row],[uren / jaar weekend]]+Ruimtestaat[[#This Row],[uren / jaar werkdagen]]</f>
        <v>0</v>
      </c>
      <c r="AN492" s="446">
        <f>Ruimtestaat[[#This Row],[kosten / jaar weekend]]+Ruimtestaat[[#This Row],[kosten / jaar werkdagen]]</f>
        <v>0</v>
      </c>
      <c r="AO492" s="446"/>
      <c r="AP492" s="446" t="str">
        <f>IF(Ruimtestaat[[#This Row],[Frequentie werkdagen]]="","",_xlfn.CONCAT(Ruimtestaat[[#This Row],[Ruimte code]],"-",Ruimtestaat[[#This Row],[Frequentie werkdagen]]," ",Ruimtestaat[[#This Row],[Vloer code]]))</f>
        <v/>
      </c>
      <c r="AQ492" s="448" t="str">
        <f>_xlfn.IFNA(VLOOKUP($AP492,Programma!$F$3:$G$1101,2,0),"")</f>
        <v/>
      </c>
      <c r="AR492" s="448" t="str">
        <f>_xlfn.IFNA(VLOOKUP($AP492,Programma!$F$3:$H$1101,3,0),"")</f>
        <v/>
      </c>
      <c r="AS492" s="448" t="str">
        <f>_xlfn.IFNA(VLOOKUP($AP492,Programma!$F$3:$I$1101,4,0),"")</f>
        <v/>
      </c>
      <c r="AT492" s="448" t="str">
        <f>_xlfn.IFNA(VLOOKUP($AP492,Programma!$F$3:$J$1101,5,0),"")</f>
        <v/>
      </c>
      <c r="AU492" s="448" t="str">
        <f>_xlfn.IFNA(VLOOKUP($AP492,Programma!$F$3:$K$1101,6,0),"")</f>
        <v/>
      </c>
      <c r="AV492" s="448" t="str">
        <f>_xlfn.IFNA(VLOOKUP($AP492,Programma!$F$3:$L$1101,7,0),"")</f>
        <v/>
      </c>
      <c r="AW492" s="448" t="str">
        <f>_xlfn.IFNA(VLOOKUP($AP492,Programma!$F$3:$M$1101,8,0),"")</f>
        <v/>
      </c>
      <c r="AX492" s="448" t="str">
        <f>_xlfn.IFNA(VLOOKUP($AP492,Programma!$F$3:$N$1101,9,0),"")</f>
        <v/>
      </c>
      <c r="AY492" s="448" t="str">
        <f>_xlfn.IFNA(VLOOKUP($AP492,Programma!$F$3:$O$1101,10,0),"")</f>
        <v/>
      </c>
      <c r="AZ492" s="448" t="str">
        <f>_xlfn.IFNA(VLOOKUP($AP492,Programma!$F$3:$P$1101,11,0),"")</f>
        <v/>
      </c>
      <c r="BA492" s="448" t="str">
        <f>_xlfn.IFNA(VLOOKUP($AP492,Programma!$F$3:$Q$1101,12,0),"")</f>
        <v/>
      </c>
      <c r="BB492" s="448" t="str">
        <f>_xlfn.IFNA(VLOOKUP($AP492,Programma!$F$3:$R$1101,13,0),"")</f>
        <v/>
      </c>
      <c r="BC492" s="448" t="str">
        <f>_xlfn.IFNA(VLOOKUP($AP492,Programma!$F$3:$S$1101,14,0),"")</f>
        <v/>
      </c>
      <c r="BD492" s="448" t="str">
        <f>_xlfn.IFNA(VLOOKUP($AP492,Programma!$F$3:$T$1101,15,0),"")</f>
        <v/>
      </c>
      <c r="BE492" s="448" t="str">
        <f>_xlfn.IFNA(VLOOKUP($AP492,Programma!$F$3:$U$1101,16,0),"")</f>
        <v/>
      </c>
      <c r="BF492" s="448" t="str">
        <f>_xlfn.IFNA(VLOOKUP($AP492,Programma!$F$3:$V$1101,17,0),"")</f>
        <v/>
      </c>
      <c r="BG492" s="448" t="str">
        <f>_xlfn.IFNA(VLOOKUP($AP492,Programma!$F$3:$W$1101,18,0),"")</f>
        <v/>
      </c>
      <c r="BH492" s="448" t="str">
        <f>_xlfn.IFNA(VLOOKUP($AP492,Programma!$F$3:$X$1101,19,0),"")</f>
        <v/>
      </c>
      <c r="BI492" s="448" t="str">
        <f>_xlfn.IFNA(VLOOKUP($AP492,Programma!$F$3:$Y$1101,20,0),"")</f>
        <v/>
      </c>
      <c r="BJ492" s="449"/>
      <c r="BK492" s="446" t="str">
        <f>IF(Ruimtestaat[[#This Row],[Frequentie weekend]]="","",_xlfn.CONCAT(Ruimtestaat[[#This Row],[Ruimte code]],"-",Ruimtestaat[[#This Row],[Frequentie weekend]]," ",Ruimtestaat[[#This Row],[Vloer code]]))</f>
        <v/>
      </c>
      <c r="BL492" s="448" t="str">
        <f>_xlfn.IFNA(VLOOKUP($BK492,Programma!$F$3:$G$1101,2,0),"")</f>
        <v/>
      </c>
      <c r="BM492" s="448" t="str">
        <f>_xlfn.IFNA(VLOOKUP($BK492,Programma!$F$3:$H$1101,3,0),"")</f>
        <v/>
      </c>
      <c r="BN492" s="448" t="str">
        <f>_xlfn.IFNA(VLOOKUP($BK492,Programma!$F$3:$I$1101,4,0),"")</f>
        <v/>
      </c>
      <c r="BO492" s="448" t="str">
        <f>_xlfn.IFNA(VLOOKUP($BK492,Programma!$F$3:$J$1101,5,0),"")</f>
        <v/>
      </c>
      <c r="BP492" s="448" t="str">
        <f>_xlfn.IFNA(VLOOKUP($BK492,Programma!$F$3:$K$1101,6,0),"")</f>
        <v/>
      </c>
      <c r="BQ492" s="448" t="str">
        <f>_xlfn.IFNA(VLOOKUP($BK492,Programma!$F$3:$L$1101,7,0),"")</f>
        <v/>
      </c>
      <c r="BR492" s="448" t="str">
        <f>_xlfn.IFNA(VLOOKUP($BK492,Programma!$F$3:$M$1101,8,0),"")</f>
        <v/>
      </c>
      <c r="BS492" s="448" t="str">
        <f>_xlfn.IFNA(VLOOKUP($BK492,Programma!$F$3:$N$1101,9,0),"")</f>
        <v/>
      </c>
      <c r="BT492" s="448" t="str">
        <f>_xlfn.IFNA(VLOOKUP($BK492,Programma!$F$3:$O$1101,10,0),"")</f>
        <v/>
      </c>
      <c r="BU492" s="448" t="str">
        <f>_xlfn.IFNA(VLOOKUP($BK492,Programma!$F$3:$P$1101,11,0),"")</f>
        <v/>
      </c>
      <c r="BV492" s="448" t="str">
        <f>_xlfn.IFNA(VLOOKUP($BK492,Programma!$F$3:$Q$1101,12,0),"")</f>
        <v/>
      </c>
      <c r="BW492" s="448" t="str">
        <f>_xlfn.IFNA(VLOOKUP($BK492,Programma!$F$3:$R$1101,13,0),"")</f>
        <v/>
      </c>
      <c r="BX492" s="448" t="str">
        <f>_xlfn.IFNA(VLOOKUP($BK492,Programma!$F$3:$S$1101,14,0),"")</f>
        <v/>
      </c>
      <c r="BY492" s="448" t="str">
        <f>_xlfn.IFNA(VLOOKUP($BK492,Programma!$F$3:$T$1101,15,0),"")</f>
        <v/>
      </c>
      <c r="BZ492" s="448" t="str">
        <f>_xlfn.IFNA(VLOOKUP($BK492,Programma!$F$3:$U$1101,16,0),"")</f>
        <v/>
      </c>
      <c r="CA492" s="448" t="str">
        <f>_xlfn.IFNA(VLOOKUP($BK492,Programma!$F$3:$V$1101,17,0),"")</f>
        <v/>
      </c>
      <c r="CB492" s="448" t="str">
        <f>_xlfn.IFNA(VLOOKUP($BK492,Programma!$F$3:$W$1101,18,0),"")</f>
        <v/>
      </c>
      <c r="CC492" s="448" t="str">
        <f>_xlfn.IFNA(VLOOKUP($BK492,Programma!$F$3:$X$1101,19,0),"")</f>
        <v/>
      </c>
      <c r="CD492" s="448" t="str">
        <f>_xlfn.IFNA(VLOOKUP($BK492,Programma!$F$3:$Y$1101,20,0),"")</f>
        <v/>
      </c>
    </row>
    <row r="493" spans="1:82" ht="15" customHeight="1">
      <c r="A493" s="362">
        <v>18</v>
      </c>
      <c r="B493" s="435" t="str">
        <f>VLOOKUP(Ruimtestaat[[#This Row],[Code]],Locaties[[Code]:[Locatie]],2,FALSE)</f>
        <v>IKC De Triangel</v>
      </c>
      <c r="C493" s="435" t="str">
        <f>VLOOKUP(Ruimtestaat[[#This Row],[Code]],Locaties[[#All],[Code]:[Adres]],4,FALSE)</f>
        <v>Vlasakker 33-35</v>
      </c>
      <c r="D493" s="435" t="str">
        <f>VLOOKUP(Ruimtestaat[[#This Row],[Code]],Locaties[[#All],[Code]:[Postcode]],5,FALSE)</f>
        <v>2723 TP</v>
      </c>
      <c r="E493" s="435" t="str">
        <f>VLOOKUP(Ruimtestaat[[#This Row],[Code]],Locaties[#All],6,FALSE)</f>
        <v>Zoetermeer</v>
      </c>
      <c r="F493" s="450"/>
      <c r="G493" s="330" t="s">
        <v>1678</v>
      </c>
      <c r="H493" s="330">
        <v>40</v>
      </c>
      <c r="I493" s="450" t="s">
        <v>1876</v>
      </c>
      <c r="J493" s="330">
        <v>6</v>
      </c>
      <c r="K493" s="450" t="str">
        <f>VLOOKUP(Ruimtestaat[[#This Row],[Ruimte code]],Ruimtegroepen[[#All],[Code]:[Ruimte omschrijving]],2,FALSE)</f>
        <v>Gangen/hallen</v>
      </c>
      <c r="L493" s="434" t="s">
        <v>100</v>
      </c>
      <c r="M493" s="437" t="s">
        <v>1759</v>
      </c>
      <c r="N493" s="439">
        <v>7.4</v>
      </c>
      <c r="O493" s="439"/>
      <c r="P493" s="439"/>
      <c r="Q493" s="439"/>
      <c r="R493" s="440" t="str">
        <f>VLOOKUP(Ruimtestaat[[#This Row],[Ruimte code]],Ruimtegroepen[],4,FALSE)</f>
        <v>Ve</v>
      </c>
      <c r="S493" s="434">
        <v>41</v>
      </c>
      <c r="T493" s="434" t="s">
        <v>2</v>
      </c>
      <c r="U493" s="453">
        <f>IF(S493&gt;0,IF(RIGHT(Ruimtestaat[[#This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93" s="434">
        <f>IF(U493&gt;0,VLOOKUP($J493,Ruimtegroepen[],3,FALSE)*VLOOKUP($L493,Vloersoorten[],3,FALSE)*VLOOKUP($T493,Frequenties[],3,FALSE)*VLOOKUP($A493,Locaties[],3,FALSE),0)</f>
        <v>0</v>
      </c>
      <c r="W493" s="434">
        <f>Ruimtestaat[[#This Row],[Uitvoeringen werkdagen]]*Ruimtestaat[[#This Row],[Oppervlak (netto)]]</f>
        <v>1517</v>
      </c>
      <c r="X493" s="441">
        <f>IF(V493&gt;0,Ruimtestaat[[#This Row],[Prest. (m2 /jaar) werkdagen]]/Ruimtestaat[[#This Row],[Norm (m2/uur) werkdagen]],0)</f>
        <v>0</v>
      </c>
      <c r="Y493" s="442">
        <f>Ruimtestaat[[#This Row],[Uitvoeringen werkdagen]]*Ruimtestaat[[#This Row],[Gedeeltelijk]]</f>
        <v>0</v>
      </c>
      <c r="Z493" s="443" t="e">
        <f>IF(U493&gt;0,Ruimtestaat[[#This Row],[Prest. (m2 / jaar) werkdagen gedeeld]]/Ruimtestaat[[#This Row],[Norm (m2/uur) werkdagen]],0)</f>
        <v>#DIV/0!</v>
      </c>
      <c r="AA493" s="441" t="e">
        <f>Ruimtestaat[[#This Row],[uren / jaar werkdagen gedeeld]]*Tariefsopbouw!$E$35</f>
        <v>#DIV/0!</v>
      </c>
      <c r="AB493" s="441">
        <f>Ruimtestaat[[#This Row],[Uitvoeringen werkdagen]]*Ruimtestaat[[#This Row],[BSO]]</f>
        <v>0</v>
      </c>
      <c r="AC493" s="443" t="e">
        <f>IF(U493&gt;0,Ruimtestaat[[#This Row],[Prest. (m2 / jaar) werkdagen BSO]]/Ruimtestaat[[#This Row],[Norm (m2/uur) werkdagen]],0)</f>
        <v>#DIV/0!</v>
      </c>
      <c r="AD493" s="443" t="e">
        <f>Ruimtestaat[[#This Row],[uren / jaar werkdagen BSO]]*Tariefsopbouw!$E$35</f>
        <v>#DIV/0!</v>
      </c>
      <c r="AE493" s="444">
        <f>Ruimtestaat[[#This Row],[uren / jaar werkdagen]]*Tariefsopbouw!$E$35</f>
        <v>0</v>
      </c>
      <c r="AF493" s="454"/>
      <c r="AG493" s="455">
        <f>IF(Ruimtestaat[[#This Row],[Frequentie weekend]]&gt;0,VALUE(LEFT(AF493,1))*S493,0)</f>
        <v>0</v>
      </c>
      <c r="AH493" s="455">
        <f>IF($AG493&gt;0,VLOOKUP($J493,Ruimtegroepen[],3,FALSE)*VLOOKUP($L493,Vloersoorten[],3,FALSE)*VLOOKUP($AF493,Frequenties[],3,FALSE)*VLOOKUP(#REF!,Locaties[],3,FALSE),0)</f>
        <v>0</v>
      </c>
      <c r="AI493" s="434">
        <f>Ruimtestaat[[#This Row],[Uitvoeringen weekend]]*Ruimtestaat[[#This Row],[Oppervlak (netto)]]</f>
        <v>0</v>
      </c>
      <c r="AJ493" s="434">
        <f>IF(AH493&gt;0,Ruimtestaat[[#This Row],[Prest. (m2 /jaar) weekend]]/Ruimtestaat[[#This Row],[Norm (m2/uur) weekend]],0)</f>
        <v>0</v>
      </c>
      <c r="AK493" s="444">
        <f>Ruimtestaat[[#This Row],[uren / jaar weekend]]*Tariefsopbouw!$D$40</f>
        <v>0</v>
      </c>
      <c r="AL493" s="441">
        <f>Ruimtestaat[[#This Row],[Prest. (m2 /jaar) weekend]]+Ruimtestaat[[#This Row],[Prest. (m2 /jaar) werkdagen]]</f>
        <v>1517</v>
      </c>
      <c r="AM493" s="441">
        <f>Ruimtestaat[[#This Row],[uren / jaar weekend]]+Ruimtestaat[[#This Row],[uren / jaar werkdagen]]</f>
        <v>0</v>
      </c>
      <c r="AN493" s="446">
        <f>Ruimtestaat[[#This Row],[kosten / jaar weekend]]+Ruimtestaat[[#This Row],[kosten / jaar werkdagen]]</f>
        <v>0</v>
      </c>
      <c r="AO493" s="446"/>
      <c r="AP493" s="446" t="str">
        <f>IF(Ruimtestaat[[#This Row],[Frequentie werkdagen]]="","",_xlfn.CONCAT(Ruimtestaat[[#This Row],[Ruimte code]],"-",Ruimtestaat[[#This Row],[Frequentie werkdagen]]," ",Ruimtestaat[[#This Row],[Vloer code]]))</f>
        <v>6-5w L</v>
      </c>
      <c r="AQ493" s="448" t="str">
        <f>_xlfn.IFNA(VLOOKUP($AP493,Programma!$F$3:$G$1101,2,0),"")</f>
        <v>_</v>
      </c>
      <c r="AR493" s="448" t="str">
        <f>_xlfn.IFNA(VLOOKUP($AP493,Programma!$F$3:$H$1101,3,0),"")</f>
        <v>_</v>
      </c>
      <c r="AS493" s="448" t="str">
        <f>_xlfn.IFNA(VLOOKUP($AP493,Programma!$F$3:$I$1101,4,0),"")</f>
        <v>_</v>
      </c>
      <c r="AT493" s="448" t="str">
        <f>_xlfn.IFNA(VLOOKUP($AP493,Programma!$F$3:$J$1101,5,0),"")</f>
        <v>5w</v>
      </c>
      <c r="AU493" s="448" t="str">
        <f>_xlfn.IFNA(VLOOKUP($AP493,Programma!$F$3:$K$1101,6,0),"")</f>
        <v>_</v>
      </c>
      <c r="AV493" s="448" t="str">
        <f>_xlfn.IFNA(VLOOKUP($AP493,Programma!$F$3:$L$1101,7,0),"")</f>
        <v>_</v>
      </c>
      <c r="AW493" s="448" t="str">
        <f>_xlfn.IFNA(VLOOKUP($AP493,Programma!$F$3:$M$1101,8,0),"")</f>
        <v>_</v>
      </c>
      <c r="AX493" s="448" t="str">
        <f>_xlfn.IFNA(VLOOKUP($AP493,Programma!$F$3:$N$1101,9,0),"")</f>
        <v>_</v>
      </c>
      <c r="AY493" s="448" t="str">
        <f>_xlfn.IFNA(VLOOKUP($AP493,Programma!$F$3:$O$1101,10,0),"")</f>
        <v>5w</v>
      </c>
      <c r="AZ493" s="448" t="str">
        <f>_xlfn.IFNA(VLOOKUP($AP493,Programma!$F$3:$P$1101,11,0),"")</f>
        <v>5w</v>
      </c>
      <c r="BA493" s="448" t="str">
        <f>_xlfn.IFNA(VLOOKUP($AP493,Programma!$F$3:$Q$1101,12,0),"")</f>
        <v>1w</v>
      </c>
      <c r="BB493" s="448" t="str">
        <f>_xlfn.IFNA(VLOOKUP($AP493,Programma!$F$3:$R$1101,13,0),"")</f>
        <v>1w</v>
      </c>
      <c r="BC493" s="448" t="str">
        <f>_xlfn.IFNA(VLOOKUP($AP493,Programma!$F$3:$S$1101,14,0),"")</f>
        <v>1m</v>
      </c>
      <c r="BD493" s="448" t="str">
        <f>_xlfn.IFNA(VLOOKUP($AP493,Programma!$F$3:$T$1101,15,0),"")</f>
        <v>2j</v>
      </c>
      <c r="BE493" s="448" t="str">
        <f>_xlfn.IFNA(VLOOKUP($AP493,Programma!$F$3:$U$1101,16,0),"")</f>
        <v>1j</v>
      </c>
      <c r="BF493" s="448" t="str">
        <f>_xlfn.IFNA(VLOOKUP($AP493,Programma!$F$3:$V$1101,17,0),"")</f>
        <v>_</v>
      </c>
      <c r="BG493" s="448" t="str">
        <f>_xlfn.IFNA(VLOOKUP($AP493,Programma!$F$3:$W$1101,18,0),"")</f>
        <v>_</v>
      </c>
      <c r="BH493" s="448" t="str">
        <f>_xlfn.IFNA(VLOOKUP($AP493,Programma!$F$3:$X$1101,19,0),"")</f>
        <v>_</v>
      </c>
      <c r="BI493" s="448" t="str">
        <f>_xlfn.IFNA(VLOOKUP($AP493,Programma!$F$3:$Y$1101,20,0),"")</f>
        <v>_</v>
      </c>
      <c r="BJ493" s="449"/>
      <c r="BK493" s="446" t="str">
        <f>IF(Ruimtestaat[[#This Row],[Frequentie weekend]]="","",_xlfn.CONCAT(Ruimtestaat[[#This Row],[Ruimte code]],"-",Ruimtestaat[[#This Row],[Frequentie weekend]]," ",Ruimtestaat[[#This Row],[Vloer code]]))</f>
        <v/>
      </c>
      <c r="BL493" s="448" t="str">
        <f>_xlfn.IFNA(VLOOKUP($BK493,Programma!$F$3:$G$1101,2,0),"")</f>
        <v/>
      </c>
      <c r="BM493" s="448" t="str">
        <f>_xlfn.IFNA(VLOOKUP($BK493,Programma!$F$3:$H$1101,3,0),"")</f>
        <v/>
      </c>
      <c r="BN493" s="448" t="str">
        <f>_xlfn.IFNA(VLOOKUP($BK493,Programma!$F$3:$I$1101,4,0),"")</f>
        <v/>
      </c>
      <c r="BO493" s="448" t="str">
        <f>_xlfn.IFNA(VLOOKUP($BK493,Programma!$F$3:$J$1101,5,0),"")</f>
        <v/>
      </c>
      <c r="BP493" s="448" t="str">
        <f>_xlfn.IFNA(VLOOKUP($BK493,Programma!$F$3:$K$1101,6,0),"")</f>
        <v/>
      </c>
      <c r="BQ493" s="448" t="str">
        <f>_xlfn.IFNA(VLOOKUP($BK493,Programma!$F$3:$L$1101,7,0),"")</f>
        <v/>
      </c>
      <c r="BR493" s="448" t="str">
        <f>_xlfn.IFNA(VLOOKUP($BK493,Programma!$F$3:$M$1101,8,0),"")</f>
        <v/>
      </c>
      <c r="BS493" s="448" t="str">
        <f>_xlfn.IFNA(VLOOKUP($BK493,Programma!$F$3:$N$1101,9,0),"")</f>
        <v/>
      </c>
      <c r="BT493" s="448" t="str">
        <f>_xlfn.IFNA(VLOOKUP($BK493,Programma!$F$3:$O$1101,10,0),"")</f>
        <v/>
      </c>
      <c r="BU493" s="448" t="str">
        <f>_xlfn.IFNA(VLOOKUP($BK493,Programma!$F$3:$P$1101,11,0),"")</f>
        <v/>
      </c>
      <c r="BV493" s="448" t="str">
        <f>_xlfn.IFNA(VLOOKUP($BK493,Programma!$F$3:$Q$1101,12,0),"")</f>
        <v/>
      </c>
      <c r="BW493" s="448" t="str">
        <f>_xlfn.IFNA(VLOOKUP($BK493,Programma!$F$3:$R$1101,13,0),"")</f>
        <v/>
      </c>
      <c r="BX493" s="448" t="str">
        <f>_xlfn.IFNA(VLOOKUP($BK493,Programma!$F$3:$S$1101,14,0),"")</f>
        <v/>
      </c>
      <c r="BY493" s="448" t="str">
        <f>_xlfn.IFNA(VLOOKUP($BK493,Programma!$F$3:$T$1101,15,0),"")</f>
        <v/>
      </c>
      <c r="BZ493" s="448" t="str">
        <f>_xlfn.IFNA(VLOOKUP($BK493,Programma!$F$3:$U$1101,16,0),"")</f>
        <v/>
      </c>
      <c r="CA493" s="448" t="str">
        <f>_xlfn.IFNA(VLOOKUP($BK493,Programma!$F$3:$V$1101,17,0),"")</f>
        <v/>
      </c>
      <c r="CB493" s="448" t="str">
        <f>_xlfn.IFNA(VLOOKUP($BK493,Programma!$F$3:$W$1101,18,0),"")</f>
        <v/>
      </c>
      <c r="CC493" s="448" t="str">
        <f>_xlfn.IFNA(VLOOKUP($BK493,Programma!$F$3:$X$1101,19,0),"")</f>
        <v/>
      </c>
      <c r="CD493" s="448" t="str">
        <f>_xlfn.IFNA(VLOOKUP($BK493,Programma!$F$3:$Y$1101,20,0),"")</f>
        <v/>
      </c>
    </row>
    <row r="494" spans="1:82" ht="15" customHeight="1">
      <c r="A494" s="362">
        <v>18</v>
      </c>
      <c r="B494" s="435" t="str">
        <f>VLOOKUP(Ruimtestaat[[#This Row],[Code]],Locaties[[Code]:[Locatie]],2,FALSE)</f>
        <v>IKC De Triangel</v>
      </c>
      <c r="C494" s="435" t="str">
        <f>VLOOKUP(Ruimtestaat[[#This Row],[Code]],Locaties[[#All],[Code]:[Adres]],4,FALSE)</f>
        <v>Vlasakker 33-35</v>
      </c>
      <c r="D494" s="435" t="str">
        <f>VLOOKUP(Ruimtestaat[[#This Row],[Code]],Locaties[[#All],[Code]:[Postcode]],5,FALSE)</f>
        <v>2723 TP</v>
      </c>
      <c r="E494" s="435" t="str">
        <f>VLOOKUP(Ruimtestaat[[#This Row],[Code]],Locaties[#All],6,FALSE)</f>
        <v>Zoetermeer</v>
      </c>
      <c r="F494" s="450"/>
      <c r="G494" s="330" t="s">
        <v>1678</v>
      </c>
      <c r="H494" s="330">
        <v>41</v>
      </c>
      <c r="I494" s="450" t="s">
        <v>1881</v>
      </c>
      <c r="J494" s="330">
        <v>16</v>
      </c>
      <c r="K494" s="450" t="str">
        <f>VLOOKUP(Ruimtestaat[[#This Row],[Ruimte code]],Ruimtegroepen[[#All],[Code]:[Ruimte omschrijving]],2,FALSE)</f>
        <v>Leslokalen</v>
      </c>
      <c r="L494" s="434" t="s">
        <v>100</v>
      </c>
      <c r="M494" s="437" t="s">
        <v>1759</v>
      </c>
      <c r="N494" s="439">
        <v>70.8</v>
      </c>
      <c r="O494" s="439"/>
      <c r="P494" s="439"/>
      <c r="Q494" s="439"/>
      <c r="R494" s="440" t="str">
        <f>VLOOKUP(Ruimtestaat[[#This Row],[Ruimte code]],Ruimtegroepen[],4,FALSE)</f>
        <v>Le</v>
      </c>
      <c r="S494" s="434">
        <v>40</v>
      </c>
      <c r="T494" s="434" t="s">
        <v>2</v>
      </c>
      <c r="U494" s="453">
        <f>IF(S494&gt;0,IF(RIGHT(Ruimtestaat[[#This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4" s="434">
        <f>IF(U494&gt;0,VLOOKUP($J494,Ruimtegroepen[],3,FALSE)*VLOOKUP($L494,Vloersoorten[],3,FALSE)*VLOOKUP($T494,Frequenties[],3,FALSE)*VLOOKUP($A494,Locaties[],3,FALSE),0)</f>
        <v>0</v>
      </c>
      <c r="W494" s="434">
        <f>Ruimtestaat[[#This Row],[Uitvoeringen werkdagen]]*Ruimtestaat[[#This Row],[Oppervlak (netto)]]</f>
        <v>14160</v>
      </c>
      <c r="X494" s="441">
        <f>IF(V494&gt;0,Ruimtestaat[[#This Row],[Prest. (m2 /jaar) werkdagen]]/Ruimtestaat[[#This Row],[Norm (m2/uur) werkdagen]],0)</f>
        <v>0</v>
      </c>
      <c r="Y494" s="442">
        <f>Ruimtestaat[[#This Row],[Uitvoeringen werkdagen]]*Ruimtestaat[[#This Row],[Gedeeltelijk]]</f>
        <v>0</v>
      </c>
      <c r="Z494" s="443" t="e">
        <f>IF(U494&gt;0,Ruimtestaat[[#This Row],[Prest. (m2 / jaar) werkdagen gedeeld]]/Ruimtestaat[[#This Row],[Norm (m2/uur) werkdagen]],0)</f>
        <v>#DIV/0!</v>
      </c>
      <c r="AA494" s="441" t="e">
        <f>Ruimtestaat[[#This Row],[uren / jaar werkdagen gedeeld]]*Tariefsopbouw!$E$35</f>
        <v>#DIV/0!</v>
      </c>
      <c r="AB494" s="441">
        <f>Ruimtestaat[[#This Row],[Uitvoeringen werkdagen]]*Ruimtestaat[[#This Row],[BSO]]</f>
        <v>0</v>
      </c>
      <c r="AC494" s="443" t="e">
        <f>IF(U494&gt;0,Ruimtestaat[[#This Row],[Prest. (m2 / jaar) werkdagen BSO]]/Ruimtestaat[[#This Row],[Norm (m2/uur) werkdagen]],0)</f>
        <v>#DIV/0!</v>
      </c>
      <c r="AD494" s="443" t="e">
        <f>Ruimtestaat[[#This Row],[uren / jaar werkdagen BSO]]*Tariefsopbouw!$E$35</f>
        <v>#DIV/0!</v>
      </c>
      <c r="AE494" s="444">
        <f>Ruimtestaat[[#This Row],[uren / jaar werkdagen]]*Tariefsopbouw!$E$35</f>
        <v>0</v>
      </c>
      <c r="AF494" s="454"/>
      <c r="AG494" s="455">
        <f>IF(Ruimtestaat[[#This Row],[Frequentie weekend]]&gt;0,VALUE(LEFT(AF494,1))*S494,0)</f>
        <v>0</v>
      </c>
      <c r="AH494" s="455">
        <f>IF($AG494&gt;0,VLOOKUP($J494,Ruimtegroepen[],3,FALSE)*VLOOKUP($L494,Vloersoorten[],3,FALSE)*VLOOKUP($AF494,Frequenties[],3,FALSE)*VLOOKUP(#REF!,Locaties[],3,FALSE),0)</f>
        <v>0</v>
      </c>
      <c r="AI494" s="434">
        <f>Ruimtestaat[[#This Row],[Uitvoeringen weekend]]*Ruimtestaat[[#This Row],[Oppervlak (netto)]]</f>
        <v>0</v>
      </c>
      <c r="AJ494" s="434">
        <f>IF(AH494&gt;0,Ruimtestaat[[#This Row],[Prest. (m2 /jaar) weekend]]/Ruimtestaat[[#This Row],[Norm (m2/uur) weekend]],0)</f>
        <v>0</v>
      </c>
      <c r="AK494" s="444">
        <f>Ruimtestaat[[#This Row],[uren / jaar weekend]]*Tariefsopbouw!$D$40</f>
        <v>0</v>
      </c>
      <c r="AL494" s="441">
        <f>Ruimtestaat[[#This Row],[Prest. (m2 /jaar) weekend]]+Ruimtestaat[[#This Row],[Prest. (m2 /jaar) werkdagen]]</f>
        <v>14160</v>
      </c>
      <c r="AM494" s="441">
        <f>Ruimtestaat[[#This Row],[uren / jaar weekend]]+Ruimtestaat[[#This Row],[uren / jaar werkdagen]]</f>
        <v>0</v>
      </c>
      <c r="AN494" s="446">
        <f>Ruimtestaat[[#This Row],[kosten / jaar weekend]]+Ruimtestaat[[#This Row],[kosten / jaar werkdagen]]</f>
        <v>0</v>
      </c>
      <c r="AO494" s="446"/>
      <c r="AP494" s="446" t="str">
        <f>IF(Ruimtestaat[[#This Row],[Frequentie werkdagen]]="","",_xlfn.CONCAT(Ruimtestaat[[#This Row],[Ruimte code]],"-",Ruimtestaat[[#This Row],[Frequentie werkdagen]]," ",Ruimtestaat[[#This Row],[Vloer code]]))</f>
        <v>16-5w L</v>
      </c>
      <c r="AQ494" s="448" t="str">
        <f>_xlfn.IFNA(VLOOKUP($AP494,Programma!$F$3:$G$1101,2,0),"")</f>
        <v>_</v>
      </c>
      <c r="AR494" s="448" t="str">
        <f>_xlfn.IFNA(VLOOKUP($AP494,Programma!$F$3:$H$1101,3,0),"")</f>
        <v>_</v>
      </c>
      <c r="AS494" s="448" t="str">
        <f>_xlfn.IFNA(VLOOKUP($AP494,Programma!$F$3:$I$1101,4,0),"")</f>
        <v>4w</v>
      </c>
      <c r="AT494" s="448" t="str">
        <f>_xlfn.IFNA(VLOOKUP($AP494,Programma!$F$3:$J$1101,5,0),"")</f>
        <v>1w</v>
      </c>
      <c r="AU494" s="448" t="str">
        <f>_xlfn.IFNA(VLOOKUP($AP494,Programma!$F$3:$K$1101,6,0),"")</f>
        <v>_</v>
      </c>
      <c r="AV494" s="448" t="str">
        <f>_xlfn.IFNA(VLOOKUP($AP494,Programma!$F$3:$L$1101,7,0),"")</f>
        <v>_</v>
      </c>
      <c r="AW494" s="448" t="str">
        <f>_xlfn.IFNA(VLOOKUP($AP494,Programma!$F$3:$M$1101,8,0),"")</f>
        <v>_</v>
      </c>
      <c r="AX494" s="448" t="str">
        <f>_xlfn.IFNA(VLOOKUP($AP494,Programma!$F$3:$N$1101,9,0),"")</f>
        <v>_</v>
      </c>
      <c r="AY494" s="448" t="str">
        <f>_xlfn.IFNA(VLOOKUP($AP494,Programma!$F$3:$O$1101,10,0),"")</f>
        <v>5w</v>
      </c>
      <c r="AZ494" s="448" t="str">
        <f>_xlfn.IFNA(VLOOKUP($AP494,Programma!$F$3:$P$1101,11,0),"")</f>
        <v>5w</v>
      </c>
      <c r="BA494" s="448" t="str">
        <f>_xlfn.IFNA(VLOOKUP($AP494,Programma!$F$3:$Q$1101,12,0),"")</f>
        <v>1w</v>
      </c>
      <c r="BB494" s="448" t="str">
        <f>_xlfn.IFNA(VLOOKUP($AP494,Programma!$F$3:$R$1101,13,0),"")</f>
        <v>1w</v>
      </c>
      <c r="BC494" s="448" t="str">
        <f>_xlfn.IFNA(VLOOKUP($AP494,Programma!$F$3:$S$1101,14,0),"")</f>
        <v>1m</v>
      </c>
      <c r="BD494" s="448" t="str">
        <f>_xlfn.IFNA(VLOOKUP($AP494,Programma!$F$3:$T$1101,15,0),"")</f>
        <v>2j</v>
      </c>
      <c r="BE494" s="448" t="str">
        <f>_xlfn.IFNA(VLOOKUP($AP494,Programma!$F$3:$U$1101,16,0),"")</f>
        <v>1j</v>
      </c>
      <c r="BF494" s="448" t="str">
        <f>_xlfn.IFNA(VLOOKUP($AP494,Programma!$F$3:$V$1101,17,0),"")</f>
        <v>_</v>
      </c>
      <c r="BG494" s="448" t="str">
        <f>_xlfn.IFNA(VLOOKUP($AP494,Programma!$F$3:$W$1101,18,0),"")</f>
        <v>_</v>
      </c>
      <c r="BH494" s="448" t="str">
        <f>_xlfn.IFNA(VLOOKUP($AP494,Programma!$F$3:$X$1101,19,0),"")</f>
        <v>_</v>
      </c>
      <c r="BI494" s="448" t="str">
        <f>_xlfn.IFNA(VLOOKUP($AP494,Programma!$F$3:$Y$1101,20,0),"")</f>
        <v>_</v>
      </c>
      <c r="BJ494" s="449"/>
      <c r="BK494" s="446" t="str">
        <f>IF(Ruimtestaat[[#This Row],[Frequentie weekend]]="","",_xlfn.CONCAT(Ruimtestaat[[#This Row],[Ruimte code]],"-",Ruimtestaat[[#This Row],[Frequentie weekend]]," ",Ruimtestaat[[#This Row],[Vloer code]]))</f>
        <v/>
      </c>
      <c r="BL494" s="448" t="str">
        <f>_xlfn.IFNA(VLOOKUP($BK494,Programma!$F$3:$G$1101,2,0),"")</f>
        <v/>
      </c>
      <c r="BM494" s="448" t="str">
        <f>_xlfn.IFNA(VLOOKUP($BK494,Programma!$F$3:$H$1101,3,0),"")</f>
        <v/>
      </c>
      <c r="BN494" s="448" t="str">
        <f>_xlfn.IFNA(VLOOKUP($BK494,Programma!$F$3:$I$1101,4,0),"")</f>
        <v/>
      </c>
      <c r="BO494" s="448" t="str">
        <f>_xlfn.IFNA(VLOOKUP($BK494,Programma!$F$3:$J$1101,5,0),"")</f>
        <v/>
      </c>
      <c r="BP494" s="448" t="str">
        <f>_xlfn.IFNA(VLOOKUP($BK494,Programma!$F$3:$K$1101,6,0),"")</f>
        <v/>
      </c>
      <c r="BQ494" s="448" t="str">
        <f>_xlfn.IFNA(VLOOKUP($BK494,Programma!$F$3:$L$1101,7,0),"")</f>
        <v/>
      </c>
      <c r="BR494" s="448" t="str">
        <f>_xlfn.IFNA(VLOOKUP($BK494,Programma!$F$3:$M$1101,8,0),"")</f>
        <v/>
      </c>
      <c r="BS494" s="448" t="str">
        <f>_xlfn.IFNA(VLOOKUP($BK494,Programma!$F$3:$N$1101,9,0),"")</f>
        <v/>
      </c>
      <c r="BT494" s="448" t="str">
        <f>_xlfn.IFNA(VLOOKUP($BK494,Programma!$F$3:$O$1101,10,0),"")</f>
        <v/>
      </c>
      <c r="BU494" s="448" t="str">
        <f>_xlfn.IFNA(VLOOKUP($BK494,Programma!$F$3:$P$1101,11,0),"")</f>
        <v/>
      </c>
      <c r="BV494" s="448" t="str">
        <f>_xlfn.IFNA(VLOOKUP($BK494,Programma!$F$3:$Q$1101,12,0),"")</f>
        <v/>
      </c>
      <c r="BW494" s="448" t="str">
        <f>_xlfn.IFNA(VLOOKUP($BK494,Programma!$F$3:$R$1101,13,0),"")</f>
        <v/>
      </c>
      <c r="BX494" s="448" t="str">
        <f>_xlfn.IFNA(VLOOKUP($BK494,Programma!$F$3:$S$1101,14,0),"")</f>
        <v/>
      </c>
      <c r="BY494" s="448" t="str">
        <f>_xlfn.IFNA(VLOOKUP($BK494,Programma!$F$3:$T$1101,15,0),"")</f>
        <v/>
      </c>
      <c r="BZ494" s="448" t="str">
        <f>_xlfn.IFNA(VLOOKUP($BK494,Programma!$F$3:$U$1101,16,0),"")</f>
        <v/>
      </c>
      <c r="CA494" s="448" t="str">
        <f>_xlfn.IFNA(VLOOKUP($BK494,Programma!$F$3:$V$1101,17,0),"")</f>
        <v/>
      </c>
      <c r="CB494" s="448" t="str">
        <f>_xlfn.IFNA(VLOOKUP($BK494,Programma!$F$3:$W$1101,18,0),"")</f>
        <v/>
      </c>
      <c r="CC494" s="448" t="str">
        <f>_xlfn.IFNA(VLOOKUP($BK494,Programma!$F$3:$X$1101,19,0),"")</f>
        <v/>
      </c>
      <c r="CD494" s="448" t="str">
        <f>_xlfn.IFNA(VLOOKUP($BK494,Programma!$F$3:$Y$1101,20,0),"")</f>
        <v/>
      </c>
    </row>
    <row r="495" spans="1:82" ht="15" customHeight="1">
      <c r="A495" s="362">
        <v>18</v>
      </c>
      <c r="B495" s="435" t="str">
        <f>VLOOKUP(Ruimtestaat[[#This Row],[Code]],Locaties[[Code]:[Locatie]],2,FALSE)</f>
        <v>IKC De Triangel</v>
      </c>
      <c r="C495" s="435" t="str">
        <f>VLOOKUP(Ruimtestaat[[#This Row],[Code]],Locaties[[#All],[Code]:[Adres]],4,FALSE)</f>
        <v>Vlasakker 33-35</v>
      </c>
      <c r="D495" s="435" t="str">
        <f>VLOOKUP(Ruimtestaat[[#This Row],[Code]],Locaties[[#All],[Code]:[Postcode]],5,FALSE)</f>
        <v>2723 TP</v>
      </c>
      <c r="E495" s="435" t="str">
        <f>VLOOKUP(Ruimtestaat[[#This Row],[Code]],Locaties[#All],6,FALSE)</f>
        <v>Zoetermeer</v>
      </c>
      <c r="F495" s="450"/>
      <c r="G495" s="330" t="s">
        <v>1678</v>
      </c>
      <c r="H495" s="330">
        <v>42</v>
      </c>
      <c r="I495" s="450" t="s">
        <v>1673</v>
      </c>
      <c r="J495" s="330">
        <v>5</v>
      </c>
      <c r="K495" s="450" t="str">
        <f>VLOOKUP(Ruimtestaat[[#This Row],[Ruimte code]],Ruimtegroepen[[#All],[Code]:[Ruimte omschrijving]],2,FALSE)</f>
        <v>Sanitair</v>
      </c>
      <c r="L495" s="330" t="s">
        <v>101</v>
      </c>
      <c r="M495" s="437" t="s">
        <v>1947</v>
      </c>
      <c r="N495" s="439">
        <v>9.6999999999999993</v>
      </c>
      <c r="O495" s="439"/>
      <c r="P495" s="439"/>
      <c r="Q495" s="439"/>
      <c r="R495" s="440" t="str">
        <f>VLOOKUP(Ruimtestaat[[#This Row],[Ruimte code]],Ruimtegroepen[],4,FALSE)</f>
        <v>Sa</v>
      </c>
      <c r="S495" s="434">
        <v>41</v>
      </c>
      <c r="T495" s="434" t="s">
        <v>2</v>
      </c>
      <c r="U495" s="453">
        <f>IF(S495&gt;0,IF(RIGHT(Ruimtestaat[[#This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95" s="434">
        <f>IF(U495&gt;0,VLOOKUP($J495,Ruimtegroepen[],3,FALSE)*VLOOKUP($L495,Vloersoorten[],3,FALSE)*VLOOKUP($T495,Frequenties[],3,FALSE)*VLOOKUP($A495,Locaties[],3,FALSE),0)</f>
        <v>0</v>
      </c>
      <c r="W495" s="434">
        <f>Ruimtestaat[[#This Row],[Uitvoeringen werkdagen]]*Ruimtestaat[[#This Row],[Oppervlak (netto)]]</f>
        <v>1988.4999999999998</v>
      </c>
      <c r="X495" s="441">
        <f>IF(V495&gt;0,Ruimtestaat[[#This Row],[Prest. (m2 /jaar) werkdagen]]/Ruimtestaat[[#This Row],[Norm (m2/uur) werkdagen]],0)</f>
        <v>0</v>
      </c>
      <c r="Y495" s="442">
        <f>Ruimtestaat[[#This Row],[Uitvoeringen werkdagen]]*Ruimtestaat[[#This Row],[Gedeeltelijk]]</f>
        <v>0</v>
      </c>
      <c r="Z495" s="443" t="e">
        <f>IF(U495&gt;0,Ruimtestaat[[#This Row],[Prest. (m2 / jaar) werkdagen gedeeld]]/Ruimtestaat[[#This Row],[Norm (m2/uur) werkdagen]],0)</f>
        <v>#DIV/0!</v>
      </c>
      <c r="AA495" s="441" t="e">
        <f>Ruimtestaat[[#This Row],[uren / jaar werkdagen gedeeld]]*Tariefsopbouw!$E$35</f>
        <v>#DIV/0!</v>
      </c>
      <c r="AB495" s="441">
        <f>Ruimtestaat[[#This Row],[Uitvoeringen werkdagen]]*Ruimtestaat[[#This Row],[BSO]]</f>
        <v>0</v>
      </c>
      <c r="AC495" s="443" t="e">
        <f>IF(U495&gt;0,Ruimtestaat[[#This Row],[Prest. (m2 / jaar) werkdagen BSO]]/Ruimtestaat[[#This Row],[Norm (m2/uur) werkdagen]],0)</f>
        <v>#DIV/0!</v>
      </c>
      <c r="AD495" s="443" t="e">
        <f>Ruimtestaat[[#This Row],[uren / jaar werkdagen BSO]]*Tariefsopbouw!$E$35</f>
        <v>#DIV/0!</v>
      </c>
      <c r="AE495" s="444">
        <f>Ruimtestaat[[#This Row],[uren / jaar werkdagen]]*Tariefsopbouw!$E$35</f>
        <v>0</v>
      </c>
      <c r="AF495" s="454"/>
      <c r="AG495" s="455">
        <f>IF(Ruimtestaat[[#This Row],[Frequentie weekend]]&gt;0,VALUE(LEFT(AF495,1))*S495,0)</f>
        <v>0</v>
      </c>
      <c r="AH495" s="455">
        <f>IF($AG495&gt;0,VLOOKUP($J495,Ruimtegroepen[],3,FALSE)*VLOOKUP($L495,Vloersoorten[],3,FALSE)*VLOOKUP($AF495,Frequenties[],3,FALSE)*VLOOKUP(#REF!,Locaties[],3,FALSE),0)</f>
        <v>0</v>
      </c>
      <c r="AI495" s="434">
        <f>Ruimtestaat[[#This Row],[Uitvoeringen weekend]]*Ruimtestaat[[#This Row],[Oppervlak (netto)]]</f>
        <v>0</v>
      </c>
      <c r="AJ495" s="434">
        <f>IF(AH495&gt;0,Ruimtestaat[[#This Row],[Prest. (m2 /jaar) weekend]]/Ruimtestaat[[#This Row],[Norm (m2/uur) weekend]],0)</f>
        <v>0</v>
      </c>
      <c r="AK495" s="444">
        <f>Ruimtestaat[[#This Row],[uren / jaar weekend]]*Tariefsopbouw!$D$40</f>
        <v>0</v>
      </c>
      <c r="AL495" s="441">
        <f>Ruimtestaat[[#This Row],[Prest. (m2 /jaar) weekend]]+Ruimtestaat[[#This Row],[Prest. (m2 /jaar) werkdagen]]</f>
        <v>1988.4999999999998</v>
      </c>
      <c r="AM495" s="441">
        <f>Ruimtestaat[[#This Row],[uren / jaar weekend]]+Ruimtestaat[[#This Row],[uren / jaar werkdagen]]</f>
        <v>0</v>
      </c>
      <c r="AN495" s="446">
        <f>Ruimtestaat[[#This Row],[kosten / jaar weekend]]+Ruimtestaat[[#This Row],[kosten / jaar werkdagen]]</f>
        <v>0</v>
      </c>
      <c r="AO495" s="446"/>
      <c r="AP495" s="446" t="str">
        <f>IF(Ruimtestaat[[#This Row],[Frequentie werkdagen]]="","",_xlfn.CONCAT(Ruimtestaat[[#This Row],[Ruimte code]],"-",Ruimtestaat[[#This Row],[Frequentie werkdagen]]," ",Ruimtestaat[[#This Row],[Vloer code]]))</f>
        <v>5-5w S</v>
      </c>
      <c r="AQ495" s="448" t="str">
        <f>_xlfn.IFNA(VLOOKUP($AP495,Programma!$F$3:$G$1101,2,0),"")</f>
        <v>_</v>
      </c>
      <c r="AR495" s="448" t="str">
        <f>_xlfn.IFNA(VLOOKUP($AP495,Programma!$F$3:$H$1101,3,0),"")</f>
        <v>_</v>
      </c>
      <c r="AS495" s="448" t="str">
        <f>_xlfn.IFNA(VLOOKUP($AP495,Programma!$F$3:$I$1101,4,0),"")</f>
        <v>_</v>
      </c>
      <c r="AT495" s="448" t="str">
        <f>_xlfn.IFNA(VLOOKUP($AP495,Programma!$F$3:$J$1101,5,0),"")</f>
        <v>4w</v>
      </c>
      <c r="AU495" s="448" t="str">
        <f>_xlfn.IFNA(VLOOKUP($AP495,Programma!$F$3:$K$1101,6,0),"")</f>
        <v>1w</v>
      </c>
      <c r="AV495" s="448" t="str">
        <f>_xlfn.IFNA(VLOOKUP($AP495,Programma!$F$3:$L$1101,7,0),"")</f>
        <v>_</v>
      </c>
      <c r="AW495" s="448" t="str">
        <f>_xlfn.IFNA(VLOOKUP($AP495,Programma!$F$3:$M$1101,8,0),"")</f>
        <v>_</v>
      </c>
      <c r="AX495" s="448" t="str">
        <f>_xlfn.IFNA(VLOOKUP($AP495,Programma!$F$3:$N$1101,9,0),"")</f>
        <v>_</v>
      </c>
      <c r="AY495" s="448" t="str">
        <f>_xlfn.IFNA(VLOOKUP($AP495,Programma!$F$3:$O$1101,10,0),"")</f>
        <v>_</v>
      </c>
      <c r="AZ495" s="448" t="str">
        <f>_xlfn.IFNA(VLOOKUP($AP495,Programma!$F$3:$P$1101,11,0),"")</f>
        <v>_</v>
      </c>
      <c r="BA495" s="448" t="str">
        <f>_xlfn.IFNA(VLOOKUP($AP495,Programma!$F$3:$Q$1101,12,0),"")</f>
        <v>_</v>
      </c>
      <c r="BB495" s="448" t="str">
        <f>_xlfn.IFNA(VLOOKUP($AP495,Programma!$F$3:$R$1101,13,0),"")</f>
        <v>_</v>
      </c>
      <c r="BC495" s="448" t="str">
        <f>_xlfn.IFNA(VLOOKUP($AP495,Programma!$F$3:$S$1101,14,0),"")</f>
        <v>_</v>
      </c>
      <c r="BD495" s="448" t="str">
        <f>_xlfn.IFNA(VLOOKUP($AP495,Programma!$F$3:$T$1101,15,0),"")</f>
        <v>_</v>
      </c>
      <c r="BE495" s="448" t="str">
        <f>_xlfn.IFNA(VLOOKUP($AP495,Programma!$F$3:$U$1101,16,0),"")</f>
        <v>_</v>
      </c>
      <c r="BF495" s="448" t="str">
        <f>_xlfn.IFNA(VLOOKUP($AP495,Programma!$F$3:$V$1101,17,0),"")</f>
        <v>_</v>
      </c>
      <c r="BG495" s="448" t="str">
        <f>_xlfn.IFNA(VLOOKUP($AP495,Programma!$F$3:$W$1101,18,0),"")</f>
        <v>4w</v>
      </c>
      <c r="BH495" s="448" t="str">
        <f>_xlfn.IFNA(VLOOKUP($AP495,Programma!$F$3:$X$1101,19,0),"")</f>
        <v>1w</v>
      </c>
      <c r="BI495" s="448" t="str">
        <f>_xlfn.IFNA(VLOOKUP($AP495,Programma!$F$3:$Y$1101,20,0),"")</f>
        <v>_</v>
      </c>
      <c r="BJ495" s="449"/>
      <c r="BK495" s="446" t="str">
        <f>IF(Ruimtestaat[[#This Row],[Frequentie weekend]]="","",_xlfn.CONCAT(Ruimtestaat[[#This Row],[Ruimte code]],"-",Ruimtestaat[[#This Row],[Frequentie weekend]]," ",Ruimtestaat[[#This Row],[Vloer code]]))</f>
        <v/>
      </c>
      <c r="BL495" s="448" t="str">
        <f>_xlfn.IFNA(VLOOKUP($BK495,Programma!$F$3:$G$1101,2,0),"")</f>
        <v/>
      </c>
      <c r="BM495" s="448" t="str">
        <f>_xlfn.IFNA(VLOOKUP($BK495,Programma!$F$3:$H$1101,3,0),"")</f>
        <v/>
      </c>
      <c r="BN495" s="448" t="str">
        <f>_xlfn.IFNA(VLOOKUP($BK495,Programma!$F$3:$I$1101,4,0),"")</f>
        <v/>
      </c>
      <c r="BO495" s="448" t="str">
        <f>_xlfn.IFNA(VLOOKUP($BK495,Programma!$F$3:$J$1101,5,0),"")</f>
        <v/>
      </c>
      <c r="BP495" s="448" t="str">
        <f>_xlfn.IFNA(VLOOKUP($BK495,Programma!$F$3:$K$1101,6,0),"")</f>
        <v/>
      </c>
      <c r="BQ495" s="448" t="str">
        <f>_xlfn.IFNA(VLOOKUP($BK495,Programma!$F$3:$L$1101,7,0),"")</f>
        <v/>
      </c>
      <c r="BR495" s="448" t="str">
        <f>_xlfn.IFNA(VLOOKUP($BK495,Programma!$F$3:$M$1101,8,0),"")</f>
        <v/>
      </c>
      <c r="BS495" s="448" t="str">
        <f>_xlfn.IFNA(VLOOKUP($BK495,Programma!$F$3:$N$1101,9,0),"")</f>
        <v/>
      </c>
      <c r="BT495" s="448" t="str">
        <f>_xlfn.IFNA(VLOOKUP($BK495,Programma!$F$3:$O$1101,10,0),"")</f>
        <v/>
      </c>
      <c r="BU495" s="448" t="str">
        <f>_xlfn.IFNA(VLOOKUP($BK495,Programma!$F$3:$P$1101,11,0),"")</f>
        <v/>
      </c>
      <c r="BV495" s="448" t="str">
        <f>_xlfn.IFNA(VLOOKUP($BK495,Programma!$F$3:$Q$1101,12,0),"")</f>
        <v/>
      </c>
      <c r="BW495" s="448" t="str">
        <f>_xlfn.IFNA(VLOOKUP($BK495,Programma!$F$3:$R$1101,13,0),"")</f>
        <v/>
      </c>
      <c r="BX495" s="448" t="str">
        <f>_xlfn.IFNA(VLOOKUP($BK495,Programma!$F$3:$S$1101,14,0),"")</f>
        <v/>
      </c>
      <c r="BY495" s="448" t="str">
        <f>_xlfn.IFNA(VLOOKUP($BK495,Programma!$F$3:$T$1101,15,0),"")</f>
        <v/>
      </c>
      <c r="BZ495" s="448" t="str">
        <f>_xlfn.IFNA(VLOOKUP($BK495,Programma!$F$3:$U$1101,16,0),"")</f>
        <v/>
      </c>
      <c r="CA495" s="448" t="str">
        <f>_xlfn.IFNA(VLOOKUP($BK495,Programma!$F$3:$V$1101,17,0),"")</f>
        <v/>
      </c>
      <c r="CB495" s="448" t="str">
        <f>_xlfn.IFNA(VLOOKUP($BK495,Programma!$F$3:$W$1101,18,0),"")</f>
        <v/>
      </c>
      <c r="CC495" s="448" t="str">
        <f>_xlfn.IFNA(VLOOKUP($BK495,Programma!$F$3:$X$1101,19,0),"")</f>
        <v/>
      </c>
      <c r="CD495" s="448" t="str">
        <f>_xlfn.IFNA(VLOOKUP($BK495,Programma!$F$3:$Y$1101,20,0),"")</f>
        <v/>
      </c>
    </row>
    <row r="496" spans="1:82" ht="15" customHeight="1">
      <c r="A496" s="362">
        <v>18</v>
      </c>
      <c r="B496" s="435" t="str">
        <f>VLOOKUP(Ruimtestaat[[#This Row],[Code]],Locaties[[Code]:[Locatie]],2,FALSE)</f>
        <v>IKC De Triangel</v>
      </c>
      <c r="C496" s="435" t="str">
        <f>VLOOKUP(Ruimtestaat[[#This Row],[Code]],Locaties[[#All],[Code]:[Adres]],4,FALSE)</f>
        <v>Vlasakker 33-35</v>
      </c>
      <c r="D496" s="435" t="str">
        <f>VLOOKUP(Ruimtestaat[[#This Row],[Code]],Locaties[[#All],[Code]:[Postcode]],5,FALSE)</f>
        <v>2723 TP</v>
      </c>
      <c r="E496" s="435" t="str">
        <f>VLOOKUP(Ruimtestaat[[#This Row],[Code]],Locaties[#All],6,FALSE)</f>
        <v>Zoetermeer</v>
      </c>
      <c r="F496" s="450"/>
      <c r="G496" s="330" t="s">
        <v>1678</v>
      </c>
      <c r="H496" s="330">
        <v>43</v>
      </c>
      <c r="I496" s="450" t="s">
        <v>1673</v>
      </c>
      <c r="J496" s="330">
        <v>5</v>
      </c>
      <c r="K496" s="450" t="str">
        <f>VLOOKUP(Ruimtestaat[[#This Row],[Ruimte code]],Ruimtegroepen[[#All],[Code]:[Ruimte omschrijving]],2,FALSE)</f>
        <v>Sanitair</v>
      </c>
      <c r="L496" s="330" t="s">
        <v>101</v>
      </c>
      <c r="M496" s="437" t="s">
        <v>1947</v>
      </c>
      <c r="N496" s="439">
        <v>9.6999999999999993</v>
      </c>
      <c r="O496" s="439"/>
      <c r="P496" s="439"/>
      <c r="Q496" s="439"/>
      <c r="R496" s="440" t="str">
        <f>VLOOKUP(Ruimtestaat[[#This Row],[Ruimte code]],Ruimtegroepen[],4,FALSE)</f>
        <v>Sa</v>
      </c>
      <c r="S496" s="434">
        <v>41</v>
      </c>
      <c r="T496" s="434" t="s">
        <v>2</v>
      </c>
      <c r="U496" s="453">
        <f>IF(S496&gt;0,IF(RIGHT(Ruimtestaat[[#This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96" s="434">
        <f>IF(U496&gt;0,VLOOKUP($J496,Ruimtegroepen[],3,FALSE)*VLOOKUP($L496,Vloersoorten[],3,FALSE)*VLOOKUP($T496,Frequenties[],3,FALSE)*VLOOKUP($A496,Locaties[],3,FALSE),0)</f>
        <v>0</v>
      </c>
      <c r="W496" s="434">
        <f>Ruimtestaat[[#This Row],[Uitvoeringen werkdagen]]*Ruimtestaat[[#This Row],[Oppervlak (netto)]]</f>
        <v>1988.4999999999998</v>
      </c>
      <c r="X496" s="441">
        <f>IF(V496&gt;0,Ruimtestaat[[#This Row],[Prest. (m2 /jaar) werkdagen]]/Ruimtestaat[[#This Row],[Norm (m2/uur) werkdagen]],0)</f>
        <v>0</v>
      </c>
      <c r="Y496" s="442">
        <f>Ruimtestaat[[#This Row],[Uitvoeringen werkdagen]]*Ruimtestaat[[#This Row],[Gedeeltelijk]]</f>
        <v>0</v>
      </c>
      <c r="Z496" s="443" t="e">
        <f>IF(U496&gt;0,Ruimtestaat[[#This Row],[Prest. (m2 / jaar) werkdagen gedeeld]]/Ruimtestaat[[#This Row],[Norm (m2/uur) werkdagen]],0)</f>
        <v>#DIV/0!</v>
      </c>
      <c r="AA496" s="441" t="e">
        <f>Ruimtestaat[[#This Row],[uren / jaar werkdagen gedeeld]]*Tariefsopbouw!$E$35</f>
        <v>#DIV/0!</v>
      </c>
      <c r="AB496" s="441">
        <f>Ruimtestaat[[#This Row],[Uitvoeringen werkdagen]]*Ruimtestaat[[#This Row],[BSO]]</f>
        <v>0</v>
      </c>
      <c r="AC496" s="443" t="e">
        <f>IF(U496&gt;0,Ruimtestaat[[#This Row],[Prest. (m2 / jaar) werkdagen BSO]]/Ruimtestaat[[#This Row],[Norm (m2/uur) werkdagen]],0)</f>
        <v>#DIV/0!</v>
      </c>
      <c r="AD496" s="443" t="e">
        <f>Ruimtestaat[[#This Row],[uren / jaar werkdagen BSO]]*Tariefsopbouw!$E$35</f>
        <v>#DIV/0!</v>
      </c>
      <c r="AE496" s="444">
        <f>Ruimtestaat[[#This Row],[uren / jaar werkdagen]]*Tariefsopbouw!$E$35</f>
        <v>0</v>
      </c>
      <c r="AF496" s="454"/>
      <c r="AG496" s="455">
        <f>IF(Ruimtestaat[[#This Row],[Frequentie weekend]]&gt;0,VALUE(LEFT(AF496,1))*S496,0)</f>
        <v>0</v>
      </c>
      <c r="AH496" s="455">
        <f>IF($AG496&gt;0,VLOOKUP($J496,Ruimtegroepen[],3,FALSE)*VLOOKUP($L496,Vloersoorten[],3,FALSE)*VLOOKUP($AF496,Frequenties[],3,FALSE)*VLOOKUP(#REF!,Locaties[],3,FALSE),0)</f>
        <v>0</v>
      </c>
      <c r="AI496" s="434">
        <f>Ruimtestaat[[#This Row],[Uitvoeringen weekend]]*Ruimtestaat[[#This Row],[Oppervlak (netto)]]</f>
        <v>0</v>
      </c>
      <c r="AJ496" s="434">
        <f>IF(AH496&gt;0,Ruimtestaat[[#This Row],[Prest. (m2 /jaar) weekend]]/Ruimtestaat[[#This Row],[Norm (m2/uur) weekend]],0)</f>
        <v>0</v>
      </c>
      <c r="AK496" s="444">
        <f>Ruimtestaat[[#This Row],[uren / jaar weekend]]*Tariefsopbouw!$D$40</f>
        <v>0</v>
      </c>
      <c r="AL496" s="441">
        <f>Ruimtestaat[[#This Row],[Prest. (m2 /jaar) weekend]]+Ruimtestaat[[#This Row],[Prest. (m2 /jaar) werkdagen]]</f>
        <v>1988.4999999999998</v>
      </c>
      <c r="AM496" s="441">
        <f>Ruimtestaat[[#This Row],[uren / jaar weekend]]+Ruimtestaat[[#This Row],[uren / jaar werkdagen]]</f>
        <v>0</v>
      </c>
      <c r="AN496" s="446">
        <f>Ruimtestaat[[#This Row],[kosten / jaar weekend]]+Ruimtestaat[[#This Row],[kosten / jaar werkdagen]]</f>
        <v>0</v>
      </c>
      <c r="AO496" s="446"/>
      <c r="AP496" s="446" t="str">
        <f>IF(Ruimtestaat[[#This Row],[Frequentie werkdagen]]="","",_xlfn.CONCAT(Ruimtestaat[[#This Row],[Ruimte code]],"-",Ruimtestaat[[#This Row],[Frequentie werkdagen]]," ",Ruimtestaat[[#This Row],[Vloer code]]))</f>
        <v>5-5w S</v>
      </c>
      <c r="AQ496" s="448" t="str">
        <f>_xlfn.IFNA(VLOOKUP($AP496,Programma!$F$3:$G$1101,2,0),"")</f>
        <v>_</v>
      </c>
      <c r="AR496" s="448" t="str">
        <f>_xlfn.IFNA(VLOOKUP($AP496,Programma!$F$3:$H$1101,3,0),"")</f>
        <v>_</v>
      </c>
      <c r="AS496" s="448" t="str">
        <f>_xlfn.IFNA(VLOOKUP($AP496,Programma!$F$3:$I$1101,4,0),"")</f>
        <v>_</v>
      </c>
      <c r="AT496" s="448" t="str">
        <f>_xlfn.IFNA(VLOOKUP($AP496,Programma!$F$3:$J$1101,5,0),"")</f>
        <v>4w</v>
      </c>
      <c r="AU496" s="448" t="str">
        <f>_xlfn.IFNA(VLOOKUP($AP496,Programma!$F$3:$K$1101,6,0),"")</f>
        <v>1w</v>
      </c>
      <c r="AV496" s="448" t="str">
        <f>_xlfn.IFNA(VLOOKUP($AP496,Programma!$F$3:$L$1101,7,0),"")</f>
        <v>_</v>
      </c>
      <c r="AW496" s="448" t="str">
        <f>_xlfn.IFNA(VLOOKUP($AP496,Programma!$F$3:$M$1101,8,0),"")</f>
        <v>_</v>
      </c>
      <c r="AX496" s="448" t="str">
        <f>_xlfn.IFNA(VLOOKUP($AP496,Programma!$F$3:$N$1101,9,0),"")</f>
        <v>_</v>
      </c>
      <c r="AY496" s="448" t="str">
        <f>_xlfn.IFNA(VLOOKUP($AP496,Programma!$F$3:$O$1101,10,0),"")</f>
        <v>_</v>
      </c>
      <c r="AZ496" s="448" t="str">
        <f>_xlfn.IFNA(VLOOKUP($AP496,Programma!$F$3:$P$1101,11,0),"")</f>
        <v>_</v>
      </c>
      <c r="BA496" s="448" t="str">
        <f>_xlfn.IFNA(VLOOKUP($AP496,Programma!$F$3:$Q$1101,12,0),"")</f>
        <v>_</v>
      </c>
      <c r="BB496" s="448" t="str">
        <f>_xlfn.IFNA(VLOOKUP($AP496,Programma!$F$3:$R$1101,13,0),"")</f>
        <v>_</v>
      </c>
      <c r="BC496" s="448" t="str">
        <f>_xlfn.IFNA(VLOOKUP($AP496,Programma!$F$3:$S$1101,14,0),"")</f>
        <v>_</v>
      </c>
      <c r="BD496" s="448" t="str">
        <f>_xlfn.IFNA(VLOOKUP($AP496,Programma!$F$3:$T$1101,15,0),"")</f>
        <v>_</v>
      </c>
      <c r="BE496" s="448" t="str">
        <f>_xlfn.IFNA(VLOOKUP($AP496,Programma!$F$3:$U$1101,16,0),"")</f>
        <v>_</v>
      </c>
      <c r="BF496" s="448" t="str">
        <f>_xlfn.IFNA(VLOOKUP($AP496,Programma!$F$3:$V$1101,17,0),"")</f>
        <v>_</v>
      </c>
      <c r="BG496" s="448" t="str">
        <f>_xlfn.IFNA(VLOOKUP($AP496,Programma!$F$3:$W$1101,18,0),"")</f>
        <v>4w</v>
      </c>
      <c r="BH496" s="448" t="str">
        <f>_xlfn.IFNA(VLOOKUP($AP496,Programma!$F$3:$X$1101,19,0),"")</f>
        <v>1w</v>
      </c>
      <c r="BI496" s="448" t="str">
        <f>_xlfn.IFNA(VLOOKUP($AP496,Programma!$F$3:$Y$1101,20,0),"")</f>
        <v>_</v>
      </c>
      <c r="BJ496" s="449"/>
      <c r="BK496" s="446" t="str">
        <f>IF(Ruimtestaat[[#This Row],[Frequentie weekend]]="","",_xlfn.CONCAT(Ruimtestaat[[#This Row],[Ruimte code]],"-",Ruimtestaat[[#This Row],[Frequentie weekend]]," ",Ruimtestaat[[#This Row],[Vloer code]]))</f>
        <v/>
      </c>
      <c r="BL496" s="448" t="str">
        <f>_xlfn.IFNA(VLOOKUP($BK496,Programma!$F$3:$G$1101,2,0),"")</f>
        <v/>
      </c>
      <c r="BM496" s="448" t="str">
        <f>_xlfn.IFNA(VLOOKUP($BK496,Programma!$F$3:$H$1101,3,0),"")</f>
        <v/>
      </c>
      <c r="BN496" s="448" t="str">
        <f>_xlfn.IFNA(VLOOKUP($BK496,Programma!$F$3:$I$1101,4,0),"")</f>
        <v/>
      </c>
      <c r="BO496" s="448" t="str">
        <f>_xlfn.IFNA(VLOOKUP($BK496,Programma!$F$3:$J$1101,5,0),"")</f>
        <v/>
      </c>
      <c r="BP496" s="448" t="str">
        <f>_xlfn.IFNA(VLOOKUP($BK496,Programma!$F$3:$K$1101,6,0),"")</f>
        <v/>
      </c>
      <c r="BQ496" s="448" t="str">
        <f>_xlfn.IFNA(VLOOKUP($BK496,Programma!$F$3:$L$1101,7,0),"")</f>
        <v/>
      </c>
      <c r="BR496" s="448" t="str">
        <f>_xlfn.IFNA(VLOOKUP($BK496,Programma!$F$3:$M$1101,8,0),"")</f>
        <v/>
      </c>
      <c r="BS496" s="448" t="str">
        <f>_xlfn.IFNA(VLOOKUP($BK496,Programma!$F$3:$N$1101,9,0),"")</f>
        <v/>
      </c>
      <c r="BT496" s="448" t="str">
        <f>_xlfn.IFNA(VLOOKUP($BK496,Programma!$F$3:$O$1101,10,0),"")</f>
        <v/>
      </c>
      <c r="BU496" s="448" t="str">
        <f>_xlfn.IFNA(VLOOKUP($BK496,Programma!$F$3:$P$1101,11,0),"")</f>
        <v/>
      </c>
      <c r="BV496" s="448" t="str">
        <f>_xlfn.IFNA(VLOOKUP($BK496,Programma!$F$3:$Q$1101,12,0),"")</f>
        <v/>
      </c>
      <c r="BW496" s="448" t="str">
        <f>_xlfn.IFNA(VLOOKUP($BK496,Programma!$F$3:$R$1101,13,0),"")</f>
        <v/>
      </c>
      <c r="BX496" s="448" t="str">
        <f>_xlfn.IFNA(VLOOKUP($BK496,Programma!$F$3:$S$1101,14,0),"")</f>
        <v/>
      </c>
      <c r="BY496" s="448" t="str">
        <f>_xlfn.IFNA(VLOOKUP($BK496,Programma!$F$3:$T$1101,15,0),"")</f>
        <v/>
      </c>
      <c r="BZ496" s="448" t="str">
        <f>_xlfn.IFNA(VLOOKUP($BK496,Programma!$F$3:$U$1101,16,0),"")</f>
        <v/>
      </c>
      <c r="CA496" s="448" t="str">
        <f>_xlfn.IFNA(VLOOKUP($BK496,Programma!$F$3:$V$1101,17,0),"")</f>
        <v/>
      </c>
      <c r="CB496" s="448" t="str">
        <f>_xlfn.IFNA(VLOOKUP($BK496,Programma!$F$3:$W$1101,18,0),"")</f>
        <v/>
      </c>
      <c r="CC496" s="448" t="str">
        <f>_xlfn.IFNA(VLOOKUP($BK496,Programma!$F$3:$X$1101,19,0),"")</f>
        <v/>
      </c>
      <c r="CD496" s="448" t="str">
        <f>_xlfn.IFNA(VLOOKUP($BK496,Programma!$F$3:$Y$1101,20,0),"")</f>
        <v/>
      </c>
    </row>
    <row r="497" spans="1:82" ht="15" customHeight="1">
      <c r="A497" s="327">
        <v>19</v>
      </c>
      <c r="B497" s="435" t="str">
        <f>VLOOKUP(Ruimtestaat[[#This Row],[Code]],Locaties[[Code]:[Locatie]],2,FALSE)</f>
        <v>IKC de Leerplaneet (vhKlimboom)</v>
      </c>
      <c r="C497" s="435" t="str">
        <f>VLOOKUP(Ruimtestaat[[#This Row],[Code]],Locaties[[#All],[Code]:[Adres]],4,FALSE)</f>
        <v>Nesciohove 105-107</v>
      </c>
      <c r="D497" s="435" t="str">
        <f>VLOOKUP(Ruimtestaat[[#This Row],[Code]],Locaties[[#All],[Code]:[Postcode]],5,FALSE)</f>
        <v>2726 BL</v>
      </c>
      <c r="E497" s="435" t="str">
        <f>VLOOKUP(Ruimtestaat[[#This Row],[Code]],Locaties[#All],6,FALSE)</f>
        <v>Zoetermeer</v>
      </c>
      <c r="F497" s="450"/>
      <c r="G497" s="330" t="s">
        <v>1678</v>
      </c>
      <c r="H497" s="330" t="s">
        <v>1882</v>
      </c>
      <c r="I497" s="450" t="s">
        <v>38</v>
      </c>
      <c r="J497" s="330">
        <v>7</v>
      </c>
      <c r="K497" s="450" t="str">
        <f>VLOOKUP(Ruimtestaat[[#This Row],[Ruimte code]],Ruimtegroepen[[#All],[Code]:[Ruimte omschrijving]],2,FALSE)</f>
        <v>Entree</v>
      </c>
      <c r="L497" s="434" t="s">
        <v>99</v>
      </c>
      <c r="M497" s="437" t="s">
        <v>36</v>
      </c>
      <c r="N497" s="439">
        <v>8.3000000000000007</v>
      </c>
      <c r="O497" s="439"/>
      <c r="P497" s="439"/>
      <c r="Q497" s="439"/>
      <c r="R497" s="440" t="str">
        <f>VLOOKUP(Ruimtestaat[[#This Row],[Ruimte code]],Ruimtegroepen[],4,FALSE)</f>
        <v>Ve</v>
      </c>
      <c r="S497" s="434">
        <v>41</v>
      </c>
      <c r="T497" s="434" t="s">
        <v>2</v>
      </c>
      <c r="U497" s="453">
        <f>IF(S497&gt;0,IF(RIGHT(Ruimtestaat[[#This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497" s="434">
        <f>IF(U497&gt;0,VLOOKUP($J497,Ruimtegroepen[],3,FALSE)*VLOOKUP($L497,Vloersoorten[],3,FALSE)*VLOOKUP($T497,Frequenties[],3,FALSE)*VLOOKUP($A497,Locaties[],3,FALSE),0)</f>
        <v>0</v>
      </c>
      <c r="W497" s="434">
        <f>Ruimtestaat[[#This Row],[Uitvoeringen werkdagen]]*Ruimtestaat[[#This Row],[Oppervlak (netto)]]</f>
        <v>1701.5000000000002</v>
      </c>
      <c r="X497" s="441">
        <f>IF(V497&gt;0,Ruimtestaat[[#This Row],[Prest. (m2 /jaar) werkdagen]]/Ruimtestaat[[#This Row],[Norm (m2/uur) werkdagen]],0)</f>
        <v>0</v>
      </c>
      <c r="Y497" s="442">
        <f>Ruimtestaat[[#This Row],[Uitvoeringen werkdagen]]*Ruimtestaat[[#This Row],[Gedeeltelijk]]</f>
        <v>0</v>
      </c>
      <c r="Z497" s="443" t="e">
        <f>IF(U497&gt;0,Ruimtestaat[[#This Row],[Prest. (m2 / jaar) werkdagen gedeeld]]/Ruimtestaat[[#This Row],[Norm (m2/uur) werkdagen]],0)</f>
        <v>#DIV/0!</v>
      </c>
      <c r="AA497" s="441" t="e">
        <f>Ruimtestaat[[#This Row],[uren / jaar werkdagen gedeeld]]*Tariefsopbouw!$E$35</f>
        <v>#DIV/0!</v>
      </c>
      <c r="AB497" s="441">
        <f>Ruimtestaat[[#This Row],[Uitvoeringen werkdagen]]*Ruimtestaat[[#This Row],[BSO]]</f>
        <v>0</v>
      </c>
      <c r="AC497" s="443" t="e">
        <f>IF(U497&gt;0,Ruimtestaat[[#This Row],[Prest. (m2 / jaar) werkdagen BSO]]/Ruimtestaat[[#This Row],[Norm (m2/uur) werkdagen]],0)</f>
        <v>#DIV/0!</v>
      </c>
      <c r="AD497" s="443" t="e">
        <f>Ruimtestaat[[#This Row],[uren / jaar werkdagen BSO]]*Tariefsopbouw!$E$35</f>
        <v>#DIV/0!</v>
      </c>
      <c r="AE497" s="444">
        <f>Ruimtestaat[[#This Row],[uren / jaar werkdagen]]*Tariefsopbouw!$E$35</f>
        <v>0</v>
      </c>
      <c r="AF497" s="454"/>
      <c r="AG497" s="455">
        <f>IF(Ruimtestaat[[#This Row],[Frequentie weekend]]&gt;0,VALUE(LEFT(AF497,1))*S497,0)</f>
        <v>0</v>
      </c>
      <c r="AH497" s="455">
        <f>IF($AG497&gt;0,VLOOKUP($J497,Ruimtegroepen[],3,FALSE)*VLOOKUP($L497,Vloersoorten[],3,FALSE)*VLOOKUP($AF497,Frequenties[],3,FALSE)*VLOOKUP(#REF!,Locaties[],3,FALSE),0)</f>
        <v>0</v>
      </c>
      <c r="AI497" s="434">
        <f>Ruimtestaat[[#This Row],[Uitvoeringen weekend]]*Ruimtestaat[[#This Row],[Oppervlak (netto)]]</f>
        <v>0</v>
      </c>
      <c r="AJ497" s="434">
        <f>IF(AH497&gt;0,Ruimtestaat[[#This Row],[Prest. (m2 /jaar) weekend]]/Ruimtestaat[[#This Row],[Norm (m2/uur) weekend]],0)</f>
        <v>0</v>
      </c>
      <c r="AK497" s="444">
        <f>Ruimtestaat[[#This Row],[uren / jaar weekend]]*Tariefsopbouw!$D$40</f>
        <v>0</v>
      </c>
      <c r="AL497" s="441">
        <f>Ruimtestaat[[#This Row],[Prest. (m2 /jaar) weekend]]+Ruimtestaat[[#This Row],[Prest. (m2 /jaar) werkdagen]]</f>
        <v>1701.5000000000002</v>
      </c>
      <c r="AM497" s="441">
        <f>Ruimtestaat[[#This Row],[uren / jaar weekend]]+Ruimtestaat[[#This Row],[uren / jaar werkdagen]]</f>
        <v>0</v>
      </c>
      <c r="AN497" s="446">
        <f>Ruimtestaat[[#This Row],[kosten / jaar weekend]]+Ruimtestaat[[#This Row],[kosten / jaar werkdagen]]</f>
        <v>0</v>
      </c>
      <c r="AO497" s="446"/>
      <c r="AP497" s="446" t="str">
        <f>IF(Ruimtestaat[[#This Row],[Frequentie werkdagen]]="","",_xlfn.CONCAT(Ruimtestaat[[#This Row],[Ruimte code]],"-",Ruimtestaat[[#This Row],[Frequentie werkdagen]]," ",Ruimtestaat[[#This Row],[Vloer code]]))</f>
        <v>7-5w T</v>
      </c>
      <c r="AQ497" s="448" t="str">
        <f>_xlfn.IFNA(VLOOKUP($AP497,Programma!$F$3:$G$1101,2,0),"")</f>
        <v>_</v>
      </c>
      <c r="AR497" s="448" t="str">
        <f>_xlfn.IFNA(VLOOKUP($AP497,Programma!$F$3:$H$1101,3,0),"")</f>
        <v>5w</v>
      </c>
      <c r="AS497" s="448" t="str">
        <f>_xlfn.IFNA(VLOOKUP($AP497,Programma!$F$3:$I$1101,4,0),"")</f>
        <v>_</v>
      </c>
      <c r="AT497" s="448" t="str">
        <f>_xlfn.IFNA(VLOOKUP($AP497,Programma!$F$3:$J$1101,5,0),"")</f>
        <v>_</v>
      </c>
      <c r="AU497" s="448" t="str">
        <f>_xlfn.IFNA(VLOOKUP($AP497,Programma!$F$3:$K$1101,6,0),"")</f>
        <v>_</v>
      </c>
      <c r="AV497" s="448" t="str">
        <f>_xlfn.IFNA(VLOOKUP($AP497,Programma!$F$3:$L$1101,7,0),"")</f>
        <v>_</v>
      </c>
      <c r="AW497" s="448" t="str">
        <f>_xlfn.IFNA(VLOOKUP($AP497,Programma!$F$3:$M$1101,8,0),"")</f>
        <v>_</v>
      </c>
      <c r="AX497" s="448" t="str">
        <f>_xlfn.IFNA(VLOOKUP($AP497,Programma!$F$3:$N$1101,9,0),"")</f>
        <v>_</v>
      </c>
      <c r="AY497" s="448" t="str">
        <f>_xlfn.IFNA(VLOOKUP($AP497,Programma!$F$3:$O$1101,10,0),"")</f>
        <v>5w</v>
      </c>
      <c r="AZ497" s="448" t="str">
        <f>_xlfn.IFNA(VLOOKUP($AP497,Programma!$F$3:$P$1101,11,0),"")</f>
        <v>5w</v>
      </c>
      <c r="BA497" s="448" t="str">
        <f>_xlfn.IFNA(VLOOKUP($AP497,Programma!$F$3:$Q$1101,12,0),"")</f>
        <v>1w</v>
      </c>
      <c r="BB497" s="448" t="str">
        <f>_xlfn.IFNA(VLOOKUP($AP497,Programma!$F$3:$R$1101,13,0),"")</f>
        <v>1w</v>
      </c>
      <c r="BC497" s="448" t="str">
        <f>_xlfn.IFNA(VLOOKUP($AP497,Programma!$F$3:$S$1101,14,0),"")</f>
        <v>1m</v>
      </c>
      <c r="BD497" s="448" t="str">
        <f>_xlfn.IFNA(VLOOKUP($AP497,Programma!$F$3:$T$1101,15,0),"")</f>
        <v>2j</v>
      </c>
      <c r="BE497" s="448" t="str">
        <f>_xlfn.IFNA(VLOOKUP($AP497,Programma!$F$3:$U$1101,16,0),"")</f>
        <v>1j</v>
      </c>
      <c r="BF497" s="448" t="str">
        <f>_xlfn.IFNA(VLOOKUP($AP497,Programma!$F$3:$V$1101,17,0),"")</f>
        <v>_</v>
      </c>
      <c r="BG497" s="448" t="str">
        <f>_xlfn.IFNA(VLOOKUP($AP497,Programma!$F$3:$W$1101,18,0),"")</f>
        <v>_</v>
      </c>
      <c r="BH497" s="448" t="str">
        <f>_xlfn.IFNA(VLOOKUP($AP497,Programma!$F$3:$X$1101,19,0),"")</f>
        <v>_</v>
      </c>
      <c r="BI497" s="448" t="str">
        <f>_xlfn.IFNA(VLOOKUP($AP497,Programma!$F$3:$Y$1101,20,0),"")</f>
        <v>_</v>
      </c>
      <c r="BJ497" s="449"/>
      <c r="BK497" s="446" t="str">
        <f>IF(Ruimtestaat[[#This Row],[Frequentie weekend]]="","",_xlfn.CONCAT(Ruimtestaat[[#This Row],[Ruimte code]],"-",Ruimtestaat[[#This Row],[Frequentie weekend]]," ",Ruimtestaat[[#This Row],[Vloer code]]))</f>
        <v/>
      </c>
      <c r="BL497" s="448" t="str">
        <f>_xlfn.IFNA(VLOOKUP($BK497,Programma!$F$3:$G$1101,2,0),"")</f>
        <v/>
      </c>
      <c r="BM497" s="448" t="str">
        <f>_xlfn.IFNA(VLOOKUP($BK497,Programma!$F$3:$H$1101,3,0),"")</f>
        <v/>
      </c>
      <c r="BN497" s="448" t="str">
        <f>_xlfn.IFNA(VLOOKUP($BK497,Programma!$F$3:$I$1101,4,0),"")</f>
        <v/>
      </c>
      <c r="BO497" s="448" t="str">
        <f>_xlfn.IFNA(VLOOKUP($BK497,Programma!$F$3:$J$1101,5,0),"")</f>
        <v/>
      </c>
      <c r="BP497" s="448" t="str">
        <f>_xlfn.IFNA(VLOOKUP($BK497,Programma!$F$3:$K$1101,6,0),"")</f>
        <v/>
      </c>
      <c r="BQ497" s="448" t="str">
        <f>_xlfn.IFNA(VLOOKUP($BK497,Programma!$F$3:$L$1101,7,0),"")</f>
        <v/>
      </c>
      <c r="BR497" s="448" t="str">
        <f>_xlfn.IFNA(VLOOKUP($BK497,Programma!$F$3:$M$1101,8,0),"")</f>
        <v/>
      </c>
      <c r="BS497" s="448" t="str">
        <f>_xlfn.IFNA(VLOOKUP($BK497,Programma!$F$3:$N$1101,9,0),"")</f>
        <v/>
      </c>
      <c r="BT497" s="448" t="str">
        <f>_xlfn.IFNA(VLOOKUP($BK497,Programma!$F$3:$O$1101,10,0),"")</f>
        <v/>
      </c>
      <c r="BU497" s="448" t="str">
        <f>_xlfn.IFNA(VLOOKUP($BK497,Programma!$F$3:$P$1101,11,0),"")</f>
        <v/>
      </c>
      <c r="BV497" s="448" t="str">
        <f>_xlfn.IFNA(VLOOKUP($BK497,Programma!$F$3:$Q$1101,12,0),"")</f>
        <v/>
      </c>
      <c r="BW497" s="448" t="str">
        <f>_xlfn.IFNA(VLOOKUP($BK497,Programma!$F$3:$R$1101,13,0),"")</f>
        <v/>
      </c>
      <c r="BX497" s="448" t="str">
        <f>_xlfn.IFNA(VLOOKUP($BK497,Programma!$F$3:$S$1101,14,0),"")</f>
        <v/>
      </c>
      <c r="BY497" s="448" t="str">
        <f>_xlfn.IFNA(VLOOKUP($BK497,Programma!$F$3:$T$1101,15,0),"")</f>
        <v/>
      </c>
      <c r="BZ497" s="448" t="str">
        <f>_xlfn.IFNA(VLOOKUP($BK497,Programma!$F$3:$U$1101,16,0),"")</f>
        <v/>
      </c>
      <c r="CA497" s="448" t="str">
        <f>_xlfn.IFNA(VLOOKUP($BK497,Programma!$F$3:$V$1101,17,0),"")</f>
        <v/>
      </c>
      <c r="CB497" s="448" t="str">
        <f>_xlfn.IFNA(VLOOKUP($BK497,Programma!$F$3:$W$1101,18,0),"")</f>
        <v/>
      </c>
      <c r="CC497" s="448" t="str">
        <f>_xlfn.IFNA(VLOOKUP($BK497,Programma!$F$3:$X$1101,19,0),"")</f>
        <v/>
      </c>
      <c r="CD497" s="448" t="str">
        <f>_xlfn.IFNA(VLOOKUP($BK497,Programma!$F$3:$Y$1101,20,0),"")</f>
        <v/>
      </c>
    </row>
    <row r="498" spans="1:82" ht="15" customHeight="1">
      <c r="A498" s="327">
        <v>19</v>
      </c>
      <c r="B498" s="435" t="str">
        <f>VLOOKUP(Ruimtestaat[[#This Row],[Code]],Locaties[[Code]:[Locatie]],2,FALSE)</f>
        <v>IKC de Leerplaneet (vhKlimboom)</v>
      </c>
      <c r="C498" s="435" t="str">
        <f>VLOOKUP(Ruimtestaat[[#This Row],[Code]],Locaties[[#All],[Code]:[Adres]],4,FALSE)</f>
        <v>Nesciohove 105-107</v>
      </c>
      <c r="D498" s="435" t="str">
        <f>VLOOKUP(Ruimtestaat[[#This Row],[Code]],Locaties[[#All],[Code]:[Postcode]],5,FALSE)</f>
        <v>2726 BL</v>
      </c>
      <c r="E498" s="435" t="str">
        <f>VLOOKUP(Ruimtestaat[[#This Row],[Code]],Locaties[#All],6,FALSE)</f>
        <v>Zoetermeer</v>
      </c>
      <c r="F498" s="450"/>
      <c r="G498" s="330" t="s">
        <v>1678</v>
      </c>
      <c r="H498" s="330" t="s">
        <v>1883</v>
      </c>
      <c r="I498" s="450" t="s">
        <v>1865</v>
      </c>
      <c r="J498" s="330">
        <v>2</v>
      </c>
      <c r="K498" s="450" t="str">
        <f>VLOOKUP(Ruimtestaat[[#This Row],[Ruimte code]],Ruimtegroepen[[#All],[Code]:[Ruimte omschrijving]],2,FALSE)</f>
        <v>Kantoren</v>
      </c>
      <c r="L498" s="434" t="s">
        <v>99</v>
      </c>
      <c r="M498" s="437" t="s">
        <v>36</v>
      </c>
      <c r="N498" s="439">
        <v>16.3</v>
      </c>
      <c r="O498" s="439"/>
      <c r="P498" s="439"/>
      <c r="Q498" s="439"/>
      <c r="R498" s="440" t="str">
        <f>VLOOKUP(Ruimtestaat[[#This Row],[Ruimte code]],Ruimtegroepen[],4,FALSE)</f>
        <v>Bu</v>
      </c>
      <c r="S498" s="434">
        <v>41</v>
      </c>
      <c r="T498" s="434" t="s">
        <v>17</v>
      </c>
      <c r="U498" s="453">
        <f>IF(S498&gt;0,IF(RIGHT(Ruimtestaat[[#This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498" s="434">
        <f>IF(U498&gt;0,VLOOKUP($J498,Ruimtegroepen[],3,FALSE)*VLOOKUP($L498,Vloersoorten[],3,FALSE)*VLOOKUP($T498,Frequenties[],3,FALSE)*VLOOKUP($A498,Locaties[],3,FALSE),0)</f>
        <v>0</v>
      </c>
      <c r="W498" s="434">
        <f>Ruimtestaat[[#This Row],[Uitvoeringen werkdagen]]*Ruimtestaat[[#This Row],[Oppervlak (netto)]]</f>
        <v>1336.6000000000001</v>
      </c>
      <c r="X498" s="441">
        <f>IF(V498&gt;0,Ruimtestaat[[#This Row],[Prest. (m2 /jaar) werkdagen]]/Ruimtestaat[[#This Row],[Norm (m2/uur) werkdagen]],0)</f>
        <v>0</v>
      </c>
      <c r="Y498" s="442">
        <f>Ruimtestaat[[#This Row],[Uitvoeringen werkdagen]]*Ruimtestaat[[#This Row],[Gedeeltelijk]]</f>
        <v>0</v>
      </c>
      <c r="Z498" s="443" t="e">
        <f>IF(U498&gt;0,Ruimtestaat[[#This Row],[Prest. (m2 / jaar) werkdagen gedeeld]]/Ruimtestaat[[#This Row],[Norm (m2/uur) werkdagen]],0)</f>
        <v>#DIV/0!</v>
      </c>
      <c r="AA498" s="441" t="e">
        <f>Ruimtestaat[[#This Row],[uren / jaar werkdagen gedeeld]]*Tariefsopbouw!$E$35</f>
        <v>#DIV/0!</v>
      </c>
      <c r="AB498" s="441">
        <f>Ruimtestaat[[#This Row],[Uitvoeringen werkdagen]]*Ruimtestaat[[#This Row],[BSO]]</f>
        <v>0</v>
      </c>
      <c r="AC498" s="443" t="e">
        <f>IF(U498&gt;0,Ruimtestaat[[#This Row],[Prest. (m2 / jaar) werkdagen BSO]]/Ruimtestaat[[#This Row],[Norm (m2/uur) werkdagen]],0)</f>
        <v>#DIV/0!</v>
      </c>
      <c r="AD498" s="443" t="e">
        <f>Ruimtestaat[[#This Row],[uren / jaar werkdagen BSO]]*Tariefsopbouw!$E$35</f>
        <v>#DIV/0!</v>
      </c>
      <c r="AE498" s="444">
        <f>Ruimtestaat[[#This Row],[uren / jaar werkdagen]]*Tariefsopbouw!$E$35</f>
        <v>0</v>
      </c>
      <c r="AF498" s="454"/>
      <c r="AG498" s="455">
        <f>IF(Ruimtestaat[[#This Row],[Frequentie weekend]]&gt;0,VALUE(LEFT(AF498,1))*S498,0)</f>
        <v>0</v>
      </c>
      <c r="AH498" s="455">
        <f>IF($AG498&gt;0,VLOOKUP($J498,Ruimtegroepen[],3,FALSE)*VLOOKUP($L498,Vloersoorten[],3,FALSE)*VLOOKUP($AF498,Frequenties[],3,FALSE)*VLOOKUP(#REF!,Locaties[],3,FALSE),0)</f>
        <v>0</v>
      </c>
      <c r="AI498" s="434">
        <f>Ruimtestaat[[#This Row],[Uitvoeringen weekend]]*Ruimtestaat[[#This Row],[Oppervlak (netto)]]</f>
        <v>0</v>
      </c>
      <c r="AJ498" s="434">
        <f>IF(AH498&gt;0,Ruimtestaat[[#This Row],[Prest. (m2 /jaar) weekend]]/Ruimtestaat[[#This Row],[Norm (m2/uur) weekend]],0)</f>
        <v>0</v>
      </c>
      <c r="AK498" s="444">
        <f>Ruimtestaat[[#This Row],[uren / jaar weekend]]*Tariefsopbouw!$D$40</f>
        <v>0</v>
      </c>
      <c r="AL498" s="441">
        <f>Ruimtestaat[[#This Row],[Prest. (m2 /jaar) weekend]]+Ruimtestaat[[#This Row],[Prest. (m2 /jaar) werkdagen]]</f>
        <v>1336.6000000000001</v>
      </c>
      <c r="AM498" s="441">
        <f>Ruimtestaat[[#This Row],[uren / jaar weekend]]+Ruimtestaat[[#This Row],[uren / jaar werkdagen]]</f>
        <v>0</v>
      </c>
      <c r="AN498" s="446">
        <f>Ruimtestaat[[#This Row],[kosten / jaar weekend]]+Ruimtestaat[[#This Row],[kosten / jaar werkdagen]]</f>
        <v>0</v>
      </c>
      <c r="AO498" s="446"/>
      <c r="AP498" s="446" t="str">
        <f>IF(Ruimtestaat[[#This Row],[Frequentie werkdagen]]="","",_xlfn.CONCAT(Ruimtestaat[[#This Row],[Ruimte code]],"-",Ruimtestaat[[#This Row],[Frequentie werkdagen]]," ",Ruimtestaat[[#This Row],[Vloer code]]))</f>
        <v>2-2w T</v>
      </c>
      <c r="AQ498" s="448" t="str">
        <f>_xlfn.IFNA(VLOOKUP($AP498,Programma!$F$3:$G$1101,2,0),"")</f>
        <v>1w</v>
      </c>
      <c r="AR498" s="448" t="str">
        <f>_xlfn.IFNA(VLOOKUP($AP498,Programma!$F$3:$H$1101,3,0),"")</f>
        <v>1w</v>
      </c>
      <c r="AS498" s="448" t="str">
        <f>_xlfn.IFNA(VLOOKUP($AP498,Programma!$F$3:$I$1101,4,0),"")</f>
        <v>_</v>
      </c>
      <c r="AT498" s="448" t="str">
        <f>_xlfn.IFNA(VLOOKUP($AP498,Programma!$F$3:$J$1101,5,0),"")</f>
        <v>_</v>
      </c>
      <c r="AU498" s="448" t="str">
        <f>_xlfn.IFNA(VLOOKUP($AP498,Programma!$F$3:$K$1101,6,0),"")</f>
        <v>_</v>
      </c>
      <c r="AV498" s="448" t="str">
        <f>_xlfn.IFNA(VLOOKUP($AP498,Programma!$F$3:$L$1101,7,0),"")</f>
        <v>_</v>
      </c>
      <c r="AW498" s="448" t="str">
        <f>_xlfn.IFNA(VLOOKUP($AP498,Programma!$F$3:$M$1101,8,0),"")</f>
        <v>_</v>
      </c>
      <c r="AX498" s="448" t="str">
        <f>_xlfn.IFNA(VLOOKUP($AP498,Programma!$F$3:$N$1101,9,0),"")</f>
        <v>_</v>
      </c>
      <c r="AY498" s="448" t="str">
        <f>_xlfn.IFNA(VLOOKUP($AP498,Programma!$F$3:$O$1101,10,0),"")</f>
        <v>2w</v>
      </c>
      <c r="AZ498" s="448" t="str">
        <f>_xlfn.IFNA(VLOOKUP($AP498,Programma!$F$3:$P$1101,11,0),"")</f>
        <v>2w</v>
      </c>
      <c r="BA498" s="448" t="str">
        <f>_xlfn.IFNA(VLOOKUP($AP498,Programma!$F$3:$Q$1101,12,0),"")</f>
        <v>1w</v>
      </c>
      <c r="BB498" s="448" t="str">
        <f>_xlfn.IFNA(VLOOKUP($AP498,Programma!$F$3:$R$1101,13,0),"")</f>
        <v>1w</v>
      </c>
      <c r="BC498" s="448" t="str">
        <f>_xlfn.IFNA(VLOOKUP($AP498,Programma!$F$3:$S$1101,14,0),"")</f>
        <v>1m</v>
      </c>
      <c r="BD498" s="448" t="str">
        <f>_xlfn.IFNA(VLOOKUP($AP498,Programma!$F$3:$T$1101,15,0),"")</f>
        <v>2j</v>
      </c>
      <c r="BE498" s="448" t="str">
        <f>_xlfn.IFNA(VLOOKUP($AP498,Programma!$F$3:$U$1101,16,0),"")</f>
        <v>1j</v>
      </c>
      <c r="BF498" s="448" t="str">
        <f>_xlfn.IFNA(VLOOKUP($AP498,Programma!$F$3:$V$1101,17,0),"")</f>
        <v>_</v>
      </c>
      <c r="BG498" s="448" t="str">
        <f>_xlfn.IFNA(VLOOKUP($AP498,Programma!$F$3:$W$1101,18,0),"")</f>
        <v>_</v>
      </c>
      <c r="BH498" s="448" t="str">
        <f>_xlfn.IFNA(VLOOKUP($AP498,Programma!$F$3:$X$1101,19,0),"")</f>
        <v>_</v>
      </c>
      <c r="BI498" s="448" t="str">
        <f>_xlfn.IFNA(VLOOKUP($AP498,Programma!$F$3:$Y$1101,20,0),"")</f>
        <v>_</v>
      </c>
      <c r="BJ498" s="449"/>
      <c r="BK498" s="446" t="str">
        <f>IF(Ruimtestaat[[#This Row],[Frequentie weekend]]="","",_xlfn.CONCAT(Ruimtestaat[[#This Row],[Ruimte code]],"-",Ruimtestaat[[#This Row],[Frequentie weekend]]," ",Ruimtestaat[[#This Row],[Vloer code]]))</f>
        <v/>
      </c>
      <c r="BL498" s="448" t="str">
        <f>_xlfn.IFNA(VLOOKUP($BK498,Programma!$F$3:$G$1101,2,0),"")</f>
        <v/>
      </c>
      <c r="BM498" s="448" t="str">
        <f>_xlfn.IFNA(VLOOKUP($BK498,Programma!$F$3:$H$1101,3,0),"")</f>
        <v/>
      </c>
      <c r="BN498" s="448" t="str">
        <f>_xlfn.IFNA(VLOOKUP($BK498,Programma!$F$3:$I$1101,4,0),"")</f>
        <v/>
      </c>
      <c r="BO498" s="448" t="str">
        <f>_xlfn.IFNA(VLOOKUP($BK498,Programma!$F$3:$J$1101,5,0),"")</f>
        <v/>
      </c>
      <c r="BP498" s="448" t="str">
        <f>_xlfn.IFNA(VLOOKUP($BK498,Programma!$F$3:$K$1101,6,0),"")</f>
        <v/>
      </c>
      <c r="BQ498" s="448" t="str">
        <f>_xlfn.IFNA(VLOOKUP($BK498,Programma!$F$3:$L$1101,7,0),"")</f>
        <v/>
      </c>
      <c r="BR498" s="448" t="str">
        <f>_xlfn.IFNA(VLOOKUP($BK498,Programma!$F$3:$M$1101,8,0),"")</f>
        <v/>
      </c>
      <c r="BS498" s="448" t="str">
        <f>_xlfn.IFNA(VLOOKUP($BK498,Programma!$F$3:$N$1101,9,0),"")</f>
        <v/>
      </c>
      <c r="BT498" s="448" t="str">
        <f>_xlfn.IFNA(VLOOKUP($BK498,Programma!$F$3:$O$1101,10,0),"")</f>
        <v/>
      </c>
      <c r="BU498" s="448" t="str">
        <f>_xlfn.IFNA(VLOOKUP($BK498,Programma!$F$3:$P$1101,11,0),"")</f>
        <v/>
      </c>
      <c r="BV498" s="448" t="str">
        <f>_xlfn.IFNA(VLOOKUP($BK498,Programma!$F$3:$Q$1101,12,0),"")</f>
        <v/>
      </c>
      <c r="BW498" s="448" t="str">
        <f>_xlfn.IFNA(VLOOKUP($BK498,Programma!$F$3:$R$1101,13,0),"")</f>
        <v/>
      </c>
      <c r="BX498" s="448" t="str">
        <f>_xlfn.IFNA(VLOOKUP($BK498,Programma!$F$3:$S$1101,14,0),"")</f>
        <v/>
      </c>
      <c r="BY498" s="448" t="str">
        <f>_xlfn.IFNA(VLOOKUP($BK498,Programma!$F$3:$T$1101,15,0),"")</f>
        <v/>
      </c>
      <c r="BZ498" s="448" t="str">
        <f>_xlfn.IFNA(VLOOKUP($BK498,Programma!$F$3:$U$1101,16,0),"")</f>
        <v/>
      </c>
      <c r="CA498" s="448" t="str">
        <f>_xlfn.IFNA(VLOOKUP($BK498,Programma!$F$3:$V$1101,17,0),"")</f>
        <v/>
      </c>
      <c r="CB498" s="448" t="str">
        <f>_xlfn.IFNA(VLOOKUP($BK498,Programma!$F$3:$W$1101,18,0),"")</f>
        <v/>
      </c>
      <c r="CC498" s="448" t="str">
        <f>_xlfn.IFNA(VLOOKUP($BK498,Programma!$F$3:$X$1101,19,0),"")</f>
        <v/>
      </c>
      <c r="CD498" s="448" t="str">
        <f>_xlfn.IFNA(VLOOKUP($BK498,Programma!$F$3:$Y$1101,20,0),"")</f>
        <v/>
      </c>
    </row>
    <row r="499" spans="1:82" ht="15" customHeight="1">
      <c r="A499" s="327">
        <v>19</v>
      </c>
      <c r="B499" s="435" t="str">
        <f>VLOOKUP(Ruimtestaat[[#This Row],[Code]],Locaties[[Code]:[Locatie]],2,FALSE)</f>
        <v>IKC de Leerplaneet (vhKlimboom)</v>
      </c>
      <c r="C499" s="435" t="str">
        <f>VLOOKUP(Ruimtestaat[[#This Row],[Code]],Locaties[[#All],[Code]:[Adres]],4,FALSE)</f>
        <v>Nesciohove 105-107</v>
      </c>
      <c r="D499" s="435" t="str">
        <f>VLOOKUP(Ruimtestaat[[#This Row],[Code]],Locaties[[#All],[Code]:[Postcode]],5,FALSE)</f>
        <v>2726 BL</v>
      </c>
      <c r="E499" s="435" t="str">
        <f>VLOOKUP(Ruimtestaat[[#This Row],[Code]],Locaties[#All],6,FALSE)</f>
        <v>Zoetermeer</v>
      </c>
      <c r="F499" s="450"/>
      <c r="G499" s="330" t="s">
        <v>1678</v>
      </c>
      <c r="H499" s="330" t="s">
        <v>1884</v>
      </c>
      <c r="I499" s="450" t="s">
        <v>1697</v>
      </c>
      <c r="J499" s="330">
        <v>4</v>
      </c>
      <c r="K499" s="450" t="str">
        <f>VLOOKUP(Ruimtestaat[[#This Row],[Ruimte code]],Ruimtegroepen[[#All],[Code]:[Ruimte omschrijving]],2,FALSE)</f>
        <v>Vergader/spreekkamers</v>
      </c>
      <c r="L499" s="434" t="s">
        <v>99</v>
      </c>
      <c r="M499" s="437" t="s">
        <v>36</v>
      </c>
      <c r="N499" s="439">
        <v>8.1999999999999993</v>
      </c>
      <c r="O499" s="439"/>
      <c r="P499" s="439"/>
      <c r="Q499" s="439"/>
      <c r="R499" s="440" t="str">
        <f>VLOOKUP(Ruimtestaat[[#This Row],[Ruimte code]],Ruimtegroepen[],4,FALSE)</f>
        <v>Bu</v>
      </c>
      <c r="S499" s="434">
        <v>40</v>
      </c>
      <c r="T499" s="434" t="s">
        <v>17</v>
      </c>
      <c r="U499" s="453">
        <f>IF(S499&gt;0,IF(RIGHT(Ruimtestaat[[#This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V499" s="434">
        <f>IF(U499&gt;0,VLOOKUP($J499,Ruimtegroepen[],3,FALSE)*VLOOKUP($L499,Vloersoorten[],3,FALSE)*VLOOKUP($T499,Frequenties[],3,FALSE)*VLOOKUP($A499,Locaties[],3,FALSE),0)</f>
        <v>0</v>
      </c>
      <c r="W499" s="434">
        <f>Ruimtestaat[[#This Row],[Uitvoeringen werkdagen]]*Ruimtestaat[[#This Row],[Oppervlak (netto)]]</f>
        <v>656</v>
      </c>
      <c r="X499" s="441">
        <f>IF(V499&gt;0,Ruimtestaat[[#This Row],[Prest. (m2 /jaar) werkdagen]]/Ruimtestaat[[#This Row],[Norm (m2/uur) werkdagen]],0)</f>
        <v>0</v>
      </c>
      <c r="Y499" s="442">
        <f>Ruimtestaat[[#This Row],[Uitvoeringen werkdagen]]*Ruimtestaat[[#This Row],[Gedeeltelijk]]</f>
        <v>0</v>
      </c>
      <c r="Z499" s="443" t="e">
        <f>IF(U499&gt;0,Ruimtestaat[[#This Row],[Prest. (m2 / jaar) werkdagen gedeeld]]/Ruimtestaat[[#This Row],[Norm (m2/uur) werkdagen]],0)</f>
        <v>#DIV/0!</v>
      </c>
      <c r="AA499" s="441" t="e">
        <f>Ruimtestaat[[#This Row],[uren / jaar werkdagen gedeeld]]*Tariefsopbouw!$E$35</f>
        <v>#DIV/0!</v>
      </c>
      <c r="AB499" s="441">
        <f>Ruimtestaat[[#This Row],[Uitvoeringen werkdagen]]*Ruimtestaat[[#This Row],[BSO]]</f>
        <v>0</v>
      </c>
      <c r="AC499" s="443" t="e">
        <f>IF(U499&gt;0,Ruimtestaat[[#This Row],[Prest. (m2 / jaar) werkdagen BSO]]/Ruimtestaat[[#This Row],[Norm (m2/uur) werkdagen]],0)</f>
        <v>#DIV/0!</v>
      </c>
      <c r="AD499" s="443" t="e">
        <f>Ruimtestaat[[#This Row],[uren / jaar werkdagen BSO]]*Tariefsopbouw!$E$35</f>
        <v>#DIV/0!</v>
      </c>
      <c r="AE499" s="444">
        <f>Ruimtestaat[[#This Row],[uren / jaar werkdagen]]*Tariefsopbouw!$E$35</f>
        <v>0</v>
      </c>
      <c r="AF499" s="454"/>
      <c r="AG499" s="455">
        <f>IF(Ruimtestaat[[#This Row],[Frequentie weekend]]&gt;0,VALUE(LEFT(AF499,1))*S499,0)</f>
        <v>0</v>
      </c>
      <c r="AH499" s="455">
        <f>IF($AG499&gt;0,VLOOKUP($J499,Ruimtegroepen[],3,FALSE)*VLOOKUP($L499,Vloersoorten[],3,FALSE)*VLOOKUP($AF499,Frequenties[],3,FALSE)*VLOOKUP(#REF!,Locaties[],3,FALSE),0)</f>
        <v>0</v>
      </c>
      <c r="AI499" s="434">
        <f>Ruimtestaat[[#This Row],[Uitvoeringen weekend]]*Ruimtestaat[[#This Row],[Oppervlak (netto)]]</f>
        <v>0</v>
      </c>
      <c r="AJ499" s="434">
        <f>IF(AH499&gt;0,Ruimtestaat[[#This Row],[Prest. (m2 /jaar) weekend]]/Ruimtestaat[[#This Row],[Norm (m2/uur) weekend]],0)</f>
        <v>0</v>
      </c>
      <c r="AK499" s="444">
        <f>Ruimtestaat[[#This Row],[uren / jaar weekend]]*Tariefsopbouw!$D$40</f>
        <v>0</v>
      </c>
      <c r="AL499" s="441">
        <f>Ruimtestaat[[#This Row],[Prest. (m2 /jaar) weekend]]+Ruimtestaat[[#This Row],[Prest. (m2 /jaar) werkdagen]]</f>
        <v>656</v>
      </c>
      <c r="AM499" s="441">
        <f>Ruimtestaat[[#This Row],[uren / jaar weekend]]+Ruimtestaat[[#This Row],[uren / jaar werkdagen]]</f>
        <v>0</v>
      </c>
      <c r="AN499" s="446">
        <f>Ruimtestaat[[#This Row],[kosten / jaar weekend]]+Ruimtestaat[[#This Row],[kosten / jaar werkdagen]]</f>
        <v>0</v>
      </c>
      <c r="AO499" s="446"/>
      <c r="AP499" s="446" t="str">
        <f>IF(Ruimtestaat[[#This Row],[Frequentie werkdagen]]="","",_xlfn.CONCAT(Ruimtestaat[[#This Row],[Ruimte code]],"-",Ruimtestaat[[#This Row],[Frequentie werkdagen]]," ",Ruimtestaat[[#This Row],[Vloer code]]))</f>
        <v>4-2w T</v>
      </c>
      <c r="AQ499" s="448" t="str">
        <f>_xlfn.IFNA(VLOOKUP($AP499,Programma!$F$3:$G$1101,2,0),"")</f>
        <v>1w</v>
      </c>
      <c r="AR499" s="448" t="str">
        <f>_xlfn.IFNA(VLOOKUP($AP499,Programma!$F$3:$H$1101,3,0),"")</f>
        <v>1w</v>
      </c>
      <c r="AS499" s="448" t="str">
        <f>_xlfn.IFNA(VLOOKUP($AP499,Programma!$F$3:$I$1101,4,0),"")</f>
        <v>_</v>
      </c>
      <c r="AT499" s="448" t="str">
        <f>_xlfn.IFNA(VLOOKUP($AP499,Programma!$F$3:$J$1101,5,0),"")</f>
        <v>_</v>
      </c>
      <c r="AU499" s="448" t="str">
        <f>_xlfn.IFNA(VLOOKUP($AP499,Programma!$F$3:$K$1101,6,0),"")</f>
        <v>_</v>
      </c>
      <c r="AV499" s="448" t="str">
        <f>_xlfn.IFNA(VLOOKUP($AP499,Programma!$F$3:$L$1101,7,0),"")</f>
        <v>_</v>
      </c>
      <c r="AW499" s="448" t="str">
        <f>_xlfn.IFNA(VLOOKUP($AP499,Programma!$F$3:$M$1101,8,0),"")</f>
        <v>_</v>
      </c>
      <c r="AX499" s="448" t="str">
        <f>_xlfn.IFNA(VLOOKUP($AP499,Programma!$F$3:$N$1101,9,0),"")</f>
        <v>_</v>
      </c>
      <c r="AY499" s="448" t="str">
        <f>_xlfn.IFNA(VLOOKUP($AP499,Programma!$F$3:$O$1101,10,0),"")</f>
        <v>2w</v>
      </c>
      <c r="AZ499" s="448" t="str">
        <f>_xlfn.IFNA(VLOOKUP($AP499,Programma!$F$3:$P$1101,11,0),"")</f>
        <v>2w</v>
      </c>
      <c r="BA499" s="448" t="str">
        <f>_xlfn.IFNA(VLOOKUP($AP499,Programma!$F$3:$Q$1101,12,0),"")</f>
        <v>1w</v>
      </c>
      <c r="BB499" s="448" t="str">
        <f>_xlfn.IFNA(VLOOKUP($AP499,Programma!$F$3:$R$1101,13,0),"")</f>
        <v>1w</v>
      </c>
      <c r="BC499" s="448" t="str">
        <f>_xlfn.IFNA(VLOOKUP($AP499,Programma!$F$3:$S$1101,14,0),"")</f>
        <v>1m</v>
      </c>
      <c r="BD499" s="448" t="str">
        <f>_xlfn.IFNA(VLOOKUP($AP499,Programma!$F$3:$T$1101,15,0),"")</f>
        <v>2j</v>
      </c>
      <c r="BE499" s="448" t="str">
        <f>_xlfn.IFNA(VLOOKUP($AP499,Programma!$F$3:$U$1101,16,0),"")</f>
        <v>1j</v>
      </c>
      <c r="BF499" s="448" t="str">
        <f>_xlfn.IFNA(VLOOKUP($AP499,Programma!$F$3:$V$1101,17,0),"")</f>
        <v>_</v>
      </c>
      <c r="BG499" s="448" t="str">
        <f>_xlfn.IFNA(VLOOKUP($AP499,Programma!$F$3:$W$1101,18,0),"")</f>
        <v>_</v>
      </c>
      <c r="BH499" s="448" t="str">
        <f>_xlfn.IFNA(VLOOKUP($AP499,Programma!$F$3:$X$1101,19,0),"")</f>
        <v>_</v>
      </c>
      <c r="BI499" s="448" t="str">
        <f>_xlfn.IFNA(VLOOKUP($AP499,Programma!$F$3:$Y$1101,20,0),"")</f>
        <v>_</v>
      </c>
      <c r="BJ499" s="449"/>
      <c r="BK499" s="446" t="str">
        <f>IF(Ruimtestaat[[#This Row],[Frequentie weekend]]="","",_xlfn.CONCAT(Ruimtestaat[[#This Row],[Ruimte code]],"-",Ruimtestaat[[#This Row],[Frequentie weekend]]," ",Ruimtestaat[[#This Row],[Vloer code]]))</f>
        <v/>
      </c>
      <c r="BL499" s="448" t="str">
        <f>_xlfn.IFNA(VLOOKUP($BK499,Programma!$F$3:$G$1101,2,0),"")</f>
        <v/>
      </c>
      <c r="BM499" s="448" t="str">
        <f>_xlfn.IFNA(VLOOKUP($BK499,Programma!$F$3:$H$1101,3,0),"")</f>
        <v/>
      </c>
      <c r="BN499" s="448" t="str">
        <f>_xlfn.IFNA(VLOOKUP($BK499,Programma!$F$3:$I$1101,4,0),"")</f>
        <v/>
      </c>
      <c r="BO499" s="448" t="str">
        <f>_xlfn.IFNA(VLOOKUP($BK499,Programma!$F$3:$J$1101,5,0),"")</f>
        <v/>
      </c>
      <c r="BP499" s="448" t="str">
        <f>_xlfn.IFNA(VLOOKUP($BK499,Programma!$F$3:$K$1101,6,0),"")</f>
        <v/>
      </c>
      <c r="BQ499" s="448" t="str">
        <f>_xlfn.IFNA(VLOOKUP($BK499,Programma!$F$3:$L$1101,7,0),"")</f>
        <v/>
      </c>
      <c r="BR499" s="448" t="str">
        <f>_xlfn.IFNA(VLOOKUP($BK499,Programma!$F$3:$M$1101,8,0),"")</f>
        <v/>
      </c>
      <c r="BS499" s="448" t="str">
        <f>_xlfn.IFNA(VLOOKUP($BK499,Programma!$F$3:$N$1101,9,0),"")</f>
        <v/>
      </c>
      <c r="BT499" s="448" t="str">
        <f>_xlfn.IFNA(VLOOKUP($BK499,Programma!$F$3:$O$1101,10,0),"")</f>
        <v/>
      </c>
      <c r="BU499" s="448" t="str">
        <f>_xlfn.IFNA(VLOOKUP($BK499,Programma!$F$3:$P$1101,11,0),"")</f>
        <v/>
      </c>
      <c r="BV499" s="448" t="str">
        <f>_xlfn.IFNA(VLOOKUP($BK499,Programma!$F$3:$Q$1101,12,0),"")</f>
        <v/>
      </c>
      <c r="BW499" s="448" t="str">
        <f>_xlfn.IFNA(VLOOKUP($BK499,Programma!$F$3:$R$1101,13,0),"")</f>
        <v/>
      </c>
      <c r="BX499" s="448" t="str">
        <f>_xlfn.IFNA(VLOOKUP($BK499,Programma!$F$3:$S$1101,14,0),"")</f>
        <v/>
      </c>
      <c r="BY499" s="448" t="str">
        <f>_xlfn.IFNA(VLOOKUP($BK499,Programma!$F$3:$T$1101,15,0),"")</f>
        <v/>
      </c>
      <c r="BZ499" s="448" t="str">
        <f>_xlfn.IFNA(VLOOKUP($BK499,Programma!$F$3:$U$1101,16,0),"")</f>
        <v/>
      </c>
      <c r="CA499" s="448" t="str">
        <f>_xlfn.IFNA(VLOOKUP($BK499,Programma!$F$3:$V$1101,17,0),"")</f>
        <v/>
      </c>
      <c r="CB499" s="448" t="str">
        <f>_xlfn.IFNA(VLOOKUP($BK499,Programma!$F$3:$W$1101,18,0),"")</f>
        <v/>
      </c>
      <c r="CC499" s="448" t="str">
        <f>_xlfn.IFNA(VLOOKUP($BK499,Programma!$F$3:$X$1101,19,0),"")</f>
        <v/>
      </c>
      <c r="CD499" s="448" t="str">
        <f>_xlfn.IFNA(VLOOKUP($BK499,Programma!$F$3:$Y$1101,20,0),"")</f>
        <v/>
      </c>
    </row>
    <row r="500" spans="1:82" ht="15" customHeight="1">
      <c r="A500" s="327">
        <v>19</v>
      </c>
      <c r="B500" s="435" t="str">
        <f>VLOOKUP(Ruimtestaat[[#This Row],[Code]],Locaties[[Code]:[Locatie]],2,FALSE)</f>
        <v>IKC de Leerplaneet (vhKlimboom)</v>
      </c>
      <c r="C500" s="435" t="str">
        <f>VLOOKUP(Ruimtestaat[[#This Row],[Code]],Locaties[[#All],[Code]:[Adres]],4,FALSE)</f>
        <v>Nesciohove 105-107</v>
      </c>
      <c r="D500" s="435" t="str">
        <f>VLOOKUP(Ruimtestaat[[#This Row],[Code]],Locaties[[#All],[Code]:[Postcode]],5,FALSE)</f>
        <v>2726 BL</v>
      </c>
      <c r="E500" s="435" t="str">
        <f>VLOOKUP(Ruimtestaat[[#This Row],[Code]],Locaties[#All],6,FALSE)</f>
        <v>Zoetermeer</v>
      </c>
      <c r="F500" s="450"/>
      <c r="G500" s="330" t="s">
        <v>1678</v>
      </c>
      <c r="I500" s="450" t="s">
        <v>1783</v>
      </c>
      <c r="J500" s="330">
        <v>10</v>
      </c>
      <c r="K500" s="450" t="str">
        <f>VLOOKUP(Ruimtestaat[[#This Row],[Ruimte code]],Ruimtegroepen[[#All],[Code]:[Ruimte omschrijving]],2,FALSE)</f>
        <v>Trappenhuizen/lift</v>
      </c>
      <c r="L500" s="434" t="s">
        <v>100</v>
      </c>
      <c r="M500" s="437" t="s">
        <v>1759</v>
      </c>
      <c r="N500" s="439">
        <v>2.25</v>
      </c>
      <c r="O500" s="439"/>
      <c r="P500" s="439"/>
      <c r="Q500" s="439"/>
      <c r="R500" s="440" t="str">
        <f>VLOOKUP(Ruimtestaat[[#This Row],[Ruimte code]],Ruimtegroepen[],4,FALSE)</f>
        <v>Ve</v>
      </c>
      <c r="S500" s="434">
        <v>41</v>
      </c>
      <c r="T500" s="434" t="s">
        <v>17</v>
      </c>
      <c r="U500" s="453">
        <f>IF(S500&gt;0,IF(RIGHT(Ruimtestaat[[#This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500" s="434">
        <f>IF(U500&gt;0,VLOOKUP($J500,Ruimtegroepen[],3,FALSE)*VLOOKUP($L500,Vloersoorten[],3,FALSE)*VLOOKUP($T500,Frequenties[],3,FALSE)*VLOOKUP($A500,Locaties[],3,FALSE),0)</f>
        <v>0</v>
      </c>
      <c r="W500" s="434">
        <f>Ruimtestaat[[#This Row],[Uitvoeringen werkdagen]]*Ruimtestaat[[#This Row],[Oppervlak (netto)]]</f>
        <v>184.5</v>
      </c>
      <c r="X500" s="441">
        <f>IF(V500&gt;0,Ruimtestaat[[#This Row],[Prest. (m2 /jaar) werkdagen]]/Ruimtestaat[[#This Row],[Norm (m2/uur) werkdagen]],0)</f>
        <v>0</v>
      </c>
      <c r="Y500" s="442">
        <f>Ruimtestaat[[#This Row],[Uitvoeringen werkdagen]]*Ruimtestaat[[#This Row],[Gedeeltelijk]]</f>
        <v>0</v>
      </c>
      <c r="Z500" s="443" t="e">
        <f>IF(U500&gt;0,Ruimtestaat[[#This Row],[Prest. (m2 / jaar) werkdagen gedeeld]]/Ruimtestaat[[#This Row],[Norm (m2/uur) werkdagen]],0)</f>
        <v>#DIV/0!</v>
      </c>
      <c r="AA500" s="441" t="e">
        <f>Ruimtestaat[[#This Row],[uren / jaar werkdagen gedeeld]]*Tariefsopbouw!$E$35</f>
        <v>#DIV/0!</v>
      </c>
      <c r="AB500" s="441">
        <f>Ruimtestaat[[#This Row],[Uitvoeringen werkdagen]]*Ruimtestaat[[#This Row],[BSO]]</f>
        <v>0</v>
      </c>
      <c r="AC500" s="443" t="e">
        <f>IF(U500&gt;0,Ruimtestaat[[#This Row],[Prest. (m2 / jaar) werkdagen BSO]]/Ruimtestaat[[#This Row],[Norm (m2/uur) werkdagen]],0)</f>
        <v>#DIV/0!</v>
      </c>
      <c r="AD500" s="443" t="e">
        <f>Ruimtestaat[[#This Row],[uren / jaar werkdagen BSO]]*Tariefsopbouw!$E$35</f>
        <v>#DIV/0!</v>
      </c>
      <c r="AE500" s="444">
        <f>Ruimtestaat[[#This Row],[uren / jaar werkdagen]]*Tariefsopbouw!$E$35</f>
        <v>0</v>
      </c>
      <c r="AF500" s="454"/>
      <c r="AG500" s="455">
        <f>IF(Ruimtestaat[[#This Row],[Frequentie weekend]]&gt;0,VALUE(LEFT(AF500,1))*S500,0)</f>
        <v>0</v>
      </c>
      <c r="AH500" s="455">
        <f>IF($AG500&gt;0,VLOOKUP($J500,Ruimtegroepen[],3,FALSE)*VLOOKUP($L500,Vloersoorten[],3,FALSE)*VLOOKUP($AF500,Frequenties[],3,FALSE)*VLOOKUP(#REF!,Locaties[],3,FALSE),0)</f>
        <v>0</v>
      </c>
      <c r="AI500" s="434">
        <f>Ruimtestaat[[#This Row],[Uitvoeringen weekend]]*Ruimtestaat[[#This Row],[Oppervlak (netto)]]</f>
        <v>0</v>
      </c>
      <c r="AJ500" s="434">
        <f>IF(AH500&gt;0,Ruimtestaat[[#This Row],[Prest. (m2 /jaar) weekend]]/Ruimtestaat[[#This Row],[Norm (m2/uur) weekend]],0)</f>
        <v>0</v>
      </c>
      <c r="AK500" s="444">
        <f>Ruimtestaat[[#This Row],[uren / jaar weekend]]*Tariefsopbouw!$D$40</f>
        <v>0</v>
      </c>
      <c r="AL500" s="441">
        <f>Ruimtestaat[[#This Row],[Prest. (m2 /jaar) weekend]]+Ruimtestaat[[#This Row],[Prest. (m2 /jaar) werkdagen]]</f>
        <v>184.5</v>
      </c>
      <c r="AM500" s="441">
        <f>Ruimtestaat[[#This Row],[uren / jaar weekend]]+Ruimtestaat[[#This Row],[uren / jaar werkdagen]]</f>
        <v>0</v>
      </c>
      <c r="AN500" s="446">
        <f>Ruimtestaat[[#This Row],[kosten / jaar weekend]]+Ruimtestaat[[#This Row],[kosten / jaar werkdagen]]</f>
        <v>0</v>
      </c>
      <c r="AO500" s="446"/>
      <c r="AP500" s="446" t="str">
        <f>IF(Ruimtestaat[[#This Row],[Frequentie werkdagen]]="","",_xlfn.CONCAT(Ruimtestaat[[#This Row],[Ruimte code]],"-",Ruimtestaat[[#This Row],[Frequentie werkdagen]]," ",Ruimtestaat[[#This Row],[Vloer code]]))</f>
        <v>10-2w L</v>
      </c>
      <c r="AQ500" s="448" t="str">
        <f>_xlfn.IFNA(VLOOKUP($AP500,Programma!$F$3:$G$1101,2,0),"")</f>
        <v>_</v>
      </c>
      <c r="AR500" s="448" t="str">
        <f>_xlfn.IFNA(VLOOKUP($AP500,Programma!$F$3:$H$1101,3,0),"")</f>
        <v>_</v>
      </c>
      <c r="AS500" s="448" t="str">
        <f>_xlfn.IFNA(VLOOKUP($AP500,Programma!$F$3:$I$1101,4,0),"")</f>
        <v>1w</v>
      </c>
      <c r="AT500" s="448" t="str">
        <f>_xlfn.IFNA(VLOOKUP($AP500,Programma!$F$3:$J$1101,5,0),"")</f>
        <v>1w</v>
      </c>
      <c r="AU500" s="448" t="str">
        <f>_xlfn.IFNA(VLOOKUP($AP500,Programma!$F$3:$K$1101,6,0),"")</f>
        <v>_</v>
      </c>
      <c r="AV500" s="448" t="str">
        <f>_xlfn.IFNA(VLOOKUP($AP500,Programma!$F$3:$L$1101,7,0),"")</f>
        <v>_</v>
      </c>
      <c r="AW500" s="448" t="str">
        <f>_xlfn.IFNA(VLOOKUP($AP500,Programma!$F$3:$M$1101,8,0),"")</f>
        <v>_</v>
      </c>
      <c r="AX500" s="448" t="str">
        <f>_xlfn.IFNA(VLOOKUP($AP500,Programma!$F$3:$N$1101,9,0),"")</f>
        <v>_</v>
      </c>
      <c r="AY500" s="448" t="str">
        <f>_xlfn.IFNA(VLOOKUP($AP500,Programma!$F$3:$O$1101,10,0),"")</f>
        <v>2w</v>
      </c>
      <c r="AZ500" s="448" t="str">
        <f>_xlfn.IFNA(VLOOKUP($AP500,Programma!$F$3:$P$1101,11,0),"")</f>
        <v>2w</v>
      </c>
      <c r="BA500" s="448" t="str">
        <f>_xlfn.IFNA(VLOOKUP($AP500,Programma!$F$3:$Q$1101,12,0),"")</f>
        <v>1w</v>
      </c>
      <c r="BB500" s="448" t="str">
        <f>_xlfn.IFNA(VLOOKUP($AP500,Programma!$F$3:$R$1101,13,0),"")</f>
        <v>1w</v>
      </c>
      <c r="BC500" s="448" t="str">
        <f>_xlfn.IFNA(VLOOKUP($AP500,Programma!$F$3:$S$1101,14,0),"")</f>
        <v>1m</v>
      </c>
      <c r="BD500" s="448" t="str">
        <f>_xlfn.IFNA(VLOOKUP($AP500,Programma!$F$3:$T$1101,15,0),"")</f>
        <v>2j</v>
      </c>
      <c r="BE500" s="448" t="str">
        <f>_xlfn.IFNA(VLOOKUP($AP500,Programma!$F$3:$U$1101,16,0),"")</f>
        <v>1j</v>
      </c>
      <c r="BF500" s="448" t="str">
        <f>_xlfn.IFNA(VLOOKUP($AP500,Programma!$F$3:$V$1101,17,0),"")</f>
        <v>_</v>
      </c>
      <c r="BG500" s="448" t="str">
        <f>_xlfn.IFNA(VLOOKUP($AP500,Programma!$F$3:$W$1101,18,0),"")</f>
        <v>_</v>
      </c>
      <c r="BH500" s="448" t="str">
        <f>_xlfn.IFNA(VLOOKUP($AP500,Programma!$F$3:$X$1101,19,0),"")</f>
        <v>_</v>
      </c>
      <c r="BI500" s="448" t="str">
        <f>_xlfn.IFNA(VLOOKUP($AP500,Programma!$F$3:$Y$1101,20,0),"")</f>
        <v>_</v>
      </c>
      <c r="BJ500" s="449"/>
      <c r="BK500" s="446" t="str">
        <f>IF(Ruimtestaat[[#This Row],[Frequentie weekend]]="","",_xlfn.CONCAT(Ruimtestaat[[#This Row],[Ruimte code]],"-",Ruimtestaat[[#This Row],[Frequentie weekend]]," ",Ruimtestaat[[#This Row],[Vloer code]]))</f>
        <v/>
      </c>
      <c r="BL500" s="448" t="str">
        <f>_xlfn.IFNA(VLOOKUP($BK500,Programma!$F$3:$G$1101,2,0),"")</f>
        <v/>
      </c>
      <c r="BM500" s="448" t="str">
        <f>_xlfn.IFNA(VLOOKUP($BK500,Programma!$F$3:$H$1101,3,0),"")</f>
        <v/>
      </c>
      <c r="BN500" s="448" t="str">
        <f>_xlfn.IFNA(VLOOKUP($BK500,Programma!$F$3:$I$1101,4,0),"")</f>
        <v/>
      </c>
      <c r="BO500" s="448" t="str">
        <f>_xlfn.IFNA(VLOOKUP($BK500,Programma!$F$3:$J$1101,5,0),"")</f>
        <v/>
      </c>
      <c r="BP500" s="448" t="str">
        <f>_xlfn.IFNA(VLOOKUP($BK500,Programma!$F$3:$K$1101,6,0),"")</f>
        <v/>
      </c>
      <c r="BQ500" s="448" t="str">
        <f>_xlfn.IFNA(VLOOKUP($BK500,Programma!$F$3:$L$1101,7,0),"")</f>
        <v/>
      </c>
      <c r="BR500" s="448" t="str">
        <f>_xlfn.IFNA(VLOOKUP($BK500,Programma!$F$3:$M$1101,8,0),"")</f>
        <v/>
      </c>
      <c r="BS500" s="448" t="str">
        <f>_xlfn.IFNA(VLOOKUP($BK500,Programma!$F$3:$N$1101,9,0),"")</f>
        <v/>
      </c>
      <c r="BT500" s="448" t="str">
        <f>_xlfn.IFNA(VLOOKUP($BK500,Programma!$F$3:$O$1101,10,0),"")</f>
        <v/>
      </c>
      <c r="BU500" s="448" t="str">
        <f>_xlfn.IFNA(VLOOKUP($BK500,Programma!$F$3:$P$1101,11,0),"")</f>
        <v/>
      </c>
      <c r="BV500" s="448" t="str">
        <f>_xlfn.IFNA(VLOOKUP($BK500,Programma!$F$3:$Q$1101,12,0),"")</f>
        <v/>
      </c>
      <c r="BW500" s="448" t="str">
        <f>_xlfn.IFNA(VLOOKUP($BK500,Programma!$F$3:$R$1101,13,0),"")</f>
        <v/>
      </c>
      <c r="BX500" s="448" t="str">
        <f>_xlfn.IFNA(VLOOKUP($BK500,Programma!$F$3:$S$1101,14,0),"")</f>
        <v/>
      </c>
      <c r="BY500" s="448" t="str">
        <f>_xlfn.IFNA(VLOOKUP($BK500,Programma!$F$3:$T$1101,15,0),"")</f>
        <v/>
      </c>
      <c r="BZ500" s="448" t="str">
        <f>_xlfn.IFNA(VLOOKUP($BK500,Programma!$F$3:$U$1101,16,0),"")</f>
        <v/>
      </c>
      <c r="CA500" s="448" t="str">
        <f>_xlfn.IFNA(VLOOKUP($BK500,Programma!$F$3:$V$1101,17,0),"")</f>
        <v/>
      </c>
      <c r="CB500" s="448" t="str">
        <f>_xlfn.IFNA(VLOOKUP($BK500,Programma!$F$3:$W$1101,18,0),"")</f>
        <v/>
      </c>
      <c r="CC500" s="448" t="str">
        <f>_xlfn.IFNA(VLOOKUP($BK500,Programma!$F$3:$X$1101,19,0),"")</f>
        <v/>
      </c>
      <c r="CD500" s="448" t="str">
        <f>_xlfn.IFNA(VLOOKUP($BK500,Programma!$F$3:$Y$1101,20,0),"")</f>
        <v/>
      </c>
    </row>
    <row r="501" spans="1:82" ht="15" customHeight="1">
      <c r="A501" s="327">
        <v>19</v>
      </c>
      <c r="B501" s="435" t="str">
        <f>VLOOKUP(Ruimtestaat[[#This Row],[Code]],Locaties[[Code]:[Locatie]],2,FALSE)</f>
        <v>IKC de Leerplaneet (vhKlimboom)</v>
      </c>
      <c r="C501" s="435" t="str">
        <f>VLOOKUP(Ruimtestaat[[#This Row],[Code]],Locaties[[#All],[Code]:[Adres]],4,FALSE)</f>
        <v>Nesciohove 105-107</v>
      </c>
      <c r="D501" s="435" t="str">
        <f>VLOOKUP(Ruimtestaat[[#This Row],[Code]],Locaties[[#All],[Code]:[Postcode]],5,FALSE)</f>
        <v>2726 BL</v>
      </c>
      <c r="E501" s="435" t="str">
        <f>VLOOKUP(Ruimtestaat[[#This Row],[Code]],Locaties[#All],6,FALSE)</f>
        <v>Zoetermeer</v>
      </c>
      <c r="F501" s="450"/>
      <c r="G501" s="330" t="s">
        <v>1678</v>
      </c>
      <c r="I501" s="450" t="s">
        <v>1708</v>
      </c>
      <c r="J501" s="330">
        <v>6</v>
      </c>
      <c r="K501" s="450" t="str">
        <f>VLOOKUP(Ruimtestaat[[#This Row],[Ruimte code]],Ruimtegroepen[[#All],[Code]:[Ruimte omschrijving]],2,FALSE)</f>
        <v>Gangen/hallen</v>
      </c>
      <c r="L501" s="330" t="s">
        <v>101</v>
      </c>
      <c r="M501" s="437" t="s">
        <v>1816</v>
      </c>
      <c r="N501" s="439">
        <v>12.5</v>
      </c>
      <c r="O501" s="439"/>
      <c r="P501" s="439"/>
      <c r="Q501" s="439"/>
      <c r="R501" s="440" t="str">
        <f>VLOOKUP(Ruimtestaat[[#This Row],[Ruimte code]],Ruimtegroepen[],4,FALSE)</f>
        <v>Ve</v>
      </c>
      <c r="S501" s="434">
        <v>41</v>
      </c>
      <c r="T501" s="434" t="s">
        <v>2</v>
      </c>
      <c r="U501" s="453">
        <f>IF(S501&gt;0,IF(RIGHT(Ruimtestaat[[#This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01" s="434">
        <f>IF(U501&gt;0,VLOOKUP($J501,Ruimtegroepen[],3,FALSE)*VLOOKUP($L501,Vloersoorten[],3,FALSE)*VLOOKUP($T501,Frequenties[],3,FALSE)*VLOOKUP($A501,Locaties[],3,FALSE),0)</f>
        <v>0</v>
      </c>
      <c r="W501" s="434">
        <f>Ruimtestaat[[#This Row],[Uitvoeringen werkdagen]]*Ruimtestaat[[#This Row],[Oppervlak (netto)]]</f>
        <v>2562.5</v>
      </c>
      <c r="X501" s="441">
        <f>IF(V501&gt;0,Ruimtestaat[[#This Row],[Prest. (m2 /jaar) werkdagen]]/Ruimtestaat[[#This Row],[Norm (m2/uur) werkdagen]],0)</f>
        <v>0</v>
      </c>
      <c r="Y501" s="442">
        <f>Ruimtestaat[[#This Row],[Uitvoeringen werkdagen]]*Ruimtestaat[[#This Row],[Gedeeltelijk]]</f>
        <v>0</v>
      </c>
      <c r="Z501" s="443" t="e">
        <f>IF(U501&gt;0,Ruimtestaat[[#This Row],[Prest. (m2 / jaar) werkdagen gedeeld]]/Ruimtestaat[[#This Row],[Norm (m2/uur) werkdagen]],0)</f>
        <v>#DIV/0!</v>
      </c>
      <c r="AA501" s="441" t="e">
        <f>Ruimtestaat[[#This Row],[uren / jaar werkdagen gedeeld]]*Tariefsopbouw!$E$35</f>
        <v>#DIV/0!</v>
      </c>
      <c r="AB501" s="441">
        <f>Ruimtestaat[[#This Row],[Uitvoeringen werkdagen]]*Ruimtestaat[[#This Row],[BSO]]</f>
        <v>0</v>
      </c>
      <c r="AC501" s="443" t="e">
        <f>IF(U501&gt;0,Ruimtestaat[[#This Row],[Prest. (m2 / jaar) werkdagen BSO]]/Ruimtestaat[[#This Row],[Norm (m2/uur) werkdagen]],0)</f>
        <v>#DIV/0!</v>
      </c>
      <c r="AD501" s="443" t="e">
        <f>Ruimtestaat[[#This Row],[uren / jaar werkdagen BSO]]*Tariefsopbouw!$E$35</f>
        <v>#DIV/0!</v>
      </c>
      <c r="AE501" s="444">
        <f>Ruimtestaat[[#This Row],[uren / jaar werkdagen]]*Tariefsopbouw!$E$35</f>
        <v>0</v>
      </c>
      <c r="AF501" s="454"/>
      <c r="AG501" s="455">
        <f>IF(Ruimtestaat[[#This Row],[Frequentie weekend]]&gt;0,VALUE(LEFT(AF501,1))*S501,0)</f>
        <v>0</v>
      </c>
      <c r="AH501" s="455">
        <f>IF($AG501&gt;0,VLOOKUP($J501,Ruimtegroepen[],3,FALSE)*VLOOKUP($L501,Vloersoorten[],3,FALSE)*VLOOKUP($AF501,Frequenties[],3,FALSE)*VLOOKUP(#REF!,Locaties[],3,FALSE),0)</f>
        <v>0</v>
      </c>
      <c r="AI501" s="434">
        <f>Ruimtestaat[[#This Row],[Uitvoeringen weekend]]*Ruimtestaat[[#This Row],[Oppervlak (netto)]]</f>
        <v>0</v>
      </c>
      <c r="AJ501" s="434">
        <f>IF(AH501&gt;0,Ruimtestaat[[#This Row],[Prest. (m2 /jaar) weekend]]/Ruimtestaat[[#This Row],[Norm (m2/uur) weekend]],0)</f>
        <v>0</v>
      </c>
      <c r="AK501" s="444">
        <f>Ruimtestaat[[#This Row],[uren / jaar weekend]]*Tariefsopbouw!$D$40</f>
        <v>0</v>
      </c>
      <c r="AL501" s="441">
        <f>Ruimtestaat[[#This Row],[Prest. (m2 /jaar) weekend]]+Ruimtestaat[[#This Row],[Prest. (m2 /jaar) werkdagen]]</f>
        <v>2562.5</v>
      </c>
      <c r="AM501" s="441">
        <f>Ruimtestaat[[#This Row],[uren / jaar weekend]]+Ruimtestaat[[#This Row],[uren / jaar werkdagen]]</f>
        <v>0</v>
      </c>
      <c r="AN501" s="446">
        <f>Ruimtestaat[[#This Row],[kosten / jaar weekend]]+Ruimtestaat[[#This Row],[kosten / jaar werkdagen]]</f>
        <v>0</v>
      </c>
      <c r="AO501" s="446"/>
      <c r="AP501" s="446" t="str">
        <f>IF(Ruimtestaat[[#This Row],[Frequentie werkdagen]]="","",_xlfn.CONCAT(Ruimtestaat[[#This Row],[Ruimte code]],"-",Ruimtestaat[[#This Row],[Frequentie werkdagen]]," ",Ruimtestaat[[#This Row],[Vloer code]]))</f>
        <v>6-5w S</v>
      </c>
      <c r="AQ501" s="448" t="str">
        <f>_xlfn.IFNA(VLOOKUP($AP501,Programma!$F$3:$G$1101,2,0),"")</f>
        <v>_</v>
      </c>
      <c r="AR501" s="448" t="str">
        <f>_xlfn.IFNA(VLOOKUP($AP501,Programma!$F$3:$H$1101,3,0),"")</f>
        <v>_</v>
      </c>
      <c r="AS501" s="448" t="str">
        <f>_xlfn.IFNA(VLOOKUP($AP501,Programma!$F$3:$I$1101,4,0),"")</f>
        <v>5w</v>
      </c>
      <c r="AT501" s="448" t="str">
        <f>_xlfn.IFNA(VLOOKUP($AP501,Programma!$F$3:$J$1101,5,0),"")</f>
        <v>_</v>
      </c>
      <c r="AU501" s="448" t="str">
        <f>_xlfn.IFNA(VLOOKUP($AP501,Programma!$F$3:$K$1101,6,0),"")</f>
        <v>5w</v>
      </c>
      <c r="AV501" s="448" t="str">
        <f>_xlfn.IFNA(VLOOKUP($AP501,Programma!$F$3:$L$1101,7,0),"")</f>
        <v>_</v>
      </c>
      <c r="AW501" s="448" t="str">
        <f>_xlfn.IFNA(VLOOKUP($AP501,Programma!$F$3:$M$1101,8,0),"")</f>
        <v>_</v>
      </c>
      <c r="AX501" s="448" t="str">
        <f>_xlfn.IFNA(VLOOKUP($AP501,Programma!$F$3:$N$1101,9,0),"")</f>
        <v>_</v>
      </c>
      <c r="AY501" s="448" t="str">
        <f>_xlfn.IFNA(VLOOKUP($AP501,Programma!$F$3:$O$1101,10,0),"")</f>
        <v>5w</v>
      </c>
      <c r="AZ501" s="448" t="str">
        <f>_xlfn.IFNA(VLOOKUP($AP501,Programma!$F$3:$P$1101,11,0),"")</f>
        <v>5w</v>
      </c>
      <c r="BA501" s="448" t="str">
        <f>_xlfn.IFNA(VLOOKUP($AP501,Programma!$F$3:$Q$1101,12,0),"")</f>
        <v>1w</v>
      </c>
      <c r="BB501" s="448" t="str">
        <f>_xlfn.IFNA(VLOOKUP($AP501,Programma!$F$3:$R$1101,13,0),"")</f>
        <v>1w</v>
      </c>
      <c r="BC501" s="448" t="str">
        <f>_xlfn.IFNA(VLOOKUP($AP501,Programma!$F$3:$S$1101,14,0),"")</f>
        <v>1m</v>
      </c>
      <c r="BD501" s="448" t="str">
        <f>_xlfn.IFNA(VLOOKUP($AP501,Programma!$F$3:$T$1101,15,0),"")</f>
        <v>2j</v>
      </c>
      <c r="BE501" s="448" t="str">
        <f>_xlfn.IFNA(VLOOKUP($AP501,Programma!$F$3:$U$1101,16,0),"")</f>
        <v>1j</v>
      </c>
      <c r="BF501" s="448" t="str">
        <f>_xlfn.IFNA(VLOOKUP($AP501,Programma!$F$3:$V$1101,17,0),"")</f>
        <v>_</v>
      </c>
      <c r="BG501" s="448" t="str">
        <f>_xlfn.IFNA(VLOOKUP($AP501,Programma!$F$3:$W$1101,18,0),"")</f>
        <v>_</v>
      </c>
      <c r="BH501" s="448" t="str">
        <f>_xlfn.IFNA(VLOOKUP($AP501,Programma!$F$3:$X$1101,19,0),"")</f>
        <v>_</v>
      </c>
      <c r="BI501" s="448" t="str">
        <f>_xlfn.IFNA(VLOOKUP($AP501,Programma!$F$3:$Y$1101,20,0),"")</f>
        <v>_</v>
      </c>
      <c r="BJ501" s="449"/>
      <c r="BK501" s="446" t="str">
        <f>IF(Ruimtestaat[[#This Row],[Frequentie weekend]]="","",_xlfn.CONCAT(Ruimtestaat[[#This Row],[Ruimte code]],"-",Ruimtestaat[[#This Row],[Frequentie weekend]]," ",Ruimtestaat[[#This Row],[Vloer code]]))</f>
        <v/>
      </c>
      <c r="BL501" s="448" t="str">
        <f>_xlfn.IFNA(VLOOKUP($BK501,Programma!$F$3:$G$1101,2,0),"")</f>
        <v/>
      </c>
      <c r="BM501" s="448" t="str">
        <f>_xlfn.IFNA(VLOOKUP($BK501,Programma!$F$3:$H$1101,3,0),"")</f>
        <v/>
      </c>
      <c r="BN501" s="448" t="str">
        <f>_xlfn.IFNA(VLOOKUP($BK501,Programma!$F$3:$I$1101,4,0),"")</f>
        <v/>
      </c>
      <c r="BO501" s="448" t="str">
        <f>_xlfn.IFNA(VLOOKUP($BK501,Programma!$F$3:$J$1101,5,0),"")</f>
        <v/>
      </c>
      <c r="BP501" s="448" t="str">
        <f>_xlfn.IFNA(VLOOKUP($BK501,Programma!$F$3:$K$1101,6,0),"")</f>
        <v/>
      </c>
      <c r="BQ501" s="448" t="str">
        <f>_xlfn.IFNA(VLOOKUP($BK501,Programma!$F$3:$L$1101,7,0),"")</f>
        <v/>
      </c>
      <c r="BR501" s="448" t="str">
        <f>_xlfn.IFNA(VLOOKUP($BK501,Programma!$F$3:$M$1101,8,0),"")</f>
        <v/>
      </c>
      <c r="BS501" s="448" t="str">
        <f>_xlfn.IFNA(VLOOKUP($BK501,Programma!$F$3:$N$1101,9,0),"")</f>
        <v/>
      </c>
      <c r="BT501" s="448" t="str">
        <f>_xlfn.IFNA(VLOOKUP($BK501,Programma!$F$3:$O$1101,10,0),"")</f>
        <v/>
      </c>
      <c r="BU501" s="448" t="str">
        <f>_xlfn.IFNA(VLOOKUP($BK501,Programma!$F$3:$P$1101,11,0),"")</f>
        <v/>
      </c>
      <c r="BV501" s="448" t="str">
        <f>_xlfn.IFNA(VLOOKUP($BK501,Programma!$F$3:$Q$1101,12,0),"")</f>
        <v/>
      </c>
      <c r="BW501" s="448" t="str">
        <f>_xlfn.IFNA(VLOOKUP($BK501,Programma!$F$3:$R$1101,13,0),"")</f>
        <v/>
      </c>
      <c r="BX501" s="448" t="str">
        <f>_xlfn.IFNA(VLOOKUP($BK501,Programma!$F$3:$S$1101,14,0),"")</f>
        <v/>
      </c>
      <c r="BY501" s="448" t="str">
        <f>_xlfn.IFNA(VLOOKUP($BK501,Programma!$F$3:$T$1101,15,0),"")</f>
        <v/>
      </c>
      <c r="BZ501" s="448" t="str">
        <f>_xlfn.IFNA(VLOOKUP($BK501,Programma!$F$3:$U$1101,16,0),"")</f>
        <v/>
      </c>
      <c r="CA501" s="448" t="str">
        <f>_xlfn.IFNA(VLOOKUP($BK501,Programma!$F$3:$V$1101,17,0),"")</f>
        <v/>
      </c>
      <c r="CB501" s="448" t="str">
        <f>_xlfn.IFNA(VLOOKUP($BK501,Programma!$F$3:$W$1101,18,0),"")</f>
        <v/>
      </c>
      <c r="CC501" s="448" t="str">
        <f>_xlfn.IFNA(VLOOKUP($BK501,Programma!$F$3:$X$1101,19,0),"")</f>
        <v/>
      </c>
      <c r="CD501" s="448" t="str">
        <f>_xlfn.IFNA(VLOOKUP($BK501,Programma!$F$3:$Y$1101,20,0),"")</f>
        <v/>
      </c>
    </row>
    <row r="502" spans="1:82" ht="15" customHeight="1">
      <c r="A502" s="327">
        <v>19</v>
      </c>
      <c r="B502" s="435" t="str">
        <f>VLOOKUP(Ruimtestaat[[#This Row],[Code]],Locaties[[Code]:[Locatie]],2,FALSE)</f>
        <v>IKC de Leerplaneet (vhKlimboom)</v>
      </c>
      <c r="C502" s="435" t="str">
        <f>VLOOKUP(Ruimtestaat[[#This Row],[Code]],Locaties[[#All],[Code]:[Adres]],4,FALSE)</f>
        <v>Nesciohove 105-107</v>
      </c>
      <c r="D502" s="435" t="str">
        <f>VLOOKUP(Ruimtestaat[[#This Row],[Code]],Locaties[[#All],[Code]:[Postcode]],5,FALSE)</f>
        <v>2726 BL</v>
      </c>
      <c r="E502" s="435" t="str">
        <f>VLOOKUP(Ruimtestaat[[#This Row],[Code]],Locaties[#All],6,FALSE)</f>
        <v>Zoetermeer</v>
      </c>
      <c r="F502" s="450"/>
      <c r="G502" s="330" t="s">
        <v>1678</v>
      </c>
      <c r="H502" s="330" t="s">
        <v>1885</v>
      </c>
      <c r="I502" s="450" t="s">
        <v>1886</v>
      </c>
      <c r="J502" s="330">
        <v>2</v>
      </c>
      <c r="K502" s="450" t="str">
        <f>VLOOKUP(Ruimtestaat[[#This Row],[Ruimte code]],Ruimtegroepen[[#All],[Code]:[Ruimte omschrijving]],2,FALSE)</f>
        <v>Kantoren</v>
      </c>
      <c r="L502" s="434" t="s">
        <v>99</v>
      </c>
      <c r="M502" s="437" t="s">
        <v>36</v>
      </c>
      <c r="N502" s="439">
        <v>15.7</v>
      </c>
      <c r="O502" s="439"/>
      <c r="P502" s="439"/>
      <c r="Q502" s="439"/>
      <c r="R502" s="440" t="str">
        <f>VLOOKUP(Ruimtestaat[[#This Row],[Ruimte code]],Ruimtegroepen[],4,FALSE)</f>
        <v>Bu</v>
      </c>
      <c r="S502" s="434">
        <v>41</v>
      </c>
      <c r="T502" s="434" t="s">
        <v>17</v>
      </c>
      <c r="U502" s="453">
        <f>IF(S502&gt;0,IF(RIGHT(Ruimtestaat[[#This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502" s="434">
        <f>IF(U502&gt;0,VLOOKUP($J502,Ruimtegroepen[],3,FALSE)*VLOOKUP($L502,Vloersoorten[],3,FALSE)*VLOOKUP($T502,Frequenties[],3,FALSE)*VLOOKUP($A502,Locaties[],3,FALSE),0)</f>
        <v>0</v>
      </c>
      <c r="W502" s="434">
        <f>Ruimtestaat[[#This Row],[Uitvoeringen werkdagen]]*Ruimtestaat[[#This Row],[Oppervlak (netto)]]</f>
        <v>1287.3999999999999</v>
      </c>
      <c r="X502" s="441">
        <f>IF(V502&gt;0,Ruimtestaat[[#This Row],[Prest. (m2 /jaar) werkdagen]]/Ruimtestaat[[#This Row],[Norm (m2/uur) werkdagen]],0)</f>
        <v>0</v>
      </c>
      <c r="Y502" s="442">
        <f>Ruimtestaat[[#This Row],[Uitvoeringen werkdagen]]*Ruimtestaat[[#This Row],[Gedeeltelijk]]</f>
        <v>0</v>
      </c>
      <c r="Z502" s="443" t="e">
        <f>IF(U502&gt;0,Ruimtestaat[[#This Row],[Prest. (m2 / jaar) werkdagen gedeeld]]/Ruimtestaat[[#This Row],[Norm (m2/uur) werkdagen]],0)</f>
        <v>#DIV/0!</v>
      </c>
      <c r="AA502" s="441" t="e">
        <f>Ruimtestaat[[#This Row],[uren / jaar werkdagen gedeeld]]*Tariefsopbouw!$E$35</f>
        <v>#DIV/0!</v>
      </c>
      <c r="AB502" s="441">
        <f>Ruimtestaat[[#This Row],[Uitvoeringen werkdagen]]*Ruimtestaat[[#This Row],[BSO]]</f>
        <v>0</v>
      </c>
      <c r="AC502" s="443" t="e">
        <f>IF(U502&gt;0,Ruimtestaat[[#This Row],[Prest. (m2 / jaar) werkdagen BSO]]/Ruimtestaat[[#This Row],[Norm (m2/uur) werkdagen]],0)</f>
        <v>#DIV/0!</v>
      </c>
      <c r="AD502" s="443" t="e">
        <f>Ruimtestaat[[#This Row],[uren / jaar werkdagen BSO]]*Tariefsopbouw!$E$35</f>
        <v>#DIV/0!</v>
      </c>
      <c r="AE502" s="444">
        <f>Ruimtestaat[[#This Row],[uren / jaar werkdagen]]*Tariefsopbouw!$E$35</f>
        <v>0</v>
      </c>
      <c r="AF502" s="454"/>
      <c r="AG502" s="455">
        <f>IF(Ruimtestaat[[#This Row],[Frequentie weekend]]&gt;0,VALUE(LEFT(AF502,1))*S502,0)</f>
        <v>0</v>
      </c>
      <c r="AH502" s="455">
        <f>IF($AG502&gt;0,VLOOKUP($J502,Ruimtegroepen[],3,FALSE)*VLOOKUP($L502,Vloersoorten[],3,FALSE)*VLOOKUP($AF502,Frequenties[],3,FALSE)*VLOOKUP(#REF!,Locaties[],3,FALSE),0)</f>
        <v>0</v>
      </c>
      <c r="AI502" s="434">
        <f>Ruimtestaat[[#This Row],[Uitvoeringen weekend]]*Ruimtestaat[[#This Row],[Oppervlak (netto)]]</f>
        <v>0</v>
      </c>
      <c r="AJ502" s="434">
        <f>IF(AH502&gt;0,Ruimtestaat[[#This Row],[Prest. (m2 /jaar) weekend]]/Ruimtestaat[[#This Row],[Norm (m2/uur) weekend]],0)</f>
        <v>0</v>
      </c>
      <c r="AK502" s="444">
        <f>Ruimtestaat[[#This Row],[uren / jaar weekend]]*Tariefsopbouw!$D$40</f>
        <v>0</v>
      </c>
      <c r="AL502" s="441">
        <f>Ruimtestaat[[#This Row],[Prest. (m2 /jaar) weekend]]+Ruimtestaat[[#This Row],[Prest. (m2 /jaar) werkdagen]]</f>
        <v>1287.3999999999999</v>
      </c>
      <c r="AM502" s="441">
        <f>Ruimtestaat[[#This Row],[uren / jaar weekend]]+Ruimtestaat[[#This Row],[uren / jaar werkdagen]]</f>
        <v>0</v>
      </c>
      <c r="AN502" s="446">
        <f>Ruimtestaat[[#This Row],[kosten / jaar weekend]]+Ruimtestaat[[#This Row],[kosten / jaar werkdagen]]</f>
        <v>0</v>
      </c>
      <c r="AO502" s="446"/>
      <c r="AP502" s="446" t="str">
        <f>IF(Ruimtestaat[[#This Row],[Frequentie werkdagen]]="","",_xlfn.CONCAT(Ruimtestaat[[#This Row],[Ruimte code]],"-",Ruimtestaat[[#This Row],[Frequentie werkdagen]]," ",Ruimtestaat[[#This Row],[Vloer code]]))</f>
        <v>2-2w T</v>
      </c>
      <c r="AQ502" s="448" t="str">
        <f>_xlfn.IFNA(VLOOKUP($AP502,Programma!$F$3:$G$1101,2,0),"")</f>
        <v>1w</v>
      </c>
      <c r="AR502" s="448" t="str">
        <f>_xlfn.IFNA(VLOOKUP($AP502,Programma!$F$3:$H$1101,3,0),"")</f>
        <v>1w</v>
      </c>
      <c r="AS502" s="448" t="str">
        <f>_xlfn.IFNA(VLOOKUP($AP502,Programma!$F$3:$I$1101,4,0),"")</f>
        <v>_</v>
      </c>
      <c r="AT502" s="448" t="str">
        <f>_xlfn.IFNA(VLOOKUP($AP502,Programma!$F$3:$J$1101,5,0),"")</f>
        <v>_</v>
      </c>
      <c r="AU502" s="448" t="str">
        <f>_xlfn.IFNA(VLOOKUP($AP502,Programma!$F$3:$K$1101,6,0),"")</f>
        <v>_</v>
      </c>
      <c r="AV502" s="448" t="str">
        <f>_xlfn.IFNA(VLOOKUP($AP502,Programma!$F$3:$L$1101,7,0),"")</f>
        <v>_</v>
      </c>
      <c r="AW502" s="448" t="str">
        <f>_xlfn.IFNA(VLOOKUP($AP502,Programma!$F$3:$M$1101,8,0),"")</f>
        <v>_</v>
      </c>
      <c r="AX502" s="448" t="str">
        <f>_xlfn.IFNA(VLOOKUP($AP502,Programma!$F$3:$N$1101,9,0),"")</f>
        <v>_</v>
      </c>
      <c r="AY502" s="448" t="str">
        <f>_xlfn.IFNA(VLOOKUP($AP502,Programma!$F$3:$O$1101,10,0),"")</f>
        <v>2w</v>
      </c>
      <c r="AZ502" s="448" t="str">
        <f>_xlfn.IFNA(VLOOKUP($AP502,Programma!$F$3:$P$1101,11,0),"")</f>
        <v>2w</v>
      </c>
      <c r="BA502" s="448" t="str">
        <f>_xlfn.IFNA(VLOOKUP($AP502,Programma!$F$3:$Q$1101,12,0),"")</f>
        <v>1w</v>
      </c>
      <c r="BB502" s="448" t="str">
        <f>_xlfn.IFNA(VLOOKUP($AP502,Programma!$F$3:$R$1101,13,0),"")</f>
        <v>1w</v>
      </c>
      <c r="BC502" s="448" t="str">
        <f>_xlfn.IFNA(VLOOKUP($AP502,Programma!$F$3:$S$1101,14,0),"")</f>
        <v>1m</v>
      </c>
      <c r="BD502" s="448" t="str">
        <f>_xlfn.IFNA(VLOOKUP($AP502,Programma!$F$3:$T$1101,15,0),"")</f>
        <v>2j</v>
      </c>
      <c r="BE502" s="448" t="str">
        <f>_xlfn.IFNA(VLOOKUP($AP502,Programma!$F$3:$U$1101,16,0),"")</f>
        <v>1j</v>
      </c>
      <c r="BF502" s="448" t="str">
        <f>_xlfn.IFNA(VLOOKUP($AP502,Programma!$F$3:$V$1101,17,0),"")</f>
        <v>_</v>
      </c>
      <c r="BG502" s="448" t="str">
        <f>_xlfn.IFNA(VLOOKUP($AP502,Programma!$F$3:$W$1101,18,0),"")</f>
        <v>_</v>
      </c>
      <c r="BH502" s="448" t="str">
        <f>_xlfn.IFNA(VLOOKUP($AP502,Programma!$F$3:$X$1101,19,0),"")</f>
        <v>_</v>
      </c>
      <c r="BI502" s="448" t="str">
        <f>_xlfn.IFNA(VLOOKUP($AP502,Programma!$F$3:$Y$1101,20,0),"")</f>
        <v>_</v>
      </c>
      <c r="BJ502" s="449"/>
      <c r="BK502" s="446" t="str">
        <f>IF(Ruimtestaat[[#This Row],[Frequentie weekend]]="","",_xlfn.CONCAT(Ruimtestaat[[#This Row],[Ruimte code]],"-",Ruimtestaat[[#This Row],[Frequentie weekend]]," ",Ruimtestaat[[#This Row],[Vloer code]]))</f>
        <v/>
      </c>
      <c r="BL502" s="448" t="str">
        <f>_xlfn.IFNA(VLOOKUP($BK502,Programma!$F$3:$G$1101,2,0),"")</f>
        <v/>
      </c>
      <c r="BM502" s="448" t="str">
        <f>_xlfn.IFNA(VLOOKUP($BK502,Programma!$F$3:$H$1101,3,0),"")</f>
        <v/>
      </c>
      <c r="BN502" s="448" t="str">
        <f>_xlfn.IFNA(VLOOKUP($BK502,Programma!$F$3:$I$1101,4,0),"")</f>
        <v/>
      </c>
      <c r="BO502" s="448" t="str">
        <f>_xlfn.IFNA(VLOOKUP($BK502,Programma!$F$3:$J$1101,5,0),"")</f>
        <v/>
      </c>
      <c r="BP502" s="448" t="str">
        <f>_xlfn.IFNA(VLOOKUP($BK502,Programma!$F$3:$K$1101,6,0),"")</f>
        <v/>
      </c>
      <c r="BQ502" s="448" t="str">
        <f>_xlfn.IFNA(VLOOKUP($BK502,Programma!$F$3:$L$1101,7,0),"")</f>
        <v/>
      </c>
      <c r="BR502" s="448" t="str">
        <f>_xlfn.IFNA(VLOOKUP($BK502,Programma!$F$3:$M$1101,8,0),"")</f>
        <v/>
      </c>
      <c r="BS502" s="448" t="str">
        <f>_xlfn.IFNA(VLOOKUP($BK502,Programma!$F$3:$N$1101,9,0),"")</f>
        <v/>
      </c>
      <c r="BT502" s="448" t="str">
        <f>_xlfn.IFNA(VLOOKUP($BK502,Programma!$F$3:$O$1101,10,0),"")</f>
        <v/>
      </c>
      <c r="BU502" s="448" t="str">
        <f>_xlfn.IFNA(VLOOKUP($BK502,Programma!$F$3:$P$1101,11,0),"")</f>
        <v/>
      </c>
      <c r="BV502" s="448" t="str">
        <f>_xlfn.IFNA(VLOOKUP($BK502,Programma!$F$3:$Q$1101,12,0),"")</f>
        <v/>
      </c>
      <c r="BW502" s="448" t="str">
        <f>_xlfn.IFNA(VLOOKUP($BK502,Programma!$F$3:$R$1101,13,0),"")</f>
        <v/>
      </c>
      <c r="BX502" s="448" t="str">
        <f>_xlfn.IFNA(VLOOKUP($BK502,Programma!$F$3:$S$1101,14,0),"")</f>
        <v/>
      </c>
      <c r="BY502" s="448" t="str">
        <f>_xlfn.IFNA(VLOOKUP($BK502,Programma!$F$3:$T$1101,15,0),"")</f>
        <v/>
      </c>
      <c r="BZ502" s="448" t="str">
        <f>_xlfn.IFNA(VLOOKUP($BK502,Programma!$F$3:$U$1101,16,0),"")</f>
        <v/>
      </c>
      <c r="CA502" s="448" t="str">
        <f>_xlfn.IFNA(VLOOKUP($BK502,Programma!$F$3:$V$1101,17,0),"")</f>
        <v/>
      </c>
      <c r="CB502" s="448" t="str">
        <f>_xlfn.IFNA(VLOOKUP($BK502,Programma!$F$3:$W$1101,18,0),"")</f>
        <v/>
      </c>
      <c r="CC502" s="448" t="str">
        <f>_xlfn.IFNA(VLOOKUP($BK502,Programma!$F$3:$X$1101,19,0),"")</f>
        <v/>
      </c>
      <c r="CD502" s="448" t="str">
        <f>_xlfn.IFNA(VLOOKUP($BK502,Programma!$F$3:$Y$1101,20,0),"")</f>
        <v/>
      </c>
    </row>
    <row r="503" spans="1:82" ht="15" customHeight="1">
      <c r="A503" s="327">
        <v>19</v>
      </c>
      <c r="B503" s="435" t="str">
        <f>VLOOKUP(Ruimtestaat[[#This Row],[Code]],Locaties[[Code]:[Locatie]],2,FALSE)</f>
        <v>IKC de Leerplaneet (vhKlimboom)</v>
      </c>
      <c r="C503" s="435" t="str">
        <f>VLOOKUP(Ruimtestaat[[#This Row],[Code]],Locaties[[#All],[Code]:[Adres]],4,FALSE)</f>
        <v>Nesciohove 105-107</v>
      </c>
      <c r="D503" s="435" t="str">
        <f>VLOOKUP(Ruimtestaat[[#This Row],[Code]],Locaties[[#All],[Code]:[Postcode]],5,FALSE)</f>
        <v>2726 BL</v>
      </c>
      <c r="E503" s="435" t="str">
        <f>VLOOKUP(Ruimtestaat[[#This Row],[Code]],Locaties[#All],6,FALSE)</f>
        <v>Zoetermeer</v>
      </c>
      <c r="F503" s="450"/>
      <c r="G503" s="330" t="s">
        <v>1678</v>
      </c>
      <c r="H503" s="330" t="s">
        <v>1887</v>
      </c>
      <c r="I503" s="450" t="s">
        <v>1789</v>
      </c>
      <c r="J503" s="330">
        <v>2</v>
      </c>
      <c r="K503" s="450" t="str">
        <f>VLOOKUP(Ruimtestaat[[#This Row],[Ruimte code]],Ruimtegroepen[[#All],[Code]:[Ruimte omschrijving]],2,FALSE)</f>
        <v>Kantoren</v>
      </c>
      <c r="L503" s="330" t="s">
        <v>101</v>
      </c>
      <c r="M503" s="437" t="s">
        <v>1816</v>
      </c>
      <c r="N503" s="439">
        <v>7.4</v>
      </c>
      <c r="O503" s="439"/>
      <c r="P503" s="439"/>
      <c r="Q503" s="439"/>
      <c r="R503" s="440" t="str">
        <f>VLOOKUP(Ruimtestaat[[#This Row],[Ruimte code]],Ruimtegroepen[],4,FALSE)</f>
        <v>Bu</v>
      </c>
      <c r="S503" s="434">
        <v>41</v>
      </c>
      <c r="T503" s="434" t="s">
        <v>17</v>
      </c>
      <c r="U503" s="453">
        <f>IF(S503&gt;0,IF(RIGHT(Ruimtestaat[[#This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503" s="434">
        <f>IF(U503&gt;0,VLOOKUP($J503,Ruimtegroepen[],3,FALSE)*VLOOKUP($L503,Vloersoorten[],3,FALSE)*VLOOKUP($T503,Frequenties[],3,FALSE)*VLOOKUP($A503,Locaties[],3,FALSE),0)</f>
        <v>0</v>
      </c>
      <c r="W503" s="434">
        <f>Ruimtestaat[[#This Row],[Uitvoeringen werkdagen]]*Ruimtestaat[[#This Row],[Oppervlak (netto)]]</f>
        <v>606.80000000000007</v>
      </c>
      <c r="X503" s="441">
        <f>IF(V503&gt;0,Ruimtestaat[[#This Row],[Prest. (m2 /jaar) werkdagen]]/Ruimtestaat[[#This Row],[Norm (m2/uur) werkdagen]],0)</f>
        <v>0</v>
      </c>
      <c r="Y503" s="442">
        <f>Ruimtestaat[[#This Row],[Uitvoeringen werkdagen]]*Ruimtestaat[[#This Row],[Gedeeltelijk]]</f>
        <v>0</v>
      </c>
      <c r="Z503" s="443" t="e">
        <f>IF(U503&gt;0,Ruimtestaat[[#This Row],[Prest. (m2 / jaar) werkdagen gedeeld]]/Ruimtestaat[[#This Row],[Norm (m2/uur) werkdagen]],0)</f>
        <v>#DIV/0!</v>
      </c>
      <c r="AA503" s="441" t="e">
        <f>Ruimtestaat[[#This Row],[uren / jaar werkdagen gedeeld]]*Tariefsopbouw!$E$35</f>
        <v>#DIV/0!</v>
      </c>
      <c r="AB503" s="441">
        <f>Ruimtestaat[[#This Row],[Uitvoeringen werkdagen]]*Ruimtestaat[[#This Row],[BSO]]</f>
        <v>0</v>
      </c>
      <c r="AC503" s="443" t="e">
        <f>IF(U503&gt;0,Ruimtestaat[[#This Row],[Prest. (m2 / jaar) werkdagen BSO]]/Ruimtestaat[[#This Row],[Norm (m2/uur) werkdagen]],0)</f>
        <v>#DIV/0!</v>
      </c>
      <c r="AD503" s="443" t="e">
        <f>Ruimtestaat[[#This Row],[uren / jaar werkdagen BSO]]*Tariefsopbouw!$E$35</f>
        <v>#DIV/0!</v>
      </c>
      <c r="AE503" s="444">
        <f>Ruimtestaat[[#This Row],[uren / jaar werkdagen]]*Tariefsopbouw!$E$35</f>
        <v>0</v>
      </c>
      <c r="AF503" s="454"/>
      <c r="AG503" s="455">
        <f>IF(Ruimtestaat[[#This Row],[Frequentie weekend]]&gt;0,VALUE(LEFT(AF503,1))*S503,0)</f>
        <v>0</v>
      </c>
      <c r="AH503" s="455">
        <f>IF($AG503&gt;0,VLOOKUP($J503,Ruimtegroepen[],3,FALSE)*VLOOKUP($L503,Vloersoorten[],3,FALSE)*VLOOKUP($AF503,Frequenties[],3,FALSE)*VLOOKUP(#REF!,Locaties[],3,FALSE),0)</f>
        <v>0</v>
      </c>
      <c r="AI503" s="434">
        <f>Ruimtestaat[[#This Row],[Uitvoeringen weekend]]*Ruimtestaat[[#This Row],[Oppervlak (netto)]]</f>
        <v>0</v>
      </c>
      <c r="AJ503" s="434">
        <f>IF(AH503&gt;0,Ruimtestaat[[#This Row],[Prest. (m2 /jaar) weekend]]/Ruimtestaat[[#This Row],[Norm (m2/uur) weekend]],0)</f>
        <v>0</v>
      </c>
      <c r="AK503" s="444">
        <f>Ruimtestaat[[#This Row],[uren / jaar weekend]]*Tariefsopbouw!$D$40</f>
        <v>0</v>
      </c>
      <c r="AL503" s="441">
        <f>Ruimtestaat[[#This Row],[Prest. (m2 /jaar) weekend]]+Ruimtestaat[[#This Row],[Prest. (m2 /jaar) werkdagen]]</f>
        <v>606.80000000000007</v>
      </c>
      <c r="AM503" s="441">
        <f>Ruimtestaat[[#This Row],[uren / jaar weekend]]+Ruimtestaat[[#This Row],[uren / jaar werkdagen]]</f>
        <v>0</v>
      </c>
      <c r="AN503" s="446">
        <f>Ruimtestaat[[#This Row],[kosten / jaar weekend]]+Ruimtestaat[[#This Row],[kosten / jaar werkdagen]]</f>
        <v>0</v>
      </c>
      <c r="AO503" s="446"/>
      <c r="AP503" s="446" t="str">
        <f>IF(Ruimtestaat[[#This Row],[Frequentie werkdagen]]="","",_xlfn.CONCAT(Ruimtestaat[[#This Row],[Ruimte code]],"-",Ruimtestaat[[#This Row],[Frequentie werkdagen]]," ",Ruimtestaat[[#This Row],[Vloer code]]))</f>
        <v>2-2w S</v>
      </c>
      <c r="AQ503" s="448" t="str">
        <f>_xlfn.IFNA(VLOOKUP($AP503,Programma!$F$3:$G$1101,2,0),"")</f>
        <v>_</v>
      </c>
      <c r="AR503" s="448" t="str">
        <f>_xlfn.IFNA(VLOOKUP($AP503,Programma!$F$3:$H$1101,3,0),"")</f>
        <v>_</v>
      </c>
      <c r="AS503" s="448" t="str">
        <f>_xlfn.IFNA(VLOOKUP($AP503,Programma!$F$3:$I$1101,4,0),"")</f>
        <v>1w</v>
      </c>
      <c r="AT503" s="448" t="str">
        <f>_xlfn.IFNA(VLOOKUP($AP503,Programma!$F$3:$J$1101,5,0),"")</f>
        <v>1w</v>
      </c>
      <c r="AU503" s="448" t="str">
        <f>_xlfn.IFNA(VLOOKUP($AP503,Programma!$F$3:$K$1101,6,0),"")</f>
        <v>1j</v>
      </c>
      <c r="AV503" s="448" t="str">
        <f>_xlfn.IFNA(VLOOKUP($AP503,Programma!$F$3:$L$1101,7,0),"")</f>
        <v>_</v>
      </c>
      <c r="AW503" s="448" t="str">
        <f>_xlfn.IFNA(VLOOKUP($AP503,Programma!$F$3:$M$1101,8,0),"")</f>
        <v>_</v>
      </c>
      <c r="AX503" s="448" t="str">
        <f>_xlfn.IFNA(VLOOKUP($AP503,Programma!$F$3:$N$1101,9,0),"")</f>
        <v>_</v>
      </c>
      <c r="AY503" s="448" t="str">
        <f>_xlfn.IFNA(VLOOKUP($AP503,Programma!$F$3:$O$1101,10,0),"")</f>
        <v>2w</v>
      </c>
      <c r="AZ503" s="448" t="str">
        <f>_xlfn.IFNA(VLOOKUP($AP503,Programma!$F$3:$P$1101,11,0),"")</f>
        <v>2w</v>
      </c>
      <c r="BA503" s="448" t="str">
        <f>_xlfn.IFNA(VLOOKUP($AP503,Programma!$F$3:$Q$1101,12,0),"")</f>
        <v>1w</v>
      </c>
      <c r="BB503" s="448" t="str">
        <f>_xlfn.IFNA(VLOOKUP($AP503,Programma!$F$3:$R$1101,13,0),"")</f>
        <v>1w</v>
      </c>
      <c r="BC503" s="448" t="str">
        <f>_xlfn.IFNA(VLOOKUP($AP503,Programma!$F$3:$S$1101,14,0),"")</f>
        <v>1m</v>
      </c>
      <c r="BD503" s="448" t="str">
        <f>_xlfn.IFNA(VLOOKUP($AP503,Programma!$F$3:$T$1101,15,0),"")</f>
        <v>2j</v>
      </c>
      <c r="BE503" s="448" t="str">
        <f>_xlfn.IFNA(VLOOKUP($AP503,Programma!$F$3:$U$1101,16,0),"")</f>
        <v>1j</v>
      </c>
      <c r="BF503" s="448" t="str">
        <f>_xlfn.IFNA(VLOOKUP($AP503,Programma!$F$3:$V$1101,17,0),"")</f>
        <v>_</v>
      </c>
      <c r="BG503" s="448" t="str">
        <f>_xlfn.IFNA(VLOOKUP($AP503,Programma!$F$3:$W$1101,18,0),"")</f>
        <v>_</v>
      </c>
      <c r="BH503" s="448" t="str">
        <f>_xlfn.IFNA(VLOOKUP($AP503,Programma!$F$3:$X$1101,19,0),"")</f>
        <v>_</v>
      </c>
      <c r="BI503" s="448" t="str">
        <f>_xlfn.IFNA(VLOOKUP($AP503,Programma!$F$3:$Y$1101,20,0),"")</f>
        <v>_</v>
      </c>
      <c r="BJ503" s="449"/>
      <c r="BK503" s="446" t="str">
        <f>IF(Ruimtestaat[[#This Row],[Frequentie weekend]]="","",_xlfn.CONCAT(Ruimtestaat[[#This Row],[Ruimte code]],"-",Ruimtestaat[[#This Row],[Frequentie weekend]]," ",Ruimtestaat[[#This Row],[Vloer code]]))</f>
        <v/>
      </c>
      <c r="BL503" s="448" t="str">
        <f>_xlfn.IFNA(VLOOKUP($BK503,Programma!$F$3:$G$1101,2,0),"")</f>
        <v/>
      </c>
      <c r="BM503" s="448" t="str">
        <f>_xlfn.IFNA(VLOOKUP($BK503,Programma!$F$3:$H$1101,3,0),"")</f>
        <v/>
      </c>
      <c r="BN503" s="448" t="str">
        <f>_xlfn.IFNA(VLOOKUP($BK503,Programma!$F$3:$I$1101,4,0),"")</f>
        <v/>
      </c>
      <c r="BO503" s="448" t="str">
        <f>_xlfn.IFNA(VLOOKUP($BK503,Programma!$F$3:$J$1101,5,0),"")</f>
        <v/>
      </c>
      <c r="BP503" s="448" t="str">
        <f>_xlfn.IFNA(VLOOKUP($BK503,Programma!$F$3:$K$1101,6,0),"")</f>
        <v/>
      </c>
      <c r="BQ503" s="448" t="str">
        <f>_xlfn.IFNA(VLOOKUP($BK503,Programma!$F$3:$L$1101,7,0),"")</f>
        <v/>
      </c>
      <c r="BR503" s="448" t="str">
        <f>_xlfn.IFNA(VLOOKUP($BK503,Programma!$F$3:$M$1101,8,0),"")</f>
        <v/>
      </c>
      <c r="BS503" s="448" t="str">
        <f>_xlfn.IFNA(VLOOKUP($BK503,Programma!$F$3:$N$1101,9,0),"")</f>
        <v/>
      </c>
      <c r="BT503" s="448" t="str">
        <f>_xlfn.IFNA(VLOOKUP($BK503,Programma!$F$3:$O$1101,10,0),"")</f>
        <v/>
      </c>
      <c r="BU503" s="448" t="str">
        <f>_xlfn.IFNA(VLOOKUP($BK503,Programma!$F$3:$P$1101,11,0),"")</f>
        <v/>
      </c>
      <c r="BV503" s="448" t="str">
        <f>_xlfn.IFNA(VLOOKUP($BK503,Programma!$F$3:$Q$1101,12,0),"")</f>
        <v/>
      </c>
      <c r="BW503" s="448" t="str">
        <f>_xlfn.IFNA(VLOOKUP($BK503,Programma!$F$3:$R$1101,13,0),"")</f>
        <v/>
      </c>
      <c r="BX503" s="448" t="str">
        <f>_xlfn.IFNA(VLOOKUP($BK503,Programma!$F$3:$S$1101,14,0),"")</f>
        <v/>
      </c>
      <c r="BY503" s="448" t="str">
        <f>_xlfn.IFNA(VLOOKUP($BK503,Programma!$F$3:$T$1101,15,0),"")</f>
        <v/>
      </c>
      <c r="BZ503" s="448" t="str">
        <f>_xlfn.IFNA(VLOOKUP($BK503,Programma!$F$3:$U$1101,16,0),"")</f>
        <v/>
      </c>
      <c r="CA503" s="448" t="str">
        <f>_xlfn.IFNA(VLOOKUP($BK503,Programma!$F$3:$V$1101,17,0),"")</f>
        <v/>
      </c>
      <c r="CB503" s="448" t="str">
        <f>_xlfn.IFNA(VLOOKUP($BK503,Programma!$F$3:$W$1101,18,0),"")</f>
        <v/>
      </c>
      <c r="CC503" s="448" t="str">
        <f>_xlfn.IFNA(VLOOKUP($BK503,Programma!$F$3:$X$1101,19,0),"")</f>
        <v/>
      </c>
      <c r="CD503" s="448" t="str">
        <f>_xlfn.IFNA(VLOOKUP($BK503,Programma!$F$3:$Y$1101,20,0),"")</f>
        <v/>
      </c>
    </row>
    <row r="504" spans="1:82" ht="15" customHeight="1">
      <c r="A504" s="327">
        <v>19</v>
      </c>
      <c r="B504" s="435" t="str">
        <f>VLOOKUP(Ruimtestaat[[#This Row],[Code]],Locaties[[Code]:[Locatie]],2,FALSE)</f>
        <v>IKC de Leerplaneet (vhKlimboom)</v>
      </c>
      <c r="C504" s="435" t="str">
        <f>VLOOKUP(Ruimtestaat[[#This Row],[Code]],Locaties[[#All],[Code]:[Adres]],4,FALSE)</f>
        <v>Nesciohove 105-107</v>
      </c>
      <c r="D504" s="435" t="str">
        <f>VLOOKUP(Ruimtestaat[[#This Row],[Code]],Locaties[[#All],[Code]:[Postcode]],5,FALSE)</f>
        <v>2726 BL</v>
      </c>
      <c r="E504" s="435" t="str">
        <f>VLOOKUP(Ruimtestaat[[#This Row],[Code]],Locaties[#All],6,FALSE)</f>
        <v>Zoetermeer</v>
      </c>
      <c r="F504" s="450"/>
      <c r="G504" s="330" t="s">
        <v>1678</v>
      </c>
      <c r="H504" s="330" t="s">
        <v>1888</v>
      </c>
      <c r="I504" s="450" t="s">
        <v>1889</v>
      </c>
      <c r="J504" s="330">
        <v>4</v>
      </c>
      <c r="K504" s="450" t="str">
        <f>VLOOKUP(Ruimtestaat[[#This Row],[Ruimte code]],Ruimtegroepen[[#All],[Code]:[Ruimte omschrijving]],2,FALSE)</f>
        <v>Vergader/spreekkamers</v>
      </c>
      <c r="L504" s="330" t="s">
        <v>101</v>
      </c>
      <c r="M504" s="437" t="s">
        <v>1816</v>
      </c>
      <c r="N504" s="439">
        <v>10.1</v>
      </c>
      <c r="O504" s="439"/>
      <c r="P504" s="439"/>
      <c r="Q504" s="439"/>
      <c r="R504" s="440" t="str">
        <f>VLOOKUP(Ruimtestaat[[#This Row],[Ruimte code]],Ruimtegroepen[],4,FALSE)</f>
        <v>Bu</v>
      </c>
      <c r="S504" s="434">
        <v>40</v>
      </c>
      <c r="T504" s="434" t="s">
        <v>2</v>
      </c>
      <c r="U504" s="453">
        <f>IF(S504&gt;0,IF(RIGHT(Ruimtestaat[[#This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04" s="434">
        <f>IF(U504&gt;0,VLOOKUP($J504,Ruimtegroepen[],3,FALSE)*VLOOKUP($L504,Vloersoorten[],3,FALSE)*VLOOKUP($T504,Frequenties[],3,FALSE)*VLOOKUP($A504,Locaties[],3,FALSE),0)</f>
        <v>0</v>
      </c>
      <c r="W504" s="434">
        <f>Ruimtestaat[[#This Row],[Uitvoeringen werkdagen]]*Ruimtestaat[[#This Row],[Oppervlak (netto)]]</f>
        <v>2020</v>
      </c>
      <c r="X504" s="441">
        <f>IF(V504&gt;0,Ruimtestaat[[#This Row],[Prest. (m2 /jaar) werkdagen]]/Ruimtestaat[[#This Row],[Norm (m2/uur) werkdagen]],0)</f>
        <v>0</v>
      </c>
      <c r="Y504" s="442">
        <f>Ruimtestaat[[#This Row],[Uitvoeringen werkdagen]]*Ruimtestaat[[#This Row],[Gedeeltelijk]]</f>
        <v>0</v>
      </c>
      <c r="Z504" s="443" t="e">
        <f>IF(U504&gt;0,Ruimtestaat[[#This Row],[Prest. (m2 / jaar) werkdagen gedeeld]]/Ruimtestaat[[#This Row],[Norm (m2/uur) werkdagen]],0)</f>
        <v>#DIV/0!</v>
      </c>
      <c r="AA504" s="441" t="e">
        <f>Ruimtestaat[[#This Row],[uren / jaar werkdagen gedeeld]]*Tariefsopbouw!$E$35</f>
        <v>#DIV/0!</v>
      </c>
      <c r="AB504" s="441">
        <f>Ruimtestaat[[#This Row],[Uitvoeringen werkdagen]]*Ruimtestaat[[#This Row],[BSO]]</f>
        <v>0</v>
      </c>
      <c r="AC504" s="443" t="e">
        <f>IF(U504&gt;0,Ruimtestaat[[#This Row],[Prest. (m2 / jaar) werkdagen BSO]]/Ruimtestaat[[#This Row],[Norm (m2/uur) werkdagen]],0)</f>
        <v>#DIV/0!</v>
      </c>
      <c r="AD504" s="443" t="e">
        <f>Ruimtestaat[[#This Row],[uren / jaar werkdagen BSO]]*Tariefsopbouw!$E$35</f>
        <v>#DIV/0!</v>
      </c>
      <c r="AE504" s="444">
        <f>Ruimtestaat[[#This Row],[uren / jaar werkdagen]]*Tariefsopbouw!$E$35</f>
        <v>0</v>
      </c>
      <c r="AF504" s="454"/>
      <c r="AG504" s="455">
        <f>IF(Ruimtestaat[[#This Row],[Frequentie weekend]]&gt;0,VALUE(LEFT(AF504,1))*S504,0)</f>
        <v>0</v>
      </c>
      <c r="AH504" s="455">
        <f>IF($AG504&gt;0,VLOOKUP($J504,Ruimtegroepen[],3,FALSE)*VLOOKUP($L504,Vloersoorten[],3,FALSE)*VLOOKUP($AF504,Frequenties[],3,FALSE)*VLOOKUP(#REF!,Locaties[],3,FALSE),0)</f>
        <v>0</v>
      </c>
      <c r="AI504" s="434">
        <f>Ruimtestaat[[#This Row],[Uitvoeringen weekend]]*Ruimtestaat[[#This Row],[Oppervlak (netto)]]</f>
        <v>0</v>
      </c>
      <c r="AJ504" s="434">
        <f>IF(AH504&gt;0,Ruimtestaat[[#This Row],[Prest. (m2 /jaar) weekend]]/Ruimtestaat[[#This Row],[Norm (m2/uur) weekend]],0)</f>
        <v>0</v>
      </c>
      <c r="AK504" s="444">
        <f>Ruimtestaat[[#This Row],[uren / jaar weekend]]*Tariefsopbouw!$D$40</f>
        <v>0</v>
      </c>
      <c r="AL504" s="441">
        <f>Ruimtestaat[[#This Row],[Prest. (m2 /jaar) weekend]]+Ruimtestaat[[#This Row],[Prest. (m2 /jaar) werkdagen]]</f>
        <v>2020</v>
      </c>
      <c r="AM504" s="441">
        <f>Ruimtestaat[[#This Row],[uren / jaar weekend]]+Ruimtestaat[[#This Row],[uren / jaar werkdagen]]</f>
        <v>0</v>
      </c>
      <c r="AN504" s="446">
        <f>Ruimtestaat[[#This Row],[kosten / jaar weekend]]+Ruimtestaat[[#This Row],[kosten / jaar werkdagen]]</f>
        <v>0</v>
      </c>
      <c r="AO504" s="446"/>
      <c r="AP504" s="446" t="str">
        <f>IF(Ruimtestaat[[#This Row],[Frequentie werkdagen]]="","",_xlfn.CONCAT(Ruimtestaat[[#This Row],[Ruimte code]],"-",Ruimtestaat[[#This Row],[Frequentie werkdagen]]," ",Ruimtestaat[[#This Row],[Vloer code]]))</f>
        <v>4-5w S</v>
      </c>
      <c r="AQ504" s="448" t="str">
        <f>_xlfn.IFNA(VLOOKUP($AP504,Programma!$F$3:$G$1101,2,0),"")</f>
        <v>_</v>
      </c>
      <c r="AR504" s="448" t="str">
        <f>_xlfn.IFNA(VLOOKUP($AP504,Programma!$F$3:$H$1101,3,0),"")</f>
        <v>_</v>
      </c>
      <c r="AS504" s="448" t="str">
        <f>_xlfn.IFNA(VLOOKUP($AP504,Programma!$F$3:$I$1101,4,0),"")</f>
        <v>4w</v>
      </c>
      <c r="AT504" s="448" t="str">
        <f>_xlfn.IFNA(VLOOKUP($AP504,Programma!$F$3:$J$1101,5,0),"")</f>
        <v>1w</v>
      </c>
      <c r="AU504" s="448" t="str">
        <f>_xlfn.IFNA(VLOOKUP($AP504,Programma!$F$3:$K$1101,6,0),"")</f>
        <v>2j</v>
      </c>
      <c r="AV504" s="448" t="str">
        <f>_xlfn.IFNA(VLOOKUP($AP504,Programma!$F$3:$L$1101,7,0),"")</f>
        <v>_</v>
      </c>
      <c r="AW504" s="448" t="str">
        <f>_xlfn.IFNA(VLOOKUP($AP504,Programma!$F$3:$M$1101,8,0),"")</f>
        <v>_</v>
      </c>
      <c r="AX504" s="448" t="str">
        <f>_xlfn.IFNA(VLOOKUP($AP504,Programma!$F$3:$N$1101,9,0),"")</f>
        <v>_</v>
      </c>
      <c r="AY504" s="448" t="str">
        <f>_xlfn.IFNA(VLOOKUP($AP504,Programma!$F$3:$O$1101,10,0),"")</f>
        <v>5w</v>
      </c>
      <c r="AZ504" s="448" t="str">
        <f>_xlfn.IFNA(VLOOKUP($AP504,Programma!$F$3:$P$1101,11,0),"")</f>
        <v>5w</v>
      </c>
      <c r="BA504" s="448" t="str">
        <f>_xlfn.IFNA(VLOOKUP($AP504,Programma!$F$3:$Q$1101,12,0),"")</f>
        <v>1w</v>
      </c>
      <c r="BB504" s="448" t="str">
        <f>_xlfn.IFNA(VLOOKUP($AP504,Programma!$F$3:$R$1101,13,0),"")</f>
        <v>1w</v>
      </c>
      <c r="BC504" s="448" t="str">
        <f>_xlfn.IFNA(VLOOKUP($AP504,Programma!$F$3:$S$1101,14,0),"")</f>
        <v>1m</v>
      </c>
      <c r="BD504" s="448" t="str">
        <f>_xlfn.IFNA(VLOOKUP($AP504,Programma!$F$3:$T$1101,15,0),"")</f>
        <v>2j</v>
      </c>
      <c r="BE504" s="448" t="str">
        <f>_xlfn.IFNA(VLOOKUP($AP504,Programma!$F$3:$U$1101,16,0),"")</f>
        <v>1j</v>
      </c>
      <c r="BF504" s="448" t="str">
        <f>_xlfn.IFNA(VLOOKUP($AP504,Programma!$F$3:$V$1101,17,0),"")</f>
        <v>_</v>
      </c>
      <c r="BG504" s="448" t="str">
        <f>_xlfn.IFNA(VLOOKUP($AP504,Programma!$F$3:$W$1101,18,0),"")</f>
        <v>_</v>
      </c>
      <c r="BH504" s="448" t="str">
        <f>_xlfn.IFNA(VLOOKUP($AP504,Programma!$F$3:$X$1101,19,0),"")</f>
        <v>_</v>
      </c>
      <c r="BI504" s="448" t="str">
        <f>_xlfn.IFNA(VLOOKUP($AP504,Programma!$F$3:$Y$1101,20,0),"")</f>
        <v>_</v>
      </c>
      <c r="BJ504" s="449"/>
      <c r="BK504" s="446" t="str">
        <f>IF(Ruimtestaat[[#This Row],[Frequentie weekend]]="","",_xlfn.CONCAT(Ruimtestaat[[#This Row],[Ruimte code]],"-",Ruimtestaat[[#This Row],[Frequentie weekend]]," ",Ruimtestaat[[#This Row],[Vloer code]]))</f>
        <v/>
      </c>
      <c r="BL504" s="448" t="str">
        <f>_xlfn.IFNA(VLOOKUP($BK504,Programma!$F$3:$G$1101,2,0),"")</f>
        <v/>
      </c>
      <c r="BM504" s="448" t="str">
        <f>_xlfn.IFNA(VLOOKUP($BK504,Programma!$F$3:$H$1101,3,0),"")</f>
        <v/>
      </c>
      <c r="BN504" s="448" t="str">
        <f>_xlfn.IFNA(VLOOKUP($BK504,Programma!$F$3:$I$1101,4,0),"")</f>
        <v/>
      </c>
      <c r="BO504" s="448" t="str">
        <f>_xlfn.IFNA(VLOOKUP($BK504,Programma!$F$3:$J$1101,5,0),"")</f>
        <v/>
      </c>
      <c r="BP504" s="448" t="str">
        <f>_xlfn.IFNA(VLOOKUP($BK504,Programma!$F$3:$K$1101,6,0),"")</f>
        <v/>
      </c>
      <c r="BQ504" s="448" t="str">
        <f>_xlfn.IFNA(VLOOKUP($BK504,Programma!$F$3:$L$1101,7,0),"")</f>
        <v/>
      </c>
      <c r="BR504" s="448" t="str">
        <f>_xlfn.IFNA(VLOOKUP($BK504,Programma!$F$3:$M$1101,8,0),"")</f>
        <v/>
      </c>
      <c r="BS504" s="448" t="str">
        <f>_xlfn.IFNA(VLOOKUP($BK504,Programma!$F$3:$N$1101,9,0),"")</f>
        <v/>
      </c>
      <c r="BT504" s="448" t="str">
        <f>_xlfn.IFNA(VLOOKUP($BK504,Programma!$F$3:$O$1101,10,0),"")</f>
        <v/>
      </c>
      <c r="BU504" s="448" t="str">
        <f>_xlfn.IFNA(VLOOKUP($BK504,Programma!$F$3:$P$1101,11,0),"")</f>
        <v/>
      </c>
      <c r="BV504" s="448" t="str">
        <f>_xlfn.IFNA(VLOOKUP($BK504,Programma!$F$3:$Q$1101,12,0),"")</f>
        <v/>
      </c>
      <c r="BW504" s="448" t="str">
        <f>_xlfn.IFNA(VLOOKUP($BK504,Programma!$F$3:$R$1101,13,0),"")</f>
        <v/>
      </c>
      <c r="BX504" s="448" t="str">
        <f>_xlfn.IFNA(VLOOKUP($BK504,Programma!$F$3:$S$1101,14,0),"")</f>
        <v/>
      </c>
      <c r="BY504" s="448" t="str">
        <f>_xlfn.IFNA(VLOOKUP($BK504,Programma!$F$3:$T$1101,15,0),"")</f>
        <v/>
      </c>
      <c r="BZ504" s="448" t="str">
        <f>_xlfn.IFNA(VLOOKUP($BK504,Programma!$F$3:$U$1101,16,0),"")</f>
        <v/>
      </c>
      <c r="CA504" s="448" t="str">
        <f>_xlfn.IFNA(VLOOKUP($BK504,Programma!$F$3:$V$1101,17,0),"")</f>
        <v/>
      </c>
      <c r="CB504" s="448" t="str">
        <f>_xlfn.IFNA(VLOOKUP($BK504,Programma!$F$3:$W$1101,18,0),"")</f>
        <v/>
      </c>
      <c r="CC504" s="448" t="str">
        <f>_xlfn.IFNA(VLOOKUP($BK504,Programma!$F$3:$X$1101,19,0),"")</f>
        <v/>
      </c>
      <c r="CD504" s="448" t="str">
        <f>_xlfn.IFNA(VLOOKUP($BK504,Programma!$F$3:$Y$1101,20,0),"")</f>
        <v/>
      </c>
    </row>
    <row r="505" spans="1:82" ht="15" customHeight="1">
      <c r="A505" s="327">
        <v>19</v>
      </c>
      <c r="B505" s="435" t="str">
        <f>VLOOKUP(Ruimtestaat[[#This Row],[Code]],Locaties[[Code]:[Locatie]],2,FALSE)</f>
        <v>IKC de Leerplaneet (vhKlimboom)</v>
      </c>
      <c r="C505" s="435" t="str">
        <f>VLOOKUP(Ruimtestaat[[#This Row],[Code]],Locaties[[#All],[Code]:[Adres]],4,FALSE)</f>
        <v>Nesciohove 105-107</v>
      </c>
      <c r="D505" s="435" t="str">
        <f>VLOOKUP(Ruimtestaat[[#This Row],[Code]],Locaties[[#All],[Code]:[Postcode]],5,FALSE)</f>
        <v>2726 BL</v>
      </c>
      <c r="E505" s="435" t="str">
        <f>VLOOKUP(Ruimtestaat[[#This Row],[Code]],Locaties[#All],6,FALSE)</f>
        <v>Zoetermeer</v>
      </c>
      <c r="F505" s="450"/>
      <c r="G505" s="330" t="s">
        <v>1678</v>
      </c>
      <c r="H505" s="330" t="s">
        <v>1890</v>
      </c>
      <c r="I505" s="450" t="s">
        <v>1891</v>
      </c>
      <c r="J505" s="330">
        <v>2</v>
      </c>
      <c r="K505" s="450" t="str">
        <f>VLOOKUP(Ruimtestaat[[#This Row],[Ruimte code]],Ruimtegroepen[[#All],[Code]:[Ruimte omschrijving]],2,FALSE)</f>
        <v>Kantoren</v>
      </c>
      <c r="L505" s="330" t="s">
        <v>101</v>
      </c>
      <c r="M505" s="437" t="s">
        <v>1816</v>
      </c>
      <c r="N505" s="439">
        <v>19</v>
      </c>
      <c r="O505" s="439"/>
      <c r="P505" s="439"/>
      <c r="Q505" s="439"/>
      <c r="R505" s="440" t="str">
        <f>VLOOKUP(Ruimtestaat[[#This Row],[Ruimte code]],Ruimtegroepen[],4,FALSE)</f>
        <v>Bu</v>
      </c>
      <c r="S505" s="434">
        <v>41</v>
      </c>
      <c r="T505" s="434" t="s">
        <v>2</v>
      </c>
      <c r="U505" s="453">
        <f>IF(S505&gt;0,IF(RIGHT(Ruimtestaat[[#This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05" s="434">
        <f>IF(U505&gt;0,VLOOKUP($J505,Ruimtegroepen[],3,FALSE)*VLOOKUP($L505,Vloersoorten[],3,FALSE)*VLOOKUP($T505,Frequenties[],3,FALSE)*VLOOKUP($A505,Locaties[],3,FALSE),0)</f>
        <v>0</v>
      </c>
      <c r="W505" s="434">
        <f>Ruimtestaat[[#This Row],[Uitvoeringen werkdagen]]*Ruimtestaat[[#This Row],[Oppervlak (netto)]]</f>
        <v>3895</v>
      </c>
      <c r="X505" s="441">
        <f>IF(V505&gt;0,Ruimtestaat[[#This Row],[Prest. (m2 /jaar) werkdagen]]/Ruimtestaat[[#This Row],[Norm (m2/uur) werkdagen]],0)</f>
        <v>0</v>
      </c>
      <c r="Y505" s="442">
        <f>Ruimtestaat[[#This Row],[Uitvoeringen werkdagen]]*Ruimtestaat[[#This Row],[Gedeeltelijk]]</f>
        <v>0</v>
      </c>
      <c r="Z505" s="443" t="e">
        <f>IF(U505&gt;0,Ruimtestaat[[#This Row],[Prest. (m2 / jaar) werkdagen gedeeld]]/Ruimtestaat[[#This Row],[Norm (m2/uur) werkdagen]],0)</f>
        <v>#DIV/0!</v>
      </c>
      <c r="AA505" s="441" t="e">
        <f>Ruimtestaat[[#This Row],[uren / jaar werkdagen gedeeld]]*Tariefsopbouw!$E$35</f>
        <v>#DIV/0!</v>
      </c>
      <c r="AB505" s="441">
        <f>Ruimtestaat[[#This Row],[Uitvoeringen werkdagen]]*Ruimtestaat[[#This Row],[BSO]]</f>
        <v>0</v>
      </c>
      <c r="AC505" s="443" t="e">
        <f>IF(U505&gt;0,Ruimtestaat[[#This Row],[Prest. (m2 / jaar) werkdagen BSO]]/Ruimtestaat[[#This Row],[Norm (m2/uur) werkdagen]],0)</f>
        <v>#DIV/0!</v>
      </c>
      <c r="AD505" s="443" t="e">
        <f>Ruimtestaat[[#This Row],[uren / jaar werkdagen BSO]]*Tariefsopbouw!$E$35</f>
        <v>#DIV/0!</v>
      </c>
      <c r="AE505" s="444">
        <f>Ruimtestaat[[#This Row],[uren / jaar werkdagen]]*Tariefsopbouw!$E$35</f>
        <v>0</v>
      </c>
      <c r="AF505" s="454"/>
      <c r="AG505" s="455">
        <f>IF(Ruimtestaat[[#This Row],[Frequentie weekend]]&gt;0,VALUE(LEFT(AF505,1))*S505,0)</f>
        <v>0</v>
      </c>
      <c r="AH505" s="455">
        <f>IF($AG505&gt;0,VLOOKUP($J505,Ruimtegroepen[],3,FALSE)*VLOOKUP($L505,Vloersoorten[],3,FALSE)*VLOOKUP($AF505,Frequenties[],3,FALSE)*VLOOKUP(#REF!,Locaties[],3,FALSE),0)</f>
        <v>0</v>
      </c>
      <c r="AI505" s="434">
        <f>Ruimtestaat[[#This Row],[Uitvoeringen weekend]]*Ruimtestaat[[#This Row],[Oppervlak (netto)]]</f>
        <v>0</v>
      </c>
      <c r="AJ505" s="434">
        <f>IF(AH505&gt;0,Ruimtestaat[[#This Row],[Prest. (m2 /jaar) weekend]]/Ruimtestaat[[#This Row],[Norm (m2/uur) weekend]],0)</f>
        <v>0</v>
      </c>
      <c r="AK505" s="444">
        <f>Ruimtestaat[[#This Row],[uren / jaar weekend]]*Tariefsopbouw!$D$40</f>
        <v>0</v>
      </c>
      <c r="AL505" s="441">
        <f>Ruimtestaat[[#This Row],[Prest. (m2 /jaar) weekend]]+Ruimtestaat[[#This Row],[Prest. (m2 /jaar) werkdagen]]</f>
        <v>3895</v>
      </c>
      <c r="AM505" s="441">
        <f>Ruimtestaat[[#This Row],[uren / jaar weekend]]+Ruimtestaat[[#This Row],[uren / jaar werkdagen]]</f>
        <v>0</v>
      </c>
      <c r="AN505" s="446">
        <f>Ruimtestaat[[#This Row],[kosten / jaar weekend]]+Ruimtestaat[[#This Row],[kosten / jaar werkdagen]]</f>
        <v>0</v>
      </c>
      <c r="AO505" s="446"/>
      <c r="AP505" s="446" t="str">
        <f>IF(Ruimtestaat[[#This Row],[Frequentie werkdagen]]="","",_xlfn.CONCAT(Ruimtestaat[[#This Row],[Ruimte code]],"-",Ruimtestaat[[#This Row],[Frequentie werkdagen]]," ",Ruimtestaat[[#This Row],[Vloer code]]))</f>
        <v>2-5w S</v>
      </c>
      <c r="AQ505" s="448" t="str">
        <f>_xlfn.IFNA(VLOOKUP($AP505,Programma!$F$3:$G$1101,2,0),"")</f>
        <v>_</v>
      </c>
      <c r="AR505" s="448" t="str">
        <f>_xlfn.IFNA(VLOOKUP($AP505,Programma!$F$3:$H$1101,3,0),"")</f>
        <v>_</v>
      </c>
      <c r="AS505" s="448" t="str">
        <f>_xlfn.IFNA(VLOOKUP($AP505,Programma!$F$3:$I$1101,4,0),"")</f>
        <v>4w</v>
      </c>
      <c r="AT505" s="448" t="str">
        <f>_xlfn.IFNA(VLOOKUP($AP505,Programma!$F$3:$J$1101,5,0),"")</f>
        <v>1w</v>
      </c>
      <c r="AU505" s="448" t="str">
        <f>_xlfn.IFNA(VLOOKUP($AP505,Programma!$F$3:$K$1101,6,0),"")</f>
        <v>1j</v>
      </c>
      <c r="AV505" s="448" t="str">
        <f>_xlfn.IFNA(VLOOKUP($AP505,Programma!$F$3:$L$1101,7,0),"")</f>
        <v>_</v>
      </c>
      <c r="AW505" s="448" t="str">
        <f>_xlfn.IFNA(VLOOKUP($AP505,Programma!$F$3:$M$1101,8,0),"")</f>
        <v>_</v>
      </c>
      <c r="AX505" s="448" t="str">
        <f>_xlfn.IFNA(VLOOKUP($AP505,Programma!$F$3:$N$1101,9,0),"")</f>
        <v>_</v>
      </c>
      <c r="AY505" s="448" t="str">
        <f>_xlfn.IFNA(VLOOKUP($AP505,Programma!$F$3:$O$1101,10,0),"")</f>
        <v>5w</v>
      </c>
      <c r="AZ505" s="448" t="str">
        <f>_xlfn.IFNA(VLOOKUP($AP505,Programma!$F$3:$P$1101,11,0),"")</f>
        <v>5w</v>
      </c>
      <c r="BA505" s="448" t="str">
        <f>_xlfn.IFNA(VLOOKUP($AP505,Programma!$F$3:$Q$1101,12,0),"")</f>
        <v>1w</v>
      </c>
      <c r="BB505" s="448" t="str">
        <f>_xlfn.IFNA(VLOOKUP($AP505,Programma!$F$3:$R$1101,13,0),"")</f>
        <v>1w</v>
      </c>
      <c r="BC505" s="448" t="str">
        <f>_xlfn.IFNA(VLOOKUP($AP505,Programma!$F$3:$S$1101,14,0),"")</f>
        <v>1m</v>
      </c>
      <c r="BD505" s="448" t="str">
        <f>_xlfn.IFNA(VLOOKUP($AP505,Programma!$F$3:$T$1101,15,0),"")</f>
        <v>2j</v>
      </c>
      <c r="BE505" s="448" t="str">
        <f>_xlfn.IFNA(VLOOKUP($AP505,Programma!$F$3:$U$1101,16,0),"")</f>
        <v>1j</v>
      </c>
      <c r="BF505" s="448" t="str">
        <f>_xlfn.IFNA(VLOOKUP($AP505,Programma!$F$3:$V$1101,17,0),"")</f>
        <v>_</v>
      </c>
      <c r="BG505" s="448" t="str">
        <f>_xlfn.IFNA(VLOOKUP($AP505,Programma!$F$3:$W$1101,18,0),"")</f>
        <v>_</v>
      </c>
      <c r="BH505" s="448" t="str">
        <f>_xlfn.IFNA(VLOOKUP($AP505,Programma!$F$3:$X$1101,19,0),"")</f>
        <v>_</v>
      </c>
      <c r="BI505" s="448" t="str">
        <f>_xlfn.IFNA(VLOOKUP($AP505,Programma!$F$3:$Y$1101,20,0),"")</f>
        <v>_</v>
      </c>
      <c r="BJ505" s="449"/>
      <c r="BK505" s="446" t="str">
        <f>IF(Ruimtestaat[[#This Row],[Frequentie weekend]]="","",_xlfn.CONCAT(Ruimtestaat[[#This Row],[Ruimte code]],"-",Ruimtestaat[[#This Row],[Frequentie weekend]]," ",Ruimtestaat[[#This Row],[Vloer code]]))</f>
        <v/>
      </c>
      <c r="BL505" s="448" t="str">
        <f>_xlfn.IFNA(VLOOKUP($BK505,Programma!$F$3:$G$1101,2,0),"")</f>
        <v/>
      </c>
      <c r="BM505" s="448" t="str">
        <f>_xlfn.IFNA(VLOOKUP($BK505,Programma!$F$3:$H$1101,3,0),"")</f>
        <v/>
      </c>
      <c r="BN505" s="448" t="str">
        <f>_xlfn.IFNA(VLOOKUP($BK505,Programma!$F$3:$I$1101,4,0),"")</f>
        <v/>
      </c>
      <c r="BO505" s="448" t="str">
        <f>_xlfn.IFNA(VLOOKUP($BK505,Programma!$F$3:$J$1101,5,0),"")</f>
        <v/>
      </c>
      <c r="BP505" s="448" t="str">
        <f>_xlfn.IFNA(VLOOKUP($BK505,Programma!$F$3:$K$1101,6,0),"")</f>
        <v/>
      </c>
      <c r="BQ505" s="448" t="str">
        <f>_xlfn.IFNA(VLOOKUP($BK505,Programma!$F$3:$L$1101,7,0),"")</f>
        <v/>
      </c>
      <c r="BR505" s="448" t="str">
        <f>_xlfn.IFNA(VLOOKUP($BK505,Programma!$F$3:$M$1101,8,0),"")</f>
        <v/>
      </c>
      <c r="BS505" s="448" t="str">
        <f>_xlfn.IFNA(VLOOKUP($BK505,Programma!$F$3:$N$1101,9,0),"")</f>
        <v/>
      </c>
      <c r="BT505" s="448" t="str">
        <f>_xlfn.IFNA(VLOOKUP($BK505,Programma!$F$3:$O$1101,10,0),"")</f>
        <v/>
      </c>
      <c r="BU505" s="448" t="str">
        <f>_xlfn.IFNA(VLOOKUP($BK505,Programma!$F$3:$P$1101,11,0),"")</f>
        <v/>
      </c>
      <c r="BV505" s="448" t="str">
        <f>_xlfn.IFNA(VLOOKUP($BK505,Programma!$F$3:$Q$1101,12,0),"")</f>
        <v/>
      </c>
      <c r="BW505" s="448" t="str">
        <f>_xlfn.IFNA(VLOOKUP($BK505,Programma!$F$3:$R$1101,13,0),"")</f>
        <v/>
      </c>
      <c r="BX505" s="448" t="str">
        <f>_xlfn.IFNA(VLOOKUP($BK505,Programma!$F$3:$S$1101,14,0),"")</f>
        <v/>
      </c>
      <c r="BY505" s="448" t="str">
        <f>_xlfn.IFNA(VLOOKUP($BK505,Programma!$F$3:$T$1101,15,0),"")</f>
        <v/>
      </c>
      <c r="BZ505" s="448" t="str">
        <f>_xlfn.IFNA(VLOOKUP($BK505,Programma!$F$3:$U$1101,16,0),"")</f>
        <v/>
      </c>
      <c r="CA505" s="448" t="str">
        <f>_xlfn.IFNA(VLOOKUP($BK505,Programma!$F$3:$V$1101,17,0),"")</f>
        <v/>
      </c>
      <c r="CB505" s="448" t="str">
        <f>_xlfn.IFNA(VLOOKUP($BK505,Programma!$F$3:$W$1101,18,0),"")</f>
        <v/>
      </c>
      <c r="CC505" s="448" t="str">
        <f>_xlfn.IFNA(VLOOKUP($BK505,Programma!$F$3:$X$1101,19,0),"")</f>
        <v/>
      </c>
      <c r="CD505" s="448" t="str">
        <f>_xlfn.IFNA(VLOOKUP($BK505,Programma!$F$3:$Y$1101,20,0),"")</f>
        <v/>
      </c>
    </row>
    <row r="506" spans="1:82" ht="15" customHeight="1">
      <c r="A506" s="327">
        <v>19</v>
      </c>
      <c r="B506" s="435" t="str">
        <f>VLOOKUP(Ruimtestaat[[#This Row],[Code]],Locaties[[Code]:[Locatie]],2,FALSE)</f>
        <v>IKC de Leerplaneet (vhKlimboom)</v>
      </c>
      <c r="C506" s="435" t="str">
        <f>VLOOKUP(Ruimtestaat[[#This Row],[Code]],Locaties[[#All],[Code]:[Adres]],4,FALSE)</f>
        <v>Nesciohove 105-107</v>
      </c>
      <c r="D506" s="435" t="str">
        <f>VLOOKUP(Ruimtestaat[[#This Row],[Code]],Locaties[[#All],[Code]:[Postcode]],5,FALSE)</f>
        <v>2726 BL</v>
      </c>
      <c r="E506" s="435" t="str">
        <f>VLOOKUP(Ruimtestaat[[#This Row],[Code]],Locaties[#All],6,FALSE)</f>
        <v>Zoetermeer</v>
      </c>
      <c r="F506" s="450"/>
      <c r="G506" s="330" t="s">
        <v>1678</v>
      </c>
      <c r="H506" s="330" t="s">
        <v>1892</v>
      </c>
      <c r="I506" s="450" t="s">
        <v>1893</v>
      </c>
      <c r="J506" s="330">
        <v>20</v>
      </c>
      <c r="K506" s="450" t="str">
        <f>VLOOKUP(Ruimtestaat[[#This Row],[Ruimte code]],Ruimtegroepen[[#All],[Code]:[Ruimte omschrijving]],2,FALSE)</f>
        <v>Niet in Onderhoud</v>
      </c>
      <c r="L506" s="330" t="s">
        <v>101</v>
      </c>
      <c r="M506" s="437" t="s">
        <v>1816</v>
      </c>
      <c r="N506" s="439"/>
      <c r="O506" s="439">
        <v>4.2</v>
      </c>
      <c r="P506" s="439"/>
      <c r="Q506" s="439"/>
      <c r="R506" s="440">
        <f>VLOOKUP(Ruimtestaat[[#This Row],[Ruimte code]],Ruimtegroepen[],4,FALSE)</f>
        <v>0</v>
      </c>
      <c r="S506" s="434"/>
      <c r="T506" s="434"/>
      <c r="U506" s="453">
        <f>IF(S506&gt;0,IF(RIGHT(Ruimtestaat[[#This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6" s="434">
        <f>IF(U506&gt;0,VLOOKUP($J506,Ruimtegroepen[],3,FALSE)*VLOOKUP($L506,Vloersoorten[],3,FALSE)*VLOOKUP($T506,Frequenties[],3,FALSE)*VLOOKUP($A506,Locaties[],3,FALSE),0)</f>
        <v>0</v>
      </c>
      <c r="W506" s="434">
        <f>Ruimtestaat[[#This Row],[Uitvoeringen werkdagen]]*Ruimtestaat[[#This Row],[Oppervlak (netto)]]</f>
        <v>0</v>
      </c>
      <c r="X506" s="441">
        <f>IF(V506&gt;0,Ruimtestaat[[#This Row],[Prest. (m2 /jaar) werkdagen]]/Ruimtestaat[[#This Row],[Norm (m2/uur) werkdagen]],0)</f>
        <v>0</v>
      </c>
      <c r="Y506" s="442">
        <f>Ruimtestaat[[#This Row],[Uitvoeringen werkdagen]]*Ruimtestaat[[#This Row],[Gedeeltelijk]]</f>
        <v>0</v>
      </c>
      <c r="Z506" s="443">
        <f>IF(U506&gt;0,Ruimtestaat[[#This Row],[Prest. (m2 / jaar) werkdagen gedeeld]]/Ruimtestaat[[#This Row],[Norm (m2/uur) werkdagen]],0)</f>
        <v>0</v>
      </c>
      <c r="AA506" s="441">
        <f>Ruimtestaat[[#This Row],[uren / jaar werkdagen gedeeld]]*Tariefsopbouw!$E$35</f>
        <v>0</v>
      </c>
      <c r="AB506" s="441">
        <f>Ruimtestaat[[#This Row],[Uitvoeringen werkdagen]]*Ruimtestaat[[#This Row],[BSO]]</f>
        <v>0</v>
      </c>
      <c r="AC506" s="443">
        <f>IF(U506&gt;0,Ruimtestaat[[#This Row],[Prest. (m2 / jaar) werkdagen BSO]]/Ruimtestaat[[#This Row],[Norm (m2/uur) werkdagen]],0)</f>
        <v>0</v>
      </c>
      <c r="AD506" s="443">
        <f>Ruimtestaat[[#This Row],[uren / jaar werkdagen BSO]]*Tariefsopbouw!$E$35</f>
        <v>0</v>
      </c>
      <c r="AE506" s="444">
        <f>Ruimtestaat[[#This Row],[uren / jaar werkdagen]]*Tariefsopbouw!$E$35</f>
        <v>0</v>
      </c>
      <c r="AF506" s="454"/>
      <c r="AG506" s="455">
        <f>IF(Ruimtestaat[[#This Row],[Frequentie weekend]]&gt;0,VALUE(LEFT(AF506,1))*S506,0)</f>
        <v>0</v>
      </c>
      <c r="AH506" s="455">
        <f>IF($AG506&gt;0,VLOOKUP($J506,Ruimtegroepen[],3,FALSE)*VLOOKUP($L506,Vloersoorten[],3,FALSE)*VLOOKUP($AF506,Frequenties[],3,FALSE)*VLOOKUP(#REF!,Locaties[],3,FALSE),0)</f>
        <v>0</v>
      </c>
      <c r="AI506" s="434">
        <f>Ruimtestaat[[#This Row],[Uitvoeringen weekend]]*Ruimtestaat[[#This Row],[Oppervlak (netto)]]</f>
        <v>0</v>
      </c>
      <c r="AJ506" s="434">
        <f>IF(AH506&gt;0,Ruimtestaat[[#This Row],[Prest. (m2 /jaar) weekend]]/Ruimtestaat[[#This Row],[Norm (m2/uur) weekend]],0)</f>
        <v>0</v>
      </c>
      <c r="AK506" s="444">
        <f>Ruimtestaat[[#This Row],[uren / jaar weekend]]*Tariefsopbouw!$D$40</f>
        <v>0</v>
      </c>
      <c r="AL506" s="441">
        <f>Ruimtestaat[[#This Row],[Prest. (m2 /jaar) weekend]]+Ruimtestaat[[#This Row],[Prest. (m2 /jaar) werkdagen]]</f>
        <v>0</v>
      </c>
      <c r="AM506" s="441">
        <f>Ruimtestaat[[#This Row],[uren / jaar weekend]]+Ruimtestaat[[#This Row],[uren / jaar werkdagen]]</f>
        <v>0</v>
      </c>
      <c r="AN506" s="446">
        <f>Ruimtestaat[[#This Row],[kosten / jaar weekend]]+Ruimtestaat[[#This Row],[kosten / jaar werkdagen]]</f>
        <v>0</v>
      </c>
      <c r="AO506" s="446"/>
      <c r="AP506" s="446" t="str">
        <f>IF(Ruimtestaat[[#This Row],[Frequentie werkdagen]]="","",_xlfn.CONCAT(Ruimtestaat[[#This Row],[Ruimte code]],"-",Ruimtestaat[[#This Row],[Frequentie werkdagen]]," ",Ruimtestaat[[#This Row],[Vloer code]]))</f>
        <v/>
      </c>
      <c r="AQ506" s="448" t="str">
        <f>_xlfn.IFNA(VLOOKUP($AP506,Programma!$F$3:$G$1101,2,0),"")</f>
        <v/>
      </c>
      <c r="AR506" s="448" t="str">
        <f>_xlfn.IFNA(VLOOKUP($AP506,Programma!$F$3:$H$1101,3,0),"")</f>
        <v/>
      </c>
      <c r="AS506" s="448" t="str">
        <f>_xlfn.IFNA(VLOOKUP($AP506,Programma!$F$3:$I$1101,4,0),"")</f>
        <v/>
      </c>
      <c r="AT506" s="448" t="str">
        <f>_xlfn.IFNA(VLOOKUP($AP506,Programma!$F$3:$J$1101,5,0),"")</f>
        <v/>
      </c>
      <c r="AU506" s="448" t="str">
        <f>_xlfn.IFNA(VLOOKUP($AP506,Programma!$F$3:$K$1101,6,0),"")</f>
        <v/>
      </c>
      <c r="AV506" s="448" t="str">
        <f>_xlfn.IFNA(VLOOKUP($AP506,Programma!$F$3:$L$1101,7,0),"")</f>
        <v/>
      </c>
      <c r="AW506" s="448" t="str">
        <f>_xlfn.IFNA(VLOOKUP($AP506,Programma!$F$3:$M$1101,8,0),"")</f>
        <v/>
      </c>
      <c r="AX506" s="448" t="str">
        <f>_xlfn.IFNA(VLOOKUP($AP506,Programma!$F$3:$N$1101,9,0),"")</f>
        <v/>
      </c>
      <c r="AY506" s="448" t="str">
        <f>_xlfn.IFNA(VLOOKUP($AP506,Programma!$F$3:$O$1101,10,0),"")</f>
        <v/>
      </c>
      <c r="AZ506" s="448" t="str">
        <f>_xlfn.IFNA(VLOOKUP($AP506,Programma!$F$3:$P$1101,11,0),"")</f>
        <v/>
      </c>
      <c r="BA506" s="448" t="str">
        <f>_xlfn.IFNA(VLOOKUP($AP506,Programma!$F$3:$Q$1101,12,0),"")</f>
        <v/>
      </c>
      <c r="BB506" s="448" t="str">
        <f>_xlfn.IFNA(VLOOKUP($AP506,Programma!$F$3:$R$1101,13,0),"")</f>
        <v/>
      </c>
      <c r="BC506" s="448" t="str">
        <f>_xlfn.IFNA(VLOOKUP($AP506,Programma!$F$3:$S$1101,14,0),"")</f>
        <v/>
      </c>
      <c r="BD506" s="448" t="str">
        <f>_xlfn.IFNA(VLOOKUP($AP506,Programma!$F$3:$T$1101,15,0),"")</f>
        <v/>
      </c>
      <c r="BE506" s="448" t="str">
        <f>_xlfn.IFNA(VLOOKUP($AP506,Programma!$F$3:$U$1101,16,0),"")</f>
        <v/>
      </c>
      <c r="BF506" s="448" t="str">
        <f>_xlfn.IFNA(VLOOKUP($AP506,Programma!$F$3:$V$1101,17,0),"")</f>
        <v/>
      </c>
      <c r="BG506" s="448" t="str">
        <f>_xlfn.IFNA(VLOOKUP($AP506,Programma!$F$3:$W$1101,18,0),"")</f>
        <v/>
      </c>
      <c r="BH506" s="448" t="str">
        <f>_xlfn.IFNA(VLOOKUP($AP506,Programma!$F$3:$X$1101,19,0),"")</f>
        <v/>
      </c>
      <c r="BI506" s="448" t="str">
        <f>_xlfn.IFNA(VLOOKUP($AP506,Programma!$F$3:$Y$1101,20,0),"")</f>
        <v/>
      </c>
      <c r="BJ506" s="449"/>
      <c r="BK506" s="446" t="str">
        <f>IF(Ruimtestaat[[#This Row],[Frequentie weekend]]="","",_xlfn.CONCAT(Ruimtestaat[[#This Row],[Ruimte code]],"-",Ruimtestaat[[#This Row],[Frequentie weekend]]," ",Ruimtestaat[[#This Row],[Vloer code]]))</f>
        <v/>
      </c>
      <c r="BL506" s="448" t="str">
        <f>_xlfn.IFNA(VLOOKUP($BK506,Programma!$F$3:$G$1101,2,0),"")</f>
        <v/>
      </c>
      <c r="BM506" s="448" t="str">
        <f>_xlfn.IFNA(VLOOKUP($BK506,Programma!$F$3:$H$1101,3,0),"")</f>
        <v/>
      </c>
      <c r="BN506" s="448" t="str">
        <f>_xlfn.IFNA(VLOOKUP($BK506,Programma!$F$3:$I$1101,4,0),"")</f>
        <v/>
      </c>
      <c r="BO506" s="448" t="str">
        <f>_xlfn.IFNA(VLOOKUP($BK506,Programma!$F$3:$J$1101,5,0),"")</f>
        <v/>
      </c>
      <c r="BP506" s="448" t="str">
        <f>_xlfn.IFNA(VLOOKUP($BK506,Programma!$F$3:$K$1101,6,0),"")</f>
        <v/>
      </c>
      <c r="BQ506" s="448" t="str">
        <f>_xlfn.IFNA(VLOOKUP($BK506,Programma!$F$3:$L$1101,7,0),"")</f>
        <v/>
      </c>
      <c r="BR506" s="448" t="str">
        <f>_xlfn.IFNA(VLOOKUP($BK506,Programma!$F$3:$M$1101,8,0),"")</f>
        <v/>
      </c>
      <c r="BS506" s="448" t="str">
        <f>_xlfn.IFNA(VLOOKUP($BK506,Programma!$F$3:$N$1101,9,0),"")</f>
        <v/>
      </c>
      <c r="BT506" s="448" t="str">
        <f>_xlfn.IFNA(VLOOKUP($BK506,Programma!$F$3:$O$1101,10,0),"")</f>
        <v/>
      </c>
      <c r="BU506" s="448" t="str">
        <f>_xlfn.IFNA(VLOOKUP($BK506,Programma!$F$3:$P$1101,11,0),"")</f>
        <v/>
      </c>
      <c r="BV506" s="448" t="str">
        <f>_xlfn.IFNA(VLOOKUP($BK506,Programma!$F$3:$Q$1101,12,0),"")</f>
        <v/>
      </c>
      <c r="BW506" s="448" t="str">
        <f>_xlfn.IFNA(VLOOKUP($BK506,Programma!$F$3:$R$1101,13,0),"")</f>
        <v/>
      </c>
      <c r="BX506" s="448" t="str">
        <f>_xlfn.IFNA(VLOOKUP($BK506,Programma!$F$3:$S$1101,14,0),"")</f>
        <v/>
      </c>
      <c r="BY506" s="448" t="str">
        <f>_xlfn.IFNA(VLOOKUP($BK506,Programma!$F$3:$T$1101,15,0),"")</f>
        <v/>
      </c>
      <c r="BZ506" s="448" t="str">
        <f>_xlfn.IFNA(VLOOKUP($BK506,Programma!$F$3:$U$1101,16,0),"")</f>
        <v/>
      </c>
      <c r="CA506" s="448" t="str">
        <f>_xlfn.IFNA(VLOOKUP($BK506,Programma!$F$3:$V$1101,17,0),"")</f>
        <v/>
      </c>
      <c r="CB506" s="448" t="str">
        <f>_xlfn.IFNA(VLOOKUP($BK506,Programma!$F$3:$W$1101,18,0),"")</f>
        <v/>
      </c>
      <c r="CC506" s="448" t="str">
        <f>_xlfn.IFNA(VLOOKUP($BK506,Programma!$F$3:$X$1101,19,0),"")</f>
        <v/>
      </c>
      <c r="CD506" s="448" t="str">
        <f>_xlfn.IFNA(VLOOKUP($BK506,Programma!$F$3:$Y$1101,20,0),"")</f>
        <v/>
      </c>
    </row>
    <row r="507" spans="1:82" ht="15" customHeight="1">
      <c r="A507" s="327">
        <v>19</v>
      </c>
      <c r="B507" s="435" t="str">
        <f>VLOOKUP(Ruimtestaat[[#This Row],[Code]],Locaties[[Code]:[Locatie]],2,FALSE)</f>
        <v>IKC de Leerplaneet (vhKlimboom)</v>
      </c>
      <c r="C507" s="435" t="str">
        <f>VLOOKUP(Ruimtestaat[[#This Row],[Code]],Locaties[[#All],[Code]:[Adres]],4,FALSE)</f>
        <v>Nesciohove 105-107</v>
      </c>
      <c r="D507" s="435" t="str">
        <f>VLOOKUP(Ruimtestaat[[#This Row],[Code]],Locaties[[#All],[Code]:[Postcode]],5,FALSE)</f>
        <v>2726 BL</v>
      </c>
      <c r="E507" s="435" t="str">
        <f>VLOOKUP(Ruimtestaat[[#This Row],[Code]],Locaties[#All],6,FALSE)</f>
        <v>Zoetermeer</v>
      </c>
      <c r="F507" s="450"/>
      <c r="G507" s="330" t="s">
        <v>1678</v>
      </c>
      <c r="H507" s="330" t="s">
        <v>1894</v>
      </c>
      <c r="I507" s="450" t="s">
        <v>1857</v>
      </c>
      <c r="J507" s="330">
        <v>3</v>
      </c>
      <c r="K507" s="450" t="str">
        <f>VLOOKUP(Ruimtestaat[[#This Row],[Ruimte code]],Ruimtegroepen[[#All],[Code]:[Ruimte omschrijving]],2,FALSE)</f>
        <v>Reproruimte</v>
      </c>
      <c r="L507" s="330" t="s">
        <v>101</v>
      </c>
      <c r="M507" s="437" t="s">
        <v>1816</v>
      </c>
      <c r="N507" s="439">
        <v>8.1</v>
      </c>
      <c r="O507" s="439"/>
      <c r="P507" s="439"/>
      <c r="Q507" s="439"/>
      <c r="R507" s="440" t="str">
        <f>VLOOKUP(Ruimtestaat[[#This Row],[Ruimte code]],Ruimtegroepen[],4,FALSE)</f>
        <v>Ve</v>
      </c>
      <c r="S507" s="434">
        <v>40</v>
      </c>
      <c r="T507" s="434" t="s">
        <v>2</v>
      </c>
      <c r="U507" s="453">
        <f>IF(S507&gt;0,IF(RIGHT(Ruimtestaat[[#This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07" s="434">
        <f>IF(U507&gt;0,VLOOKUP($J507,Ruimtegroepen[],3,FALSE)*VLOOKUP($L507,Vloersoorten[],3,FALSE)*VLOOKUP($T507,Frequenties[],3,FALSE)*VLOOKUP($A507,Locaties[],3,FALSE),0)</f>
        <v>0</v>
      </c>
      <c r="W507" s="434">
        <f>Ruimtestaat[[#This Row],[Uitvoeringen werkdagen]]*Ruimtestaat[[#This Row],[Oppervlak (netto)]]</f>
        <v>1620</v>
      </c>
      <c r="X507" s="441">
        <f>IF(V507&gt;0,Ruimtestaat[[#This Row],[Prest. (m2 /jaar) werkdagen]]/Ruimtestaat[[#This Row],[Norm (m2/uur) werkdagen]],0)</f>
        <v>0</v>
      </c>
      <c r="Y507" s="442">
        <f>Ruimtestaat[[#This Row],[Uitvoeringen werkdagen]]*Ruimtestaat[[#This Row],[Gedeeltelijk]]</f>
        <v>0</v>
      </c>
      <c r="Z507" s="443" t="e">
        <f>IF(U507&gt;0,Ruimtestaat[[#This Row],[Prest. (m2 / jaar) werkdagen gedeeld]]/Ruimtestaat[[#This Row],[Norm (m2/uur) werkdagen]],0)</f>
        <v>#DIV/0!</v>
      </c>
      <c r="AA507" s="441" t="e">
        <f>Ruimtestaat[[#This Row],[uren / jaar werkdagen gedeeld]]*Tariefsopbouw!$E$35</f>
        <v>#DIV/0!</v>
      </c>
      <c r="AB507" s="441">
        <f>Ruimtestaat[[#This Row],[Uitvoeringen werkdagen]]*Ruimtestaat[[#This Row],[BSO]]</f>
        <v>0</v>
      </c>
      <c r="AC507" s="443" t="e">
        <f>IF(U507&gt;0,Ruimtestaat[[#This Row],[Prest. (m2 / jaar) werkdagen BSO]]/Ruimtestaat[[#This Row],[Norm (m2/uur) werkdagen]],0)</f>
        <v>#DIV/0!</v>
      </c>
      <c r="AD507" s="443" t="e">
        <f>Ruimtestaat[[#This Row],[uren / jaar werkdagen BSO]]*Tariefsopbouw!$E$35</f>
        <v>#DIV/0!</v>
      </c>
      <c r="AE507" s="444">
        <f>Ruimtestaat[[#This Row],[uren / jaar werkdagen]]*Tariefsopbouw!$E$35</f>
        <v>0</v>
      </c>
      <c r="AF507" s="454"/>
      <c r="AG507" s="455">
        <f>IF(Ruimtestaat[[#This Row],[Frequentie weekend]]&gt;0,VALUE(LEFT(AF507,1))*S507,0)</f>
        <v>0</v>
      </c>
      <c r="AH507" s="455">
        <f>IF($AG507&gt;0,VLOOKUP($J507,Ruimtegroepen[],3,FALSE)*VLOOKUP($L507,Vloersoorten[],3,FALSE)*VLOOKUP($AF507,Frequenties[],3,FALSE)*VLOOKUP(#REF!,Locaties[],3,FALSE),0)</f>
        <v>0</v>
      </c>
      <c r="AI507" s="434">
        <f>Ruimtestaat[[#This Row],[Uitvoeringen weekend]]*Ruimtestaat[[#This Row],[Oppervlak (netto)]]</f>
        <v>0</v>
      </c>
      <c r="AJ507" s="434">
        <f>IF(AH507&gt;0,Ruimtestaat[[#This Row],[Prest. (m2 /jaar) weekend]]/Ruimtestaat[[#This Row],[Norm (m2/uur) weekend]],0)</f>
        <v>0</v>
      </c>
      <c r="AK507" s="444">
        <f>Ruimtestaat[[#This Row],[uren / jaar weekend]]*Tariefsopbouw!$D$40</f>
        <v>0</v>
      </c>
      <c r="AL507" s="441">
        <f>Ruimtestaat[[#This Row],[Prest. (m2 /jaar) weekend]]+Ruimtestaat[[#This Row],[Prest. (m2 /jaar) werkdagen]]</f>
        <v>1620</v>
      </c>
      <c r="AM507" s="441">
        <f>Ruimtestaat[[#This Row],[uren / jaar weekend]]+Ruimtestaat[[#This Row],[uren / jaar werkdagen]]</f>
        <v>0</v>
      </c>
      <c r="AN507" s="446">
        <f>Ruimtestaat[[#This Row],[kosten / jaar weekend]]+Ruimtestaat[[#This Row],[kosten / jaar werkdagen]]</f>
        <v>0</v>
      </c>
      <c r="AO507" s="446"/>
      <c r="AP507" s="446" t="str">
        <f>IF(Ruimtestaat[[#This Row],[Frequentie werkdagen]]="","",_xlfn.CONCAT(Ruimtestaat[[#This Row],[Ruimte code]],"-",Ruimtestaat[[#This Row],[Frequentie werkdagen]]," ",Ruimtestaat[[#This Row],[Vloer code]]))</f>
        <v>3-5w S</v>
      </c>
      <c r="AQ507" s="448" t="str">
        <f>_xlfn.IFNA(VLOOKUP($AP507,Programma!$F$3:$G$1101,2,0),"")</f>
        <v>_</v>
      </c>
      <c r="AR507" s="448" t="str">
        <f>_xlfn.IFNA(VLOOKUP($AP507,Programma!$F$3:$H$1101,3,0),"")</f>
        <v>_</v>
      </c>
      <c r="AS507" s="448" t="str">
        <f>_xlfn.IFNA(VLOOKUP($AP507,Programma!$F$3:$I$1101,4,0),"")</f>
        <v>4w</v>
      </c>
      <c r="AT507" s="448" t="str">
        <f>_xlfn.IFNA(VLOOKUP($AP507,Programma!$F$3:$J$1101,5,0),"")</f>
        <v>1w</v>
      </c>
      <c r="AU507" s="448" t="str">
        <f>_xlfn.IFNA(VLOOKUP($AP507,Programma!$F$3:$K$1101,6,0),"")</f>
        <v>2j</v>
      </c>
      <c r="AV507" s="448" t="str">
        <f>_xlfn.IFNA(VLOOKUP($AP507,Programma!$F$3:$L$1101,7,0),"")</f>
        <v>_</v>
      </c>
      <c r="AW507" s="448" t="str">
        <f>_xlfn.IFNA(VLOOKUP($AP507,Programma!$F$3:$M$1101,8,0),"")</f>
        <v>_</v>
      </c>
      <c r="AX507" s="448" t="str">
        <f>_xlfn.IFNA(VLOOKUP($AP507,Programma!$F$3:$N$1101,9,0),"")</f>
        <v>_</v>
      </c>
      <c r="AY507" s="448" t="str">
        <f>_xlfn.IFNA(VLOOKUP($AP507,Programma!$F$3:$O$1101,10,0),"")</f>
        <v>5w</v>
      </c>
      <c r="AZ507" s="448" t="str">
        <f>_xlfn.IFNA(VLOOKUP($AP507,Programma!$F$3:$P$1101,11,0),"")</f>
        <v>5w</v>
      </c>
      <c r="BA507" s="448" t="str">
        <f>_xlfn.IFNA(VLOOKUP($AP507,Programma!$F$3:$Q$1101,12,0),"")</f>
        <v>1w</v>
      </c>
      <c r="BB507" s="448" t="str">
        <f>_xlfn.IFNA(VLOOKUP($AP507,Programma!$F$3:$R$1101,13,0),"")</f>
        <v>1w</v>
      </c>
      <c r="BC507" s="448" t="str">
        <f>_xlfn.IFNA(VLOOKUP($AP507,Programma!$F$3:$S$1101,14,0),"")</f>
        <v>1m</v>
      </c>
      <c r="BD507" s="448" t="str">
        <f>_xlfn.IFNA(VLOOKUP($AP507,Programma!$F$3:$T$1101,15,0),"")</f>
        <v>4j</v>
      </c>
      <c r="BE507" s="448" t="str">
        <f>_xlfn.IFNA(VLOOKUP($AP507,Programma!$F$3:$U$1101,16,0),"")</f>
        <v>1j</v>
      </c>
      <c r="BF507" s="448" t="str">
        <f>_xlfn.IFNA(VLOOKUP($AP507,Programma!$F$3:$V$1101,17,0),"")</f>
        <v>_</v>
      </c>
      <c r="BG507" s="448" t="str">
        <f>_xlfn.IFNA(VLOOKUP($AP507,Programma!$F$3:$W$1101,18,0),"")</f>
        <v>_</v>
      </c>
      <c r="BH507" s="448" t="str">
        <f>_xlfn.IFNA(VLOOKUP($AP507,Programma!$F$3:$X$1101,19,0),"")</f>
        <v>_</v>
      </c>
      <c r="BI507" s="448" t="str">
        <f>_xlfn.IFNA(VLOOKUP($AP507,Programma!$F$3:$Y$1101,20,0),"")</f>
        <v>_</v>
      </c>
      <c r="BJ507" s="449"/>
      <c r="BK507" s="446" t="str">
        <f>IF(Ruimtestaat[[#This Row],[Frequentie weekend]]="","",_xlfn.CONCAT(Ruimtestaat[[#This Row],[Ruimte code]],"-",Ruimtestaat[[#This Row],[Frequentie weekend]]," ",Ruimtestaat[[#This Row],[Vloer code]]))</f>
        <v/>
      </c>
      <c r="BL507" s="448" t="str">
        <f>_xlfn.IFNA(VLOOKUP($BK507,Programma!$F$3:$G$1101,2,0),"")</f>
        <v/>
      </c>
      <c r="BM507" s="448" t="str">
        <f>_xlfn.IFNA(VLOOKUP($BK507,Programma!$F$3:$H$1101,3,0),"")</f>
        <v/>
      </c>
      <c r="BN507" s="448" t="str">
        <f>_xlfn.IFNA(VLOOKUP($BK507,Programma!$F$3:$I$1101,4,0),"")</f>
        <v/>
      </c>
      <c r="BO507" s="448" t="str">
        <f>_xlfn.IFNA(VLOOKUP($BK507,Programma!$F$3:$J$1101,5,0),"")</f>
        <v/>
      </c>
      <c r="BP507" s="448" t="str">
        <f>_xlfn.IFNA(VLOOKUP($BK507,Programma!$F$3:$K$1101,6,0),"")</f>
        <v/>
      </c>
      <c r="BQ507" s="448" t="str">
        <f>_xlfn.IFNA(VLOOKUP($BK507,Programma!$F$3:$L$1101,7,0),"")</f>
        <v/>
      </c>
      <c r="BR507" s="448" t="str">
        <f>_xlfn.IFNA(VLOOKUP($BK507,Programma!$F$3:$M$1101,8,0),"")</f>
        <v/>
      </c>
      <c r="BS507" s="448" t="str">
        <f>_xlfn.IFNA(VLOOKUP($BK507,Programma!$F$3:$N$1101,9,0),"")</f>
        <v/>
      </c>
      <c r="BT507" s="448" t="str">
        <f>_xlfn.IFNA(VLOOKUP($BK507,Programma!$F$3:$O$1101,10,0),"")</f>
        <v/>
      </c>
      <c r="BU507" s="448" t="str">
        <f>_xlfn.IFNA(VLOOKUP($BK507,Programma!$F$3:$P$1101,11,0),"")</f>
        <v/>
      </c>
      <c r="BV507" s="448" t="str">
        <f>_xlfn.IFNA(VLOOKUP($BK507,Programma!$F$3:$Q$1101,12,0),"")</f>
        <v/>
      </c>
      <c r="BW507" s="448" t="str">
        <f>_xlfn.IFNA(VLOOKUP($BK507,Programma!$F$3:$R$1101,13,0),"")</f>
        <v/>
      </c>
      <c r="BX507" s="448" t="str">
        <f>_xlfn.IFNA(VLOOKUP($BK507,Programma!$F$3:$S$1101,14,0),"")</f>
        <v/>
      </c>
      <c r="BY507" s="448" t="str">
        <f>_xlfn.IFNA(VLOOKUP($BK507,Programma!$F$3:$T$1101,15,0),"")</f>
        <v/>
      </c>
      <c r="BZ507" s="448" t="str">
        <f>_xlfn.IFNA(VLOOKUP($BK507,Programma!$F$3:$U$1101,16,0),"")</f>
        <v/>
      </c>
      <c r="CA507" s="448" t="str">
        <f>_xlfn.IFNA(VLOOKUP($BK507,Programma!$F$3:$V$1101,17,0),"")</f>
        <v/>
      </c>
      <c r="CB507" s="448" t="str">
        <f>_xlfn.IFNA(VLOOKUP($BK507,Programma!$F$3:$W$1101,18,0),"")</f>
        <v/>
      </c>
      <c r="CC507" s="448" t="str">
        <f>_xlfn.IFNA(VLOOKUP($BK507,Programma!$F$3:$X$1101,19,0),"")</f>
        <v/>
      </c>
      <c r="CD507" s="448" t="str">
        <f>_xlfn.IFNA(VLOOKUP($BK507,Programma!$F$3:$Y$1101,20,0),"")</f>
        <v/>
      </c>
    </row>
    <row r="508" spans="1:82" ht="15" customHeight="1">
      <c r="A508" s="327">
        <v>19</v>
      </c>
      <c r="B508" s="435" t="str">
        <f>VLOOKUP(Ruimtestaat[[#This Row],[Code]],Locaties[[Code]:[Locatie]],2,FALSE)</f>
        <v>IKC de Leerplaneet (vhKlimboom)</v>
      </c>
      <c r="C508" s="435" t="str">
        <f>VLOOKUP(Ruimtestaat[[#This Row],[Code]],Locaties[[#All],[Code]:[Adres]],4,FALSE)</f>
        <v>Nesciohove 105-107</v>
      </c>
      <c r="D508" s="435" t="str">
        <f>VLOOKUP(Ruimtestaat[[#This Row],[Code]],Locaties[[#All],[Code]:[Postcode]],5,FALSE)</f>
        <v>2726 BL</v>
      </c>
      <c r="E508" s="435" t="str">
        <f>VLOOKUP(Ruimtestaat[[#This Row],[Code]],Locaties[#All],6,FALSE)</f>
        <v>Zoetermeer</v>
      </c>
      <c r="F508" s="450"/>
      <c r="G508" s="330" t="s">
        <v>1678</v>
      </c>
      <c r="H508" s="330" t="s">
        <v>1681</v>
      </c>
      <c r="I508" s="450" t="s">
        <v>1677</v>
      </c>
      <c r="J508" s="330">
        <v>15</v>
      </c>
      <c r="K508" s="450" t="str">
        <f>VLOOKUP(Ruimtestaat[[#This Row],[Ruimte code]],Ruimtegroepen[[#All],[Code]:[Ruimte omschrijving]],2,FALSE)</f>
        <v>Keuken/pantry</v>
      </c>
      <c r="L508" s="330" t="s">
        <v>101</v>
      </c>
      <c r="M508" s="437" t="s">
        <v>1816</v>
      </c>
      <c r="N508" s="439">
        <v>15.3</v>
      </c>
      <c r="O508" s="439"/>
      <c r="P508" s="439"/>
      <c r="Q508" s="439"/>
      <c r="R508" s="440" t="str">
        <f>VLOOKUP(Ruimtestaat[[#This Row],[Ruimte code]],Ruimtegroepen[],4,FALSE)</f>
        <v>Ve</v>
      </c>
      <c r="S508" s="434">
        <v>41</v>
      </c>
      <c r="T508" s="434" t="s">
        <v>2</v>
      </c>
      <c r="U508" s="453">
        <f>IF(S508&gt;0,IF(RIGHT(Ruimtestaat[[#This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08" s="434">
        <f>IF(U508&gt;0,VLOOKUP($J508,Ruimtegroepen[],3,FALSE)*VLOOKUP($L508,Vloersoorten[],3,FALSE)*VLOOKUP($T508,Frequenties[],3,FALSE)*VLOOKUP($A508,Locaties[],3,FALSE),0)</f>
        <v>0</v>
      </c>
      <c r="W508" s="434">
        <f>Ruimtestaat[[#This Row],[Uitvoeringen werkdagen]]*Ruimtestaat[[#This Row],[Oppervlak (netto)]]</f>
        <v>3136.5</v>
      </c>
      <c r="X508" s="441">
        <f>IF(V508&gt;0,Ruimtestaat[[#This Row],[Prest. (m2 /jaar) werkdagen]]/Ruimtestaat[[#This Row],[Norm (m2/uur) werkdagen]],0)</f>
        <v>0</v>
      </c>
      <c r="Y508" s="442">
        <f>Ruimtestaat[[#This Row],[Uitvoeringen werkdagen]]*Ruimtestaat[[#This Row],[Gedeeltelijk]]</f>
        <v>0</v>
      </c>
      <c r="Z508" s="443" t="e">
        <f>IF(U508&gt;0,Ruimtestaat[[#This Row],[Prest. (m2 / jaar) werkdagen gedeeld]]/Ruimtestaat[[#This Row],[Norm (m2/uur) werkdagen]],0)</f>
        <v>#DIV/0!</v>
      </c>
      <c r="AA508" s="441" t="e">
        <f>Ruimtestaat[[#This Row],[uren / jaar werkdagen gedeeld]]*Tariefsopbouw!$E$35</f>
        <v>#DIV/0!</v>
      </c>
      <c r="AB508" s="441">
        <f>Ruimtestaat[[#This Row],[Uitvoeringen werkdagen]]*Ruimtestaat[[#This Row],[BSO]]</f>
        <v>0</v>
      </c>
      <c r="AC508" s="443" t="e">
        <f>IF(U508&gt;0,Ruimtestaat[[#This Row],[Prest. (m2 / jaar) werkdagen BSO]]/Ruimtestaat[[#This Row],[Norm (m2/uur) werkdagen]],0)</f>
        <v>#DIV/0!</v>
      </c>
      <c r="AD508" s="443" t="e">
        <f>Ruimtestaat[[#This Row],[uren / jaar werkdagen BSO]]*Tariefsopbouw!$E$35</f>
        <v>#DIV/0!</v>
      </c>
      <c r="AE508" s="444">
        <f>Ruimtestaat[[#This Row],[uren / jaar werkdagen]]*Tariefsopbouw!$E$35</f>
        <v>0</v>
      </c>
      <c r="AF508" s="454"/>
      <c r="AG508" s="455">
        <f>IF(Ruimtestaat[[#This Row],[Frequentie weekend]]&gt;0,VALUE(LEFT(AF508,1))*S508,0)</f>
        <v>0</v>
      </c>
      <c r="AH508" s="455">
        <f>IF($AG508&gt;0,VLOOKUP($J508,Ruimtegroepen[],3,FALSE)*VLOOKUP($L508,Vloersoorten[],3,FALSE)*VLOOKUP($AF508,Frequenties[],3,FALSE)*VLOOKUP(#REF!,Locaties[],3,FALSE),0)</f>
        <v>0</v>
      </c>
      <c r="AI508" s="434">
        <f>Ruimtestaat[[#This Row],[Uitvoeringen weekend]]*Ruimtestaat[[#This Row],[Oppervlak (netto)]]</f>
        <v>0</v>
      </c>
      <c r="AJ508" s="434">
        <f>IF(AH508&gt;0,Ruimtestaat[[#This Row],[Prest. (m2 /jaar) weekend]]/Ruimtestaat[[#This Row],[Norm (m2/uur) weekend]],0)</f>
        <v>0</v>
      </c>
      <c r="AK508" s="444">
        <f>Ruimtestaat[[#This Row],[uren / jaar weekend]]*Tariefsopbouw!$D$40</f>
        <v>0</v>
      </c>
      <c r="AL508" s="441">
        <f>Ruimtestaat[[#This Row],[Prest. (m2 /jaar) weekend]]+Ruimtestaat[[#This Row],[Prest. (m2 /jaar) werkdagen]]</f>
        <v>3136.5</v>
      </c>
      <c r="AM508" s="441">
        <f>Ruimtestaat[[#This Row],[uren / jaar weekend]]+Ruimtestaat[[#This Row],[uren / jaar werkdagen]]</f>
        <v>0</v>
      </c>
      <c r="AN508" s="446">
        <f>Ruimtestaat[[#This Row],[kosten / jaar weekend]]+Ruimtestaat[[#This Row],[kosten / jaar werkdagen]]</f>
        <v>0</v>
      </c>
      <c r="AO508" s="446"/>
      <c r="AP508" s="446" t="str">
        <f>IF(Ruimtestaat[[#This Row],[Frequentie werkdagen]]="","",_xlfn.CONCAT(Ruimtestaat[[#This Row],[Ruimte code]],"-",Ruimtestaat[[#This Row],[Frequentie werkdagen]]," ",Ruimtestaat[[#This Row],[Vloer code]]))</f>
        <v>15-5w S</v>
      </c>
      <c r="AQ508" s="448" t="str">
        <f>_xlfn.IFNA(VLOOKUP($AP508,Programma!$F$3:$G$1101,2,0),"")</f>
        <v>_</v>
      </c>
      <c r="AR508" s="448" t="str">
        <f>_xlfn.IFNA(VLOOKUP($AP508,Programma!$F$3:$H$1101,3,0),"")</f>
        <v>_</v>
      </c>
      <c r="AS508" s="448" t="str">
        <f>_xlfn.IFNA(VLOOKUP($AP508,Programma!$F$3:$I$1101,4,0),"")</f>
        <v>5w</v>
      </c>
      <c r="AT508" s="448" t="str">
        <f>_xlfn.IFNA(VLOOKUP($AP508,Programma!$F$3:$J$1101,5,0),"")</f>
        <v>_</v>
      </c>
      <c r="AU508" s="448" t="str">
        <f>_xlfn.IFNA(VLOOKUP($AP508,Programma!$F$3:$K$1101,6,0),"")</f>
        <v>5w</v>
      </c>
      <c r="AV508" s="448" t="str">
        <f>_xlfn.IFNA(VLOOKUP($AP508,Programma!$F$3:$L$1101,7,0),"")</f>
        <v>_</v>
      </c>
      <c r="AW508" s="448" t="str">
        <f>_xlfn.IFNA(VLOOKUP($AP508,Programma!$F$3:$M$1101,8,0),"")</f>
        <v>_</v>
      </c>
      <c r="AX508" s="448" t="str">
        <f>_xlfn.IFNA(VLOOKUP($AP508,Programma!$F$3:$N$1101,9,0),"")</f>
        <v>_</v>
      </c>
      <c r="AY508" s="448" t="str">
        <f>_xlfn.IFNA(VLOOKUP($AP508,Programma!$F$3:$O$1101,10,0),"")</f>
        <v>5w</v>
      </c>
      <c r="AZ508" s="448" t="str">
        <f>_xlfn.IFNA(VLOOKUP($AP508,Programma!$F$3:$P$1101,11,0),"")</f>
        <v>5w</v>
      </c>
      <c r="BA508" s="448" t="str">
        <f>_xlfn.IFNA(VLOOKUP($AP508,Programma!$F$3:$Q$1101,12,0),"")</f>
        <v>1w</v>
      </c>
      <c r="BB508" s="448" t="str">
        <f>_xlfn.IFNA(VLOOKUP($AP508,Programma!$F$3:$R$1101,13,0),"")</f>
        <v>1w</v>
      </c>
      <c r="BC508" s="448" t="str">
        <f>_xlfn.IFNA(VLOOKUP($AP508,Programma!$F$3:$S$1101,14,0),"")</f>
        <v>1m</v>
      </c>
      <c r="BD508" s="448" t="str">
        <f>_xlfn.IFNA(VLOOKUP($AP508,Programma!$F$3:$T$1101,15,0),"")</f>
        <v>2j</v>
      </c>
      <c r="BE508" s="448" t="str">
        <f>_xlfn.IFNA(VLOOKUP($AP508,Programma!$F$3:$U$1101,16,0),"")</f>
        <v>1j</v>
      </c>
      <c r="BF508" s="448" t="str">
        <f>_xlfn.IFNA(VLOOKUP($AP508,Programma!$F$3:$V$1101,17,0),"")</f>
        <v>_</v>
      </c>
      <c r="BG508" s="448" t="str">
        <f>_xlfn.IFNA(VLOOKUP($AP508,Programma!$F$3:$W$1101,18,0),"")</f>
        <v>_</v>
      </c>
      <c r="BH508" s="448" t="str">
        <f>_xlfn.IFNA(VLOOKUP($AP508,Programma!$F$3:$X$1101,19,0),"")</f>
        <v>_</v>
      </c>
      <c r="BI508" s="448" t="str">
        <f>_xlfn.IFNA(VLOOKUP($AP508,Programma!$F$3:$Y$1101,20,0),"")</f>
        <v>_</v>
      </c>
      <c r="BJ508" s="449"/>
      <c r="BK508" s="446" t="str">
        <f>IF(Ruimtestaat[[#This Row],[Frequentie weekend]]="","",_xlfn.CONCAT(Ruimtestaat[[#This Row],[Ruimte code]],"-",Ruimtestaat[[#This Row],[Frequentie weekend]]," ",Ruimtestaat[[#This Row],[Vloer code]]))</f>
        <v/>
      </c>
      <c r="BL508" s="448" t="str">
        <f>_xlfn.IFNA(VLOOKUP($BK508,Programma!$F$3:$G$1101,2,0),"")</f>
        <v/>
      </c>
      <c r="BM508" s="448" t="str">
        <f>_xlfn.IFNA(VLOOKUP($BK508,Programma!$F$3:$H$1101,3,0),"")</f>
        <v/>
      </c>
      <c r="BN508" s="448" t="str">
        <f>_xlfn.IFNA(VLOOKUP($BK508,Programma!$F$3:$I$1101,4,0),"")</f>
        <v/>
      </c>
      <c r="BO508" s="448" t="str">
        <f>_xlfn.IFNA(VLOOKUP($BK508,Programma!$F$3:$J$1101,5,0),"")</f>
        <v/>
      </c>
      <c r="BP508" s="448" t="str">
        <f>_xlfn.IFNA(VLOOKUP($BK508,Programma!$F$3:$K$1101,6,0),"")</f>
        <v/>
      </c>
      <c r="BQ508" s="448" t="str">
        <f>_xlfn.IFNA(VLOOKUP($BK508,Programma!$F$3:$L$1101,7,0),"")</f>
        <v/>
      </c>
      <c r="BR508" s="448" t="str">
        <f>_xlfn.IFNA(VLOOKUP($BK508,Programma!$F$3:$M$1101,8,0),"")</f>
        <v/>
      </c>
      <c r="BS508" s="448" t="str">
        <f>_xlfn.IFNA(VLOOKUP($BK508,Programma!$F$3:$N$1101,9,0),"")</f>
        <v/>
      </c>
      <c r="BT508" s="448" t="str">
        <f>_xlfn.IFNA(VLOOKUP($BK508,Programma!$F$3:$O$1101,10,0),"")</f>
        <v/>
      </c>
      <c r="BU508" s="448" t="str">
        <f>_xlfn.IFNA(VLOOKUP($BK508,Programma!$F$3:$P$1101,11,0),"")</f>
        <v/>
      </c>
      <c r="BV508" s="448" t="str">
        <f>_xlfn.IFNA(VLOOKUP($BK508,Programma!$F$3:$Q$1101,12,0),"")</f>
        <v/>
      </c>
      <c r="BW508" s="448" t="str">
        <f>_xlfn.IFNA(VLOOKUP($BK508,Programma!$F$3:$R$1101,13,0),"")</f>
        <v/>
      </c>
      <c r="BX508" s="448" t="str">
        <f>_xlfn.IFNA(VLOOKUP($BK508,Programma!$F$3:$S$1101,14,0),"")</f>
        <v/>
      </c>
      <c r="BY508" s="448" t="str">
        <f>_xlfn.IFNA(VLOOKUP($BK508,Programma!$F$3:$T$1101,15,0),"")</f>
        <v/>
      </c>
      <c r="BZ508" s="448" t="str">
        <f>_xlfn.IFNA(VLOOKUP($BK508,Programma!$F$3:$U$1101,16,0),"")</f>
        <v/>
      </c>
      <c r="CA508" s="448" t="str">
        <f>_xlfn.IFNA(VLOOKUP($BK508,Programma!$F$3:$V$1101,17,0),"")</f>
        <v/>
      </c>
      <c r="CB508" s="448" t="str">
        <f>_xlfn.IFNA(VLOOKUP($BK508,Programma!$F$3:$W$1101,18,0),"")</f>
        <v/>
      </c>
      <c r="CC508" s="448" t="str">
        <f>_xlfn.IFNA(VLOOKUP($BK508,Programma!$F$3:$X$1101,19,0),"")</f>
        <v/>
      </c>
      <c r="CD508" s="448" t="str">
        <f>_xlfn.IFNA(VLOOKUP($BK508,Programma!$F$3:$Y$1101,20,0),"")</f>
        <v/>
      </c>
    </row>
    <row r="509" spans="1:82" ht="15" customHeight="1">
      <c r="A509" s="327">
        <v>19</v>
      </c>
      <c r="B509" s="435" t="str">
        <f>VLOOKUP(Ruimtestaat[[#This Row],[Code]],Locaties[[Code]:[Locatie]],2,FALSE)</f>
        <v>IKC de Leerplaneet (vhKlimboom)</v>
      </c>
      <c r="C509" s="435" t="str">
        <f>VLOOKUP(Ruimtestaat[[#This Row],[Code]],Locaties[[#All],[Code]:[Adres]],4,FALSE)</f>
        <v>Nesciohove 105-107</v>
      </c>
      <c r="D509" s="435" t="str">
        <f>VLOOKUP(Ruimtestaat[[#This Row],[Code]],Locaties[[#All],[Code]:[Postcode]],5,FALSE)</f>
        <v>2726 BL</v>
      </c>
      <c r="E509" s="435" t="str">
        <f>VLOOKUP(Ruimtestaat[[#This Row],[Code]],Locaties[#All],6,FALSE)</f>
        <v>Zoetermeer</v>
      </c>
      <c r="F509" s="450"/>
      <c r="G509" s="330" t="s">
        <v>1678</v>
      </c>
      <c r="H509" s="330" t="s">
        <v>1682</v>
      </c>
      <c r="I509" s="450" t="s">
        <v>1720</v>
      </c>
      <c r="J509" s="330">
        <v>5</v>
      </c>
      <c r="K509" s="450" t="str">
        <f>VLOOKUP(Ruimtestaat[[#This Row],[Ruimte code]],Ruimtegroepen[[#All],[Code]:[Ruimte omschrijving]],2,FALSE)</f>
        <v>Sanitair</v>
      </c>
      <c r="L509" s="330" t="s">
        <v>101</v>
      </c>
      <c r="M509" s="437" t="s">
        <v>1816</v>
      </c>
      <c r="N509" s="439">
        <v>1.8</v>
      </c>
      <c r="O509" s="439"/>
      <c r="P509" s="439"/>
      <c r="Q509" s="439"/>
      <c r="R509" s="440" t="str">
        <f>VLOOKUP(Ruimtestaat[[#This Row],[Ruimte code]],Ruimtegroepen[],4,FALSE)</f>
        <v>Sa</v>
      </c>
      <c r="S509" s="434">
        <v>41</v>
      </c>
      <c r="T509" s="434" t="s">
        <v>2</v>
      </c>
      <c r="U509" s="453">
        <f>IF(S509&gt;0,IF(RIGHT(Ruimtestaat[[#This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09" s="434">
        <f>IF(U509&gt;0,VLOOKUP($J509,Ruimtegroepen[],3,FALSE)*VLOOKUP($L509,Vloersoorten[],3,FALSE)*VLOOKUP($T509,Frequenties[],3,FALSE)*VLOOKUP($A509,Locaties[],3,FALSE),0)</f>
        <v>0</v>
      </c>
      <c r="W509" s="434">
        <f>Ruimtestaat[[#This Row],[Uitvoeringen werkdagen]]*Ruimtestaat[[#This Row],[Oppervlak (netto)]]</f>
        <v>369</v>
      </c>
      <c r="X509" s="441">
        <f>IF(V509&gt;0,Ruimtestaat[[#This Row],[Prest. (m2 /jaar) werkdagen]]/Ruimtestaat[[#This Row],[Norm (m2/uur) werkdagen]],0)</f>
        <v>0</v>
      </c>
      <c r="Y509" s="442">
        <f>Ruimtestaat[[#This Row],[Uitvoeringen werkdagen]]*Ruimtestaat[[#This Row],[Gedeeltelijk]]</f>
        <v>0</v>
      </c>
      <c r="Z509" s="443" t="e">
        <f>IF(U509&gt;0,Ruimtestaat[[#This Row],[Prest. (m2 / jaar) werkdagen gedeeld]]/Ruimtestaat[[#This Row],[Norm (m2/uur) werkdagen]],0)</f>
        <v>#DIV/0!</v>
      </c>
      <c r="AA509" s="441" t="e">
        <f>Ruimtestaat[[#This Row],[uren / jaar werkdagen gedeeld]]*Tariefsopbouw!$E$35</f>
        <v>#DIV/0!</v>
      </c>
      <c r="AB509" s="441">
        <f>Ruimtestaat[[#This Row],[Uitvoeringen werkdagen]]*Ruimtestaat[[#This Row],[BSO]]</f>
        <v>0</v>
      </c>
      <c r="AC509" s="443" t="e">
        <f>IF(U509&gt;0,Ruimtestaat[[#This Row],[Prest. (m2 / jaar) werkdagen BSO]]/Ruimtestaat[[#This Row],[Norm (m2/uur) werkdagen]],0)</f>
        <v>#DIV/0!</v>
      </c>
      <c r="AD509" s="443" t="e">
        <f>Ruimtestaat[[#This Row],[uren / jaar werkdagen BSO]]*Tariefsopbouw!$E$35</f>
        <v>#DIV/0!</v>
      </c>
      <c r="AE509" s="444">
        <f>Ruimtestaat[[#This Row],[uren / jaar werkdagen]]*Tariefsopbouw!$E$35</f>
        <v>0</v>
      </c>
      <c r="AF509" s="454"/>
      <c r="AG509" s="455">
        <f>IF(Ruimtestaat[[#This Row],[Frequentie weekend]]&gt;0,VALUE(LEFT(AF509,1))*S509,0)</f>
        <v>0</v>
      </c>
      <c r="AH509" s="455">
        <f>IF($AG509&gt;0,VLOOKUP($J509,Ruimtegroepen[],3,FALSE)*VLOOKUP($L509,Vloersoorten[],3,FALSE)*VLOOKUP($AF509,Frequenties[],3,FALSE)*VLOOKUP(#REF!,Locaties[],3,FALSE),0)</f>
        <v>0</v>
      </c>
      <c r="AI509" s="434">
        <f>Ruimtestaat[[#This Row],[Uitvoeringen weekend]]*Ruimtestaat[[#This Row],[Oppervlak (netto)]]</f>
        <v>0</v>
      </c>
      <c r="AJ509" s="434">
        <f>IF(AH509&gt;0,Ruimtestaat[[#This Row],[Prest. (m2 /jaar) weekend]]/Ruimtestaat[[#This Row],[Norm (m2/uur) weekend]],0)</f>
        <v>0</v>
      </c>
      <c r="AK509" s="444">
        <f>Ruimtestaat[[#This Row],[uren / jaar weekend]]*Tariefsopbouw!$D$40</f>
        <v>0</v>
      </c>
      <c r="AL509" s="441">
        <f>Ruimtestaat[[#This Row],[Prest. (m2 /jaar) weekend]]+Ruimtestaat[[#This Row],[Prest. (m2 /jaar) werkdagen]]</f>
        <v>369</v>
      </c>
      <c r="AM509" s="441">
        <f>Ruimtestaat[[#This Row],[uren / jaar weekend]]+Ruimtestaat[[#This Row],[uren / jaar werkdagen]]</f>
        <v>0</v>
      </c>
      <c r="AN509" s="446">
        <f>Ruimtestaat[[#This Row],[kosten / jaar weekend]]+Ruimtestaat[[#This Row],[kosten / jaar werkdagen]]</f>
        <v>0</v>
      </c>
      <c r="AO509" s="446"/>
      <c r="AP509" s="446" t="str">
        <f>IF(Ruimtestaat[[#This Row],[Frequentie werkdagen]]="","",_xlfn.CONCAT(Ruimtestaat[[#This Row],[Ruimte code]],"-",Ruimtestaat[[#This Row],[Frequentie werkdagen]]," ",Ruimtestaat[[#This Row],[Vloer code]]))</f>
        <v>5-5w S</v>
      </c>
      <c r="AQ509" s="448" t="str">
        <f>_xlfn.IFNA(VLOOKUP($AP509,Programma!$F$3:$G$1101,2,0),"")</f>
        <v>_</v>
      </c>
      <c r="AR509" s="448" t="str">
        <f>_xlfn.IFNA(VLOOKUP($AP509,Programma!$F$3:$H$1101,3,0),"")</f>
        <v>_</v>
      </c>
      <c r="AS509" s="448" t="str">
        <f>_xlfn.IFNA(VLOOKUP($AP509,Programma!$F$3:$I$1101,4,0),"")</f>
        <v>_</v>
      </c>
      <c r="AT509" s="448" t="str">
        <f>_xlfn.IFNA(VLOOKUP($AP509,Programma!$F$3:$J$1101,5,0),"")</f>
        <v>4w</v>
      </c>
      <c r="AU509" s="448" t="str">
        <f>_xlfn.IFNA(VLOOKUP($AP509,Programma!$F$3:$K$1101,6,0),"")</f>
        <v>1w</v>
      </c>
      <c r="AV509" s="448" t="str">
        <f>_xlfn.IFNA(VLOOKUP($AP509,Programma!$F$3:$L$1101,7,0),"")</f>
        <v>_</v>
      </c>
      <c r="AW509" s="448" t="str">
        <f>_xlfn.IFNA(VLOOKUP($AP509,Programma!$F$3:$M$1101,8,0),"")</f>
        <v>_</v>
      </c>
      <c r="AX509" s="448" t="str">
        <f>_xlfn.IFNA(VLOOKUP($AP509,Programma!$F$3:$N$1101,9,0),"")</f>
        <v>_</v>
      </c>
      <c r="AY509" s="448" t="str">
        <f>_xlfn.IFNA(VLOOKUP($AP509,Programma!$F$3:$O$1101,10,0),"")</f>
        <v>_</v>
      </c>
      <c r="AZ509" s="448" t="str">
        <f>_xlfn.IFNA(VLOOKUP($AP509,Programma!$F$3:$P$1101,11,0),"")</f>
        <v>_</v>
      </c>
      <c r="BA509" s="448" t="str">
        <f>_xlfn.IFNA(VLOOKUP($AP509,Programma!$F$3:$Q$1101,12,0),"")</f>
        <v>_</v>
      </c>
      <c r="BB509" s="448" t="str">
        <f>_xlfn.IFNA(VLOOKUP($AP509,Programma!$F$3:$R$1101,13,0),"")</f>
        <v>_</v>
      </c>
      <c r="BC509" s="448" t="str">
        <f>_xlfn.IFNA(VLOOKUP($AP509,Programma!$F$3:$S$1101,14,0),"")</f>
        <v>_</v>
      </c>
      <c r="BD509" s="448" t="str">
        <f>_xlfn.IFNA(VLOOKUP($AP509,Programma!$F$3:$T$1101,15,0),"")</f>
        <v>_</v>
      </c>
      <c r="BE509" s="448" t="str">
        <f>_xlfn.IFNA(VLOOKUP($AP509,Programma!$F$3:$U$1101,16,0),"")</f>
        <v>_</v>
      </c>
      <c r="BF509" s="448" t="str">
        <f>_xlfn.IFNA(VLOOKUP($AP509,Programma!$F$3:$V$1101,17,0),"")</f>
        <v>_</v>
      </c>
      <c r="BG509" s="448" t="str">
        <f>_xlfn.IFNA(VLOOKUP($AP509,Programma!$F$3:$W$1101,18,0),"")</f>
        <v>4w</v>
      </c>
      <c r="BH509" s="448" t="str">
        <f>_xlfn.IFNA(VLOOKUP($AP509,Programma!$F$3:$X$1101,19,0),"")</f>
        <v>1w</v>
      </c>
      <c r="BI509" s="448" t="str">
        <f>_xlfn.IFNA(VLOOKUP($AP509,Programma!$F$3:$Y$1101,20,0),"")</f>
        <v>_</v>
      </c>
      <c r="BJ509" s="449"/>
      <c r="BK509" s="446" t="str">
        <f>IF(Ruimtestaat[[#This Row],[Frequentie weekend]]="","",_xlfn.CONCAT(Ruimtestaat[[#This Row],[Ruimte code]],"-",Ruimtestaat[[#This Row],[Frequentie weekend]]," ",Ruimtestaat[[#This Row],[Vloer code]]))</f>
        <v/>
      </c>
      <c r="BL509" s="448" t="str">
        <f>_xlfn.IFNA(VLOOKUP($BK509,Programma!$F$3:$G$1101,2,0),"")</f>
        <v/>
      </c>
      <c r="BM509" s="448" t="str">
        <f>_xlfn.IFNA(VLOOKUP($BK509,Programma!$F$3:$H$1101,3,0),"")</f>
        <v/>
      </c>
      <c r="BN509" s="448" t="str">
        <f>_xlfn.IFNA(VLOOKUP($BK509,Programma!$F$3:$I$1101,4,0),"")</f>
        <v/>
      </c>
      <c r="BO509" s="448" t="str">
        <f>_xlfn.IFNA(VLOOKUP($BK509,Programma!$F$3:$J$1101,5,0),"")</f>
        <v/>
      </c>
      <c r="BP509" s="448" t="str">
        <f>_xlfn.IFNA(VLOOKUP($BK509,Programma!$F$3:$K$1101,6,0),"")</f>
        <v/>
      </c>
      <c r="BQ509" s="448" t="str">
        <f>_xlfn.IFNA(VLOOKUP($BK509,Programma!$F$3:$L$1101,7,0),"")</f>
        <v/>
      </c>
      <c r="BR509" s="448" t="str">
        <f>_xlfn.IFNA(VLOOKUP($BK509,Programma!$F$3:$M$1101,8,0),"")</f>
        <v/>
      </c>
      <c r="BS509" s="448" t="str">
        <f>_xlfn.IFNA(VLOOKUP($BK509,Programma!$F$3:$N$1101,9,0),"")</f>
        <v/>
      </c>
      <c r="BT509" s="448" t="str">
        <f>_xlfn.IFNA(VLOOKUP($BK509,Programma!$F$3:$O$1101,10,0),"")</f>
        <v/>
      </c>
      <c r="BU509" s="448" t="str">
        <f>_xlfn.IFNA(VLOOKUP($BK509,Programma!$F$3:$P$1101,11,0),"")</f>
        <v/>
      </c>
      <c r="BV509" s="448" t="str">
        <f>_xlfn.IFNA(VLOOKUP($BK509,Programma!$F$3:$Q$1101,12,0),"")</f>
        <v/>
      </c>
      <c r="BW509" s="448" t="str">
        <f>_xlfn.IFNA(VLOOKUP($BK509,Programma!$F$3:$R$1101,13,0),"")</f>
        <v/>
      </c>
      <c r="BX509" s="448" t="str">
        <f>_xlfn.IFNA(VLOOKUP($BK509,Programma!$F$3:$S$1101,14,0),"")</f>
        <v/>
      </c>
      <c r="BY509" s="448" t="str">
        <f>_xlfn.IFNA(VLOOKUP($BK509,Programma!$F$3:$T$1101,15,0),"")</f>
        <v/>
      </c>
      <c r="BZ509" s="448" t="str">
        <f>_xlfn.IFNA(VLOOKUP($BK509,Programma!$F$3:$U$1101,16,0),"")</f>
        <v/>
      </c>
      <c r="CA509" s="448" t="str">
        <f>_xlfn.IFNA(VLOOKUP($BK509,Programma!$F$3:$V$1101,17,0),"")</f>
        <v/>
      </c>
      <c r="CB509" s="448" t="str">
        <f>_xlfn.IFNA(VLOOKUP($BK509,Programma!$F$3:$W$1101,18,0),"")</f>
        <v/>
      </c>
      <c r="CC509" s="448" t="str">
        <f>_xlfn.IFNA(VLOOKUP($BK509,Programma!$F$3:$X$1101,19,0),"")</f>
        <v/>
      </c>
      <c r="CD509" s="448" t="str">
        <f>_xlfn.IFNA(VLOOKUP($BK509,Programma!$F$3:$Y$1101,20,0),"")</f>
        <v/>
      </c>
    </row>
    <row r="510" spans="1:82" ht="15" customHeight="1">
      <c r="A510" s="327">
        <v>19</v>
      </c>
      <c r="B510" s="435" t="str">
        <f>VLOOKUP(Ruimtestaat[[#This Row],[Code]],Locaties[[Code]:[Locatie]],2,FALSE)</f>
        <v>IKC de Leerplaneet (vhKlimboom)</v>
      </c>
      <c r="C510" s="435" t="str">
        <f>VLOOKUP(Ruimtestaat[[#This Row],[Code]],Locaties[[#All],[Code]:[Adres]],4,FALSE)</f>
        <v>Nesciohove 105-107</v>
      </c>
      <c r="D510" s="435" t="str">
        <f>VLOOKUP(Ruimtestaat[[#This Row],[Code]],Locaties[[#All],[Code]:[Postcode]],5,FALSE)</f>
        <v>2726 BL</v>
      </c>
      <c r="E510" s="435" t="str">
        <f>VLOOKUP(Ruimtestaat[[#This Row],[Code]],Locaties[#All],6,FALSE)</f>
        <v>Zoetermeer</v>
      </c>
      <c r="F510" s="450"/>
      <c r="G510" s="330" t="s">
        <v>1678</v>
      </c>
      <c r="H510" s="330" t="s">
        <v>1683</v>
      </c>
      <c r="I510" s="450" t="s">
        <v>1895</v>
      </c>
      <c r="J510" s="330">
        <v>5</v>
      </c>
      <c r="K510" s="450" t="str">
        <f>VLOOKUP(Ruimtestaat[[#This Row],[Ruimte code]],Ruimtegroepen[[#All],[Code]:[Ruimte omschrijving]],2,FALSE)</f>
        <v>Sanitair</v>
      </c>
      <c r="L510" s="330" t="s">
        <v>101</v>
      </c>
      <c r="M510" s="437" t="s">
        <v>1816</v>
      </c>
      <c r="N510" s="439">
        <v>4.5</v>
      </c>
      <c r="O510" s="439"/>
      <c r="P510" s="439"/>
      <c r="Q510" s="439"/>
      <c r="R510" s="440" t="str">
        <f>VLOOKUP(Ruimtestaat[[#This Row],[Ruimte code]],Ruimtegroepen[],4,FALSE)</f>
        <v>Sa</v>
      </c>
      <c r="S510" s="434">
        <v>41</v>
      </c>
      <c r="T510" s="434" t="s">
        <v>2</v>
      </c>
      <c r="U510" s="453">
        <f>IF(S510&gt;0,IF(RIGHT(Ruimtestaat[[#This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10" s="434">
        <f>IF(U510&gt;0,VLOOKUP($J510,Ruimtegroepen[],3,FALSE)*VLOOKUP($L510,Vloersoorten[],3,FALSE)*VLOOKUP($T510,Frequenties[],3,FALSE)*VLOOKUP($A510,Locaties[],3,FALSE),0)</f>
        <v>0</v>
      </c>
      <c r="W510" s="434">
        <f>Ruimtestaat[[#This Row],[Uitvoeringen werkdagen]]*Ruimtestaat[[#This Row],[Oppervlak (netto)]]</f>
        <v>922.5</v>
      </c>
      <c r="X510" s="441">
        <f>IF(V510&gt;0,Ruimtestaat[[#This Row],[Prest. (m2 /jaar) werkdagen]]/Ruimtestaat[[#This Row],[Norm (m2/uur) werkdagen]],0)</f>
        <v>0</v>
      </c>
      <c r="Y510" s="442">
        <f>Ruimtestaat[[#This Row],[Uitvoeringen werkdagen]]*Ruimtestaat[[#This Row],[Gedeeltelijk]]</f>
        <v>0</v>
      </c>
      <c r="Z510" s="443" t="e">
        <f>IF(U510&gt;0,Ruimtestaat[[#This Row],[Prest. (m2 / jaar) werkdagen gedeeld]]/Ruimtestaat[[#This Row],[Norm (m2/uur) werkdagen]],0)</f>
        <v>#DIV/0!</v>
      </c>
      <c r="AA510" s="441" t="e">
        <f>Ruimtestaat[[#This Row],[uren / jaar werkdagen gedeeld]]*Tariefsopbouw!$E$35</f>
        <v>#DIV/0!</v>
      </c>
      <c r="AB510" s="441">
        <f>Ruimtestaat[[#This Row],[Uitvoeringen werkdagen]]*Ruimtestaat[[#This Row],[BSO]]</f>
        <v>0</v>
      </c>
      <c r="AC510" s="443" t="e">
        <f>IF(U510&gt;0,Ruimtestaat[[#This Row],[Prest. (m2 / jaar) werkdagen BSO]]/Ruimtestaat[[#This Row],[Norm (m2/uur) werkdagen]],0)</f>
        <v>#DIV/0!</v>
      </c>
      <c r="AD510" s="443" t="e">
        <f>Ruimtestaat[[#This Row],[uren / jaar werkdagen BSO]]*Tariefsopbouw!$E$35</f>
        <v>#DIV/0!</v>
      </c>
      <c r="AE510" s="444">
        <f>Ruimtestaat[[#This Row],[uren / jaar werkdagen]]*Tariefsopbouw!$E$35</f>
        <v>0</v>
      </c>
      <c r="AF510" s="454"/>
      <c r="AG510" s="455">
        <f>IF(Ruimtestaat[[#This Row],[Frequentie weekend]]&gt;0,VALUE(LEFT(AF510,1))*S510,0)</f>
        <v>0</v>
      </c>
      <c r="AH510" s="455">
        <f>IF($AG510&gt;0,VLOOKUP($J510,Ruimtegroepen[],3,FALSE)*VLOOKUP($L510,Vloersoorten[],3,FALSE)*VLOOKUP($AF510,Frequenties[],3,FALSE)*VLOOKUP(#REF!,Locaties[],3,FALSE),0)</f>
        <v>0</v>
      </c>
      <c r="AI510" s="434">
        <f>Ruimtestaat[[#This Row],[Uitvoeringen weekend]]*Ruimtestaat[[#This Row],[Oppervlak (netto)]]</f>
        <v>0</v>
      </c>
      <c r="AJ510" s="434">
        <f>IF(AH510&gt;0,Ruimtestaat[[#This Row],[Prest. (m2 /jaar) weekend]]/Ruimtestaat[[#This Row],[Norm (m2/uur) weekend]],0)</f>
        <v>0</v>
      </c>
      <c r="AK510" s="444">
        <f>Ruimtestaat[[#This Row],[uren / jaar weekend]]*Tariefsopbouw!$D$40</f>
        <v>0</v>
      </c>
      <c r="AL510" s="441">
        <f>Ruimtestaat[[#This Row],[Prest. (m2 /jaar) weekend]]+Ruimtestaat[[#This Row],[Prest. (m2 /jaar) werkdagen]]</f>
        <v>922.5</v>
      </c>
      <c r="AM510" s="441">
        <f>Ruimtestaat[[#This Row],[uren / jaar weekend]]+Ruimtestaat[[#This Row],[uren / jaar werkdagen]]</f>
        <v>0</v>
      </c>
      <c r="AN510" s="446">
        <f>Ruimtestaat[[#This Row],[kosten / jaar weekend]]+Ruimtestaat[[#This Row],[kosten / jaar werkdagen]]</f>
        <v>0</v>
      </c>
      <c r="AO510" s="446"/>
      <c r="AP510" s="446" t="str">
        <f>IF(Ruimtestaat[[#This Row],[Frequentie werkdagen]]="","",_xlfn.CONCAT(Ruimtestaat[[#This Row],[Ruimte code]],"-",Ruimtestaat[[#This Row],[Frequentie werkdagen]]," ",Ruimtestaat[[#This Row],[Vloer code]]))</f>
        <v>5-5w S</v>
      </c>
      <c r="AQ510" s="448" t="str">
        <f>_xlfn.IFNA(VLOOKUP($AP510,Programma!$F$3:$G$1101,2,0),"")</f>
        <v>_</v>
      </c>
      <c r="AR510" s="448" t="str">
        <f>_xlfn.IFNA(VLOOKUP($AP510,Programma!$F$3:$H$1101,3,0),"")</f>
        <v>_</v>
      </c>
      <c r="AS510" s="448" t="str">
        <f>_xlfn.IFNA(VLOOKUP($AP510,Programma!$F$3:$I$1101,4,0),"")</f>
        <v>_</v>
      </c>
      <c r="AT510" s="448" t="str">
        <f>_xlfn.IFNA(VLOOKUP($AP510,Programma!$F$3:$J$1101,5,0),"")</f>
        <v>4w</v>
      </c>
      <c r="AU510" s="448" t="str">
        <f>_xlfn.IFNA(VLOOKUP($AP510,Programma!$F$3:$K$1101,6,0),"")</f>
        <v>1w</v>
      </c>
      <c r="AV510" s="448" t="str">
        <f>_xlfn.IFNA(VLOOKUP($AP510,Programma!$F$3:$L$1101,7,0),"")</f>
        <v>_</v>
      </c>
      <c r="AW510" s="448" t="str">
        <f>_xlfn.IFNA(VLOOKUP($AP510,Programma!$F$3:$M$1101,8,0),"")</f>
        <v>_</v>
      </c>
      <c r="AX510" s="448" t="str">
        <f>_xlfn.IFNA(VLOOKUP($AP510,Programma!$F$3:$N$1101,9,0),"")</f>
        <v>_</v>
      </c>
      <c r="AY510" s="448" t="str">
        <f>_xlfn.IFNA(VLOOKUP($AP510,Programma!$F$3:$O$1101,10,0),"")</f>
        <v>_</v>
      </c>
      <c r="AZ510" s="448" t="str">
        <f>_xlfn.IFNA(VLOOKUP($AP510,Programma!$F$3:$P$1101,11,0),"")</f>
        <v>_</v>
      </c>
      <c r="BA510" s="448" t="str">
        <f>_xlfn.IFNA(VLOOKUP($AP510,Programma!$F$3:$Q$1101,12,0),"")</f>
        <v>_</v>
      </c>
      <c r="BB510" s="448" t="str">
        <f>_xlfn.IFNA(VLOOKUP($AP510,Programma!$F$3:$R$1101,13,0),"")</f>
        <v>_</v>
      </c>
      <c r="BC510" s="448" t="str">
        <f>_xlfn.IFNA(VLOOKUP($AP510,Programma!$F$3:$S$1101,14,0),"")</f>
        <v>_</v>
      </c>
      <c r="BD510" s="448" t="str">
        <f>_xlfn.IFNA(VLOOKUP($AP510,Programma!$F$3:$T$1101,15,0),"")</f>
        <v>_</v>
      </c>
      <c r="BE510" s="448" t="str">
        <f>_xlfn.IFNA(VLOOKUP($AP510,Programma!$F$3:$U$1101,16,0),"")</f>
        <v>_</v>
      </c>
      <c r="BF510" s="448" t="str">
        <f>_xlfn.IFNA(VLOOKUP($AP510,Programma!$F$3:$V$1101,17,0),"")</f>
        <v>_</v>
      </c>
      <c r="BG510" s="448" t="str">
        <f>_xlfn.IFNA(VLOOKUP($AP510,Programma!$F$3:$W$1101,18,0),"")</f>
        <v>4w</v>
      </c>
      <c r="BH510" s="448" t="str">
        <f>_xlfn.IFNA(VLOOKUP($AP510,Programma!$F$3:$X$1101,19,0),"")</f>
        <v>1w</v>
      </c>
      <c r="BI510" s="448" t="str">
        <f>_xlfn.IFNA(VLOOKUP($AP510,Programma!$F$3:$Y$1101,20,0),"")</f>
        <v>_</v>
      </c>
      <c r="BJ510" s="449"/>
      <c r="BK510" s="446" t="str">
        <f>IF(Ruimtestaat[[#This Row],[Frequentie weekend]]="","",_xlfn.CONCAT(Ruimtestaat[[#This Row],[Ruimte code]],"-",Ruimtestaat[[#This Row],[Frequentie weekend]]," ",Ruimtestaat[[#This Row],[Vloer code]]))</f>
        <v/>
      </c>
      <c r="BL510" s="448" t="str">
        <f>_xlfn.IFNA(VLOOKUP($BK510,Programma!$F$3:$G$1101,2,0),"")</f>
        <v/>
      </c>
      <c r="BM510" s="448" t="str">
        <f>_xlfn.IFNA(VLOOKUP($BK510,Programma!$F$3:$H$1101,3,0),"")</f>
        <v/>
      </c>
      <c r="BN510" s="448" t="str">
        <f>_xlfn.IFNA(VLOOKUP($BK510,Programma!$F$3:$I$1101,4,0),"")</f>
        <v/>
      </c>
      <c r="BO510" s="448" t="str">
        <f>_xlfn.IFNA(VLOOKUP($BK510,Programma!$F$3:$J$1101,5,0),"")</f>
        <v/>
      </c>
      <c r="BP510" s="448" t="str">
        <f>_xlfn.IFNA(VLOOKUP($BK510,Programma!$F$3:$K$1101,6,0),"")</f>
        <v/>
      </c>
      <c r="BQ510" s="448" t="str">
        <f>_xlfn.IFNA(VLOOKUP($BK510,Programma!$F$3:$L$1101,7,0),"")</f>
        <v/>
      </c>
      <c r="BR510" s="448" t="str">
        <f>_xlfn.IFNA(VLOOKUP($BK510,Programma!$F$3:$M$1101,8,0),"")</f>
        <v/>
      </c>
      <c r="BS510" s="448" t="str">
        <f>_xlfn.IFNA(VLOOKUP($BK510,Programma!$F$3:$N$1101,9,0),"")</f>
        <v/>
      </c>
      <c r="BT510" s="448" t="str">
        <f>_xlfn.IFNA(VLOOKUP($BK510,Programma!$F$3:$O$1101,10,0),"")</f>
        <v/>
      </c>
      <c r="BU510" s="448" t="str">
        <f>_xlfn.IFNA(VLOOKUP($BK510,Programma!$F$3:$P$1101,11,0),"")</f>
        <v/>
      </c>
      <c r="BV510" s="448" t="str">
        <f>_xlfn.IFNA(VLOOKUP($BK510,Programma!$F$3:$Q$1101,12,0),"")</f>
        <v/>
      </c>
      <c r="BW510" s="448" t="str">
        <f>_xlfn.IFNA(VLOOKUP($BK510,Programma!$F$3:$R$1101,13,0),"")</f>
        <v/>
      </c>
      <c r="BX510" s="448" t="str">
        <f>_xlfn.IFNA(VLOOKUP($BK510,Programma!$F$3:$S$1101,14,0),"")</f>
        <v/>
      </c>
      <c r="BY510" s="448" t="str">
        <f>_xlfn.IFNA(VLOOKUP($BK510,Programma!$F$3:$T$1101,15,0),"")</f>
        <v/>
      </c>
      <c r="BZ510" s="448" t="str">
        <f>_xlfn.IFNA(VLOOKUP($BK510,Programma!$F$3:$U$1101,16,0),"")</f>
        <v/>
      </c>
      <c r="CA510" s="448" t="str">
        <f>_xlfn.IFNA(VLOOKUP($BK510,Programma!$F$3:$V$1101,17,0),"")</f>
        <v/>
      </c>
      <c r="CB510" s="448" t="str">
        <f>_xlfn.IFNA(VLOOKUP($BK510,Programma!$F$3:$W$1101,18,0),"")</f>
        <v/>
      </c>
      <c r="CC510" s="448" t="str">
        <f>_xlfn.IFNA(VLOOKUP($BK510,Programma!$F$3:$X$1101,19,0),"")</f>
        <v/>
      </c>
      <c r="CD510" s="448" t="str">
        <f>_xlfn.IFNA(VLOOKUP($BK510,Programma!$F$3:$Y$1101,20,0),"")</f>
        <v/>
      </c>
    </row>
    <row r="511" spans="1:82" ht="15" customHeight="1">
      <c r="A511" s="327">
        <v>19</v>
      </c>
      <c r="B511" s="435" t="str">
        <f>VLOOKUP(Ruimtestaat[[#This Row],[Code]],Locaties[[Code]:[Locatie]],2,FALSE)</f>
        <v>IKC de Leerplaneet (vhKlimboom)</v>
      </c>
      <c r="C511" s="435" t="str">
        <f>VLOOKUP(Ruimtestaat[[#This Row],[Code]],Locaties[[#All],[Code]:[Adres]],4,FALSE)</f>
        <v>Nesciohove 105-107</v>
      </c>
      <c r="D511" s="435" t="str">
        <f>VLOOKUP(Ruimtestaat[[#This Row],[Code]],Locaties[[#All],[Code]:[Postcode]],5,FALSE)</f>
        <v>2726 BL</v>
      </c>
      <c r="E511" s="435" t="str">
        <f>VLOOKUP(Ruimtestaat[[#This Row],[Code]],Locaties[#All],6,FALSE)</f>
        <v>Zoetermeer</v>
      </c>
      <c r="F511" s="450"/>
      <c r="G511" s="330" t="s">
        <v>1678</v>
      </c>
      <c r="H511" s="330" t="s">
        <v>1761</v>
      </c>
      <c r="I511" s="450" t="s">
        <v>1852</v>
      </c>
      <c r="J511" s="330">
        <v>20</v>
      </c>
      <c r="K511" s="450" t="str">
        <f>VLOOKUP(Ruimtestaat[[#This Row],[Ruimte code]],Ruimtegroepen[[#All],[Code]:[Ruimte omschrijving]],2,FALSE)</f>
        <v>Niet in Onderhoud</v>
      </c>
      <c r="L511" s="330" t="s">
        <v>101</v>
      </c>
      <c r="M511" s="437" t="s">
        <v>1816</v>
      </c>
      <c r="N511" s="439"/>
      <c r="O511" s="439">
        <v>0</v>
      </c>
      <c r="P511" s="439"/>
      <c r="Q511" s="439"/>
      <c r="R511" s="440">
        <f>VLOOKUP(Ruimtestaat[[#This Row],[Ruimte code]],Ruimtegroepen[],4,FALSE)</f>
        <v>0</v>
      </c>
      <c r="S511" s="434"/>
      <c r="T511" s="434"/>
      <c r="U511" s="453">
        <f>IF(S511&gt;0,IF(RIGHT(Ruimtestaat[[#This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11" s="434">
        <f>IF(U511&gt;0,VLOOKUP($J511,Ruimtegroepen[],3,FALSE)*VLOOKUP($L511,Vloersoorten[],3,FALSE)*VLOOKUP($T511,Frequenties[],3,FALSE)*VLOOKUP($A511,Locaties[],3,FALSE),0)</f>
        <v>0</v>
      </c>
      <c r="W511" s="434">
        <f>Ruimtestaat[[#This Row],[Uitvoeringen werkdagen]]*Ruimtestaat[[#This Row],[Oppervlak (netto)]]</f>
        <v>0</v>
      </c>
      <c r="X511" s="441">
        <f>IF(V511&gt;0,Ruimtestaat[[#This Row],[Prest. (m2 /jaar) werkdagen]]/Ruimtestaat[[#This Row],[Norm (m2/uur) werkdagen]],0)</f>
        <v>0</v>
      </c>
      <c r="Y511" s="442">
        <f>Ruimtestaat[[#This Row],[Uitvoeringen werkdagen]]*Ruimtestaat[[#This Row],[Gedeeltelijk]]</f>
        <v>0</v>
      </c>
      <c r="Z511" s="443">
        <f>IF(U511&gt;0,Ruimtestaat[[#This Row],[Prest. (m2 / jaar) werkdagen gedeeld]]/Ruimtestaat[[#This Row],[Norm (m2/uur) werkdagen]],0)</f>
        <v>0</v>
      </c>
      <c r="AA511" s="441">
        <f>Ruimtestaat[[#This Row],[uren / jaar werkdagen gedeeld]]*Tariefsopbouw!$E$35</f>
        <v>0</v>
      </c>
      <c r="AB511" s="441">
        <f>Ruimtestaat[[#This Row],[Uitvoeringen werkdagen]]*Ruimtestaat[[#This Row],[BSO]]</f>
        <v>0</v>
      </c>
      <c r="AC511" s="443">
        <f>IF(U511&gt;0,Ruimtestaat[[#This Row],[Prest. (m2 / jaar) werkdagen BSO]]/Ruimtestaat[[#This Row],[Norm (m2/uur) werkdagen]],0)</f>
        <v>0</v>
      </c>
      <c r="AD511" s="443">
        <f>Ruimtestaat[[#This Row],[uren / jaar werkdagen BSO]]*Tariefsopbouw!$E$35</f>
        <v>0</v>
      </c>
      <c r="AE511" s="444">
        <f>Ruimtestaat[[#This Row],[uren / jaar werkdagen]]*Tariefsopbouw!$E$35</f>
        <v>0</v>
      </c>
      <c r="AF511" s="454"/>
      <c r="AG511" s="455">
        <f>IF(Ruimtestaat[[#This Row],[Frequentie weekend]]&gt;0,VALUE(LEFT(AF511,1))*S511,0)</f>
        <v>0</v>
      </c>
      <c r="AH511" s="455">
        <f>IF($AG511&gt;0,VLOOKUP($J511,Ruimtegroepen[],3,FALSE)*VLOOKUP($L511,Vloersoorten[],3,FALSE)*VLOOKUP($AF511,Frequenties[],3,FALSE)*VLOOKUP(#REF!,Locaties[],3,FALSE),0)</f>
        <v>0</v>
      </c>
      <c r="AI511" s="434">
        <f>Ruimtestaat[[#This Row],[Uitvoeringen weekend]]*Ruimtestaat[[#This Row],[Oppervlak (netto)]]</f>
        <v>0</v>
      </c>
      <c r="AJ511" s="434">
        <f>IF(AH511&gt;0,Ruimtestaat[[#This Row],[Prest. (m2 /jaar) weekend]]/Ruimtestaat[[#This Row],[Norm (m2/uur) weekend]],0)</f>
        <v>0</v>
      </c>
      <c r="AK511" s="444">
        <f>Ruimtestaat[[#This Row],[uren / jaar weekend]]*Tariefsopbouw!$D$40</f>
        <v>0</v>
      </c>
      <c r="AL511" s="441">
        <f>Ruimtestaat[[#This Row],[Prest. (m2 /jaar) weekend]]+Ruimtestaat[[#This Row],[Prest. (m2 /jaar) werkdagen]]</f>
        <v>0</v>
      </c>
      <c r="AM511" s="441">
        <f>Ruimtestaat[[#This Row],[uren / jaar weekend]]+Ruimtestaat[[#This Row],[uren / jaar werkdagen]]</f>
        <v>0</v>
      </c>
      <c r="AN511" s="446">
        <f>Ruimtestaat[[#This Row],[kosten / jaar weekend]]+Ruimtestaat[[#This Row],[kosten / jaar werkdagen]]</f>
        <v>0</v>
      </c>
      <c r="AO511" s="446"/>
      <c r="AP511" s="446" t="str">
        <f>IF(Ruimtestaat[[#This Row],[Frequentie werkdagen]]="","",_xlfn.CONCAT(Ruimtestaat[[#This Row],[Ruimte code]],"-",Ruimtestaat[[#This Row],[Frequentie werkdagen]]," ",Ruimtestaat[[#This Row],[Vloer code]]))</f>
        <v/>
      </c>
      <c r="AQ511" s="448" t="str">
        <f>_xlfn.IFNA(VLOOKUP($AP511,Programma!$F$3:$G$1101,2,0),"")</f>
        <v/>
      </c>
      <c r="AR511" s="448" t="str">
        <f>_xlfn.IFNA(VLOOKUP($AP511,Programma!$F$3:$H$1101,3,0),"")</f>
        <v/>
      </c>
      <c r="AS511" s="448" t="str">
        <f>_xlfn.IFNA(VLOOKUP($AP511,Programma!$F$3:$I$1101,4,0),"")</f>
        <v/>
      </c>
      <c r="AT511" s="448" t="str">
        <f>_xlfn.IFNA(VLOOKUP($AP511,Programma!$F$3:$J$1101,5,0),"")</f>
        <v/>
      </c>
      <c r="AU511" s="448" t="str">
        <f>_xlfn.IFNA(VLOOKUP($AP511,Programma!$F$3:$K$1101,6,0),"")</f>
        <v/>
      </c>
      <c r="AV511" s="448" t="str">
        <f>_xlfn.IFNA(VLOOKUP($AP511,Programma!$F$3:$L$1101,7,0),"")</f>
        <v/>
      </c>
      <c r="AW511" s="448" t="str">
        <f>_xlfn.IFNA(VLOOKUP($AP511,Programma!$F$3:$M$1101,8,0),"")</f>
        <v/>
      </c>
      <c r="AX511" s="448" t="str">
        <f>_xlfn.IFNA(VLOOKUP($AP511,Programma!$F$3:$N$1101,9,0),"")</f>
        <v/>
      </c>
      <c r="AY511" s="448" t="str">
        <f>_xlfn.IFNA(VLOOKUP($AP511,Programma!$F$3:$O$1101,10,0),"")</f>
        <v/>
      </c>
      <c r="AZ511" s="448" t="str">
        <f>_xlfn.IFNA(VLOOKUP($AP511,Programma!$F$3:$P$1101,11,0),"")</f>
        <v/>
      </c>
      <c r="BA511" s="448" t="str">
        <f>_xlfn.IFNA(VLOOKUP($AP511,Programma!$F$3:$Q$1101,12,0),"")</f>
        <v/>
      </c>
      <c r="BB511" s="448" t="str">
        <f>_xlfn.IFNA(VLOOKUP($AP511,Programma!$F$3:$R$1101,13,0),"")</f>
        <v/>
      </c>
      <c r="BC511" s="448" t="str">
        <f>_xlfn.IFNA(VLOOKUP($AP511,Programma!$F$3:$S$1101,14,0),"")</f>
        <v/>
      </c>
      <c r="BD511" s="448" t="str">
        <f>_xlfn.IFNA(VLOOKUP($AP511,Programma!$F$3:$T$1101,15,0),"")</f>
        <v/>
      </c>
      <c r="BE511" s="448" t="str">
        <f>_xlfn.IFNA(VLOOKUP($AP511,Programma!$F$3:$U$1101,16,0),"")</f>
        <v/>
      </c>
      <c r="BF511" s="448" t="str">
        <f>_xlfn.IFNA(VLOOKUP($AP511,Programma!$F$3:$V$1101,17,0),"")</f>
        <v/>
      </c>
      <c r="BG511" s="448" t="str">
        <f>_xlfn.IFNA(VLOOKUP($AP511,Programma!$F$3:$W$1101,18,0),"")</f>
        <v/>
      </c>
      <c r="BH511" s="448" t="str">
        <f>_xlfn.IFNA(VLOOKUP($AP511,Programma!$F$3:$X$1101,19,0),"")</f>
        <v/>
      </c>
      <c r="BI511" s="448" t="str">
        <f>_xlfn.IFNA(VLOOKUP($AP511,Programma!$F$3:$Y$1101,20,0),"")</f>
        <v/>
      </c>
      <c r="BJ511" s="449"/>
      <c r="BK511" s="446" t="str">
        <f>IF(Ruimtestaat[[#This Row],[Frequentie weekend]]="","",_xlfn.CONCAT(Ruimtestaat[[#This Row],[Ruimte code]],"-",Ruimtestaat[[#This Row],[Frequentie weekend]]," ",Ruimtestaat[[#This Row],[Vloer code]]))</f>
        <v/>
      </c>
      <c r="BL511" s="448" t="str">
        <f>_xlfn.IFNA(VLOOKUP($BK511,Programma!$F$3:$G$1101,2,0),"")</f>
        <v/>
      </c>
      <c r="BM511" s="448" t="str">
        <f>_xlfn.IFNA(VLOOKUP($BK511,Programma!$F$3:$H$1101,3,0),"")</f>
        <v/>
      </c>
      <c r="BN511" s="448" t="str">
        <f>_xlfn.IFNA(VLOOKUP($BK511,Programma!$F$3:$I$1101,4,0),"")</f>
        <v/>
      </c>
      <c r="BO511" s="448" t="str">
        <f>_xlfn.IFNA(VLOOKUP($BK511,Programma!$F$3:$J$1101,5,0),"")</f>
        <v/>
      </c>
      <c r="BP511" s="448" t="str">
        <f>_xlfn.IFNA(VLOOKUP($BK511,Programma!$F$3:$K$1101,6,0),"")</f>
        <v/>
      </c>
      <c r="BQ511" s="448" t="str">
        <f>_xlfn.IFNA(VLOOKUP($BK511,Programma!$F$3:$L$1101,7,0),"")</f>
        <v/>
      </c>
      <c r="BR511" s="448" t="str">
        <f>_xlfn.IFNA(VLOOKUP($BK511,Programma!$F$3:$M$1101,8,0),"")</f>
        <v/>
      </c>
      <c r="BS511" s="448" t="str">
        <f>_xlfn.IFNA(VLOOKUP($BK511,Programma!$F$3:$N$1101,9,0),"")</f>
        <v/>
      </c>
      <c r="BT511" s="448" t="str">
        <f>_xlfn.IFNA(VLOOKUP($BK511,Programma!$F$3:$O$1101,10,0),"")</f>
        <v/>
      </c>
      <c r="BU511" s="448" t="str">
        <f>_xlfn.IFNA(VLOOKUP($BK511,Programma!$F$3:$P$1101,11,0),"")</f>
        <v/>
      </c>
      <c r="BV511" s="448" t="str">
        <f>_xlfn.IFNA(VLOOKUP($BK511,Programma!$F$3:$Q$1101,12,0),"")</f>
        <v/>
      </c>
      <c r="BW511" s="448" t="str">
        <f>_xlfn.IFNA(VLOOKUP($BK511,Programma!$F$3:$R$1101,13,0),"")</f>
        <v/>
      </c>
      <c r="BX511" s="448" t="str">
        <f>_xlfn.IFNA(VLOOKUP($BK511,Programma!$F$3:$S$1101,14,0),"")</f>
        <v/>
      </c>
      <c r="BY511" s="448" t="str">
        <f>_xlfn.IFNA(VLOOKUP($BK511,Programma!$F$3:$T$1101,15,0),"")</f>
        <v/>
      </c>
      <c r="BZ511" s="448" t="str">
        <f>_xlfn.IFNA(VLOOKUP($BK511,Programma!$F$3:$U$1101,16,0),"")</f>
        <v/>
      </c>
      <c r="CA511" s="448" t="str">
        <f>_xlfn.IFNA(VLOOKUP($BK511,Programma!$F$3:$V$1101,17,0),"")</f>
        <v/>
      </c>
      <c r="CB511" s="448" t="str">
        <f>_xlfn.IFNA(VLOOKUP($BK511,Programma!$F$3:$W$1101,18,0),"")</f>
        <v/>
      </c>
      <c r="CC511" s="448" t="str">
        <f>_xlfn.IFNA(VLOOKUP($BK511,Programma!$F$3:$X$1101,19,0),"")</f>
        <v/>
      </c>
      <c r="CD511" s="448" t="str">
        <f>_xlfn.IFNA(VLOOKUP($BK511,Programma!$F$3:$Y$1101,20,0),"")</f>
        <v/>
      </c>
    </row>
    <row r="512" spans="1:82" ht="15" customHeight="1">
      <c r="A512" s="327">
        <v>19</v>
      </c>
      <c r="B512" s="435" t="str">
        <f>VLOOKUP(Ruimtestaat[[#This Row],[Code]],Locaties[[Code]:[Locatie]],2,FALSE)</f>
        <v>IKC de Leerplaneet (vhKlimboom)</v>
      </c>
      <c r="C512" s="435" t="str">
        <f>VLOOKUP(Ruimtestaat[[#This Row],[Code]],Locaties[[#All],[Code]:[Adres]],4,FALSE)</f>
        <v>Nesciohove 105-107</v>
      </c>
      <c r="D512" s="435" t="str">
        <f>VLOOKUP(Ruimtestaat[[#This Row],[Code]],Locaties[[#All],[Code]:[Postcode]],5,FALSE)</f>
        <v>2726 BL</v>
      </c>
      <c r="E512" s="435" t="str">
        <f>VLOOKUP(Ruimtestaat[[#This Row],[Code]],Locaties[#All],6,FALSE)</f>
        <v>Zoetermeer</v>
      </c>
      <c r="F512" s="450"/>
      <c r="G512" s="330" t="s">
        <v>1678</v>
      </c>
      <c r="H512" s="330" t="s">
        <v>1689</v>
      </c>
      <c r="I512" s="450" t="s">
        <v>1896</v>
      </c>
      <c r="J512" s="330">
        <v>1</v>
      </c>
      <c r="K512" s="450" t="str">
        <f>VLOOKUP(Ruimtestaat[[#This Row],[Ruimte code]],Ruimtegroepen[[#All],[Code]:[Ruimte omschrijving]],2,FALSE)</f>
        <v>Magazijnen/bergingen</v>
      </c>
      <c r="L512" s="330" t="s">
        <v>101</v>
      </c>
      <c r="M512" s="437" t="s">
        <v>1816</v>
      </c>
      <c r="N512" s="439">
        <v>3.3</v>
      </c>
      <c r="O512" s="439"/>
      <c r="P512" s="439"/>
      <c r="Q512" s="439"/>
      <c r="R512" s="440" t="str">
        <f>VLOOKUP(Ruimtestaat[[#This Row],[Ruimte code]],Ruimtegroepen[],4,FALSE)</f>
        <v>Ve</v>
      </c>
      <c r="S512" s="434">
        <v>40</v>
      </c>
      <c r="T512" s="434" t="s">
        <v>2</v>
      </c>
      <c r="U512" s="453">
        <f>IF(S512&gt;0,IF(RIGHT(Ruimtestaat[[#This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2" s="434">
        <f>IF(U512&gt;0,VLOOKUP($J512,Ruimtegroepen[],3,FALSE)*VLOOKUP($L512,Vloersoorten[],3,FALSE)*VLOOKUP($T512,Frequenties[],3,FALSE)*VLOOKUP($A512,Locaties[],3,FALSE),0)</f>
        <v>0</v>
      </c>
      <c r="W512" s="434">
        <f>Ruimtestaat[[#This Row],[Uitvoeringen werkdagen]]*Ruimtestaat[[#This Row],[Oppervlak (netto)]]</f>
        <v>660</v>
      </c>
      <c r="X512" s="441">
        <f>IF(V512&gt;0,Ruimtestaat[[#This Row],[Prest. (m2 /jaar) werkdagen]]/Ruimtestaat[[#This Row],[Norm (m2/uur) werkdagen]],0)</f>
        <v>0</v>
      </c>
      <c r="Y512" s="442">
        <f>Ruimtestaat[[#This Row],[Uitvoeringen werkdagen]]*Ruimtestaat[[#This Row],[Gedeeltelijk]]</f>
        <v>0</v>
      </c>
      <c r="Z512" s="443" t="e">
        <f>IF(U512&gt;0,Ruimtestaat[[#This Row],[Prest. (m2 / jaar) werkdagen gedeeld]]/Ruimtestaat[[#This Row],[Norm (m2/uur) werkdagen]],0)</f>
        <v>#DIV/0!</v>
      </c>
      <c r="AA512" s="441" t="e">
        <f>Ruimtestaat[[#This Row],[uren / jaar werkdagen gedeeld]]*Tariefsopbouw!$E$35</f>
        <v>#DIV/0!</v>
      </c>
      <c r="AB512" s="441">
        <f>Ruimtestaat[[#This Row],[Uitvoeringen werkdagen]]*Ruimtestaat[[#This Row],[BSO]]</f>
        <v>0</v>
      </c>
      <c r="AC512" s="443" t="e">
        <f>IF(U512&gt;0,Ruimtestaat[[#This Row],[Prest. (m2 / jaar) werkdagen BSO]]/Ruimtestaat[[#This Row],[Norm (m2/uur) werkdagen]],0)</f>
        <v>#DIV/0!</v>
      </c>
      <c r="AD512" s="443" t="e">
        <f>Ruimtestaat[[#This Row],[uren / jaar werkdagen BSO]]*Tariefsopbouw!$E$35</f>
        <v>#DIV/0!</v>
      </c>
      <c r="AE512" s="444">
        <f>Ruimtestaat[[#This Row],[uren / jaar werkdagen]]*Tariefsopbouw!$E$35</f>
        <v>0</v>
      </c>
      <c r="AF512" s="454"/>
      <c r="AG512" s="455">
        <f>IF(Ruimtestaat[[#This Row],[Frequentie weekend]]&gt;0,VALUE(LEFT(AF512,1))*S512,0)</f>
        <v>0</v>
      </c>
      <c r="AH512" s="455">
        <f>IF($AG512&gt;0,VLOOKUP($J512,Ruimtegroepen[],3,FALSE)*VLOOKUP($L512,Vloersoorten[],3,FALSE)*VLOOKUP($AF512,Frequenties[],3,FALSE)*VLOOKUP(#REF!,Locaties[],3,FALSE),0)</f>
        <v>0</v>
      </c>
      <c r="AI512" s="434">
        <f>Ruimtestaat[[#This Row],[Uitvoeringen weekend]]*Ruimtestaat[[#This Row],[Oppervlak (netto)]]</f>
        <v>0</v>
      </c>
      <c r="AJ512" s="434">
        <f>IF(AH512&gt;0,Ruimtestaat[[#This Row],[Prest. (m2 /jaar) weekend]]/Ruimtestaat[[#This Row],[Norm (m2/uur) weekend]],0)</f>
        <v>0</v>
      </c>
      <c r="AK512" s="444">
        <f>Ruimtestaat[[#This Row],[uren / jaar weekend]]*Tariefsopbouw!$D$40</f>
        <v>0</v>
      </c>
      <c r="AL512" s="441">
        <f>Ruimtestaat[[#This Row],[Prest. (m2 /jaar) weekend]]+Ruimtestaat[[#This Row],[Prest. (m2 /jaar) werkdagen]]</f>
        <v>660</v>
      </c>
      <c r="AM512" s="441">
        <f>Ruimtestaat[[#This Row],[uren / jaar weekend]]+Ruimtestaat[[#This Row],[uren / jaar werkdagen]]</f>
        <v>0</v>
      </c>
      <c r="AN512" s="446">
        <f>Ruimtestaat[[#This Row],[kosten / jaar weekend]]+Ruimtestaat[[#This Row],[kosten / jaar werkdagen]]</f>
        <v>0</v>
      </c>
      <c r="AO512" s="446"/>
      <c r="AP512" s="446" t="str">
        <f>IF(Ruimtestaat[[#This Row],[Frequentie werkdagen]]="","",_xlfn.CONCAT(Ruimtestaat[[#This Row],[Ruimte code]],"-",Ruimtestaat[[#This Row],[Frequentie werkdagen]]," ",Ruimtestaat[[#This Row],[Vloer code]]))</f>
        <v>1-5w S</v>
      </c>
      <c r="AQ512" s="448" t="str">
        <f>_xlfn.IFNA(VLOOKUP($AP512,Programma!$F$3:$G$1101,2,0),"")</f>
        <v>_</v>
      </c>
      <c r="AR512" s="448" t="str">
        <f>_xlfn.IFNA(VLOOKUP($AP512,Programma!$F$3:$H$1101,3,0),"")</f>
        <v>_</v>
      </c>
      <c r="AS512" s="448" t="str">
        <f>_xlfn.IFNA(VLOOKUP($AP512,Programma!$F$3:$I$1101,4,0),"")</f>
        <v>4w</v>
      </c>
      <c r="AT512" s="448" t="str">
        <f>_xlfn.IFNA(VLOOKUP($AP512,Programma!$F$3:$J$1101,5,0),"")</f>
        <v>1w</v>
      </c>
      <c r="AU512" s="448" t="str">
        <f>_xlfn.IFNA(VLOOKUP($AP512,Programma!$F$3:$K$1101,6,0),"")</f>
        <v>1j</v>
      </c>
      <c r="AV512" s="448" t="str">
        <f>_xlfn.IFNA(VLOOKUP($AP512,Programma!$F$3:$L$1101,7,0),"")</f>
        <v>_</v>
      </c>
      <c r="AW512" s="448" t="str">
        <f>_xlfn.IFNA(VLOOKUP($AP512,Programma!$F$3:$M$1101,8,0),"")</f>
        <v>_</v>
      </c>
      <c r="AX512" s="448" t="str">
        <f>_xlfn.IFNA(VLOOKUP($AP512,Programma!$F$3:$N$1101,9,0),"")</f>
        <v>_</v>
      </c>
      <c r="AY512" s="448" t="str">
        <f>_xlfn.IFNA(VLOOKUP($AP512,Programma!$F$3:$O$1101,10,0),"")</f>
        <v>_</v>
      </c>
      <c r="AZ512" s="448" t="str">
        <f>_xlfn.IFNA(VLOOKUP($AP512,Programma!$F$3:$P$1101,11,0),"")</f>
        <v>_</v>
      </c>
      <c r="BA512" s="448" t="str">
        <f>_xlfn.IFNA(VLOOKUP($AP512,Programma!$F$3:$Q$1101,12,0),"")</f>
        <v>_</v>
      </c>
      <c r="BB512" s="448" t="str">
        <f>_xlfn.IFNA(VLOOKUP($AP512,Programma!$F$3:$R$1101,13,0),"")</f>
        <v>_</v>
      </c>
      <c r="BC512" s="448" t="str">
        <f>_xlfn.IFNA(VLOOKUP($AP512,Programma!$F$3:$S$1101,14,0),"")</f>
        <v>5w</v>
      </c>
      <c r="BD512" s="448" t="str">
        <f>_xlfn.IFNA(VLOOKUP($AP512,Programma!$F$3:$T$1101,15,0),"")</f>
        <v>4j</v>
      </c>
      <c r="BE512" s="448" t="str">
        <f>_xlfn.IFNA(VLOOKUP($AP512,Programma!$F$3:$U$1101,16,0),"")</f>
        <v>4j</v>
      </c>
      <c r="BF512" s="448" t="str">
        <f>_xlfn.IFNA(VLOOKUP($AP512,Programma!$F$3:$V$1101,17,0),"")</f>
        <v>_</v>
      </c>
      <c r="BG512" s="448" t="str">
        <f>_xlfn.IFNA(VLOOKUP($AP512,Programma!$F$3:$W$1101,18,0),"")</f>
        <v>_</v>
      </c>
      <c r="BH512" s="448" t="str">
        <f>_xlfn.IFNA(VLOOKUP($AP512,Programma!$F$3:$X$1101,19,0),"")</f>
        <v>_</v>
      </c>
      <c r="BI512" s="448" t="str">
        <f>_xlfn.IFNA(VLOOKUP($AP512,Programma!$F$3:$Y$1101,20,0),"")</f>
        <v>_</v>
      </c>
      <c r="BJ512" s="449"/>
      <c r="BK512" s="446" t="str">
        <f>IF(Ruimtestaat[[#This Row],[Frequentie weekend]]="","",_xlfn.CONCAT(Ruimtestaat[[#This Row],[Ruimte code]],"-",Ruimtestaat[[#This Row],[Frequentie weekend]]," ",Ruimtestaat[[#This Row],[Vloer code]]))</f>
        <v/>
      </c>
      <c r="BL512" s="448" t="str">
        <f>_xlfn.IFNA(VLOOKUP($BK512,Programma!$F$3:$G$1101,2,0),"")</f>
        <v/>
      </c>
      <c r="BM512" s="448" t="str">
        <f>_xlfn.IFNA(VLOOKUP($BK512,Programma!$F$3:$H$1101,3,0),"")</f>
        <v/>
      </c>
      <c r="BN512" s="448" t="str">
        <f>_xlfn.IFNA(VLOOKUP($BK512,Programma!$F$3:$I$1101,4,0),"")</f>
        <v/>
      </c>
      <c r="BO512" s="448" t="str">
        <f>_xlfn.IFNA(VLOOKUP($BK512,Programma!$F$3:$J$1101,5,0),"")</f>
        <v/>
      </c>
      <c r="BP512" s="448" t="str">
        <f>_xlfn.IFNA(VLOOKUP($BK512,Programma!$F$3:$K$1101,6,0),"")</f>
        <v/>
      </c>
      <c r="BQ512" s="448" t="str">
        <f>_xlfn.IFNA(VLOOKUP($BK512,Programma!$F$3:$L$1101,7,0),"")</f>
        <v/>
      </c>
      <c r="BR512" s="448" t="str">
        <f>_xlfn.IFNA(VLOOKUP($BK512,Programma!$F$3:$M$1101,8,0),"")</f>
        <v/>
      </c>
      <c r="BS512" s="448" t="str">
        <f>_xlfn.IFNA(VLOOKUP($BK512,Programma!$F$3:$N$1101,9,0),"")</f>
        <v/>
      </c>
      <c r="BT512" s="448" t="str">
        <f>_xlfn.IFNA(VLOOKUP($BK512,Programma!$F$3:$O$1101,10,0),"")</f>
        <v/>
      </c>
      <c r="BU512" s="448" t="str">
        <f>_xlfn.IFNA(VLOOKUP($BK512,Programma!$F$3:$P$1101,11,0),"")</f>
        <v/>
      </c>
      <c r="BV512" s="448" t="str">
        <f>_xlfn.IFNA(VLOOKUP($BK512,Programma!$F$3:$Q$1101,12,0),"")</f>
        <v/>
      </c>
      <c r="BW512" s="448" t="str">
        <f>_xlfn.IFNA(VLOOKUP($BK512,Programma!$F$3:$R$1101,13,0),"")</f>
        <v/>
      </c>
      <c r="BX512" s="448" t="str">
        <f>_xlfn.IFNA(VLOOKUP($BK512,Programma!$F$3:$S$1101,14,0),"")</f>
        <v/>
      </c>
      <c r="BY512" s="448" t="str">
        <f>_xlfn.IFNA(VLOOKUP($BK512,Programma!$F$3:$T$1101,15,0),"")</f>
        <v/>
      </c>
      <c r="BZ512" s="448" t="str">
        <f>_xlfn.IFNA(VLOOKUP($BK512,Programma!$F$3:$U$1101,16,0),"")</f>
        <v/>
      </c>
      <c r="CA512" s="448" t="str">
        <f>_xlfn.IFNA(VLOOKUP($BK512,Programma!$F$3:$V$1101,17,0),"")</f>
        <v/>
      </c>
      <c r="CB512" s="448" t="str">
        <f>_xlfn.IFNA(VLOOKUP($BK512,Programma!$F$3:$W$1101,18,0),"")</f>
        <v/>
      </c>
      <c r="CC512" s="448" t="str">
        <f>_xlfn.IFNA(VLOOKUP($BK512,Programma!$F$3:$X$1101,19,0),"")</f>
        <v/>
      </c>
      <c r="CD512" s="448" t="str">
        <f>_xlfn.IFNA(VLOOKUP($BK512,Programma!$F$3:$Y$1101,20,0),"")</f>
        <v/>
      </c>
    </row>
    <row r="513" spans="1:82" ht="15" customHeight="1">
      <c r="A513" s="327">
        <v>19</v>
      </c>
      <c r="B513" s="435" t="str">
        <f>VLOOKUP(Ruimtestaat[[#This Row],[Code]],Locaties[[Code]:[Locatie]],2,FALSE)</f>
        <v>IKC de Leerplaneet (vhKlimboom)</v>
      </c>
      <c r="C513" s="435" t="str">
        <f>VLOOKUP(Ruimtestaat[[#This Row],[Code]],Locaties[[#All],[Code]:[Adres]],4,FALSE)</f>
        <v>Nesciohove 105-107</v>
      </c>
      <c r="D513" s="435" t="str">
        <f>VLOOKUP(Ruimtestaat[[#This Row],[Code]],Locaties[[#All],[Code]:[Postcode]],5,FALSE)</f>
        <v>2726 BL</v>
      </c>
      <c r="E513" s="435" t="str">
        <f>VLOOKUP(Ruimtestaat[[#This Row],[Code]],Locaties[#All],6,FALSE)</f>
        <v>Zoetermeer</v>
      </c>
      <c r="F513" s="450"/>
      <c r="G513" s="330" t="s">
        <v>1678</v>
      </c>
      <c r="H513" s="330" t="s">
        <v>1691</v>
      </c>
      <c r="I513" s="450" t="s">
        <v>1745</v>
      </c>
      <c r="J513" s="330">
        <v>12</v>
      </c>
      <c r="K513" s="450" t="str">
        <f>VLOOKUP(Ruimtestaat[[#This Row],[Ruimte code]],Ruimtegroepen[[#All],[Code]:[Ruimte omschrijving]],2,FALSE)</f>
        <v>Kantine/Aula</v>
      </c>
      <c r="L513" s="330" t="s">
        <v>101</v>
      </c>
      <c r="M513" s="437" t="s">
        <v>1816</v>
      </c>
      <c r="N513" s="439">
        <v>170.2</v>
      </c>
      <c r="O513" s="439"/>
      <c r="P513" s="439"/>
      <c r="Q513" s="439"/>
      <c r="R513" s="440" t="str">
        <f>VLOOKUP(Ruimtestaat[[#This Row],[Ruimte code]],Ruimtegroepen[],4,FALSE)</f>
        <v>Ve</v>
      </c>
      <c r="S513" s="434">
        <v>41</v>
      </c>
      <c r="T513" s="434" t="s">
        <v>2</v>
      </c>
      <c r="U513" s="453">
        <f>IF(S513&gt;0,IF(RIGHT(Ruimtestaat[[#This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13" s="434">
        <f>IF(U513&gt;0,VLOOKUP($J513,Ruimtegroepen[],3,FALSE)*VLOOKUP($L513,Vloersoorten[],3,FALSE)*VLOOKUP($T513,Frequenties[],3,FALSE)*VLOOKUP($A513,Locaties[],3,FALSE),0)</f>
        <v>0</v>
      </c>
      <c r="W513" s="434">
        <f>Ruimtestaat[[#This Row],[Uitvoeringen werkdagen]]*Ruimtestaat[[#This Row],[Oppervlak (netto)]]</f>
        <v>34891</v>
      </c>
      <c r="X513" s="441">
        <f>IF(V513&gt;0,Ruimtestaat[[#This Row],[Prest. (m2 /jaar) werkdagen]]/Ruimtestaat[[#This Row],[Norm (m2/uur) werkdagen]],0)</f>
        <v>0</v>
      </c>
      <c r="Y513" s="442">
        <f>Ruimtestaat[[#This Row],[Uitvoeringen werkdagen]]*Ruimtestaat[[#This Row],[Gedeeltelijk]]</f>
        <v>0</v>
      </c>
      <c r="Z513" s="443" t="e">
        <f>IF(U513&gt;0,Ruimtestaat[[#This Row],[Prest. (m2 / jaar) werkdagen gedeeld]]/Ruimtestaat[[#This Row],[Norm (m2/uur) werkdagen]],0)</f>
        <v>#DIV/0!</v>
      </c>
      <c r="AA513" s="441" t="e">
        <f>Ruimtestaat[[#This Row],[uren / jaar werkdagen gedeeld]]*Tariefsopbouw!$E$35</f>
        <v>#DIV/0!</v>
      </c>
      <c r="AB513" s="441">
        <f>Ruimtestaat[[#This Row],[Uitvoeringen werkdagen]]*Ruimtestaat[[#This Row],[BSO]]</f>
        <v>0</v>
      </c>
      <c r="AC513" s="443" t="e">
        <f>IF(U513&gt;0,Ruimtestaat[[#This Row],[Prest. (m2 / jaar) werkdagen BSO]]/Ruimtestaat[[#This Row],[Norm (m2/uur) werkdagen]],0)</f>
        <v>#DIV/0!</v>
      </c>
      <c r="AD513" s="443" t="e">
        <f>Ruimtestaat[[#This Row],[uren / jaar werkdagen BSO]]*Tariefsopbouw!$E$35</f>
        <v>#DIV/0!</v>
      </c>
      <c r="AE513" s="444">
        <f>Ruimtestaat[[#This Row],[uren / jaar werkdagen]]*Tariefsopbouw!$E$35</f>
        <v>0</v>
      </c>
      <c r="AF513" s="454"/>
      <c r="AG513" s="455">
        <f>IF(Ruimtestaat[[#This Row],[Frequentie weekend]]&gt;0,VALUE(LEFT(AF513,1))*S513,0)</f>
        <v>0</v>
      </c>
      <c r="AH513" s="455">
        <f>IF($AG513&gt;0,VLOOKUP($J513,Ruimtegroepen[],3,FALSE)*VLOOKUP($L513,Vloersoorten[],3,FALSE)*VLOOKUP($AF513,Frequenties[],3,FALSE)*VLOOKUP(#REF!,Locaties[],3,FALSE),0)</f>
        <v>0</v>
      </c>
      <c r="AI513" s="434">
        <f>Ruimtestaat[[#This Row],[Uitvoeringen weekend]]*Ruimtestaat[[#This Row],[Oppervlak (netto)]]</f>
        <v>0</v>
      </c>
      <c r="AJ513" s="434">
        <f>IF(AH513&gt;0,Ruimtestaat[[#This Row],[Prest. (m2 /jaar) weekend]]/Ruimtestaat[[#This Row],[Norm (m2/uur) weekend]],0)</f>
        <v>0</v>
      </c>
      <c r="AK513" s="444">
        <f>Ruimtestaat[[#This Row],[uren / jaar weekend]]*Tariefsopbouw!$D$40</f>
        <v>0</v>
      </c>
      <c r="AL513" s="441">
        <f>Ruimtestaat[[#This Row],[Prest. (m2 /jaar) weekend]]+Ruimtestaat[[#This Row],[Prest. (m2 /jaar) werkdagen]]</f>
        <v>34891</v>
      </c>
      <c r="AM513" s="441">
        <f>Ruimtestaat[[#This Row],[uren / jaar weekend]]+Ruimtestaat[[#This Row],[uren / jaar werkdagen]]</f>
        <v>0</v>
      </c>
      <c r="AN513" s="446">
        <f>Ruimtestaat[[#This Row],[kosten / jaar weekend]]+Ruimtestaat[[#This Row],[kosten / jaar werkdagen]]</f>
        <v>0</v>
      </c>
      <c r="AO513" s="446"/>
      <c r="AP513" s="446" t="str">
        <f>IF(Ruimtestaat[[#This Row],[Frequentie werkdagen]]="","",_xlfn.CONCAT(Ruimtestaat[[#This Row],[Ruimte code]],"-",Ruimtestaat[[#This Row],[Frequentie werkdagen]]," ",Ruimtestaat[[#This Row],[Vloer code]]))</f>
        <v>12-5w S</v>
      </c>
      <c r="AQ513" s="448" t="str">
        <f>_xlfn.IFNA(VLOOKUP($AP513,Programma!$F$3:$G$1101,2,0),"")</f>
        <v>_</v>
      </c>
      <c r="AR513" s="448" t="str">
        <f>_xlfn.IFNA(VLOOKUP($AP513,Programma!$F$3:$H$1101,3,0),"")</f>
        <v>_</v>
      </c>
      <c r="AS513" s="448" t="str">
        <f>_xlfn.IFNA(VLOOKUP($AP513,Programma!$F$3:$I$1101,4,0),"")</f>
        <v>5w</v>
      </c>
      <c r="AT513" s="448" t="str">
        <f>_xlfn.IFNA(VLOOKUP($AP513,Programma!$F$3:$J$1101,5,0),"")</f>
        <v>_</v>
      </c>
      <c r="AU513" s="448" t="str">
        <f>_xlfn.IFNA(VLOOKUP($AP513,Programma!$F$3:$K$1101,6,0),"")</f>
        <v>5w</v>
      </c>
      <c r="AV513" s="448" t="str">
        <f>_xlfn.IFNA(VLOOKUP($AP513,Programma!$F$3:$L$1101,7,0),"")</f>
        <v>_</v>
      </c>
      <c r="AW513" s="448" t="str">
        <f>_xlfn.IFNA(VLOOKUP($AP513,Programma!$F$3:$M$1101,8,0),"")</f>
        <v>_</v>
      </c>
      <c r="AX513" s="448" t="str">
        <f>_xlfn.IFNA(VLOOKUP($AP513,Programma!$F$3:$N$1101,9,0),"")</f>
        <v>_</v>
      </c>
      <c r="AY513" s="448" t="str">
        <f>_xlfn.IFNA(VLOOKUP($AP513,Programma!$F$3:$O$1101,10,0),"")</f>
        <v>5w</v>
      </c>
      <c r="AZ513" s="448" t="str">
        <f>_xlfn.IFNA(VLOOKUP($AP513,Programma!$F$3:$P$1101,11,0),"")</f>
        <v>5w</v>
      </c>
      <c r="BA513" s="448" t="str">
        <f>_xlfn.IFNA(VLOOKUP($AP513,Programma!$F$3:$Q$1101,12,0),"")</f>
        <v>1w</v>
      </c>
      <c r="BB513" s="448" t="str">
        <f>_xlfn.IFNA(VLOOKUP($AP513,Programma!$F$3:$R$1101,13,0),"")</f>
        <v>1w</v>
      </c>
      <c r="BC513" s="448" t="str">
        <f>_xlfn.IFNA(VLOOKUP($AP513,Programma!$F$3:$S$1101,14,0),"")</f>
        <v>1m</v>
      </c>
      <c r="BD513" s="448" t="str">
        <f>_xlfn.IFNA(VLOOKUP($AP513,Programma!$F$3:$T$1101,15,0),"")</f>
        <v>2j</v>
      </c>
      <c r="BE513" s="448" t="str">
        <f>_xlfn.IFNA(VLOOKUP($AP513,Programma!$F$3:$U$1101,16,0),"")</f>
        <v>1j</v>
      </c>
      <c r="BF513" s="448" t="str">
        <f>_xlfn.IFNA(VLOOKUP($AP513,Programma!$F$3:$V$1101,17,0),"")</f>
        <v>_</v>
      </c>
      <c r="BG513" s="448" t="str">
        <f>_xlfn.IFNA(VLOOKUP($AP513,Programma!$F$3:$W$1101,18,0),"")</f>
        <v>_</v>
      </c>
      <c r="BH513" s="448" t="str">
        <f>_xlfn.IFNA(VLOOKUP($AP513,Programma!$F$3:$X$1101,19,0),"")</f>
        <v>_</v>
      </c>
      <c r="BI513" s="448" t="str">
        <f>_xlfn.IFNA(VLOOKUP($AP513,Programma!$F$3:$Y$1101,20,0),"")</f>
        <v>_</v>
      </c>
      <c r="BJ513" s="449"/>
      <c r="BK513" s="446" t="str">
        <f>IF(Ruimtestaat[[#This Row],[Frequentie weekend]]="","",_xlfn.CONCAT(Ruimtestaat[[#This Row],[Ruimte code]],"-",Ruimtestaat[[#This Row],[Frequentie weekend]]," ",Ruimtestaat[[#This Row],[Vloer code]]))</f>
        <v/>
      </c>
      <c r="BL513" s="448" t="str">
        <f>_xlfn.IFNA(VLOOKUP($BK513,Programma!$F$3:$G$1101,2,0),"")</f>
        <v/>
      </c>
      <c r="BM513" s="448" t="str">
        <f>_xlfn.IFNA(VLOOKUP($BK513,Programma!$F$3:$H$1101,3,0),"")</f>
        <v/>
      </c>
      <c r="BN513" s="448" t="str">
        <f>_xlfn.IFNA(VLOOKUP($BK513,Programma!$F$3:$I$1101,4,0),"")</f>
        <v/>
      </c>
      <c r="BO513" s="448" t="str">
        <f>_xlfn.IFNA(VLOOKUP($BK513,Programma!$F$3:$J$1101,5,0),"")</f>
        <v/>
      </c>
      <c r="BP513" s="448" t="str">
        <f>_xlfn.IFNA(VLOOKUP($BK513,Programma!$F$3:$K$1101,6,0),"")</f>
        <v/>
      </c>
      <c r="BQ513" s="448" t="str">
        <f>_xlfn.IFNA(VLOOKUP($BK513,Programma!$F$3:$L$1101,7,0),"")</f>
        <v/>
      </c>
      <c r="BR513" s="448" t="str">
        <f>_xlfn.IFNA(VLOOKUP($BK513,Programma!$F$3:$M$1101,8,0),"")</f>
        <v/>
      </c>
      <c r="BS513" s="448" t="str">
        <f>_xlfn.IFNA(VLOOKUP($BK513,Programma!$F$3:$N$1101,9,0),"")</f>
        <v/>
      </c>
      <c r="BT513" s="448" t="str">
        <f>_xlfn.IFNA(VLOOKUP($BK513,Programma!$F$3:$O$1101,10,0),"")</f>
        <v/>
      </c>
      <c r="BU513" s="448" t="str">
        <f>_xlfn.IFNA(VLOOKUP($BK513,Programma!$F$3:$P$1101,11,0),"")</f>
        <v/>
      </c>
      <c r="BV513" s="448" t="str">
        <f>_xlfn.IFNA(VLOOKUP($BK513,Programma!$F$3:$Q$1101,12,0),"")</f>
        <v/>
      </c>
      <c r="BW513" s="448" t="str">
        <f>_xlfn.IFNA(VLOOKUP($BK513,Programma!$F$3:$R$1101,13,0),"")</f>
        <v/>
      </c>
      <c r="BX513" s="448" t="str">
        <f>_xlfn.IFNA(VLOOKUP($BK513,Programma!$F$3:$S$1101,14,0),"")</f>
        <v/>
      </c>
      <c r="BY513" s="448" t="str">
        <f>_xlfn.IFNA(VLOOKUP($BK513,Programma!$F$3:$T$1101,15,0),"")</f>
        <v/>
      </c>
      <c r="BZ513" s="448" t="str">
        <f>_xlfn.IFNA(VLOOKUP($BK513,Programma!$F$3:$U$1101,16,0),"")</f>
        <v/>
      </c>
      <c r="CA513" s="448" t="str">
        <f>_xlfn.IFNA(VLOOKUP($BK513,Programma!$F$3:$V$1101,17,0),"")</f>
        <v/>
      </c>
      <c r="CB513" s="448" t="str">
        <f>_xlfn.IFNA(VLOOKUP($BK513,Programma!$F$3:$W$1101,18,0),"")</f>
        <v/>
      </c>
      <c r="CC513" s="448" t="str">
        <f>_xlfn.IFNA(VLOOKUP($BK513,Programma!$F$3:$X$1101,19,0),"")</f>
        <v/>
      </c>
      <c r="CD513" s="448" t="str">
        <f>_xlfn.IFNA(VLOOKUP($BK513,Programma!$F$3:$Y$1101,20,0),"")</f>
        <v/>
      </c>
    </row>
    <row r="514" spans="1:82" ht="15" customHeight="1">
      <c r="A514" s="327">
        <v>19</v>
      </c>
      <c r="B514" s="435" t="str">
        <f>VLOOKUP(Ruimtestaat[[#This Row],[Code]],Locaties[[Code]:[Locatie]],2,FALSE)</f>
        <v>IKC de Leerplaneet (vhKlimboom)</v>
      </c>
      <c r="C514" s="435" t="str">
        <f>VLOOKUP(Ruimtestaat[[#This Row],[Code]],Locaties[[#All],[Code]:[Adres]],4,FALSE)</f>
        <v>Nesciohove 105-107</v>
      </c>
      <c r="D514" s="435" t="str">
        <f>VLOOKUP(Ruimtestaat[[#This Row],[Code]],Locaties[[#All],[Code]:[Postcode]],5,FALSE)</f>
        <v>2726 BL</v>
      </c>
      <c r="E514" s="435" t="str">
        <f>VLOOKUP(Ruimtestaat[[#This Row],[Code]],Locaties[#All],6,FALSE)</f>
        <v>Zoetermeer</v>
      </c>
      <c r="F514" s="450"/>
      <c r="G514" s="330" t="s">
        <v>1678</v>
      </c>
      <c r="I514" s="450" t="s">
        <v>1897</v>
      </c>
      <c r="J514" s="330">
        <v>10</v>
      </c>
      <c r="K514" s="450" t="str">
        <f>VLOOKUP(Ruimtestaat[[#This Row],[Ruimte code]],Ruimtegroepen[[#All],[Code]:[Ruimte omschrijving]],2,FALSE)</f>
        <v>Trappenhuizen/lift</v>
      </c>
      <c r="L514" s="434" t="s">
        <v>100</v>
      </c>
      <c r="M514" s="437" t="s">
        <v>1759</v>
      </c>
      <c r="N514" s="439">
        <v>25</v>
      </c>
      <c r="O514" s="439"/>
      <c r="P514" s="439"/>
      <c r="Q514" s="439"/>
      <c r="R514" s="440" t="str">
        <f>VLOOKUP(Ruimtestaat[[#This Row],[Ruimte code]],Ruimtegroepen[],4,FALSE)</f>
        <v>Ve</v>
      </c>
      <c r="S514" s="434">
        <v>41</v>
      </c>
      <c r="T514" s="434" t="s">
        <v>2</v>
      </c>
      <c r="U514" s="453">
        <f>IF(S514&gt;0,IF(RIGHT(Ruimtestaat[[#This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14" s="434">
        <f>IF(U514&gt;0,VLOOKUP($J514,Ruimtegroepen[],3,FALSE)*VLOOKUP($L514,Vloersoorten[],3,FALSE)*VLOOKUP($T514,Frequenties[],3,FALSE)*VLOOKUP($A514,Locaties[],3,FALSE),0)</f>
        <v>0</v>
      </c>
      <c r="W514" s="434">
        <f>Ruimtestaat[[#This Row],[Uitvoeringen werkdagen]]*Ruimtestaat[[#This Row],[Oppervlak (netto)]]</f>
        <v>5125</v>
      </c>
      <c r="X514" s="441">
        <f>IF(V514&gt;0,Ruimtestaat[[#This Row],[Prest. (m2 /jaar) werkdagen]]/Ruimtestaat[[#This Row],[Norm (m2/uur) werkdagen]],0)</f>
        <v>0</v>
      </c>
      <c r="Y514" s="442">
        <f>Ruimtestaat[[#This Row],[Uitvoeringen werkdagen]]*Ruimtestaat[[#This Row],[Gedeeltelijk]]</f>
        <v>0</v>
      </c>
      <c r="Z514" s="443" t="e">
        <f>IF(U514&gt;0,Ruimtestaat[[#This Row],[Prest. (m2 / jaar) werkdagen gedeeld]]/Ruimtestaat[[#This Row],[Norm (m2/uur) werkdagen]],0)</f>
        <v>#DIV/0!</v>
      </c>
      <c r="AA514" s="441" t="e">
        <f>Ruimtestaat[[#This Row],[uren / jaar werkdagen gedeeld]]*Tariefsopbouw!$E$35</f>
        <v>#DIV/0!</v>
      </c>
      <c r="AB514" s="441">
        <f>Ruimtestaat[[#This Row],[Uitvoeringen werkdagen]]*Ruimtestaat[[#This Row],[BSO]]</f>
        <v>0</v>
      </c>
      <c r="AC514" s="443" t="e">
        <f>IF(U514&gt;0,Ruimtestaat[[#This Row],[Prest. (m2 / jaar) werkdagen BSO]]/Ruimtestaat[[#This Row],[Norm (m2/uur) werkdagen]],0)</f>
        <v>#DIV/0!</v>
      </c>
      <c r="AD514" s="443" t="e">
        <f>Ruimtestaat[[#This Row],[uren / jaar werkdagen BSO]]*Tariefsopbouw!$E$35</f>
        <v>#DIV/0!</v>
      </c>
      <c r="AE514" s="444">
        <f>Ruimtestaat[[#This Row],[uren / jaar werkdagen]]*Tariefsopbouw!$E$35</f>
        <v>0</v>
      </c>
      <c r="AF514" s="454"/>
      <c r="AG514" s="455">
        <f>IF(Ruimtestaat[[#This Row],[Frequentie weekend]]&gt;0,VALUE(LEFT(AF514,1))*S514,0)</f>
        <v>0</v>
      </c>
      <c r="AH514" s="455">
        <f>IF($AG514&gt;0,VLOOKUP($J514,Ruimtegroepen[],3,FALSE)*VLOOKUP($L514,Vloersoorten[],3,FALSE)*VLOOKUP($AF514,Frequenties[],3,FALSE)*VLOOKUP(#REF!,Locaties[],3,FALSE),0)</f>
        <v>0</v>
      </c>
      <c r="AI514" s="434">
        <f>Ruimtestaat[[#This Row],[Uitvoeringen weekend]]*Ruimtestaat[[#This Row],[Oppervlak (netto)]]</f>
        <v>0</v>
      </c>
      <c r="AJ514" s="434">
        <f>IF(AH514&gt;0,Ruimtestaat[[#This Row],[Prest. (m2 /jaar) weekend]]/Ruimtestaat[[#This Row],[Norm (m2/uur) weekend]],0)</f>
        <v>0</v>
      </c>
      <c r="AK514" s="444">
        <f>Ruimtestaat[[#This Row],[uren / jaar weekend]]*Tariefsopbouw!$D$40</f>
        <v>0</v>
      </c>
      <c r="AL514" s="441">
        <f>Ruimtestaat[[#This Row],[Prest. (m2 /jaar) weekend]]+Ruimtestaat[[#This Row],[Prest. (m2 /jaar) werkdagen]]</f>
        <v>5125</v>
      </c>
      <c r="AM514" s="441">
        <f>Ruimtestaat[[#This Row],[uren / jaar weekend]]+Ruimtestaat[[#This Row],[uren / jaar werkdagen]]</f>
        <v>0</v>
      </c>
      <c r="AN514" s="446">
        <f>Ruimtestaat[[#This Row],[kosten / jaar weekend]]+Ruimtestaat[[#This Row],[kosten / jaar werkdagen]]</f>
        <v>0</v>
      </c>
      <c r="AO514" s="446"/>
      <c r="AP514" s="446" t="str">
        <f>IF(Ruimtestaat[[#This Row],[Frequentie werkdagen]]="","",_xlfn.CONCAT(Ruimtestaat[[#This Row],[Ruimte code]],"-",Ruimtestaat[[#This Row],[Frequentie werkdagen]]," ",Ruimtestaat[[#This Row],[Vloer code]]))</f>
        <v>10-5w L</v>
      </c>
      <c r="AQ514" s="448" t="str">
        <f>_xlfn.IFNA(VLOOKUP($AP514,Programma!$F$3:$G$1101,2,0),"")</f>
        <v>_</v>
      </c>
      <c r="AR514" s="448" t="str">
        <f>_xlfn.IFNA(VLOOKUP($AP514,Programma!$F$3:$H$1101,3,0),"")</f>
        <v>_</v>
      </c>
      <c r="AS514" s="448" t="str">
        <f>_xlfn.IFNA(VLOOKUP($AP514,Programma!$F$3:$I$1101,4,0),"")</f>
        <v>4w</v>
      </c>
      <c r="AT514" s="448" t="str">
        <f>_xlfn.IFNA(VLOOKUP($AP514,Programma!$F$3:$J$1101,5,0),"")</f>
        <v>1w</v>
      </c>
      <c r="AU514" s="448" t="str">
        <f>_xlfn.IFNA(VLOOKUP($AP514,Programma!$F$3:$K$1101,6,0),"")</f>
        <v>_</v>
      </c>
      <c r="AV514" s="448" t="str">
        <f>_xlfn.IFNA(VLOOKUP($AP514,Programma!$F$3:$L$1101,7,0),"")</f>
        <v>_</v>
      </c>
      <c r="AW514" s="448" t="str">
        <f>_xlfn.IFNA(VLOOKUP($AP514,Programma!$F$3:$M$1101,8,0),"")</f>
        <v>_</v>
      </c>
      <c r="AX514" s="448" t="str">
        <f>_xlfn.IFNA(VLOOKUP($AP514,Programma!$F$3:$N$1101,9,0),"")</f>
        <v>_</v>
      </c>
      <c r="AY514" s="448" t="str">
        <f>_xlfn.IFNA(VLOOKUP($AP514,Programma!$F$3:$O$1101,10,0),"")</f>
        <v>5w</v>
      </c>
      <c r="AZ514" s="448" t="str">
        <f>_xlfn.IFNA(VLOOKUP($AP514,Programma!$F$3:$P$1101,11,0),"")</f>
        <v>5w</v>
      </c>
      <c r="BA514" s="448" t="str">
        <f>_xlfn.IFNA(VLOOKUP($AP514,Programma!$F$3:$Q$1101,12,0),"")</f>
        <v>1w</v>
      </c>
      <c r="BB514" s="448" t="str">
        <f>_xlfn.IFNA(VLOOKUP($AP514,Programma!$F$3:$R$1101,13,0),"")</f>
        <v>1w</v>
      </c>
      <c r="BC514" s="448" t="str">
        <f>_xlfn.IFNA(VLOOKUP($AP514,Programma!$F$3:$S$1101,14,0),"")</f>
        <v>1m</v>
      </c>
      <c r="BD514" s="448" t="str">
        <f>_xlfn.IFNA(VLOOKUP($AP514,Programma!$F$3:$T$1101,15,0),"")</f>
        <v>2j</v>
      </c>
      <c r="BE514" s="448" t="str">
        <f>_xlfn.IFNA(VLOOKUP($AP514,Programma!$F$3:$U$1101,16,0),"")</f>
        <v>1j</v>
      </c>
      <c r="BF514" s="448" t="str">
        <f>_xlfn.IFNA(VLOOKUP($AP514,Programma!$F$3:$V$1101,17,0),"")</f>
        <v>_</v>
      </c>
      <c r="BG514" s="448" t="str">
        <f>_xlfn.IFNA(VLOOKUP($AP514,Programma!$F$3:$W$1101,18,0),"")</f>
        <v>_</v>
      </c>
      <c r="BH514" s="448" t="str">
        <f>_xlfn.IFNA(VLOOKUP($AP514,Programma!$F$3:$X$1101,19,0),"")</f>
        <v>_</v>
      </c>
      <c r="BI514" s="448" t="str">
        <f>_xlfn.IFNA(VLOOKUP($AP514,Programma!$F$3:$Y$1101,20,0),"")</f>
        <v>_</v>
      </c>
      <c r="BJ514" s="449"/>
      <c r="BK514" s="446" t="str">
        <f>IF(Ruimtestaat[[#This Row],[Frequentie weekend]]="","",_xlfn.CONCAT(Ruimtestaat[[#This Row],[Ruimte code]],"-",Ruimtestaat[[#This Row],[Frequentie weekend]]," ",Ruimtestaat[[#This Row],[Vloer code]]))</f>
        <v/>
      </c>
      <c r="BL514" s="448" t="str">
        <f>_xlfn.IFNA(VLOOKUP($BK514,Programma!$F$3:$G$1101,2,0),"")</f>
        <v/>
      </c>
      <c r="BM514" s="448" t="str">
        <f>_xlfn.IFNA(VLOOKUP($BK514,Programma!$F$3:$H$1101,3,0),"")</f>
        <v/>
      </c>
      <c r="BN514" s="448" t="str">
        <f>_xlfn.IFNA(VLOOKUP($BK514,Programma!$F$3:$I$1101,4,0),"")</f>
        <v/>
      </c>
      <c r="BO514" s="448" t="str">
        <f>_xlfn.IFNA(VLOOKUP($BK514,Programma!$F$3:$J$1101,5,0),"")</f>
        <v/>
      </c>
      <c r="BP514" s="448" t="str">
        <f>_xlfn.IFNA(VLOOKUP($BK514,Programma!$F$3:$K$1101,6,0),"")</f>
        <v/>
      </c>
      <c r="BQ514" s="448" t="str">
        <f>_xlfn.IFNA(VLOOKUP($BK514,Programma!$F$3:$L$1101,7,0),"")</f>
        <v/>
      </c>
      <c r="BR514" s="448" t="str">
        <f>_xlfn.IFNA(VLOOKUP($BK514,Programma!$F$3:$M$1101,8,0),"")</f>
        <v/>
      </c>
      <c r="BS514" s="448" t="str">
        <f>_xlfn.IFNA(VLOOKUP($BK514,Programma!$F$3:$N$1101,9,0),"")</f>
        <v/>
      </c>
      <c r="BT514" s="448" t="str">
        <f>_xlfn.IFNA(VLOOKUP($BK514,Programma!$F$3:$O$1101,10,0),"")</f>
        <v/>
      </c>
      <c r="BU514" s="448" t="str">
        <f>_xlfn.IFNA(VLOOKUP($BK514,Programma!$F$3:$P$1101,11,0),"")</f>
        <v/>
      </c>
      <c r="BV514" s="448" t="str">
        <f>_xlfn.IFNA(VLOOKUP($BK514,Programma!$F$3:$Q$1101,12,0),"")</f>
        <v/>
      </c>
      <c r="BW514" s="448" t="str">
        <f>_xlfn.IFNA(VLOOKUP($BK514,Programma!$F$3:$R$1101,13,0),"")</f>
        <v/>
      </c>
      <c r="BX514" s="448" t="str">
        <f>_xlfn.IFNA(VLOOKUP($BK514,Programma!$F$3:$S$1101,14,0),"")</f>
        <v/>
      </c>
      <c r="BY514" s="448" t="str">
        <f>_xlfn.IFNA(VLOOKUP($BK514,Programma!$F$3:$T$1101,15,0),"")</f>
        <v/>
      </c>
      <c r="BZ514" s="448" t="str">
        <f>_xlfn.IFNA(VLOOKUP($BK514,Programma!$F$3:$U$1101,16,0),"")</f>
        <v/>
      </c>
      <c r="CA514" s="448" t="str">
        <f>_xlfn.IFNA(VLOOKUP($BK514,Programma!$F$3:$V$1101,17,0),"")</f>
        <v/>
      </c>
      <c r="CB514" s="448" t="str">
        <f>_xlfn.IFNA(VLOOKUP($BK514,Programma!$F$3:$W$1101,18,0),"")</f>
        <v/>
      </c>
      <c r="CC514" s="448" t="str">
        <f>_xlfn.IFNA(VLOOKUP($BK514,Programma!$F$3:$X$1101,19,0),"")</f>
        <v/>
      </c>
      <c r="CD514" s="448" t="str">
        <f>_xlfn.IFNA(VLOOKUP($BK514,Programma!$F$3:$Y$1101,20,0),"")</f>
        <v/>
      </c>
    </row>
    <row r="515" spans="1:82" ht="15" customHeight="1">
      <c r="A515" s="327">
        <v>19</v>
      </c>
      <c r="B515" s="435" t="str">
        <f>VLOOKUP(Ruimtestaat[[#This Row],[Code]],Locaties[[Code]:[Locatie]],2,FALSE)</f>
        <v>IKC de Leerplaneet (vhKlimboom)</v>
      </c>
      <c r="C515" s="435" t="str">
        <f>VLOOKUP(Ruimtestaat[[#This Row],[Code]],Locaties[[#All],[Code]:[Adres]],4,FALSE)</f>
        <v>Nesciohove 105-107</v>
      </c>
      <c r="D515" s="435" t="str">
        <f>VLOOKUP(Ruimtestaat[[#This Row],[Code]],Locaties[[#All],[Code]:[Postcode]],5,FALSE)</f>
        <v>2726 BL</v>
      </c>
      <c r="E515" s="435" t="str">
        <f>VLOOKUP(Ruimtestaat[[#This Row],[Code]],Locaties[#All],6,FALSE)</f>
        <v>Zoetermeer</v>
      </c>
      <c r="F515" s="450"/>
      <c r="G515" s="330" t="s">
        <v>1678</v>
      </c>
      <c r="I515" s="450" t="s">
        <v>1898</v>
      </c>
      <c r="J515" s="330">
        <v>20</v>
      </c>
      <c r="K515" s="450" t="str">
        <f>VLOOKUP(Ruimtestaat[[#This Row],[Ruimte code]],Ruimtegroepen[[#All],[Code]:[Ruimte omschrijving]],2,FALSE)</f>
        <v>Niet in Onderhoud</v>
      </c>
      <c r="L515" s="330" t="s">
        <v>101</v>
      </c>
      <c r="M515" s="437" t="s">
        <v>1816</v>
      </c>
      <c r="N515" s="439"/>
      <c r="O515" s="439">
        <v>8</v>
      </c>
      <c r="P515" s="439"/>
      <c r="Q515" s="439"/>
      <c r="R515" s="440">
        <f>VLOOKUP(Ruimtestaat[[#This Row],[Ruimte code]],Ruimtegroepen[],4,FALSE)</f>
        <v>0</v>
      </c>
      <c r="S515" s="434"/>
      <c r="T515" s="434"/>
      <c r="U515" s="453">
        <f>IF(S515&gt;0,IF(RIGHT(Ruimtestaat[[#This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15" s="434">
        <f>IF(U515&gt;0,VLOOKUP($J515,Ruimtegroepen[],3,FALSE)*VLOOKUP($L515,Vloersoorten[],3,FALSE)*VLOOKUP($T515,Frequenties[],3,FALSE)*VLOOKUP($A515,Locaties[],3,FALSE),0)</f>
        <v>0</v>
      </c>
      <c r="W515" s="434">
        <f>Ruimtestaat[[#This Row],[Uitvoeringen werkdagen]]*Ruimtestaat[[#This Row],[Oppervlak (netto)]]</f>
        <v>0</v>
      </c>
      <c r="X515" s="441">
        <f>IF(V515&gt;0,Ruimtestaat[[#This Row],[Prest. (m2 /jaar) werkdagen]]/Ruimtestaat[[#This Row],[Norm (m2/uur) werkdagen]],0)</f>
        <v>0</v>
      </c>
      <c r="Y515" s="442">
        <f>Ruimtestaat[[#This Row],[Uitvoeringen werkdagen]]*Ruimtestaat[[#This Row],[Gedeeltelijk]]</f>
        <v>0</v>
      </c>
      <c r="Z515" s="443">
        <f>IF(U515&gt;0,Ruimtestaat[[#This Row],[Prest. (m2 / jaar) werkdagen gedeeld]]/Ruimtestaat[[#This Row],[Norm (m2/uur) werkdagen]],0)</f>
        <v>0</v>
      </c>
      <c r="AA515" s="441">
        <f>Ruimtestaat[[#This Row],[uren / jaar werkdagen gedeeld]]*Tariefsopbouw!$E$35</f>
        <v>0</v>
      </c>
      <c r="AB515" s="441">
        <f>Ruimtestaat[[#This Row],[Uitvoeringen werkdagen]]*Ruimtestaat[[#This Row],[BSO]]</f>
        <v>0</v>
      </c>
      <c r="AC515" s="443">
        <f>IF(U515&gt;0,Ruimtestaat[[#This Row],[Prest. (m2 / jaar) werkdagen BSO]]/Ruimtestaat[[#This Row],[Norm (m2/uur) werkdagen]],0)</f>
        <v>0</v>
      </c>
      <c r="AD515" s="443">
        <f>Ruimtestaat[[#This Row],[uren / jaar werkdagen BSO]]*Tariefsopbouw!$E$35</f>
        <v>0</v>
      </c>
      <c r="AE515" s="444">
        <f>Ruimtestaat[[#This Row],[uren / jaar werkdagen]]*Tariefsopbouw!$E$35</f>
        <v>0</v>
      </c>
      <c r="AF515" s="454"/>
      <c r="AG515" s="455">
        <f>IF(Ruimtestaat[[#This Row],[Frequentie weekend]]&gt;0,VALUE(LEFT(AF515,1))*S515,0)</f>
        <v>0</v>
      </c>
      <c r="AH515" s="455">
        <f>IF($AG515&gt;0,VLOOKUP($J515,Ruimtegroepen[],3,FALSE)*VLOOKUP($L515,Vloersoorten[],3,FALSE)*VLOOKUP($AF515,Frequenties[],3,FALSE)*VLOOKUP(#REF!,Locaties[],3,FALSE),0)</f>
        <v>0</v>
      </c>
      <c r="AI515" s="434">
        <f>Ruimtestaat[[#This Row],[Uitvoeringen weekend]]*Ruimtestaat[[#This Row],[Oppervlak (netto)]]</f>
        <v>0</v>
      </c>
      <c r="AJ515" s="434">
        <f>IF(AH515&gt;0,Ruimtestaat[[#This Row],[Prest. (m2 /jaar) weekend]]/Ruimtestaat[[#This Row],[Norm (m2/uur) weekend]],0)</f>
        <v>0</v>
      </c>
      <c r="AK515" s="444">
        <f>Ruimtestaat[[#This Row],[uren / jaar weekend]]*Tariefsopbouw!$D$40</f>
        <v>0</v>
      </c>
      <c r="AL515" s="441">
        <f>Ruimtestaat[[#This Row],[Prest. (m2 /jaar) weekend]]+Ruimtestaat[[#This Row],[Prest. (m2 /jaar) werkdagen]]</f>
        <v>0</v>
      </c>
      <c r="AM515" s="441">
        <f>Ruimtestaat[[#This Row],[uren / jaar weekend]]+Ruimtestaat[[#This Row],[uren / jaar werkdagen]]</f>
        <v>0</v>
      </c>
      <c r="AN515" s="446">
        <f>Ruimtestaat[[#This Row],[kosten / jaar weekend]]+Ruimtestaat[[#This Row],[kosten / jaar werkdagen]]</f>
        <v>0</v>
      </c>
      <c r="AO515" s="446"/>
      <c r="AP515" s="446" t="str">
        <f>IF(Ruimtestaat[[#This Row],[Frequentie werkdagen]]="","",_xlfn.CONCAT(Ruimtestaat[[#This Row],[Ruimte code]],"-",Ruimtestaat[[#This Row],[Frequentie werkdagen]]," ",Ruimtestaat[[#This Row],[Vloer code]]))</f>
        <v/>
      </c>
      <c r="AQ515" s="448" t="str">
        <f>_xlfn.IFNA(VLOOKUP($AP515,Programma!$F$3:$G$1101,2,0),"")</f>
        <v/>
      </c>
      <c r="AR515" s="448" t="str">
        <f>_xlfn.IFNA(VLOOKUP($AP515,Programma!$F$3:$H$1101,3,0),"")</f>
        <v/>
      </c>
      <c r="AS515" s="448" t="str">
        <f>_xlfn.IFNA(VLOOKUP($AP515,Programma!$F$3:$I$1101,4,0),"")</f>
        <v/>
      </c>
      <c r="AT515" s="448" t="str">
        <f>_xlfn.IFNA(VLOOKUP($AP515,Programma!$F$3:$J$1101,5,0),"")</f>
        <v/>
      </c>
      <c r="AU515" s="448" t="str">
        <f>_xlfn.IFNA(VLOOKUP($AP515,Programma!$F$3:$K$1101,6,0),"")</f>
        <v/>
      </c>
      <c r="AV515" s="448" t="str">
        <f>_xlfn.IFNA(VLOOKUP($AP515,Programma!$F$3:$L$1101,7,0),"")</f>
        <v/>
      </c>
      <c r="AW515" s="448" t="str">
        <f>_xlfn.IFNA(VLOOKUP($AP515,Programma!$F$3:$M$1101,8,0),"")</f>
        <v/>
      </c>
      <c r="AX515" s="448" t="str">
        <f>_xlfn.IFNA(VLOOKUP($AP515,Programma!$F$3:$N$1101,9,0),"")</f>
        <v/>
      </c>
      <c r="AY515" s="448" t="str">
        <f>_xlfn.IFNA(VLOOKUP($AP515,Programma!$F$3:$O$1101,10,0),"")</f>
        <v/>
      </c>
      <c r="AZ515" s="448" t="str">
        <f>_xlfn.IFNA(VLOOKUP($AP515,Programma!$F$3:$P$1101,11,0),"")</f>
        <v/>
      </c>
      <c r="BA515" s="448" t="str">
        <f>_xlfn.IFNA(VLOOKUP($AP515,Programma!$F$3:$Q$1101,12,0),"")</f>
        <v/>
      </c>
      <c r="BB515" s="448" t="str">
        <f>_xlfn.IFNA(VLOOKUP($AP515,Programma!$F$3:$R$1101,13,0),"")</f>
        <v/>
      </c>
      <c r="BC515" s="448" t="str">
        <f>_xlfn.IFNA(VLOOKUP($AP515,Programma!$F$3:$S$1101,14,0),"")</f>
        <v/>
      </c>
      <c r="BD515" s="448" t="str">
        <f>_xlfn.IFNA(VLOOKUP($AP515,Programma!$F$3:$T$1101,15,0),"")</f>
        <v/>
      </c>
      <c r="BE515" s="448" t="str">
        <f>_xlfn.IFNA(VLOOKUP($AP515,Programma!$F$3:$U$1101,16,0),"")</f>
        <v/>
      </c>
      <c r="BF515" s="448" t="str">
        <f>_xlfn.IFNA(VLOOKUP($AP515,Programma!$F$3:$V$1101,17,0),"")</f>
        <v/>
      </c>
      <c r="BG515" s="448" t="str">
        <f>_xlfn.IFNA(VLOOKUP($AP515,Programma!$F$3:$W$1101,18,0),"")</f>
        <v/>
      </c>
      <c r="BH515" s="448" t="str">
        <f>_xlfn.IFNA(VLOOKUP($AP515,Programma!$F$3:$X$1101,19,0),"")</f>
        <v/>
      </c>
      <c r="BI515" s="448" t="str">
        <f>_xlfn.IFNA(VLOOKUP($AP515,Programma!$F$3:$Y$1101,20,0),"")</f>
        <v/>
      </c>
      <c r="BJ515" s="449"/>
      <c r="BK515" s="446" t="str">
        <f>IF(Ruimtestaat[[#This Row],[Frequentie weekend]]="","",_xlfn.CONCAT(Ruimtestaat[[#This Row],[Ruimte code]],"-",Ruimtestaat[[#This Row],[Frequentie weekend]]," ",Ruimtestaat[[#This Row],[Vloer code]]))</f>
        <v/>
      </c>
      <c r="BL515" s="448" t="str">
        <f>_xlfn.IFNA(VLOOKUP($BK515,Programma!$F$3:$G$1101,2,0),"")</f>
        <v/>
      </c>
      <c r="BM515" s="448" t="str">
        <f>_xlfn.IFNA(VLOOKUP($BK515,Programma!$F$3:$H$1101,3,0),"")</f>
        <v/>
      </c>
      <c r="BN515" s="448" t="str">
        <f>_xlfn.IFNA(VLOOKUP($BK515,Programma!$F$3:$I$1101,4,0),"")</f>
        <v/>
      </c>
      <c r="BO515" s="448" t="str">
        <f>_xlfn.IFNA(VLOOKUP($BK515,Programma!$F$3:$J$1101,5,0),"")</f>
        <v/>
      </c>
      <c r="BP515" s="448" t="str">
        <f>_xlfn.IFNA(VLOOKUP($BK515,Programma!$F$3:$K$1101,6,0),"")</f>
        <v/>
      </c>
      <c r="BQ515" s="448" t="str">
        <f>_xlfn.IFNA(VLOOKUP($BK515,Programma!$F$3:$L$1101,7,0),"")</f>
        <v/>
      </c>
      <c r="BR515" s="448" t="str">
        <f>_xlfn.IFNA(VLOOKUP($BK515,Programma!$F$3:$M$1101,8,0),"")</f>
        <v/>
      </c>
      <c r="BS515" s="448" t="str">
        <f>_xlfn.IFNA(VLOOKUP($BK515,Programma!$F$3:$N$1101,9,0),"")</f>
        <v/>
      </c>
      <c r="BT515" s="448" t="str">
        <f>_xlfn.IFNA(VLOOKUP($BK515,Programma!$F$3:$O$1101,10,0),"")</f>
        <v/>
      </c>
      <c r="BU515" s="448" t="str">
        <f>_xlfn.IFNA(VLOOKUP($BK515,Programma!$F$3:$P$1101,11,0),"")</f>
        <v/>
      </c>
      <c r="BV515" s="448" t="str">
        <f>_xlfn.IFNA(VLOOKUP($BK515,Programma!$F$3:$Q$1101,12,0),"")</f>
        <v/>
      </c>
      <c r="BW515" s="448" t="str">
        <f>_xlfn.IFNA(VLOOKUP($BK515,Programma!$F$3:$R$1101,13,0),"")</f>
        <v/>
      </c>
      <c r="BX515" s="448" t="str">
        <f>_xlfn.IFNA(VLOOKUP($BK515,Programma!$F$3:$S$1101,14,0),"")</f>
        <v/>
      </c>
      <c r="BY515" s="448" t="str">
        <f>_xlfn.IFNA(VLOOKUP($BK515,Programma!$F$3:$T$1101,15,0),"")</f>
        <v/>
      </c>
      <c r="BZ515" s="448" t="str">
        <f>_xlfn.IFNA(VLOOKUP($BK515,Programma!$F$3:$U$1101,16,0),"")</f>
        <v/>
      </c>
      <c r="CA515" s="448" t="str">
        <f>_xlfn.IFNA(VLOOKUP($BK515,Programma!$F$3:$V$1101,17,0),"")</f>
        <v/>
      </c>
      <c r="CB515" s="448" t="str">
        <f>_xlfn.IFNA(VLOOKUP($BK515,Programma!$F$3:$W$1101,18,0),"")</f>
        <v/>
      </c>
      <c r="CC515" s="448" t="str">
        <f>_xlfn.IFNA(VLOOKUP($BK515,Programma!$F$3:$X$1101,19,0),"")</f>
        <v/>
      </c>
      <c r="CD515" s="448" t="str">
        <f>_xlfn.IFNA(VLOOKUP($BK515,Programma!$F$3:$Y$1101,20,0),"")</f>
        <v/>
      </c>
    </row>
    <row r="516" spans="1:82" ht="15" customHeight="1">
      <c r="A516" s="327">
        <v>19</v>
      </c>
      <c r="B516" s="435" t="str">
        <f>VLOOKUP(Ruimtestaat[[#This Row],[Code]],Locaties[[Code]:[Locatie]],2,FALSE)</f>
        <v>IKC de Leerplaneet (vhKlimboom)</v>
      </c>
      <c r="C516" s="435" t="str">
        <f>VLOOKUP(Ruimtestaat[[#This Row],[Code]],Locaties[[#All],[Code]:[Adres]],4,FALSE)</f>
        <v>Nesciohove 105-107</v>
      </c>
      <c r="D516" s="435" t="str">
        <f>VLOOKUP(Ruimtestaat[[#This Row],[Code]],Locaties[[#All],[Code]:[Postcode]],5,FALSE)</f>
        <v>2726 BL</v>
      </c>
      <c r="E516" s="435" t="str">
        <f>VLOOKUP(Ruimtestaat[[#This Row],[Code]],Locaties[#All],6,FALSE)</f>
        <v>Zoetermeer</v>
      </c>
      <c r="F516" s="450"/>
      <c r="G516" s="330" t="s">
        <v>1678</v>
      </c>
      <c r="H516" s="330" t="s">
        <v>1692</v>
      </c>
      <c r="I516" s="450" t="s">
        <v>1899</v>
      </c>
      <c r="J516" s="330">
        <v>20</v>
      </c>
      <c r="K516" s="450" t="str">
        <f>VLOOKUP(Ruimtestaat[[#This Row],[Ruimte code]],Ruimtegroepen[[#All],[Code]:[Ruimte omschrijving]],2,FALSE)</f>
        <v>Niet in Onderhoud</v>
      </c>
      <c r="L516" s="330" t="s">
        <v>101</v>
      </c>
      <c r="M516" s="437" t="s">
        <v>1816</v>
      </c>
      <c r="N516" s="439"/>
      <c r="O516" s="439">
        <v>45</v>
      </c>
      <c r="P516" s="439"/>
      <c r="Q516" s="439"/>
      <c r="R516" s="440">
        <f>VLOOKUP(Ruimtestaat[[#This Row],[Ruimte code]],Ruimtegroepen[],4,FALSE)</f>
        <v>0</v>
      </c>
      <c r="S516" s="434"/>
      <c r="T516" s="434"/>
      <c r="U516" s="453">
        <f>IF(S516&gt;0,IF(RIGHT(Ruimtestaat[[#This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16" s="434">
        <f>IF(U516&gt;0,VLOOKUP($J516,Ruimtegroepen[],3,FALSE)*VLOOKUP($L516,Vloersoorten[],3,FALSE)*VLOOKUP($T516,Frequenties[],3,FALSE)*VLOOKUP($A516,Locaties[],3,FALSE),0)</f>
        <v>0</v>
      </c>
      <c r="W516" s="434">
        <f>Ruimtestaat[[#This Row],[Uitvoeringen werkdagen]]*Ruimtestaat[[#This Row],[Oppervlak (netto)]]</f>
        <v>0</v>
      </c>
      <c r="X516" s="441">
        <f>IF(V516&gt;0,Ruimtestaat[[#This Row],[Prest. (m2 /jaar) werkdagen]]/Ruimtestaat[[#This Row],[Norm (m2/uur) werkdagen]],0)</f>
        <v>0</v>
      </c>
      <c r="Y516" s="442">
        <f>Ruimtestaat[[#This Row],[Uitvoeringen werkdagen]]*Ruimtestaat[[#This Row],[Gedeeltelijk]]</f>
        <v>0</v>
      </c>
      <c r="Z516" s="443">
        <f>IF(U516&gt;0,Ruimtestaat[[#This Row],[Prest. (m2 / jaar) werkdagen gedeeld]]/Ruimtestaat[[#This Row],[Norm (m2/uur) werkdagen]],0)</f>
        <v>0</v>
      </c>
      <c r="AA516" s="441">
        <f>Ruimtestaat[[#This Row],[uren / jaar werkdagen gedeeld]]*Tariefsopbouw!$E$35</f>
        <v>0</v>
      </c>
      <c r="AB516" s="441">
        <f>Ruimtestaat[[#This Row],[Uitvoeringen werkdagen]]*Ruimtestaat[[#This Row],[BSO]]</f>
        <v>0</v>
      </c>
      <c r="AC516" s="443">
        <f>IF(U516&gt;0,Ruimtestaat[[#This Row],[Prest. (m2 / jaar) werkdagen BSO]]/Ruimtestaat[[#This Row],[Norm (m2/uur) werkdagen]],0)</f>
        <v>0</v>
      </c>
      <c r="AD516" s="443">
        <f>Ruimtestaat[[#This Row],[uren / jaar werkdagen BSO]]*Tariefsopbouw!$E$35</f>
        <v>0</v>
      </c>
      <c r="AE516" s="444">
        <f>Ruimtestaat[[#This Row],[uren / jaar werkdagen]]*Tariefsopbouw!$E$35</f>
        <v>0</v>
      </c>
      <c r="AF516" s="454"/>
      <c r="AG516" s="455">
        <f>IF(Ruimtestaat[[#This Row],[Frequentie weekend]]&gt;0,VALUE(LEFT(AF516,1))*S516,0)</f>
        <v>0</v>
      </c>
      <c r="AH516" s="455">
        <f>IF($AG516&gt;0,VLOOKUP($J516,Ruimtegroepen[],3,FALSE)*VLOOKUP($L516,Vloersoorten[],3,FALSE)*VLOOKUP($AF516,Frequenties[],3,FALSE)*VLOOKUP(#REF!,Locaties[],3,FALSE),0)</f>
        <v>0</v>
      </c>
      <c r="AI516" s="434">
        <f>Ruimtestaat[[#This Row],[Uitvoeringen weekend]]*Ruimtestaat[[#This Row],[Oppervlak (netto)]]</f>
        <v>0</v>
      </c>
      <c r="AJ516" s="434">
        <f>IF(AH516&gt;0,Ruimtestaat[[#This Row],[Prest. (m2 /jaar) weekend]]/Ruimtestaat[[#This Row],[Norm (m2/uur) weekend]],0)</f>
        <v>0</v>
      </c>
      <c r="AK516" s="444">
        <f>Ruimtestaat[[#This Row],[uren / jaar weekend]]*Tariefsopbouw!$D$40</f>
        <v>0</v>
      </c>
      <c r="AL516" s="441">
        <f>Ruimtestaat[[#This Row],[Prest. (m2 /jaar) weekend]]+Ruimtestaat[[#This Row],[Prest. (m2 /jaar) werkdagen]]</f>
        <v>0</v>
      </c>
      <c r="AM516" s="441">
        <f>Ruimtestaat[[#This Row],[uren / jaar weekend]]+Ruimtestaat[[#This Row],[uren / jaar werkdagen]]</f>
        <v>0</v>
      </c>
      <c r="AN516" s="446">
        <f>Ruimtestaat[[#This Row],[kosten / jaar weekend]]+Ruimtestaat[[#This Row],[kosten / jaar werkdagen]]</f>
        <v>0</v>
      </c>
      <c r="AO516" s="446"/>
      <c r="AP516" s="446" t="str">
        <f>IF(Ruimtestaat[[#This Row],[Frequentie werkdagen]]="","",_xlfn.CONCAT(Ruimtestaat[[#This Row],[Ruimte code]],"-",Ruimtestaat[[#This Row],[Frequentie werkdagen]]," ",Ruimtestaat[[#This Row],[Vloer code]]))</f>
        <v/>
      </c>
      <c r="AQ516" s="448" t="str">
        <f>_xlfn.IFNA(VLOOKUP($AP516,Programma!$F$3:$G$1101,2,0),"")</f>
        <v/>
      </c>
      <c r="AR516" s="448" t="str">
        <f>_xlfn.IFNA(VLOOKUP($AP516,Programma!$F$3:$H$1101,3,0),"")</f>
        <v/>
      </c>
      <c r="AS516" s="448" t="str">
        <f>_xlfn.IFNA(VLOOKUP($AP516,Programma!$F$3:$I$1101,4,0),"")</f>
        <v/>
      </c>
      <c r="AT516" s="448" t="str">
        <f>_xlfn.IFNA(VLOOKUP($AP516,Programma!$F$3:$J$1101,5,0),"")</f>
        <v/>
      </c>
      <c r="AU516" s="448" t="str">
        <f>_xlfn.IFNA(VLOOKUP($AP516,Programma!$F$3:$K$1101,6,0),"")</f>
        <v/>
      </c>
      <c r="AV516" s="448" t="str">
        <f>_xlfn.IFNA(VLOOKUP($AP516,Programma!$F$3:$L$1101,7,0),"")</f>
        <v/>
      </c>
      <c r="AW516" s="448" t="str">
        <f>_xlfn.IFNA(VLOOKUP($AP516,Programma!$F$3:$M$1101,8,0),"")</f>
        <v/>
      </c>
      <c r="AX516" s="448" t="str">
        <f>_xlfn.IFNA(VLOOKUP($AP516,Programma!$F$3:$N$1101,9,0),"")</f>
        <v/>
      </c>
      <c r="AY516" s="448" t="str">
        <f>_xlfn.IFNA(VLOOKUP($AP516,Programma!$F$3:$O$1101,10,0),"")</f>
        <v/>
      </c>
      <c r="AZ516" s="448" t="str">
        <f>_xlfn.IFNA(VLOOKUP($AP516,Programma!$F$3:$P$1101,11,0),"")</f>
        <v/>
      </c>
      <c r="BA516" s="448" t="str">
        <f>_xlfn.IFNA(VLOOKUP($AP516,Programma!$F$3:$Q$1101,12,0),"")</f>
        <v/>
      </c>
      <c r="BB516" s="448" t="str">
        <f>_xlfn.IFNA(VLOOKUP($AP516,Programma!$F$3:$R$1101,13,0),"")</f>
        <v/>
      </c>
      <c r="BC516" s="448" t="str">
        <f>_xlfn.IFNA(VLOOKUP($AP516,Programma!$F$3:$S$1101,14,0),"")</f>
        <v/>
      </c>
      <c r="BD516" s="448" t="str">
        <f>_xlfn.IFNA(VLOOKUP($AP516,Programma!$F$3:$T$1101,15,0),"")</f>
        <v/>
      </c>
      <c r="BE516" s="448" t="str">
        <f>_xlfn.IFNA(VLOOKUP($AP516,Programma!$F$3:$U$1101,16,0),"")</f>
        <v/>
      </c>
      <c r="BF516" s="448" t="str">
        <f>_xlfn.IFNA(VLOOKUP($AP516,Programma!$F$3:$V$1101,17,0),"")</f>
        <v/>
      </c>
      <c r="BG516" s="448" t="str">
        <f>_xlfn.IFNA(VLOOKUP($AP516,Programma!$F$3:$W$1101,18,0),"")</f>
        <v/>
      </c>
      <c r="BH516" s="448" t="str">
        <f>_xlfn.IFNA(VLOOKUP($AP516,Programma!$F$3:$X$1101,19,0),"")</f>
        <v/>
      </c>
      <c r="BI516" s="448" t="str">
        <f>_xlfn.IFNA(VLOOKUP($AP516,Programma!$F$3:$Y$1101,20,0),"")</f>
        <v/>
      </c>
      <c r="BJ516" s="449"/>
      <c r="BK516" s="446" t="str">
        <f>IF(Ruimtestaat[[#This Row],[Frequentie weekend]]="","",_xlfn.CONCAT(Ruimtestaat[[#This Row],[Ruimte code]],"-",Ruimtestaat[[#This Row],[Frequentie weekend]]," ",Ruimtestaat[[#This Row],[Vloer code]]))</f>
        <v/>
      </c>
      <c r="BL516" s="448" t="str">
        <f>_xlfn.IFNA(VLOOKUP($BK516,Programma!$F$3:$G$1101,2,0),"")</f>
        <v/>
      </c>
      <c r="BM516" s="448" t="str">
        <f>_xlfn.IFNA(VLOOKUP($BK516,Programma!$F$3:$H$1101,3,0),"")</f>
        <v/>
      </c>
      <c r="BN516" s="448" t="str">
        <f>_xlfn.IFNA(VLOOKUP($BK516,Programma!$F$3:$I$1101,4,0),"")</f>
        <v/>
      </c>
      <c r="BO516" s="448" t="str">
        <f>_xlfn.IFNA(VLOOKUP($BK516,Programma!$F$3:$J$1101,5,0),"")</f>
        <v/>
      </c>
      <c r="BP516" s="448" t="str">
        <f>_xlfn.IFNA(VLOOKUP($BK516,Programma!$F$3:$K$1101,6,0),"")</f>
        <v/>
      </c>
      <c r="BQ516" s="448" t="str">
        <f>_xlfn.IFNA(VLOOKUP($BK516,Programma!$F$3:$L$1101,7,0),"")</f>
        <v/>
      </c>
      <c r="BR516" s="448" t="str">
        <f>_xlfn.IFNA(VLOOKUP($BK516,Programma!$F$3:$M$1101,8,0),"")</f>
        <v/>
      </c>
      <c r="BS516" s="448" t="str">
        <f>_xlfn.IFNA(VLOOKUP($BK516,Programma!$F$3:$N$1101,9,0),"")</f>
        <v/>
      </c>
      <c r="BT516" s="448" t="str">
        <f>_xlfn.IFNA(VLOOKUP($BK516,Programma!$F$3:$O$1101,10,0),"")</f>
        <v/>
      </c>
      <c r="BU516" s="448" t="str">
        <f>_xlfn.IFNA(VLOOKUP($BK516,Programma!$F$3:$P$1101,11,0),"")</f>
        <v/>
      </c>
      <c r="BV516" s="448" t="str">
        <f>_xlfn.IFNA(VLOOKUP($BK516,Programma!$F$3:$Q$1101,12,0),"")</f>
        <v/>
      </c>
      <c r="BW516" s="448" t="str">
        <f>_xlfn.IFNA(VLOOKUP($BK516,Programma!$F$3:$R$1101,13,0),"")</f>
        <v/>
      </c>
      <c r="BX516" s="448" t="str">
        <f>_xlfn.IFNA(VLOOKUP($BK516,Programma!$F$3:$S$1101,14,0),"")</f>
        <v/>
      </c>
      <c r="BY516" s="448" t="str">
        <f>_xlfn.IFNA(VLOOKUP($BK516,Programma!$F$3:$T$1101,15,0),"")</f>
        <v/>
      </c>
      <c r="BZ516" s="448" t="str">
        <f>_xlfn.IFNA(VLOOKUP($BK516,Programma!$F$3:$U$1101,16,0),"")</f>
        <v/>
      </c>
      <c r="CA516" s="448" t="str">
        <f>_xlfn.IFNA(VLOOKUP($BK516,Programma!$F$3:$V$1101,17,0),"")</f>
        <v/>
      </c>
      <c r="CB516" s="448" t="str">
        <f>_xlfn.IFNA(VLOOKUP($BK516,Programma!$F$3:$W$1101,18,0),"")</f>
        <v/>
      </c>
      <c r="CC516" s="448" t="str">
        <f>_xlfn.IFNA(VLOOKUP($BK516,Programma!$F$3:$X$1101,19,0),"")</f>
        <v/>
      </c>
      <c r="CD516" s="448" t="str">
        <f>_xlfn.IFNA(VLOOKUP($BK516,Programma!$F$3:$Y$1101,20,0),"")</f>
        <v/>
      </c>
    </row>
    <row r="517" spans="1:82" ht="15" customHeight="1">
      <c r="A517" s="327">
        <v>19</v>
      </c>
      <c r="B517" s="435" t="str">
        <f>VLOOKUP(Ruimtestaat[[#This Row],[Code]],Locaties[[Code]:[Locatie]],2,FALSE)</f>
        <v>IKC de Leerplaneet (vhKlimboom)</v>
      </c>
      <c r="C517" s="435" t="str">
        <f>VLOOKUP(Ruimtestaat[[#This Row],[Code]],Locaties[[#All],[Code]:[Adres]],4,FALSE)</f>
        <v>Nesciohove 105-107</v>
      </c>
      <c r="D517" s="435" t="str">
        <f>VLOOKUP(Ruimtestaat[[#This Row],[Code]],Locaties[[#All],[Code]:[Postcode]],5,FALSE)</f>
        <v>2726 BL</v>
      </c>
      <c r="E517" s="435" t="str">
        <f>VLOOKUP(Ruimtestaat[[#This Row],[Code]],Locaties[#All],6,FALSE)</f>
        <v>Zoetermeer</v>
      </c>
      <c r="F517" s="450"/>
      <c r="G517" s="330" t="s">
        <v>1678</v>
      </c>
      <c r="H517" s="330" t="s">
        <v>1693</v>
      </c>
      <c r="I517" s="450" t="s">
        <v>1898</v>
      </c>
      <c r="J517" s="330">
        <v>20</v>
      </c>
      <c r="K517" s="450" t="str">
        <f>VLOOKUP(Ruimtestaat[[#This Row],[Ruimte code]],Ruimtegroepen[[#All],[Code]:[Ruimte omschrijving]],2,FALSE)</f>
        <v>Niet in Onderhoud</v>
      </c>
      <c r="L517" s="330" t="s">
        <v>101</v>
      </c>
      <c r="M517" s="437" t="s">
        <v>1816</v>
      </c>
      <c r="N517" s="439"/>
      <c r="O517" s="439">
        <v>8</v>
      </c>
      <c r="P517" s="439"/>
      <c r="Q517" s="439"/>
      <c r="R517" s="440">
        <f>VLOOKUP(Ruimtestaat[[#This Row],[Ruimte code]],Ruimtegroepen[],4,FALSE)</f>
        <v>0</v>
      </c>
      <c r="S517" s="434"/>
      <c r="T517" s="434"/>
      <c r="U517" s="453">
        <f>IF(S517&gt;0,IF(RIGHT(Ruimtestaat[[#This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17" s="434">
        <f>IF(U517&gt;0,VLOOKUP($J517,Ruimtegroepen[],3,FALSE)*VLOOKUP($L517,Vloersoorten[],3,FALSE)*VLOOKUP($T517,Frequenties[],3,FALSE)*VLOOKUP($A517,Locaties[],3,FALSE),0)</f>
        <v>0</v>
      </c>
      <c r="W517" s="434">
        <f>Ruimtestaat[[#This Row],[Uitvoeringen werkdagen]]*Ruimtestaat[[#This Row],[Oppervlak (netto)]]</f>
        <v>0</v>
      </c>
      <c r="X517" s="441">
        <f>IF(V517&gt;0,Ruimtestaat[[#This Row],[Prest. (m2 /jaar) werkdagen]]/Ruimtestaat[[#This Row],[Norm (m2/uur) werkdagen]],0)</f>
        <v>0</v>
      </c>
      <c r="Y517" s="442">
        <f>Ruimtestaat[[#This Row],[Uitvoeringen werkdagen]]*Ruimtestaat[[#This Row],[Gedeeltelijk]]</f>
        <v>0</v>
      </c>
      <c r="Z517" s="443">
        <f>IF(U517&gt;0,Ruimtestaat[[#This Row],[Prest. (m2 / jaar) werkdagen gedeeld]]/Ruimtestaat[[#This Row],[Norm (m2/uur) werkdagen]],0)</f>
        <v>0</v>
      </c>
      <c r="AA517" s="441">
        <f>Ruimtestaat[[#This Row],[uren / jaar werkdagen gedeeld]]*Tariefsopbouw!$E$35</f>
        <v>0</v>
      </c>
      <c r="AB517" s="441">
        <f>Ruimtestaat[[#This Row],[Uitvoeringen werkdagen]]*Ruimtestaat[[#This Row],[BSO]]</f>
        <v>0</v>
      </c>
      <c r="AC517" s="443">
        <f>IF(U517&gt;0,Ruimtestaat[[#This Row],[Prest. (m2 / jaar) werkdagen BSO]]/Ruimtestaat[[#This Row],[Norm (m2/uur) werkdagen]],0)</f>
        <v>0</v>
      </c>
      <c r="AD517" s="443">
        <f>Ruimtestaat[[#This Row],[uren / jaar werkdagen BSO]]*Tariefsopbouw!$E$35</f>
        <v>0</v>
      </c>
      <c r="AE517" s="444">
        <f>Ruimtestaat[[#This Row],[uren / jaar werkdagen]]*Tariefsopbouw!$E$35</f>
        <v>0</v>
      </c>
      <c r="AF517" s="454"/>
      <c r="AG517" s="455">
        <f>IF(Ruimtestaat[[#This Row],[Frequentie weekend]]&gt;0,VALUE(LEFT(AF517,1))*S517,0)</f>
        <v>0</v>
      </c>
      <c r="AH517" s="455">
        <f>IF($AG517&gt;0,VLOOKUP($J517,Ruimtegroepen[],3,FALSE)*VLOOKUP($L517,Vloersoorten[],3,FALSE)*VLOOKUP($AF517,Frequenties[],3,FALSE)*VLOOKUP(#REF!,Locaties[],3,FALSE),0)</f>
        <v>0</v>
      </c>
      <c r="AI517" s="434">
        <f>Ruimtestaat[[#This Row],[Uitvoeringen weekend]]*Ruimtestaat[[#This Row],[Oppervlak (netto)]]</f>
        <v>0</v>
      </c>
      <c r="AJ517" s="434">
        <f>IF(AH517&gt;0,Ruimtestaat[[#This Row],[Prest. (m2 /jaar) weekend]]/Ruimtestaat[[#This Row],[Norm (m2/uur) weekend]],0)</f>
        <v>0</v>
      </c>
      <c r="AK517" s="444">
        <f>Ruimtestaat[[#This Row],[uren / jaar weekend]]*Tariefsopbouw!$D$40</f>
        <v>0</v>
      </c>
      <c r="AL517" s="441">
        <f>Ruimtestaat[[#This Row],[Prest. (m2 /jaar) weekend]]+Ruimtestaat[[#This Row],[Prest. (m2 /jaar) werkdagen]]</f>
        <v>0</v>
      </c>
      <c r="AM517" s="441">
        <f>Ruimtestaat[[#This Row],[uren / jaar weekend]]+Ruimtestaat[[#This Row],[uren / jaar werkdagen]]</f>
        <v>0</v>
      </c>
      <c r="AN517" s="446">
        <f>Ruimtestaat[[#This Row],[kosten / jaar weekend]]+Ruimtestaat[[#This Row],[kosten / jaar werkdagen]]</f>
        <v>0</v>
      </c>
      <c r="AO517" s="446"/>
      <c r="AP517" s="446" t="str">
        <f>IF(Ruimtestaat[[#This Row],[Frequentie werkdagen]]="","",_xlfn.CONCAT(Ruimtestaat[[#This Row],[Ruimte code]],"-",Ruimtestaat[[#This Row],[Frequentie werkdagen]]," ",Ruimtestaat[[#This Row],[Vloer code]]))</f>
        <v/>
      </c>
      <c r="AQ517" s="448" t="str">
        <f>_xlfn.IFNA(VLOOKUP($AP517,Programma!$F$3:$G$1101,2,0),"")</f>
        <v/>
      </c>
      <c r="AR517" s="448" t="str">
        <f>_xlfn.IFNA(VLOOKUP($AP517,Programma!$F$3:$H$1101,3,0),"")</f>
        <v/>
      </c>
      <c r="AS517" s="448" t="str">
        <f>_xlfn.IFNA(VLOOKUP($AP517,Programma!$F$3:$I$1101,4,0),"")</f>
        <v/>
      </c>
      <c r="AT517" s="448" t="str">
        <f>_xlfn.IFNA(VLOOKUP($AP517,Programma!$F$3:$J$1101,5,0),"")</f>
        <v/>
      </c>
      <c r="AU517" s="448" t="str">
        <f>_xlfn.IFNA(VLOOKUP($AP517,Programma!$F$3:$K$1101,6,0),"")</f>
        <v/>
      </c>
      <c r="AV517" s="448" t="str">
        <f>_xlfn.IFNA(VLOOKUP($AP517,Programma!$F$3:$L$1101,7,0),"")</f>
        <v/>
      </c>
      <c r="AW517" s="448" t="str">
        <f>_xlfn.IFNA(VLOOKUP($AP517,Programma!$F$3:$M$1101,8,0),"")</f>
        <v/>
      </c>
      <c r="AX517" s="448" t="str">
        <f>_xlfn.IFNA(VLOOKUP($AP517,Programma!$F$3:$N$1101,9,0),"")</f>
        <v/>
      </c>
      <c r="AY517" s="448" t="str">
        <f>_xlfn.IFNA(VLOOKUP($AP517,Programma!$F$3:$O$1101,10,0),"")</f>
        <v/>
      </c>
      <c r="AZ517" s="448" t="str">
        <f>_xlfn.IFNA(VLOOKUP($AP517,Programma!$F$3:$P$1101,11,0),"")</f>
        <v/>
      </c>
      <c r="BA517" s="448" t="str">
        <f>_xlfn.IFNA(VLOOKUP($AP517,Programma!$F$3:$Q$1101,12,0),"")</f>
        <v/>
      </c>
      <c r="BB517" s="448" t="str">
        <f>_xlfn.IFNA(VLOOKUP($AP517,Programma!$F$3:$R$1101,13,0),"")</f>
        <v/>
      </c>
      <c r="BC517" s="448" t="str">
        <f>_xlfn.IFNA(VLOOKUP($AP517,Programma!$F$3:$S$1101,14,0),"")</f>
        <v/>
      </c>
      <c r="BD517" s="448" t="str">
        <f>_xlfn.IFNA(VLOOKUP($AP517,Programma!$F$3:$T$1101,15,0),"")</f>
        <v/>
      </c>
      <c r="BE517" s="448" t="str">
        <f>_xlfn.IFNA(VLOOKUP($AP517,Programma!$F$3:$U$1101,16,0),"")</f>
        <v/>
      </c>
      <c r="BF517" s="448" t="str">
        <f>_xlfn.IFNA(VLOOKUP($AP517,Programma!$F$3:$V$1101,17,0),"")</f>
        <v/>
      </c>
      <c r="BG517" s="448" t="str">
        <f>_xlfn.IFNA(VLOOKUP($AP517,Programma!$F$3:$W$1101,18,0),"")</f>
        <v/>
      </c>
      <c r="BH517" s="448" t="str">
        <f>_xlfn.IFNA(VLOOKUP($AP517,Programma!$F$3:$X$1101,19,0),"")</f>
        <v/>
      </c>
      <c r="BI517" s="448" t="str">
        <f>_xlfn.IFNA(VLOOKUP($AP517,Programma!$F$3:$Y$1101,20,0),"")</f>
        <v/>
      </c>
      <c r="BJ517" s="449"/>
      <c r="BK517" s="446" t="str">
        <f>IF(Ruimtestaat[[#This Row],[Frequentie weekend]]="","",_xlfn.CONCAT(Ruimtestaat[[#This Row],[Ruimte code]],"-",Ruimtestaat[[#This Row],[Frequentie weekend]]," ",Ruimtestaat[[#This Row],[Vloer code]]))</f>
        <v/>
      </c>
      <c r="BL517" s="448" t="str">
        <f>_xlfn.IFNA(VLOOKUP($BK517,Programma!$F$3:$G$1101,2,0),"")</f>
        <v/>
      </c>
      <c r="BM517" s="448" t="str">
        <f>_xlfn.IFNA(VLOOKUP($BK517,Programma!$F$3:$H$1101,3,0),"")</f>
        <v/>
      </c>
      <c r="BN517" s="448" t="str">
        <f>_xlfn.IFNA(VLOOKUP($BK517,Programma!$F$3:$I$1101,4,0),"")</f>
        <v/>
      </c>
      <c r="BO517" s="448" t="str">
        <f>_xlfn.IFNA(VLOOKUP($BK517,Programma!$F$3:$J$1101,5,0),"")</f>
        <v/>
      </c>
      <c r="BP517" s="448" t="str">
        <f>_xlfn.IFNA(VLOOKUP($BK517,Programma!$F$3:$K$1101,6,0),"")</f>
        <v/>
      </c>
      <c r="BQ517" s="448" t="str">
        <f>_xlfn.IFNA(VLOOKUP($BK517,Programma!$F$3:$L$1101,7,0),"")</f>
        <v/>
      </c>
      <c r="BR517" s="448" t="str">
        <f>_xlfn.IFNA(VLOOKUP($BK517,Programma!$F$3:$M$1101,8,0),"")</f>
        <v/>
      </c>
      <c r="BS517" s="448" t="str">
        <f>_xlfn.IFNA(VLOOKUP($BK517,Programma!$F$3:$N$1101,9,0),"")</f>
        <v/>
      </c>
      <c r="BT517" s="448" t="str">
        <f>_xlfn.IFNA(VLOOKUP($BK517,Programma!$F$3:$O$1101,10,0),"")</f>
        <v/>
      </c>
      <c r="BU517" s="448" t="str">
        <f>_xlfn.IFNA(VLOOKUP($BK517,Programma!$F$3:$P$1101,11,0),"")</f>
        <v/>
      </c>
      <c r="BV517" s="448" t="str">
        <f>_xlfn.IFNA(VLOOKUP($BK517,Programma!$F$3:$Q$1101,12,0),"")</f>
        <v/>
      </c>
      <c r="BW517" s="448" t="str">
        <f>_xlfn.IFNA(VLOOKUP($BK517,Programma!$F$3:$R$1101,13,0),"")</f>
        <v/>
      </c>
      <c r="BX517" s="448" t="str">
        <f>_xlfn.IFNA(VLOOKUP($BK517,Programma!$F$3:$S$1101,14,0),"")</f>
        <v/>
      </c>
      <c r="BY517" s="448" t="str">
        <f>_xlfn.IFNA(VLOOKUP($BK517,Programma!$F$3:$T$1101,15,0),"")</f>
        <v/>
      </c>
      <c r="BZ517" s="448" t="str">
        <f>_xlfn.IFNA(VLOOKUP($BK517,Programma!$F$3:$U$1101,16,0),"")</f>
        <v/>
      </c>
      <c r="CA517" s="448" t="str">
        <f>_xlfn.IFNA(VLOOKUP($BK517,Programma!$F$3:$V$1101,17,0),"")</f>
        <v/>
      </c>
      <c r="CB517" s="448" t="str">
        <f>_xlfn.IFNA(VLOOKUP($BK517,Programma!$F$3:$W$1101,18,0),"")</f>
        <v/>
      </c>
      <c r="CC517" s="448" t="str">
        <f>_xlfn.IFNA(VLOOKUP($BK517,Programma!$F$3:$X$1101,19,0),"")</f>
        <v/>
      </c>
      <c r="CD517" s="448" t="str">
        <f>_xlfn.IFNA(VLOOKUP($BK517,Programma!$F$3:$Y$1101,20,0),"")</f>
        <v/>
      </c>
    </row>
    <row r="518" spans="1:82" ht="15" customHeight="1">
      <c r="A518" s="327">
        <v>19</v>
      </c>
      <c r="B518" s="435" t="str">
        <f>VLOOKUP(Ruimtestaat[[#This Row],[Code]],Locaties[[Code]:[Locatie]],2,FALSE)</f>
        <v>IKC de Leerplaneet (vhKlimboom)</v>
      </c>
      <c r="C518" s="435" t="str">
        <f>VLOOKUP(Ruimtestaat[[#This Row],[Code]],Locaties[[#All],[Code]:[Adres]],4,FALSE)</f>
        <v>Nesciohove 105-107</v>
      </c>
      <c r="D518" s="435" t="str">
        <f>VLOOKUP(Ruimtestaat[[#This Row],[Code]],Locaties[[#All],[Code]:[Postcode]],5,FALSE)</f>
        <v>2726 BL</v>
      </c>
      <c r="E518" s="435" t="str">
        <f>VLOOKUP(Ruimtestaat[[#This Row],[Code]],Locaties[#All],6,FALSE)</f>
        <v>Zoetermeer</v>
      </c>
      <c r="F518" s="450"/>
      <c r="G518" s="330" t="s">
        <v>1678</v>
      </c>
      <c r="H518" s="330" t="s">
        <v>1699</v>
      </c>
      <c r="I518" s="450" t="s">
        <v>1726</v>
      </c>
      <c r="J518" s="330">
        <v>16</v>
      </c>
      <c r="K518" s="450" t="str">
        <f>VLOOKUP(Ruimtestaat[[#This Row],[Ruimte code]],Ruimtegroepen[[#All],[Code]:[Ruimte omschrijving]],2,FALSE)</f>
        <v>Leslokalen</v>
      </c>
      <c r="L518" s="330" t="s">
        <v>101</v>
      </c>
      <c r="M518" s="437" t="s">
        <v>1816</v>
      </c>
      <c r="N518" s="439">
        <v>84.1</v>
      </c>
      <c r="O518" s="439"/>
      <c r="P518" s="439"/>
      <c r="Q518" s="439"/>
      <c r="R518" s="440" t="str">
        <f>VLOOKUP(Ruimtestaat[[#This Row],[Ruimte code]],Ruimtegroepen[],4,FALSE)</f>
        <v>Le</v>
      </c>
      <c r="S518" s="434">
        <v>40</v>
      </c>
      <c r="T518" s="434" t="s">
        <v>2</v>
      </c>
      <c r="U518" s="453">
        <f>IF(S518&gt;0,IF(RIGHT(Ruimtestaat[[#This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8" s="434">
        <f>IF(U518&gt;0,VLOOKUP($J518,Ruimtegroepen[],3,FALSE)*VLOOKUP($L518,Vloersoorten[],3,FALSE)*VLOOKUP($T518,Frequenties[],3,FALSE)*VLOOKUP($A518,Locaties[],3,FALSE),0)</f>
        <v>0</v>
      </c>
      <c r="W518" s="434">
        <f>Ruimtestaat[[#This Row],[Uitvoeringen werkdagen]]*Ruimtestaat[[#This Row],[Oppervlak (netto)]]</f>
        <v>16820</v>
      </c>
      <c r="X518" s="441">
        <f>IF(V518&gt;0,Ruimtestaat[[#This Row],[Prest. (m2 /jaar) werkdagen]]/Ruimtestaat[[#This Row],[Norm (m2/uur) werkdagen]],0)</f>
        <v>0</v>
      </c>
      <c r="Y518" s="442">
        <f>Ruimtestaat[[#This Row],[Uitvoeringen werkdagen]]*Ruimtestaat[[#This Row],[Gedeeltelijk]]</f>
        <v>0</v>
      </c>
      <c r="Z518" s="443" t="e">
        <f>IF(U518&gt;0,Ruimtestaat[[#This Row],[Prest. (m2 / jaar) werkdagen gedeeld]]/Ruimtestaat[[#This Row],[Norm (m2/uur) werkdagen]],0)</f>
        <v>#DIV/0!</v>
      </c>
      <c r="AA518" s="441" t="e">
        <f>Ruimtestaat[[#This Row],[uren / jaar werkdagen gedeeld]]*Tariefsopbouw!$E$35</f>
        <v>#DIV/0!</v>
      </c>
      <c r="AB518" s="441">
        <f>Ruimtestaat[[#This Row],[Uitvoeringen werkdagen]]*Ruimtestaat[[#This Row],[BSO]]</f>
        <v>0</v>
      </c>
      <c r="AC518" s="443" t="e">
        <f>IF(U518&gt;0,Ruimtestaat[[#This Row],[Prest. (m2 / jaar) werkdagen BSO]]/Ruimtestaat[[#This Row],[Norm (m2/uur) werkdagen]],0)</f>
        <v>#DIV/0!</v>
      </c>
      <c r="AD518" s="443" t="e">
        <f>Ruimtestaat[[#This Row],[uren / jaar werkdagen BSO]]*Tariefsopbouw!$E$35</f>
        <v>#DIV/0!</v>
      </c>
      <c r="AE518" s="444">
        <f>Ruimtestaat[[#This Row],[uren / jaar werkdagen]]*Tariefsopbouw!$E$35</f>
        <v>0</v>
      </c>
      <c r="AF518" s="454"/>
      <c r="AG518" s="455">
        <f>IF(Ruimtestaat[[#This Row],[Frequentie weekend]]&gt;0,VALUE(LEFT(AF518,1))*S518,0)</f>
        <v>0</v>
      </c>
      <c r="AH518" s="455">
        <f>IF($AG518&gt;0,VLOOKUP($J518,Ruimtegroepen[],3,FALSE)*VLOOKUP($L518,Vloersoorten[],3,FALSE)*VLOOKUP($AF518,Frequenties[],3,FALSE)*VLOOKUP(#REF!,Locaties[],3,FALSE),0)</f>
        <v>0</v>
      </c>
      <c r="AI518" s="434">
        <f>Ruimtestaat[[#This Row],[Uitvoeringen weekend]]*Ruimtestaat[[#This Row],[Oppervlak (netto)]]</f>
        <v>0</v>
      </c>
      <c r="AJ518" s="434">
        <f>IF(AH518&gt;0,Ruimtestaat[[#This Row],[Prest. (m2 /jaar) weekend]]/Ruimtestaat[[#This Row],[Norm (m2/uur) weekend]],0)</f>
        <v>0</v>
      </c>
      <c r="AK518" s="444">
        <f>Ruimtestaat[[#This Row],[uren / jaar weekend]]*Tariefsopbouw!$D$40</f>
        <v>0</v>
      </c>
      <c r="AL518" s="441">
        <f>Ruimtestaat[[#This Row],[Prest. (m2 /jaar) weekend]]+Ruimtestaat[[#This Row],[Prest. (m2 /jaar) werkdagen]]</f>
        <v>16820</v>
      </c>
      <c r="AM518" s="441">
        <f>Ruimtestaat[[#This Row],[uren / jaar weekend]]+Ruimtestaat[[#This Row],[uren / jaar werkdagen]]</f>
        <v>0</v>
      </c>
      <c r="AN518" s="446">
        <f>Ruimtestaat[[#This Row],[kosten / jaar weekend]]+Ruimtestaat[[#This Row],[kosten / jaar werkdagen]]</f>
        <v>0</v>
      </c>
      <c r="AO518" s="446"/>
      <c r="AP518" s="446" t="str">
        <f>IF(Ruimtestaat[[#This Row],[Frequentie werkdagen]]="","",_xlfn.CONCAT(Ruimtestaat[[#This Row],[Ruimte code]],"-",Ruimtestaat[[#This Row],[Frequentie werkdagen]]," ",Ruimtestaat[[#This Row],[Vloer code]]))</f>
        <v>16-5w S</v>
      </c>
      <c r="AQ518" s="448" t="str">
        <f>_xlfn.IFNA(VLOOKUP($AP518,Programma!$F$3:$G$1101,2,0),"")</f>
        <v>_</v>
      </c>
      <c r="AR518" s="448" t="str">
        <f>_xlfn.IFNA(VLOOKUP($AP518,Programma!$F$3:$H$1101,3,0),"")</f>
        <v>_</v>
      </c>
      <c r="AS518" s="448" t="str">
        <f>_xlfn.IFNA(VLOOKUP($AP518,Programma!$F$3:$I$1101,4,0),"")</f>
        <v>4w</v>
      </c>
      <c r="AT518" s="448" t="str">
        <f>_xlfn.IFNA(VLOOKUP($AP518,Programma!$F$3:$J$1101,5,0),"")</f>
        <v>1w</v>
      </c>
      <c r="AU518" s="448" t="str">
        <f>_xlfn.IFNA(VLOOKUP($AP518,Programma!$F$3:$K$1101,6,0),"")</f>
        <v>1m</v>
      </c>
      <c r="AV518" s="448" t="str">
        <f>_xlfn.IFNA(VLOOKUP($AP518,Programma!$F$3:$L$1101,7,0),"")</f>
        <v>_</v>
      </c>
      <c r="AW518" s="448" t="str">
        <f>_xlfn.IFNA(VLOOKUP($AP518,Programma!$F$3:$M$1101,8,0),"")</f>
        <v>_</v>
      </c>
      <c r="AX518" s="448" t="str">
        <f>_xlfn.IFNA(VLOOKUP($AP518,Programma!$F$3:$N$1101,9,0),"")</f>
        <v>_</v>
      </c>
      <c r="AY518" s="448" t="str">
        <f>_xlfn.IFNA(VLOOKUP($AP518,Programma!$F$3:$O$1101,10,0),"")</f>
        <v>5w</v>
      </c>
      <c r="AZ518" s="448" t="str">
        <f>_xlfn.IFNA(VLOOKUP($AP518,Programma!$F$3:$P$1101,11,0),"")</f>
        <v>5w</v>
      </c>
      <c r="BA518" s="448" t="str">
        <f>_xlfn.IFNA(VLOOKUP($AP518,Programma!$F$3:$Q$1101,12,0),"")</f>
        <v>1w</v>
      </c>
      <c r="BB518" s="448" t="str">
        <f>_xlfn.IFNA(VLOOKUP($AP518,Programma!$F$3:$R$1101,13,0),"")</f>
        <v>1w</v>
      </c>
      <c r="BC518" s="448" t="str">
        <f>_xlfn.IFNA(VLOOKUP($AP518,Programma!$F$3:$S$1101,14,0),"")</f>
        <v>1m</v>
      </c>
      <c r="BD518" s="448" t="str">
        <f>_xlfn.IFNA(VLOOKUP($AP518,Programma!$F$3:$T$1101,15,0),"")</f>
        <v>2j</v>
      </c>
      <c r="BE518" s="448" t="str">
        <f>_xlfn.IFNA(VLOOKUP($AP518,Programma!$F$3:$U$1101,16,0),"")</f>
        <v>1j</v>
      </c>
      <c r="BF518" s="448" t="str">
        <f>_xlfn.IFNA(VLOOKUP($AP518,Programma!$F$3:$V$1101,17,0),"")</f>
        <v>_</v>
      </c>
      <c r="BG518" s="448" t="str">
        <f>_xlfn.IFNA(VLOOKUP($AP518,Programma!$F$3:$W$1101,18,0),"")</f>
        <v>_</v>
      </c>
      <c r="BH518" s="448" t="str">
        <f>_xlfn.IFNA(VLOOKUP($AP518,Programma!$F$3:$X$1101,19,0),"")</f>
        <v>_</v>
      </c>
      <c r="BI518" s="448" t="str">
        <f>_xlfn.IFNA(VLOOKUP($AP518,Programma!$F$3:$Y$1101,20,0),"")</f>
        <v>_</v>
      </c>
      <c r="BJ518" s="449"/>
      <c r="BK518" s="446" t="str">
        <f>IF(Ruimtestaat[[#This Row],[Frequentie weekend]]="","",_xlfn.CONCAT(Ruimtestaat[[#This Row],[Ruimte code]],"-",Ruimtestaat[[#This Row],[Frequentie weekend]]," ",Ruimtestaat[[#This Row],[Vloer code]]))</f>
        <v/>
      </c>
      <c r="BL518" s="448" t="str">
        <f>_xlfn.IFNA(VLOOKUP($BK518,Programma!$F$3:$G$1101,2,0),"")</f>
        <v/>
      </c>
      <c r="BM518" s="448" t="str">
        <f>_xlfn.IFNA(VLOOKUP($BK518,Programma!$F$3:$H$1101,3,0),"")</f>
        <v/>
      </c>
      <c r="BN518" s="448" t="str">
        <f>_xlfn.IFNA(VLOOKUP($BK518,Programma!$F$3:$I$1101,4,0),"")</f>
        <v/>
      </c>
      <c r="BO518" s="448" t="str">
        <f>_xlfn.IFNA(VLOOKUP($BK518,Programma!$F$3:$J$1101,5,0),"")</f>
        <v/>
      </c>
      <c r="BP518" s="448" t="str">
        <f>_xlfn.IFNA(VLOOKUP($BK518,Programma!$F$3:$K$1101,6,0),"")</f>
        <v/>
      </c>
      <c r="BQ518" s="448" t="str">
        <f>_xlfn.IFNA(VLOOKUP($BK518,Programma!$F$3:$L$1101,7,0),"")</f>
        <v/>
      </c>
      <c r="BR518" s="448" t="str">
        <f>_xlfn.IFNA(VLOOKUP($BK518,Programma!$F$3:$M$1101,8,0),"")</f>
        <v/>
      </c>
      <c r="BS518" s="448" t="str">
        <f>_xlfn.IFNA(VLOOKUP($BK518,Programma!$F$3:$N$1101,9,0),"")</f>
        <v/>
      </c>
      <c r="BT518" s="448" t="str">
        <f>_xlfn.IFNA(VLOOKUP($BK518,Programma!$F$3:$O$1101,10,0),"")</f>
        <v/>
      </c>
      <c r="BU518" s="448" t="str">
        <f>_xlfn.IFNA(VLOOKUP($BK518,Programma!$F$3:$P$1101,11,0),"")</f>
        <v/>
      </c>
      <c r="BV518" s="448" t="str">
        <f>_xlfn.IFNA(VLOOKUP($BK518,Programma!$F$3:$Q$1101,12,0),"")</f>
        <v/>
      </c>
      <c r="BW518" s="448" t="str">
        <f>_xlfn.IFNA(VLOOKUP($BK518,Programma!$F$3:$R$1101,13,0),"")</f>
        <v/>
      </c>
      <c r="BX518" s="448" t="str">
        <f>_xlfn.IFNA(VLOOKUP($BK518,Programma!$F$3:$S$1101,14,0),"")</f>
        <v/>
      </c>
      <c r="BY518" s="448" t="str">
        <f>_xlfn.IFNA(VLOOKUP($BK518,Programma!$F$3:$T$1101,15,0),"")</f>
        <v/>
      </c>
      <c r="BZ518" s="448" t="str">
        <f>_xlfn.IFNA(VLOOKUP($BK518,Programma!$F$3:$U$1101,16,0),"")</f>
        <v/>
      </c>
      <c r="CA518" s="448" t="str">
        <f>_xlfn.IFNA(VLOOKUP($BK518,Programma!$F$3:$V$1101,17,0),"")</f>
        <v/>
      </c>
      <c r="CB518" s="448" t="str">
        <f>_xlfn.IFNA(VLOOKUP($BK518,Programma!$F$3:$W$1101,18,0),"")</f>
        <v/>
      </c>
      <c r="CC518" s="448" t="str">
        <f>_xlfn.IFNA(VLOOKUP($BK518,Programma!$F$3:$X$1101,19,0),"")</f>
        <v/>
      </c>
      <c r="CD518" s="448" t="str">
        <f>_xlfn.IFNA(VLOOKUP($BK518,Programma!$F$3:$Y$1101,20,0),"")</f>
        <v/>
      </c>
    </row>
    <row r="519" spans="1:82" ht="15" customHeight="1">
      <c r="A519" s="327">
        <v>19</v>
      </c>
      <c r="B519" s="435" t="str">
        <f>VLOOKUP(Ruimtestaat[[#This Row],[Code]],Locaties[[Code]:[Locatie]],2,FALSE)</f>
        <v>IKC de Leerplaneet (vhKlimboom)</v>
      </c>
      <c r="C519" s="435" t="str">
        <f>VLOOKUP(Ruimtestaat[[#This Row],[Code]],Locaties[[#All],[Code]:[Adres]],4,FALSE)</f>
        <v>Nesciohove 105-107</v>
      </c>
      <c r="D519" s="435" t="str">
        <f>VLOOKUP(Ruimtestaat[[#This Row],[Code]],Locaties[[#All],[Code]:[Postcode]],5,FALSE)</f>
        <v>2726 BL</v>
      </c>
      <c r="E519" s="435" t="str">
        <f>VLOOKUP(Ruimtestaat[[#This Row],[Code]],Locaties[#All],6,FALSE)</f>
        <v>Zoetermeer</v>
      </c>
      <c r="F519" s="450"/>
      <c r="G519" s="330" t="s">
        <v>1678</v>
      </c>
      <c r="H519" s="330" t="s">
        <v>1762</v>
      </c>
      <c r="I519" s="450" t="s">
        <v>1900</v>
      </c>
      <c r="J519" s="330">
        <v>17</v>
      </c>
      <c r="K519" s="450" t="str">
        <f>VLOOKUP(Ruimtestaat[[#This Row],[Ruimte code]],Ruimtegroepen[[#All],[Code]:[Ruimte omschrijving]],2,FALSE)</f>
        <v>Toestelberging</v>
      </c>
      <c r="L519" s="330" t="s">
        <v>101</v>
      </c>
      <c r="M519" s="437" t="s">
        <v>1816</v>
      </c>
      <c r="N519" s="439">
        <v>8.1</v>
      </c>
      <c r="O519" s="439"/>
      <c r="P519" s="439"/>
      <c r="Q519" s="439"/>
      <c r="R519" s="440" t="str">
        <f>VLOOKUP(Ruimtestaat[[#This Row],[Ruimte code]],Ruimtegroepen[],4,FALSE)</f>
        <v>Ve</v>
      </c>
      <c r="S519" s="434">
        <v>40</v>
      </c>
      <c r="T519" s="434" t="s">
        <v>15</v>
      </c>
      <c r="U519" s="453">
        <f>IF(S519&gt;0,IF(RIGHT(Ruimtestaat[[#This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519" s="434">
        <f>IF(U519&gt;0,VLOOKUP($J519,Ruimtegroepen[],3,FALSE)*VLOOKUP($L519,Vloersoorten[],3,FALSE)*VLOOKUP($T519,Frequenties[],3,FALSE)*VLOOKUP($A519,Locaties[],3,FALSE),0)</f>
        <v>0</v>
      </c>
      <c r="W519" s="434">
        <f>Ruimtestaat[[#This Row],[Uitvoeringen werkdagen]]*Ruimtestaat[[#This Row],[Oppervlak (netto)]]</f>
        <v>324</v>
      </c>
      <c r="X519" s="441">
        <f>IF(V519&gt;0,Ruimtestaat[[#This Row],[Prest. (m2 /jaar) werkdagen]]/Ruimtestaat[[#This Row],[Norm (m2/uur) werkdagen]],0)</f>
        <v>0</v>
      </c>
      <c r="Y519" s="442">
        <f>Ruimtestaat[[#This Row],[Uitvoeringen werkdagen]]*Ruimtestaat[[#This Row],[Gedeeltelijk]]</f>
        <v>0</v>
      </c>
      <c r="Z519" s="443" t="e">
        <f>IF(U519&gt;0,Ruimtestaat[[#This Row],[Prest. (m2 / jaar) werkdagen gedeeld]]/Ruimtestaat[[#This Row],[Norm (m2/uur) werkdagen]],0)</f>
        <v>#DIV/0!</v>
      </c>
      <c r="AA519" s="441" t="e">
        <f>Ruimtestaat[[#This Row],[uren / jaar werkdagen gedeeld]]*Tariefsopbouw!$E$35</f>
        <v>#DIV/0!</v>
      </c>
      <c r="AB519" s="441">
        <f>Ruimtestaat[[#This Row],[Uitvoeringen werkdagen]]*Ruimtestaat[[#This Row],[BSO]]</f>
        <v>0</v>
      </c>
      <c r="AC519" s="443" t="e">
        <f>IF(U519&gt;0,Ruimtestaat[[#This Row],[Prest. (m2 / jaar) werkdagen BSO]]/Ruimtestaat[[#This Row],[Norm (m2/uur) werkdagen]],0)</f>
        <v>#DIV/0!</v>
      </c>
      <c r="AD519" s="443" t="e">
        <f>Ruimtestaat[[#This Row],[uren / jaar werkdagen BSO]]*Tariefsopbouw!$E$35</f>
        <v>#DIV/0!</v>
      </c>
      <c r="AE519" s="444">
        <f>Ruimtestaat[[#This Row],[uren / jaar werkdagen]]*Tariefsopbouw!$E$35</f>
        <v>0</v>
      </c>
      <c r="AF519" s="454"/>
      <c r="AG519" s="455">
        <f>IF(Ruimtestaat[[#This Row],[Frequentie weekend]]&gt;0,VALUE(LEFT(AF519,1))*S519,0)</f>
        <v>0</v>
      </c>
      <c r="AH519" s="455">
        <f>IF($AG519&gt;0,VLOOKUP($J519,Ruimtegroepen[],3,FALSE)*VLOOKUP($L519,Vloersoorten[],3,FALSE)*VLOOKUP($AF519,Frequenties[],3,FALSE)*VLOOKUP(#REF!,Locaties[],3,FALSE),0)</f>
        <v>0</v>
      </c>
      <c r="AI519" s="434">
        <f>Ruimtestaat[[#This Row],[Uitvoeringen weekend]]*Ruimtestaat[[#This Row],[Oppervlak (netto)]]</f>
        <v>0</v>
      </c>
      <c r="AJ519" s="434">
        <f>IF(AH519&gt;0,Ruimtestaat[[#This Row],[Prest. (m2 /jaar) weekend]]/Ruimtestaat[[#This Row],[Norm (m2/uur) weekend]],0)</f>
        <v>0</v>
      </c>
      <c r="AK519" s="444">
        <f>Ruimtestaat[[#This Row],[uren / jaar weekend]]*Tariefsopbouw!$D$40</f>
        <v>0</v>
      </c>
      <c r="AL519" s="441">
        <f>Ruimtestaat[[#This Row],[Prest. (m2 /jaar) weekend]]+Ruimtestaat[[#This Row],[Prest. (m2 /jaar) werkdagen]]</f>
        <v>324</v>
      </c>
      <c r="AM519" s="441">
        <f>Ruimtestaat[[#This Row],[uren / jaar weekend]]+Ruimtestaat[[#This Row],[uren / jaar werkdagen]]</f>
        <v>0</v>
      </c>
      <c r="AN519" s="446">
        <f>Ruimtestaat[[#This Row],[kosten / jaar weekend]]+Ruimtestaat[[#This Row],[kosten / jaar werkdagen]]</f>
        <v>0</v>
      </c>
      <c r="AO519" s="446"/>
      <c r="AP519" s="446" t="str">
        <f>IF(Ruimtestaat[[#This Row],[Frequentie werkdagen]]="","",_xlfn.CONCAT(Ruimtestaat[[#This Row],[Ruimte code]],"-",Ruimtestaat[[#This Row],[Frequentie werkdagen]]," ",Ruimtestaat[[#This Row],[Vloer code]]))</f>
        <v>17-1w S</v>
      </c>
      <c r="AQ519" s="448" t="str">
        <f>_xlfn.IFNA(VLOOKUP($AP519,Programma!$F$3:$G$1101,2,0),"")</f>
        <v>_</v>
      </c>
      <c r="AR519" s="448" t="str">
        <f>_xlfn.IFNA(VLOOKUP($AP519,Programma!$F$3:$H$1101,3,0),"")</f>
        <v>_</v>
      </c>
      <c r="AS519" s="448" t="str">
        <f>_xlfn.IFNA(VLOOKUP($AP519,Programma!$F$3:$I$1101,4,0),"")</f>
        <v>_</v>
      </c>
      <c r="AT519" s="448" t="str">
        <f>_xlfn.IFNA(VLOOKUP($AP519,Programma!$F$3:$J$1101,5,0),"")</f>
        <v>1w</v>
      </c>
      <c r="AU519" s="448" t="str">
        <f>_xlfn.IFNA(VLOOKUP($AP519,Programma!$F$3:$K$1101,6,0),"")</f>
        <v>4j</v>
      </c>
      <c r="AV519" s="448" t="str">
        <f>_xlfn.IFNA(VLOOKUP($AP519,Programma!$F$3:$L$1101,7,0),"")</f>
        <v>_</v>
      </c>
      <c r="AW519" s="448" t="str">
        <f>_xlfn.IFNA(VLOOKUP($AP519,Programma!$F$3:$M$1101,8,0),"")</f>
        <v>_</v>
      </c>
      <c r="AX519" s="448" t="str">
        <f>_xlfn.IFNA(VLOOKUP($AP519,Programma!$F$3:$N$1101,9,0),"")</f>
        <v>_</v>
      </c>
      <c r="AY519" s="448" t="str">
        <f>_xlfn.IFNA(VLOOKUP($AP519,Programma!$F$3:$O$1101,10,0),"")</f>
        <v>1w</v>
      </c>
      <c r="AZ519" s="448" t="str">
        <f>_xlfn.IFNA(VLOOKUP($AP519,Programma!$F$3:$P$1101,11,0),"")</f>
        <v>1w</v>
      </c>
      <c r="BA519" s="448" t="str">
        <f>_xlfn.IFNA(VLOOKUP($AP519,Programma!$F$3:$Q$1101,12,0),"")</f>
        <v>1w</v>
      </c>
      <c r="BB519" s="448" t="str">
        <f>_xlfn.IFNA(VLOOKUP($AP519,Programma!$F$3:$R$1101,13,0),"")</f>
        <v>1w</v>
      </c>
      <c r="BC519" s="448" t="str">
        <f>_xlfn.IFNA(VLOOKUP($AP519,Programma!$F$3:$S$1101,14,0),"")</f>
        <v>1m</v>
      </c>
      <c r="BD519" s="448" t="str">
        <f>_xlfn.IFNA(VLOOKUP($AP519,Programma!$F$3:$T$1101,15,0),"")</f>
        <v>2j</v>
      </c>
      <c r="BE519" s="448" t="str">
        <f>_xlfn.IFNA(VLOOKUP($AP519,Programma!$F$3:$U$1101,16,0),"")</f>
        <v>1j</v>
      </c>
      <c r="BF519" s="448" t="str">
        <f>_xlfn.IFNA(VLOOKUP($AP519,Programma!$F$3:$V$1101,17,0),"")</f>
        <v>_</v>
      </c>
      <c r="BG519" s="448" t="str">
        <f>_xlfn.IFNA(VLOOKUP($AP519,Programma!$F$3:$W$1101,18,0),"")</f>
        <v>_</v>
      </c>
      <c r="BH519" s="448" t="str">
        <f>_xlfn.IFNA(VLOOKUP($AP519,Programma!$F$3:$X$1101,19,0),"")</f>
        <v>_</v>
      </c>
      <c r="BI519" s="448" t="str">
        <f>_xlfn.IFNA(VLOOKUP($AP519,Programma!$F$3:$Y$1101,20,0),"")</f>
        <v>_</v>
      </c>
      <c r="BJ519" s="449"/>
      <c r="BK519" s="446" t="str">
        <f>IF(Ruimtestaat[[#This Row],[Frequentie weekend]]="","",_xlfn.CONCAT(Ruimtestaat[[#This Row],[Ruimte code]],"-",Ruimtestaat[[#This Row],[Frequentie weekend]]," ",Ruimtestaat[[#This Row],[Vloer code]]))</f>
        <v/>
      </c>
      <c r="BL519" s="448" t="str">
        <f>_xlfn.IFNA(VLOOKUP($BK519,Programma!$F$3:$G$1101,2,0),"")</f>
        <v/>
      </c>
      <c r="BM519" s="448" t="str">
        <f>_xlfn.IFNA(VLOOKUP($BK519,Programma!$F$3:$H$1101,3,0),"")</f>
        <v/>
      </c>
      <c r="BN519" s="448" t="str">
        <f>_xlfn.IFNA(VLOOKUP($BK519,Programma!$F$3:$I$1101,4,0),"")</f>
        <v/>
      </c>
      <c r="BO519" s="448" t="str">
        <f>_xlfn.IFNA(VLOOKUP($BK519,Programma!$F$3:$J$1101,5,0),"")</f>
        <v/>
      </c>
      <c r="BP519" s="448" t="str">
        <f>_xlfn.IFNA(VLOOKUP($BK519,Programma!$F$3:$K$1101,6,0),"")</f>
        <v/>
      </c>
      <c r="BQ519" s="448" t="str">
        <f>_xlfn.IFNA(VLOOKUP($BK519,Programma!$F$3:$L$1101,7,0),"")</f>
        <v/>
      </c>
      <c r="BR519" s="448" t="str">
        <f>_xlfn.IFNA(VLOOKUP($BK519,Programma!$F$3:$M$1101,8,0),"")</f>
        <v/>
      </c>
      <c r="BS519" s="448" t="str">
        <f>_xlfn.IFNA(VLOOKUP($BK519,Programma!$F$3:$N$1101,9,0),"")</f>
        <v/>
      </c>
      <c r="BT519" s="448" t="str">
        <f>_xlfn.IFNA(VLOOKUP($BK519,Programma!$F$3:$O$1101,10,0),"")</f>
        <v/>
      </c>
      <c r="BU519" s="448" t="str">
        <f>_xlfn.IFNA(VLOOKUP($BK519,Programma!$F$3:$P$1101,11,0),"")</f>
        <v/>
      </c>
      <c r="BV519" s="448" t="str">
        <f>_xlfn.IFNA(VLOOKUP($BK519,Programma!$F$3:$Q$1101,12,0),"")</f>
        <v/>
      </c>
      <c r="BW519" s="448" t="str">
        <f>_xlfn.IFNA(VLOOKUP($BK519,Programma!$F$3:$R$1101,13,0),"")</f>
        <v/>
      </c>
      <c r="BX519" s="448" t="str">
        <f>_xlfn.IFNA(VLOOKUP($BK519,Programma!$F$3:$S$1101,14,0),"")</f>
        <v/>
      </c>
      <c r="BY519" s="448" t="str">
        <f>_xlfn.IFNA(VLOOKUP($BK519,Programma!$F$3:$T$1101,15,0),"")</f>
        <v/>
      </c>
      <c r="BZ519" s="448" t="str">
        <f>_xlfn.IFNA(VLOOKUP($BK519,Programma!$F$3:$U$1101,16,0),"")</f>
        <v/>
      </c>
      <c r="CA519" s="448" t="str">
        <f>_xlfn.IFNA(VLOOKUP($BK519,Programma!$F$3:$V$1101,17,0),"")</f>
        <v/>
      </c>
      <c r="CB519" s="448" t="str">
        <f>_xlfn.IFNA(VLOOKUP($BK519,Programma!$F$3:$W$1101,18,0),"")</f>
        <v/>
      </c>
      <c r="CC519" s="448" t="str">
        <f>_xlfn.IFNA(VLOOKUP($BK519,Programma!$F$3:$X$1101,19,0),"")</f>
        <v/>
      </c>
      <c r="CD519" s="448" t="str">
        <f>_xlfn.IFNA(VLOOKUP($BK519,Programma!$F$3:$Y$1101,20,0),"")</f>
        <v/>
      </c>
    </row>
    <row r="520" spans="1:82" ht="15" customHeight="1">
      <c r="A520" s="327">
        <v>19</v>
      </c>
      <c r="B520" s="435" t="str">
        <f>VLOOKUP(Ruimtestaat[[#This Row],[Code]],Locaties[[Code]:[Locatie]],2,FALSE)</f>
        <v>IKC de Leerplaneet (vhKlimboom)</v>
      </c>
      <c r="C520" s="435" t="str">
        <f>VLOOKUP(Ruimtestaat[[#This Row],[Code]],Locaties[[#All],[Code]:[Adres]],4,FALSE)</f>
        <v>Nesciohove 105-107</v>
      </c>
      <c r="D520" s="435" t="str">
        <f>VLOOKUP(Ruimtestaat[[#This Row],[Code]],Locaties[[#All],[Code]:[Postcode]],5,FALSE)</f>
        <v>2726 BL</v>
      </c>
      <c r="E520" s="435" t="str">
        <f>VLOOKUP(Ruimtestaat[[#This Row],[Code]],Locaties[#All],6,FALSE)</f>
        <v>Zoetermeer</v>
      </c>
      <c r="F520" s="450"/>
      <c r="G520" s="330" t="s">
        <v>1678</v>
      </c>
      <c r="H520" s="330" t="s">
        <v>1763</v>
      </c>
      <c r="I520" s="450" t="s">
        <v>1895</v>
      </c>
      <c r="J520" s="330">
        <v>5</v>
      </c>
      <c r="K520" s="450" t="str">
        <f>VLOOKUP(Ruimtestaat[[#This Row],[Ruimte code]],Ruimtegroepen[[#All],[Code]:[Ruimte omschrijving]],2,FALSE)</f>
        <v>Sanitair</v>
      </c>
      <c r="L520" s="330" t="s">
        <v>101</v>
      </c>
      <c r="M520" s="437" t="s">
        <v>1816</v>
      </c>
      <c r="N520" s="439">
        <v>7.6</v>
      </c>
      <c r="O520" s="439"/>
      <c r="P520" s="439"/>
      <c r="Q520" s="439"/>
      <c r="R520" s="440" t="str">
        <f>VLOOKUP(Ruimtestaat[[#This Row],[Ruimte code]],Ruimtegroepen[],4,FALSE)</f>
        <v>Sa</v>
      </c>
      <c r="S520" s="434">
        <v>41</v>
      </c>
      <c r="T520" s="434" t="s">
        <v>2</v>
      </c>
      <c r="U520" s="453">
        <f>IF(S520&gt;0,IF(RIGHT(Ruimtestaat[[#This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20" s="434">
        <f>IF(U520&gt;0,VLOOKUP($J520,Ruimtegroepen[],3,FALSE)*VLOOKUP($L520,Vloersoorten[],3,FALSE)*VLOOKUP($T520,Frequenties[],3,FALSE)*VLOOKUP($A520,Locaties[],3,FALSE),0)</f>
        <v>0</v>
      </c>
      <c r="W520" s="434">
        <f>Ruimtestaat[[#This Row],[Uitvoeringen werkdagen]]*Ruimtestaat[[#This Row],[Oppervlak (netto)]]</f>
        <v>1558</v>
      </c>
      <c r="X520" s="441">
        <f>IF(V520&gt;0,Ruimtestaat[[#This Row],[Prest. (m2 /jaar) werkdagen]]/Ruimtestaat[[#This Row],[Norm (m2/uur) werkdagen]],0)</f>
        <v>0</v>
      </c>
      <c r="Y520" s="442">
        <f>Ruimtestaat[[#This Row],[Uitvoeringen werkdagen]]*Ruimtestaat[[#This Row],[Gedeeltelijk]]</f>
        <v>0</v>
      </c>
      <c r="Z520" s="443" t="e">
        <f>IF(U520&gt;0,Ruimtestaat[[#This Row],[Prest. (m2 / jaar) werkdagen gedeeld]]/Ruimtestaat[[#This Row],[Norm (m2/uur) werkdagen]],0)</f>
        <v>#DIV/0!</v>
      </c>
      <c r="AA520" s="441" t="e">
        <f>Ruimtestaat[[#This Row],[uren / jaar werkdagen gedeeld]]*Tariefsopbouw!$E$35</f>
        <v>#DIV/0!</v>
      </c>
      <c r="AB520" s="441">
        <f>Ruimtestaat[[#This Row],[Uitvoeringen werkdagen]]*Ruimtestaat[[#This Row],[BSO]]</f>
        <v>0</v>
      </c>
      <c r="AC520" s="443" t="e">
        <f>IF(U520&gt;0,Ruimtestaat[[#This Row],[Prest. (m2 / jaar) werkdagen BSO]]/Ruimtestaat[[#This Row],[Norm (m2/uur) werkdagen]],0)</f>
        <v>#DIV/0!</v>
      </c>
      <c r="AD520" s="443" t="e">
        <f>Ruimtestaat[[#This Row],[uren / jaar werkdagen BSO]]*Tariefsopbouw!$E$35</f>
        <v>#DIV/0!</v>
      </c>
      <c r="AE520" s="444">
        <f>Ruimtestaat[[#This Row],[uren / jaar werkdagen]]*Tariefsopbouw!$E$35</f>
        <v>0</v>
      </c>
      <c r="AF520" s="454"/>
      <c r="AG520" s="455">
        <f>IF(Ruimtestaat[[#This Row],[Frequentie weekend]]&gt;0,VALUE(LEFT(AF520,1))*S520,0)</f>
        <v>0</v>
      </c>
      <c r="AH520" s="455">
        <f>IF($AG520&gt;0,VLOOKUP($J520,Ruimtegroepen[],3,FALSE)*VLOOKUP($L520,Vloersoorten[],3,FALSE)*VLOOKUP($AF520,Frequenties[],3,FALSE)*VLOOKUP(#REF!,Locaties[],3,FALSE),0)</f>
        <v>0</v>
      </c>
      <c r="AI520" s="434">
        <f>Ruimtestaat[[#This Row],[Uitvoeringen weekend]]*Ruimtestaat[[#This Row],[Oppervlak (netto)]]</f>
        <v>0</v>
      </c>
      <c r="AJ520" s="434">
        <f>IF(AH520&gt;0,Ruimtestaat[[#This Row],[Prest. (m2 /jaar) weekend]]/Ruimtestaat[[#This Row],[Norm (m2/uur) weekend]],0)</f>
        <v>0</v>
      </c>
      <c r="AK520" s="444">
        <f>Ruimtestaat[[#This Row],[uren / jaar weekend]]*Tariefsopbouw!$D$40</f>
        <v>0</v>
      </c>
      <c r="AL520" s="441">
        <f>Ruimtestaat[[#This Row],[Prest. (m2 /jaar) weekend]]+Ruimtestaat[[#This Row],[Prest. (m2 /jaar) werkdagen]]</f>
        <v>1558</v>
      </c>
      <c r="AM520" s="441">
        <f>Ruimtestaat[[#This Row],[uren / jaar weekend]]+Ruimtestaat[[#This Row],[uren / jaar werkdagen]]</f>
        <v>0</v>
      </c>
      <c r="AN520" s="446">
        <f>Ruimtestaat[[#This Row],[kosten / jaar weekend]]+Ruimtestaat[[#This Row],[kosten / jaar werkdagen]]</f>
        <v>0</v>
      </c>
      <c r="AO520" s="446"/>
      <c r="AP520" s="446" t="str">
        <f>IF(Ruimtestaat[[#This Row],[Frequentie werkdagen]]="","",_xlfn.CONCAT(Ruimtestaat[[#This Row],[Ruimte code]],"-",Ruimtestaat[[#This Row],[Frequentie werkdagen]]," ",Ruimtestaat[[#This Row],[Vloer code]]))</f>
        <v>5-5w S</v>
      </c>
      <c r="AQ520" s="448" t="str">
        <f>_xlfn.IFNA(VLOOKUP($AP520,Programma!$F$3:$G$1101,2,0),"")</f>
        <v>_</v>
      </c>
      <c r="AR520" s="448" t="str">
        <f>_xlfn.IFNA(VLOOKUP($AP520,Programma!$F$3:$H$1101,3,0),"")</f>
        <v>_</v>
      </c>
      <c r="AS520" s="448" t="str">
        <f>_xlfn.IFNA(VLOOKUP($AP520,Programma!$F$3:$I$1101,4,0),"")</f>
        <v>_</v>
      </c>
      <c r="AT520" s="448" t="str">
        <f>_xlfn.IFNA(VLOOKUP($AP520,Programma!$F$3:$J$1101,5,0),"")</f>
        <v>4w</v>
      </c>
      <c r="AU520" s="448" t="str">
        <f>_xlfn.IFNA(VLOOKUP($AP520,Programma!$F$3:$K$1101,6,0),"")</f>
        <v>1w</v>
      </c>
      <c r="AV520" s="448" t="str">
        <f>_xlfn.IFNA(VLOOKUP($AP520,Programma!$F$3:$L$1101,7,0),"")</f>
        <v>_</v>
      </c>
      <c r="AW520" s="448" t="str">
        <f>_xlfn.IFNA(VLOOKUP($AP520,Programma!$F$3:$M$1101,8,0),"")</f>
        <v>_</v>
      </c>
      <c r="AX520" s="448" t="str">
        <f>_xlfn.IFNA(VLOOKUP($AP520,Programma!$F$3:$N$1101,9,0),"")</f>
        <v>_</v>
      </c>
      <c r="AY520" s="448" t="str">
        <f>_xlfn.IFNA(VLOOKUP($AP520,Programma!$F$3:$O$1101,10,0),"")</f>
        <v>_</v>
      </c>
      <c r="AZ520" s="448" t="str">
        <f>_xlfn.IFNA(VLOOKUP($AP520,Programma!$F$3:$P$1101,11,0),"")</f>
        <v>_</v>
      </c>
      <c r="BA520" s="448" t="str">
        <f>_xlfn.IFNA(VLOOKUP($AP520,Programma!$F$3:$Q$1101,12,0),"")</f>
        <v>_</v>
      </c>
      <c r="BB520" s="448" t="str">
        <f>_xlfn.IFNA(VLOOKUP($AP520,Programma!$F$3:$R$1101,13,0),"")</f>
        <v>_</v>
      </c>
      <c r="BC520" s="448" t="str">
        <f>_xlfn.IFNA(VLOOKUP($AP520,Programma!$F$3:$S$1101,14,0),"")</f>
        <v>_</v>
      </c>
      <c r="BD520" s="448" t="str">
        <f>_xlfn.IFNA(VLOOKUP($AP520,Programma!$F$3:$T$1101,15,0),"")</f>
        <v>_</v>
      </c>
      <c r="BE520" s="448" t="str">
        <f>_xlfn.IFNA(VLOOKUP($AP520,Programma!$F$3:$U$1101,16,0),"")</f>
        <v>_</v>
      </c>
      <c r="BF520" s="448" t="str">
        <f>_xlfn.IFNA(VLOOKUP($AP520,Programma!$F$3:$V$1101,17,0),"")</f>
        <v>_</v>
      </c>
      <c r="BG520" s="448" t="str">
        <f>_xlfn.IFNA(VLOOKUP($AP520,Programma!$F$3:$W$1101,18,0),"")</f>
        <v>4w</v>
      </c>
      <c r="BH520" s="448" t="str">
        <f>_xlfn.IFNA(VLOOKUP($AP520,Programma!$F$3:$X$1101,19,0),"")</f>
        <v>1w</v>
      </c>
      <c r="BI520" s="448" t="str">
        <f>_xlfn.IFNA(VLOOKUP($AP520,Programma!$F$3:$Y$1101,20,0),"")</f>
        <v>_</v>
      </c>
      <c r="BJ520" s="449"/>
      <c r="BK520" s="446" t="str">
        <f>IF(Ruimtestaat[[#This Row],[Frequentie weekend]]="","",_xlfn.CONCAT(Ruimtestaat[[#This Row],[Ruimte code]],"-",Ruimtestaat[[#This Row],[Frequentie weekend]]," ",Ruimtestaat[[#This Row],[Vloer code]]))</f>
        <v/>
      </c>
      <c r="BL520" s="448" t="str">
        <f>_xlfn.IFNA(VLOOKUP($BK520,Programma!$F$3:$G$1101,2,0),"")</f>
        <v/>
      </c>
      <c r="BM520" s="448" t="str">
        <f>_xlfn.IFNA(VLOOKUP($BK520,Programma!$F$3:$H$1101,3,0),"")</f>
        <v/>
      </c>
      <c r="BN520" s="448" t="str">
        <f>_xlfn.IFNA(VLOOKUP($BK520,Programma!$F$3:$I$1101,4,0),"")</f>
        <v/>
      </c>
      <c r="BO520" s="448" t="str">
        <f>_xlfn.IFNA(VLOOKUP($BK520,Programma!$F$3:$J$1101,5,0),"")</f>
        <v/>
      </c>
      <c r="BP520" s="448" t="str">
        <f>_xlfn.IFNA(VLOOKUP($BK520,Programma!$F$3:$K$1101,6,0),"")</f>
        <v/>
      </c>
      <c r="BQ520" s="448" t="str">
        <f>_xlfn.IFNA(VLOOKUP($BK520,Programma!$F$3:$L$1101,7,0),"")</f>
        <v/>
      </c>
      <c r="BR520" s="448" t="str">
        <f>_xlfn.IFNA(VLOOKUP($BK520,Programma!$F$3:$M$1101,8,0),"")</f>
        <v/>
      </c>
      <c r="BS520" s="448" t="str">
        <f>_xlfn.IFNA(VLOOKUP($BK520,Programma!$F$3:$N$1101,9,0),"")</f>
        <v/>
      </c>
      <c r="BT520" s="448" t="str">
        <f>_xlfn.IFNA(VLOOKUP($BK520,Programma!$F$3:$O$1101,10,0),"")</f>
        <v/>
      </c>
      <c r="BU520" s="448" t="str">
        <f>_xlfn.IFNA(VLOOKUP($BK520,Programma!$F$3:$P$1101,11,0),"")</f>
        <v/>
      </c>
      <c r="BV520" s="448" t="str">
        <f>_xlfn.IFNA(VLOOKUP($BK520,Programma!$F$3:$Q$1101,12,0),"")</f>
        <v/>
      </c>
      <c r="BW520" s="448" t="str">
        <f>_xlfn.IFNA(VLOOKUP($BK520,Programma!$F$3:$R$1101,13,0),"")</f>
        <v/>
      </c>
      <c r="BX520" s="448" t="str">
        <f>_xlfn.IFNA(VLOOKUP($BK520,Programma!$F$3:$S$1101,14,0),"")</f>
        <v/>
      </c>
      <c r="BY520" s="448" t="str">
        <f>_xlfn.IFNA(VLOOKUP($BK520,Programma!$F$3:$T$1101,15,0),"")</f>
        <v/>
      </c>
      <c r="BZ520" s="448" t="str">
        <f>_xlfn.IFNA(VLOOKUP($BK520,Programma!$F$3:$U$1101,16,0),"")</f>
        <v/>
      </c>
      <c r="CA520" s="448" t="str">
        <f>_xlfn.IFNA(VLOOKUP($BK520,Programma!$F$3:$V$1101,17,0),"")</f>
        <v/>
      </c>
      <c r="CB520" s="448" t="str">
        <f>_xlfn.IFNA(VLOOKUP($BK520,Programma!$F$3:$W$1101,18,0),"")</f>
        <v/>
      </c>
      <c r="CC520" s="448" t="str">
        <f>_xlfn.IFNA(VLOOKUP($BK520,Programma!$F$3:$X$1101,19,0),"")</f>
        <v/>
      </c>
      <c r="CD520" s="448" t="str">
        <f>_xlfn.IFNA(VLOOKUP($BK520,Programma!$F$3:$Y$1101,20,0),"")</f>
        <v/>
      </c>
    </row>
    <row r="521" spans="1:82" ht="15" customHeight="1">
      <c r="A521" s="327">
        <v>19</v>
      </c>
      <c r="B521" s="435" t="str">
        <f>VLOOKUP(Ruimtestaat[[#This Row],[Code]],Locaties[[Code]:[Locatie]],2,FALSE)</f>
        <v>IKC de Leerplaneet (vhKlimboom)</v>
      </c>
      <c r="C521" s="435" t="str">
        <f>VLOOKUP(Ruimtestaat[[#This Row],[Code]],Locaties[[#All],[Code]:[Adres]],4,FALSE)</f>
        <v>Nesciohove 105-107</v>
      </c>
      <c r="D521" s="435" t="str">
        <f>VLOOKUP(Ruimtestaat[[#This Row],[Code]],Locaties[[#All],[Code]:[Postcode]],5,FALSE)</f>
        <v>2726 BL</v>
      </c>
      <c r="E521" s="435" t="str">
        <f>VLOOKUP(Ruimtestaat[[#This Row],[Code]],Locaties[#All],6,FALSE)</f>
        <v>Zoetermeer</v>
      </c>
      <c r="F521" s="450"/>
      <c r="G521" s="330" t="s">
        <v>1678</v>
      </c>
      <c r="H521" s="330" t="s">
        <v>1764</v>
      </c>
      <c r="I521" s="450" t="s">
        <v>1842</v>
      </c>
      <c r="J521" s="330">
        <v>16</v>
      </c>
      <c r="K521" s="450" t="str">
        <f>VLOOKUP(Ruimtestaat[[#This Row],[Ruimte code]],Ruimtegroepen[[#All],[Code]:[Ruimte omschrijving]],2,FALSE)</f>
        <v>Leslokalen</v>
      </c>
      <c r="L521" s="330" t="s">
        <v>101</v>
      </c>
      <c r="M521" s="437" t="s">
        <v>1816</v>
      </c>
      <c r="N521" s="439">
        <v>56.1</v>
      </c>
      <c r="O521" s="439"/>
      <c r="P521" s="439"/>
      <c r="Q521" s="439"/>
      <c r="R521" s="440" t="str">
        <f>VLOOKUP(Ruimtestaat[[#This Row],[Ruimte code]],Ruimtegroepen[],4,FALSE)</f>
        <v>Le</v>
      </c>
      <c r="S521" s="434">
        <v>40</v>
      </c>
      <c r="T521" s="434" t="s">
        <v>2</v>
      </c>
      <c r="U521" s="453">
        <f>IF(S521&gt;0,IF(RIGHT(Ruimtestaat[[#This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1" s="434">
        <f>IF(U521&gt;0,VLOOKUP($J521,Ruimtegroepen[],3,FALSE)*VLOOKUP($L521,Vloersoorten[],3,FALSE)*VLOOKUP($T521,Frequenties[],3,FALSE)*VLOOKUP($A521,Locaties[],3,FALSE),0)</f>
        <v>0</v>
      </c>
      <c r="W521" s="434">
        <f>Ruimtestaat[[#This Row],[Uitvoeringen werkdagen]]*Ruimtestaat[[#This Row],[Oppervlak (netto)]]</f>
        <v>11220</v>
      </c>
      <c r="X521" s="441">
        <f>IF(V521&gt;0,Ruimtestaat[[#This Row],[Prest. (m2 /jaar) werkdagen]]/Ruimtestaat[[#This Row],[Norm (m2/uur) werkdagen]],0)</f>
        <v>0</v>
      </c>
      <c r="Y521" s="442">
        <f>Ruimtestaat[[#This Row],[Uitvoeringen werkdagen]]*Ruimtestaat[[#This Row],[Gedeeltelijk]]</f>
        <v>0</v>
      </c>
      <c r="Z521" s="443" t="e">
        <f>IF(U521&gt;0,Ruimtestaat[[#This Row],[Prest. (m2 / jaar) werkdagen gedeeld]]/Ruimtestaat[[#This Row],[Norm (m2/uur) werkdagen]],0)</f>
        <v>#DIV/0!</v>
      </c>
      <c r="AA521" s="441" t="e">
        <f>Ruimtestaat[[#This Row],[uren / jaar werkdagen gedeeld]]*Tariefsopbouw!$E$35</f>
        <v>#DIV/0!</v>
      </c>
      <c r="AB521" s="441">
        <f>Ruimtestaat[[#This Row],[Uitvoeringen werkdagen]]*Ruimtestaat[[#This Row],[BSO]]</f>
        <v>0</v>
      </c>
      <c r="AC521" s="443" t="e">
        <f>IF(U521&gt;0,Ruimtestaat[[#This Row],[Prest. (m2 / jaar) werkdagen BSO]]/Ruimtestaat[[#This Row],[Norm (m2/uur) werkdagen]],0)</f>
        <v>#DIV/0!</v>
      </c>
      <c r="AD521" s="443" t="e">
        <f>Ruimtestaat[[#This Row],[uren / jaar werkdagen BSO]]*Tariefsopbouw!$E$35</f>
        <v>#DIV/0!</v>
      </c>
      <c r="AE521" s="444">
        <f>Ruimtestaat[[#This Row],[uren / jaar werkdagen]]*Tariefsopbouw!$E$35</f>
        <v>0</v>
      </c>
      <c r="AF521" s="454"/>
      <c r="AG521" s="455">
        <f>IF(Ruimtestaat[[#This Row],[Frequentie weekend]]&gt;0,VALUE(LEFT(AF521,1))*S521,0)</f>
        <v>0</v>
      </c>
      <c r="AH521" s="455">
        <f>IF($AG521&gt;0,VLOOKUP($J521,Ruimtegroepen[],3,FALSE)*VLOOKUP($L521,Vloersoorten[],3,FALSE)*VLOOKUP($AF521,Frequenties[],3,FALSE)*VLOOKUP(#REF!,Locaties[],3,FALSE),0)</f>
        <v>0</v>
      </c>
      <c r="AI521" s="434">
        <f>Ruimtestaat[[#This Row],[Uitvoeringen weekend]]*Ruimtestaat[[#This Row],[Oppervlak (netto)]]</f>
        <v>0</v>
      </c>
      <c r="AJ521" s="434">
        <f>IF(AH521&gt;0,Ruimtestaat[[#This Row],[Prest. (m2 /jaar) weekend]]/Ruimtestaat[[#This Row],[Norm (m2/uur) weekend]],0)</f>
        <v>0</v>
      </c>
      <c r="AK521" s="444">
        <f>Ruimtestaat[[#This Row],[uren / jaar weekend]]*Tariefsopbouw!$D$40</f>
        <v>0</v>
      </c>
      <c r="AL521" s="441">
        <f>Ruimtestaat[[#This Row],[Prest. (m2 /jaar) weekend]]+Ruimtestaat[[#This Row],[Prest. (m2 /jaar) werkdagen]]</f>
        <v>11220</v>
      </c>
      <c r="AM521" s="441">
        <f>Ruimtestaat[[#This Row],[uren / jaar weekend]]+Ruimtestaat[[#This Row],[uren / jaar werkdagen]]</f>
        <v>0</v>
      </c>
      <c r="AN521" s="446">
        <f>Ruimtestaat[[#This Row],[kosten / jaar weekend]]+Ruimtestaat[[#This Row],[kosten / jaar werkdagen]]</f>
        <v>0</v>
      </c>
      <c r="AO521" s="446"/>
      <c r="AP521" s="446" t="str">
        <f>IF(Ruimtestaat[[#This Row],[Frequentie werkdagen]]="","",_xlfn.CONCAT(Ruimtestaat[[#This Row],[Ruimte code]],"-",Ruimtestaat[[#This Row],[Frequentie werkdagen]]," ",Ruimtestaat[[#This Row],[Vloer code]]))</f>
        <v>16-5w S</v>
      </c>
      <c r="AQ521" s="448" t="str">
        <f>_xlfn.IFNA(VLOOKUP($AP521,Programma!$F$3:$G$1101,2,0),"")</f>
        <v>_</v>
      </c>
      <c r="AR521" s="448" t="str">
        <f>_xlfn.IFNA(VLOOKUP($AP521,Programma!$F$3:$H$1101,3,0),"")</f>
        <v>_</v>
      </c>
      <c r="AS521" s="448" t="str">
        <f>_xlfn.IFNA(VLOOKUP($AP521,Programma!$F$3:$I$1101,4,0),"")</f>
        <v>4w</v>
      </c>
      <c r="AT521" s="448" t="str">
        <f>_xlfn.IFNA(VLOOKUP($AP521,Programma!$F$3:$J$1101,5,0),"")</f>
        <v>1w</v>
      </c>
      <c r="AU521" s="448" t="str">
        <f>_xlfn.IFNA(VLOOKUP($AP521,Programma!$F$3:$K$1101,6,0),"")</f>
        <v>1m</v>
      </c>
      <c r="AV521" s="448" t="str">
        <f>_xlfn.IFNA(VLOOKUP($AP521,Programma!$F$3:$L$1101,7,0),"")</f>
        <v>_</v>
      </c>
      <c r="AW521" s="448" t="str">
        <f>_xlfn.IFNA(VLOOKUP($AP521,Programma!$F$3:$M$1101,8,0),"")</f>
        <v>_</v>
      </c>
      <c r="AX521" s="448" t="str">
        <f>_xlfn.IFNA(VLOOKUP($AP521,Programma!$F$3:$N$1101,9,0),"")</f>
        <v>_</v>
      </c>
      <c r="AY521" s="448" t="str">
        <f>_xlfn.IFNA(VLOOKUP($AP521,Programma!$F$3:$O$1101,10,0),"")</f>
        <v>5w</v>
      </c>
      <c r="AZ521" s="448" t="str">
        <f>_xlfn.IFNA(VLOOKUP($AP521,Programma!$F$3:$P$1101,11,0),"")</f>
        <v>5w</v>
      </c>
      <c r="BA521" s="448" t="str">
        <f>_xlfn.IFNA(VLOOKUP($AP521,Programma!$F$3:$Q$1101,12,0),"")</f>
        <v>1w</v>
      </c>
      <c r="BB521" s="448" t="str">
        <f>_xlfn.IFNA(VLOOKUP($AP521,Programma!$F$3:$R$1101,13,0),"")</f>
        <v>1w</v>
      </c>
      <c r="BC521" s="448" t="str">
        <f>_xlfn.IFNA(VLOOKUP($AP521,Programma!$F$3:$S$1101,14,0),"")</f>
        <v>1m</v>
      </c>
      <c r="BD521" s="448" t="str">
        <f>_xlfn.IFNA(VLOOKUP($AP521,Programma!$F$3:$T$1101,15,0),"")</f>
        <v>2j</v>
      </c>
      <c r="BE521" s="448" t="str">
        <f>_xlfn.IFNA(VLOOKUP($AP521,Programma!$F$3:$U$1101,16,0),"")</f>
        <v>1j</v>
      </c>
      <c r="BF521" s="448" t="str">
        <f>_xlfn.IFNA(VLOOKUP($AP521,Programma!$F$3:$V$1101,17,0),"")</f>
        <v>_</v>
      </c>
      <c r="BG521" s="448" t="str">
        <f>_xlfn.IFNA(VLOOKUP($AP521,Programma!$F$3:$W$1101,18,0),"")</f>
        <v>_</v>
      </c>
      <c r="BH521" s="448" t="str">
        <f>_xlfn.IFNA(VLOOKUP($AP521,Programma!$F$3:$X$1101,19,0),"")</f>
        <v>_</v>
      </c>
      <c r="BI521" s="448" t="str">
        <f>_xlfn.IFNA(VLOOKUP($AP521,Programma!$F$3:$Y$1101,20,0),"")</f>
        <v>_</v>
      </c>
      <c r="BJ521" s="449"/>
      <c r="BK521" s="446" t="str">
        <f>IF(Ruimtestaat[[#This Row],[Frequentie weekend]]="","",_xlfn.CONCAT(Ruimtestaat[[#This Row],[Ruimte code]],"-",Ruimtestaat[[#This Row],[Frequentie weekend]]," ",Ruimtestaat[[#This Row],[Vloer code]]))</f>
        <v/>
      </c>
      <c r="BL521" s="448" t="str">
        <f>_xlfn.IFNA(VLOOKUP($BK521,Programma!$F$3:$G$1101,2,0),"")</f>
        <v/>
      </c>
      <c r="BM521" s="448" t="str">
        <f>_xlfn.IFNA(VLOOKUP($BK521,Programma!$F$3:$H$1101,3,0),"")</f>
        <v/>
      </c>
      <c r="BN521" s="448" t="str">
        <f>_xlfn.IFNA(VLOOKUP($BK521,Programma!$F$3:$I$1101,4,0),"")</f>
        <v/>
      </c>
      <c r="BO521" s="448" t="str">
        <f>_xlfn.IFNA(VLOOKUP($BK521,Programma!$F$3:$J$1101,5,0),"")</f>
        <v/>
      </c>
      <c r="BP521" s="448" t="str">
        <f>_xlfn.IFNA(VLOOKUP($BK521,Programma!$F$3:$K$1101,6,0),"")</f>
        <v/>
      </c>
      <c r="BQ521" s="448" t="str">
        <f>_xlfn.IFNA(VLOOKUP($BK521,Programma!$F$3:$L$1101,7,0),"")</f>
        <v/>
      </c>
      <c r="BR521" s="448" t="str">
        <f>_xlfn.IFNA(VLOOKUP($BK521,Programma!$F$3:$M$1101,8,0),"")</f>
        <v/>
      </c>
      <c r="BS521" s="448" t="str">
        <f>_xlfn.IFNA(VLOOKUP($BK521,Programma!$F$3:$N$1101,9,0),"")</f>
        <v/>
      </c>
      <c r="BT521" s="448" t="str">
        <f>_xlfn.IFNA(VLOOKUP($BK521,Programma!$F$3:$O$1101,10,0),"")</f>
        <v/>
      </c>
      <c r="BU521" s="448" t="str">
        <f>_xlfn.IFNA(VLOOKUP($BK521,Programma!$F$3:$P$1101,11,0),"")</f>
        <v/>
      </c>
      <c r="BV521" s="448" t="str">
        <f>_xlfn.IFNA(VLOOKUP($BK521,Programma!$F$3:$Q$1101,12,0),"")</f>
        <v/>
      </c>
      <c r="BW521" s="448" t="str">
        <f>_xlfn.IFNA(VLOOKUP($BK521,Programma!$F$3:$R$1101,13,0),"")</f>
        <v/>
      </c>
      <c r="BX521" s="448" t="str">
        <f>_xlfn.IFNA(VLOOKUP($BK521,Programma!$F$3:$S$1101,14,0),"")</f>
        <v/>
      </c>
      <c r="BY521" s="448" t="str">
        <f>_xlfn.IFNA(VLOOKUP($BK521,Programma!$F$3:$T$1101,15,0),"")</f>
        <v/>
      </c>
      <c r="BZ521" s="448" t="str">
        <f>_xlfn.IFNA(VLOOKUP($BK521,Programma!$F$3:$U$1101,16,0),"")</f>
        <v/>
      </c>
      <c r="CA521" s="448" t="str">
        <f>_xlfn.IFNA(VLOOKUP($BK521,Programma!$F$3:$V$1101,17,0),"")</f>
        <v/>
      </c>
      <c r="CB521" s="448" t="str">
        <f>_xlfn.IFNA(VLOOKUP($BK521,Programma!$F$3:$W$1101,18,0),"")</f>
        <v/>
      </c>
      <c r="CC521" s="448" t="str">
        <f>_xlfn.IFNA(VLOOKUP($BK521,Programma!$F$3:$X$1101,19,0),"")</f>
        <v/>
      </c>
      <c r="CD521" s="448" t="str">
        <f>_xlfn.IFNA(VLOOKUP($BK521,Programma!$F$3:$Y$1101,20,0),"")</f>
        <v/>
      </c>
    </row>
    <row r="522" spans="1:82" ht="15" customHeight="1">
      <c r="A522" s="327">
        <v>19</v>
      </c>
      <c r="B522" s="435" t="str">
        <f>VLOOKUP(Ruimtestaat[[#This Row],[Code]],Locaties[[Code]:[Locatie]],2,FALSE)</f>
        <v>IKC de Leerplaneet (vhKlimboom)</v>
      </c>
      <c r="C522" s="435" t="str">
        <f>VLOOKUP(Ruimtestaat[[#This Row],[Code]],Locaties[[#All],[Code]:[Adres]],4,FALSE)</f>
        <v>Nesciohove 105-107</v>
      </c>
      <c r="D522" s="435" t="str">
        <f>VLOOKUP(Ruimtestaat[[#This Row],[Code]],Locaties[[#All],[Code]:[Postcode]],5,FALSE)</f>
        <v>2726 BL</v>
      </c>
      <c r="E522" s="435" t="str">
        <f>VLOOKUP(Ruimtestaat[[#This Row],[Code]],Locaties[#All],6,FALSE)</f>
        <v>Zoetermeer</v>
      </c>
      <c r="F522" s="450"/>
      <c r="G522" s="330" t="s">
        <v>1678</v>
      </c>
      <c r="H522" s="330" t="s">
        <v>1764</v>
      </c>
      <c r="I522" s="450" t="s">
        <v>1901</v>
      </c>
      <c r="J522" s="330">
        <v>11</v>
      </c>
      <c r="K522" s="450" t="str">
        <f>VLOOKUP(Ruimtestaat[[#This Row],[Ruimte code]],Ruimtegroepen[[#All],[Code]:[Ruimte omschrijving]],2,FALSE)</f>
        <v>Garderobes</v>
      </c>
      <c r="L522" s="330" t="s">
        <v>101</v>
      </c>
      <c r="M522" s="437" t="s">
        <v>1816</v>
      </c>
      <c r="N522" s="439">
        <v>3</v>
      </c>
      <c r="O522" s="439"/>
      <c r="P522" s="439"/>
      <c r="Q522" s="439"/>
      <c r="R522" s="440" t="str">
        <f>VLOOKUP(Ruimtestaat[[#This Row],[Ruimte code]],Ruimtegroepen[],4,FALSE)</f>
        <v>Ve</v>
      </c>
      <c r="S522" s="434">
        <v>40</v>
      </c>
      <c r="T522" s="434" t="s">
        <v>2</v>
      </c>
      <c r="U522" s="453">
        <f>IF(S522&gt;0,IF(RIGHT(Ruimtestaat[[#This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2" s="434">
        <f>IF(U522&gt;0,VLOOKUP($J522,Ruimtegroepen[],3,FALSE)*VLOOKUP($L522,Vloersoorten[],3,FALSE)*VLOOKUP($T522,Frequenties[],3,FALSE)*VLOOKUP($A522,Locaties[],3,FALSE),0)</f>
        <v>0</v>
      </c>
      <c r="W522" s="434">
        <f>Ruimtestaat[[#This Row],[Uitvoeringen werkdagen]]*Ruimtestaat[[#This Row],[Oppervlak (netto)]]</f>
        <v>600</v>
      </c>
      <c r="X522" s="441">
        <f>IF(V522&gt;0,Ruimtestaat[[#This Row],[Prest. (m2 /jaar) werkdagen]]/Ruimtestaat[[#This Row],[Norm (m2/uur) werkdagen]],0)</f>
        <v>0</v>
      </c>
      <c r="Y522" s="442">
        <f>Ruimtestaat[[#This Row],[Uitvoeringen werkdagen]]*Ruimtestaat[[#This Row],[Gedeeltelijk]]</f>
        <v>0</v>
      </c>
      <c r="Z522" s="443" t="e">
        <f>IF(U522&gt;0,Ruimtestaat[[#This Row],[Prest. (m2 / jaar) werkdagen gedeeld]]/Ruimtestaat[[#This Row],[Norm (m2/uur) werkdagen]],0)</f>
        <v>#DIV/0!</v>
      </c>
      <c r="AA522" s="441" t="e">
        <f>Ruimtestaat[[#This Row],[uren / jaar werkdagen gedeeld]]*Tariefsopbouw!$E$35</f>
        <v>#DIV/0!</v>
      </c>
      <c r="AB522" s="441">
        <f>Ruimtestaat[[#This Row],[Uitvoeringen werkdagen]]*Ruimtestaat[[#This Row],[BSO]]</f>
        <v>0</v>
      </c>
      <c r="AC522" s="443" t="e">
        <f>IF(U522&gt;0,Ruimtestaat[[#This Row],[Prest. (m2 / jaar) werkdagen BSO]]/Ruimtestaat[[#This Row],[Norm (m2/uur) werkdagen]],0)</f>
        <v>#DIV/0!</v>
      </c>
      <c r="AD522" s="443" t="e">
        <f>Ruimtestaat[[#This Row],[uren / jaar werkdagen BSO]]*Tariefsopbouw!$E$35</f>
        <v>#DIV/0!</v>
      </c>
      <c r="AE522" s="444">
        <f>Ruimtestaat[[#This Row],[uren / jaar werkdagen]]*Tariefsopbouw!$E$35</f>
        <v>0</v>
      </c>
      <c r="AF522" s="454"/>
      <c r="AG522" s="455">
        <f>IF(Ruimtestaat[[#This Row],[Frequentie weekend]]&gt;0,VALUE(LEFT(AF522,1))*S522,0)</f>
        <v>0</v>
      </c>
      <c r="AH522" s="455">
        <f>IF($AG522&gt;0,VLOOKUP($J522,Ruimtegroepen[],3,FALSE)*VLOOKUP($L522,Vloersoorten[],3,FALSE)*VLOOKUP($AF522,Frequenties[],3,FALSE)*VLOOKUP(#REF!,Locaties[],3,FALSE),0)</f>
        <v>0</v>
      </c>
      <c r="AI522" s="434">
        <f>Ruimtestaat[[#This Row],[Uitvoeringen weekend]]*Ruimtestaat[[#This Row],[Oppervlak (netto)]]</f>
        <v>0</v>
      </c>
      <c r="AJ522" s="434">
        <f>IF(AH522&gt;0,Ruimtestaat[[#This Row],[Prest. (m2 /jaar) weekend]]/Ruimtestaat[[#This Row],[Norm (m2/uur) weekend]],0)</f>
        <v>0</v>
      </c>
      <c r="AK522" s="444">
        <f>Ruimtestaat[[#This Row],[uren / jaar weekend]]*Tariefsopbouw!$D$40</f>
        <v>0</v>
      </c>
      <c r="AL522" s="441">
        <f>Ruimtestaat[[#This Row],[Prest. (m2 /jaar) weekend]]+Ruimtestaat[[#This Row],[Prest. (m2 /jaar) werkdagen]]</f>
        <v>600</v>
      </c>
      <c r="AM522" s="441">
        <f>Ruimtestaat[[#This Row],[uren / jaar weekend]]+Ruimtestaat[[#This Row],[uren / jaar werkdagen]]</f>
        <v>0</v>
      </c>
      <c r="AN522" s="446">
        <f>Ruimtestaat[[#This Row],[kosten / jaar weekend]]+Ruimtestaat[[#This Row],[kosten / jaar werkdagen]]</f>
        <v>0</v>
      </c>
      <c r="AO522" s="446"/>
      <c r="AP522" s="446" t="str">
        <f>IF(Ruimtestaat[[#This Row],[Frequentie werkdagen]]="","",_xlfn.CONCAT(Ruimtestaat[[#This Row],[Ruimte code]],"-",Ruimtestaat[[#This Row],[Frequentie werkdagen]]," ",Ruimtestaat[[#This Row],[Vloer code]]))</f>
        <v>11-5w S</v>
      </c>
      <c r="AQ522" s="448" t="str">
        <f>_xlfn.IFNA(VLOOKUP($AP522,Programma!$F$3:$G$1101,2,0),"")</f>
        <v>_</v>
      </c>
      <c r="AR522" s="448" t="str">
        <f>_xlfn.IFNA(VLOOKUP($AP522,Programma!$F$3:$H$1101,3,0),"")</f>
        <v>_</v>
      </c>
      <c r="AS522" s="448" t="str">
        <f>_xlfn.IFNA(VLOOKUP($AP522,Programma!$F$3:$I$1101,4,0),"")</f>
        <v>4w</v>
      </c>
      <c r="AT522" s="448" t="str">
        <f>_xlfn.IFNA(VLOOKUP($AP522,Programma!$F$3:$J$1101,5,0),"")</f>
        <v>1w</v>
      </c>
      <c r="AU522" s="448" t="str">
        <f>_xlfn.IFNA(VLOOKUP($AP522,Programma!$F$3:$K$1101,6,0),"")</f>
        <v>4j</v>
      </c>
      <c r="AV522" s="448" t="str">
        <f>_xlfn.IFNA(VLOOKUP($AP522,Programma!$F$3:$L$1101,7,0),"")</f>
        <v>_</v>
      </c>
      <c r="AW522" s="448" t="str">
        <f>_xlfn.IFNA(VLOOKUP($AP522,Programma!$F$3:$M$1101,8,0),"")</f>
        <v>_</v>
      </c>
      <c r="AX522" s="448" t="str">
        <f>_xlfn.IFNA(VLOOKUP($AP522,Programma!$F$3:$N$1101,9,0),"")</f>
        <v>_</v>
      </c>
      <c r="AY522" s="448" t="str">
        <f>_xlfn.IFNA(VLOOKUP($AP522,Programma!$F$3:$O$1101,10,0),"")</f>
        <v>5w</v>
      </c>
      <c r="AZ522" s="448" t="str">
        <f>_xlfn.IFNA(VLOOKUP($AP522,Programma!$F$3:$P$1101,11,0),"")</f>
        <v>5w</v>
      </c>
      <c r="BA522" s="448" t="str">
        <f>_xlfn.IFNA(VLOOKUP($AP522,Programma!$F$3:$Q$1101,12,0),"")</f>
        <v>1w</v>
      </c>
      <c r="BB522" s="448" t="str">
        <f>_xlfn.IFNA(VLOOKUP($AP522,Programma!$F$3:$R$1101,13,0),"")</f>
        <v>1w</v>
      </c>
      <c r="BC522" s="448" t="str">
        <f>_xlfn.IFNA(VLOOKUP($AP522,Programma!$F$3:$S$1101,14,0),"")</f>
        <v>1m</v>
      </c>
      <c r="BD522" s="448" t="str">
        <f>_xlfn.IFNA(VLOOKUP($AP522,Programma!$F$3:$T$1101,15,0),"")</f>
        <v>2j</v>
      </c>
      <c r="BE522" s="448" t="str">
        <f>_xlfn.IFNA(VLOOKUP($AP522,Programma!$F$3:$U$1101,16,0),"")</f>
        <v>1j</v>
      </c>
      <c r="BF522" s="448" t="str">
        <f>_xlfn.IFNA(VLOOKUP($AP522,Programma!$F$3:$V$1101,17,0),"")</f>
        <v>_</v>
      </c>
      <c r="BG522" s="448" t="str">
        <f>_xlfn.IFNA(VLOOKUP($AP522,Programma!$F$3:$W$1101,18,0),"")</f>
        <v>_</v>
      </c>
      <c r="BH522" s="448" t="str">
        <f>_xlfn.IFNA(VLOOKUP($AP522,Programma!$F$3:$X$1101,19,0),"")</f>
        <v>_</v>
      </c>
      <c r="BI522" s="448" t="str">
        <f>_xlfn.IFNA(VLOOKUP($AP522,Programma!$F$3:$Y$1101,20,0),"")</f>
        <v>_</v>
      </c>
      <c r="BJ522" s="449"/>
      <c r="BK522" s="446" t="str">
        <f>IF(Ruimtestaat[[#This Row],[Frequentie weekend]]="","",_xlfn.CONCAT(Ruimtestaat[[#This Row],[Ruimte code]],"-",Ruimtestaat[[#This Row],[Frequentie weekend]]," ",Ruimtestaat[[#This Row],[Vloer code]]))</f>
        <v/>
      </c>
      <c r="BL522" s="448" t="str">
        <f>_xlfn.IFNA(VLOOKUP($BK522,Programma!$F$3:$G$1101,2,0),"")</f>
        <v/>
      </c>
      <c r="BM522" s="448" t="str">
        <f>_xlfn.IFNA(VLOOKUP($BK522,Programma!$F$3:$H$1101,3,0),"")</f>
        <v/>
      </c>
      <c r="BN522" s="448" t="str">
        <f>_xlfn.IFNA(VLOOKUP($BK522,Programma!$F$3:$I$1101,4,0),"")</f>
        <v/>
      </c>
      <c r="BO522" s="448" t="str">
        <f>_xlfn.IFNA(VLOOKUP($BK522,Programma!$F$3:$J$1101,5,0),"")</f>
        <v/>
      </c>
      <c r="BP522" s="448" t="str">
        <f>_xlfn.IFNA(VLOOKUP($BK522,Programma!$F$3:$K$1101,6,0),"")</f>
        <v/>
      </c>
      <c r="BQ522" s="448" t="str">
        <f>_xlfn.IFNA(VLOOKUP($BK522,Programma!$F$3:$L$1101,7,0),"")</f>
        <v/>
      </c>
      <c r="BR522" s="448" t="str">
        <f>_xlfn.IFNA(VLOOKUP($BK522,Programma!$F$3:$M$1101,8,0),"")</f>
        <v/>
      </c>
      <c r="BS522" s="448" t="str">
        <f>_xlfn.IFNA(VLOOKUP($BK522,Programma!$F$3:$N$1101,9,0),"")</f>
        <v/>
      </c>
      <c r="BT522" s="448" t="str">
        <f>_xlfn.IFNA(VLOOKUP($BK522,Programma!$F$3:$O$1101,10,0),"")</f>
        <v/>
      </c>
      <c r="BU522" s="448" t="str">
        <f>_xlfn.IFNA(VLOOKUP($BK522,Programma!$F$3:$P$1101,11,0),"")</f>
        <v/>
      </c>
      <c r="BV522" s="448" t="str">
        <f>_xlfn.IFNA(VLOOKUP($BK522,Programma!$F$3:$Q$1101,12,0),"")</f>
        <v/>
      </c>
      <c r="BW522" s="448" t="str">
        <f>_xlfn.IFNA(VLOOKUP($BK522,Programma!$F$3:$R$1101,13,0),"")</f>
        <v/>
      </c>
      <c r="BX522" s="448" t="str">
        <f>_xlfn.IFNA(VLOOKUP($BK522,Programma!$F$3:$S$1101,14,0),"")</f>
        <v/>
      </c>
      <c r="BY522" s="448" t="str">
        <f>_xlfn.IFNA(VLOOKUP($BK522,Programma!$F$3:$T$1101,15,0),"")</f>
        <v/>
      </c>
      <c r="BZ522" s="448" t="str">
        <f>_xlfn.IFNA(VLOOKUP($BK522,Programma!$F$3:$U$1101,16,0),"")</f>
        <v/>
      </c>
      <c r="CA522" s="448" t="str">
        <f>_xlfn.IFNA(VLOOKUP($BK522,Programma!$F$3:$V$1101,17,0),"")</f>
        <v/>
      </c>
      <c r="CB522" s="448" t="str">
        <f>_xlfn.IFNA(VLOOKUP($BK522,Programma!$F$3:$W$1101,18,0),"")</f>
        <v/>
      </c>
      <c r="CC522" s="448" t="str">
        <f>_xlfn.IFNA(VLOOKUP($BK522,Programma!$F$3:$X$1101,19,0),"")</f>
        <v/>
      </c>
      <c r="CD522" s="448" t="str">
        <f>_xlfn.IFNA(VLOOKUP($BK522,Programma!$F$3:$Y$1101,20,0),"")</f>
        <v/>
      </c>
    </row>
    <row r="523" spans="1:82" ht="15" customHeight="1">
      <c r="A523" s="327">
        <v>19</v>
      </c>
      <c r="B523" s="435" t="str">
        <f>VLOOKUP(Ruimtestaat[[#This Row],[Code]],Locaties[[Code]:[Locatie]],2,FALSE)</f>
        <v>IKC de Leerplaneet (vhKlimboom)</v>
      </c>
      <c r="C523" s="435" t="str">
        <f>VLOOKUP(Ruimtestaat[[#This Row],[Code]],Locaties[[#All],[Code]:[Adres]],4,FALSE)</f>
        <v>Nesciohove 105-107</v>
      </c>
      <c r="D523" s="435" t="str">
        <f>VLOOKUP(Ruimtestaat[[#This Row],[Code]],Locaties[[#All],[Code]:[Postcode]],5,FALSE)</f>
        <v>2726 BL</v>
      </c>
      <c r="E523" s="435" t="str">
        <f>VLOOKUP(Ruimtestaat[[#This Row],[Code]],Locaties[#All],6,FALSE)</f>
        <v>Zoetermeer</v>
      </c>
      <c r="F523" s="450"/>
      <c r="G523" s="330" t="s">
        <v>1678</v>
      </c>
      <c r="H523" s="330" t="s">
        <v>1827</v>
      </c>
      <c r="I523" s="450" t="s">
        <v>1842</v>
      </c>
      <c r="J523" s="330">
        <v>16</v>
      </c>
      <c r="K523" s="450" t="str">
        <f>VLOOKUP(Ruimtestaat[[#This Row],[Ruimte code]],Ruimtegroepen[[#All],[Code]:[Ruimte omschrijving]],2,FALSE)</f>
        <v>Leslokalen</v>
      </c>
      <c r="L523" s="330" t="s">
        <v>101</v>
      </c>
      <c r="M523" s="437" t="s">
        <v>1816</v>
      </c>
      <c r="N523" s="439">
        <v>56.1</v>
      </c>
      <c r="O523" s="439"/>
      <c r="P523" s="439"/>
      <c r="Q523" s="439"/>
      <c r="R523" s="440" t="str">
        <f>VLOOKUP(Ruimtestaat[[#This Row],[Ruimte code]],Ruimtegroepen[],4,FALSE)</f>
        <v>Le</v>
      </c>
      <c r="S523" s="434">
        <v>40</v>
      </c>
      <c r="T523" s="434" t="s">
        <v>2</v>
      </c>
      <c r="U523" s="453">
        <f>IF(S523&gt;0,IF(RIGHT(Ruimtestaat[[#This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3" s="434">
        <f>IF(U523&gt;0,VLOOKUP($J523,Ruimtegroepen[],3,FALSE)*VLOOKUP($L523,Vloersoorten[],3,FALSE)*VLOOKUP($T523,Frequenties[],3,FALSE)*VLOOKUP($A523,Locaties[],3,FALSE),0)</f>
        <v>0</v>
      </c>
      <c r="W523" s="434">
        <f>Ruimtestaat[[#This Row],[Uitvoeringen werkdagen]]*Ruimtestaat[[#This Row],[Oppervlak (netto)]]</f>
        <v>11220</v>
      </c>
      <c r="X523" s="441">
        <f>IF(V523&gt;0,Ruimtestaat[[#This Row],[Prest. (m2 /jaar) werkdagen]]/Ruimtestaat[[#This Row],[Norm (m2/uur) werkdagen]],0)</f>
        <v>0</v>
      </c>
      <c r="Y523" s="442">
        <f>Ruimtestaat[[#This Row],[Uitvoeringen werkdagen]]*Ruimtestaat[[#This Row],[Gedeeltelijk]]</f>
        <v>0</v>
      </c>
      <c r="Z523" s="443" t="e">
        <f>IF(U523&gt;0,Ruimtestaat[[#This Row],[Prest. (m2 / jaar) werkdagen gedeeld]]/Ruimtestaat[[#This Row],[Norm (m2/uur) werkdagen]],0)</f>
        <v>#DIV/0!</v>
      </c>
      <c r="AA523" s="441" t="e">
        <f>Ruimtestaat[[#This Row],[uren / jaar werkdagen gedeeld]]*Tariefsopbouw!$E$35</f>
        <v>#DIV/0!</v>
      </c>
      <c r="AB523" s="441">
        <f>Ruimtestaat[[#This Row],[Uitvoeringen werkdagen]]*Ruimtestaat[[#This Row],[BSO]]</f>
        <v>0</v>
      </c>
      <c r="AC523" s="443" t="e">
        <f>IF(U523&gt;0,Ruimtestaat[[#This Row],[Prest. (m2 / jaar) werkdagen BSO]]/Ruimtestaat[[#This Row],[Norm (m2/uur) werkdagen]],0)</f>
        <v>#DIV/0!</v>
      </c>
      <c r="AD523" s="443" t="e">
        <f>Ruimtestaat[[#This Row],[uren / jaar werkdagen BSO]]*Tariefsopbouw!$E$35</f>
        <v>#DIV/0!</v>
      </c>
      <c r="AE523" s="444">
        <f>Ruimtestaat[[#This Row],[uren / jaar werkdagen]]*Tariefsopbouw!$E$35</f>
        <v>0</v>
      </c>
      <c r="AF523" s="454"/>
      <c r="AG523" s="455">
        <f>IF(Ruimtestaat[[#This Row],[Frequentie weekend]]&gt;0,VALUE(LEFT(AF523,1))*S523,0)</f>
        <v>0</v>
      </c>
      <c r="AH523" s="455">
        <f>IF($AG523&gt;0,VLOOKUP($J523,Ruimtegroepen[],3,FALSE)*VLOOKUP($L523,Vloersoorten[],3,FALSE)*VLOOKUP($AF523,Frequenties[],3,FALSE)*VLOOKUP(#REF!,Locaties[],3,FALSE),0)</f>
        <v>0</v>
      </c>
      <c r="AI523" s="434">
        <f>Ruimtestaat[[#This Row],[Uitvoeringen weekend]]*Ruimtestaat[[#This Row],[Oppervlak (netto)]]</f>
        <v>0</v>
      </c>
      <c r="AJ523" s="434">
        <f>IF(AH523&gt;0,Ruimtestaat[[#This Row],[Prest. (m2 /jaar) weekend]]/Ruimtestaat[[#This Row],[Norm (m2/uur) weekend]],0)</f>
        <v>0</v>
      </c>
      <c r="AK523" s="444">
        <f>Ruimtestaat[[#This Row],[uren / jaar weekend]]*Tariefsopbouw!$D$40</f>
        <v>0</v>
      </c>
      <c r="AL523" s="441">
        <f>Ruimtestaat[[#This Row],[Prest. (m2 /jaar) weekend]]+Ruimtestaat[[#This Row],[Prest. (m2 /jaar) werkdagen]]</f>
        <v>11220</v>
      </c>
      <c r="AM523" s="441">
        <f>Ruimtestaat[[#This Row],[uren / jaar weekend]]+Ruimtestaat[[#This Row],[uren / jaar werkdagen]]</f>
        <v>0</v>
      </c>
      <c r="AN523" s="446">
        <f>Ruimtestaat[[#This Row],[kosten / jaar weekend]]+Ruimtestaat[[#This Row],[kosten / jaar werkdagen]]</f>
        <v>0</v>
      </c>
      <c r="AO523" s="446"/>
      <c r="AP523" s="446" t="str">
        <f>IF(Ruimtestaat[[#This Row],[Frequentie werkdagen]]="","",_xlfn.CONCAT(Ruimtestaat[[#This Row],[Ruimte code]],"-",Ruimtestaat[[#This Row],[Frequentie werkdagen]]," ",Ruimtestaat[[#This Row],[Vloer code]]))</f>
        <v>16-5w S</v>
      </c>
      <c r="AQ523" s="448" t="str">
        <f>_xlfn.IFNA(VLOOKUP($AP523,Programma!$F$3:$G$1101,2,0),"")</f>
        <v>_</v>
      </c>
      <c r="AR523" s="448" t="str">
        <f>_xlfn.IFNA(VLOOKUP($AP523,Programma!$F$3:$H$1101,3,0),"")</f>
        <v>_</v>
      </c>
      <c r="AS523" s="448" t="str">
        <f>_xlfn.IFNA(VLOOKUP($AP523,Programma!$F$3:$I$1101,4,0),"")</f>
        <v>4w</v>
      </c>
      <c r="AT523" s="448" t="str">
        <f>_xlfn.IFNA(VLOOKUP($AP523,Programma!$F$3:$J$1101,5,0),"")</f>
        <v>1w</v>
      </c>
      <c r="AU523" s="448" t="str">
        <f>_xlfn.IFNA(VLOOKUP($AP523,Programma!$F$3:$K$1101,6,0),"")</f>
        <v>1m</v>
      </c>
      <c r="AV523" s="448" t="str">
        <f>_xlfn.IFNA(VLOOKUP($AP523,Programma!$F$3:$L$1101,7,0),"")</f>
        <v>_</v>
      </c>
      <c r="AW523" s="448" t="str">
        <f>_xlfn.IFNA(VLOOKUP($AP523,Programma!$F$3:$M$1101,8,0),"")</f>
        <v>_</v>
      </c>
      <c r="AX523" s="448" t="str">
        <f>_xlfn.IFNA(VLOOKUP($AP523,Programma!$F$3:$N$1101,9,0),"")</f>
        <v>_</v>
      </c>
      <c r="AY523" s="448" t="str">
        <f>_xlfn.IFNA(VLOOKUP($AP523,Programma!$F$3:$O$1101,10,0),"")</f>
        <v>5w</v>
      </c>
      <c r="AZ523" s="448" t="str">
        <f>_xlfn.IFNA(VLOOKUP($AP523,Programma!$F$3:$P$1101,11,0),"")</f>
        <v>5w</v>
      </c>
      <c r="BA523" s="448" t="str">
        <f>_xlfn.IFNA(VLOOKUP($AP523,Programma!$F$3:$Q$1101,12,0),"")</f>
        <v>1w</v>
      </c>
      <c r="BB523" s="448" t="str">
        <f>_xlfn.IFNA(VLOOKUP($AP523,Programma!$F$3:$R$1101,13,0),"")</f>
        <v>1w</v>
      </c>
      <c r="BC523" s="448" t="str">
        <f>_xlfn.IFNA(VLOOKUP($AP523,Programma!$F$3:$S$1101,14,0),"")</f>
        <v>1m</v>
      </c>
      <c r="BD523" s="448" t="str">
        <f>_xlfn.IFNA(VLOOKUP($AP523,Programma!$F$3:$T$1101,15,0),"")</f>
        <v>2j</v>
      </c>
      <c r="BE523" s="448" t="str">
        <f>_xlfn.IFNA(VLOOKUP($AP523,Programma!$F$3:$U$1101,16,0),"")</f>
        <v>1j</v>
      </c>
      <c r="BF523" s="448" t="str">
        <f>_xlfn.IFNA(VLOOKUP($AP523,Programma!$F$3:$V$1101,17,0),"")</f>
        <v>_</v>
      </c>
      <c r="BG523" s="448" t="str">
        <f>_xlfn.IFNA(VLOOKUP($AP523,Programma!$F$3:$W$1101,18,0),"")</f>
        <v>_</v>
      </c>
      <c r="BH523" s="448" t="str">
        <f>_xlfn.IFNA(VLOOKUP($AP523,Programma!$F$3:$X$1101,19,0),"")</f>
        <v>_</v>
      </c>
      <c r="BI523" s="448" t="str">
        <f>_xlfn.IFNA(VLOOKUP($AP523,Programma!$F$3:$Y$1101,20,0),"")</f>
        <v>_</v>
      </c>
      <c r="BJ523" s="449"/>
      <c r="BK523" s="446" t="str">
        <f>IF(Ruimtestaat[[#This Row],[Frequentie weekend]]="","",_xlfn.CONCAT(Ruimtestaat[[#This Row],[Ruimte code]],"-",Ruimtestaat[[#This Row],[Frequentie weekend]]," ",Ruimtestaat[[#This Row],[Vloer code]]))</f>
        <v/>
      </c>
      <c r="BL523" s="448" t="str">
        <f>_xlfn.IFNA(VLOOKUP($BK523,Programma!$F$3:$G$1101,2,0),"")</f>
        <v/>
      </c>
      <c r="BM523" s="448" t="str">
        <f>_xlfn.IFNA(VLOOKUP($BK523,Programma!$F$3:$H$1101,3,0),"")</f>
        <v/>
      </c>
      <c r="BN523" s="448" t="str">
        <f>_xlfn.IFNA(VLOOKUP($BK523,Programma!$F$3:$I$1101,4,0),"")</f>
        <v/>
      </c>
      <c r="BO523" s="448" t="str">
        <f>_xlfn.IFNA(VLOOKUP($BK523,Programma!$F$3:$J$1101,5,0),"")</f>
        <v/>
      </c>
      <c r="BP523" s="448" t="str">
        <f>_xlfn.IFNA(VLOOKUP($BK523,Programma!$F$3:$K$1101,6,0),"")</f>
        <v/>
      </c>
      <c r="BQ523" s="448" t="str">
        <f>_xlfn.IFNA(VLOOKUP($BK523,Programma!$F$3:$L$1101,7,0),"")</f>
        <v/>
      </c>
      <c r="BR523" s="448" t="str">
        <f>_xlfn.IFNA(VLOOKUP($BK523,Programma!$F$3:$M$1101,8,0),"")</f>
        <v/>
      </c>
      <c r="BS523" s="448" t="str">
        <f>_xlfn.IFNA(VLOOKUP($BK523,Programma!$F$3:$N$1101,9,0),"")</f>
        <v/>
      </c>
      <c r="BT523" s="448" t="str">
        <f>_xlfn.IFNA(VLOOKUP($BK523,Programma!$F$3:$O$1101,10,0),"")</f>
        <v/>
      </c>
      <c r="BU523" s="448" t="str">
        <f>_xlfn.IFNA(VLOOKUP($BK523,Programma!$F$3:$P$1101,11,0),"")</f>
        <v/>
      </c>
      <c r="BV523" s="448" t="str">
        <f>_xlfn.IFNA(VLOOKUP($BK523,Programma!$F$3:$Q$1101,12,0),"")</f>
        <v/>
      </c>
      <c r="BW523" s="448" t="str">
        <f>_xlfn.IFNA(VLOOKUP($BK523,Programma!$F$3:$R$1101,13,0),"")</f>
        <v/>
      </c>
      <c r="BX523" s="448" t="str">
        <f>_xlfn.IFNA(VLOOKUP($BK523,Programma!$F$3:$S$1101,14,0),"")</f>
        <v/>
      </c>
      <c r="BY523" s="448" t="str">
        <f>_xlfn.IFNA(VLOOKUP($BK523,Programma!$F$3:$T$1101,15,0),"")</f>
        <v/>
      </c>
      <c r="BZ523" s="448" t="str">
        <f>_xlfn.IFNA(VLOOKUP($BK523,Programma!$F$3:$U$1101,16,0),"")</f>
        <v/>
      </c>
      <c r="CA523" s="448" t="str">
        <f>_xlfn.IFNA(VLOOKUP($BK523,Programma!$F$3:$V$1101,17,0),"")</f>
        <v/>
      </c>
      <c r="CB523" s="448" t="str">
        <f>_xlfn.IFNA(VLOOKUP($BK523,Programma!$F$3:$W$1101,18,0),"")</f>
        <v/>
      </c>
      <c r="CC523" s="448" t="str">
        <f>_xlfn.IFNA(VLOOKUP($BK523,Programma!$F$3:$X$1101,19,0),"")</f>
        <v/>
      </c>
      <c r="CD523" s="448" t="str">
        <f>_xlfn.IFNA(VLOOKUP($BK523,Programma!$F$3:$Y$1101,20,0),"")</f>
        <v/>
      </c>
    </row>
    <row r="524" spans="1:82" ht="15" customHeight="1">
      <c r="A524" s="327">
        <v>19</v>
      </c>
      <c r="B524" s="435" t="str">
        <f>VLOOKUP(Ruimtestaat[[#This Row],[Code]],Locaties[[Code]:[Locatie]],2,FALSE)</f>
        <v>IKC de Leerplaneet (vhKlimboom)</v>
      </c>
      <c r="C524" s="435" t="str">
        <f>VLOOKUP(Ruimtestaat[[#This Row],[Code]],Locaties[[#All],[Code]:[Adres]],4,FALSE)</f>
        <v>Nesciohove 105-107</v>
      </c>
      <c r="D524" s="435" t="str">
        <f>VLOOKUP(Ruimtestaat[[#This Row],[Code]],Locaties[[#All],[Code]:[Postcode]],5,FALSE)</f>
        <v>2726 BL</v>
      </c>
      <c r="E524" s="435" t="str">
        <f>VLOOKUP(Ruimtestaat[[#This Row],[Code]],Locaties[#All],6,FALSE)</f>
        <v>Zoetermeer</v>
      </c>
      <c r="F524" s="450"/>
      <c r="G524" s="330" t="s">
        <v>1678</v>
      </c>
      <c r="H524" s="330" t="s">
        <v>1827</v>
      </c>
      <c r="I524" s="450" t="s">
        <v>1901</v>
      </c>
      <c r="J524" s="330">
        <v>11</v>
      </c>
      <c r="K524" s="450" t="str">
        <f>VLOOKUP(Ruimtestaat[[#This Row],[Ruimte code]],Ruimtegroepen[[#All],[Code]:[Ruimte omschrijving]],2,FALSE)</f>
        <v>Garderobes</v>
      </c>
      <c r="L524" s="330" t="s">
        <v>101</v>
      </c>
      <c r="M524" s="437" t="s">
        <v>1816</v>
      </c>
      <c r="N524" s="439">
        <v>3</v>
      </c>
      <c r="O524" s="439"/>
      <c r="P524" s="439"/>
      <c r="Q524" s="439"/>
      <c r="R524" s="440" t="str">
        <f>VLOOKUP(Ruimtestaat[[#This Row],[Ruimte code]],Ruimtegroepen[],4,FALSE)</f>
        <v>Ve</v>
      </c>
      <c r="S524" s="434">
        <v>40</v>
      </c>
      <c r="T524" s="434" t="s">
        <v>2</v>
      </c>
      <c r="U524" s="453">
        <f>IF(S524&gt;0,IF(RIGHT(Ruimtestaat[[#This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4" s="434">
        <f>IF(U524&gt;0,VLOOKUP($J524,Ruimtegroepen[],3,FALSE)*VLOOKUP($L524,Vloersoorten[],3,FALSE)*VLOOKUP($T524,Frequenties[],3,FALSE)*VLOOKUP($A524,Locaties[],3,FALSE),0)</f>
        <v>0</v>
      </c>
      <c r="W524" s="434">
        <f>Ruimtestaat[[#This Row],[Uitvoeringen werkdagen]]*Ruimtestaat[[#This Row],[Oppervlak (netto)]]</f>
        <v>600</v>
      </c>
      <c r="X524" s="441">
        <f>IF(V524&gt;0,Ruimtestaat[[#This Row],[Prest. (m2 /jaar) werkdagen]]/Ruimtestaat[[#This Row],[Norm (m2/uur) werkdagen]],0)</f>
        <v>0</v>
      </c>
      <c r="Y524" s="442">
        <f>Ruimtestaat[[#This Row],[Uitvoeringen werkdagen]]*Ruimtestaat[[#This Row],[Gedeeltelijk]]</f>
        <v>0</v>
      </c>
      <c r="Z524" s="443" t="e">
        <f>IF(U524&gt;0,Ruimtestaat[[#This Row],[Prest. (m2 / jaar) werkdagen gedeeld]]/Ruimtestaat[[#This Row],[Norm (m2/uur) werkdagen]],0)</f>
        <v>#DIV/0!</v>
      </c>
      <c r="AA524" s="441" t="e">
        <f>Ruimtestaat[[#This Row],[uren / jaar werkdagen gedeeld]]*Tariefsopbouw!$E$35</f>
        <v>#DIV/0!</v>
      </c>
      <c r="AB524" s="441">
        <f>Ruimtestaat[[#This Row],[Uitvoeringen werkdagen]]*Ruimtestaat[[#This Row],[BSO]]</f>
        <v>0</v>
      </c>
      <c r="AC524" s="443" t="e">
        <f>IF(U524&gt;0,Ruimtestaat[[#This Row],[Prest. (m2 / jaar) werkdagen BSO]]/Ruimtestaat[[#This Row],[Norm (m2/uur) werkdagen]],0)</f>
        <v>#DIV/0!</v>
      </c>
      <c r="AD524" s="443" t="e">
        <f>Ruimtestaat[[#This Row],[uren / jaar werkdagen BSO]]*Tariefsopbouw!$E$35</f>
        <v>#DIV/0!</v>
      </c>
      <c r="AE524" s="444">
        <f>Ruimtestaat[[#This Row],[uren / jaar werkdagen]]*Tariefsopbouw!$E$35</f>
        <v>0</v>
      </c>
      <c r="AF524" s="454"/>
      <c r="AG524" s="455">
        <f>IF(Ruimtestaat[[#This Row],[Frequentie weekend]]&gt;0,VALUE(LEFT(AF524,1))*S524,0)</f>
        <v>0</v>
      </c>
      <c r="AH524" s="455">
        <f>IF($AG524&gt;0,VLOOKUP($J524,Ruimtegroepen[],3,FALSE)*VLOOKUP($L524,Vloersoorten[],3,FALSE)*VLOOKUP($AF524,Frequenties[],3,FALSE)*VLOOKUP(#REF!,Locaties[],3,FALSE),0)</f>
        <v>0</v>
      </c>
      <c r="AI524" s="434">
        <f>Ruimtestaat[[#This Row],[Uitvoeringen weekend]]*Ruimtestaat[[#This Row],[Oppervlak (netto)]]</f>
        <v>0</v>
      </c>
      <c r="AJ524" s="434">
        <f>IF(AH524&gt;0,Ruimtestaat[[#This Row],[Prest. (m2 /jaar) weekend]]/Ruimtestaat[[#This Row],[Norm (m2/uur) weekend]],0)</f>
        <v>0</v>
      </c>
      <c r="AK524" s="444">
        <f>Ruimtestaat[[#This Row],[uren / jaar weekend]]*Tariefsopbouw!$D$40</f>
        <v>0</v>
      </c>
      <c r="AL524" s="441">
        <f>Ruimtestaat[[#This Row],[Prest. (m2 /jaar) weekend]]+Ruimtestaat[[#This Row],[Prest. (m2 /jaar) werkdagen]]</f>
        <v>600</v>
      </c>
      <c r="AM524" s="441">
        <f>Ruimtestaat[[#This Row],[uren / jaar weekend]]+Ruimtestaat[[#This Row],[uren / jaar werkdagen]]</f>
        <v>0</v>
      </c>
      <c r="AN524" s="446">
        <f>Ruimtestaat[[#This Row],[kosten / jaar weekend]]+Ruimtestaat[[#This Row],[kosten / jaar werkdagen]]</f>
        <v>0</v>
      </c>
      <c r="AO524" s="446"/>
      <c r="AP524" s="446" t="str">
        <f>IF(Ruimtestaat[[#This Row],[Frequentie werkdagen]]="","",_xlfn.CONCAT(Ruimtestaat[[#This Row],[Ruimte code]],"-",Ruimtestaat[[#This Row],[Frequentie werkdagen]]," ",Ruimtestaat[[#This Row],[Vloer code]]))</f>
        <v>11-5w S</v>
      </c>
      <c r="AQ524" s="448" t="str">
        <f>_xlfn.IFNA(VLOOKUP($AP524,Programma!$F$3:$G$1101,2,0),"")</f>
        <v>_</v>
      </c>
      <c r="AR524" s="448" t="str">
        <f>_xlfn.IFNA(VLOOKUP($AP524,Programma!$F$3:$H$1101,3,0),"")</f>
        <v>_</v>
      </c>
      <c r="AS524" s="448" t="str">
        <f>_xlfn.IFNA(VLOOKUP($AP524,Programma!$F$3:$I$1101,4,0),"")</f>
        <v>4w</v>
      </c>
      <c r="AT524" s="448" t="str">
        <f>_xlfn.IFNA(VLOOKUP($AP524,Programma!$F$3:$J$1101,5,0),"")</f>
        <v>1w</v>
      </c>
      <c r="AU524" s="448" t="str">
        <f>_xlfn.IFNA(VLOOKUP($AP524,Programma!$F$3:$K$1101,6,0),"")</f>
        <v>4j</v>
      </c>
      <c r="AV524" s="448" t="str">
        <f>_xlfn.IFNA(VLOOKUP($AP524,Programma!$F$3:$L$1101,7,0),"")</f>
        <v>_</v>
      </c>
      <c r="AW524" s="448" t="str">
        <f>_xlfn.IFNA(VLOOKUP($AP524,Programma!$F$3:$M$1101,8,0),"")</f>
        <v>_</v>
      </c>
      <c r="AX524" s="448" t="str">
        <f>_xlfn.IFNA(VLOOKUP($AP524,Programma!$F$3:$N$1101,9,0),"")</f>
        <v>_</v>
      </c>
      <c r="AY524" s="448" t="str">
        <f>_xlfn.IFNA(VLOOKUP($AP524,Programma!$F$3:$O$1101,10,0),"")</f>
        <v>5w</v>
      </c>
      <c r="AZ524" s="448" t="str">
        <f>_xlfn.IFNA(VLOOKUP($AP524,Programma!$F$3:$P$1101,11,0),"")</f>
        <v>5w</v>
      </c>
      <c r="BA524" s="448" t="str">
        <f>_xlfn.IFNA(VLOOKUP($AP524,Programma!$F$3:$Q$1101,12,0),"")</f>
        <v>1w</v>
      </c>
      <c r="BB524" s="448" t="str">
        <f>_xlfn.IFNA(VLOOKUP($AP524,Programma!$F$3:$R$1101,13,0),"")</f>
        <v>1w</v>
      </c>
      <c r="BC524" s="448" t="str">
        <f>_xlfn.IFNA(VLOOKUP($AP524,Programma!$F$3:$S$1101,14,0),"")</f>
        <v>1m</v>
      </c>
      <c r="BD524" s="448" t="str">
        <f>_xlfn.IFNA(VLOOKUP($AP524,Programma!$F$3:$T$1101,15,0),"")</f>
        <v>2j</v>
      </c>
      <c r="BE524" s="448" t="str">
        <f>_xlfn.IFNA(VLOOKUP($AP524,Programma!$F$3:$U$1101,16,0),"")</f>
        <v>1j</v>
      </c>
      <c r="BF524" s="448" t="str">
        <f>_xlfn.IFNA(VLOOKUP($AP524,Programma!$F$3:$V$1101,17,0),"")</f>
        <v>_</v>
      </c>
      <c r="BG524" s="448" t="str">
        <f>_xlfn.IFNA(VLOOKUP($AP524,Programma!$F$3:$W$1101,18,0),"")</f>
        <v>_</v>
      </c>
      <c r="BH524" s="448" t="str">
        <f>_xlfn.IFNA(VLOOKUP($AP524,Programma!$F$3:$X$1101,19,0),"")</f>
        <v>_</v>
      </c>
      <c r="BI524" s="448" t="str">
        <f>_xlfn.IFNA(VLOOKUP($AP524,Programma!$F$3:$Y$1101,20,0),"")</f>
        <v>_</v>
      </c>
      <c r="BJ524" s="449"/>
      <c r="BK524" s="446" t="str">
        <f>IF(Ruimtestaat[[#This Row],[Frequentie weekend]]="","",_xlfn.CONCAT(Ruimtestaat[[#This Row],[Ruimte code]],"-",Ruimtestaat[[#This Row],[Frequentie weekend]]," ",Ruimtestaat[[#This Row],[Vloer code]]))</f>
        <v/>
      </c>
      <c r="BL524" s="448" t="str">
        <f>_xlfn.IFNA(VLOOKUP($BK524,Programma!$F$3:$G$1101,2,0),"")</f>
        <v/>
      </c>
      <c r="BM524" s="448" t="str">
        <f>_xlfn.IFNA(VLOOKUP($BK524,Programma!$F$3:$H$1101,3,0),"")</f>
        <v/>
      </c>
      <c r="BN524" s="448" t="str">
        <f>_xlfn.IFNA(VLOOKUP($BK524,Programma!$F$3:$I$1101,4,0),"")</f>
        <v/>
      </c>
      <c r="BO524" s="448" t="str">
        <f>_xlfn.IFNA(VLOOKUP($BK524,Programma!$F$3:$J$1101,5,0),"")</f>
        <v/>
      </c>
      <c r="BP524" s="448" t="str">
        <f>_xlfn.IFNA(VLOOKUP($BK524,Programma!$F$3:$K$1101,6,0),"")</f>
        <v/>
      </c>
      <c r="BQ524" s="448" t="str">
        <f>_xlfn.IFNA(VLOOKUP($BK524,Programma!$F$3:$L$1101,7,0),"")</f>
        <v/>
      </c>
      <c r="BR524" s="448" t="str">
        <f>_xlfn.IFNA(VLOOKUP($BK524,Programma!$F$3:$M$1101,8,0),"")</f>
        <v/>
      </c>
      <c r="BS524" s="448" t="str">
        <f>_xlfn.IFNA(VLOOKUP($BK524,Programma!$F$3:$N$1101,9,0),"")</f>
        <v/>
      </c>
      <c r="BT524" s="448" t="str">
        <f>_xlfn.IFNA(VLOOKUP($BK524,Programma!$F$3:$O$1101,10,0),"")</f>
        <v/>
      </c>
      <c r="BU524" s="448" t="str">
        <f>_xlfn.IFNA(VLOOKUP($BK524,Programma!$F$3:$P$1101,11,0),"")</f>
        <v/>
      </c>
      <c r="BV524" s="448" t="str">
        <f>_xlfn.IFNA(VLOOKUP($BK524,Programma!$F$3:$Q$1101,12,0),"")</f>
        <v/>
      </c>
      <c r="BW524" s="448" t="str">
        <f>_xlfn.IFNA(VLOOKUP($BK524,Programma!$F$3:$R$1101,13,0),"")</f>
        <v/>
      </c>
      <c r="BX524" s="448" t="str">
        <f>_xlfn.IFNA(VLOOKUP($BK524,Programma!$F$3:$S$1101,14,0),"")</f>
        <v/>
      </c>
      <c r="BY524" s="448" t="str">
        <f>_xlfn.IFNA(VLOOKUP($BK524,Programma!$F$3:$T$1101,15,0),"")</f>
        <v/>
      </c>
      <c r="BZ524" s="448" t="str">
        <f>_xlfn.IFNA(VLOOKUP($BK524,Programma!$F$3:$U$1101,16,0),"")</f>
        <v/>
      </c>
      <c r="CA524" s="448" t="str">
        <f>_xlfn.IFNA(VLOOKUP($BK524,Programma!$F$3:$V$1101,17,0),"")</f>
        <v/>
      </c>
      <c r="CB524" s="448" t="str">
        <f>_xlfn.IFNA(VLOOKUP($BK524,Programma!$F$3:$W$1101,18,0),"")</f>
        <v/>
      </c>
      <c r="CC524" s="448" t="str">
        <f>_xlfn.IFNA(VLOOKUP($BK524,Programma!$F$3:$X$1101,19,0),"")</f>
        <v/>
      </c>
      <c r="CD524" s="448" t="str">
        <f>_xlfn.IFNA(VLOOKUP($BK524,Programma!$F$3:$Y$1101,20,0),"")</f>
        <v/>
      </c>
    </row>
    <row r="525" spans="1:82" ht="15" customHeight="1">
      <c r="A525" s="327">
        <v>19</v>
      </c>
      <c r="B525" s="435" t="str">
        <f>VLOOKUP(Ruimtestaat[[#This Row],[Code]],Locaties[[Code]:[Locatie]],2,FALSE)</f>
        <v>IKC de Leerplaneet (vhKlimboom)</v>
      </c>
      <c r="C525" s="435" t="str">
        <f>VLOOKUP(Ruimtestaat[[#This Row],[Code]],Locaties[[#All],[Code]:[Adres]],4,FALSE)</f>
        <v>Nesciohove 105-107</v>
      </c>
      <c r="D525" s="435" t="str">
        <f>VLOOKUP(Ruimtestaat[[#This Row],[Code]],Locaties[[#All],[Code]:[Postcode]],5,FALSE)</f>
        <v>2726 BL</v>
      </c>
      <c r="E525" s="435" t="str">
        <f>VLOOKUP(Ruimtestaat[[#This Row],[Code]],Locaties[#All],6,FALSE)</f>
        <v>Zoetermeer</v>
      </c>
      <c r="F525" s="450"/>
      <c r="G525" s="330" t="s">
        <v>1678</v>
      </c>
      <c r="H525" s="330" t="s">
        <v>1828</v>
      </c>
      <c r="I525" s="450" t="s">
        <v>1842</v>
      </c>
      <c r="J525" s="330">
        <v>16</v>
      </c>
      <c r="K525" s="450" t="str">
        <f>VLOOKUP(Ruimtestaat[[#This Row],[Ruimte code]],Ruimtegroepen[[#All],[Code]:[Ruimte omschrijving]],2,FALSE)</f>
        <v>Leslokalen</v>
      </c>
      <c r="L525" s="330" t="s">
        <v>101</v>
      </c>
      <c r="M525" s="437" t="s">
        <v>1816</v>
      </c>
      <c r="N525" s="439">
        <v>56.1</v>
      </c>
      <c r="O525" s="439"/>
      <c r="P525" s="439"/>
      <c r="Q525" s="439"/>
      <c r="R525" s="440" t="str">
        <f>VLOOKUP(Ruimtestaat[[#This Row],[Ruimte code]],Ruimtegroepen[],4,FALSE)</f>
        <v>Le</v>
      </c>
      <c r="S525" s="434">
        <v>40</v>
      </c>
      <c r="T525" s="434" t="s">
        <v>2</v>
      </c>
      <c r="U525" s="453">
        <f>IF(S525&gt;0,IF(RIGHT(Ruimtestaat[[#This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5" s="434">
        <f>IF(U525&gt;0,VLOOKUP($J525,Ruimtegroepen[],3,FALSE)*VLOOKUP($L525,Vloersoorten[],3,FALSE)*VLOOKUP($T525,Frequenties[],3,FALSE)*VLOOKUP($A525,Locaties[],3,FALSE),0)</f>
        <v>0</v>
      </c>
      <c r="W525" s="434">
        <f>Ruimtestaat[[#This Row],[Uitvoeringen werkdagen]]*Ruimtestaat[[#This Row],[Oppervlak (netto)]]</f>
        <v>11220</v>
      </c>
      <c r="X525" s="441">
        <f>IF(V525&gt;0,Ruimtestaat[[#This Row],[Prest. (m2 /jaar) werkdagen]]/Ruimtestaat[[#This Row],[Norm (m2/uur) werkdagen]],0)</f>
        <v>0</v>
      </c>
      <c r="Y525" s="442">
        <f>Ruimtestaat[[#This Row],[Uitvoeringen werkdagen]]*Ruimtestaat[[#This Row],[Gedeeltelijk]]</f>
        <v>0</v>
      </c>
      <c r="Z525" s="443" t="e">
        <f>IF(U525&gt;0,Ruimtestaat[[#This Row],[Prest. (m2 / jaar) werkdagen gedeeld]]/Ruimtestaat[[#This Row],[Norm (m2/uur) werkdagen]],0)</f>
        <v>#DIV/0!</v>
      </c>
      <c r="AA525" s="441" t="e">
        <f>Ruimtestaat[[#This Row],[uren / jaar werkdagen gedeeld]]*Tariefsopbouw!$E$35</f>
        <v>#DIV/0!</v>
      </c>
      <c r="AB525" s="441">
        <f>Ruimtestaat[[#This Row],[Uitvoeringen werkdagen]]*Ruimtestaat[[#This Row],[BSO]]</f>
        <v>0</v>
      </c>
      <c r="AC525" s="443" t="e">
        <f>IF(U525&gt;0,Ruimtestaat[[#This Row],[Prest. (m2 / jaar) werkdagen BSO]]/Ruimtestaat[[#This Row],[Norm (m2/uur) werkdagen]],0)</f>
        <v>#DIV/0!</v>
      </c>
      <c r="AD525" s="443" t="e">
        <f>Ruimtestaat[[#This Row],[uren / jaar werkdagen BSO]]*Tariefsopbouw!$E$35</f>
        <v>#DIV/0!</v>
      </c>
      <c r="AE525" s="444">
        <f>Ruimtestaat[[#This Row],[uren / jaar werkdagen]]*Tariefsopbouw!$E$35</f>
        <v>0</v>
      </c>
      <c r="AF525" s="454"/>
      <c r="AG525" s="455">
        <f>IF(Ruimtestaat[[#This Row],[Frequentie weekend]]&gt;0,VALUE(LEFT(AF525,1))*S525,0)</f>
        <v>0</v>
      </c>
      <c r="AH525" s="455">
        <f>IF($AG525&gt;0,VLOOKUP($J525,Ruimtegroepen[],3,FALSE)*VLOOKUP($L525,Vloersoorten[],3,FALSE)*VLOOKUP($AF525,Frequenties[],3,FALSE)*VLOOKUP(#REF!,Locaties[],3,FALSE),0)</f>
        <v>0</v>
      </c>
      <c r="AI525" s="434">
        <f>Ruimtestaat[[#This Row],[Uitvoeringen weekend]]*Ruimtestaat[[#This Row],[Oppervlak (netto)]]</f>
        <v>0</v>
      </c>
      <c r="AJ525" s="434">
        <f>IF(AH525&gt;0,Ruimtestaat[[#This Row],[Prest. (m2 /jaar) weekend]]/Ruimtestaat[[#This Row],[Norm (m2/uur) weekend]],0)</f>
        <v>0</v>
      </c>
      <c r="AK525" s="444">
        <f>Ruimtestaat[[#This Row],[uren / jaar weekend]]*Tariefsopbouw!$D$40</f>
        <v>0</v>
      </c>
      <c r="AL525" s="441">
        <f>Ruimtestaat[[#This Row],[Prest. (m2 /jaar) weekend]]+Ruimtestaat[[#This Row],[Prest. (m2 /jaar) werkdagen]]</f>
        <v>11220</v>
      </c>
      <c r="AM525" s="441">
        <f>Ruimtestaat[[#This Row],[uren / jaar weekend]]+Ruimtestaat[[#This Row],[uren / jaar werkdagen]]</f>
        <v>0</v>
      </c>
      <c r="AN525" s="446">
        <f>Ruimtestaat[[#This Row],[kosten / jaar weekend]]+Ruimtestaat[[#This Row],[kosten / jaar werkdagen]]</f>
        <v>0</v>
      </c>
      <c r="AO525" s="446"/>
      <c r="AP525" s="446" t="str">
        <f>IF(Ruimtestaat[[#This Row],[Frequentie werkdagen]]="","",_xlfn.CONCAT(Ruimtestaat[[#This Row],[Ruimte code]],"-",Ruimtestaat[[#This Row],[Frequentie werkdagen]]," ",Ruimtestaat[[#This Row],[Vloer code]]))</f>
        <v>16-5w S</v>
      </c>
      <c r="AQ525" s="448" t="str">
        <f>_xlfn.IFNA(VLOOKUP($AP525,Programma!$F$3:$G$1101,2,0),"")</f>
        <v>_</v>
      </c>
      <c r="AR525" s="448" t="str">
        <f>_xlfn.IFNA(VLOOKUP($AP525,Programma!$F$3:$H$1101,3,0),"")</f>
        <v>_</v>
      </c>
      <c r="AS525" s="448" t="str">
        <f>_xlfn.IFNA(VLOOKUP($AP525,Programma!$F$3:$I$1101,4,0),"")</f>
        <v>4w</v>
      </c>
      <c r="AT525" s="448" t="str">
        <f>_xlfn.IFNA(VLOOKUP($AP525,Programma!$F$3:$J$1101,5,0),"")</f>
        <v>1w</v>
      </c>
      <c r="AU525" s="448" t="str">
        <f>_xlfn.IFNA(VLOOKUP($AP525,Programma!$F$3:$K$1101,6,0),"")</f>
        <v>1m</v>
      </c>
      <c r="AV525" s="448" t="str">
        <f>_xlfn.IFNA(VLOOKUP($AP525,Programma!$F$3:$L$1101,7,0),"")</f>
        <v>_</v>
      </c>
      <c r="AW525" s="448" t="str">
        <f>_xlfn.IFNA(VLOOKUP($AP525,Programma!$F$3:$M$1101,8,0),"")</f>
        <v>_</v>
      </c>
      <c r="AX525" s="448" t="str">
        <f>_xlfn.IFNA(VLOOKUP($AP525,Programma!$F$3:$N$1101,9,0),"")</f>
        <v>_</v>
      </c>
      <c r="AY525" s="448" t="str">
        <f>_xlfn.IFNA(VLOOKUP($AP525,Programma!$F$3:$O$1101,10,0),"")</f>
        <v>5w</v>
      </c>
      <c r="AZ525" s="448" t="str">
        <f>_xlfn.IFNA(VLOOKUP($AP525,Programma!$F$3:$P$1101,11,0),"")</f>
        <v>5w</v>
      </c>
      <c r="BA525" s="448" t="str">
        <f>_xlfn.IFNA(VLOOKUP($AP525,Programma!$F$3:$Q$1101,12,0),"")</f>
        <v>1w</v>
      </c>
      <c r="BB525" s="448" t="str">
        <f>_xlfn.IFNA(VLOOKUP($AP525,Programma!$F$3:$R$1101,13,0),"")</f>
        <v>1w</v>
      </c>
      <c r="BC525" s="448" t="str">
        <f>_xlfn.IFNA(VLOOKUP($AP525,Programma!$F$3:$S$1101,14,0),"")</f>
        <v>1m</v>
      </c>
      <c r="BD525" s="448" t="str">
        <f>_xlfn.IFNA(VLOOKUP($AP525,Programma!$F$3:$T$1101,15,0),"")</f>
        <v>2j</v>
      </c>
      <c r="BE525" s="448" t="str">
        <f>_xlfn.IFNA(VLOOKUP($AP525,Programma!$F$3:$U$1101,16,0),"")</f>
        <v>1j</v>
      </c>
      <c r="BF525" s="448" t="str">
        <f>_xlfn.IFNA(VLOOKUP($AP525,Programma!$F$3:$V$1101,17,0),"")</f>
        <v>_</v>
      </c>
      <c r="BG525" s="448" t="str">
        <f>_xlfn.IFNA(VLOOKUP($AP525,Programma!$F$3:$W$1101,18,0),"")</f>
        <v>_</v>
      </c>
      <c r="BH525" s="448" t="str">
        <f>_xlfn.IFNA(VLOOKUP($AP525,Programma!$F$3:$X$1101,19,0),"")</f>
        <v>_</v>
      </c>
      <c r="BI525" s="448" t="str">
        <f>_xlfn.IFNA(VLOOKUP($AP525,Programma!$F$3:$Y$1101,20,0),"")</f>
        <v>_</v>
      </c>
      <c r="BJ525" s="449"/>
      <c r="BK525" s="446" t="str">
        <f>IF(Ruimtestaat[[#This Row],[Frequentie weekend]]="","",_xlfn.CONCAT(Ruimtestaat[[#This Row],[Ruimte code]],"-",Ruimtestaat[[#This Row],[Frequentie weekend]]," ",Ruimtestaat[[#This Row],[Vloer code]]))</f>
        <v/>
      </c>
      <c r="BL525" s="448" t="str">
        <f>_xlfn.IFNA(VLOOKUP($BK525,Programma!$F$3:$G$1101,2,0),"")</f>
        <v/>
      </c>
      <c r="BM525" s="448" t="str">
        <f>_xlfn.IFNA(VLOOKUP($BK525,Programma!$F$3:$H$1101,3,0),"")</f>
        <v/>
      </c>
      <c r="BN525" s="448" t="str">
        <f>_xlfn.IFNA(VLOOKUP($BK525,Programma!$F$3:$I$1101,4,0),"")</f>
        <v/>
      </c>
      <c r="BO525" s="448" t="str">
        <f>_xlfn.IFNA(VLOOKUP($BK525,Programma!$F$3:$J$1101,5,0),"")</f>
        <v/>
      </c>
      <c r="BP525" s="448" t="str">
        <f>_xlfn.IFNA(VLOOKUP($BK525,Programma!$F$3:$K$1101,6,0),"")</f>
        <v/>
      </c>
      <c r="BQ525" s="448" t="str">
        <f>_xlfn.IFNA(VLOOKUP($BK525,Programma!$F$3:$L$1101,7,0),"")</f>
        <v/>
      </c>
      <c r="BR525" s="448" t="str">
        <f>_xlfn.IFNA(VLOOKUP($BK525,Programma!$F$3:$M$1101,8,0),"")</f>
        <v/>
      </c>
      <c r="BS525" s="448" t="str">
        <f>_xlfn.IFNA(VLOOKUP($BK525,Programma!$F$3:$N$1101,9,0),"")</f>
        <v/>
      </c>
      <c r="BT525" s="448" t="str">
        <f>_xlfn.IFNA(VLOOKUP($BK525,Programma!$F$3:$O$1101,10,0),"")</f>
        <v/>
      </c>
      <c r="BU525" s="448" t="str">
        <f>_xlfn.IFNA(VLOOKUP($BK525,Programma!$F$3:$P$1101,11,0),"")</f>
        <v/>
      </c>
      <c r="BV525" s="448" t="str">
        <f>_xlfn.IFNA(VLOOKUP($BK525,Programma!$F$3:$Q$1101,12,0),"")</f>
        <v/>
      </c>
      <c r="BW525" s="448" t="str">
        <f>_xlfn.IFNA(VLOOKUP($BK525,Programma!$F$3:$R$1101,13,0),"")</f>
        <v/>
      </c>
      <c r="BX525" s="448" t="str">
        <f>_xlfn.IFNA(VLOOKUP($BK525,Programma!$F$3:$S$1101,14,0),"")</f>
        <v/>
      </c>
      <c r="BY525" s="448" t="str">
        <f>_xlfn.IFNA(VLOOKUP($BK525,Programma!$F$3:$T$1101,15,0),"")</f>
        <v/>
      </c>
      <c r="BZ525" s="448" t="str">
        <f>_xlfn.IFNA(VLOOKUP($BK525,Programma!$F$3:$U$1101,16,0),"")</f>
        <v/>
      </c>
      <c r="CA525" s="448" t="str">
        <f>_xlfn.IFNA(VLOOKUP($BK525,Programma!$F$3:$V$1101,17,0),"")</f>
        <v/>
      </c>
      <c r="CB525" s="448" t="str">
        <f>_xlfn.IFNA(VLOOKUP($BK525,Programma!$F$3:$W$1101,18,0),"")</f>
        <v/>
      </c>
      <c r="CC525" s="448" t="str">
        <f>_xlfn.IFNA(VLOOKUP($BK525,Programma!$F$3:$X$1101,19,0),"")</f>
        <v/>
      </c>
      <c r="CD525" s="448" t="str">
        <f>_xlfn.IFNA(VLOOKUP($BK525,Programma!$F$3:$Y$1101,20,0),"")</f>
        <v/>
      </c>
    </row>
    <row r="526" spans="1:82" ht="15" customHeight="1">
      <c r="A526" s="327">
        <v>19</v>
      </c>
      <c r="B526" s="435" t="str">
        <f>VLOOKUP(Ruimtestaat[[#This Row],[Code]],Locaties[[Code]:[Locatie]],2,FALSE)</f>
        <v>IKC de Leerplaneet (vhKlimboom)</v>
      </c>
      <c r="C526" s="435" t="str">
        <f>VLOOKUP(Ruimtestaat[[#This Row],[Code]],Locaties[[#All],[Code]:[Adres]],4,FALSE)</f>
        <v>Nesciohove 105-107</v>
      </c>
      <c r="D526" s="435" t="str">
        <f>VLOOKUP(Ruimtestaat[[#This Row],[Code]],Locaties[[#All],[Code]:[Postcode]],5,FALSE)</f>
        <v>2726 BL</v>
      </c>
      <c r="E526" s="435" t="str">
        <f>VLOOKUP(Ruimtestaat[[#This Row],[Code]],Locaties[#All],6,FALSE)</f>
        <v>Zoetermeer</v>
      </c>
      <c r="F526" s="450"/>
      <c r="G526" s="330" t="s">
        <v>1678</v>
      </c>
      <c r="H526" s="330" t="s">
        <v>1828</v>
      </c>
      <c r="I526" s="450" t="s">
        <v>1901</v>
      </c>
      <c r="J526" s="330">
        <v>11</v>
      </c>
      <c r="K526" s="450" t="str">
        <f>VLOOKUP(Ruimtestaat[[#This Row],[Ruimte code]],Ruimtegroepen[[#All],[Code]:[Ruimte omschrijving]],2,FALSE)</f>
        <v>Garderobes</v>
      </c>
      <c r="L526" s="330" t="s">
        <v>101</v>
      </c>
      <c r="M526" s="437" t="s">
        <v>1816</v>
      </c>
      <c r="N526" s="439">
        <v>3</v>
      </c>
      <c r="O526" s="439"/>
      <c r="P526" s="439"/>
      <c r="Q526" s="439"/>
      <c r="R526" s="440" t="str">
        <f>VLOOKUP(Ruimtestaat[[#This Row],[Ruimte code]],Ruimtegroepen[],4,FALSE)</f>
        <v>Ve</v>
      </c>
      <c r="S526" s="434">
        <v>40</v>
      </c>
      <c r="T526" s="434" t="s">
        <v>2</v>
      </c>
      <c r="U526" s="453">
        <f>IF(S526&gt;0,IF(RIGHT(Ruimtestaat[[#This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6" s="434">
        <f>IF(U526&gt;0,VLOOKUP($J526,Ruimtegroepen[],3,FALSE)*VLOOKUP($L526,Vloersoorten[],3,FALSE)*VLOOKUP($T526,Frequenties[],3,FALSE)*VLOOKUP($A526,Locaties[],3,FALSE),0)</f>
        <v>0</v>
      </c>
      <c r="W526" s="434">
        <f>Ruimtestaat[[#This Row],[Uitvoeringen werkdagen]]*Ruimtestaat[[#This Row],[Oppervlak (netto)]]</f>
        <v>600</v>
      </c>
      <c r="X526" s="441">
        <f>IF(V526&gt;0,Ruimtestaat[[#This Row],[Prest. (m2 /jaar) werkdagen]]/Ruimtestaat[[#This Row],[Norm (m2/uur) werkdagen]],0)</f>
        <v>0</v>
      </c>
      <c r="Y526" s="442">
        <f>Ruimtestaat[[#This Row],[Uitvoeringen werkdagen]]*Ruimtestaat[[#This Row],[Gedeeltelijk]]</f>
        <v>0</v>
      </c>
      <c r="Z526" s="443" t="e">
        <f>IF(U526&gt;0,Ruimtestaat[[#This Row],[Prest. (m2 / jaar) werkdagen gedeeld]]/Ruimtestaat[[#This Row],[Norm (m2/uur) werkdagen]],0)</f>
        <v>#DIV/0!</v>
      </c>
      <c r="AA526" s="441" t="e">
        <f>Ruimtestaat[[#This Row],[uren / jaar werkdagen gedeeld]]*Tariefsopbouw!$E$35</f>
        <v>#DIV/0!</v>
      </c>
      <c r="AB526" s="441">
        <f>Ruimtestaat[[#This Row],[Uitvoeringen werkdagen]]*Ruimtestaat[[#This Row],[BSO]]</f>
        <v>0</v>
      </c>
      <c r="AC526" s="443" t="e">
        <f>IF(U526&gt;0,Ruimtestaat[[#This Row],[Prest. (m2 / jaar) werkdagen BSO]]/Ruimtestaat[[#This Row],[Norm (m2/uur) werkdagen]],0)</f>
        <v>#DIV/0!</v>
      </c>
      <c r="AD526" s="443" t="e">
        <f>Ruimtestaat[[#This Row],[uren / jaar werkdagen BSO]]*Tariefsopbouw!$E$35</f>
        <v>#DIV/0!</v>
      </c>
      <c r="AE526" s="444">
        <f>Ruimtestaat[[#This Row],[uren / jaar werkdagen]]*Tariefsopbouw!$E$35</f>
        <v>0</v>
      </c>
      <c r="AF526" s="454"/>
      <c r="AG526" s="455">
        <f>IF(Ruimtestaat[[#This Row],[Frequentie weekend]]&gt;0,VALUE(LEFT(AF526,1))*S526,0)</f>
        <v>0</v>
      </c>
      <c r="AH526" s="455">
        <f>IF($AG526&gt;0,VLOOKUP($J526,Ruimtegroepen[],3,FALSE)*VLOOKUP($L526,Vloersoorten[],3,FALSE)*VLOOKUP($AF526,Frequenties[],3,FALSE)*VLOOKUP(#REF!,Locaties[],3,FALSE),0)</f>
        <v>0</v>
      </c>
      <c r="AI526" s="434">
        <f>Ruimtestaat[[#This Row],[Uitvoeringen weekend]]*Ruimtestaat[[#This Row],[Oppervlak (netto)]]</f>
        <v>0</v>
      </c>
      <c r="AJ526" s="434">
        <f>IF(AH526&gt;0,Ruimtestaat[[#This Row],[Prest. (m2 /jaar) weekend]]/Ruimtestaat[[#This Row],[Norm (m2/uur) weekend]],0)</f>
        <v>0</v>
      </c>
      <c r="AK526" s="444">
        <f>Ruimtestaat[[#This Row],[uren / jaar weekend]]*Tariefsopbouw!$D$40</f>
        <v>0</v>
      </c>
      <c r="AL526" s="441">
        <f>Ruimtestaat[[#This Row],[Prest. (m2 /jaar) weekend]]+Ruimtestaat[[#This Row],[Prest. (m2 /jaar) werkdagen]]</f>
        <v>600</v>
      </c>
      <c r="AM526" s="441">
        <f>Ruimtestaat[[#This Row],[uren / jaar weekend]]+Ruimtestaat[[#This Row],[uren / jaar werkdagen]]</f>
        <v>0</v>
      </c>
      <c r="AN526" s="446">
        <f>Ruimtestaat[[#This Row],[kosten / jaar weekend]]+Ruimtestaat[[#This Row],[kosten / jaar werkdagen]]</f>
        <v>0</v>
      </c>
      <c r="AO526" s="446"/>
      <c r="AP526" s="446" t="str">
        <f>IF(Ruimtestaat[[#This Row],[Frequentie werkdagen]]="","",_xlfn.CONCAT(Ruimtestaat[[#This Row],[Ruimte code]],"-",Ruimtestaat[[#This Row],[Frequentie werkdagen]]," ",Ruimtestaat[[#This Row],[Vloer code]]))</f>
        <v>11-5w S</v>
      </c>
      <c r="AQ526" s="448" t="str">
        <f>_xlfn.IFNA(VLOOKUP($AP526,Programma!$F$3:$G$1101,2,0),"")</f>
        <v>_</v>
      </c>
      <c r="AR526" s="448" t="str">
        <f>_xlfn.IFNA(VLOOKUP($AP526,Programma!$F$3:$H$1101,3,0),"")</f>
        <v>_</v>
      </c>
      <c r="AS526" s="448" t="str">
        <f>_xlfn.IFNA(VLOOKUP($AP526,Programma!$F$3:$I$1101,4,0),"")</f>
        <v>4w</v>
      </c>
      <c r="AT526" s="448" t="str">
        <f>_xlfn.IFNA(VLOOKUP($AP526,Programma!$F$3:$J$1101,5,0),"")</f>
        <v>1w</v>
      </c>
      <c r="AU526" s="448" t="str">
        <f>_xlfn.IFNA(VLOOKUP($AP526,Programma!$F$3:$K$1101,6,0),"")</f>
        <v>4j</v>
      </c>
      <c r="AV526" s="448" t="str">
        <f>_xlfn.IFNA(VLOOKUP($AP526,Programma!$F$3:$L$1101,7,0),"")</f>
        <v>_</v>
      </c>
      <c r="AW526" s="448" t="str">
        <f>_xlfn.IFNA(VLOOKUP($AP526,Programma!$F$3:$M$1101,8,0),"")</f>
        <v>_</v>
      </c>
      <c r="AX526" s="448" t="str">
        <f>_xlfn.IFNA(VLOOKUP($AP526,Programma!$F$3:$N$1101,9,0),"")</f>
        <v>_</v>
      </c>
      <c r="AY526" s="448" t="str">
        <f>_xlfn.IFNA(VLOOKUP($AP526,Programma!$F$3:$O$1101,10,0),"")</f>
        <v>5w</v>
      </c>
      <c r="AZ526" s="448" t="str">
        <f>_xlfn.IFNA(VLOOKUP($AP526,Programma!$F$3:$P$1101,11,0),"")</f>
        <v>5w</v>
      </c>
      <c r="BA526" s="448" t="str">
        <f>_xlfn.IFNA(VLOOKUP($AP526,Programma!$F$3:$Q$1101,12,0),"")</f>
        <v>1w</v>
      </c>
      <c r="BB526" s="448" t="str">
        <f>_xlfn.IFNA(VLOOKUP($AP526,Programma!$F$3:$R$1101,13,0),"")</f>
        <v>1w</v>
      </c>
      <c r="BC526" s="448" t="str">
        <f>_xlfn.IFNA(VLOOKUP($AP526,Programma!$F$3:$S$1101,14,0),"")</f>
        <v>1m</v>
      </c>
      <c r="BD526" s="448" t="str">
        <f>_xlfn.IFNA(VLOOKUP($AP526,Programma!$F$3:$T$1101,15,0),"")</f>
        <v>2j</v>
      </c>
      <c r="BE526" s="448" t="str">
        <f>_xlfn.IFNA(VLOOKUP($AP526,Programma!$F$3:$U$1101,16,0),"")</f>
        <v>1j</v>
      </c>
      <c r="BF526" s="448" t="str">
        <f>_xlfn.IFNA(VLOOKUP($AP526,Programma!$F$3:$V$1101,17,0),"")</f>
        <v>_</v>
      </c>
      <c r="BG526" s="448" t="str">
        <f>_xlfn.IFNA(VLOOKUP($AP526,Programma!$F$3:$W$1101,18,0),"")</f>
        <v>_</v>
      </c>
      <c r="BH526" s="448" t="str">
        <f>_xlfn.IFNA(VLOOKUP($AP526,Programma!$F$3:$X$1101,19,0),"")</f>
        <v>_</v>
      </c>
      <c r="BI526" s="448" t="str">
        <f>_xlfn.IFNA(VLOOKUP($AP526,Programma!$F$3:$Y$1101,20,0),"")</f>
        <v>_</v>
      </c>
      <c r="BJ526" s="449"/>
      <c r="BK526" s="446" t="str">
        <f>IF(Ruimtestaat[[#This Row],[Frequentie weekend]]="","",_xlfn.CONCAT(Ruimtestaat[[#This Row],[Ruimte code]],"-",Ruimtestaat[[#This Row],[Frequentie weekend]]," ",Ruimtestaat[[#This Row],[Vloer code]]))</f>
        <v/>
      </c>
      <c r="BL526" s="448" t="str">
        <f>_xlfn.IFNA(VLOOKUP($BK526,Programma!$F$3:$G$1101,2,0),"")</f>
        <v/>
      </c>
      <c r="BM526" s="448" t="str">
        <f>_xlfn.IFNA(VLOOKUP($BK526,Programma!$F$3:$H$1101,3,0),"")</f>
        <v/>
      </c>
      <c r="BN526" s="448" t="str">
        <f>_xlfn.IFNA(VLOOKUP($BK526,Programma!$F$3:$I$1101,4,0),"")</f>
        <v/>
      </c>
      <c r="BO526" s="448" t="str">
        <f>_xlfn.IFNA(VLOOKUP($BK526,Programma!$F$3:$J$1101,5,0),"")</f>
        <v/>
      </c>
      <c r="BP526" s="448" t="str">
        <f>_xlfn.IFNA(VLOOKUP($BK526,Programma!$F$3:$K$1101,6,0),"")</f>
        <v/>
      </c>
      <c r="BQ526" s="448" t="str">
        <f>_xlfn.IFNA(VLOOKUP($BK526,Programma!$F$3:$L$1101,7,0),"")</f>
        <v/>
      </c>
      <c r="BR526" s="448" t="str">
        <f>_xlfn.IFNA(VLOOKUP($BK526,Programma!$F$3:$M$1101,8,0),"")</f>
        <v/>
      </c>
      <c r="BS526" s="448" t="str">
        <f>_xlfn.IFNA(VLOOKUP($BK526,Programma!$F$3:$N$1101,9,0),"")</f>
        <v/>
      </c>
      <c r="BT526" s="448" t="str">
        <f>_xlfn.IFNA(VLOOKUP($BK526,Programma!$F$3:$O$1101,10,0),"")</f>
        <v/>
      </c>
      <c r="BU526" s="448" t="str">
        <f>_xlfn.IFNA(VLOOKUP($BK526,Programma!$F$3:$P$1101,11,0),"")</f>
        <v/>
      </c>
      <c r="BV526" s="448" t="str">
        <f>_xlfn.IFNA(VLOOKUP($BK526,Programma!$F$3:$Q$1101,12,0),"")</f>
        <v/>
      </c>
      <c r="BW526" s="448" t="str">
        <f>_xlfn.IFNA(VLOOKUP($BK526,Programma!$F$3:$R$1101,13,0),"")</f>
        <v/>
      </c>
      <c r="BX526" s="448" t="str">
        <f>_xlfn.IFNA(VLOOKUP($BK526,Programma!$F$3:$S$1101,14,0),"")</f>
        <v/>
      </c>
      <c r="BY526" s="448" t="str">
        <f>_xlfn.IFNA(VLOOKUP($BK526,Programma!$F$3:$T$1101,15,0),"")</f>
        <v/>
      </c>
      <c r="BZ526" s="448" t="str">
        <f>_xlfn.IFNA(VLOOKUP($BK526,Programma!$F$3:$U$1101,16,0),"")</f>
        <v/>
      </c>
      <c r="CA526" s="448" t="str">
        <f>_xlfn.IFNA(VLOOKUP($BK526,Programma!$F$3:$V$1101,17,0),"")</f>
        <v/>
      </c>
      <c r="CB526" s="448" t="str">
        <f>_xlfn.IFNA(VLOOKUP($BK526,Programma!$F$3:$W$1101,18,0),"")</f>
        <v/>
      </c>
      <c r="CC526" s="448" t="str">
        <f>_xlfn.IFNA(VLOOKUP($BK526,Programma!$F$3:$X$1101,19,0),"")</f>
        <v/>
      </c>
      <c r="CD526" s="448" t="str">
        <f>_xlfn.IFNA(VLOOKUP($BK526,Programma!$F$3:$Y$1101,20,0),"")</f>
        <v/>
      </c>
    </row>
    <row r="527" spans="1:82" ht="15" customHeight="1">
      <c r="A527" s="327">
        <v>19</v>
      </c>
      <c r="B527" s="435" t="str">
        <f>VLOOKUP(Ruimtestaat[[#This Row],[Code]],Locaties[[Code]:[Locatie]],2,FALSE)</f>
        <v>IKC de Leerplaneet (vhKlimboom)</v>
      </c>
      <c r="C527" s="435" t="str">
        <f>VLOOKUP(Ruimtestaat[[#This Row],[Code]],Locaties[[#All],[Code]:[Adres]],4,FALSE)</f>
        <v>Nesciohove 105-107</v>
      </c>
      <c r="D527" s="435" t="str">
        <f>VLOOKUP(Ruimtestaat[[#This Row],[Code]],Locaties[[#All],[Code]:[Postcode]],5,FALSE)</f>
        <v>2726 BL</v>
      </c>
      <c r="E527" s="435" t="str">
        <f>VLOOKUP(Ruimtestaat[[#This Row],[Code]],Locaties[#All],6,FALSE)</f>
        <v>Zoetermeer</v>
      </c>
      <c r="F527" s="450"/>
      <c r="G527" s="330" t="s">
        <v>1678</v>
      </c>
      <c r="H527" s="330" t="s">
        <v>1829</v>
      </c>
      <c r="I527" s="450" t="s">
        <v>1842</v>
      </c>
      <c r="J527" s="330">
        <v>16</v>
      </c>
      <c r="K527" s="450" t="str">
        <f>VLOOKUP(Ruimtestaat[[#This Row],[Ruimte code]],Ruimtegroepen[[#All],[Code]:[Ruimte omschrijving]],2,FALSE)</f>
        <v>Leslokalen</v>
      </c>
      <c r="L527" s="330" t="s">
        <v>101</v>
      </c>
      <c r="M527" s="437" t="s">
        <v>1816</v>
      </c>
      <c r="N527" s="439">
        <v>56.1</v>
      </c>
      <c r="O527" s="439"/>
      <c r="P527" s="439"/>
      <c r="Q527" s="439"/>
      <c r="R527" s="440" t="str">
        <f>VLOOKUP(Ruimtestaat[[#This Row],[Ruimte code]],Ruimtegroepen[],4,FALSE)</f>
        <v>Le</v>
      </c>
      <c r="S527" s="434">
        <v>40</v>
      </c>
      <c r="T527" s="434" t="s">
        <v>2</v>
      </c>
      <c r="U527" s="453">
        <f>IF(S527&gt;0,IF(RIGHT(Ruimtestaat[[#This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7" s="434">
        <f>IF(U527&gt;0,VLOOKUP($J527,Ruimtegroepen[],3,FALSE)*VLOOKUP($L527,Vloersoorten[],3,FALSE)*VLOOKUP($T527,Frequenties[],3,FALSE)*VLOOKUP($A527,Locaties[],3,FALSE),0)</f>
        <v>0</v>
      </c>
      <c r="W527" s="434">
        <f>Ruimtestaat[[#This Row],[Uitvoeringen werkdagen]]*Ruimtestaat[[#This Row],[Oppervlak (netto)]]</f>
        <v>11220</v>
      </c>
      <c r="X527" s="441">
        <f>IF(V527&gt;0,Ruimtestaat[[#This Row],[Prest. (m2 /jaar) werkdagen]]/Ruimtestaat[[#This Row],[Norm (m2/uur) werkdagen]],0)</f>
        <v>0</v>
      </c>
      <c r="Y527" s="442">
        <f>Ruimtestaat[[#This Row],[Uitvoeringen werkdagen]]*Ruimtestaat[[#This Row],[Gedeeltelijk]]</f>
        <v>0</v>
      </c>
      <c r="Z527" s="443" t="e">
        <f>IF(U527&gt;0,Ruimtestaat[[#This Row],[Prest. (m2 / jaar) werkdagen gedeeld]]/Ruimtestaat[[#This Row],[Norm (m2/uur) werkdagen]],0)</f>
        <v>#DIV/0!</v>
      </c>
      <c r="AA527" s="441" t="e">
        <f>Ruimtestaat[[#This Row],[uren / jaar werkdagen gedeeld]]*Tariefsopbouw!$E$35</f>
        <v>#DIV/0!</v>
      </c>
      <c r="AB527" s="441">
        <f>Ruimtestaat[[#This Row],[Uitvoeringen werkdagen]]*Ruimtestaat[[#This Row],[BSO]]</f>
        <v>0</v>
      </c>
      <c r="AC527" s="443" t="e">
        <f>IF(U527&gt;0,Ruimtestaat[[#This Row],[Prest. (m2 / jaar) werkdagen BSO]]/Ruimtestaat[[#This Row],[Norm (m2/uur) werkdagen]],0)</f>
        <v>#DIV/0!</v>
      </c>
      <c r="AD527" s="443" t="e">
        <f>Ruimtestaat[[#This Row],[uren / jaar werkdagen BSO]]*Tariefsopbouw!$E$35</f>
        <v>#DIV/0!</v>
      </c>
      <c r="AE527" s="444">
        <f>Ruimtestaat[[#This Row],[uren / jaar werkdagen]]*Tariefsopbouw!$E$35</f>
        <v>0</v>
      </c>
      <c r="AF527" s="454"/>
      <c r="AG527" s="455">
        <f>IF(Ruimtestaat[[#This Row],[Frequentie weekend]]&gt;0,VALUE(LEFT(AF527,1))*S527,0)</f>
        <v>0</v>
      </c>
      <c r="AH527" s="455">
        <f>IF($AG527&gt;0,VLOOKUP($J527,Ruimtegroepen[],3,FALSE)*VLOOKUP($L527,Vloersoorten[],3,FALSE)*VLOOKUP($AF527,Frequenties[],3,FALSE)*VLOOKUP(#REF!,Locaties[],3,FALSE),0)</f>
        <v>0</v>
      </c>
      <c r="AI527" s="434">
        <f>Ruimtestaat[[#This Row],[Uitvoeringen weekend]]*Ruimtestaat[[#This Row],[Oppervlak (netto)]]</f>
        <v>0</v>
      </c>
      <c r="AJ527" s="434">
        <f>IF(AH527&gt;0,Ruimtestaat[[#This Row],[Prest. (m2 /jaar) weekend]]/Ruimtestaat[[#This Row],[Norm (m2/uur) weekend]],0)</f>
        <v>0</v>
      </c>
      <c r="AK527" s="444">
        <f>Ruimtestaat[[#This Row],[uren / jaar weekend]]*Tariefsopbouw!$D$40</f>
        <v>0</v>
      </c>
      <c r="AL527" s="441">
        <f>Ruimtestaat[[#This Row],[Prest. (m2 /jaar) weekend]]+Ruimtestaat[[#This Row],[Prest. (m2 /jaar) werkdagen]]</f>
        <v>11220</v>
      </c>
      <c r="AM527" s="441">
        <f>Ruimtestaat[[#This Row],[uren / jaar weekend]]+Ruimtestaat[[#This Row],[uren / jaar werkdagen]]</f>
        <v>0</v>
      </c>
      <c r="AN527" s="446">
        <f>Ruimtestaat[[#This Row],[kosten / jaar weekend]]+Ruimtestaat[[#This Row],[kosten / jaar werkdagen]]</f>
        <v>0</v>
      </c>
      <c r="AO527" s="446"/>
      <c r="AP527" s="446" t="str">
        <f>IF(Ruimtestaat[[#This Row],[Frequentie werkdagen]]="","",_xlfn.CONCAT(Ruimtestaat[[#This Row],[Ruimte code]],"-",Ruimtestaat[[#This Row],[Frequentie werkdagen]]," ",Ruimtestaat[[#This Row],[Vloer code]]))</f>
        <v>16-5w S</v>
      </c>
      <c r="AQ527" s="448" t="str">
        <f>_xlfn.IFNA(VLOOKUP($AP527,Programma!$F$3:$G$1101,2,0),"")</f>
        <v>_</v>
      </c>
      <c r="AR527" s="448" t="str">
        <f>_xlfn.IFNA(VLOOKUP($AP527,Programma!$F$3:$H$1101,3,0),"")</f>
        <v>_</v>
      </c>
      <c r="AS527" s="448" t="str">
        <f>_xlfn.IFNA(VLOOKUP($AP527,Programma!$F$3:$I$1101,4,0),"")</f>
        <v>4w</v>
      </c>
      <c r="AT527" s="448" t="str">
        <f>_xlfn.IFNA(VLOOKUP($AP527,Programma!$F$3:$J$1101,5,0),"")</f>
        <v>1w</v>
      </c>
      <c r="AU527" s="448" t="str">
        <f>_xlfn.IFNA(VLOOKUP($AP527,Programma!$F$3:$K$1101,6,0),"")</f>
        <v>1m</v>
      </c>
      <c r="AV527" s="448" t="str">
        <f>_xlfn.IFNA(VLOOKUP($AP527,Programma!$F$3:$L$1101,7,0),"")</f>
        <v>_</v>
      </c>
      <c r="AW527" s="448" t="str">
        <f>_xlfn.IFNA(VLOOKUP($AP527,Programma!$F$3:$M$1101,8,0),"")</f>
        <v>_</v>
      </c>
      <c r="AX527" s="448" t="str">
        <f>_xlfn.IFNA(VLOOKUP($AP527,Programma!$F$3:$N$1101,9,0),"")</f>
        <v>_</v>
      </c>
      <c r="AY527" s="448" t="str">
        <f>_xlfn.IFNA(VLOOKUP($AP527,Programma!$F$3:$O$1101,10,0),"")</f>
        <v>5w</v>
      </c>
      <c r="AZ527" s="448" t="str">
        <f>_xlfn.IFNA(VLOOKUP($AP527,Programma!$F$3:$P$1101,11,0),"")</f>
        <v>5w</v>
      </c>
      <c r="BA527" s="448" t="str">
        <f>_xlfn.IFNA(VLOOKUP($AP527,Programma!$F$3:$Q$1101,12,0),"")</f>
        <v>1w</v>
      </c>
      <c r="BB527" s="448" t="str">
        <f>_xlfn.IFNA(VLOOKUP($AP527,Programma!$F$3:$R$1101,13,0),"")</f>
        <v>1w</v>
      </c>
      <c r="BC527" s="448" t="str">
        <f>_xlfn.IFNA(VLOOKUP($AP527,Programma!$F$3:$S$1101,14,0),"")</f>
        <v>1m</v>
      </c>
      <c r="BD527" s="448" t="str">
        <f>_xlfn.IFNA(VLOOKUP($AP527,Programma!$F$3:$T$1101,15,0),"")</f>
        <v>2j</v>
      </c>
      <c r="BE527" s="448" t="str">
        <f>_xlfn.IFNA(VLOOKUP($AP527,Programma!$F$3:$U$1101,16,0),"")</f>
        <v>1j</v>
      </c>
      <c r="BF527" s="448" t="str">
        <f>_xlfn.IFNA(VLOOKUP($AP527,Programma!$F$3:$V$1101,17,0),"")</f>
        <v>_</v>
      </c>
      <c r="BG527" s="448" t="str">
        <f>_xlfn.IFNA(VLOOKUP($AP527,Programma!$F$3:$W$1101,18,0),"")</f>
        <v>_</v>
      </c>
      <c r="BH527" s="448" t="str">
        <f>_xlfn.IFNA(VLOOKUP($AP527,Programma!$F$3:$X$1101,19,0),"")</f>
        <v>_</v>
      </c>
      <c r="BI527" s="448" t="str">
        <f>_xlfn.IFNA(VLOOKUP($AP527,Programma!$F$3:$Y$1101,20,0),"")</f>
        <v>_</v>
      </c>
      <c r="BJ527" s="449"/>
      <c r="BK527" s="446" t="str">
        <f>IF(Ruimtestaat[[#This Row],[Frequentie weekend]]="","",_xlfn.CONCAT(Ruimtestaat[[#This Row],[Ruimte code]],"-",Ruimtestaat[[#This Row],[Frequentie weekend]]," ",Ruimtestaat[[#This Row],[Vloer code]]))</f>
        <v/>
      </c>
      <c r="BL527" s="448" t="str">
        <f>_xlfn.IFNA(VLOOKUP($BK527,Programma!$F$3:$G$1101,2,0),"")</f>
        <v/>
      </c>
      <c r="BM527" s="448" t="str">
        <f>_xlfn.IFNA(VLOOKUP($BK527,Programma!$F$3:$H$1101,3,0),"")</f>
        <v/>
      </c>
      <c r="BN527" s="448" t="str">
        <f>_xlfn.IFNA(VLOOKUP($BK527,Programma!$F$3:$I$1101,4,0),"")</f>
        <v/>
      </c>
      <c r="BO527" s="448" t="str">
        <f>_xlfn.IFNA(VLOOKUP($BK527,Programma!$F$3:$J$1101,5,0),"")</f>
        <v/>
      </c>
      <c r="BP527" s="448" t="str">
        <f>_xlfn.IFNA(VLOOKUP($BK527,Programma!$F$3:$K$1101,6,0),"")</f>
        <v/>
      </c>
      <c r="BQ527" s="448" t="str">
        <f>_xlfn.IFNA(VLOOKUP($BK527,Programma!$F$3:$L$1101,7,0),"")</f>
        <v/>
      </c>
      <c r="BR527" s="448" t="str">
        <f>_xlfn.IFNA(VLOOKUP($BK527,Programma!$F$3:$M$1101,8,0),"")</f>
        <v/>
      </c>
      <c r="BS527" s="448" t="str">
        <f>_xlfn.IFNA(VLOOKUP($BK527,Programma!$F$3:$N$1101,9,0),"")</f>
        <v/>
      </c>
      <c r="BT527" s="448" t="str">
        <f>_xlfn.IFNA(VLOOKUP($BK527,Programma!$F$3:$O$1101,10,0),"")</f>
        <v/>
      </c>
      <c r="BU527" s="448" t="str">
        <f>_xlfn.IFNA(VLOOKUP($BK527,Programma!$F$3:$P$1101,11,0),"")</f>
        <v/>
      </c>
      <c r="BV527" s="448" t="str">
        <f>_xlfn.IFNA(VLOOKUP($BK527,Programma!$F$3:$Q$1101,12,0),"")</f>
        <v/>
      </c>
      <c r="BW527" s="448" t="str">
        <f>_xlfn.IFNA(VLOOKUP($BK527,Programma!$F$3:$R$1101,13,0),"")</f>
        <v/>
      </c>
      <c r="BX527" s="448" t="str">
        <f>_xlfn.IFNA(VLOOKUP($BK527,Programma!$F$3:$S$1101,14,0),"")</f>
        <v/>
      </c>
      <c r="BY527" s="448" t="str">
        <f>_xlfn.IFNA(VLOOKUP($BK527,Programma!$F$3:$T$1101,15,0),"")</f>
        <v/>
      </c>
      <c r="BZ527" s="448" t="str">
        <f>_xlfn.IFNA(VLOOKUP($BK527,Programma!$F$3:$U$1101,16,0),"")</f>
        <v/>
      </c>
      <c r="CA527" s="448" t="str">
        <f>_xlfn.IFNA(VLOOKUP($BK527,Programma!$F$3:$V$1101,17,0),"")</f>
        <v/>
      </c>
      <c r="CB527" s="448" t="str">
        <f>_xlfn.IFNA(VLOOKUP($BK527,Programma!$F$3:$W$1101,18,0),"")</f>
        <v/>
      </c>
      <c r="CC527" s="448" t="str">
        <f>_xlfn.IFNA(VLOOKUP($BK527,Programma!$F$3:$X$1101,19,0),"")</f>
        <v/>
      </c>
      <c r="CD527" s="448" t="str">
        <f>_xlfn.IFNA(VLOOKUP($BK527,Programma!$F$3:$Y$1101,20,0),"")</f>
        <v/>
      </c>
    </row>
    <row r="528" spans="1:82" ht="15" customHeight="1">
      <c r="A528" s="327">
        <v>19</v>
      </c>
      <c r="B528" s="435" t="str">
        <f>VLOOKUP(Ruimtestaat[[#This Row],[Code]],Locaties[[Code]:[Locatie]],2,FALSE)</f>
        <v>IKC de Leerplaneet (vhKlimboom)</v>
      </c>
      <c r="C528" s="435" t="str">
        <f>VLOOKUP(Ruimtestaat[[#This Row],[Code]],Locaties[[#All],[Code]:[Adres]],4,FALSE)</f>
        <v>Nesciohove 105-107</v>
      </c>
      <c r="D528" s="435" t="str">
        <f>VLOOKUP(Ruimtestaat[[#This Row],[Code]],Locaties[[#All],[Code]:[Postcode]],5,FALSE)</f>
        <v>2726 BL</v>
      </c>
      <c r="E528" s="435" t="str">
        <f>VLOOKUP(Ruimtestaat[[#This Row],[Code]],Locaties[#All],6,FALSE)</f>
        <v>Zoetermeer</v>
      </c>
      <c r="F528" s="450"/>
      <c r="G528" s="330" t="s">
        <v>1678</v>
      </c>
      <c r="H528" s="330" t="s">
        <v>1829</v>
      </c>
      <c r="I528" s="450" t="s">
        <v>1901</v>
      </c>
      <c r="J528" s="330">
        <v>11</v>
      </c>
      <c r="K528" s="450" t="str">
        <f>VLOOKUP(Ruimtestaat[[#This Row],[Ruimte code]],Ruimtegroepen[[#All],[Code]:[Ruimte omschrijving]],2,FALSE)</f>
        <v>Garderobes</v>
      </c>
      <c r="L528" s="330" t="s">
        <v>101</v>
      </c>
      <c r="M528" s="437" t="s">
        <v>1816</v>
      </c>
      <c r="N528" s="439">
        <v>3</v>
      </c>
      <c r="O528" s="439"/>
      <c r="P528" s="439"/>
      <c r="Q528" s="439"/>
      <c r="R528" s="440" t="str">
        <f>VLOOKUP(Ruimtestaat[[#This Row],[Ruimte code]],Ruimtegroepen[],4,FALSE)</f>
        <v>Ve</v>
      </c>
      <c r="S528" s="434">
        <v>40</v>
      </c>
      <c r="T528" s="434" t="s">
        <v>2</v>
      </c>
      <c r="U528" s="453">
        <f>IF(S528&gt;0,IF(RIGHT(Ruimtestaat[[#This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8" s="434">
        <f>IF(U528&gt;0,VLOOKUP($J528,Ruimtegroepen[],3,FALSE)*VLOOKUP($L528,Vloersoorten[],3,FALSE)*VLOOKUP($T528,Frequenties[],3,FALSE)*VLOOKUP($A528,Locaties[],3,FALSE),0)</f>
        <v>0</v>
      </c>
      <c r="W528" s="434">
        <f>Ruimtestaat[[#This Row],[Uitvoeringen werkdagen]]*Ruimtestaat[[#This Row],[Oppervlak (netto)]]</f>
        <v>600</v>
      </c>
      <c r="X528" s="441">
        <f>IF(V528&gt;0,Ruimtestaat[[#This Row],[Prest. (m2 /jaar) werkdagen]]/Ruimtestaat[[#This Row],[Norm (m2/uur) werkdagen]],0)</f>
        <v>0</v>
      </c>
      <c r="Y528" s="442">
        <f>Ruimtestaat[[#This Row],[Uitvoeringen werkdagen]]*Ruimtestaat[[#This Row],[Gedeeltelijk]]</f>
        <v>0</v>
      </c>
      <c r="Z528" s="443" t="e">
        <f>IF(U528&gt;0,Ruimtestaat[[#This Row],[Prest. (m2 / jaar) werkdagen gedeeld]]/Ruimtestaat[[#This Row],[Norm (m2/uur) werkdagen]],0)</f>
        <v>#DIV/0!</v>
      </c>
      <c r="AA528" s="441" t="e">
        <f>Ruimtestaat[[#This Row],[uren / jaar werkdagen gedeeld]]*Tariefsopbouw!$E$35</f>
        <v>#DIV/0!</v>
      </c>
      <c r="AB528" s="441">
        <f>Ruimtestaat[[#This Row],[Uitvoeringen werkdagen]]*Ruimtestaat[[#This Row],[BSO]]</f>
        <v>0</v>
      </c>
      <c r="AC528" s="443" t="e">
        <f>IF(U528&gt;0,Ruimtestaat[[#This Row],[Prest. (m2 / jaar) werkdagen BSO]]/Ruimtestaat[[#This Row],[Norm (m2/uur) werkdagen]],0)</f>
        <v>#DIV/0!</v>
      </c>
      <c r="AD528" s="443" t="e">
        <f>Ruimtestaat[[#This Row],[uren / jaar werkdagen BSO]]*Tariefsopbouw!$E$35</f>
        <v>#DIV/0!</v>
      </c>
      <c r="AE528" s="444">
        <f>Ruimtestaat[[#This Row],[uren / jaar werkdagen]]*Tariefsopbouw!$E$35</f>
        <v>0</v>
      </c>
      <c r="AF528" s="454"/>
      <c r="AG528" s="455">
        <f>IF(Ruimtestaat[[#This Row],[Frequentie weekend]]&gt;0,VALUE(LEFT(AF528,1))*S528,0)</f>
        <v>0</v>
      </c>
      <c r="AH528" s="455">
        <f>IF($AG528&gt;0,VLOOKUP($J528,Ruimtegroepen[],3,FALSE)*VLOOKUP($L528,Vloersoorten[],3,FALSE)*VLOOKUP($AF528,Frequenties[],3,FALSE)*VLOOKUP(#REF!,Locaties[],3,FALSE),0)</f>
        <v>0</v>
      </c>
      <c r="AI528" s="434">
        <f>Ruimtestaat[[#This Row],[Uitvoeringen weekend]]*Ruimtestaat[[#This Row],[Oppervlak (netto)]]</f>
        <v>0</v>
      </c>
      <c r="AJ528" s="434">
        <f>IF(AH528&gt;0,Ruimtestaat[[#This Row],[Prest. (m2 /jaar) weekend]]/Ruimtestaat[[#This Row],[Norm (m2/uur) weekend]],0)</f>
        <v>0</v>
      </c>
      <c r="AK528" s="444">
        <f>Ruimtestaat[[#This Row],[uren / jaar weekend]]*Tariefsopbouw!$D$40</f>
        <v>0</v>
      </c>
      <c r="AL528" s="441">
        <f>Ruimtestaat[[#This Row],[Prest. (m2 /jaar) weekend]]+Ruimtestaat[[#This Row],[Prest. (m2 /jaar) werkdagen]]</f>
        <v>600</v>
      </c>
      <c r="AM528" s="441">
        <f>Ruimtestaat[[#This Row],[uren / jaar weekend]]+Ruimtestaat[[#This Row],[uren / jaar werkdagen]]</f>
        <v>0</v>
      </c>
      <c r="AN528" s="446">
        <f>Ruimtestaat[[#This Row],[kosten / jaar weekend]]+Ruimtestaat[[#This Row],[kosten / jaar werkdagen]]</f>
        <v>0</v>
      </c>
      <c r="AO528" s="446"/>
      <c r="AP528" s="446" t="str">
        <f>IF(Ruimtestaat[[#This Row],[Frequentie werkdagen]]="","",_xlfn.CONCAT(Ruimtestaat[[#This Row],[Ruimte code]],"-",Ruimtestaat[[#This Row],[Frequentie werkdagen]]," ",Ruimtestaat[[#This Row],[Vloer code]]))</f>
        <v>11-5w S</v>
      </c>
      <c r="AQ528" s="448" t="str">
        <f>_xlfn.IFNA(VLOOKUP($AP528,Programma!$F$3:$G$1101,2,0),"")</f>
        <v>_</v>
      </c>
      <c r="AR528" s="448" t="str">
        <f>_xlfn.IFNA(VLOOKUP($AP528,Programma!$F$3:$H$1101,3,0),"")</f>
        <v>_</v>
      </c>
      <c r="AS528" s="448" t="str">
        <f>_xlfn.IFNA(VLOOKUP($AP528,Programma!$F$3:$I$1101,4,0),"")</f>
        <v>4w</v>
      </c>
      <c r="AT528" s="448" t="str">
        <f>_xlfn.IFNA(VLOOKUP($AP528,Programma!$F$3:$J$1101,5,0),"")</f>
        <v>1w</v>
      </c>
      <c r="AU528" s="448" t="str">
        <f>_xlfn.IFNA(VLOOKUP($AP528,Programma!$F$3:$K$1101,6,0),"")</f>
        <v>4j</v>
      </c>
      <c r="AV528" s="448" t="str">
        <f>_xlfn.IFNA(VLOOKUP($AP528,Programma!$F$3:$L$1101,7,0),"")</f>
        <v>_</v>
      </c>
      <c r="AW528" s="448" t="str">
        <f>_xlfn.IFNA(VLOOKUP($AP528,Programma!$F$3:$M$1101,8,0),"")</f>
        <v>_</v>
      </c>
      <c r="AX528" s="448" t="str">
        <f>_xlfn.IFNA(VLOOKUP($AP528,Programma!$F$3:$N$1101,9,0),"")</f>
        <v>_</v>
      </c>
      <c r="AY528" s="448" t="str">
        <f>_xlfn.IFNA(VLOOKUP($AP528,Programma!$F$3:$O$1101,10,0),"")</f>
        <v>5w</v>
      </c>
      <c r="AZ528" s="448" t="str">
        <f>_xlfn.IFNA(VLOOKUP($AP528,Programma!$F$3:$P$1101,11,0),"")</f>
        <v>5w</v>
      </c>
      <c r="BA528" s="448" t="str">
        <f>_xlfn.IFNA(VLOOKUP($AP528,Programma!$F$3:$Q$1101,12,0),"")</f>
        <v>1w</v>
      </c>
      <c r="BB528" s="448" t="str">
        <f>_xlfn.IFNA(VLOOKUP($AP528,Programma!$F$3:$R$1101,13,0),"")</f>
        <v>1w</v>
      </c>
      <c r="BC528" s="448" t="str">
        <f>_xlfn.IFNA(VLOOKUP($AP528,Programma!$F$3:$S$1101,14,0),"")</f>
        <v>1m</v>
      </c>
      <c r="BD528" s="448" t="str">
        <f>_xlfn.IFNA(VLOOKUP($AP528,Programma!$F$3:$T$1101,15,0),"")</f>
        <v>2j</v>
      </c>
      <c r="BE528" s="448" t="str">
        <f>_xlfn.IFNA(VLOOKUP($AP528,Programma!$F$3:$U$1101,16,0),"")</f>
        <v>1j</v>
      </c>
      <c r="BF528" s="448" t="str">
        <f>_xlfn.IFNA(VLOOKUP($AP528,Programma!$F$3:$V$1101,17,0),"")</f>
        <v>_</v>
      </c>
      <c r="BG528" s="448" t="str">
        <f>_xlfn.IFNA(VLOOKUP($AP528,Programma!$F$3:$W$1101,18,0),"")</f>
        <v>_</v>
      </c>
      <c r="BH528" s="448" t="str">
        <f>_xlfn.IFNA(VLOOKUP($AP528,Programma!$F$3:$X$1101,19,0),"")</f>
        <v>_</v>
      </c>
      <c r="BI528" s="448" t="str">
        <f>_xlfn.IFNA(VLOOKUP($AP528,Programma!$F$3:$Y$1101,20,0),"")</f>
        <v>_</v>
      </c>
      <c r="BJ528" s="449"/>
      <c r="BK528" s="446" t="str">
        <f>IF(Ruimtestaat[[#This Row],[Frequentie weekend]]="","",_xlfn.CONCAT(Ruimtestaat[[#This Row],[Ruimte code]],"-",Ruimtestaat[[#This Row],[Frequentie weekend]]," ",Ruimtestaat[[#This Row],[Vloer code]]))</f>
        <v/>
      </c>
      <c r="BL528" s="448" t="str">
        <f>_xlfn.IFNA(VLOOKUP($BK528,Programma!$F$3:$G$1101,2,0),"")</f>
        <v/>
      </c>
      <c r="BM528" s="448" t="str">
        <f>_xlfn.IFNA(VLOOKUP($BK528,Programma!$F$3:$H$1101,3,0),"")</f>
        <v/>
      </c>
      <c r="BN528" s="448" t="str">
        <f>_xlfn.IFNA(VLOOKUP($BK528,Programma!$F$3:$I$1101,4,0),"")</f>
        <v/>
      </c>
      <c r="BO528" s="448" t="str">
        <f>_xlfn.IFNA(VLOOKUP($BK528,Programma!$F$3:$J$1101,5,0),"")</f>
        <v/>
      </c>
      <c r="BP528" s="448" t="str">
        <f>_xlfn.IFNA(VLOOKUP($BK528,Programma!$F$3:$K$1101,6,0),"")</f>
        <v/>
      </c>
      <c r="BQ528" s="448" t="str">
        <f>_xlfn.IFNA(VLOOKUP($BK528,Programma!$F$3:$L$1101,7,0),"")</f>
        <v/>
      </c>
      <c r="BR528" s="448" t="str">
        <f>_xlfn.IFNA(VLOOKUP($BK528,Programma!$F$3:$M$1101,8,0),"")</f>
        <v/>
      </c>
      <c r="BS528" s="448" t="str">
        <f>_xlfn.IFNA(VLOOKUP($BK528,Programma!$F$3:$N$1101,9,0),"")</f>
        <v/>
      </c>
      <c r="BT528" s="448" t="str">
        <f>_xlfn.IFNA(VLOOKUP($BK528,Programma!$F$3:$O$1101,10,0),"")</f>
        <v/>
      </c>
      <c r="BU528" s="448" t="str">
        <f>_xlfn.IFNA(VLOOKUP($BK528,Programma!$F$3:$P$1101,11,0),"")</f>
        <v/>
      </c>
      <c r="BV528" s="448" t="str">
        <f>_xlfn.IFNA(VLOOKUP($BK528,Programma!$F$3:$Q$1101,12,0),"")</f>
        <v/>
      </c>
      <c r="BW528" s="448" t="str">
        <f>_xlfn.IFNA(VLOOKUP($BK528,Programma!$F$3:$R$1101,13,0),"")</f>
        <v/>
      </c>
      <c r="BX528" s="448" t="str">
        <f>_xlfn.IFNA(VLOOKUP($BK528,Programma!$F$3:$S$1101,14,0),"")</f>
        <v/>
      </c>
      <c r="BY528" s="448" t="str">
        <f>_xlfn.IFNA(VLOOKUP($BK528,Programma!$F$3:$T$1101,15,0),"")</f>
        <v/>
      </c>
      <c r="BZ528" s="448" t="str">
        <f>_xlfn.IFNA(VLOOKUP($BK528,Programma!$F$3:$U$1101,16,0),"")</f>
        <v/>
      </c>
      <c r="CA528" s="448" t="str">
        <f>_xlfn.IFNA(VLOOKUP($BK528,Programma!$F$3:$V$1101,17,0),"")</f>
        <v/>
      </c>
      <c r="CB528" s="448" t="str">
        <f>_xlfn.IFNA(VLOOKUP($BK528,Programma!$F$3:$W$1101,18,0),"")</f>
        <v/>
      </c>
      <c r="CC528" s="448" t="str">
        <f>_xlfn.IFNA(VLOOKUP($BK528,Programma!$F$3:$X$1101,19,0),"")</f>
        <v/>
      </c>
      <c r="CD528" s="448" t="str">
        <f>_xlfn.IFNA(VLOOKUP($BK528,Programma!$F$3:$Y$1101,20,0),"")</f>
        <v/>
      </c>
    </row>
    <row r="529" spans="1:82" ht="15" customHeight="1">
      <c r="A529" s="327">
        <v>19</v>
      </c>
      <c r="B529" s="435" t="str">
        <f>VLOOKUP(Ruimtestaat[[#This Row],[Code]],Locaties[[Code]:[Locatie]],2,FALSE)</f>
        <v>IKC de Leerplaneet (vhKlimboom)</v>
      </c>
      <c r="C529" s="435" t="str">
        <f>VLOOKUP(Ruimtestaat[[#This Row],[Code]],Locaties[[#All],[Code]:[Adres]],4,FALSE)</f>
        <v>Nesciohove 105-107</v>
      </c>
      <c r="D529" s="435" t="str">
        <f>VLOOKUP(Ruimtestaat[[#This Row],[Code]],Locaties[[#All],[Code]:[Postcode]],5,FALSE)</f>
        <v>2726 BL</v>
      </c>
      <c r="E529" s="435" t="str">
        <f>VLOOKUP(Ruimtestaat[[#This Row],[Code]],Locaties[#All],6,FALSE)</f>
        <v>Zoetermeer</v>
      </c>
      <c r="F529" s="450"/>
      <c r="G529" s="330" t="s">
        <v>1678</v>
      </c>
      <c r="H529" s="330" t="s">
        <v>1830</v>
      </c>
      <c r="I529" s="450" t="s">
        <v>1902</v>
      </c>
      <c r="J529" s="330">
        <v>20</v>
      </c>
      <c r="K529" s="450" t="str">
        <f>VLOOKUP(Ruimtestaat[[#This Row],[Ruimte code]],Ruimtegroepen[[#All],[Code]:[Ruimte omschrijving]],2,FALSE)</f>
        <v>Niet in Onderhoud</v>
      </c>
      <c r="L529" s="330" t="s">
        <v>101</v>
      </c>
      <c r="M529" s="437" t="s">
        <v>1816</v>
      </c>
      <c r="N529" s="439"/>
      <c r="O529" s="439">
        <v>0</v>
      </c>
      <c r="P529" s="439"/>
      <c r="Q529" s="439"/>
      <c r="R529" s="440">
        <f>VLOOKUP(Ruimtestaat[[#This Row],[Ruimte code]],Ruimtegroepen[],4,FALSE)</f>
        <v>0</v>
      </c>
      <c r="S529" s="434"/>
      <c r="T529" s="434"/>
      <c r="U529" s="453">
        <f>IF(S529&gt;0,IF(RIGHT(Ruimtestaat[[#This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29" s="434">
        <f>IF(U529&gt;0,VLOOKUP($J529,Ruimtegroepen[],3,FALSE)*VLOOKUP($L529,Vloersoorten[],3,FALSE)*VLOOKUP($T529,Frequenties[],3,FALSE)*VLOOKUP($A529,Locaties[],3,FALSE),0)</f>
        <v>0</v>
      </c>
      <c r="W529" s="434">
        <f>Ruimtestaat[[#This Row],[Uitvoeringen werkdagen]]*Ruimtestaat[[#This Row],[Oppervlak (netto)]]</f>
        <v>0</v>
      </c>
      <c r="X529" s="441">
        <f>IF(V529&gt;0,Ruimtestaat[[#This Row],[Prest. (m2 /jaar) werkdagen]]/Ruimtestaat[[#This Row],[Norm (m2/uur) werkdagen]],0)</f>
        <v>0</v>
      </c>
      <c r="Y529" s="442">
        <f>Ruimtestaat[[#This Row],[Uitvoeringen werkdagen]]*Ruimtestaat[[#This Row],[Gedeeltelijk]]</f>
        <v>0</v>
      </c>
      <c r="Z529" s="443">
        <f>IF(U529&gt;0,Ruimtestaat[[#This Row],[Prest. (m2 / jaar) werkdagen gedeeld]]/Ruimtestaat[[#This Row],[Norm (m2/uur) werkdagen]],0)</f>
        <v>0</v>
      </c>
      <c r="AA529" s="441">
        <f>Ruimtestaat[[#This Row],[uren / jaar werkdagen gedeeld]]*Tariefsopbouw!$E$35</f>
        <v>0</v>
      </c>
      <c r="AB529" s="441">
        <f>Ruimtestaat[[#This Row],[Uitvoeringen werkdagen]]*Ruimtestaat[[#This Row],[BSO]]</f>
        <v>0</v>
      </c>
      <c r="AC529" s="443">
        <f>IF(U529&gt;0,Ruimtestaat[[#This Row],[Prest. (m2 / jaar) werkdagen BSO]]/Ruimtestaat[[#This Row],[Norm (m2/uur) werkdagen]],0)</f>
        <v>0</v>
      </c>
      <c r="AD529" s="443">
        <f>Ruimtestaat[[#This Row],[uren / jaar werkdagen BSO]]*Tariefsopbouw!$E$35</f>
        <v>0</v>
      </c>
      <c r="AE529" s="444">
        <f>Ruimtestaat[[#This Row],[uren / jaar werkdagen]]*Tariefsopbouw!$E$35</f>
        <v>0</v>
      </c>
      <c r="AF529" s="454"/>
      <c r="AG529" s="455">
        <f>IF(Ruimtestaat[[#This Row],[Frequentie weekend]]&gt;0,VALUE(LEFT(AF529,1))*S529,0)</f>
        <v>0</v>
      </c>
      <c r="AH529" s="455">
        <f>IF($AG529&gt;0,VLOOKUP($J529,Ruimtegroepen[],3,FALSE)*VLOOKUP($L529,Vloersoorten[],3,FALSE)*VLOOKUP($AF529,Frequenties[],3,FALSE)*VLOOKUP(#REF!,Locaties[],3,FALSE),0)</f>
        <v>0</v>
      </c>
      <c r="AI529" s="434">
        <f>Ruimtestaat[[#This Row],[Uitvoeringen weekend]]*Ruimtestaat[[#This Row],[Oppervlak (netto)]]</f>
        <v>0</v>
      </c>
      <c r="AJ529" s="434">
        <f>IF(AH529&gt;0,Ruimtestaat[[#This Row],[Prest. (m2 /jaar) weekend]]/Ruimtestaat[[#This Row],[Norm (m2/uur) weekend]],0)</f>
        <v>0</v>
      </c>
      <c r="AK529" s="444">
        <f>Ruimtestaat[[#This Row],[uren / jaar weekend]]*Tariefsopbouw!$D$40</f>
        <v>0</v>
      </c>
      <c r="AL529" s="441">
        <f>Ruimtestaat[[#This Row],[Prest. (m2 /jaar) weekend]]+Ruimtestaat[[#This Row],[Prest. (m2 /jaar) werkdagen]]</f>
        <v>0</v>
      </c>
      <c r="AM529" s="441">
        <f>Ruimtestaat[[#This Row],[uren / jaar weekend]]+Ruimtestaat[[#This Row],[uren / jaar werkdagen]]</f>
        <v>0</v>
      </c>
      <c r="AN529" s="446">
        <f>Ruimtestaat[[#This Row],[kosten / jaar weekend]]+Ruimtestaat[[#This Row],[kosten / jaar werkdagen]]</f>
        <v>0</v>
      </c>
      <c r="AO529" s="446"/>
      <c r="AP529" s="446" t="str">
        <f>IF(Ruimtestaat[[#This Row],[Frequentie werkdagen]]="","",_xlfn.CONCAT(Ruimtestaat[[#This Row],[Ruimte code]],"-",Ruimtestaat[[#This Row],[Frequentie werkdagen]]," ",Ruimtestaat[[#This Row],[Vloer code]]))</f>
        <v/>
      </c>
      <c r="AQ529" s="448" t="str">
        <f>_xlfn.IFNA(VLOOKUP($AP529,Programma!$F$3:$G$1101,2,0),"")</f>
        <v/>
      </c>
      <c r="AR529" s="448" t="str">
        <f>_xlfn.IFNA(VLOOKUP($AP529,Programma!$F$3:$H$1101,3,0),"")</f>
        <v/>
      </c>
      <c r="AS529" s="448" t="str">
        <f>_xlfn.IFNA(VLOOKUP($AP529,Programma!$F$3:$I$1101,4,0),"")</f>
        <v/>
      </c>
      <c r="AT529" s="448" t="str">
        <f>_xlfn.IFNA(VLOOKUP($AP529,Programma!$F$3:$J$1101,5,0),"")</f>
        <v/>
      </c>
      <c r="AU529" s="448" t="str">
        <f>_xlfn.IFNA(VLOOKUP($AP529,Programma!$F$3:$K$1101,6,0),"")</f>
        <v/>
      </c>
      <c r="AV529" s="448" t="str">
        <f>_xlfn.IFNA(VLOOKUP($AP529,Programma!$F$3:$L$1101,7,0),"")</f>
        <v/>
      </c>
      <c r="AW529" s="448" t="str">
        <f>_xlfn.IFNA(VLOOKUP($AP529,Programma!$F$3:$M$1101,8,0),"")</f>
        <v/>
      </c>
      <c r="AX529" s="448" t="str">
        <f>_xlfn.IFNA(VLOOKUP($AP529,Programma!$F$3:$N$1101,9,0),"")</f>
        <v/>
      </c>
      <c r="AY529" s="448" t="str">
        <f>_xlfn.IFNA(VLOOKUP($AP529,Programma!$F$3:$O$1101,10,0),"")</f>
        <v/>
      </c>
      <c r="AZ529" s="448" t="str">
        <f>_xlfn.IFNA(VLOOKUP($AP529,Programma!$F$3:$P$1101,11,0),"")</f>
        <v/>
      </c>
      <c r="BA529" s="448" t="str">
        <f>_xlfn.IFNA(VLOOKUP($AP529,Programma!$F$3:$Q$1101,12,0),"")</f>
        <v/>
      </c>
      <c r="BB529" s="448" t="str">
        <f>_xlfn.IFNA(VLOOKUP($AP529,Programma!$F$3:$R$1101,13,0),"")</f>
        <v/>
      </c>
      <c r="BC529" s="448" t="str">
        <f>_xlfn.IFNA(VLOOKUP($AP529,Programma!$F$3:$S$1101,14,0),"")</f>
        <v/>
      </c>
      <c r="BD529" s="448" t="str">
        <f>_xlfn.IFNA(VLOOKUP($AP529,Programma!$F$3:$T$1101,15,0),"")</f>
        <v/>
      </c>
      <c r="BE529" s="448" t="str">
        <f>_xlfn.IFNA(VLOOKUP($AP529,Programma!$F$3:$U$1101,16,0),"")</f>
        <v/>
      </c>
      <c r="BF529" s="448" t="str">
        <f>_xlfn.IFNA(VLOOKUP($AP529,Programma!$F$3:$V$1101,17,0),"")</f>
        <v/>
      </c>
      <c r="BG529" s="448" t="str">
        <f>_xlfn.IFNA(VLOOKUP($AP529,Programma!$F$3:$W$1101,18,0),"")</f>
        <v/>
      </c>
      <c r="BH529" s="448" t="str">
        <f>_xlfn.IFNA(VLOOKUP($AP529,Programma!$F$3:$X$1101,19,0),"")</f>
        <v/>
      </c>
      <c r="BI529" s="448" t="str">
        <f>_xlfn.IFNA(VLOOKUP($AP529,Programma!$F$3:$Y$1101,20,0),"")</f>
        <v/>
      </c>
      <c r="BJ529" s="449"/>
      <c r="BK529" s="446" t="str">
        <f>IF(Ruimtestaat[[#This Row],[Frequentie weekend]]="","",_xlfn.CONCAT(Ruimtestaat[[#This Row],[Ruimte code]],"-",Ruimtestaat[[#This Row],[Frequentie weekend]]," ",Ruimtestaat[[#This Row],[Vloer code]]))</f>
        <v/>
      </c>
      <c r="BL529" s="448" t="str">
        <f>_xlfn.IFNA(VLOOKUP($BK529,Programma!$F$3:$G$1101,2,0),"")</f>
        <v/>
      </c>
      <c r="BM529" s="448" t="str">
        <f>_xlfn.IFNA(VLOOKUP($BK529,Programma!$F$3:$H$1101,3,0),"")</f>
        <v/>
      </c>
      <c r="BN529" s="448" t="str">
        <f>_xlfn.IFNA(VLOOKUP($BK529,Programma!$F$3:$I$1101,4,0),"")</f>
        <v/>
      </c>
      <c r="BO529" s="448" t="str">
        <f>_xlfn.IFNA(VLOOKUP($BK529,Programma!$F$3:$J$1101,5,0),"")</f>
        <v/>
      </c>
      <c r="BP529" s="448" t="str">
        <f>_xlfn.IFNA(VLOOKUP($BK529,Programma!$F$3:$K$1101,6,0),"")</f>
        <v/>
      </c>
      <c r="BQ529" s="448" t="str">
        <f>_xlfn.IFNA(VLOOKUP($BK529,Programma!$F$3:$L$1101,7,0),"")</f>
        <v/>
      </c>
      <c r="BR529" s="448" t="str">
        <f>_xlfn.IFNA(VLOOKUP($BK529,Programma!$F$3:$M$1101,8,0),"")</f>
        <v/>
      </c>
      <c r="BS529" s="448" t="str">
        <f>_xlfn.IFNA(VLOOKUP($BK529,Programma!$F$3:$N$1101,9,0),"")</f>
        <v/>
      </c>
      <c r="BT529" s="448" t="str">
        <f>_xlfn.IFNA(VLOOKUP($BK529,Programma!$F$3:$O$1101,10,0),"")</f>
        <v/>
      </c>
      <c r="BU529" s="448" t="str">
        <f>_xlfn.IFNA(VLOOKUP($BK529,Programma!$F$3:$P$1101,11,0),"")</f>
        <v/>
      </c>
      <c r="BV529" s="448" t="str">
        <f>_xlfn.IFNA(VLOOKUP($BK529,Programma!$F$3:$Q$1101,12,0),"")</f>
        <v/>
      </c>
      <c r="BW529" s="448" t="str">
        <f>_xlfn.IFNA(VLOOKUP($BK529,Programma!$F$3:$R$1101,13,0),"")</f>
        <v/>
      </c>
      <c r="BX529" s="448" t="str">
        <f>_xlfn.IFNA(VLOOKUP($BK529,Programma!$F$3:$S$1101,14,0),"")</f>
        <v/>
      </c>
      <c r="BY529" s="448" t="str">
        <f>_xlfn.IFNA(VLOOKUP($BK529,Programma!$F$3:$T$1101,15,0),"")</f>
        <v/>
      </c>
      <c r="BZ529" s="448" t="str">
        <f>_xlfn.IFNA(VLOOKUP($BK529,Programma!$F$3:$U$1101,16,0),"")</f>
        <v/>
      </c>
      <c r="CA529" s="448" t="str">
        <f>_xlfn.IFNA(VLOOKUP($BK529,Programma!$F$3:$V$1101,17,0),"")</f>
        <v/>
      </c>
      <c r="CB529" s="448" t="str">
        <f>_xlfn.IFNA(VLOOKUP($BK529,Programma!$F$3:$W$1101,18,0),"")</f>
        <v/>
      </c>
      <c r="CC529" s="448" t="str">
        <f>_xlfn.IFNA(VLOOKUP($BK529,Programma!$F$3:$X$1101,19,0),"")</f>
        <v/>
      </c>
      <c r="CD529" s="448" t="str">
        <f>_xlfn.IFNA(VLOOKUP($BK529,Programma!$F$3:$Y$1101,20,0),"")</f>
        <v/>
      </c>
    </row>
    <row r="530" spans="1:82" ht="15" customHeight="1">
      <c r="A530" s="327">
        <v>19</v>
      </c>
      <c r="B530" s="435" t="str">
        <f>VLOOKUP(Ruimtestaat[[#This Row],[Code]],Locaties[[Code]:[Locatie]],2,FALSE)</f>
        <v>IKC de Leerplaneet (vhKlimboom)</v>
      </c>
      <c r="C530" s="435" t="str">
        <f>VLOOKUP(Ruimtestaat[[#This Row],[Code]],Locaties[[#All],[Code]:[Adres]],4,FALSE)</f>
        <v>Nesciohove 105-107</v>
      </c>
      <c r="D530" s="435" t="str">
        <f>VLOOKUP(Ruimtestaat[[#This Row],[Code]],Locaties[[#All],[Code]:[Postcode]],5,FALSE)</f>
        <v>2726 BL</v>
      </c>
      <c r="E530" s="435" t="str">
        <f>VLOOKUP(Ruimtestaat[[#This Row],[Code]],Locaties[#All],6,FALSE)</f>
        <v>Zoetermeer</v>
      </c>
      <c r="F530" s="450"/>
      <c r="G530" s="330" t="s">
        <v>1678</v>
      </c>
      <c r="H530" s="330" t="s">
        <v>1831</v>
      </c>
      <c r="I530" s="450" t="s">
        <v>1903</v>
      </c>
      <c r="J530" s="330">
        <v>20</v>
      </c>
      <c r="K530" s="450" t="str">
        <f>VLOOKUP(Ruimtestaat[[#This Row],[Ruimte code]],Ruimtegroepen[[#All],[Code]:[Ruimte omschrijving]],2,FALSE)</f>
        <v>Niet in Onderhoud</v>
      </c>
      <c r="L530" s="330" t="s">
        <v>101</v>
      </c>
      <c r="M530" s="437" t="s">
        <v>1816</v>
      </c>
      <c r="N530" s="439"/>
      <c r="O530" s="439">
        <v>0</v>
      </c>
      <c r="P530" s="439"/>
      <c r="Q530" s="439"/>
      <c r="R530" s="440">
        <f>VLOOKUP(Ruimtestaat[[#This Row],[Ruimte code]],Ruimtegroepen[],4,FALSE)</f>
        <v>0</v>
      </c>
      <c r="S530" s="434"/>
      <c r="T530" s="434"/>
      <c r="U530" s="453">
        <f>IF(S530&gt;0,IF(RIGHT(Ruimtestaat[[#This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30" s="434">
        <f>IF(U530&gt;0,VLOOKUP($J530,Ruimtegroepen[],3,FALSE)*VLOOKUP($L530,Vloersoorten[],3,FALSE)*VLOOKUP($T530,Frequenties[],3,FALSE)*VLOOKUP($A530,Locaties[],3,FALSE),0)</f>
        <v>0</v>
      </c>
      <c r="W530" s="434">
        <f>Ruimtestaat[[#This Row],[Uitvoeringen werkdagen]]*Ruimtestaat[[#This Row],[Oppervlak (netto)]]</f>
        <v>0</v>
      </c>
      <c r="X530" s="441">
        <f>IF(V530&gt;0,Ruimtestaat[[#This Row],[Prest. (m2 /jaar) werkdagen]]/Ruimtestaat[[#This Row],[Norm (m2/uur) werkdagen]],0)</f>
        <v>0</v>
      </c>
      <c r="Y530" s="442">
        <f>Ruimtestaat[[#This Row],[Uitvoeringen werkdagen]]*Ruimtestaat[[#This Row],[Gedeeltelijk]]</f>
        <v>0</v>
      </c>
      <c r="Z530" s="443">
        <f>IF(U530&gt;0,Ruimtestaat[[#This Row],[Prest. (m2 / jaar) werkdagen gedeeld]]/Ruimtestaat[[#This Row],[Norm (m2/uur) werkdagen]],0)</f>
        <v>0</v>
      </c>
      <c r="AA530" s="441">
        <f>Ruimtestaat[[#This Row],[uren / jaar werkdagen gedeeld]]*Tariefsopbouw!$E$35</f>
        <v>0</v>
      </c>
      <c r="AB530" s="441">
        <f>Ruimtestaat[[#This Row],[Uitvoeringen werkdagen]]*Ruimtestaat[[#This Row],[BSO]]</f>
        <v>0</v>
      </c>
      <c r="AC530" s="443">
        <f>IF(U530&gt;0,Ruimtestaat[[#This Row],[Prest. (m2 / jaar) werkdagen BSO]]/Ruimtestaat[[#This Row],[Norm (m2/uur) werkdagen]],0)</f>
        <v>0</v>
      </c>
      <c r="AD530" s="443">
        <f>Ruimtestaat[[#This Row],[uren / jaar werkdagen BSO]]*Tariefsopbouw!$E$35</f>
        <v>0</v>
      </c>
      <c r="AE530" s="444">
        <f>Ruimtestaat[[#This Row],[uren / jaar werkdagen]]*Tariefsopbouw!$E$35</f>
        <v>0</v>
      </c>
      <c r="AF530" s="454"/>
      <c r="AG530" s="455">
        <f>IF(Ruimtestaat[[#This Row],[Frequentie weekend]]&gt;0,VALUE(LEFT(AF530,1))*S530,0)</f>
        <v>0</v>
      </c>
      <c r="AH530" s="455">
        <f>IF($AG530&gt;0,VLOOKUP($J530,Ruimtegroepen[],3,FALSE)*VLOOKUP($L530,Vloersoorten[],3,FALSE)*VLOOKUP($AF530,Frequenties[],3,FALSE)*VLOOKUP(#REF!,Locaties[],3,FALSE),0)</f>
        <v>0</v>
      </c>
      <c r="AI530" s="434">
        <f>Ruimtestaat[[#This Row],[Uitvoeringen weekend]]*Ruimtestaat[[#This Row],[Oppervlak (netto)]]</f>
        <v>0</v>
      </c>
      <c r="AJ530" s="434">
        <f>IF(AH530&gt;0,Ruimtestaat[[#This Row],[Prest. (m2 /jaar) weekend]]/Ruimtestaat[[#This Row],[Norm (m2/uur) weekend]],0)</f>
        <v>0</v>
      </c>
      <c r="AK530" s="444">
        <f>Ruimtestaat[[#This Row],[uren / jaar weekend]]*Tariefsopbouw!$D$40</f>
        <v>0</v>
      </c>
      <c r="AL530" s="441">
        <f>Ruimtestaat[[#This Row],[Prest. (m2 /jaar) weekend]]+Ruimtestaat[[#This Row],[Prest. (m2 /jaar) werkdagen]]</f>
        <v>0</v>
      </c>
      <c r="AM530" s="441">
        <f>Ruimtestaat[[#This Row],[uren / jaar weekend]]+Ruimtestaat[[#This Row],[uren / jaar werkdagen]]</f>
        <v>0</v>
      </c>
      <c r="AN530" s="446">
        <f>Ruimtestaat[[#This Row],[kosten / jaar weekend]]+Ruimtestaat[[#This Row],[kosten / jaar werkdagen]]</f>
        <v>0</v>
      </c>
      <c r="AO530" s="446"/>
      <c r="AP530" s="446" t="str">
        <f>IF(Ruimtestaat[[#This Row],[Frequentie werkdagen]]="","",_xlfn.CONCAT(Ruimtestaat[[#This Row],[Ruimte code]],"-",Ruimtestaat[[#This Row],[Frequentie werkdagen]]," ",Ruimtestaat[[#This Row],[Vloer code]]))</f>
        <v/>
      </c>
      <c r="AQ530" s="448" t="str">
        <f>_xlfn.IFNA(VLOOKUP($AP530,Programma!$F$3:$G$1101,2,0),"")</f>
        <v/>
      </c>
      <c r="AR530" s="448" t="str">
        <f>_xlfn.IFNA(VLOOKUP($AP530,Programma!$F$3:$H$1101,3,0),"")</f>
        <v/>
      </c>
      <c r="AS530" s="448" t="str">
        <f>_xlfn.IFNA(VLOOKUP($AP530,Programma!$F$3:$I$1101,4,0),"")</f>
        <v/>
      </c>
      <c r="AT530" s="448" t="str">
        <f>_xlfn.IFNA(VLOOKUP($AP530,Programma!$F$3:$J$1101,5,0),"")</f>
        <v/>
      </c>
      <c r="AU530" s="448" t="str">
        <f>_xlfn.IFNA(VLOOKUP($AP530,Programma!$F$3:$K$1101,6,0),"")</f>
        <v/>
      </c>
      <c r="AV530" s="448" t="str">
        <f>_xlfn.IFNA(VLOOKUP($AP530,Programma!$F$3:$L$1101,7,0),"")</f>
        <v/>
      </c>
      <c r="AW530" s="448" t="str">
        <f>_xlfn.IFNA(VLOOKUP($AP530,Programma!$F$3:$M$1101,8,0),"")</f>
        <v/>
      </c>
      <c r="AX530" s="448" t="str">
        <f>_xlfn.IFNA(VLOOKUP($AP530,Programma!$F$3:$N$1101,9,0),"")</f>
        <v/>
      </c>
      <c r="AY530" s="448" t="str">
        <f>_xlfn.IFNA(VLOOKUP($AP530,Programma!$F$3:$O$1101,10,0),"")</f>
        <v/>
      </c>
      <c r="AZ530" s="448" t="str">
        <f>_xlfn.IFNA(VLOOKUP($AP530,Programma!$F$3:$P$1101,11,0),"")</f>
        <v/>
      </c>
      <c r="BA530" s="448" t="str">
        <f>_xlfn.IFNA(VLOOKUP($AP530,Programma!$F$3:$Q$1101,12,0),"")</f>
        <v/>
      </c>
      <c r="BB530" s="448" t="str">
        <f>_xlfn.IFNA(VLOOKUP($AP530,Programma!$F$3:$R$1101,13,0),"")</f>
        <v/>
      </c>
      <c r="BC530" s="448" t="str">
        <f>_xlfn.IFNA(VLOOKUP($AP530,Programma!$F$3:$S$1101,14,0),"")</f>
        <v/>
      </c>
      <c r="BD530" s="448" t="str">
        <f>_xlfn.IFNA(VLOOKUP($AP530,Programma!$F$3:$T$1101,15,0),"")</f>
        <v/>
      </c>
      <c r="BE530" s="448" t="str">
        <f>_xlfn.IFNA(VLOOKUP($AP530,Programma!$F$3:$U$1101,16,0),"")</f>
        <v/>
      </c>
      <c r="BF530" s="448" t="str">
        <f>_xlfn.IFNA(VLOOKUP($AP530,Programma!$F$3:$V$1101,17,0),"")</f>
        <v/>
      </c>
      <c r="BG530" s="448" t="str">
        <f>_xlfn.IFNA(VLOOKUP($AP530,Programma!$F$3:$W$1101,18,0),"")</f>
        <v/>
      </c>
      <c r="BH530" s="448" t="str">
        <f>_xlfn.IFNA(VLOOKUP($AP530,Programma!$F$3:$X$1101,19,0),"")</f>
        <v/>
      </c>
      <c r="BI530" s="448" t="str">
        <f>_xlfn.IFNA(VLOOKUP($AP530,Programma!$F$3:$Y$1101,20,0),"")</f>
        <v/>
      </c>
      <c r="BJ530" s="449"/>
      <c r="BK530" s="446" t="str">
        <f>IF(Ruimtestaat[[#This Row],[Frequentie weekend]]="","",_xlfn.CONCAT(Ruimtestaat[[#This Row],[Ruimte code]],"-",Ruimtestaat[[#This Row],[Frequentie weekend]]," ",Ruimtestaat[[#This Row],[Vloer code]]))</f>
        <v/>
      </c>
      <c r="BL530" s="448" t="str">
        <f>_xlfn.IFNA(VLOOKUP($BK530,Programma!$F$3:$G$1101,2,0),"")</f>
        <v/>
      </c>
      <c r="BM530" s="448" t="str">
        <f>_xlfn.IFNA(VLOOKUP($BK530,Programma!$F$3:$H$1101,3,0),"")</f>
        <v/>
      </c>
      <c r="BN530" s="448" t="str">
        <f>_xlfn.IFNA(VLOOKUP($BK530,Programma!$F$3:$I$1101,4,0),"")</f>
        <v/>
      </c>
      <c r="BO530" s="448" t="str">
        <f>_xlfn.IFNA(VLOOKUP($BK530,Programma!$F$3:$J$1101,5,0),"")</f>
        <v/>
      </c>
      <c r="BP530" s="448" t="str">
        <f>_xlfn.IFNA(VLOOKUP($BK530,Programma!$F$3:$K$1101,6,0),"")</f>
        <v/>
      </c>
      <c r="BQ530" s="448" t="str">
        <f>_xlfn.IFNA(VLOOKUP($BK530,Programma!$F$3:$L$1101,7,0),"")</f>
        <v/>
      </c>
      <c r="BR530" s="448" t="str">
        <f>_xlfn.IFNA(VLOOKUP($BK530,Programma!$F$3:$M$1101,8,0),"")</f>
        <v/>
      </c>
      <c r="BS530" s="448" t="str">
        <f>_xlfn.IFNA(VLOOKUP($BK530,Programma!$F$3:$N$1101,9,0),"")</f>
        <v/>
      </c>
      <c r="BT530" s="448" t="str">
        <f>_xlfn.IFNA(VLOOKUP($BK530,Programma!$F$3:$O$1101,10,0),"")</f>
        <v/>
      </c>
      <c r="BU530" s="448" t="str">
        <f>_xlfn.IFNA(VLOOKUP($BK530,Programma!$F$3:$P$1101,11,0),"")</f>
        <v/>
      </c>
      <c r="BV530" s="448" t="str">
        <f>_xlfn.IFNA(VLOOKUP($BK530,Programma!$F$3:$Q$1101,12,0),"")</f>
        <v/>
      </c>
      <c r="BW530" s="448" t="str">
        <f>_xlfn.IFNA(VLOOKUP($BK530,Programma!$F$3:$R$1101,13,0),"")</f>
        <v/>
      </c>
      <c r="BX530" s="448" t="str">
        <f>_xlfn.IFNA(VLOOKUP($BK530,Programma!$F$3:$S$1101,14,0),"")</f>
        <v/>
      </c>
      <c r="BY530" s="448" t="str">
        <f>_xlfn.IFNA(VLOOKUP($BK530,Programma!$F$3:$T$1101,15,0),"")</f>
        <v/>
      </c>
      <c r="BZ530" s="448" t="str">
        <f>_xlfn.IFNA(VLOOKUP($BK530,Programma!$F$3:$U$1101,16,0),"")</f>
        <v/>
      </c>
      <c r="CA530" s="448" t="str">
        <f>_xlfn.IFNA(VLOOKUP($BK530,Programma!$F$3:$V$1101,17,0),"")</f>
        <v/>
      </c>
      <c r="CB530" s="448" t="str">
        <f>_xlfn.IFNA(VLOOKUP($BK530,Programma!$F$3:$W$1101,18,0),"")</f>
        <v/>
      </c>
      <c r="CC530" s="448" t="str">
        <f>_xlfn.IFNA(VLOOKUP($BK530,Programma!$F$3:$X$1101,19,0),"")</f>
        <v/>
      </c>
      <c r="CD530" s="448" t="str">
        <f>_xlfn.IFNA(VLOOKUP($BK530,Programma!$F$3:$Y$1101,20,0),"")</f>
        <v/>
      </c>
    </row>
    <row r="531" spans="1:82" ht="15" customHeight="1">
      <c r="A531" s="327">
        <v>19</v>
      </c>
      <c r="B531" s="435" t="str">
        <f>VLOOKUP(Ruimtestaat[[#This Row],[Code]],Locaties[[Code]:[Locatie]],2,FALSE)</f>
        <v>IKC de Leerplaneet (vhKlimboom)</v>
      </c>
      <c r="C531" s="435" t="str">
        <f>VLOOKUP(Ruimtestaat[[#This Row],[Code]],Locaties[[#All],[Code]:[Adres]],4,FALSE)</f>
        <v>Nesciohove 105-107</v>
      </c>
      <c r="D531" s="435" t="str">
        <f>VLOOKUP(Ruimtestaat[[#This Row],[Code]],Locaties[[#All],[Code]:[Postcode]],5,FALSE)</f>
        <v>2726 BL</v>
      </c>
      <c r="E531" s="435" t="str">
        <f>VLOOKUP(Ruimtestaat[[#This Row],[Code]],Locaties[#All],6,FALSE)</f>
        <v>Zoetermeer</v>
      </c>
      <c r="F531" s="450"/>
      <c r="G531" s="330" t="s">
        <v>1678</v>
      </c>
      <c r="H531" s="330" t="s">
        <v>1904</v>
      </c>
      <c r="I531" s="450" t="s">
        <v>1724</v>
      </c>
      <c r="J531" s="330">
        <v>20</v>
      </c>
      <c r="K531" s="450" t="str">
        <f>VLOOKUP(Ruimtestaat[[#This Row],[Ruimte code]],Ruimtegroepen[[#All],[Code]:[Ruimte omschrijving]],2,FALSE)</f>
        <v>Niet in Onderhoud</v>
      </c>
      <c r="L531" s="330" t="s">
        <v>101</v>
      </c>
      <c r="M531" s="437" t="s">
        <v>1816</v>
      </c>
      <c r="N531" s="439"/>
      <c r="O531" s="439">
        <v>0</v>
      </c>
      <c r="P531" s="439"/>
      <c r="Q531" s="439"/>
      <c r="R531" s="440">
        <f>VLOOKUP(Ruimtestaat[[#This Row],[Ruimte code]],Ruimtegroepen[],4,FALSE)</f>
        <v>0</v>
      </c>
      <c r="S531" s="434"/>
      <c r="T531" s="434"/>
      <c r="U531" s="453">
        <f>IF(S531&gt;0,IF(RIGHT(Ruimtestaat[[#This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31" s="434">
        <f>IF(U531&gt;0,VLOOKUP($J531,Ruimtegroepen[],3,FALSE)*VLOOKUP($L531,Vloersoorten[],3,FALSE)*VLOOKUP($T531,Frequenties[],3,FALSE)*VLOOKUP($A531,Locaties[],3,FALSE),0)</f>
        <v>0</v>
      </c>
      <c r="W531" s="434">
        <f>Ruimtestaat[[#This Row],[Uitvoeringen werkdagen]]*Ruimtestaat[[#This Row],[Oppervlak (netto)]]</f>
        <v>0</v>
      </c>
      <c r="X531" s="441">
        <f>IF(V531&gt;0,Ruimtestaat[[#This Row],[Prest. (m2 /jaar) werkdagen]]/Ruimtestaat[[#This Row],[Norm (m2/uur) werkdagen]],0)</f>
        <v>0</v>
      </c>
      <c r="Y531" s="442">
        <f>Ruimtestaat[[#This Row],[Uitvoeringen werkdagen]]*Ruimtestaat[[#This Row],[Gedeeltelijk]]</f>
        <v>0</v>
      </c>
      <c r="Z531" s="443">
        <f>IF(U531&gt;0,Ruimtestaat[[#This Row],[Prest. (m2 / jaar) werkdagen gedeeld]]/Ruimtestaat[[#This Row],[Norm (m2/uur) werkdagen]],0)</f>
        <v>0</v>
      </c>
      <c r="AA531" s="441">
        <f>Ruimtestaat[[#This Row],[uren / jaar werkdagen gedeeld]]*Tariefsopbouw!$E$35</f>
        <v>0</v>
      </c>
      <c r="AB531" s="441">
        <f>Ruimtestaat[[#This Row],[Uitvoeringen werkdagen]]*Ruimtestaat[[#This Row],[BSO]]</f>
        <v>0</v>
      </c>
      <c r="AC531" s="443">
        <f>IF(U531&gt;0,Ruimtestaat[[#This Row],[Prest. (m2 / jaar) werkdagen BSO]]/Ruimtestaat[[#This Row],[Norm (m2/uur) werkdagen]],0)</f>
        <v>0</v>
      </c>
      <c r="AD531" s="443">
        <f>Ruimtestaat[[#This Row],[uren / jaar werkdagen BSO]]*Tariefsopbouw!$E$35</f>
        <v>0</v>
      </c>
      <c r="AE531" s="444">
        <f>Ruimtestaat[[#This Row],[uren / jaar werkdagen]]*Tariefsopbouw!$E$35</f>
        <v>0</v>
      </c>
      <c r="AF531" s="454"/>
      <c r="AG531" s="455">
        <f>IF(Ruimtestaat[[#This Row],[Frequentie weekend]]&gt;0,VALUE(LEFT(AF531,1))*S531,0)</f>
        <v>0</v>
      </c>
      <c r="AH531" s="455">
        <f>IF($AG531&gt;0,VLOOKUP($J531,Ruimtegroepen[],3,FALSE)*VLOOKUP($L531,Vloersoorten[],3,FALSE)*VLOOKUP($AF531,Frequenties[],3,FALSE)*VLOOKUP(#REF!,Locaties[],3,FALSE),0)</f>
        <v>0</v>
      </c>
      <c r="AI531" s="434">
        <f>Ruimtestaat[[#This Row],[Uitvoeringen weekend]]*Ruimtestaat[[#This Row],[Oppervlak (netto)]]</f>
        <v>0</v>
      </c>
      <c r="AJ531" s="434">
        <f>IF(AH531&gt;0,Ruimtestaat[[#This Row],[Prest. (m2 /jaar) weekend]]/Ruimtestaat[[#This Row],[Norm (m2/uur) weekend]],0)</f>
        <v>0</v>
      </c>
      <c r="AK531" s="444">
        <f>Ruimtestaat[[#This Row],[uren / jaar weekend]]*Tariefsopbouw!$D$40</f>
        <v>0</v>
      </c>
      <c r="AL531" s="441">
        <f>Ruimtestaat[[#This Row],[Prest. (m2 /jaar) weekend]]+Ruimtestaat[[#This Row],[Prest. (m2 /jaar) werkdagen]]</f>
        <v>0</v>
      </c>
      <c r="AM531" s="441">
        <f>Ruimtestaat[[#This Row],[uren / jaar weekend]]+Ruimtestaat[[#This Row],[uren / jaar werkdagen]]</f>
        <v>0</v>
      </c>
      <c r="AN531" s="446">
        <f>Ruimtestaat[[#This Row],[kosten / jaar weekend]]+Ruimtestaat[[#This Row],[kosten / jaar werkdagen]]</f>
        <v>0</v>
      </c>
      <c r="AO531" s="446"/>
      <c r="AP531" s="446" t="str">
        <f>IF(Ruimtestaat[[#This Row],[Frequentie werkdagen]]="","",_xlfn.CONCAT(Ruimtestaat[[#This Row],[Ruimte code]],"-",Ruimtestaat[[#This Row],[Frequentie werkdagen]]," ",Ruimtestaat[[#This Row],[Vloer code]]))</f>
        <v/>
      </c>
      <c r="AQ531" s="448" t="str">
        <f>_xlfn.IFNA(VLOOKUP($AP531,Programma!$F$3:$G$1101,2,0),"")</f>
        <v/>
      </c>
      <c r="AR531" s="448" t="str">
        <f>_xlfn.IFNA(VLOOKUP($AP531,Programma!$F$3:$H$1101,3,0),"")</f>
        <v/>
      </c>
      <c r="AS531" s="448" t="str">
        <f>_xlfn.IFNA(VLOOKUP($AP531,Programma!$F$3:$I$1101,4,0),"")</f>
        <v/>
      </c>
      <c r="AT531" s="448" t="str">
        <f>_xlfn.IFNA(VLOOKUP($AP531,Programma!$F$3:$J$1101,5,0),"")</f>
        <v/>
      </c>
      <c r="AU531" s="448" t="str">
        <f>_xlfn.IFNA(VLOOKUP($AP531,Programma!$F$3:$K$1101,6,0),"")</f>
        <v/>
      </c>
      <c r="AV531" s="448" t="str">
        <f>_xlfn.IFNA(VLOOKUP($AP531,Programma!$F$3:$L$1101,7,0),"")</f>
        <v/>
      </c>
      <c r="AW531" s="448" t="str">
        <f>_xlfn.IFNA(VLOOKUP($AP531,Programma!$F$3:$M$1101,8,0),"")</f>
        <v/>
      </c>
      <c r="AX531" s="448" t="str">
        <f>_xlfn.IFNA(VLOOKUP($AP531,Programma!$F$3:$N$1101,9,0),"")</f>
        <v/>
      </c>
      <c r="AY531" s="448" t="str">
        <f>_xlfn.IFNA(VLOOKUP($AP531,Programma!$F$3:$O$1101,10,0),"")</f>
        <v/>
      </c>
      <c r="AZ531" s="448" t="str">
        <f>_xlfn.IFNA(VLOOKUP($AP531,Programma!$F$3:$P$1101,11,0),"")</f>
        <v/>
      </c>
      <c r="BA531" s="448" t="str">
        <f>_xlfn.IFNA(VLOOKUP($AP531,Programma!$F$3:$Q$1101,12,0),"")</f>
        <v/>
      </c>
      <c r="BB531" s="448" t="str">
        <f>_xlfn.IFNA(VLOOKUP($AP531,Programma!$F$3:$R$1101,13,0),"")</f>
        <v/>
      </c>
      <c r="BC531" s="448" t="str">
        <f>_xlfn.IFNA(VLOOKUP($AP531,Programma!$F$3:$S$1101,14,0),"")</f>
        <v/>
      </c>
      <c r="BD531" s="448" t="str">
        <f>_xlfn.IFNA(VLOOKUP($AP531,Programma!$F$3:$T$1101,15,0),"")</f>
        <v/>
      </c>
      <c r="BE531" s="448" t="str">
        <f>_xlfn.IFNA(VLOOKUP($AP531,Programma!$F$3:$U$1101,16,0),"")</f>
        <v/>
      </c>
      <c r="BF531" s="448" t="str">
        <f>_xlfn.IFNA(VLOOKUP($AP531,Programma!$F$3:$V$1101,17,0),"")</f>
        <v/>
      </c>
      <c r="BG531" s="448" t="str">
        <f>_xlfn.IFNA(VLOOKUP($AP531,Programma!$F$3:$W$1101,18,0),"")</f>
        <v/>
      </c>
      <c r="BH531" s="448" t="str">
        <f>_xlfn.IFNA(VLOOKUP($AP531,Programma!$F$3:$X$1101,19,0),"")</f>
        <v/>
      </c>
      <c r="BI531" s="448" t="str">
        <f>_xlfn.IFNA(VLOOKUP($AP531,Programma!$F$3:$Y$1101,20,0),"")</f>
        <v/>
      </c>
      <c r="BJ531" s="449"/>
      <c r="BK531" s="446" t="str">
        <f>IF(Ruimtestaat[[#This Row],[Frequentie weekend]]="","",_xlfn.CONCAT(Ruimtestaat[[#This Row],[Ruimte code]],"-",Ruimtestaat[[#This Row],[Frequentie weekend]]," ",Ruimtestaat[[#This Row],[Vloer code]]))</f>
        <v/>
      </c>
      <c r="BL531" s="448" t="str">
        <f>_xlfn.IFNA(VLOOKUP($BK531,Programma!$F$3:$G$1101,2,0),"")</f>
        <v/>
      </c>
      <c r="BM531" s="448" t="str">
        <f>_xlfn.IFNA(VLOOKUP($BK531,Programma!$F$3:$H$1101,3,0),"")</f>
        <v/>
      </c>
      <c r="BN531" s="448" t="str">
        <f>_xlfn.IFNA(VLOOKUP($BK531,Programma!$F$3:$I$1101,4,0),"")</f>
        <v/>
      </c>
      <c r="BO531" s="448" t="str">
        <f>_xlfn.IFNA(VLOOKUP($BK531,Programma!$F$3:$J$1101,5,0),"")</f>
        <v/>
      </c>
      <c r="BP531" s="448" t="str">
        <f>_xlfn.IFNA(VLOOKUP($BK531,Programma!$F$3:$K$1101,6,0),"")</f>
        <v/>
      </c>
      <c r="BQ531" s="448" t="str">
        <f>_xlfn.IFNA(VLOOKUP($BK531,Programma!$F$3:$L$1101,7,0),"")</f>
        <v/>
      </c>
      <c r="BR531" s="448" t="str">
        <f>_xlfn.IFNA(VLOOKUP($BK531,Programma!$F$3:$M$1101,8,0),"")</f>
        <v/>
      </c>
      <c r="BS531" s="448" t="str">
        <f>_xlfn.IFNA(VLOOKUP($BK531,Programma!$F$3:$N$1101,9,0),"")</f>
        <v/>
      </c>
      <c r="BT531" s="448" t="str">
        <f>_xlfn.IFNA(VLOOKUP($BK531,Programma!$F$3:$O$1101,10,0),"")</f>
        <v/>
      </c>
      <c r="BU531" s="448" t="str">
        <f>_xlfn.IFNA(VLOOKUP($BK531,Programma!$F$3:$P$1101,11,0),"")</f>
        <v/>
      </c>
      <c r="BV531" s="448" t="str">
        <f>_xlfn.IFNA(VLOOKUP($BK531,Programma!$F$3:$Q$1101,12,0),"")</f>
        <v/>
      </c>
      <c r="BW531" s="448" t="str">
        <f>_xlfn.IFNA(VLOOKUP($BK531,Programma!$F$3:$R$1101,13,0),"")</f>
        <v/>
      </c>
      <c r="BX531" s="448" t="str">
        <f>_xlfn.IFNA(VLOOKUP($BK531,Programma!$F$3:$S$1101,14,0),"")</f>
        <v/>
      </c>
      <c r="BY531" s="448" t="str">
        <f>_xlfn.IFNA(VLOOKUP($BK531,Programma!$F$3:$T$1101,15,0),"")</f>
        <v/>
      </c>
      <c r="BZ531" s="448" t="str">
        <f>_xlfn.IFNA(VLOOKUP($BK531,Programma!$F$3:$U$1101,16,0),"")</f>
        <v/>
      </c>
      <c r="CA531" s="448" t="str">
        <f>_xlfn.IFNA(VLOOKUP($BK531,Programma!$F$3:$V$1101,17,0),"")</f>
        <v/>
      </c>
      <c r="CB531" s="448" t="str">
        <f>_xlfn.IFNA(VLOOKUP($BK531,Programma!$F$3:$W$1101,18,0),"")</f>
        <v/>
      </c>
      <c r="CC531" s="448" t="str">
        <f>_xlfn.IFNA(VLOOKUP($BK531,Programma!$F$3:$X$1101,19,0),"")</f>
        <v/>
      </c>
      <c r="CD531" s="448" t="str">
        <f>_xlfn.IFNA(VLOOKUP($BK531,Programma!$F$3:$Y$1101,20,0),"")</f>
        <v/>
      </c>
    </row>
    <row r="532" spans="1:82" ht="15" customHeight="1">
      <c r="A532" s="327">
        <v>19</v>
      </c>
      <c r="B532" s="435" t="str">
        <f>VLOOKUP(Ruimtestaat[[#This Row],[Code]],Locaties[[Code]:[Locatie]],2,FALSE)</f>
        <v>IKC de Leerplaneet (vhKlimboom)</v>
      </c>
      <c r="C532" s="435" t="str">
        <f>VLOOKUP(Ruimtestaat[[#This Row],[Code]],Locaties[[#All],[Code]:[Adres]],4,FALSE)</f>
        <v>Nesciohove 105-107</v>
      </c>
      <c r="D532" s="435" t="str">
        <f>VLOOKUP(Ruimtestaat[[#This Row],[Code]],Locaties[[#All],[Code]:[Postcode]],5,FALSE)</f>
        <v>2726 BL</v>
      </c>
      <c r="E532" s="435" t="str">
        <f>VLOOKUP(Ruimtestaat[[#This Row],[Code]],Locaties[#All],6,FALSE)</f>
        <v>Zoetermeer</v>
      </c>
      <c r="F532" s="450"/>
      <c r="G532" s="330" t="s">
        <v>1678</v>
      </c>
      <c r="H532" s="330" t="s">
        <v>1905</v>
      </c>
      <c r="I532" s="450" t="s">
        <v>1906</v>
      </c>
      <c r="J532" s="330">
        <v>20</v>
      </c>
      <c r="K532" s="450" t="str">
        <f>VLOOKUP(Ruimtestaat[[#This Row],[Ruimte code]],Ruimtegroepen[[#All],[Code]:[Ruimte omschrijving]],2,FALSE)</f>
        <v>Niet in Onderhoud</v>
      </c>
      <c r="L532" s="330" t="s">
        <v>101</v>
      </c>
      <c r="M532" s="437" t="s">
        <v>1816</v>
      </c>
      <c r="N532" s="439"/>
      <c r="O532" s="439">
        <v>0</v>
      </c>
      <c r="P532" s="439"/>
      <c r="Q532" s="439"/>
      <c r="R532" s="440">
        <f>VLOOKUP(Ruimtestaat[[#This Row],[Ruimte code]],Ruimtegroepen[],4,FALSE)</f>
        <v>0</v>
      </c>
      <c r="S532" s="434"/>
      <c r="T532" s="434"/>
      <c r="U532" s="453">
        <f>IF(S532&gt;0,IF(RIGHT(Ruimtestaat[[#This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32" s="434">
        <f>IF(U532&gt;0,VLOOKUP($J532,Ruimtegroepen[],3,FALSE)*VLOOKUP($L532,Vloersoorten[],3,FALSE)*VLOOKUP($T532,Frequenties[],3,FALSE)*VLOOKUP($A532,Locaties[],3,FALSE),0)</f>
        <v>0</v>
      </c>
      <c r="W532" s="434">
        <f>Ruimtestaat[[#This Row],[Uitvoeringen werkdagen]]*Ruimtestaat[[#This Row],[Oppervlak (netto)]]</f>
        <v>0</v>
      </c>
      <c r="X532" s="441">
        <f>IF(V532&gt;0,Ruimtestaat[[#This Row],[Prest. (m2 /jaar) werkdagen]]/Ruimtestaat[[#This Row],[Norm (m2/uur) werkdagen]],0)</f>
        <v>0</v>
      </c>
      <c r="Y532" s="442">
        <f>Ruimtestaat[[#This Row],[Uitvoeringen werkdagen]]*Ruimtestaat[[#This Row],[Gedeeltelijk]]</f>
        <v>0</v>
      </c>
      <c r="Z532" s="443">
        <f>IF(U532&gt;0,Ruimtestaat[[#This Row],[Prest. (m2 / jaar) werkdagen gedeeld]]/Ruimtestaat[[#This Row],[Norm (m2/uur) werkdagen]],0)</f>
        <v>0</v>
      </c>
      <c r="AA532" s="441">
        <f>Ruimtestaat[[#This Row],[uren / jaar werkdagen gedeeld]]*Tariefsopbouw!$E$35</f>
        <v>0</v>
      </c>
      <c r="AB532" s="441">
        <f>Ruimtestaat[[#This Row],[Uitvoeringen werkdagen]]*Ruimtestaat[[#This Row],[BSO]]</f>
        <v>0</v>
      </c>
      <c r="AC532" s="443">
        <f>IF(U532&gt;0,Ruimtestaat[[#This Row],[Prest. (m2 / jaar) werkdagen BSO]]/Ruimtestaat[[#This Row],[Norm (m2/uur) werkdagen]],0)</f>
        <v>0</v>
      </c>
      <c r="AD532" s="443">
        <f>Ruimtestaat[[#This Row],[uren / jaar werkdagen BSO]]*Tariefsopbouw!$E$35</f>
        <v>0</v>
      </c>
      <c r="AE532" s="444">
        <f>Ruimtestaat[[#This Row],[uren / jaar werkdagen]]*Tariefsopbouw!$E$35</f>
        <v>0</v>
      </c>
      <c r="AF532" s="454"/>
      <c r="AG532" s="455">
        <f>IF(Ruimtestaat[[#This Row],[Frequentie weekend]]&gt;0,VALUE(LEFT(AF532,1))*S532,0)</f>
        <v>0</v>
      </c>
      <c r="AH532" s="455">
        <f>IF($AG532&gt;0,VLOOKUP($J532,Ruimtegroepen[],3,FALSE)*VLOOKUP($L532,Vloersoorten[],3,FALSE)*VLOOKUP($AF532,Frequenties[],3,FALSE)*VLOOKUP(#REF!,Locaties[],3,FALSE),0)</f>
        <v>0</v>
      </c>
      <c r="AI532" s="434">
        <f>Ruimtestaat[[#This Row],[Uitvoeringen weekend]]*Ruimtestaat[[#This Row],[Oppervlak (netto)]]</f>
        <v>0</v>
      </c>
      <c r="AJ532" s="434">
        <f>IF(AH532&gt;0,Ruimtestaat[[#This Row],[Prest. (m2 /jaar) weekend]]/Ruimtestaat[[#This Row],[Norm (m2/uur) weekend]],0)</f>
        <v>0</v>
      </c>
      <c r="AK532" s="444">
        <f>Ruimtestaat[[#This Row],[uren / jaar weekend]]*Tariefsopbouw!$D$40</f>
        <v>0</v>
      </c>
      <c r="AL532" s="441">
        <f>Ruimtestaat[[#This Row],[Prest. (m2 /jaar) weekend]]+Ruimtestaat[[#This Row],[Prest. (m2 /jaar) werkdagen]]</f>
        <v>0</v>
      </c>
      <c r="AM532" s="441">
        <f>Ruimtestaat[[#This Row],[uren / jaar weekend]]+Ruimtestaat[[#This Row],[uren / jaar werkdagen]]</f>
        <v>0</v>
      </c>
      <c r="AN532" s="446">
        <f>Ruimtestaat[[#This Row],[kosten / jaar weekend]]+Ruimtestaat[[#This Row],[kosten / jaar werkdagen]]</f>
        <v>0</v>
      </c>
      <c r="AO532" s="446"/>
      <c r="AP532" s="446" t="str">
        <f>IF(Ruimtestaat[[#This Row],[Frequentie werkdagen]]="","",_xlfn.CONCAT(Ruimtestaat[[#This Row],[Ruimte code]],"-",Ruimtestaat[[#This Row],[Frequentie werkdagen]]," ",Ruimtestaat[[#This Row],[Vloer code]]))</f>
        <v/>
      </c>
      <c r="AQ532" s="448" t="str">
        <f>_xlfn.IFNA(VLOOKUP($AP532,Programma!$F$3:$G$1101,2,0),"")</f>
        <v/>
      </c>
      <c r="AR532" s="448" t="str">
        <f>_xlfn.IFNA(VLOOKUP($AP532,Programma!$F$3:$H$1101,3,0),"")</f>
        <v/>
      </c>
      <c r="AS532" s="448" t="str">
        <f>_xlfn.IFNA(VLOOKUP($AP532,Programma!$F$3:$I$1101,4,0),"")</f>
        <v/>
      </c>
      <c r="AT532" s="448" t="str">
        <f>_xlfn.IFNA(VLOOKUP($AP532,Programma!$F$3:$J$1101,5,0),"")</f>
        <v/>
      </c>
      <c r="AU532" s="448" t="str">
        <f>_xlfn.IFNA(VLOOKUP($AP532,Programma!$F$3:$K$1101,6,0),"")</f>
        <v/>
      </c>
      <c r="AV532" s="448" t="str">
        <f>_xlfn.IFNA(VLOOKUP($AP532,Programma!$F$3:$L$1101,7,0),"")</f>
        <v/>
      </c>
      <c r="AW532" s="448" t="str">
        <f>_xlfn.IFNA(VLOOKUP($AP532,Programma!$F$3:$M$1101,8,0),"")</f>
        <v/>
      </c>
      <c r="AX532" s="448" t="str">
        <f>_xlfn.IFNA(VLOOKUP($AP532,Programma!$F$3:$N$1101,9,0),"")</f>
        <v/>
      </c>
      <c r="AY532" s="448" t="str">
        <f>_xlfn.IFNA(VLOOKUP($AP532,Programma!$F$3:$O$1101,10,0),"")</f>
        <v/>
      </c>
      <c r="AZ532" s="448" t="str">
        <f>_xlfn.IFNA(VLOOKUP($AP532,Programma!$F$3:$P$1101,11,0),"")</f>
        <v/>
      </c>
      <c r="BA532" s="448" t="str">
        <f>_xlfn.IFNA(VLOOKUP($AP532,Programma!$F$3:$Q$1101,12,0),"")</f>
        <v/>
      </c>
      <c r="BB532" s="448" t="str">
        <f>_xlfn.IFNA(VLOOKUP($AP532,Programma!$F$3:$R$1101,13,0),"")</f>
        <v/>
      </c>
      <c r="BC532" s="448" t="str">
        <f>_xlfn.IFNA(VLOOKUP($AP532,Programma!$F$3:$S$1101,14,0),"")</f>
        <v/>
      </c>
      <c r="BD532" s="448" t="str">
        <f>_xlfn.IFNA(VLOOKUP($AP532,Programma!$F$3:$T$1101,15,0),"")</f>
        <v/>
      </c>
      <c r="BE532" s="448" t="str">
        <f>_xlfn.IFNA(VLOOKUP($AP532,Programma!$F$3:$U$1101,16,0),"")</f>
        <v/>
      </c>
      <c r="BF532" s="448" t="str">
        <f>_xlfn.IFNA(VLOOKUP($AP532,Programma!$F$3:$V$1101,17,0),"")</f>
        <v/>
      </c>
      <c r="BG532" s="448" t="str">
        <f>_xlfn.IFNA(VLOOKUP($AP532,Programma!$F$3:$W$1101,18,0),"")</f>
        <v/>
      </c>
      <c r="BH532" s="448" t="str">
        <f>_xlfn.IFNA(VLOOKUP($AP532,Programma!$F$3:$X$1101,19,0),"")</f>
        <v/>
      </c>
      <c r="BI532" s="448" t="str">
        <f>_xlfn.IFNA(VLOOKUP($AP532,Programma!$F$3:$Y$1101,20,0),"")</f>
        <v/>
      </c>
      <c r="BJ532" s="449"/>
      <c r="BK532" s="446" t="str">
        <f>IF(Ruimtestaat[[#This Row],[Frequentie weekend]]="","",_xlfn.CONCAT(Ruimtestaat[[#This Row],[Ruimte code]],"-",Ruimtestaat[[#This Row],[Frequentie weekend]]," ",Ruimtestaat[[#This Row],[Vloer code]]))</f>
        <v/>
      </c>
      <c r="BL532" s="448" t="str">
        <f>_xlfn.IFNA(VLOOKUP($BK532,Programma!$F$3:$G$1101,2,0),"")</f>
        <v/>
      </c>
      <c r="BM532" s="448" t="str">
        <f>_xlfn.IFNA(VLOOKUP($BK532,Programma!$F$3:$H$1101,3,0),"")</f>
        <v/>
      </c>
      <c r="BN532" s="448" t="str">
        <f>_xlfn.IFNA(VLOOKUP($BK532,Programma!$F$3:$I$1101,4,0),"")</f>
        <v/>
      </c>
      <c r="BO532" s="448" t="str">
        <f>_xlfn.IFNA(VLOOKUP($BK532,Programma!$F$3:$J$1101,5,0),"")</f>
        <v/>
      </c>
      <c r="BP532" s="448" t="str">
        <f>_xlfn.IFNA(VLOOKUP($BK532,Programma!$F$3:$K$1101,6,0),"")</f>
        <v/>
      </c>
      <c r="BQ532" s="448" t="str">
        <f>_xlfn.IFNA(VLOOKUP($BK532,Programma!$F$3:$L$1101,7,0),"")</f>
        <v/>
      </c>
      <c r="BR532" s="448" t="str">
        <f>_xlfn.IFNA(VLOOKUP($BK532,Programma!$F$3:$M$1101,8,0),"")</f>
        <v/>
      </c>
      <c r="BS532" s="448" t="str">
        <f>_xlfn.IFNA(VLOOKUP($BK532,Programma!$F$3:$N$1101,9,0),"")</f>
        <v/>
      </c>
      <c r="BT532" s="448" t="str">
        <f>_xlfn.IFNA(VLOOKUP($BK532,Programma!$F$3:$O$1101,10,0),"")</f>
        <v/>
      </c>
      <c r="BU532" s="448" t="str">
        <f>_xlfn.IFNA(VLOOKUP($BK532,Programma!$F$3:$P$1101,11,0),"")</f>
        <v/>
      </c>
      <c r="BV532" s="448" t="str">
        <f>_xlfn.IFNA(VLOOKUP($BK532,Programma!$F$3:$Q$1101,12,0),"")</f>
        <v/>
      </c>
      <c r="BW532" s="448" t="str">
        <f>_xlfn.IFNA(VLOOKUP($BK532,Programma!$F$3:$R$1101,13,0),"")</f>
        <v/>
      </c>
      <c r="BX532" s="448" t="str">
        <f>_xlfn.IFNA(VLOOKUP($BK532,Programma!$F$3:$S$1101,14,0),"")</f>
        <v/>
      </c>
      <c r="BY532" s="448" t="str">
        <f>_xlfn.IFNA(VLOOKUP($BK532,Programma!$F$3:$T$1101,15,0),"")</f>
        <v/>
      </c>
      <c r="BZ532" s="448" t="str">
        <f>_xlfn.IFNA(VLOOKUP($BK532,Programma!$F$3:$U$1101,16,0),"")</f>
        <v/>
      </c>
      <c r="CA532" s="448" t="str">
        <f>_xlfn.IFNA(VLOOKUP($BK532,Programma!$F$3:$V$1101,17,0),"")</f>
        <v/>
      </c>
      <c r="CB532" s="448" t="str">
        <f>_xlfn.IFNA(VLOOKUP($BK532,Programma!$F$3:$W$1101,18,0),"")</f>
        <v/>
      </c>
      <c r="CC532" s="448" t="str">
        <f>_xlfn.IFNA(VLOOKUP($BK532,Programma!$F$3:$X$1101,19,0),"")</f>
        <v/>
      </c>
      <c r="CD532" s="448" t="str">
        <f>_xlfn.IFNA(VLOOKUP($BK532,Programma!$F$3:$Y$1101,20,0),"")</f>
        <v/>
      </c>
    </row>
    <row r="533" spans="1:82" ht="15" customHeight="1">
      <c r="A533" s="327">
        <v>19</v>
      </c>
      <c r="B533" s="435" t="str">
        <f>VLOOKUP(Ruimtestaat[[#This Row],[Code]],Locaties[[Code]:[Locatie]],2,FALSE)</f>
        <v>IKC de Leerplaneet (vhKlimboom)</v>
      </c>
      <c r="C533" s="435" t="str">
        <f>VLOOKUP(Ruimtestaat[[#This Row],[Code]],Locaties[[#All],[Code]:[Adres]],4,FALSE)</f>
        <v>Nesciohove 105-107</v>
      </c>
      <c r="D533" s="435" t="str">
        <f>VLOOKUP(Ruimtestaat[[#This Row],[Code]],Locaties[[#All],[Code]:[Postcode]],5,FALSE)</f>
        <v>2726 BL</v>
      </c>
      <c r="E533" s="435" t="str">
        <f>VLOOKUP(Ruimtestaat[[#This Row],[Code]],Locaties[#All],6,FALSE)</f>
        <v>Zoetermeer</v>
      </c>
      <c r="F533" s="450"/>
      <c r="G533" s="330" t="s">
        <v>1678</v>
      </c>
      <c r="H533" s="330" t="s">
        <v>1907</v>
      </c>
      <c r="I533" s="450" t="s">
        <v>1908</v>
      </c>
      <c r="J533" s="330">
        <v>20</v>
      </c>
      <c r="K533" s="450" t="str">
        <f>VLOOKUP(Ruimtestaat[[#This Row],[Ruimte code]],Ruimtegroepen[[#All],[Code]:[Ruimte omschrijving]],2,FALSE)</f>
        <v>Niet in Onderhoud</v>
      </c>
      <c r="L533" s="330" t="s">
        <v>101</v>
      </c>
      <c r="M533" s="437" t="s">
        <v>1816</v>
      </c>
      <c r="N533" s="439"/>
      <c r="O533" s="439">
        <v>0</v>
      </c>
      <c r="P533" s="439"/>
      <c r="Q533" s="439"/>
      <c r="R533" s="440">
        <f>VLOOKUP(Ruimtestaat[[#This Row],[Ruimte code]],Ruimtegroepen[],4,FALSE)</f>
        <v>0</v>
      </c>
      <c r="S533" s="434"/>
      <c r="T533" s="434"/>
      <c r="U533" s="453">
        <f>IF(S533&gt;0,IF(RIGHT(Ruimtestaat[[#This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33" s="434">
        <f>IF(U533&gt;0,VLOOKUP($J533,Ruimtegroepen[],3,FALSE)*VLOOKUP($L533,Vloersoorten[],3,FALSE)*VLOOKUP($T533,Frequenties[],3,FALSE)*VLOOKUP($A533,Locaties[],3,FALSE),0)</f>
        <v>0</v>
      </c>
      <c r="W533" s="434">
        <f>Ruimtestaat[[#This Row],[Uitvoeringen werkdagen]]*Ruimtestaat[[#This Row],[Oppervlak (netto)]]</f>
        <v>0</v>
      </c>
      <c r="X533" s="441">
        <f>IF(V533&gt;0,Ruimtestaat[[#This Row],[Prest. (m2 /jaar) werkdagen]]/Ruimtestaat[[#This Row],[Norm (m2/uur) werkdagen]],0)</f>
        <v>0</v>
      </c>
      <c r="Y533" s="442">
        <f>Ruimtestaat[[#This Row],[Uitvoeringen werkdagen]]*Ruimtestaat[[#This Row],[Gedeeltelijk]]</f>
        <v>0</v>
      </c>
      <c r="Z533" s="443">
        <f>IF(U533&gt;0,Ruimtestaat[[#This Row],[Prest. (m2 / jaar) werkdagen gedeeld]]/Ruimtestaat[[#This Row],[Norm (m2/uur) werkdagen]],0)</f>
        <v>0</v>
      </c>
      <c r="AA533" s="441">
        <f>Ruimtestaat[[#This Row],[uren / jaar werkdagen gedeeld]]*Tariefsopbouw!$E$35</f>
        <v>0</v>
      </c>
      <c r="AB533" s="441">
        <f>Ruimtestaat[[#This Row],[Uitvoeringen werkdagen]]*Ruimtestaat[[#This Row],[BSO]]</f>
        <v>0</v>
      </c>
      <c r="AC533" s="443">
        <f>IF(U533&gt;0,Ruimtestaat[[#This Row],[Prest. (m2 / jaar) werkdagen BSO]]/Ruimtestaat[[#This Row],[Norm (m2/uur) werkdagen]],0)</f>
        <v>0</v>
      </c>
      <c r="AD533" s="443">
        <f>Ruimtestaat[[#This Row],[uren / jaar werkdagen BSO]]*Tariefsopbouw!$E$35</f>
        <v>0</v>
      </c>
      <c r="AE533" s="444">
        <f>Ruimtestaat[[#This Row],[uren / jaar werkdagen]]*Tariefsopbouw!$E$35</f>
        <v>0</v>
      </c>
      <c r="AF533" s="454"/>
      <c r="AG533" s="455">
        <f>IF(Ruimtestaat[[#This Row],[Frequentie weekend]]&gt;0,VALUE(LEFT(AF533,1))*S533,0)</f>
        <v>0</v>
      </c>
      <c r="AH533" s="455">
        <f>IF($AG533&gt;0,VLOOKUP($J533,Ruimtegroepen[],3,FALSE)*VLOOKUP($L533,Vloersoorten[],3,FALSE)*VLOOKUP($AF533,Frequenties[],3,FALSE)*VLOOKUP(#REF!,Locaties[],3,FALSE),0)</f>
        <v>0</v>
      </c>
      <c r="AI533" s="434">
        <f>Ruimtestaat[[#This Row],[Uitvoeringen weekend]]*Ruimtestaat[[#This Row],[Oppervlak (netto)]]</f>
        <v>0</v>
      </c>
      <c r="AJ533" s="434">
        <f>IF(AH533&gt;0,Ruimtestaat[[#This Row],[Prest. (m2 /jaar) weekend]]/Ruimtestaat[[#This Row],[Norm (m2/uur) weekend]],0)</f>
        <v>0</v>
      </c>
      <c r="AK533" s="444">
        <f>Ruimtestaat[[#This Row],[uren / jaar weekend]]*Tariefsopbouw!$D$40</f>
        <v>0</v>
      </c>
      <c r="AL533" s="441">
        <f>Ruimtestaat[[#This Row],[Prest. (m2 /jaar) weekend]]+Ruimtestaat[[#This Row],[Prest. (m2 /jaar) werkdagen]]</f>
        <v>0</v>
      </c>
      <c r="AM533" s="441">
        <f>Ruimtestaat[[#This Row],[uren / jaar weekend]]+Ruimtestaat[[#This Row],[uren / jaar werkdagen]]</f>
        <v>0</v>
      </c>
      <c r="AN533" s="446">
        <f>Ruimtestaat[[#This Row],[kosten / jaar weekend]]+Ruimtestaat[[#This Row],[kosten / jaar werkdagen]]</f>
        <v>0</v>
      </c>
      <c r="AO533" s="446"/>
      <c r="AP533" s="446" t="str">
        <f>IF(Ruimtestaat[[#This Row],[Frequentie werkdagen]]="","",_xlfn.CONCAT(Ruimtestaat[[#This Row],[Ruimte code]],"-",Ruimtestaat[[#This Row],[Frequentie werkdagen]]," ",Ruimtestaat[[#This Row],[Vloer code]]))</f>
        <v/>
      </c>
      <c r="AQ533" s="448" t="str">
        <f>_xlfn.IFNA(VLOOKUP($AP533,Programma!$F$3:$G$1101,2,0),"")</f>
        <v/>
      </c>
      <c r="AR533" s="448" t="str">
        <f>_xlfn.IFNA(VLOOKUP($AP533,Programma!$F$3:$H$1101,3,0),"")</f>
        <v/>
      </c>
      <c r="AS533" s="448" t="str">
        <f>_xlfn.IFNA(VLOOKUP($AP533,Programma!$F$3:$I$1101,4,0),"")</f>
        <v/>
      </c>
      <c r="AT533" s="448" t="str">
        <f>_xlfn.IFNA(VLOOKUP($AP533,Programma!$F$3:$J$1101,5,0),"")</f>
        <v/>
      </c>
      <c r="AU533" s="448" t="str">
        <f>_xlfn.IFNA(VLOOKUP($AP533,Programma!$F$3:$K$1101,6,0),"")</f>
        <v/>
      </c>
      <c r="AV533" s="448" t="str">
        <f>_xlfn.IFNA(VLOOKUP($AP533,Programma!$F$3:$L$1101,7,0),"")</f>
        <v/>
      </c>
      <c r="AW533" s="448" t="str">
        <f>_xlfn.IFNA(VLOOKUP($AP533,Programma!$F$3:$M$1101,8,0),"")</f>
        <v/>
      </c>
      <c r="AX533" s="448" t="str">
        <f>_xlfn.IFNA(VLOOKUP($AP533,Programma!$F$3:$N$1101,9,0),"")</f>
        <v/>
      </c>
      <c r="AY533" s="448" t="str">
        <f>_xlfn.IFNA(VLOOKUP($AP533,Programma!$F$3:$O$1101,10,0),"")</f>
        <v/>
      </c>
      <c r="AZ533" s="448" t="str">
        <f>_xlfn.IFNA(VLOOKUP($AP533,Programma!$F$3:$P$1101,11,0),"")</f>
        <v/>
      </c>
      <c r="BA533" s="448" t="str">
        <f>_xlfn.IFNA(VLOOKUP($AP533,Programma!$F$3:$Q$1101,12,0),"")</f>
        <v/>
      </c>
      <c r="BB533" s="448" t="str">
        <f>_xlfn.IFNA(VLOOKUP($AP533,Programma!$F$3:$R$1101,13,0),"")</f>
        <v/>
      </c>
      <c r="BC533" s="448" t="str">
        <f>_xlfn.IFNA(VLOOKUP($AP533,Programma!$F$3:$S$1101,14,0),"")</f>
        <v/>
      </c>
      <c r="BD533" s="448" t="str">
        <f>_xlfn.IFNA(VLOOKUP($AP533,Programma!$F$3:$T$1101,15,0),"")</f>
        <v/>
      </c>
      <c r="BE533" s="448" t="str">
        <f>_xlfn.IFNA(VLOOKUP($AP533,Programma!$F$3:$U$1101,16,0),"")</f>
        <v/>
      </c>
      <c r="BF533" s="448" t="str">
        <f>_xlfn.IFNA(VLOOKUP($AP533,Programma!$F$3:$V$1101,17,0),"")</f>
        <v/>
      </c>
      <c r="BG533" s="448" t="str">
        <f>_xlfn.IFNA(VLOOKUP($AP533,Programma!$F$3:$W$1101,18,0),"")</f>
        <v/>
      </c>
      <c r="BH533" s="448" t="str">
        <f>_xlfn.IFNA(VLOOKUP($AP533,Programma!$F$3:$X$1101,19,0),"")</f>
        <v/>
      </c>
      <c r="BI533" s="448" t="str">
        <f>_xlfn.IFNA(VLOOKUP($AP533,Programma!$F$3:$Y$1101,20,0),"")</f>
        <v/>
      </c>
      <c r="BJ533" s="449"/>
      <c r="BK533" s="446" t="str">
        <f>IF(Ruimtestaat[[#This Row],[Frequentie weekend]]="","",_xlfn.CONCAT(Ruimtestaat[[#This Row],[Ruimte code]],"-",Ruimtestaat[[#This Row],[Frequentie weekend]]," ",Ruimtestaat[[#This Row],[Vloer code]]))</f>
        <v/>
      </c>
      <c r="BL533" s="448" t="str">
        <f>_xlfn.IFNA(VLOOKUP($BK533,Programma!$F$3:$G$1101,2,0),"")</f>
        <v/>
      </c>
      <c r="BM533" s="448" t="str">
        <f>_xlfn.IFNA(VLOOKUP($BK533,Programma!$F$3:$H$1101,3,0),"")</f>
        <v/>
      </c>
      <c r="BN533" s="448" t="str">
        <f>_xlfn.IFNA(VLOOKUP($BK533,Programma!$F$3:$I$1101,4,0),"")</f>
        <v/>
      </c>
      <c r="BO533" s="448" t="str">
        <f>_xlfn.IFNA(VLOOKUP($BK533,Programma!$F$3:$J$1101,5,0),"")</f>
        <v/>
      </c>
      <c r="BP533" s="448" t="str">
        <f>_xlfn.IFNA(VLOOKUP($BK533,Programma!$F$3:$K$1101,6,0),"")</f>
        <v/>
      </c>
      <c r="BQ533" s="448" t="str">
        <f>_xlfn.IFNA(VLOOKUP($BK533,Programma!$F$3:$L$1101,7,0),"")</f>
        <v/>
      </c>
      <c r="BR533" s="448" t="str">
        <f>_xlfn.IFNA(VLOOKUP($BK533,Programma!$F$3:$M$1101,8,0),"")</f>
        <v/>
      </c>
      <c r="BS533" s="448" t="str">
        <f>_xlfn.IFNA(VLOOKUP($BK533,Programma!$F$3:$N$1101,9,0),"")</f>
        <v/>
      </c>
      <c r="BT533" s="448" t="str">
        <f>_xlfn.IFNA(VLOOKUP($BK533,Programma!$F$3:$O$1101,10,0),"")</f>
        <v/>
      </c>
      <c r="BU533" s="448" t="str">
        <f>_xlfn.IFNA(VLOOKUP($BK533,Programma!$F$3:$P$1101,11,0),"")</f>
        <v/>
      </c>
      <c r="BV533" s="448" t="str">
        <f>_xlfn.IFNA(VLOOKUP($BK533,Programma!$F$3:$Q$1101,12,0),"")</f>
        <v/>
      </c>
      <c r="BW533" s="448" t="str">
        <f>_xlfn.IFNA(VLOOKUP($BK533,Programma!$F$3:$R$1101,13,0),"")</f>
        <v/>
      </c>
      <c r="BX533" s="448" t="str">
        <f>_xlfn.IFNA(VLOOKUP($BK533,Programma!$F$3:$S$1101,14,0),"")</f>
        <v/>
      </c>
      <c r="BY533" s="448" t="str">
        <f>_xlfn.IFNA(VLOOKUP($BK533,Programma!$F$3:$T$1101,15,0),"")</f>
        <v/>
      </c>
      <c r="BZ533" s="448" t="str">
        <f>_xlfn.IFNA(VLOOKUP($BK533,Programma!$F$3:$U$1101,16,0),"")</f>
        <v/>
      </c>
      <c r="CA533" s="448" t="str">
        <f>_xlfn.IFNA(VLOOKUP($BK533,Programma!$F$3:$V$1101,17,0),"")</f>
        <v/>
      </c>
      <c r="CB533" s="448" t="str">
        <f>_xlfn.IFNA(VLOOKUP($BK533,Programma!$F$3:$W$1101,18,0),"")</f>
        <v/>
      </c>
      <c r="CC533" s="448" t="str">
        <f>_xlfn.IFNA(VLOOKUP($BK533,Programma!$F$3:$X$1101,19,0),"")</f>
        <v/>
      </c>
      <c r="CD533" s="448" t="str">
        <f>_xlfn.IFNA(VLOOKUP($BK533,Programma!$F$3:$Y$1101,20,0),"")</f>
        <v/>
      </c>
    </row>
    <row r="534" spans="1:82" ht="15" customHeight="1">
      <c r="A534" s="327">
        <v>19</v>
      </c>
      <c r="B534" s="435" t="str">
        <f>VLOOKUP(Ruimtestaat[[#This Row],[Code]],Locaties[[Code]:[Locatie]],2,FALSE)</f>
        <v>IKC de Leerplaneet (vhKlimboom)</v>
      </c>
      <c r="C534" s="435" t="str">
        <f>VLOOKUP(Ruimtestaat[[#This Row],[Code]],Locaties[[#All],[Code]:[Adres]],4,FALSE)</f>
        <v>Nesciohove 105-107</v>
      </c>
      <c r="D534" s="435" t="str">
        <f>VLOOKUP(Ruimtestaat[[#This Row],[Code]],Locaties[[#All],[Code]:[Postcode]],5,FALSE)</f>
        <v>2726 BL</v>
      </c>
      <c r="E534" s="435" t="str">
        <f>VLOOKUP(Ruimtestaat[[#This Row],[Code]],Locaties[#All],6,FALSE)</f>
        <v>Zoetermeer</v>
      </c>
      <c r="F534" s="450"/>
      <c r="G534" s="330" t="s">
        <v>1678</v>
      </c>
      <c r="H534" s="330" t="s">
        <v>1909</v>
      </c>
      <c r="I534" s="450" t="s">
        <v>1906</v>
      </c>
      <c r="J534" s="330">
        <v>20</v>
      </c>
      <c r="K534" s="450" t="str">
        <f>VLOOKUP(Ruimtestaat[[#This Row],[Ruimte code]],Ruimtegroepen[[#All],[Code]:[Ruimte omschrijving]],2,FALSE)</f>
        <v>Niet in Onderhoud</v>
      </c>
      <c r="L534" s="330" t="s">
        <v>101</v>
      </c>
      <c r="M534" s="437" t="s">
        <v>1816</v>
      </c>
      <c r="N534" s="439"/>
      <c r="O534" s="439">
        <v>0</v>
      </c>
      <c r="P534" s="439"/>
      <c r="Q534" s="439"/>
      <c r="R534" s="440">
        <f>VLOOKUP(Ruimtestaat[[#This Row],[Ruimte code]],Ruimtegroepen[],4,FALSE)</f>
        <v>0</v>
      </c>
      <c r="S534" s="434"/>
      <c r="T534" s="434"/>
      <c r="U534" s="453">
        <f>IF(S534&gt;0,IF(RIGHT(Ruimtestaat[[#This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34" s="434">
        <f>IF(U534&gt;0,VLOOKUP($J534,Ruimtegroepen[],3,FALSE)*VLOOKUP($L534,Vloersoorten[],3,FALSE)*VLOOKUP($T534,Frequenties[],3,FALSE)*VLOOKUP($A534,Locaties[],3,FALSE),0)</f>
        <v>0</v>
      </c>
      <c r="W534" s="434">
        <f>Ruimtestaat[[#This Row],[Uitvoeringen werkdagen]]*Ruimtestaat[[#This Row],[Oppervlak (netto)]]</f>
        <v>0</v>
      </c>
      <c r="X534" s="441">
        <f>IF(V534&gt;0,Ruimtestaat[[#This Row],[Prest. (m2 /jaar) werkdagen]]/Ruimtestaat[[#This Row],[Norm (m2/uur) werkdagen]],0)</f>
        <v>0</v>
      </c>
      <c r="Y534" s="442">
        <f>Ruimtestaat[[#This Row],[Uitvoeringen werkdagen]]*Ruimtestaat[[#This Row],[Gedeeltelijk]]</f>
        <v>0</v>
      </c>
      <c r="Z534" s="443">
        <f>IF(U534&gt;0,Ruimtestaat[[#This Row],[Prest. (m2 / jaar) werkdagen gedeeld]]/Ruimtestaat[[#This Row],[Norm (m2/uur) werkdagen]],0)</f>
        <v>0</v>
      </c>
      <c r="AA534" s="441">
        <f>Ruimtestaat[[#This Row],[uren / jaar werkdagen gedeeld]]*Tariefsopbouw!$E$35</f>
        <v>0</v>
      </c>
      <c r="AB534" s="441">
        <f>Ruimtestaat[[#This Row],[Uitvoeringen werkdagen]]*Ruimtestaat[[#This Row],[BSO]]</f>
        <v>0</v>
      </c>
      <c r="AC534" s="443">
        <f>IF(U534&gt;0,Ruimtestaat[[#This Row],[Prest. (m2 / jaar) werkdagen BSO]]/Ruimtestaat[[#This Row],[Norm (m2/uur) werkdagen]],0)</f>
        <v>0</v>
      </c>
      <c r="AD534" s="443">
        <f>Ruimtestaat[[#This Row],[uren / jaar werkdagen BSO]]*Tariefsopbouw!$E$35</f>
        <v>0</v>
      </c>
      <c r="AE534" s="444">
        <f>Ruimtestaat[[#This Row],[uren / jaar werkdagen]]*Tariefsopbouw!$E$35</f>
        <v>0</v>
      </c>
      <c r="AF534" s="454"/>
      <c r="AG534" s="455">
        <f>IF(Ruimtestaat[[#This Row],[Frequentie weekend]]&gt;0,VALUE(LEFT(AF534,1))*S534,0)</f>
        <v>0</v>
      </c>
      <c r="AH534" s="455">
        <f>IF($AG534&gt;0,VLOOKUP($J534,Ruimtegroepen[],3,FALSE)*VLOOKUP($L534,Vloersoorten[],3,FALSE)*VLOOKUP($AF534,Frequenties[],3,FALSE)*VLOOKUP(#REF!,Locaties[],3,FALSE),0)</f>
        <v>0</v>
      </c>
      <c r="AI534" s="434">
        <f>Ruimtestaat[[#This Row],[Uitvoeringen weekend]]*Ruimtestaat[[#This Row],[Oppervlak (netto)]]</f>
        <v>0</v>
      </c>
      <c r="AJ534" s="434">
        <f>IF(AH534&gt;0,Ruimtestaat[[#This Row],[Prest. (m2 /jaar) weekend]]/Ruimtestaat[[#This Row],[Norm (m2/uur) weekend]],0)</f>
        <v>0</v>
      </c>
      <c r="AK534" s="444">
        <f>Ruimtestaat[[#This Row],[uren / jaar weekend]]*Tariefsopbouw!$D$40</f>
        <v>0</v>
      </c>
      <c r="AL534" s="441">
        <f>Ruimtestaat[[#This Row],[Prest. (m2 /jaar) weekend]]+Ruimtestaat[[#This Row],[Prest. (m2 /jaar) werkdagen]]</f>
        <v>0</v>
      </c>
      <c r="AM534" s="441">
        <f>Ruimtestaat[[#This Row],[uren / jaar weekend]]+Ruimtestaat[[#This Row],[uren / jaar werkdagen]]</f>
        <v>0</v>
      </c>
      <c r="AN534" s="446">
        <f>Ruimtestaat[[#This Row],[kosten / jaar weekend]]+Ruimtestaat[[#This Row],[kosten / jaar werkdagen]]</f>
        <v>0</v>
      </c>
      <c r="AO534" s="446"/>
      <c r="AP534" s="446" t="str">
        <f>IF(Ruimtestaat[[#This Row],[Frequentie werkdagen]]="","",_xlfn.CONCAT(Ruimtestaat[[#This Row],[Ruimte code]],"-",Ruimtestaat[[#This Row],[Frequentie werkdagen]]," ",Ruimtestaat[[#This Row],[Vloer code]]))</f>
        <v/>
      </c>
      <c r="AQ534" s="448" t="str">
        <f>_xlfn.IFNA(VLOOKUP($AP534,Programma!$F$3:$G$1101,2,0),"")</f>
        <v/>
      </c>
      <c r="AR534" s="448" t="str">
        <f>_xlfn.IFNA(VLOOKUP($AP534,Programma!$F$3:$H$1101,3,0),"")</f>
        <v/>
      </c>
      <c r="AS534" s="448" t="str">
        <f>_xlfn.IFNA(VLOOKUP($AP534,Programma!$F$3:$I$1101,4,0),"")</f>
        <v/>
      </c>
      <c r="AT534" s="448" t="str">
        <f>_xlfn.IFNA(VLOOKUP($AP534,Programma!$F$3:$J$1101,5,0),"")</f>
        <v/>
      </c>
      <c r="AU534" s="448" t="str">
        <f>_xlfn.IFNA(VLOOKUP($AP534,Programma!$F$3:$K$1101,6,0),"")</f>
        <v/>
      </c>
      <c r="AV534" s="448" t="str">
        <f>_xlfn.IFNA(VLOOKUP($AP534,Programma!$F$3:$L$1101,7,0),"")</f>
        <v/>
      </c>
      <c r="AW534" s="448" t="str">
        <f>_xlfn.IFNA(VLOOKUP($AP534,Programma!$F$3:$M$1101,8,0),"")</f>
        <v/>
      </c>
      <c r="AX534" s="448" t="str">
        <f>_xlfn.IFNA(VLOOKUP($AP534,Programma!$F$3:$N$1101,9,0),"")</f>
        <v/>
      </c>
      <c r="AY534" s="448" t="str">
        <f>_xlfn.IFNA(VLOOKUP($AP534,Programma!$F$3:$O$1101,10,0),"")</f>
        <v/>
      </c>
      <c r="AZ534" s="448" t="str">
        <f>_xlfn.IFNA(VLOOKUP($AP534,Programma!$F$3:$P$1101,11,0),"")</f>
        <v/>
      </c>
      <c r="BA534" s="448" t="str">
        <f>_xlfn.IFNA(VLOOKUP($AP534,Programma!$F$3:$Q$1101,12,0),"")</f>
        <v/>
      </c>
      <c r="BB534" s="448" t="str">
        <f>_xlfn.IFNA(VLOOKUP($AP534,Programma!$F$3:$R$1101,13,0),"")</f>
        <v/>
      </c>
      <c r="BC534" s="448" t="str">
        <f>_xlfn.IFNA(VLOOKUP($AP534,Programma!$F$3:$S$1101,14,0),"")</f>
        <v/>
      </c>
      <c r="BD534" s="448" t="str">
        <f>_xlfn.IFNA(VLOOKUP($AP534,Programma!$F$3:$T$1101,15,0),"")</f>
        <v/>
      </c>
      <c r="BE534" s="448" t="str">
        <f>_xlfn.IFNA(VLOOKUP($AP534,Programma!$F$3:$U$1101,16,0),"")</f>
        <v/>
      </c>
      <c r="BF534" s="448" t="str">
        <f>_xlfn.IFNA(VLOOKUP($AP534,Programma!$F$3:$V$1101,17,0),"")</f>
        <v/>
      </c>
      <c r="BG534" s="448" t="str">
        <f>_xlfn.IFNA(VLOOKUP($AP534,Programma!$F$3:$W$1101,18,0),"")</f>
        <v/>
      </c>
      <c r="BH534" s="448" t="str">
        <f>_xlfn.IFNA(VLOOKUP($AP534,Programma!$F$3:$X$1101,19,0),"")</f>
        <v/>
      </c>
      <c r="BI534" s="448" t="str">
        <f>_xlfn.IFNA(VLOOKUP($AP534,Programma!$F$3:$Y$1101,20,0),"")</f>
        <v/>
      </c>
      <c r="BJ534" s="449"/>
      <c r="BK534" s="446" t="str">
        <f>IF(Ruimtestaat[[#This Row],[Frequentie weekend]]="","",_xlfn.CONCAT(Ruimtestaat[[#This Row],[Ruimte code]],"-",Ruimtestaat[[#This Row],[Frequentie weekend]]," ",Ruimtestaat[[#This Row],[Vloer code]]))</f>
        <v/>
      </c>
      <c r="BL534" s="448" t="str">
        <f>_xlfn.IFNA(VLOOKUP($BK534,Programma!$F$3:$G$1101,2,0),"")</f>
        <v/>
      </c>
      <c r="BM534" s="448" t="str">
        <f>_xlfn.IFNA(VLOOKUP($BK534,Programma!$F$3:$H$1101,3,0),"")</f>
        <v/>
      </c>
      <c r="BN534" s="448" t="str">
        <f>_xlfn.IFNA(VLOOKUP($BK534,Programma!$F$3:$I$1101,4,0),"")</f>
        <v/>
      </c>
      <c r="BO534" s="448" t="str">
        <f>_xlfn.IFNA(VLOOKUP($BK534,Programma!$F$3:$J$1101,5,0),"")</f>
        <v/>
      </c>
      <c r="BP534" s="448" t="str">
        <f>_xlfn.IFNA(VLOOKUP($BK534,Programma!$F$3:$K$1101,6,0),"")</f>
        <v/>
      </c>
      <c r="BQ534" s="448" t="str">
        <f>_xlfn.IFNA(VLOOKUP($BK534,Programma!$F$3:$L$1101,7,0),"")</f>
        <v/>
      </c>
      <c r="BR534" s="448" t="str">
        <f>_xlfn.IFNA(VLOOKUP($BK534,Programma!$F$3:$M$1101,8,0),"")</f>
        <v/>
      </c>
      <c r="BS534" s="448" t="str">
        <f>_xlfn.IFNA(VLOOKUP($BK534,Programma!$F$3:$N$1101,9,0),"")</f>
        <v/>
      </c>
      <c r="BT534" s="448" t="str">
        <f>_xlfn.IFNA(VLOOKUP($BK534,Programma!$F$3:$O$1101,10,0),"")</f>
        <v/>
      </c>
      <c r="BU534" s="448" t="str">
        <f>_xlfn.IFNA(VLOOKUP($BK534,Programma!$F$3:$P$1101,11,0),"")</f>
        <v/>
      </c>
      <c r="BV534" s="448" t="str">
        <f>_xlfn.IFNA(VLOOKUP($BK534,Programma!$F$3:$Q$1101,12,0),"")</f>
        <v/>
      </c>
      <c r="BW534" s="448" t="str">
        <f>_xlfn.IFNA(VLOOKUP($BK534,Programma!$F$3:$R$1101,13,0),"")</f>
        <v/>
      </c>
      <c r="BX534" s="448" t="str">
        <f>_xlfn.IFNA(VLOOKUP($BK534,Programma!$F$3:$S$1101,14,0),"")</f>
        <v/>
      </c>
      <c r="BY534" s="448" t="str">
        <f>_xlfn.IFNA(VLOOKUP($BK534,Programma!$F$3:$T$1101,15,0),"")</f>
        <v/>
      </c>
      <c r="BZ534" s="448" t="str">
        <f>_xlfn.IFNA(VLOOKUP($BK534,Programma!$F$3:$U$1101,16,0),"")</f>
        <v/>
      </c>
      <c r="CA534" s="448" t="str">
        <f>_xlfn.IFNA(VLOOKUP($BK534,Programma!$F$3:$V$1101,17,0),"")</f>
        <v/>
      </c>
      <c r="CB534" s="448" t="str">
        <f>_xlfn.IFNA(VLOOKUP($BK534,Programma!$F$3:$W$1101,18,0),"")</f>
        <v/>
      </c>
      <c r="CC534" s="448" t="str">
        <f>_xlfn.IFNA(VLOOKUP($BK534,Programma!$F$3:$X$1101,19,0),"")</f>
        <v/>
      </c>
      <c r="CD534" s="448" t="str">
        <f>_xlfn.IFNA(VLOOKUP($BK534,Programma!$F$3:$Y$1101,20,0),"")</f>
        <v/>
      </c>
    </row>
    <row r="535" spans="1:82" ht="15" customHeight="1">
      <c r="A535" s="327">
        <v>19</v>
      </c>
      <c r="B535" s="435" t="str">
        <f>VLOOKUP(Ruimtestaat[[#This Row],[Code]],Locaties[[Code]:[Locatie]],2,FALSE)</f>
        <v>IKC de Leerplaneet (vhKlimboom)</v>
      </c>
      <c r="C535" s="435" t="str">
        <f>VLOOKUP(Ruimtestaat[[#This Row],[Code]],Locaties[[#All],[Code]:[Adres]],4,FALSE)</f>
        <v>Nesciohove 105-107</v>
      </c>
      <c r="D535" s="435" t="str">
        <f>VLOOKUP(Ruimtestaat[[#This Row],[Code]],Locaties[[#All],[Code]:[Postcode]],5,FALSE)</f>
        <v>2726 BL</v>
      </c>
      <c r="E535" s="435" t="str">
        <f>VLOOKUP(Ruimtestaat[[#This Row],[Code]],Locaties[#All],6,FALSE)</f>
        <v>Zoetermeer</v>
      </c>
      <c r="F535" s="450"/>
      <c r="G535" s="330" t="s">
        <v>1678</v>
      </c>
      <c r="H535" s="330" t="s">
        <v>1910</v>
      </c>
      <c r="I535" s="450" t="s">
        <v>1911</v>
      </c>
      <c r="J535" s="330">
        <v>20</v>
      </c>
      <c r="K535" s="450" t="str">
        <f>VLOOKUP(Ruimtestaat[[#This Row],[Ruimte code]],Ruimtegroepen[[#All],[Code]:[Ruimte omschrijving]],2,FALSE)</f>
        <v>Niet in Onderhoud</v>
      </c>
      <c r="L535" s="330" t="s">
        <v>101</v>
      </c>
      <c r="M535" s="437" t="s">
        <v>1816</v>
      </c>
      <c r="N535" s="439"/>
      <c r="O535" s="439">
        <v>0</v>
      </c>
      <c r="P535" s="439"/>
      <c r="Q535" s="439"/>
      <c r="R535" s="440">
        <f>VLOOKUP(Ruimtestaat[[#This Row],[Ruimte code]],Ruimtegroepen[],4,FALSE)</f>
        <v>0</v>
      </c>
      <c r="S535" s="434"/>
      <c r="T535" s="434"/>
      <c r="U535" s="453">
        <f>IF(S535&gt;0,IF(RIGHT(Ruimtestaat[[#This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35" s="434">
        <f>IF(U535&gt;0,VLOOKUP($J535,Ruimtegroepen[],3,FALSE)*VLOOKUP($L535,Vloersoorten[],3,FALSE)*VLOOKUP($T535,Frequenties[],3,FALSE)*VLOOKUP($A535,Locaties[],3,FALSE),0)</f>
        <v>0</v>
      </c>
      <c r="W535" s="434">
        <f>Ruimtestaat[[#This Row],[Uitvoeringen werkdagen]]*Ruimtestaat[[#This Row],[Oppervlak (netto)]]</f>
        <v>0</v>
      </c>
      <c r="X535" s="441">
        <f>IF(V535&gt;0,Ruimtestaat[[#This Row],[Prest. (m2 /jaar) werkdagen]]/Ruimtestaat[[#This Row],[Norm (m2/uur) werkdagen]],0)</f>
        <v>0</v>
      </c>
      <c r="Y535" s="442">
        <f>Ruimtestaat[[#This Row],[Uitvoeringen werkdagen]]*Ruimtestaat[[#This Row],[Gedeeltelijk]]</f>
        <v>0</v>
      </c>
      <c r="Z535" s="443">
        <f>IF(U535&gt;0,Ruimtestaat[[#This Row],[Prest. (m2 / jaar) werkdagen gedeeld]]/Ruimtestaat[[#This Row],[Norm (m2/uur) werkdagen]],0)</f>
        <v>0</v>
      </c>
      <c r="AA535" s="441">
        <f>Ruimtestaat[[#This Row],[uren / jaar werkdagen gedeeld]]*Tariefsopbouw!$E$35</f>
        <v>0</v>
      </c>
      <c r="AB535" s="441">
        <f>Ruimtestaat[[#This Row],[Uitvoeringen werkdagen]]*Ruimtestaat[[#This Row],[BSO]]</f>
        <v>0</v>
      </c>
      <c r="AC535" s="443">
        <f>IF(U535&gt;0,Ruimtestaat[[#This Row],[Prest. (m2 / jaar) werkdagen BSO]]/Ruimtestaat[[#This Row],[Norm (m2/uur) werkdagen]],0)</f>
        <v>0</v>
      </c>
      <c r="AD535" s="443">
        <f>Ruimtestaat[[#This Row],[uren / jaar werkdagen BSO]]*Tariefsopbouw!$E$35</f>
        <v>0</v>
      </c>
      <c r="AE535" s="444">
        <f>Ruimtestaat[[#This Row],[uren / jaar werkdagen]]*Tariefsopbouw!$E$35</f>
        <v>0</v>
      </c>
      <c r="AF535" s="454"/>
      <c r="AG535" s="455">
        <f>IF(Ruimtestaat[[#This Row],[Frequentie weekend]]&gt;0,VALUE(LEFT(AF535,1))*S535,0)</f>
        <v>0</v>
      </c>
      <c r="AH535" s="455">
        <f>IF($AG535&gt;0,VLOOKUP($J535,Ruimtegroepen[],3,FALSE)*VLOOKUP($L535,Vloersoorten[],3,FALSE)*VLOOKUP($AF535,Frequenties[],3,FALSE)*VLOOKUP(#REF!,Locaties[],3,FALSE),0)</f>
        <v>0</v>
      </c>
      <c r="AI535" s="434">
        <f>Ruimtestaat[[#This Row],[Uitvoeringen weekend]]*Ruimtestaat[[#This Row],[Oppervlak (netto)]]</f>
        <v>0</v>
      </c>
      <c r="AJ535" s="434">
        <f>IF(AH535&gt;0,Ruimtestaat[[#This Row],[Prest. (m2 /jaar) weekend]]/Ruimtestaat[[#This Row],[Norm (m2/uur) weekend]],0)</f>
        <v>0</v>
      </c>
      <c r="AK535" s="444">
        <f>Ruimtestaat[[#This Row],[uren / jaar weekend]]*Tariefsopbouw!$D$40</f>
        <v>0</v>
      </c>
      <c r="AL535" s="441">
        <f>Ruimtestaat[[#This Row],[Prest. (m2 /jaar) weekend]]+Ruimtestaat[[#This Row],[Prest. (m2 /jaar) werkdagen]]</f>
        <v>0</v>
      </c>
      <c r="AM535" s="441">
        <f>Ruimtestaat[[#This Row],[uren / jaar weekend]]+Ruimtestaat[[#This Row],[uren / jaar werkdagen]]</f>
        <v>0</v>
      </c>
      <c r="AN535" s="446">
        <f>Ruimtestaat[[#This Row],[kosten / jaar weekend]]+Ruimtestaat[[#This Row],[kosten / jaar werkdagen]]</f>
        <v>0</v>
      </c>
      <c r="AO535" s="446"/>
      <c r="AP535" s="446" t="str">
        <f>IF(Ruimtestaat[[#This Row],[Frequentie werkdagen]]="","",_xlfn.CONCAT(Ruimtestaat[[#This Row],[Ruimte code]],"-",Ruimtestaat[[#This Row],[Frequentie werkdagen]]," ",Ruimtestaat[[#This Row],[Vloer code]]))</f>
        <v/>
      </c>
      <c r="AQ535" s="448" t="str">
        <f>_xlfn.IFNA(VLOOKUP($AP535,Programma!$F$3:$G$1101,2,0),"")</f>
        <v/>
      </c>
      <c r="AR535" s="448" t="str">
        <f>_xlfn.IFNA(VLOOKUP($AP535,Programma!$F$3:$H$1101,3,0),"")</f>
        <v/>
      </c>
      <c r="AS535" s="448" t="str">
        <f>_xlfn.IFNA(VLOOKUP($AP535,Programma!$F$3:$I$1101,4,0),"")</f>
        <v/>
      </c>
      <c r="AT535" s="448" t="str">
        <f>_xlfn.IFNA(VLOOKUP($AP535,Programma!$F$3:$J$1101,5,0),"")</f>
        <v/>
      </c>
      <c r="AU535" s="448" t="str">
        <f>_xlfn.IFNA(VLOOKUP($AP535,Programma!$F$3:$K$1101,6,0),"")</f>
        <v/>
      </c>
      <c r="AV535" s="448" t="str">
        <f>_xlfn.IFNA(VLOOKUP($AP535,Programma!$F$3:$L$1101,7,0),"")</f>
        <v/>
      </c>
      <c r="AW535" s="448" t="str">
        <f>_xlfn.IFNA(VLOOKUP($AP535,Programma!$F$3:$M$1101,8,0),"")</f>
        <v/>
      </c>
      <c r="AX535" s="448" t="str">
        <f>_xlfn.IFNA(VLOOKUP($AP535,Programma!$F$3:$N$1101,9,0),"")</f>
        <v/>
      </c>
      <c r="AY535" s="448" t="str">
        <f>_xlfn.IFNA(VLOOKUP($AP535,Programma!$F$3:$O$1101,10,0),"")</f>
        <v/>
      </c>
      <c r="AZ535" s="448" t="str">
        <f>_xlfn.IFNA(VLOOKUP($AP535,Programma!$F$3:$P$1101,11,0),"")</f>
        <v/>
      </c>
      <c r="BA535" s="448" t="str">
        <f>_xlfn.IFNA(VLOOKUP($AP535,Programma!$F$3:$Q$1101,12,0),"")</f>
        <v/>
      </c>
      <c r="BB535" s="448" t="str">
        <f>_xlfn.IFNA(VLOOKUP($AP535,Programma!$F$3:$R$1101,13,0),"")</f>
        <v/>
      </c>
      <c r="BC535" s="448" t="str">
        <f>_xlfn.IFNA(VLOOKUP($AP535,Programma!$F$3:$S$1101,14,0),"")</f>
        <v/>
      </c>
      <c r="BD535" s="448" t="str">
        <f>_xlfn.IFNA(VLOOKUP($AP535,Programma!$F$3:$T$1101,15,0),"")</f>
        <v/>
      </c>
      <c r="BE535" s="448" t="str">
        <f>_xlfn.IFNA(VLOOKUP($AP535,Programma!$F$3:$U$1101,16,0),"")</f>
        <v/>
      </c>
      <c r="BF535" s="448" t="str">
        <f>_xlfn.IFNA(VLOOKUP($AP535,Programma!$F$3:$V$1101,17,0),"")</f>
        <v/>
      </c>
      <c r="BG535" s="448" t="str">
        <f>_xlfn.IFNA(VLOOKUP($AP535,Programma!$F$3:$W$1101,18,0),"")</f>
        <v/>
      </c>
      <c r="BH535" s="448" t="str">
        <f>_xlfn.IFNA(VLOOKUP($AP535,Programma!$F$3:$X$1101,19,0),"")</f>
        <v/>
      </c>
      <c r="BI535" s="448" t="str">
        <f>_xlfn.IFNA(VLOOKUP($AP535,Programma!$F$3:$Y$1101,20,0),"")</f>
        <v/>
      </c>
      <c r="BJ535" s="449"/>
      <c r="BK535" s="446" t="str">
        <f>IF(Ruimtestaat[[#This Row],[Frequentie weekend]]="","",_xlfn.CONCAT(Ruimtestaat[[#This Row],[Ruimte code]],"-",Ruimtestaat[[#This Row],[Frequentie weekend]]," ",Ruimtestaat[[#This Row],[Vloer code]]))</f>
        <v/>
      </c>
      <c r="BL535" s="448" t="str">
        <f>_xlfn.IFNA(VLOOKUP($BK535,Programma!$F$3:$G$1101,2,0),"")</f>
        <v/>
      </c>
      <c r="BM535" s="448" t="str">
        <f>_xlfn.IFNA(VLOOKUP($BK535,Programma!$F$3:$H$1101,3,0),"")</f>
        <v/>
      </c>
      <c r="BN535" s="448" t="str">
        <f>_xlfn.IFNA(VLOOKUP($BK535,Programma!$F$3:$I$1101,4,0),"")</f>
        <v/>
      </c>
      <c r="BO535" s="448" t="str">
        <f>_xlfn.IFNA(VLOOKUP($BK535,Programma!$F$3:$J$1101,5,0),"")</f>
        <v/>
      </c>
      <c r="BP535" s="448" t="str">
        <f>_xlfn.IFNA(VLOOKUP($BK535,Programma!$F$3:$K$1101,6,0),"")</f>
        <v/>
      </c>
      <c r="BQ535" s="448" t="str">
        <f>_xlfn.IFNA(VLOOKUP($BK535,Programma!$F$3:$L$1101,7,0),"")</f>
        <v/>
      </c>
      <c r="BR535" s="448" t="str">
        <f>_xlfn.IFNA(VLOOKUP($BK535,Programma!$F$3:$M$1101,8,0),"")</f>
        <v/>
      </c>
      <c r="BS535" s="448" t="str">
        <f>_xlfn.IFNA(VLOOKUP($BK535,Programma!$F$3:$N$1101,9,0),"")</f>
        <v/>
      </c>
      <c r="BT535" s="448" t="str">
        <f>_xlfn.IFNA(VLOOKUP($BK535,Programma!$F$3:$O$1101,10,0),"")</f>
        <v/>
      </c>
      <c r="BU535" s="448" t="str">
        <f>_xlfn.IFNA(VLOOKUP($BK535,Programma!$F$3:$P$1101,11,0),"")</f>
        <v/>
      </c>
      <c r="BV535" s="448" t="str">
        <f>_xlfn.IFNA(VLOOKUP($BK535,Programma!$F$3:$Q$1101,12,0),"")</f>
        <v/>
      </c>
      <c r="BW535" s="448" t="str">
        <f>_xlfn.IFNA(VLOOKUP($BK535,Programma!$F$3:$R$1101,13,0),"")</f>
        <v/>
      </c>
      <c r="BX535" s="448" t="str">
        <f>_xlfn.IFNA(VLOOKUP($BK535,Programma!$F$3:$S$1101,14,0),"")</f>
        <v/>
      </c>
      <c r="BY535" s="448" t="str">
        <f>_xlfn.IFNA(VLOOKUP($BK535,Programma!$F$3:$T$1101,15,0),"")</f>
        <v/>
      </c>
      <c r="BZ535" s="448" t="str">
        <f>_xlfn.IFNA(VLOOKUP($BK535,Programma!$F$3:$U$1101,16,0),"")</f>
        <v/>
      </c>
      <c r="CA535" s="448" t="str">
        <f>_xlfn.IFNA(VLOOKUP($BK535,Programma!$F$3:$V$1101,17,0),"")</f>
        <v/>
      </c>
      <c r="CB535" s="448" t="str">
        <f>_xlfn.IFNA(VLOOKUP($BK535,Programma!$F$3:$W$1101,18,0),"")</f>
        <v/>
      </c>
      <c r="CC535" s="448" t="str">
        <f>_xlfn.IFNA(VLOOKUP($BK535,Programma!$F$3:$X$1101,19,0),"")</f>
        <v/>
      </c>
      <c r="CD535" s="448" t="str">
        <f>_xlfn.IFNA(VLOOKUP($BK535,Programma!$F$3:$Y$1101,20,0),"")</f>
        <v/>
      </c>
    </row>
    <row r="536" spans="1:82" ht="15" customHeight="1">
      <c r="A536" s="327">
        <v>19</v>
      </c>
      <c r="B536" s="435" t="str">
        <f>VLOOKUP(Ruimtestaat[[#This Row],[Code]],Locaties[[Code]:[Locatie]],2,FALSE)</f>
        <v>IKC de Leerplaneet (vhKlimboom)</v>
      </c>
      <c r="C536" s="435" t="str">
        <f>VLOOKUP(Ruimtestaat[[#This Row],[Code]],Locaties[[#All],[Code]:[Adres]],4,FALSE)</f>
        <v>Nesciohove 105-107</v>
      </c>
      <c r="D536" s="435" t="str">
        <f>VLOOKUP(Ruimtestaat[[#This Row],[Code]],Locaties[[#All],[Code]:[Postcode]],5,FALSE)</f>
        <v>2726 BL</v>
      </c>
      <c r="E536" s="435" t="str">
        <f>VLOOKUP(Ruimtestaat[[#This Row],[Code]],Locaties[#All],6,FALSE)</f>
        <v>Zoetermeer</v>
      </c>
      <c r="F536" s="450"/>
      <c r="G536" s="330" t="s">
        <v>1678</v>
      </c>
      <c r="H536" s="330" t="s">
        <v>1912</v>
      </c>
      <c r="I536" s="450" t="s">
        <v>1913</v>
      </c>
      <c r="J536" s="330">
        <v>10</v>
      </c>
      <c r="K536" s="450" t="str">
        <f>VLOOKUP(Ruimtestaat[[#This Row],[Ruimte code]],Ruimtegroepen[[#All],[Code]:[Ruimte omschrijving]],2,FALSE)</f>
        <v>Trappenhuizen/lift</v>
      </c>
      <c r="L536" s="330" t="s">
        <v>101</v>
      </c>
      <c r="M536" s="437" t="s">
        <v>119</v>
      </c>
      <c r="N536" s="439">
        <v>9</v>
      </c>
      <c r="O536" s="439"/>
      <c r="P536" s="439"/>
      <c r="Q536" s="439"/>
      <c r="R536" s="440" t="str">
        <f>VLOOKUP(Ruimtestaat[[#This Row],[Ruimte code]],Ruimtegroepen[],4,FALSE)</f>
        <v>Ve</v>
      </c>
      <c r="S536" s="434">
        <v>41</v>
      </c>
      <c r="T536" s="434" t="s">
        <v>2</v>
      </c>
      <c r="U536" s="453">
        <f>IF(S536&gt;0,IF(RIGHT(Ruimtestaat[[#This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36" s="434">
        <f>IF(U536&gt;0,VLOOKUP($J536,Ruimtegroepen[],3,FALSE)*VLOOKUP($L536,Vloersoorten[],3,FALSE)*VLOOKUP($T536,Frequenties[],3,FALSE)*VLOOKUP($A536,Locaties[],3,FALSE),0)</f>
        <v>0</v>
      </c>
      <c r="W536" s="434">
        <f>Ruimtestaat[[#This Row],[Uitvoeringen werkdagen]]*Ruimtestaat[[#This Row],[Oppervlak (netto)]]</f>
        <v>1845</v>
      </c>
      <c r="X536" s="441">
        <f>IF(V536&gt;0,Ruimtestaat[[#This Row],[Prest. (m2 /jaar) werkdagen]]/Ruimtestaat[[#This Row],[Norm (m2/uur) werkdagen]],0)</f>
        <v>0</v>
      </c>
      <c r="Y536" s="442">
        <f>Ruimtestaat[[#This Row],[Uitvoeringen werkdagen]]*Ruimtestaat[[#This Row],[Gedeeltelijk]]</f>
        <v>0</v>
      </c>
      <c r="Z536" s="443" t="e">
        <f>IF(U536&gt;0,Ruimtestaat[[#This Row],[Prest. (m2 / jaar) werkdagen gedeeld]]/Ruimtestaat[[#This Row],[Norm (m2/uur) werkdagen]],0)</f>
        <v>#DIV/0!</v>
      </c>
      <c r="AA536" s="441" t="e">
        <f>Ruimtestaat[[#This Row],[uren / jaar werkdagen gedeeld]]*Tariefsopbouw!$E$35</f>
        <v>#DIV/0!</v>
      </c>
      <c r="AB536" s="441">
        <f>Ruimtestaat[[#This Row],[Uitvoeringen werkdagen]]*Ruimtestaat[[#This Row],[BSO]]</f>
        <v>0</v>
      </c>
      <c r="AC536" s="443" t="e">
        <f>IF(U536&gt;0,Ruimtestaat[[#This Row],[Prest. (m2 / jaar) werkdagen BSO]]/Ruimtestaat[[#This Row],[Norm (m2/uur) werkdagen]],0)</f>
        <v>#DIV/0!</v>
      </c>
      <c r="AD536" s="443" t="e">
        <f>Ruimtestaat[[#This Row],[uren / jaar werkdagen BSO]]*Tariefsopbouw!$E$35</f>
        <v>#DIV/0!</v>
      </c>
      <c r="AE536" s="444">
        <f>Ruimtestaat[[#This Row],[uren / jaar werkdagen]]*Tariefsopbouw!$E$35</f>
        <v>0</v>
      </c>
      <c r="AF536" s="454"/>
      <c r="AG536" s="455">
        <f>IF(Ruimtestaat[[#This Row],[Frequentie weekend]]&gt;0,VALUE(LEFT(AF536,1))*S536,0)</f>
        <v>0</v>
      </c>
      <c r="AH536" s="455">
        <f>IF($AG536&gt;0,VLOOKUP($J536,Ruimtegroepen[],3,FALSE)*VLOOKUP($L536,Vloersoorten[],3,FALSE)*VLOOKUP($AF536,Frequenties[],3,FALSE)*VLOOKUP(#REF!,Locaties[],3,FALSE),0)</f>
        <v>0</v>
      </c>
      <c r="AI536" s="434">
        <f>Ruimtestaat[[#This Row],[Uitvoeringen weekend]]*Ruimtestaat[[#This Row],[Oppervlak (netto)]]</f>
        <v>0</v>
      </c>
      <c r="AJ536" s="434">
        <f>IF(AH536&gt;0,Ruimtestaat[[#This Row],[Prest. (m2 /jaar) weekend]]/Ruimtestaat[[#This Row],[Norm (m2/uur) weekend]],0)</f>
        <v>0</v>
      </c>
      <c r="AK536" s="444">
        <f>Ruimtestaat[[#This Row],[uren / jaar weekend]]*Tariefsopbouw!$D$40</f>
        <v>0</v>
      </c>
      <c r="AL536" s="441">
        <f>Ruimtestaat[[#This Row],[Prest. (m2 /jaar) weekend]]+Ruimtestaat[[#This Row],[Prest. (m2 /jaar) werkdagen]]</f>
        <v>1845</v>
      </c>
      <c r="AM536" s="441">
        <f>Ruimtestaat[[#This Row],[uren / jaar weekend]]+Ruimtestaat[[#This Row],[uren / jaar werkdagen]]</f>
        <v>0</v>
      </c>
      <c r="AN536" s="446">
        <f>Ruimtestaat[[#This Row],[kosten / jaar weekend]]+Ruimtestaat[[#This Row],[kosten / jaar werkdagen]]</f>
        <v>0</v>
      </c>
      <c r="AO536" s="446"/>
      <c r="AP536" s="446" t="str">
        <f>IF(Ruimtestaat[[#This Row],[Frequentie werkdagen]]="","",_xlfn.CONCAT(Ruimtestaat[[#This Row],[Ruimte code]],"-",Ruimtestaat[[#This Row],[Frequentie werkdagen]]," ",Ruimtestaat[[#This Row],[Vloer code]]))</f>
        <v>10-5w S</v>
      </c>
      <c r="AQ536" s="448" t="str">
        <f>_xlfn.IFNA(VLOOKUP($AP536,Programma!$F$3:$G$1101,2,0),"")</f>
        <v>_</v>
      </c>
      <c r="AR536" s="448" t="str">
        <f>_xlfn.IFNA(VLOOKUP($AP536,Programma!$F$3:$H$1101,3,0),"")</f>
        <v>_</v>
      </c>
      <c r="AS536" s="448" t="str">
        <f>_xlfn.IFNA(VLOOKUP($AP536,Programma!$F$3:$I$1101,4,0),"")</f>
        <v>4w</v>
      </c>
      <c r="AT536" s="448" t="str">
        <f>_xlfn.IFNA(VLOOKUP($AP536,Programma!$F$3:$J$1101,5,0),"")</f>
        <v>1w</v>
      </c>
      <c r="AU536" s="448" t="str">
        <f>_xlfn.IFNA(VLOOKUP($AP536,Programma!$F$3:$K$1101,6,0),"")</f>
        <v>4j</v>
      </c>
      <c r="AV536" s="448" t="str">
        <f>_xlfn.IFNA(VLOOKUP($AP536,Programma!$F$3:$L$1101,7,0),"")</f>
        <v>_</v>
      </c>
      <c r="AW536" s="448" t="str">
        <f>_xlfn.IFNA(VLOOKUP($AP536,Programma!$F$3:$M$1101,8,0),"")</f>
        <v>_</v>
      </c>
      <c r="AX536" s="448" t="str">
        <f>_xlfn.IFNA(VLOOKUP($AP536,Programma!$F$3:$N$1101,9,0),"")</f>
        <v>_</v>
      </c>
      <c r="AY536" s="448" t="str">
        <f>_xlfn.IFNA(VLOOKUP($AP536,Programma!$F$3:$O$1101,10,0),"")</f>
        <v>5w</v>
      </c>
      <c r="AZ536" s="448" t="str">
        <f>_xlfn.IFNA(VLOOKUP($AP536,Programma!$F$3:$P$1101,11,0),"")</f>
        <v>5w</v>
      </c>
      <c r="BA536" s="448" t="str">
        <f>_xlfn.IFNA(VLOOKUP($AP536,Programma!$F$3:$Q$1101,12,0),"")</f>
        <v>1w</v>
      </c>
      <c r="BB536" s="448" t="str">
        <f>_xlfn.IFNA(VLOOKUP($AP536,Programma!$F$3:$R$1101,13,0),"")</f>
        <v>1w</v>
      </c>
      <c r="BC536" s="448" t="str">
        <f>_xlfn.IFNA(VLOOKUP($AP536,Programma!$F$3:$S$1101,14,0),"")</f>
        <v>1m</v>
      </c>
      <c r="BD536" s="448" t="str">
        <f>_xlfn.IFNA(VLOOKUP($AP536,Programma!$F$3:$T$1101,15,0),"")</f>
        <v>2j</v>
      </c>
      <c r="BE536" s="448" t="str">
        <f>_xlfn.IFNA(VLOOKUP($AP536,Programma!$F$3:$U$1101,16,0),"")</f>
        <v>1j</v>
      </c>
      <c r="BF536" s="448" t="str">
        <f>_xlfn.IFNA(VLOOKUP($AP536,Programma!$F$3:$V$1101,17,0),"")</f>
        <v>_</v>
      </c>
      <c r="BG536" s="448" t="str">
        <f>_xlfn.IFNA(VLOOKUP($AP536,Programma!$F$3:$W$1101,18,0),"")</f>
        <v>_</v>
      </c>
      <c r="BH536" s="448" t="str">
        <f>_xlfn.IFNA(VLOOKUP($AP536,Programma!$F$3:$X$1101,19,0),"")</f>
        <v>_</v>
      </c>
      <c r="BI536" s="448" t="str">
        <f>_xlfn.IFNA(VLOOKUP($AP536,Programma!$F$3:$Y$1101,20,0),"")</f>
        <v>_</v>
      </c>
      <c r="BJ536" s="449"/>
      <c r="BK536" s="446" t="str">
        <f>IF(Ruimtestaat[[#This Row],[Frequentie weekend]]="","",_xlfn.CONCAT(Ruimtestaat[[#This Row],[Ruimte code]],"-",Ruimtestaat[[#This Row],[Frequentie weekend]]," ",Ruimtestaat[[#This Row],[Vloer code]]))</f>
        <v/>
      </c>
      <c r="BL536" s="448" t="str">
        <f>_xlfn.IFNA(VLOOKUP($BK536,Programma!$F$3:$G$1101,2,0),"")</f>
        <v/>
      </c>
      <c r="BM536" s="448" t="str">
        <f>_xlfn.IFNA(VLOOKUP($BK536,Programma!$F$3:$H$1101,3,0),"")</f>
        <v/>
      </c>
      <c r="BN536" s="448" t="str">
        <f>_xlfn.IFNA(VLOOKUP($BK536,Programma!$F$3:$I$1101,4,0),"")</f>
        <v/>
      </c>
      <c r="BO536" s="448" t="str">
        <f>_xlfn.IFNA(VLOOKUP($BK536,Programma!$F$3:$J$1101,5,0),"")</f>
        <v/>
      </c>
      <c r="BP536" s="448" t="str">
        <f>_xlfn.IFNA(VLOOKUP($BK536,Programma!$F$3:$K$1101,6,0),"")</f>
        <v/>
      </c>
      <c r="BQ536" s="448" t="str">
        <f>_xlfn.IFNA(VLOOKUP($BK536,Programma!$F$3:$L$1101,7,0),"")</f>
        <v/>
      </c>
      <c r="BR536" s="448" t="str">
        <f>_xlfn.IFNA(VLOOKUP($BK536,Programma!$F$3:$M$1101,8,0),"")</f>
        <v/>
      </c>
      <c r="BS536" s="448" t="str">
        <f>_xlfn.IFNA(VLOOKUP($BK536,Programma!$F$3:$N$1101,9,0),"")</f>
        <v/>
      </c>
      <c r="BT536" s="448" t="str">
        <f>_xlfn.IFNA(VLOOKUP($BK536,Programma!$F$3:$O$1101,10,0),"")</f>
        <v/>
      </c>
      <c r="BU536" s="448" t="str">
        <f>_xlfn.IFNA(VLOOKUP($BK536,Programma!$F$3:$P$1101,11,0),"")</f>
        <v/>
      </c>
      <c r="BV536" s="448" t="str">
        <f>_xlfn.IFNA(VLOOKUP($BK536,Programma!$F$3:$Q$1101,12,0),"")</f>
        <v/>
      </c>
      <c r="BW536" s="448" t="str">
        <f>_xlfn.IFNA(VLOOKUP($BK536,Programma!$F$3:$R$1101,13,0),"")</f>
        <v/>
      </c>
      <c r="BX536" s="448" t="str">
        <f>_xlfn.IFNA(VLOOKUP($BK536,Programma!$F$3:$S$1101,14,0),"")</f>
        <v/>
      </c>
      <c r="BY536" s="448" t="str">
        <f>_xlfn.IFNA(VLOOKUP($BK536,Programma!$F$3:$T$1101,15,0),"")</f>
        <v/>
      </c>
      <c r="BZ536" s="448" t="str">
        <f>_xlfn.IFNA(VLOOKUP($BK536,Programma!$F$3:$U$1101,16,0),"")</f>
        <v/>
      </c>
      <c r="CA536" s="448" t="str">
        <f>_xlfn.IFNA(VLOOKUP($BK536,Programma!$F$3:$V$1101,17,0),"")</f>
        <v/>
      </c>
      <c r="CB536" s="448" t="str">
        <f>_xlfn.IFNA(VLOOKUP($BK536,Programma!$F$3:$W$1101,18,0),"")</f>
        <v/>
      </c>
      <c r="CC536" s="448" t="str">
        <f>_xlfn.IFNA(VLOOKUP($BK536,Programma!$F$3:$X$1101,19,0),"")</f>
        <v/>
      </c>
      <c r="CD536" s="448" t="str">
        <f>_xlfn.IFNA(VLOOKUP($BK536,Programma!$F$3:$Y$1101,20,0),"")</f>
        <v/>
      </c>
    </row>
    <row r="537" spans="1:82" ht="15" customHeight="1">
      <c r="A537" s="327">
        <v>19</v>
      </c>
      <c r="B537" s="435" t="str">
        <f>VLOOKUP(Ruimtestaat[[#This Row],[Code]],Locaties[[Code]:[Locatie]],2,FALSE)</f>
        <v>IKC de Leerplaneet (vhKlimboom)</v>
      </c>
      <c r="C537" s="435" t="str">
        <f>VLOOKUP(Ruimtestaat[[#This Row],[Code]],Locaties[[#All],[Code]:[Adres]],4,FALSE)</f>
        <v>Nesciohove 105-107</v>
      </c>
      <c r="D537" s="435" t="str">
        <f>VLOOKUP(Ruimtestaat[[#This Row],[Code]],Locaties[[#All],[Code]:[Postcode]],5,FALSE)</f>
        <v>2726 BL</v>
      </c>
      <c r="E537" s="435" t="str">
        <f>VLOOKUP(Ruimtestaat[[#This Row],[Code]],Locaties[#All],6,FALSE)</f>
        <v>Zoetermeer</v>
      </c>
      <c r="F537" s="450"/>
      <c r="G537" s="330" t="s">
        <v>1678</v>
      </c>
      <c r="H537" s="330" t="s">
        <v>1912</v>
      </c>
      <c r="I537" s="450" t="s">
        <v>1914</v>
      </c>
      <c r="J537" s="330">
        <v>20</v>
      </c>
      <c r="K537" s="450" t="str">
        <f>VLOOKUP(Ruimtestaat[[#This Row],[Ruimte code]],Ruimtegroepen[[#All],[Code]:[Ruimte omschrijving]],2,FALSE)</f>
        <v>Niet in Onderhoud</v>
      </c>
      <c r="M537" s="330"/>
      <c r="N537" s="439"/>
      <c r="O537" s="439">
        <v>2</v>
      </c>
      <c r="P537" s="439"/>
      <c r="Q537" s="439"/>
      <c r="R537" s="440">
        <f>VLOOKUP(Ruimtestaat[[#This Row],[Ruimte code]],Ruimtegroepen[],4,FALSE)</f>
        <v>0</v>
      </c>
      <c r="S537" s="434"/>
      <c r="T537" s="434"/>
      <c r="U537" s="453">
        <f>IF(S537&gt;0,IF(RIGHT(Ruimtestaat[[#This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37" s="434">
        <f>IF(U537&gt;0,VLOOKUP($J537,Ruimtegroepen[],3,FALSE)*VLOOKUP($L537,Vloersoorten[],3,FALSE)*VLOOKUP($T537,Frequenties[],3,FALSE)*VLOOKUP($A537,Locaties[],3,FALSE),0)</f>
        <v>0</v>
      </c>
      <c r="W537" s="434">
        <f>Ruimtestaat[[#This Row],[Uitvoeringen werkdagen]]*Ruimtestaat[[#This Row],[Oppervlak (netto)]]</f>
        <v>0</v>
      </c>
      <c r="X537" s="441">
        <f>IF(V537&gt;0,Ruimtestaat[[#This Row],[Prest. (m2 /jaar) werkdagen]]/Ruimtestaat[[#This Row],[Norm (m2/uur) werkdagen]],0)</f>
        <v>0</v>
      </c>
      <c r="Y537" s="442">
        <f>Ruimtestaat[[#This Row],[Uitvoeringen werkdagen]]*Ruimtestaat[[#This Row],[Gedeeltelijk]]</f>
        <v>0</v>
      </c>
      <c r="Z537" s="443">
        <f>IF(U537&gt;0,Ruimtestaat[[#This Row],[Prest. (m2 / jaar) werkdagen gedeeld]]/Ruimtestaat[[#This Row],[Norm (m2/uur) werkdagen]],0)</f>
        <v>0</v>
      </c>
      <c r="AA537" s="441">
        <f>Ruimtestaat[[#This Row],[uren / jaar werkdagen gedeeld]]*Tariefsopbouw!$E$35</f>
        <v>0</v>
      </c>
      <c r="AB537" s="441">
        <f>Ruimtestaat[[#This Row],[Uitvoeringen werkdagen]]*Ruimtestaat[[#This Row],[BSO]]</f>
        <v>0</v>
      </c>
      <c r="AC537" s="443">
        <f>IF(U537&gt;0,Ruimtestaat[[#This Row],[Prest. (m2 / jaar) werkdagen BSO]]/Ruimtestaat[[#This Row],[Norm (m2/uur) werkdagen]],0)</f>
        <v>0</v>
      </c>
      <c r="AD537" s="443">
        <f>Ruimtestaat[[#This Row],[uren / jaar werkdagen BSO]]*Tariefsopbouw!$E$35</f>
        <v>0</v>
      </c>
      <c r="AE537" s="444">
        <f>Ruimtestaat[[#This Row],[uren / jaar werkdagen]]*Tariefsopbouw!$E$35</f>
        <v>0</v>
      </c>
      <c r="AF537" s="454"/>
      <c r="AG537" s="455">
        <f>IF(Ruimtestaat[[#This Row],[Frequentie weekend]]&gt;0,VALUE(LEFT(AF537,1))*S537,0)</f>
        <v>0</v>
      </c>
      <c r="AH537" s="455">
        <f>IF($AG537&gt;0,VLOOKUP($J537,Ruimtegroepen[],3,FALSE)*VLOOKUP($L537,Vloersoorten[],3,FALSE)*VLOOKUP($AF537,Frequenties[],3,FALSE)*VLOOKUP(#REF!,Locaties[],3,FALSE),0)</f>
        <v>0</v>
      </c>
      <c r="AI537" s="434">
        <f>Ruimtestaat[[#This Row],[Uitvoeringen weekend]]*Ruimtestaat[[#This Row],[Oppervlak (netto)]]</f>
        <v>0</v>
      </c>
      <c r="AJ537" s="434">
        <f>IF(AH537&gt;0,Ruimtestaat[[#This Row],[Prest. (m2 /jaar) weekend]]/Ruimtestaat[[#This Row],[Norm (m2/uur) weekend]],0)</f>
        <v>0</v>
      </c>
      <c r="AK537" s="444">
        <f>Ruimtestaat[[#This Row],[uren / jaar weekend]]*Tariefsopbouw!$D$40</f>
        <v>0</v>
      </c>
      <c r="AL537" s="441">
        <f>Ruimtestaat[[#This Row],[Prest. (m2 /jaar) weekend]]+Ruimtestaat[[#This Row],[Prest. (m2 /jaar) werkdagen]]</f>
        <v>0</v>
      </c>
      <c r="AM537" s="441">
        <f>Ruimtestaat[[#This Row],[uren / jaar weekend]]+Ruimtestaat[[#This Row],[uren / jaar werkdagen]]</f>
        <v>0</v>
      </c>
      <c r="AN537" s="446">
        <f>Ruimtestaat[[#This Row],[kosten / jaar weekend]]+Ruimtestaat[[#This Row],[kosten / jaar werkdagen]]</f>
        <v>0</v>
      </c>
      <c r="AO537" s="446"/>
      <c r="AP537" s="446" t="str">
        <f>IF(Ruimtestaat[[#This Row],[Frequentie werkdagen]]="","",_xlfn.CONCAT(Ruimtestaat[[#This Row],[Ruimte code]],"-",Ruimtestaat[[#This Row],[Frequentie werkdagen]]," ",Ruimtestaat[[#This Row],[Vloer code]]))</f>
        <v/>
      </c>
      <c r="AQ537" s="448" t="str">
        <f>_xlfn.IFNA(VLOOKUP($AP537,Programma!$F$3:$G$1101,2,0),"")</f>
        <v/>
      </c>
      <c r="AR537" s="448" t="str">
        <f>_xlfn.IFNA(VLOOKUP($AP537,Programma!$F$3:$H$1101,3,0),"")</f>
        <v/>
      </c>
      <c r="AS537" s="448" t="str">
        <f>_xlfn.IFNA(VLOOKUP($AP537,Programma!$F$3:$I$1101,4,0),"")</f>
        <v/>
      </c>
      <c r="AT537" s="448" t="str">
        <f>_xlfn.IFNA(VLOOKUP($AP537,Programma!$F$3:$J$1101,5,0),"")</f>
        <v/>
      </c>
      <c r="AU537" s="448" t="str">
        <f>_xlfn.IFNA(VLOOKUP($AP537,Programma!$F$3:$K$1101,6,0),"")</f>
        <v/>
      </c>
      <c r="AV537" s="448" t="str">
        <f>_xlfn.IFNA(VLOOKUP($AP537,Programma!$F$3:$L$1101,7,0),"")</f>
        <v/>
      </c>
      <c r="AW537" s="448" t="str">
        <f>_xlfn.IFNA(VLOOKUP($AP537,Programma!$F$3:$M$1101,8,0),"")</f>
        <v/>
      </c>
      <c r="AX537" s="448" t="str">
        <f>_xlfn.IFNA(VLOOKUP($AP537,Programma!$F$3:$N$1101,9,0),"")</f>
        <v/>
      </c>
      <c r="AY537" s="448" t="str">
        <f>_xlfn.IFNA(VLOOKUP($AP537,Programma!$F$3:$O$1101,10,0),"")</f>
        <v/>
      </c>
      <c r="AZ537" s="448" t="str">
        <f>_xlfn.IFNA(VLOOKUP($AP537,Programma!$F$3:$P$1101,11,0),"")</f>
        <v/>
      </c>
      <c r="BA537" s="448" t="str">
        <f>_xlfn.IFNA(VLOOKUP($AP537,Programma!$F$3:$Q$1101,12,0),"")</f>
        <v/>
      </c>
      <c r="BB537" s="448" t="str">
        <f>_xlfn.IFNA(VLOOKUP($AP537,Programma!$F$3:$R$1101,13,0),"")</f>
        <v/>
      </c>
      <c r="BC537" s="448" t="str">
        <f>_xlfn.IFNA(VLOOKUP($AP537,Programma!$F$3:$S$1101,14,0),"")</f>
        <v/>
      </c>
      <c r="BD537" s="448" t="str">
        <f>_xlfn.IFNA(VLOOKUP($AP537,Programma!$F$3:$T$1101,15,0),"")</f>
        <v/>
      </c>
      <c r="BE537" s="448" t="str">
        <f>_xlfn.IFNA(VLOOKUP($AP537,Programma!$F$3:$U$1101,16,0),"")</f>
        <v/>
      </c>
      <c r="BF537" s="448" t="str">
        <f>_xlfn.IFNA(VLOOKUP($AP537,Programma!$F$3:$V$1101,17,0),"")</f>
        <v/>
      </c>
      <c r="BG537" s="448" t="str">
        <f>_xlfn.IFNA(VLOOKUP($AP537,Programma!$F$3:$W$1101,18,0),"")</f>
        <v/>
      </c>
      <c r="BH537" s="448" t="str">
        <f>_xlfn.IFNA(VLOOKUP($AP537,Programma!$F$3:$X$1101,19,0),"")</f>
        <v/>
      </c>
      <c r="BI537" s="448" t="str">
        <f>_xlfn.IFNA(VLOOKUP($AP537,Programma!$F$3:$Y$1101,20,0),"")</f>
        <v/>
      </c>
      <c r="BJ537" s="449"/>
      <c r="BK537" s="446" t="str">
        <f>IF(Ruimtestaat[[#This Row],[Frequentie weekend]]="","",_xlfn.CONCAT(Ruimtestaat[[#This Row],[Ruimte code]],"-",Ruimtestaat[[#This Row],[Frequentie weekend]]," ",Ruimtestaat[[#This Row],[Vloer code]]))</f>
        <v/>
      </c>
      <c r="BL537" s="448" t="str">
        <f>_xlfn.IFNA(VLOOKUP($BK537,Programma!$F$3:$G$1101,2,0),"")</f>
        <v/>
      </c>
      <c r="BM537" s="448" t="str">
        <f>_xlfn.IFNA(VLOOKUP($BK537,Programma!$F$3:$H$1101,3,0),"")</f>
        <v/>
      </c>
      <c r="BN537" s="448" t="str">
        <f>_xlfn.IFNA(VLOOKUP($BK537,Programma!$F$3:$I$1101,4,0),"")</f>
        <v/>
      </c>
      <c r="BO537" s="448" t="str">
        <f>_xlfn.IFNA(VLOOKUP($BK537,Programma!$F$3:$J$1101,5,0),"")</f>
        <v/>
      </c>
      <c r="BP537" s="448" t="str">
        <f>_xlfn.IFNA(VLOOKUP($BK537,Programma!$F$3:$K$1101,6,0),"")</f>
        <v/>
      </c>
      <c r="BQ537" s="448" t="str">
        <f>_xlfn.IFNA(VLOOKUP($BK537,Programma!$F$3:$L$1101,7,0),"")</f>
        <v/>
      </c>
      <c r="BR537" s="448" t="str">
        <f>_xlfn.IFNA(VLOOKUP($BK537,Programma!$F$3:$M$1101,8,0),"")</f>
        <v/>
      </c>
      <c r="BS537" s="448" t="str">
        <f>_xlfn.IFNA(VLOOKUP($BK537,Programma!$F$3:$N$1101,9,0),"")</f>
        <v/>
      </c>
      <c r="BT537" s="448" t="str">
        <f>_xlfn.IFNA(VLOOKUP($BK537,Programma!$F$3:$O$1101,10,0),"")</f>
        <v/>
      </c>
      <c r="BU537" s="448" t="str">
        <f>_xlfn.IFNA(VLOOKUP($BK537,Programma!$F$3:$P$1101,11,0),"")</f>
        <v/>
      </c>
      <c r="BV537" s="448" t="str">
        <f>_xlfn.IFNA(VLOOKUP($BK537,Programma!$F$3:$Q$1101,12,0),"")</f>
        <v/>
      </c>
      <c r="BW537" s="448" t="str">
        <f>_xlfn.IFNA(VLOOKUP($BK537,Programma!$F$3:$R$1101,13,0),"")</f>
        <v/>
      </c>
      <c r="BX537" s="448" t="str">
        <f>_xlfn.IFNA(VLOOKUP($BK537,Programma!$F$3:$S$1101,14,0),"")</f>
        <v/>
      </c>
      <c r="BY537" s="448" t="str">
        <f>_xlfn.IFNA(VLOOKUP($BK537,Programma!$F$3:$T$1101,15,0),"")</f>
        <v/>
      </c>
      <c r="BZ537" s="448" t="str">
        <f>_xlfn.IFNA(VLOOKUP($BK537,Programma!$F$3:$U$1101,16,0),"")</f>
        <v/>
      </c>
      <c r="CA537" s="448" t="str">
        <f>_xlfn.IFNA(VLOOKUP($BK537,Programma!$F$3:$V$1101,17,0),"")</f>
        <v/>
      </c>
      <c r="CB537" s="448" t="str">
        <f>_xlfn.IFNA(VLOOKUP($BK537,Programma!$F$3:$W$1101,18,0),"")</f>
        <v/>
      </c>
      <c r="CC537" s="448" t="str">
        <f>_xlfn.IFNA(VLOOKUP($BK537,Programma!$F$3:$X$1101,19,0),"")</f>
        <v/>
      </c>
      <c r="CD537" s="448" t="str">
        <f>_xlfn.IFNA(VLOOKUP($BK537,Programma!$F$3:$Y$1101,20,0),"")</f>
        <v/>
      </c>
    </row>
    <row r="538" spans="1:82" ht="15" customHeight="1">
      <c r="A538" s="327">
        <v>19</v>
      </c>
      <c r="B538" s="435" t="str">
        <f>VLOOKUP(Ruimtestaat[[#This Row],[Code]],Locaties[[Code]:[Locatie]],2,FALSE)</f>
        <v>IKC de Leerplaneet (vhKlimboom)</v>
      </c>
      <c r="C538" s="435" t="str">
        <f>VLOOKUP(Ruimtestaat[[#This Row],[Code]],Locaties[[#All],[Code]:[Adres]],4,FALSE)</f>
        <v>Nesciohove 105-107</v>
      </c>
      <c r="D538" s="435" t="str">
        <f>VLOOKUP(Ruimtestaat[[#This Row],[Code]],Locaties[[#All],[Code]:[Postcode]],5,FALSE)</f>
        <v>2726 BL</v>
      </c>
      <c r="E538" s="435" t="str">
        <f>VLOOKUP(Ruimtestaat[[#This Row],[Code]],Locaties[#All],6,FALSE)</f>
        <v>Zoetermeer</v>
      </c>
      <c r="F538" s="450"/>
      <c r="G538" s="330" t="s">
        <v>1678</v>
      </c>
      <c r="H538" s="330" t="s">
        <v>1915</v>
      </c>
      <c r="I538" s="450" t="s">
        <v>1916</v>
      </c>
      <c r="J538" s="330">
        <v>20</v>
      </c>
      <c r="K538" s="450" t="str">
        <f>VLOOKUP(Ruimtestaat[[#This Row],[Ruimte code]],Ruimtegroepen[[#All],[Code]:[Ruimte omschrijving]],2,FALSE)</f>
        <v>Niet in Onderhoud</v>
      </c>
      <c r="L538" s="330" t="s">
        <v>101</v>
      </c>
      <c r="M538" s="437" t="s">
        <v>1816</v>
      </c>
      <c r="N538" s="439"/>
      <c r="O538" s="439">
        <v>0</v>
      </c>
      <c r="P538" s="439"/>
      <c r="Q538" s="439"/>
      <c r="R538" s="440">
        <f>VLOOKUP(Ruimtestaat[[#This Row],[Ruimte code]],Ruimtegroepen[],4,FALSE)</f>
        <v>0</v>
      </c>
      <c r="S538" s="434"/>
      <c r="T538" s="434"/>
      <c r="U538" s="453">
        <f>IF(S538&gt;0,IF(RIGHT(Ruimtestaat[[#This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38" s="434">
        <f>IF(U538&gt;0,VLOOKUP($J538,Ruimtegroepen[],3,FALSE)*VLOOKUP($L538,Vloersoorten[],3,FALSE)*VLOOKUP($T538,Frequenties[],3,FALSE)*VLOOKUP($A538,Locaties[],3,FALSE),0)</f>
        <v>0</v>
      </c>
      <c r="W538" s="434">
        <f>Ruimtestaat[[#This Row],[Uitvoeringen werkdagen]]*Ruimtestaat[[#This Row],[Oppervlak (netto)]]</f>
        <v>0</v>
      </c>
      <c r="X538" s="441">
        <f>IF(V538&gt;0,Ruimtestaat[[#This Row],[Prest. (m2 /jaar) werkdagen]]/Ruimtestaat[[#This Row],[Norm (m2/uur) werkdagen]],0)</f>
        <v>0</v>
      </c>
      <c r="Y538" s="442">
        <f>Ruimtestaat[[#This Row],[Uitvoeringen werkdagen]]*Ruimtestaat[[#This Row],[Gedeeltelijk]]</f>
        <v>0</v>
      </c>
      <c r="Z538" s="443">
        <f>IF(U538&gt;0,Ruimtestaat[[#This Row],[Prest. (m2 / jaar) werkdagen gedeeld]]/Ruimtestaat[[#This Row],[Norm (m2/uur) werkdagen]],0)</f>
        <v>0</v>
      </c>
      <c r="AA538" s="441">
        <f>Ruimtestaat[[#This Row],[uren / jaar werkdagen gedeeld]]*Tariefsopbouw!$E$35</f>
        <v>0</v>
      </c>
      <c r="AB538" s="441">
        <f>Ruimtestaat[[#This Row],[Uitvoeringen werkdagen]]*Ruimtestaat[[#This Row],[BSO]]</f>
        <v>0</v>
      </c>
      <c r="AC538" s="443">
        <f>IF(U538&gt;0,Ruimtestaat[[#This Row],[Prest. (m2 / jaar) werkdagen BSO]]/Ruimtestaat[[#This Row],[Norm (m2/uur) werkdagen]],0)</f>
        <v>0</v>
      </c>
      <c r="AD538" s="443">
        <f>Ruimtestaat[[#This Row],[uren / jaar werkdagen BSO]]*Tariefsopbouw!$E$35</f>
        <v>0</v>
      </c>
      <c r="AE538" s="444">
        <f>Ruimtestaat[[#This Row],[uren / jaar werkdagen]]*Tariefsopbouw!$E$35</f>
        <v>0</v>
      </c>
      <c r="AF538" s="454"/>
      <c r="AG538" s="455">
        <f>IF(Ruimtestaat[[#This Row],[Frequentie weekend]]&gt;0,VALUE(LEFT(AF538,1))*S538,0)</f>
        <v>0</v>
      </c>
      <c r="AH538" s="455">
        <f>IF($AG538&gt;0,VLOOKUP($J538,Ruimtegroepen[],3,FALSE)*VLOOKUP($L538,Vloersoorten[],3,FALSE)*VLOOKUP($AF538,Frequenties[],3,FALSE)*VLOOKUP(#REF!,Locaties[],3,FALSE),0)</f>
        <v>0</v>
      </c>
      <c r="AI538" s="434">
        <f>Ruimtestaat[[#This Row],[Uitvoeringen weekend]]*Ruimtestaat[[#This Row],[Oppervlak (netto)]]</f>
        <v>0</v>
      </c>
      <c r="AJ538" s="434">
        <f>IF(AH538&gt;0,Ruimtestaat[[#This Row],[Prest. (m2 /jaar) weekend]]/Ruimtestaat[[#This Row],[Norm (m2/uur) weekend]],0)</f>
        <v>0</v>
      </c>
      <c r="AK538" s="444">
        <f>Ruimtestaat[[#This Row],[uren / jaar weekend]]*Tariefsopbouw!$D$40</f>
        <v>0</v>
      </c>
      <c r="AL538" s="441">
        <f>Ruimtestaat[[#This Row],[Prest. (m2 /jaar) weekend]]+Ruimtestaat[[#This Row],[Prest. (m2 /jaar) werkdagen]]</f>
        <v>0</v>
      </c>
      <c r="AM538" s="441">
        <f>Ruimtestaat[[#This Row],[uren / jaar weekend]]+Ruimtestaat[[#This Row],[uren / jaar werkdagen]]</f>
        <v>0</v>
      </c>
      <c r="AN538" s="446">
        <f>Ruimtestaat[[#This Row],[kosten / jaar weekend]]+Ruimtestaat[[#This Row],[kosten / jaar werkdagen]]</f>
        <v>0</v>
      </c>
      <c r="AO538" s="446"/>
      <c r="AP538" s="446" t="str">
        <f>IF(Ruimtestaat[[#This Row],[Frequentie werkdagen]]="","",_xlfn.CONCAT(Ruimtestaat[[#This Row],[Ruimte code]],"-",Ruimtestaat[[#This Row],[Frequentie werkdagen]]," ",Ruimtestaat[[#This Row],[Vloer code]]))</f>
        <v/>
      </c>
      <c r="AQ538" s="448" t="str">
        <f>_xlfn.IFNA(VLOOKUP($AP538,Programma!$F$3:$G$1101,2,0),"")</f>
        <v/>
      </c>
      <c r="AR538" s="448" t="str">
        <f>_xlfn.IFNA(VLOOKUP($AP538,Programma!$F$3:$H$1101,3,0),"")</f>
        <v/>
      </c>
      <c r="AS538" s="448" t="str">
        <f>_xlfn.IFNA(VLOOKUP($AP538,Programma!$F$3:$I$1101,4,0),"")</f>
        <v/>
      </c>
      <c r="AT538" s="448" t="str">
        <f>_xlfn.IFNA(VLOOKUP($AP538,Programma!$F$3:$J$1101,5,0),"")</f>
        <v/>
      </c>
      <c r="AU538" s="448" t="str">
        <f>_xlfn.IFNA(VLOOKUP($AP538,Programma!$F$3:$K$1101,6,0),"")</f>
        <v/>
      </c>
      <c r="AV538" s="448" t="str">
        <f>_xlfn.IFNA(VLOOKUP($AP538,Programma!$F$3:$L$1101,7,0),"")</f>
        <v/>
      </c>
      <c r="AW538" s="448" t="str">
        <f>_xlfn.IFNA(VLOOKUP($AP538,Programma!$F$3:$M$1101,8,0),"")</f>
        <v/>
      </c>
      <c r="AX538" s="448" t="str">
        <f>_xlfn.IFNA(VLOOKUP($AP538,Programma!$F$3:$N$1101,9,0),"")</f>
        <v/>
      </c>
      <c r="AY538" s="448" t="str">
        <f>_xlfn.IFNA(VLOOKUP($AP538,Programma!$F$3:$O$1101,10,0),"")</f>
        <v/>
      </c>
      <c r="AZ538" s="448" t="str">
        <f>_xlfn.IFNA(VLOOKUP($AP538,Programma!$F$3:$P$1101,11,0),"")</f>
        <v/>
      </c>
      <c r="BA538" s="448" t="str">
        <f>_xlfn.IFNA(VLOOKUP($AP538,Programma!$F$3:$Q$1101,12,0),"")</f>
        <v/>
      </c>
      <c r="BB538" s="448" t="str">
        <f>_xlfn.IFNA(VLOOKUP($AP538,Programma!$F$3:$R$1101,13,0),"")</f>
        <v/>
      </c>
      <c r="BC538" s="448" t="str">
        <f>_xlfn.IFNA(VLOOKUP($AP538,Programma!$F$3:$S$1101,14,0),"")</f>
        <v/>
      </c>
      <c r="BD538" s="448" t="str">
        <f>_xlfn.IFNA(VLOOKUP($AP538,Programma!$F$3:$T$1101,15,0),"")</f>
        <v/>
      </c>
      <c r="BE538" s="448" t="str">
        <f>_xlfn.IFNA(VLOOKUP($AP538,Programma!$F$3:$U$1101,16,0),"")</f>
        <v/>
      </c>
      <c r="BF538" s="448" t="str">
        <f>_xlfn.IFNA(VLOOKUP($AP538,Programma!$F$3:$V$1101,17,0),"")</f>
        <v/>
      </c>
      <c r="BG538" s="448" t="str">
        <f>_xlfn.IFNA(VLOOKUP($AP538,Programma!$F$3:$W$1101,18,0),"")</f>
        <v/>
      </c>
      <c r="BH538" s="448" t="str">
        <f>_xlfn.IFNA(VLOOKUP($AP538,Programma!$F$3:$X$1101,19,0),"")</f>
        <v/>
      </c>
      <c r="BI538" s="448" t="str">
        <f>_xlfn.IFNA(VLOOKUP($AP538,Programma!$F$3:$Y$1101,20,0),"")</f>
        <v/>
      </c>
      <c r="BJ538" s="449"/>
      <c r="BK538" s="446" t="str">
        <f>IF(Ruimtestaat[[#This Row],[Frequentie weekend]]="","",_xlfn.CONCAT(Ruimtestaat[[#This Row],[Ruimte code]],"-",Ruimtestaat[[#This Row],[Frequentie weekend]]," ",Ruimtestaat[[#This Row],[Vloer code]]))</f>
        <v/>
      </c>
      <c r="BL538" s="448" t="str">
        <f>_xlfn.IFNA(VLOOKUP($BK538,Programma!$F$3:$G$1101,2,0),"")</f>
        <v/>
      </c>
      <c r="BM538" s="448" t="str">
        <f>_xlfn.IFNA(VLOOKUP($BK538,Programma!$F$3:$H$1101,3,0),"")</f>
        <v/>
      </c>
      <c r="BN538" s="448" t="str">
        <f>_xlfn.IFNA(VLOOKUP($BK538,Programma!$F$3:$I$1101,4,0),"")</f>
        <v/>
      </c>
      <c r="BO538" s="448" t="str">
        <f>_xlfn.IFNA(VLOOKUP($BK538,Programma!$F$3:$J$1101,5,0),"")</f>
        <v/>
      </c>
      <c r="BP538" s="448" t="str">
        <f>_xlfn.IFNA(VLOOKUP($BK538,Programma!$F$3:$K$1101,6,0),"")</f>
        <v/>
      </c>
      <c r="BQ538" s="448" t="str">
        <f>_xlfn.IFNA(VLOOKUP($BK538,Programma!$F$3:$L$1101,7,0),"")</f>
        <v/>
      </c>
      <c r="BR538" s="448" t="str">
        <f>_xlfn.IFNA(VLOOKUP($BK538,Programma!$F$3:$M$1101,8,0),"")</f>
        <v/>
      </c>
      <c r="BS538" s="448" t="str">
        <f>_xlfn.IFNA(VLOOKUP($BK538,Programma!$F$3:$N$1101,9,0),"")</f>
        <v/>
      </c>
      <c r="BT538" s="448" t="str">
        <f>_xlfn.IFNA(VLOOKUP($BK538,Programma!$F$3:$O$1101,10,0),"")</f>
        <v/>
      </c>
      <c r="BU538" s="448" t="str">
        <f>_xlfn.IFNA(VLOOKUP($BK538,Programma!$F$3:$P$1101,11,0),"")</f>
        <v/>
      </c>
      <c r="BV538" s="448" t="str">
        <f>_xlfn.IFNA(VLOOKUP($BK538,Programma!$F$3:$Q$1101,12,0),"")</f>
        <v/>
      </c>
      <c r="BW538" s="448" t="str">
        <f>_xlfn.IFNA(VLOOKUP($BK538,Programma!$F$3:$R$1101,13,0),"")</f>
        <v/>
      </c>
      <c r="BX538" s="448" t="str">
        <f>_xlfn.IFNA(VLOOKUP($BK538,Programma!$F$3:$S$1101,14,0),"")</f>
        <v/>
      </c>
      <c r="BY538" s="448" t="str">
        <f>_xlfn.IFNA(VLOOKUP($BK538,Programma!$F$3:$T$1101,15,0),"")</f>
        <v/>
      </c>
      <c r="BZ538" s="448" t="str">
        <f>_xlfn.IFNA(VLOOKUP($BK538,Programma!$F$3:$U$1101,16,0),"")</f>
        <v/>
      </c>
      <c r="CA538" s="448" t="str">
        <f>_xlfn.IFNA(VLOOKUP($BK538,Programma!$F$3:$V$1101,17,0),"")</f>
        <v/>
      </c>
      <c r="CB538" s="448" t="str">
        <f>_xlfn.IFNA(VLOOKUP($BK538,Programma!$F$3:$W$1101,18,0),"")</f>
        <v/>
      </c>
      <c r="CC538" s="448" t="str">
        <f>_xlfn.IFNA(VLOOKUP($BK538,Programma!$F$3:$X$1101,19,0),"")</f>
        <v/>
      </c>
      <c r="CD538" s="448" t="str">
        <f>_xlfn.IFNA(VLOOKUP($BK538,Programma!$F$3:$Y$1101,20,0),"")</f>
        <v/>
      </c>
    </row>
    <row r="539" spans="1:82" ht="15" customHeight="1">
      <c r="A539" s="327">
        <v>19</v>
      </c>
      <c r="B539" s="435" t="str">
        <f>VLOOKUP(Ruimtestaat[[#This Row],[Code]],Locaties[[Code]:[Locatie]],2,FALSE)</f>
        <v>IKC de Leerplaneet (vhKlimboom)</v>
      </c>
      <c r="C539" s="435" t="str">
        <f>VLOOKUP(Ruimtestaat[[#This Row],[Code]],Locaties[[#All],[Code]:[Adres]],4,FALSE)</f>
        <v>Nesciohove 105-107</v>
      </c>
      <c r="D539" s="435" t="str">
        <f>VLOOKUP(Ruimtestaat[[#This Row],[Code]],Locaties[[#All],[Code]:[Postcode]],5,FALSE)</f>
        <v>2726 BL</v>
      </c>
      <c r="E539" s="435" t="str">
        <f>VLOOKUP(Ruimtestaat[[#This Row],[Code]],Locaties[#All],6,FALSE)</f>
        <v>Zoetermeer</v>
      </c>
      <c r="F539" s="450"/>
      <c r="G539" s="330" t="s">
        <v>1678</v>
      </c>
      <c r="H539" s="330" t="s">
        <v>1917</v>
      </c>
      <c r="I539" s="450" t="s">
        <v>1906</v>
      </c>
      <c r="J539" s="330">
        <v>20</v>
      </c>
      <c r="K539" s="450" t="str">
        <f>VLOOKUP(Ruimtestaat[[#This Row],[Ruimte code]],Ruimtegroepen[[#All],[Code]:[Ruimte omschrijving]],2,FALSE)</f>
        <v>Niet in Onderhoud</v>
      </c>
      <c r="L539" s="330" t="s">
        <v>101</v>
      </c>
      <c r="M539" s="437" t="s">
        <v>1816</v>
      </c>
      <c r="N539" s="439"/>
      <c r="O539" s="439">
        <v>0</v>
      </c>
      <c r="P539" s="439"/>
      <c r="Q539" s="439"/>
      <c r="R539" s="440">
        <f>VLOOKUP(Ruimtestaat[[#This Row],[Ruimte code]],Ruimtegroepen[],4,FALSE)</f>
        <v>0</v>
      </c>
      <c r="S539" s="434"/>
      <c r="T539" s="434"/>
      <c r="U539" s="453">
        <f>IF(S539&gt;0,IF(RIGHT(Ruimtestaat[[#This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39" s="434">
        <f>IF(U539&gt;0,VLOOKUP($J539,Ruimtegroepen[],3,FALSE)*VLOOKUP($L539,Vloersoorten[],3,FALSE)*VLOOKUP($T539,Frequenties[],3,FALSE)*VLOOKUP($A539,Locaties[],3,FALSE),0)</f>
        <v>0</v>
      </c>
      <c r="W539" s="434">
        <f>Ruimtestaat[[#This Row],[Uitvoeringen werkdagen]]*Ruimtestaat[[#This Row],[Oppervlak (netto)]]</f>
        <v>0</v>
      </c>
      <c r="X539" s="441">
        <f>IF(V539&gt;0,Ruimtestaat[[#This Row],[Prest. (m2 /jaar) werkdagen]]/Ruimtestaat[[#This Row],[Norm (m2/uur) werkdagen]],0)</f>
        <v>0</v>
      </c>
      <c r="Y539" s="442">
        <f>Ruimtestaat[[#This Row],[Uitvoeringen werkdagen]]*Ruimtestaat[[#This Row],[Gedeeltelijk]]</f>
        <v>0</v>
      </c>
      <c r="Z539" s="443">
        <f>IF(U539&gt;0,Ruimtestaat[[#This Row],[Prest. (m2 / jaar) werkdagen gedeeld]]/Ruimtestaat[[#This Row],[Norm (m2/uur) werkdagen]],0)</f>
        <v>0</v>
      </c>
      <c r="AA539" s="441">
        <f>Ruimtestaat[[#This Row],[uren / jaar werkdagen gedeeld]]*Tariefsopbouw!$E$35</f>
        <v>0</v>
      </c>
      <c r="AB539" s="441">
        <f>Ruimtestaat[[#This Row],[Uitvoeringen werkdagen]]*Ruimtestaat[[#This Row],[BSO]]</f>
        <v>0</v>
      </c>
      <c r="AC539" s="443">
        <f>IF(U539&gt;0,Ruimtestaat[[#This Row],[Prest. (m2 / jaar) werkdagen BSO]]/Ruimtestaat[[#This Row],[Norm (m2/uur) werkdagen]],0)</f>
        <v>0</v>
      </c>
      <c r="AD539" s="443">
        <f>Ruimtestaat[[#This Row],[uren / jaar werkdagen BSO]]*Tariefsopbouw!$E$35</f>
        <v>0</v>
      </c>
      <c r="AE539" s="444">
        <f>Ruimtestaat[[#This Row],[uren / jaar werkdagen]]*Tariefsopbouw!$E$35</f>
        <v>0</v>
      </c>
      <c r="AF539" s="454"/>
      <c r="AG539" s="455">
        <f>IF(Ruimtestaat[[#This Row],[Frequentie weekend]]&gt;0,VALUE(LEFT(AF539,1))*S539,0)</f>
        <v>0</v>
      </c>
      <c r="AH539" s="455">
        <f>IF($AG539&gt;0,VLOOKUP($J539,Ruimtegroepen[],3,FALSE)*VLOOKUP($L539,Vloersoorten[],3,FALSE)*VLOOKUP($AF539,Frequenties[],3,FALSE)*VLOOKUP(#REF!,Locaties[],3,FALSE),0)</f>
        <v>0</v>
      </c>
      <c r="AI539" s="434">
        <f>Ruimtestaat[[#This Row],[Uitvoeringen weekend]]*Ruimtestaat[[#This Row],[Oppervlak (netto)]]</f>
        <v>0</v>
      </c>
      <c r="AJ539" s="434">
        <f>IF(AH539&gt;0,Ruimtestaat[[#This Row],[Prest. (m2 /jaar) weekend]]/Ruimtestaat[[#This Row],[Norm (m2/uur) weekend]],0)</f>
        <v>0</v>
      </c>
      <c r="AK539" s="444">
        <f>Ruimtestaat[[#This Row],[uren / jaar weekend]]*Tariefsopbouw!$D$40</f>
        <v>0</v>
      </c>
      <c r="AL539" s="441">
        <f>Ruimtestaat[[#This Row],[Prest. (m2 /jaar) weekend]]+Ruimtestaat[[#This Row],[Prest. (m2 /jaar) werkdagen]]</f>
        <v>0</v>
      </c>
      <c r="AM539" s="441">
        <f>Ruimtestaat[[#This Row],[uren / jaar weekend]]+Ruimtestaat[[#This Row],[uren / jaar werkdagen]]</f>
        <v>0</v>
      </c>
      <c r="AN539" s="446">
        <f>Ruimtestaat[[#This Row],[kosten / jaar weekend]]+Ruimtestaat[[#This Row],[kosten / jaar werkdagen]]</f>
        <v>0</v>
      </c>
      <c r="AO539" s="446"/>
      <c r="AP539" s="446" t="str">
        <f>IF(Ruimtestaat[[#This Row],[Frequentie werkdagen]]="","",_xlfn.CONCAT(Ruimtestaat[[#This Row],[Ruimte code]],"-",Ruimtestaat[[#This Row],[Frequentie werkdagen]]," ",Ruimtestaat[[#This Row],[Vloer code]]))</f>
        <v/>
      </c>
      <c r="AQ539" s="448" t="str">
        <f>_xlfn.IFNA(VLOOKUP($AP539,Programma!$F$3:$G$1101,2,0),"")</f>
        <v/>
      </c>
      <c r="AR539" s="448" t="str">
        <f>_xlfn.IFNA(VLOOKUP($AP539,Programma!$F$3:$H$1101,3,0),"")</f>
        <v/>
      </c>
      <c r="AS539" s="448" t="str">
        <f>_xlfn.IFNA(VLOOKUP($AP539,Programma!$F$3:$I$1101,4,0),"")</f>
        <v/>
      </c>
      <c r="AT539" s="448" t="str">
        <f>_xlfn.IFNA(VLOOKUP($AP539,Programma!$F$3:$J$1101,5,0),"")</f>
        <v/>
      </c>
      <c r="AU539" s="448" t="str">
        <f>_xlfn.IFNA(VLOOKUP($AP539,Programma!$F$3:$K$1101,6,0),"")</f>
        <v/>
      </c>
      <c r="AV539" s="448" t="str">
        <f>_xlfn.IFNA(VLOOKUP($AP539,Programma!$F$3:$L$1101,7,0),"")</f>
        <v/>
      </c>
      <c r="AW539" s="448" t="str">
        <f>_xlfn.IFNA(VLOOKUP($AP539,Programma!$F$3:$M$1101,8,0),"")</f>
        <v/>
      </c>
      <c r="AX539" s="448" t="str">
        <f>_xlfn.IFNA(VLOOKUP($AP539,Programma!$F$3:$N$1101,9,0),"")</f>
        <v/>
      </c>
      <c r="AY539" s="448" t="str">
        <f>_xlfn.IFNA(VLOOKUP($AP539,Programma!$F$3:$O$1101,10,0),"")</f>
        <v/>
      </c>
      <c r="AZ539" s="448" t="str">
        <f>_xlfn.IFNA(VLOOKUP($AP539,Programma!$F$3:$P$1101,11,0),"")</f>
        <v/>
      </c>
      <c r="BA539" s="448" t="str">
        <f>_xlfn.IFNA(VLOOKUP($AP539,Programma!$F$3:$Q$1101,12,0),"")</f>
        <v/>
      </c>
      <c r="BB539" s="448" t="str">
        <f>_xlfn.IFNA(VLOOKUP($AP539,Programma!$F$3:$R$1101,13,0),"")</f>
        <v/>
      </c>
      <c r="BC539" s="448" t="str">
        <f>_xlfn.IFNA(VLOOKUP($AP539,Programma!$F$3:$S$1101,14,0),"")</f>
        <v/>
      </c>
      <c r="BD539" s="448" t="str">
        <f>_xlfn.IFNA(VLOOKUP($AP539,Programma!$F$3:$T$1101,15,0),"")</f>
        <v/>
      </c>
      <c r="BE539" s="448" t="str">
        <f>_xlfn.IFNA(VLOOKUP($AP539,Programma!$F$3:$U$1101,16,0),"")</f>
        <v/>
      </c>
      <c r="BF539" s="448" t="str">
        <f>_xlfn.IFNA(VLOOKUP($AP539,Programma!$F$3:$V$1101,17,0),"")</f>
        <v/>
      </c>
      <c r="BG539" s="448" t="str">
        <f>_xlfn.IFNA(VLOOKUP($AP539,Programma!$F$3:$W$1101,18,0),"")</f>
        <v/>
      </c>
      <c r="BH539" s="448" t="str">
        <f>_xlfn.IFNA(VLOOKUP($AP539,Programma!$F$3:$X$1101,19,0),"")</f>
        <v/>
      </c>
      <c r="BI539" s="448" t="str">
        <f>_xlfn.IFNA(VLOOKUP($AP539,Programma!$F$3:$Y$1101,20,0),"")</f>
        <v/>
      </c>
      <c r="BJ539" s="449"/>
      <c r="BK539" s="446" t="str">
        <f>IF(Ruimtestaat[[#This Row],[Frequentie weekend]]="","",_xlfn.CONCAT(Ruimtestaat[[#This Row],[Ruimte code]],"-",Ruimtestaat[[#This Row],[Frequentie weekend]]," ",Ruimtestaat[[#This Row],[Vloer code]]))</f>
        <v/>
      </c>
      <c r="BL539" s="448" t="str">
        <f>_xlfn.IFNA(VLOOKUP($BK539,Programma!$F$3:$G$1101,2,0),"")</f>
        <v/>
      </c>
      <c r="BM539" s="448" t="str">
        <f>_xlfn.IFNA(VLOOKUP($BK539,Programma!$F$3:$H$1101,3,0),"")</f>
        <v/>
      </c>
      <c r="BN539" s="448" t="str">
        <f>_xlfn.IFNA(VLOOKUP($BK539,Programma!$F$3:$I$1101,4,0),"")</f>
        <v/>
      </c>
      <c r="BO539" s="448" t="str">
        <f>_xlfn.IFNA(VLOOKUP($BK539,Programma!$F$3:$J$1101,5,0),"")</f>
        <v/>
      </c>
      <c r="BP539" s="448" t="str">
        <f>_xlfn.IFNA(VLOOKUP($BK539,Programma!$F$3:$K$1101,6,0),"")</f>
        <v/>
      </c>
      <c r="BQ539" s="448" t="str">
        <f>_xlfn.IFNA(VLOOKUP($BK539,Programma!$F$3:$L$1101,7,0),"")</f>
        <v/>
      </c>
      <c r="BR539" s="448" t="str">
        <f>_xlfn.IFNA(VLOOKUP($BK539,Programma!$F$3:$M$1101,8,0),"")</f>
        <v/>
      </c>
      <c r="BS539" s="448" t="str">
        <f>_xlfn.IFNA(VLOOKUP($BK539,Programma!$F$3:$N$1101,9,0),"")</f>
        <v/>
      </c>
      <c r="BT539" s="448" t="str">
        <f>_xlfn.IFNA(VLOOKUP($BK539,Programma!$F$3:$O$1101,10,0),"")</f>
        <v/>
      </c>
      <c r="BU539" s="448" t="str">
        <f>_xlfn.IFNA(VLOOKUP($BK539,Programma!$F$3:$P$1101,11,0),"")</f>
        <v/>
      </c>
      <c r="BV539" s="448" t="str">
        <f>_xlfn.IFNA(VLOOKUP($BK539,Programma!$F$3:$Q$1101,12,0),"")</f>
        <v/>
      </c>
      <c r="BW539" s="448" t="str">
        <f>_xlfn.IFNA(VLOOKUP($BK539,Programma!$F$3:$R$1101,13,0),"")</f>
        <v/>
      </c>
      <c r="BX539" s="448" t="str">
        <f>_xlfn.IFNA(VLOOKUP($BK539,Programma!$F$3:$S$1101,14,0),"")</f>
        <v/>
      </c>
      <c r="BY539" s="448" t="str">
        <f>_xlfn.IFNA(VLOOKUP($BK539,Programma!$F$3:$T$1101,15,0),"")</f>
        <v/>
      </c>
      <c r="BZ539" s="448" t="str">
        <f>_xlfn.IFNA(VLOOKUP($BK539,Programma!$F$3:$U$1101,16,0),"")</f>
        <v/>
      </c>
      <c r="CA539" s="448" t="str">
        <f>_xlfn.IFNA(VLOOKUP($BK539,Programma!$F$3:$V$1101,17,0),"")</f>
        <v/>
      </c>
      <c r="CB539" s="448" t="str">
        <f>_xlfn.IFNA(VLOOKUP($BK539,Programma!$F$3:$W$1101,18,0),"")</f>
        <v/>
      </c>
      <c r="CC539" s="448" t="str">
        <f>_xlfn.IFNA(VLOOKUP($BK539,Programma!$F$3:$X$1101,19,0),"")</f>
        <v/>
      </c>
      <c r="CD539" s="448" t="str">
        <f>_xlfn.IFNA(VLOOKUP($BK539,Programma!$F$3:$Y$1101,20,0),"")</f>
        <v/>
      </c>
    </row>
    <row r="540" spans="1:82" ht="15" customHeight="1">
      <c r="A540" s="327">
        <v>19</v>
      </c>
      <c r="B540" s="435" t="str">
        <f>VLOOKUP(Ruimtestaat[[#This Row],[Code]],Locaties[[Code]:[Locatie]],2,FALSE)</f>
        <v>IKC de Leerplaneet (vhKlimboom)</v>
      </c>
      <c r="C540" s="435" t="str">
        <f>VLOOKUP(Ruimtestaat[[#This Row],[Code]],Locaties[[#All],[Code]:[Adres]],4,FALSE)</f>
        <v>Nesciohove 105-107</v>
      </c>
      <c r="D540" s="435" t="str">
        <f>VLOOKUP(Ruimtestaat[[#This Row],[Code]],Locaties[[#All],[Code]:[Postcode]],5,FALSE)</f>
        <v>2726 BL</v>
      </c>
      <c r="E540" s="435" t="str">
        <f>VLOOKUP(Ruimtestaat[[#This Row],[Code]],Locaties[#All],6,FALSE)</f>
        <v>Zoetermeer</v>
      </c>
      <c r="F540" s="450"/>
      <c r="G540" s="330" t="s">
        <v>1678</v>
      </c>
      <c r="H540" s="330" t="s">
        <v>1918</v>
      </c>
      <c r="I540" s="450" t="s">
        <v>1919</v>
      </c>
      <c r="J540" s="330">
        <v>20</v>
      </c>
      <c r="K540" s="450" t="str">
        <f>VLOOKUP(Ruimtestaat[[#This Row],[Ruimte code]],Ruimtegroepen[[#All],[Code]:[Ruimte omschrijving]],2,FALSE)</f>
        <v>Niet in Onderhoud</v>
      </c>
      <c r="L540" s="330" t="s">
        <v>101</v>
      </c>
      <c r="M540" s="437" t="s">
        <v>1816</v>
      </c>
      <c r="N540" s="439"/>
      <c r="O540" s="439">
        <v>0</v>
      </c>
      <c r="P540" s="439"/>
      <c r="Q540" s="439"/>
      <c r="R540" s="440">
        <f>VLOOKUP(Ruimtestaat[[#This Row],[Ruimte code]],Ruimtegroepen[],4,FALSE)</f>
        <v>0</v>
      </c>
      <c r="S540" s="434"/>
      <c r="T540" s="434"/>
      <c r="U540" s="453">
        <f>IF(S540&gt;0,IF(RIGHT(Ruimtestaat[[#This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40" s="434">
        <f>IF(U540&gt;0,VLOOKUP($J540,Ruimtegroepen[],3,FALSE)*VLOOKUP($L540,Vloersoorten[],3,FALSE)*VLOOKUP($T540,Frequenties[],3,FALSE)*VLOOKUP($A540,Locaties[],3,FALSE),0)</f>
        <v>0</v>
      </c>
      <c r="W540" s="434">
        <f>Ruimtestaat[[#This Row],[Uitvoeringen werkdagen]]*Ruimtestaat[[#This Row],[Oppervlak (netto)]]</f>
        <v>0</v>
      </c>
      <c r="X540" s="441">
        <f>IF(V540&gt;0,Ruimtestaat[[#This Row],[Prest. (m2 /jaar) werkdagen]]/Ruimtestaat[[#This Row],[Norm (m2/uur) werkdagen]],0)</f>
        <v>0</v>
      </c>
      <c r="Y540" s="442">
        <f>Ruimtestaat[[#This Row],[Uitvoeringen werkdagen]]*Ruimtestaat[[#This Row],[Gedeeltelijk]]</f>
        <v>0</v>
      </c>
      <c r="Z540" s="443">
        <f>IF(U540&gt;0,Ruimtestaat[[#This Row],[Prest. (m2 / jaar) werkdagen gedeeld]]/Ruimtestaat[[#This Row],[Norm (m2/uur) werkdagen]],0)</f>
        <v>0</v>
      </c>
      <c r="AA540" s="441">
        <f>Ruimtestaat[[#This Row],[uren / jaar werkdagen gedeeld]]*Tariefsopbouw!$E$35</f>
        <v>0</v>
      </c>
      <c r="AB540" s="441">
        <f>Ruimtestaat[[#This Row],[Uitvoeringen werkdagen]]*Ruimtestaat[[#This Row],[BSO]]</f>
        <v>0</v>
      </c>
      <c r="AC540" s="443">
        <f>IF(U540&gt;0,Ruimtestaat[[#This Row],[Prest. (m2 / jaar) werkdagen BSO]]/Ruimtestaat[[#This Row],[Norm (m2/uur) werkdagen]],0)</f>
        <v>0</v>
      </c>
      <c r="AD540" s="443">
        <f>Ruimtestaat[[#This Row],[uren / jaar werkdagen BSO]]*Tariefsopbouw!$E$35</f>
        <v>0</v>
      </c>
      <c r="AE540" s="444">
        <f>Ruimtestaat[[#This Row],[uren / jaar werkdagen]]*Tariefsopbouw!$E$35</f>
        <v>0</v>
      </c>
      <c r="AF540" s="454"/>
      <c r="AG540" s="455">
        <f>IF(Ruimtestaat[[#This Row],[Frequentie weekend]]&gt;0,VALUE(LEFT(AF540,1))*S540,0)</f>
        <v>0</v>
      </c>
      <c r="AH540" s="455">
        <f>IF($AG540&gt;0,VLOOKUP($J540,Ruimtegroepen[],3,FALSE)*VLOOKUP($L540,Vloersoorten[],3,FALSE)*VLOOKUP($AF540,Frequenties[],3,FALSE)*VLOOKUP(#REF!,Locaties[],3,FALSE),0)</f>
        <v>0</v>
      </c>
      <c r="AI540" s="434">
        <f>Ruimtestaat[[#This Row],[Uitvoeringen weekend]]*Ruimtestaat[[#This Row],[Oppervlak (netto)]]</f>
        <v>0</v>
      </c>
      <c r="AJ540" s="434">
        <f>IF(AH540&gt;0,Ruimtestaat[[#This Row],[Prest. (m2 /jaar) weekend]]/Ruimtestaat[[#This Row],[Norm (m2/uur) weekend]],0)</f>
        <v>0</v>
      </c>
      <c r="AK540" s="444">
        <f>Ruimtestaat[[#This Row],[uren / jaar weekend]]*Tariefsopbouw!$D$40</f>
        <v>0</v>
      </c>
      <c r="AL540" s="441">
        <f>Ruimtestaat[[#This Row],[Prest. (m2 /jaar) weekend]]+Ruimtestaat[[#This Row],[Prest. (m2 /jaar) werkdagen]]</f>
        <v>0</v>
      </c>
      <c r="AM540" s="441">
        <f>Ruimtestaat[[#This Row],[uren / jaar weekend]]+Ruimtestaat[[#This Row],[uren / jaar werkdagen]]</f>
        <v>0</v>
      </c>
      <c r="AN540" s="446">
        <f>Ruimtestaat[[#This Row],[kosten / jaar weekend]]+Ruimtestaat[[#This Row],[kosten / jaar werkdagen]]</f>
        <v>0</v>
      </c>
      <c r="AO540" s="446"/>
      <c r="AP540" s="446" t="str">
        <f>IF(Ruimtestaat[[#This Row],[Frequentie werkdagen]]="","",_xlfn.CONCAT(Ruimtestaat[[#This Row],[Ruimte code]],"-",Ruimtestaat[[#This Row],[Frequentie werkdagen]]," ",Ruimtestaat[[#This Row],[Vloer code]]))</f>
        <v/>
      </c>
      <c r="AQ540" s="448" t="str">
        <f>_xlfn.IFNA(VLOOKUP($AP540,Programma!$F$3:$G$1101,2,0),"")</f>
        <v/>
      </c>
      <c r="AR540" s="448" t="str">
        <f>_xlfn.IFNA(VLOOKUP($AP540,Programma!$F$3:$H$1101,3,0),"")</f>
        <v/>
      </c>
      <c r="AS540" s="448" t="str">
        <f>_xlfn.IFNA(VLOOKUP($AP540,Programma!$F$3:$I$1101,4,0),"")</f>
        <v/>
      </c>
      <c r="AT540" s="448" t="str">
        <f>_xlfn.IFNA(VLOOKUP($AP540,Programma!$F$3:$J$1101,5,0),"")</f>
        <v/>
      </c>
      <c r="AU540" s="448" t="str">
        <f>_xlfn.IFNA(VLOOKUP($AP540,Programma!$F$3:$K$1101,6,0),"")</f>
        <v/>
      </c>
      <c r="AV540" s="448" t="str">
        <f>_xlfn.IFNA(VLOOKUP($AP540,Programma!$F$3:$L$1101,7,0),"")</f>
        <v/>
      </c>
      <c r="AW540" s="448" t="str">
        <f>_xlfn.IFNA(VLOOKUP($AP540,Programma!$F$3:$M$1101,8,0),"")</f>
        <v/>
      </c>
      <c r="AX540" s="448" t="str">
        <f>_xlfn.IFNA(VLOOKUP($AP540,Programma!$F$3:$N$1101,9,0),"")</f>
        <v/>
      </c>
      <c r="AY540" s="448" t="str">
        <f>_xlfn.IFNA(VLOOKUP($AP540,Programma!$F$3:$O$1101,10,0),"")</f>
        <v/>
      </c>
      <c r="AZ540" s="448" t="str">
        <f>_xlfn.IFNA(VLOOKUP($AP540,Programma!$F$3:$P$1101,11,0),"")</f>
        <v/>
      </c>
      <c r="BA540" s="448" t="str">
        <f>_xlfn.IFNA(VLOOKUP($AP540,Programma!$F$3:$Q$1101,12,0),"")</f>
        <v/>
      </c>
      <c r="BB540" s="448" t="str">
        <f>_xlfn.IFNA(VLOOKUP($AP540,Programma!$F$3:$R$1101,13,0),"")</f>
        <v/>
      </c>
      <c r="BC540" s="448" t="str">
        <f>_xlfn.IFNA(VLOOKUP($AP540,Programma!$F$3:$S$1101,14,0),"")</f>
        <v/>
      </c>
      <c r="BD540" s="448" t="str">
        <f>_xlfn.IFNA(VLOOKUP($AP540,Programma!$F$3:$T$1101,15,0),"")</f>
        <v/>
      </c>
      <c r="BE540" s="448" t="str">
        <f>_xlfn.IFNA(VLOOKUP($AP540,Programma!$F$3:$U$1101,16,0),"")</f>
        <v/>
      </c>
      <c r="BF540" s="448" t="str">
        <f>_xlfn.IFNA(VLOOKUP($AP540,Programma!$F$3:$V$1101,17,0),"")</f>
        <v/>
      </c>
      <c r="BG540" s="448" t="str">
        <f>_xlfn.IFNA(VLOOKUP($AP540,Programma!$F$3:$W$1101,18,0),"")</f>
        <v/>
      </c>
      <c r="BH540" s="448" t="str">
        <f>_xlfn.IFNA(VLOOKUP($AP540,Programma!$F$3:$X$1101,19,0),"")</f>
        <v/>
      </c>
      <c r="BI540" s="448" t="str">
        <f>_xlfn.IFNA(VLOOKUP($AP540,Programma!$F$3:$Y$1101,20,0),"")</f>
        <v/>
      </c>
      <c r="BJ540" s="449"/>
      <c r="BK540" s="446" t="str">
        <f>IF(Ruimtestaat[[#This Row],[Frequentie weekend]]="","",_xlfn.CONCAT(Ruimtestaat[[#This Row],[Ruimte code]],"-",Ruimtestaat[[#This Row],[Frequentie weekend]]," ",Ruimtestaat[[#This Row],[Vloer code]]))</f>
        <v/>
      </c>
      <c r="BL540" s="448" t="str">
        <f>_xlfn.IFNA(VLOOKUP($BK540,Programma!$F$3:$G$1101,2,0),"")</f>
        <v/>
      </c>
      <c r="BM540" s="448" t="str">
        <f>_xlfn.IFNA(VLOOKUP($BK540,Programma!$F$3:$H$1101,3,0),"")</f>
        <v/>
      </c>
      <c r="BN540" s="448" t="str">
        <f>_xlfn.IFNA(VLOOKUP($BK540,Programma!$F$3:$I$1101,4,0),"")</f>
        <v/>
      </c>
      <c r="BO540" s="448" t="str">
        <f>_xlfn.IFNA(VLOOKUP($BK540,Programma!$F$3:$J$1101,5,0),"")</f>
        <v/>
      </c>
      <c r="BP540" s="448" t="str">
        <f>_xlfn.IFNA(VLOOKUP($BK540,Programma!$F$3:$K$1101,6,0),"")</f>
        <v/>
      </c>
      <c r="BQ540" s="448" t="str">
        <f>_xlfn.IFNA(VLOOKUP($BK540,Programma!$F$3:$L$1101,7,0),"")</f>
        <v/>
      </c>
      <c r="BR540" s="448" t="str">
        <f>_xlfn.IFNA(VLOOKUP($BK540,Programma!$F$3:$M$1101,8,0),"")</f>
        <v/>
      </c>
      <c r="BS540" s="448" t="str">
        <f>_xlfn.IFNA(VLOOKUP($BK540,Programma!$F$3:$N$1101,9,0),"")</f>
        <v/>
      </c>
      <c r="BT540" s="448" t="str">
        <f>_xlfn.IFNA(VLOOKUP($BK540,Programma!$F$3:$O$1101,10,0),"")</f>
        <v/>
      </c>
      <c r="BU540" s="448" t="str">
        <f>_xlfn.IFNA(VLOOKUP($BK540,Programma!$F$3:$P$1101,11,0),"")</f>
        <v/>
      </c>
      <c r="BV540" s="448" t="str">
        <f>_xlfn.IFNA(VLOOKUP($BK540,Programma!$F$3:$Q$1101,12,0),"")</f>
        <v/>
      </c>
      <c r="BW540" s="448" t="str">
        <f>_xlfn.IFNA(VLOOKUP($BK540,Programma!$F$3:$R$1101,13,0),"")</f>
        <v/>
      </c>
      <c r="BX540" s="448" t="str">
        <f>_xlfn.IFNA(VLOOKUP($BK540,Programma!$F$3:$S$1101,14,0),"")</f>
        <v/>
      </c>
      <c r="BY540" s="448" t="str">
        <f>_xlfn.IFNA(VLOOKUP($BK540,Programma!$F$3:$T$1101,15,0),"")</f>
        <v/>
      </c>
      <c r="BZ540" s="448" t="str">
        <f>_xlfn.IFNA(VLOOKUP($BK540,Programma!$F$3:$U$1101,16,0),"")</f>
        <v/>
      </c>
      <c r="CA540" s="448" t="str">
        <f>_xlfn.IFNA(VLOOKUP($BK540,Programma!$F$3:$V$1101,17,0),"")</f>
        <v/>
      </c>
      <c r="CB540" s="448" t="str">
        <f>_xlfn.IFNA(VLOOKUP($BK540,Programma!$F$3:$W$1101,18,0),"")</f>
        <v/>
      </c>
      <c r="CC540" s="448" t="str">
        <f>_xlfn.IFNA(VLOOKUP($BK540,Programma!$F$3:$X$1101,19,0),"")</f>
        <v/>
      </c>
      <c r="CD540" s="448" t="str">
        <f>_xlfn.IFNA(VLOOKUP($BK540,Programma!$F$3:$Y$1101,20,0),"")</f>
        <v/>
      </c>
    </row>
    <row r="541" spans="1:82" ht="15" customHeight="1">
      <c r="A541" s="327">
        <v>19</v>
      </c>
      <c r="B541" s="435" t="str">
        <f>VLOOKUP(Ruimtestaat[[#This Row],[Code]],Locaties[[Code]:[Locatie]],2,FALSE)</f>
        <v>IKC de Leerplaneet (vhKlimboom)</v>
      </c>
      <c r="C541" s="435" t="str">
        <f>VLOOKUP(Ruimtestaat[[#This Row],[Code]],Locaties[[#All],[Code]:[Adres]],4,FALSE)</f>
        <v>Nesciohove 105-107</v>
      </c>
      <c r="D541" s="435" t="str">
        <f>VLOOKUP(Ruimtestaat[[#This Row],[Code]],Locaties[[#All],[Code]:[Postcode]],5,FALSE)</f>
        <v>2726 BL</v>
      </c>
      <c r="E541" s="435" t="str">
        <f>VLOOKUP(Ruimtestaat[[#This Row],[Code]],Locaties[#All],6,FALSE)</f>
        <v>Zoetermeer</v>
      </c>
      <c r="F541" s="450"/>
      <c r="G541" s="330" t="s">
        <v>1678</v>
      </c>
      <c r="H541" s="330" t="s">
        <v>1920</v>
      </c>
      <c r="I541" s="450" t="s">
        <v>1903</v>
      </c>
      <c r="J541" s="330">
        <v>20</v>
      </c>
      <c r="K541" s="450" t="str">
        <f>VLOOKUP(Ruimtestaat[[#This Row],[Ruimte code]],Ruimtegroepen[[#All],[Code]:[Ruimte omschrijving]],2,FALSE)</f>
        <v>Niet in Onderhoud</v>
      </c>
      <c r="L541" s="330" t="s">
        <v>101</v>
      </c>
      <c r="M541" s="437" t="s">
        <v>1816</v>
      </c>
      <c r="N541" s="439"/>
      <c r="O541" s="439">
        <v>0</v>
      </c>
      <c r="P541" s="439"/>
      <c r="Q541" s="439"/>
      <c r="R541" s="440">
        <f>VLOOKUP(Ruimtestaat[[#This Row],[Ruimte code]],Ruimtegroepen[],4,FALSE)</f>
        <v>0</v>
      </c>
      <c r="S541" s="434"/>
      <c r="T541" s="434"/>
      <c r="U541" s="453">
        <f>IF(S541&gt;0,IF(RIGHT(Ruimtestaat[[#This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41" s="434">
        <f>IF(U541&gt;0,VLOOKUP($J541,Ruimtegroepen[],3,FALSE)*VLOOKUP($L541,Vloersoorten[],3,FALSE)*VLOOKUP($T541,Frequenties[],3,FALSE)*VLOOKUP($A541,Locaties[],3,FALSE),0)</f>
        <v>0</v>
      </c>
      <c r="W541" s="434">
        <f>Ruimtestaat[[#This Row],[Uitvoeringen werkdagen]]*Ruimtestaat[[#This Row],[Oppervlak (netto)]]</f>
        <v>0</v>
      </c>
      <c r="X541" s="441">
        <f>IF(V541&gt;0,Ruimtestaat[[#This Row],[Prest. (m2 /jaar) werkdagen]]/Ruimtestaat[[#This Row],[Norm (m2/uur) werkdagen]],0)</f>
        <v>0</v>
      </c>
      <c r="Y541" s="442">
        <f>Ruimtestaat[[#This Row],[Uitvoeringen werkdagen]]*Ruimtestaat[[#This Row],[Gedeeltelijk]]</f>
        <v>0</v>
      </c>
      <c r="Z541" s="443">
        <f>IF(U541&gt;0,Ruimtestaat[[#This Row],[Prest. (m2 / jaar) werkdagen gedeeld]]/Ruimtestaat[[#This Row],[Norm (m2/uur) werkdagen]],0)</f>
        <v>0</v>
      </c>
      <c r="AA541" s="441">
        <f>Ruimtestaat[[#This Row],[uren / jaar werkdagen gedeeld]]*Tariefsopbouw!$E$35</f>
        <v>0</v>
      </c>
      <c r="AB541" s="441">
        <f>Ruimtestaat[[#This Row],[Uitvoeringen werkdagen]]*Ruimtestaat[[#This Row],[BSO]]</f>
        <v>0</v>
      </c>
      <c r="AC541" s="443">
        <f>IF(U541&gt;0,Ruimtestaat[[#This Row],[Prest. (m2 / jaar) werkdagen BSO]]/Ruimtestaat[[#This Row],[Norm (m2/uur) werkdagen]],0)</f>
        <v>0</v>
      </c>
      <c r="AD541" s="443">
        <f>Ruimtestaat[[#This Row],[uren / jaar werkdagen BSO]]*Tariefsopbouw!$E$35</f>
        <v>0</v>
      </c>
      <c r="AE541" s="444">
        <f>Ruimtestaat[[#This Row],[uren / jaar werkdagen]]*Tariefsopbouw!$E$35</f>
        <v>0</v>
      </c>
      <c r="AF541" s="454"/>
      <c r="AG541" s="455">
        <f>IF(Ruimtestaat[[#This Row],[Frequentie weekend]]&gt;0,VALUE(LEFT(AF541,1))*S541,0)</f>
        <v>0</v>
      </c>
      <c r="AH541" s="455">
        <f>IF($AG541&gt;0,VLOOKUP($J541,Ruimtegroepen[],3,FALSE)*VLOOKUP($L541,Vloersoorten[],3,FALSE)*VLOOKUP($AF541,Frequenties[],3,FALSE)*VLOOKUP(#REF!,Locaties[],3,FALSE),0)</f>
        <v>0</v>
      </c>
      <c r="AI541" s="434">
        <f>Ruimtestaat[[#This Row],[Uitvoeringen weekend]]*Ruimtestaat[[#This Row],[Oppervlak (netto)]]</f>
        <v>0</v>
      </c>
      <c r="AJ541" s="434">
        <f>IF(AH541&gt;0,Ruimtestaat[[#This Row],[Prest. (m2 /jaar) weekend]]/Ruimtestaat[[#This Row],[Norm (m2/uur) weekend]],0)</f>
        <v>0</v>
      </c>
      <c r="AK541" s="444">
        <f>Ruimtestaat[[#This Row],[uren / jaar weekend]]*Tariefsopbouw!$D$40</f>
        <v>0</v>
      </c>
      <c r="AL541" s="441">
        <f>Ruimtestaat[[#This Row],[Prest. (m2 /jaar) weekend]]+Ruimtestaat[[#This Row],[Prest. (m2 /jaar) werkdagen]]</f>
        <v>0</v>
      </c>
      <c r="AM541" s="441">
        <f>Ruimtestaat[[#This Row],[uren / jaar weekend]]+Ruimtestaat[[#This Row],[uren / jaar werkdagen]]</f>
        <v>0</v>
      </c>
      <c r="AN541" s="446">
        <f>Ruimtestaat[[#This Row],[kosten / jaar weekend]]+Ruimtestaat[[#This Row],[kosten / jaar werkdagen]]</f>
        <v>0</v>
      </c>
      <c r="AO541" s="446"/>
      <c r="AP541" s="446" t="str">
        <f>IF(Ruimtestaat[[#This Row],[Frequentie werkdagen]]="","",_xlfn.CONCAT(Ruimtestaat[[#This Row],[Ruimte code]],"-",Ruimtestaat[[#This Row],[Frequentie werkdagen]]," ",Ruimtestaat[[#This Row],[Vloer code]]))</f>
        <v/>
      </c>
      <c r="AQ541" s="448" t="str">
        <f>_xlfn.IFNA(VLOOKUP($AP541,Programma!$F$3:$G$1101,2,0),"")</f>
        <v/>
      </c>
      <c r="AR541" s="448" t="str">
        <f>_xlfn.IFNA(VLOOKUP($AP541,Programma!$F$3:$H$1101,3,0),"")</f>
        <v/>
      </c>
      <c r="AS541" s="448" t="str">
        <f>_xlfn.IFNA(VLOOKUP($AP541,Programma!$F$3:$I$1101,4,0),"")</f>
        <v/>
      </c>
      <c r="AT541" s="448" t="str">
        <f>_xlfn.IFNA(VLOOKUP($AP541,Programma!$F$3:$J$1101,5,0),"")</f>
        <v/>
      </c>
      <c r="AU541" s="448" t="str">
        <f>_xlfn.IFNA(VLOOKUP($AP541,Programma!$F$3:$K$1101,6,0),"")</f>
        <v/>
      </c>
      <c r="AV541" s="448" t="str">
        <f>_xlfn.IFNA(VLOOKUP($AP541,Programma!$F$3:$L$1101,7,0),"")</f>
        <v/>
      </c>
      <c r="AW541" s="448" t="str">
        <f>_xlfn.IFNA(VLOOKUP($AP541,Programma!$F$3:$M$1101,8,0),"")</f>
        <v/>
      </c>
      <c r="AX541" s="448" t="str">
        <f>_xlfn.IFNA(VLOOKUP($AP541,Programma!$F$3:$N$1101,9,0),"")</f>
        <v/>
      </c>
      <c r="AY541" s="448" t="str">
        <f>_xlfn.IFNA(VLOOKUP($AP541,Programma!$F$3:$O$1101,10,0),"")</f>
        <v/>
      </c>
      <c r="AZ541" s="448" t="str">
        <f>_xlfn.IFNA(VLOOKUP($AP541,Programma!$F$3:$P$1101,11,0),"")</f>
        <v/>
      </c>
      <c r="BA541" s="448" t="str">
        <f>_xlfn.IFNA(VLOOKUP($AP541,Programma!$F$3:$Q$1101,12,0),"")</f>
        <v/>
      </c>
      <c r="BB541" s="448" t="str">
        <f>_xlfn.IFNA(VLOOKUP($AP541,Programma!$F$3:$R$1101,13,0),"")</f>
        <v/>
      </c>
      <c r="BC541" s="448" t="str">
        <f>_xlfn.IFNA(VLOOKUP($AP541,Programma!$F$3:$S$1101,14,0),"")</f>
        <v/>
      </c>
      <c r="BD541" s="448" t="str">
        <f>_xlfn.IFNA(VLOOKUP($AP541,Programma!$F$3:$T$1101,15,0),"")</f>
        <v/>
      </c>
      <c r="BE541" s="448" t="str">
        <f>_xlfn.IFNA(VLOOKUP($AP541,Programma!$F$3:$U$1101,16,0),"")</f>
        <v/>
      </c>
      <c r="BF541" s="448" t="str">
        <f>_xlfn.IFNA(VLOOKUP($AP541,Programma!$F$3:$V$1101,17,0),"")</f>
        <v/>
      </c>
      <c r="BG541" s="448" t="str">
        <f>_xlfn.IFNA(VLOOKUP($AP541,Programma!$F$3:$W$1101,18,0),"")</f>
        <v/>
      </c>
      <c r="BH541" s="448" t="str">
        <f>_xlfn.IFNA(VLOOKUP($AP541,Programma!$F$3:$X$1101,19,0),"")</f>
        <v/>
      </c>
      <c r="BI541" s="448" t="str">
        <f>_xlfn.IFNA(VLOOKUP($AP541,Programma!$F$3:$Y$1101,20,0),"")</f>
        <v/>
      </c>
      <c r="BJ541" s="449"/>
      <c r="BK541" s="446" t="str">
        <f>IF(Ruimtestaat[[#This Row],[Frequentie weekend]]="","",_xlfn.CONCAT(Ruimtestaat[[#This Row],[Ruimte code]],"-",Ruimtestaat[[#This Row],[Frequentie weekend]]," ",Ruimtestaat[[#This Row],[Vloer code]]))</f>
        <v/>
      </c>
      <c r="BL541" s="448" t="str">
        <f>_xlfn.IFNA(VLOOKUP($BK541,Programma!$F$3:$G$1101,2,0),"")</f>
        <v/>
      </c>
      <c r="BM541" s="448" t="str">
        <f>_xlfn.IFNA(VLOOKUP($BK541,Programma!$F$3:$H$1101,3,0),"")</f>
        <v/>
      </c>
      <c r="BN541" s="448" t="str">
        <f>_xlfn.IFNA(VLOOKUP($BK541,Programma!$F$3:$I$1101,4,0),"")</f>
        <v/>
      </c>
      <c r="BO541" s="448" t="str">
        <f>_xlfn.IFNA(VLOOKUP($BK541,Programma!$F$3:$J$1101,5,0),"")</f>
        <v/>
      </c>
      <c r="BP541" s="448" t="str">
        <f>_xlfn.IFNA(VLOOKUP($BK541,Programma!$F$3:$K$1101,6,0),"")</f>
        <v/>
      </c>
      <c r="BQ541" s="448" t="str">
        <f>_xlfn.IFNA(VLOOKUP($BK541,Programma!$F$3:$L$1101,7,0),"")</f>
        <v/>
      </c>
      <c r="BR541" s="448" t="str">
        <f>_xlfn.IFNA(VLOOKUP($BK541,Programma!$F$3:$M$1101,8,0),"")</f>
        <v/>
      </c>
      <c r="BS541" s="448" t="str">
        <f>_xlfn.IFNA(VLOOKUP($BK541,Programma!$F$3:$N$1101,9,0),"")</f>
        <v/>
      </c>
      <c r="BT541" s="448" t="str">
        <f>_xlfn.IFNA(VLOOKUP($BK541,Programma!$F$3:$O$1101,10,0),"")</f>
        <v/>
      </c>
      <c r="BU541" s="448" t="str">
        <f>_xlfn.IFNA(VLOOKUP($BK541,Programma!$F$3:$P$1101,11,0),"")</f>
        <v/>
      </c>
      <c r="BV541" s="448" t="str">
        <f>_xlfn.IFNA(VLOOKUP($BK541,Programma!$F$3:$Q$1101,12,0),"")</f>
        <v/>
      </c>
      <c r="BW541" s="448" t="str">
        <f>_xlfn.IFNA(VLOOKUP($BK541,Programma!$F$3:$R$1101,13,0),"")</f>
        <v/>
      </c>
      <c r="BX541" s="448" t="str">
        <f>_xlfn.IFNA(VLOOKUP($BK541,Programma!$F$3:$S$1101,14,0),"")</f>
        <v/>
      </c>
      <c r="BY541" s="448" t="str">
        <f>_xlfn.IFNA(VLOOKUP($BK541,Programma!$F$3:$T$1101,15,0),"")</f>
        <v/>
      </c>
      <c r="BZ541" s="448" t="str">
        <f>_xlfn.IFNA(VLOOKUP($BK541,Programma!$F$3:$U$1101,16,0),"")</f>
        <v/>
      </c>
      <c r="CA541" s="448" t="str">
        <f>_xlfn.IFNA(VLOOKUP($BK541,Programma!$F$3:$V$1101,17,0),"")</f>
        <v/>
      </c>
      <c r="CB541" s="448" t="str">
        <f>_xlfn.IFNA(VLOOKUP($BK541,Programma!$F$3:$W$1101,18,0),"")</f>
        <v/>
      </c>
      <c r="CC541" s="448" t="str">
        <f>_xlfn.IFNA(VLOOKUP($BK541,Programma!$F$3:$X$1101,19,0),"")</f>
        <v/>
      </c>
      <c r="CD541" s="448" t="str">
        <f>_xlfn.IFNA(VLOOKUP($BK541,Programma!$F$3:$Y$1101,20,0),"")</f>
        <v/>
      </c>
    </row>
    <row r="542" spans="1:82" ht="15" customHeight="1">
      <c r="A542" s="327">
        <v>19</v>
      </c>
      <c r="B542" s="435" t="str">
        <f>VLOOKUP(Ruimtestaat[[#This Row],[Code]],Locaties[[Code]:[Locatie]],2,FALSE)</f>
        <v>IKC de Leerplaneet (vhKlimboom)</v>
      </c>
      <c r="C542" s="435" t="str">
        <f>VLOOKUP(Ruimtestaat[[#This Row],[Code]],Locaties[[#All],[Code]:[Adres]],4,FALSE)</f>
        <v>Nesciohove 105-107</v>
      </c>
      <c r="D542" s="435" t="str">
        <f>VLOOKUP(Ruimtestaat[[#This Row],[Code]],Locaties[[#All],[Code]:[Postcode]],5,FALSE)</f>
        <v>2726 BL</v>
      </c>
      <c r="E542" s="435" t="str">
        <f>VLOOKUP(Ruimtestaat[[#This Row],[Code]],Locaties[#All],6,FALSE)</f>
        <v>Zoetermeer</v>
      </c>
      <c r="F542" s="450"/>
      <c r="G542" s="330" t="s">
        <v>1678</v>
      </c>
      <c r="H542" s="330" t="s">
        <v>1921</v>
      </c>
      <c r="I542" s="450" t="s">
        <v>1724</v>
      </c>
      <c r="J542" s="330">
        <v>20</v>
      </c>
      <c r="K542" s="450" t="str">
        <f>VLOOKUP(Ruimtestaat[[#This Row],[Ruimte code]],Ruimtegroepen[[#All],[Code]:[Ruimte omschrijving]],2,FALSE)</f>
        <v>Niet in Onderhoud</v>
      </c>
      <c r="L542" s="330" t="s">
        <v>101</v>
      </c>
      <c r="M542" s="437" t="s">
        <v>1816</v>
      </c>
      <c r="N542" s="439"/>
      <c r="O542" s="439">
        <v>0</v>
      </c>
      <c r="P542" s="439"/>
      <c r="Q542" s="439"/>
      <c r="R542" s="440">
        <f>VLOOKUP(Ruimtestaat[[#This Row],[Ruimte code]],Ruimtegroepen[],4,FALSE)</f>
        <v>0</v>
      </c>
      <c r="S542" s="434"/>
      <c r="T542" s="434"/>
      <c r="U542" s="453">
        <f>IF(S542&gt;0,IF(RIGHT(Ruimtestaat[[#This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42" s="434">
        <f>IF(U542&gt;0,VLOOKUP($J542,Ruimtegroepen[],3,FALSE)*VLOOKUP($L542,Vloersoorten[],3,FALSE)*VLOOKUP($T542,Frequenties[],3,FALSE)*VLOOKUP($A542,Locaties[],3,FALSE),0)</f>
        <v>0</v>
      </c>
      <c r="W542" s="434">
        <f>Ruimtestaat[[#This Row],[Uitvoeringen werkdagen]]*Ruimtestaat[[#This Row],[Oppervlak (netto)]]</f>
        <v>0</v>
      </c>
      <c r="X542" s="441">
        <f>IF(V542&gt;0,Ruimtestaat[[#This Row],[Prest. (m2 /jaar) werkdagen]]/Ruimtestaat[[#This Row],[Norm (m2/uur) werkdagen]],0)</f>
        <v>0</v>
      </c>
      <c r="Y542" s="442">
        <f>Ruimtestaat[[#This Row],[Uitvoeringen werkdagen]]*Ruimtestaat[[#This Row],[Gedeeltelijk]]</f>
        <v>0</v>
      </c>
      <c r="Z542" s="443">
        <f>IF(U542&gt;0,Ruimtestaat[[#This Row],[Prest. (m2 / jaar) werkdagen gedeeld]]/Ruimtestaat[[#This Row],[Norm (m2/uur) werkdagen]],0)</f>
        <v>0</v>
      </c>
      <c r="AA542" s="441">
        <f>Ruimtestaat[[#This Row],[uren / jaar werkdagen gedeeld]]*Tariefsopbouw!$E$35</f>
        <v>0</v>
      </c>
      <c r="AB542" s="441">
        <f>Ruimtestaat[[#This Row],[Uitvoeringen werkdagen]]*Ruimtestaat[[#This Row],[BSO]]</f>
        <v>0</v>
      </c>
      <c r="AC542" s="443">
        <f>IF(U542&gt;0,Ruimtestaat[[#This Row],[Prest. (m2 / jaar) werkdagen BSO]]/Ruimtestaat[[#This Row],[Norm (m2/uur) werkdagen]],0)</f>
        <v>0</v>
      </c>
      <c r="AD542" s="443">
        <f>Ruimtestaat[[#This Row],[uren / jaar werkdagen BSO]]*Tariefsopbouw!$E$35</f>
        <v>0</v>
      </c>
      <c r="AE542" s="444">
        <f>Ruimtestaat[[#This Row],[uren / jaar werkdagen]]*Tariefsopbouw!$E$35</f>
        <v>0</v>
      </c>
      <c r="AF542" s="454"/>
      <c r="AG542" s="455">
        <f>IF(Ruimtestaat[[#This Row],[Frequentie weekend]]&gt;0,VALUE(LEFT(AF542,1))*S542,0)</f>
        <v>0</v>
      </c>
      <c r="AH542" s="455">
        <f>IF($AG542&gt;0,VLOOKUP($J542,Ruimtegroepen[],3,FALSE)*VLOOKUP($L542,Vloersoorten[],3,FALSE)*VLOOKUP($AF542,Frequenties[],3,FALSE)*VLOOKUP(#REF!,Locaties[],3,FALSE),0)</f>
        <v>0</v>
      </c>
      <c r="AI542" s="434">
        <f>Ruimtestaat[[#This Row],[Uitvoeringen weekend]]*Ruimtestaat[[#This Row],[Oppervlak (netto)]]</f>
        <v>0</v>
      </c>
      <c r="AJ542" s="434">
        <f>IF(AH542&gt;0,Ruimtestaat[[#This Row],[Prest. (m2 /jaar) weekend]]/Ruimtestaat[[#This Row],[Norm (m2/uur) weekend]],0)</f>
        <v>0</v>
      </c>
      <c r="AK542" s="444">
        <f>Ruimtestaat[[#This Row],[uren / jaar weekend]]*Tariefsopbouw!$D$40</f>
        <v>0</v>
      </c>
      <c r="AL542" s="441">
        <f>Ruimtestaat[[#This Row],[Prest. (m2 /jaar) weekend]]+Ruimtestaat[[#This Row],[Prest. (m2 /jaar) werkdagen]]</f>
        <v>0</v>
      </c>
      <c r="AM542" s="441">
        <f>Ruimtestaat[[#This Row],[uren / jaar weekend]]+Ruimtestaat[[#This Row],[uren / jaar werkdagen]]</f>
        <v>0</v>
      </c>
      <c r="AN542" s="446">
        <f>Ruimtestaat[[#This Row],[kosten / jaar weekend]]+Ruimtestaat[[#This Row],[kosten / jaar werkdagen]]</f>
        <v>0</v>
      </c>
      <c r="AO542" s="446"/>
      <c r="AP542" s="446" t="str">
        <f>IF(Ruimtestaat[[#This Row],[Frequentie werkdagen]]="","",_xlfn.CONCAT(Ruimtestaat[[#This Row],[Ruimte code]],"-",Ruimtestaat[[#This Row],[Frequentie werkdagen]]," ",Ruimtestaat[[#This Row],[Vloer code]]))</f>
        <v/>
      </c>
      <c r="AQ542" s="448" t="str">
        <f>_xlfn.IFNA(VLOOKUP($AP542,Programma!$F$3:$G$1101,2,0),"")</f>
        <v/>
      </c>
      <c r="AR542" s="448" t="str">
        <f>_xlfn.IFNA(VLOOKUP($AP542,Programma!$F$3:$H$1101,3,0),"")</f>
        <v/>
      </c>
      <c r="AS542" s="448" t="str">
        <f>_xlfn.IFNA(VLOOKUP($AP542,Programma!$F$3:$I$1101,4,0),"")</f>
        <v/>
      </c>
      <c r="AT542" s="448" t="str">
        <f>_xlfn.IFNA(VLOOKUP($AP542,Programma!$F$3:$J$1101,5,0),"")</f>
        <v/>
      </c>
      <c r="AU542" s="448" t="str">
        <f>_xlfn.IFNA(VLOOKUP($AP542,Programma!$F$3:$K$1101,6,0),"")</f>
        <v/>
      </c>
      <c r="AV542" s="448" t="str">
        <f>_xlfn.IFNA(VLOOKUP($AP542,Programma!$F$3:$L$1101,7,0),"")</f>
        <v/>
      </c>
      <c r="AW542" s="448" t="str">
        <f>_xlfn.IFNA(VLOOKUP($AP542,Programma!$F$3:$M$1101,8,0),"")</f>
        <v/>
      </c>
      <c r="AX542" s="448" t="str">
        <f>_xlfn.IFNA(VLOOKUP($AP542,Programma!$F$3:$N$1101,9,0),"")</f>
        <v/>
      </c>
      <c r="AY542" s="448" t="str">
        <f>_xlfn.IFNA(VLOOKUP($AP542,Programma!$F$3:$O$1101,10,0),"")</f>
        <v/>
      </c>
      <c r="AZ542" s="448" t="str">
        <f>_xlfn.IFNA(VLOOKUP($AP542,Programma!$F$3:$P$1101,11,0),"")</f>
        <v/>
      </c>
      <c r="BA542" s="448" t="str">
        <f>_xlfn.IFNA(VLOOKUP($AP542,Programma!$F$3:$Q$1101,12,0),"")</f>
        <v/>
      </c>
      <c r="BB542" s="448" t="str">
        <f>_xlfn.IFNA(VLOOKUP($AP542,Programma!$F$3:$R$1101,13,0),"")</f>
        <v/>
      </c>
      <c r="BC542" s="448" t="str">
        <f>_xlfn.IFNA(VLOOKUP($AP542,Programma!$F$3:$S$1101,14,0),"")</f>
        <v/>
      </c>
      <c r="BD542" s="448" t="str">
        <f>_xlfn.IFNA(VLOOKUP($AP542,Programma!$F$3:$T$1101,15,0),"")</f>
        <v/>
      </c>
      <c r="BE542" s="448" t="str">
        <f>_xlfn.IFNA(VLOOKUP($AP542,Programma!$F$3:$U$1101,16,0),"")</f>
        <v/>
      </c>
      <c r="BF542" s="448" t="str">
        <f>_xlfn.IFNA(VLOOKUP($AP542,Programma!$F$3:$V$1101,17,0),"")</f>
        <v/>
      </c>
      <c r="BG542" s="448" t="str">
        <f>_xlfn.IFNA(VLOOKUP($AP542,Programma!$F$3:$W$1101,18,0),"")</f>
        <v/>
      </c>
      <c r="BH542" s="448" t="str">
        <f>_xlfn.IFNA(VLOOKUP($AP542,Programma!$F$3:$X$1101,19,0),"")</f>
        <v/>
      </c>
      <c r="BI542" s="448" t="str">
        <f>_xlfn.IFNA(VLOOKUP($AP542,Programma!$F$3:$Y$1101,20,0),"")</f>
        <v/>
      </c>
      <c r="BJ542" s="449"/>
      <c r="BK542" s="446" t="str">
        <f>IF(Ruimtestaat[[#This Row],[Frequentie weekend]]="","",_xlfn.CONCAT(Ruimtestaat[[#This Row],[Ruimte code]],"-",Ruimtestaat[[#This Row],[Frequentie weekend]]," ",Ruimtestaat[[#This Row],[Vloer code]]))</f>
        <v/>
      </c>
      <c r="BL542" s="448" t="str">
        <f>_xlfn.IFNA(VLOOKUP($BK542,Programma!$F$3:$G$1101,2,0),"")</f>
        <v/>
      </c>
      <c r="BM542" s="448" t="str">
        <f>_xlfn.IFNA(VLOOKUP($BK542,Programma!$F$3:$H$1101,3,0),"")</f>
        <v/>
      </c>
      <c r="BN542" s="448" t="str">
        <f>_xlfn.IFNA(VLOOKUP($BK542,Programma!$F$3:$I$1101,4,0),"")</f>
        <v/>
      </c>
      <c r="BO542" s="448" t="str">
        <f>_xlfn.IFNA(VLOOKUP($BK542,Programma!$F$3:$J$1101,5,0),"")</f>
        <v/>
      </c>
      <c r="BP542" s="448" t="str">
        <f>_xlfn.IFNA(VLOOKUP($BK542,Programma!$F$3:$K$1101,6,0),"")</f>
        <v/>
      </c>
      <c r="BQ542" s="448" t="str">
        <f>_xlfn.IFNA(VLOOKUP($BK542,Programma!$F$3:$L$1101,7,0),"")</f>
        <v/>
      </c>
      <c r="BR542" s="448" t="str">
        <f>_xlfn.IFNA(VLOOKUP($BK542,Programma!$F$3:$M$1101,8,0),"")</f>
        <v/>
      </c>
      <c r="BS542" s="448" t="str">
        <f>_xlfn.IFNA(VLOOKUP($BK542,Programma!$F$3:$N$1101,9,0),"")</f>
        <v/>
      </c>
      <c r="BT542" s="448" t="str">
        <f>_xlfn.IFNA(VLOOKUP($BK542,Programma!$F$3:$O$1101,10,0),"")</f>
        <v/>
      </c>
      <c r="BU542" s="448" t="str">
        <f>_xlfn.IFNA(VLOOKUP($BK542,Programma!$F$3:$P$1101,11,0),"")</f>
        <v/>
      </c>
      <c r="BV542" s="448" t="str">
        <f>_xlfn.IFNA(VLOOKUP($BK542,Programma!$F$3:$Q$1101,12,0),"")</f>
        <v/>
      </c>
      <c r="BW542" s="448" t="str">
        <f>_xlfn.IFNA(VLOOKUP($BK542,Programma!$F$3:$R$1101,13,0),"")</f>
        <v/>
      </c>
      <c r="BX542" s="448" t="str">
        <f>_xlfn.IFNA(VLOOKUP($BK542,Programma!$F$3:$S$1101,14,0),"")</f>
        <v/>
      </c>
      <c r="BY542" s="448" t="str">
        <f>_xlfn.IFNA(VLOOKUP($BK542,Programma!$F$3:$T$1101,15,0),"")</f>
        <v/>
      </c>
      <c r="BZ542" s="448" t="str">
        <f>_xlfn.IFNA(VLOOKUP($BK542,Programma!$F$3:$U$1101,16,0),"")</f>
        <v/>
      </c>
      <c r="CA542" s="448" t="str">
        <f>_xlfn.IFNA(VLOOKUP($BK542,Programma!$F$3:$V$1101,17,0),"")</f>
        <v/>
      </c>
      <c r="CB542" s="448" t="str">
        <f>_xlfn.IFNA(VLOOKUP($BK542,Programma!$F$3:$W$1101,18,0),"")</f>
        <v/>
      </c>
      <c r="CC542" s="448" t="str">
        <f>_xlfn.IFNA(VLOOKUP($BK542,Programma!$F$3:$X$1101,19,0),"")</f>
        <v/>
      </c>
      <c r="CD542" s="448" t="str">
        <f>_xlfn.IFNA(VLOOKUP($BK542,Programma!$F$3:$Y$1101,20,0),"")</f>
        <v/>
      </c>
    </row>
    <row r="543" spans="1:82" ht="15" customHeight="1">
      <c r="A543" s="327">
        <v>19</v>
      </c>
      <c r="B543" s="435" t="str">
        <f>VLOOKUP(Ruimtestaat[[#This Row],[Code]],Locaties[[Code]:[Locatie]],2,FALSE)</f>
        <v>IKC de Leerplaneet (vhKlimboom)</v>
      </c>
      <c r="C543" s="435" t="str">
        <f>VLOOKUP(Ruimtestaat[[#This Row],[Code]],Locaties[[#All],[Code]:[Adres]],4,FALSE)</f>
        <v>Nesciohove 105-107</v>
      </c>
      <c r="D543" s="435" t="str">
        <f>VLOOKUP(Ruimtestaat[[#This Row],[Code]],Locaties[[#All],[Code]:[Postcode]],5,FALSE)</f>
        <v>2726 BL</v>
      </c>
      <c r="E543" s="435" t="str">
        <f>VLOOKUP(Ruimtestaat[[#This Row],[Code]],Locaties[#All],6,FALSE)</f>
        <v>Zoetermeer</v>
      </c>
      <c r="F543" s="450"/>
      <c r="G543" s="330" t="s">
        <v>1678</v>
      </c>
      <c r="H543" s="330" t="s">
        <v>1922</v>
      </c>
      <c r="I543" s="450" t="s">
        <v>1842</v>
      </c>
      <c r="J543" s="330">
        <v>16</v>
      </c>
      <c r="K543" s="450" t="str">
        <f>VLOOKUP(Ruimtestaat[[#This Row],[Ruimte code]],Ruimtegroepen[[#All],[Code]:[Ruimte omschrijving]],2,FALSE)</f>
        <v>Leslokalen</v>
      </c>
      <c r="L543" s="330" t="s">
        <v>101</v>
      </c>
      <c r="M543" s="437" t="s">
        <v>1816</v>
      </c>
      <c r="N543" s="439">
        <v>56.1</v>
      </c>
      <c r="O543" s="439"/>
      <c r="P543" s="439"/>
      <c r="Q543" s="439"/>
      <c r="R543" s="440" t="str">
        <f>VLOOKUP(Ruimtestaat[[#This Row],[Ruimte code]],Ruimtegroepen[],4,FALSE)</f>
        <v>Le</v>
      </c>
      <c r="S543" s="434">
        <v>40</v>
      </c>
      <c r="T543" s="434" t="s">
        <v>2</v>
      </c>
      <c r="U543" s="453">
        <f>IF(S543&gt;0,IF(RIGHT(Ruimtestaat[[#This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3" s="434">
        <f>IF(U543&gt;0,VLOOKUP($J543,Ruimtegroepen[],3,FALSE)*VLOOKUP($L543,Vloersoorten[],3,FALSE)*VLOOKUP($T543,Frequenties[],3,FALSE)*VLOOKUP($A543,Locaties[],3,FALSE),0)</f>
        <v>0</v>
      </c>
      <c r="W543" s="434">
        <f>Ruimtestaat[[#This Row],[Uitvoeringen werkdagen]]*Ruimtestaat[[#This Row],[Oppervlak (netto)]]</f>
        <v>11220</v>
      </c>
      <c r="X543" s="441">
        <f>IF(V543&gt;0,Ruimtestaat[[#This Row],[Prest. (m2 /jaar) werkdagen]]/Ruimtestaat[[#This Row],[Norm (m2/uur) werkdagen]],0)</f>
        <v>0</v>
      </c>
      <c r="Y543" s="442">
        <f>Ruimtestaat[[#This Row],[Uitvoeringen werkdagen]]*Ruimtestaat[[#This Row],[Gedeeltelijk]]</f>
        <v>0</v>
      </c>
      <c r="Z543" s="443" t="e">
        <f>IF(U543&gt;0,Ruimtestaat[[#This Row],[Prest. (m2 / jaar) werkdagen gedeeld]]/Ruimtestaat[[#This Row],[Norm (m2/uur) werkdagen]],0)</f>
        <v>#DIV/0!</v>
      </c>
      <c r="AA543" s="441" t="e">
        <f>Ruimtestaat[[#This Row],[uren / jaar werkdagen gedeeld]]*Tariefsopbouw!$E$35</f>
        <v>#DIV/0!</v>
      </c>
      <c r="AB543" s="441">
        <f>Ruimtestaat[[#This Row],[Uitvoeringen werkdagen]]*Ruimtestaat[[#This Row],[BSO]]</f>
        <v>0</v>
      </c>
      <c r="AC543" s="443" t="e">
        <f>IF(U543&gt;0,Ruimtestaat[[#This Row],[Prest. (m2 / jaar) werkdagen BSO]]/Ruimtestaat[[#This Row],[Norm (m2/uur) werkdagen]],0)</f>
        <v>#DIV/0!</v>
      </c>
      <c r="AD543" s="443" t="e">
        <f>Ruimtestaat[[#This Row],[uren / jaar werkdagen BSO]]*Tariefsopbouw!$E$35</f>
        <v>#DIV/0!</v>
      </c>
      <c r="AE543" s="444">
        <f>Ruimtestaat[[#This Row],[uren / jaar werkdagen]]*Tariefsopbouw!$E$35</f>
        <v>0</v>
      </c>
      <c r="AF543" s="454"/>
      <c r="AG543" s="455">
        <f>IF(Ruimtestaat[[#This Row],[Frequentie weekend]]&gt;0,VALUE(LEFT(AF543,1))*S543,0)</f>
        <v>0</v>
      </c>
      <c r="AH543" s="455">
        <f>IF($AG543&gt;0,VLOOKUP($J543,Ruimtegroepen[],3,FALSE)*VLOOKUP($L543,Vloersoorten[],3,FALSE)*VLOOKUP($AF543,Frequenties[],3,FALSE)*VLOOKUP(#REF!,Locaties[],3,FALSE),0)</f>
        <v>0</v>
      </c>
      <c r="AI543" s="434">
        <f>Ruimtestaat[[#This Row],[Uitvoeringen weekend]]*Ruimtestaat[[#This Row],[Oppervlak (netto)]]</f>
        <v>0</v>
      </c>
      <c r="AJ543" s="434">
        <f>IF(AH543&gt;0,Ruimtestaat[[#This Row],[Prest. (m2 /jaar) weekend]]/Ruimtestaat[[#This Row],[Norm (m2/uur) weekend]],0)</f>
        <v>0</v>
      </c>
      <c r="AK543" s="444">
        <f>Ruimtestaat[[#This Row],[uren / jaar weekend]]*Tariefsopbouw!$D$40</f>
        <v>0</v>
      </c>
      <c r="AL543" s="441">
        <f>Ruimtestaat[[#This Row],[Prest. (m2 /jaar) weekend]]+Ruimtestaat[[#This Row],[Prest. (m2 /jaar) werkdagen]]</f>
        <v>11220</v>
      </c>
      <c r="AM543" s="441">
        <f>Ruimtestaat[[#This Row],[uren / jaar weekend]]+Ruimtestaat[[#This Row],[uren / jaar werkdagen]]</f>
        <v>0</v>
      </c>
      <c r="AN543" s="446">
        <f>Ruimtestaat[[#This Row],[kosten / jaar weekend]]+Ruimtestaat[[#This Row],[kosten / jaar werkdagen]]</f>
        <v>0</v>
      </c>
      <c r="AO543" s="446"/>
      <c r="AP543" s="446" t="str">
        <f>IF(Ruimtestaat[[#This Row],[Frequentie werkdagen]]="","",_xlfn.CONCAT(Ruimtestaat[[#This Row],[Ruimte code]],"-",Ruimtestaat[[#This Row],[Frequentie werkdagen]]," ",Ruimtestaat[[#This Row],[Vloer code]]))</f>
        <v>16-5w S</v>
      </c>
      <c r="AQ543" s="448" t="str">
        <f>_xlfn.IFNA(VLOOKUP($AP543,Programma!$F$3:$G$1101,2,0),"")</f>
        <v>_</v>
      </c>
      <c r="AR543" s="448" t="str">
        <f>_xlfn.IFNA(VLOOKUP($AP543,Programma!$F$3:$H$1101,3,0),"")</f>
        <v>_</v>
      </c>
      <c r="AS543" s="448" t="str">
        <f>_xlfn.IFNA(VLOOKUP($AP543,Programma!$F$3:$I$1101,4,0),"")</f>
        <v>4w</v>
      </c>
      <c r="AT543" s="448" t="str">
        <f>_xlfn.IFNA(VLOOKUP($AP543,Programma!$F$3:$J$1101,5,0),"")</f>
        <v>1w</v>
      </c>
      <c r="AU543" s="448" t="str">
        <f>_xlfn.IFNA(VLOOKUP($AP543,Programma!$F$3:$K$1101,6,0),"")</f>
        <v>1m</v>
      </c>
      <c r="AV543" s="448" t="str">
        <f>_xlfn.IFNA(VLOOKUP($AP543,Programma!$F$3:$L$1101,7,0),"")</f>
        <v>_</v>
      </c>
      <c r="AW543" s="448" t="str">
        <f>_xlfn.IFNA(VLOOKUP($AP543,Programma!$F$3:$M$1101,8,0),"")</f>
        <v>_</v>
      </c>
      <c r="AX543" s="448" t="str">
        <f>_xlfn.IFNA(VLOOKUP($AP543,Programma!$F$3:$N$1101,9,0),"")</f>
        <v>_</v>
      </c>
      <c r="AY543" s="448" t="str">
        <f>_xlfn.IFNA(VLOOKUP($AP543,Programma!$F$3:$O$1101,10,0),"")</f>
        <v>5w</v>
      </c>
      <c r="AZ543" s="448" t="str">
        <f>_xlfn.IFNA(VLOOKUP($AP543,Programma!$F$3:$P$1101,11,0),"")</f>
        <v>5w</v>
      </c>
      <c r="BA543" s="448" t="str">
        <f>_xlfn.IFNA(VLOOKUP($AP543,Programma!$F$3:$Q$1101,12,0),"")</f>
        <v>1w</v>
      </c>
      <c r="BB543" s="448" t="str">
        <f>_xlfn.IFNA(VLOOKUP($AP543,Programma!$F$3:$R$1101,13,0),"")</f>
        <v>1w</v>
      </c>
      <c r="BC543" s="448" t="str">
        <f>_xlfn.IFNA(VLOOKUP($AP543,Programma!$F$3:$S$1101,14,0),"")</f>
        <v>1m</v>
      </c>
      <c r="BD543" s="448" t="str">
        <f>_xlfn.IFNA(VLOOKUP($AP543,Programma!$F$3:$T$1101,15,0),"")</f>
        <v>2j</v>
      </c>
      <c r="BE543" s="448" t="str">
        <f>_xlfn.IFNA(VLOOKUP($AP543,Programma!$F$3:$U$1101,16,0),"")</f>
        <v>1j</v>
      </c>
      <c r="BF543" s="448" t="str">
        <f>_xlfn.IFNA(VLOOKUP($AP543,Programma!$F$3:$V$1101,17,0),"")</f>
        <v>_</v>
      </c>
      <c r="BG543" s="448" t="str">
        <f>_xlfn.IFNA(VLOOKUP($AP543,Programma!$F$3:$W$1101,18,0),"")</f>
        <v>_</v>
      </c>
      <c r="BH543" s="448" t="str">
        <f>_xlfn.IFNA(VLOOKUP($AP543,Programma!$F$3:$X$1101,19,0),"")</f>
        <v>_</v>
      </c>
      <c r="BI543" s="448" t="str">
        <f>_xlfn.IFNA(VLOOKUP($AP543,Programma!$F$3:$Y$1101,20,0),"")</f>
        <v>_</v>
      </c>
      <c r="BJ543" s="449"/>
      <c r="BK543" s="446" t="str">
        <f>IF(Ruimtestaat[[#This Row],[Frequentie weekend]]="","",_xlfn.CONCAT(Ruimtestaat[[#This Row],[Ruimte code]],"-",Ruimtestaat[[#This Row],[Frequentie weekend]]," ",Ruimtestaat[[#This Row],[Vloer code]]))</f>
        <v/>
      </c>
      <c r="BL543" s="448" t="str">
        <f>_xlfn.IFNA(VLOOKUP($BK543,Programma!$F$3:$G$1101,2,0),"")</f>
        <v/>
      </c>
      <c r="BM543" s="448" t="str">
        <f>_xlfn.IFNA(VLOOKUP($BK543,Programma!$F$3:$H$1101,3,0),"")</f>
        <v/>
      </c>
      <c r="BN543" s="448" t="str">
        <f>_xlfn.IFNA(VLOOKUP($BK543,Programma!$F$3:$I$1101,4,0),"")</f>
        <v/>
      </c>
      <c r="BO543" s="448" t="str">
        <f>_xlfn.IFNA(VLOOKUP($BK543,Programma!$F$3:$J$1101,5,0),"")</f>
        <v/>
      </c>
      <c r="BP543" s="448" t="str">
        <f>_xlfn.IFNA(VLOOKUP($BK543,Programma!$F$3:$K$1101,6,0),"")</f>
        <v/>
      </c>
      <c r="BQ543" s="448" t="str">
        <f>_xlfn.IFNA(VLOOKUP($BK543,Programma!$F$3:$L$1101,7,0),"")</f>
        <v/>
      </c>
      <c r="BR543" s="448" t="str">
        <f>_xlfn.IFNA(VLOOKUP($BK543,Programma!$F$3:$M$1101,8,0),"")</f>
        <v/>
      </c>
      <c r="BS543" s="448" t="str">
        <f>_xlfn.IFNA(VLOOKUP($BK543,Programma!$F$3:$N$1101,9,0),"")</f>
        <v/>
      </c>
      <c r="BT543" s="448" t="str">
        <f>_xlfn.IFNA(VLOOKUP($BK543,Programma!$F$3:$O$1101,10,0),"")</f>
        <v/>
      </c>
      <c r="BU543" s="448" t="str">
        <f>_xlfn.IFNA(VLOOKUP($BK543,Programma!$F$3:$P$1101,11,0),"")</f>
        <v/>
      </c>
      <c r="BV543" s="448" t="str">
        <f>_xlfn.IFNA(VLOOKUP($BK543,Programma!$F$3:$Q$1101,12,0),"")</f>
        <v/>
      </c>
      <c r="BW543" s="448" t="str">
        <f>_xlfn.IFNA(VLOOKUP($BK543,Programma!$F$3:$R$1101,13,0),"")</f>
        <v/>
      </c>
      <c r="BX543" s="448" t="str">
        <f>_xlfn.IFNA(VLOOKUP($BK543,Programma!$F$3:$S$1101,14,0),"")</f>
        <v/>
      </c>
      <c r="BY543" s="448" t="str">
        <f>_xlfn.IFNA(VLOOKUP($BK543,Programma!$F$3:$T$1101,15,0),"")</f>
        <v/>
      </c>
      <c r="BZ543" s="448" t="str">
        <f>_xlfn.IFNA(VLOOKUP($BK543,Programma!$F$3:$U$1101,16,0),"")</f>
        <v/>
      </c>
      <c r="CA543" s="448" t="str">
        <f>_xlfn.IFNA(VLOOKUP($BK543,Programma!$F$3:$V$1101,17,0),"")</f>
        <v/>
      </c>
      <c r="CB543" s="448" t="str">
        <f>_xlfn.IFNA(VLOOKUP($BK543,Programma!$F$3:$W$1101,18,0),"")</f>
        <v/>
      </c>
      <c r="CC543" s="448" t="str">
        <f>_xlfn.IFNA(VLOOKUP($BK543,Programma!$F$3:$X$1101,19,0),"")</f>
        <v/>
      </c>
      <c r="CD543" s="448" t="str">
        <f>_xlfn.IFNA(VLOOKUP($BK543,Programma!$F$3:$Y$1101,20,0),"")</f>
        <v/>
      </c>
    </row>
    <row r="544" spans="1:82" ht="15" customHeight="1">
      <c r="A544" s="327">
        <v>19</v>
      </c>
      <c r="B544" s="435" t="str">
        <f>VLOOKUP(Ruimtestaat[[#This Row],[Code]],Locaties[[Code]:[Locatie]],2,FALSE)</f>
        <v>IKC de Leerplaneet (vhKlimboom)</v>
      </c>
      <c r="C544" s="435" t="str">
        <f>VLOOKUP(Ruimtestaat[[#This Row],[Code]],Locaties[[#All],[Code]:[Adres]],4,FALSE)</f>
        <v>Nesciohove 105-107</v>
      </c>
      <c r="D544" s="435" t="str">
        <f>VLOOKUP(Ruimtestaat[[#This Row],[Code]],Locaties[[#All],[Code]:[Postcode]],5,FALSE)</f>
        <v>2726 BL</v>
      </c>
      <c r="E544" s="435" t="str">
        <f>VLOOKUP(Ruimtestaat[[#This Row],[Code]],Locaties[#All],6,FALSE)</f>
        <v>Zoetermeer</v>
      </c>
      <c r="F544" s="450"/>
      <c r="G544" s="330" t="s">
        <v>1678</v>
      </c>
      <c r="H544" s="330" t="s">
        <v>1922</v>
      </c>
      <c r="I544" s="450" t="s">
        <v>1901</v>
      </c>
      <c r="J544" s="330">
        <v>11</v>
      </c>
      <c r="K544" s="450" t="str">
        <f>VLOOKUP(Ruimtestaat[[#This Row],[Ruimte code]],Ruimtegroepen[[#All],[Code]:[Ruimte omschrijving]],2,FALSE)</f>
        <v>Garderobes</v>
      </c>
      <c r="L544" s="330" t="s">
        <v>101</v>
      </c>
      <c r="M544" s="437" t="s">
        <v>1816</v>
      </c>
      <c r="N544" s="439">
        <v>3</v>
      </c>
      <c r="O544" s="439"/>
      <c r="P544" s="439"/>
      <c r="Q544" s="439"/>
      <c r="R544" s="440" t="str">
        <f>VLOOKUP(Ruimtestaat[[#This Row],[Ruimte code]],Ruimtegroepen[],4,FALSE)</f>
        <v>Ve</v>
      </c>
      <c r="S544" s="434">
        <v>40</v>
      </c>
      <c r="T544" s="434" t="s">
        <v>2</v>
      </c>
      <c r="U544" s="453">
        <f>IF(S544&gt;0,IF(RIGHT(Ruimtestaat[[#This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4" s="434">
        <f>IF(U544&gt;0,VLOOKUP($J544,Ruimtegroepen[],3,FALSE)*VLOOKUP($L544,Vloersoorten[],3,FALSE)*VLOOKUP($T544,Frequenties[],3,FALSE)*VLOOKUP($A544,Locaties[],3,FALSE),0)</f>
        <v>0</v>
      </c>
      <c r="W544" s="434">
        <f>Ruimtestaat[[#This Row],[Uitvoeringen werkdagen]]*Ruimtestaat[[#This Row],[Oppervlak (netto)]]</f>
        <v>600</v>
      </c>
      <c r="X544" s="441">
        <f>IF(V544&gt;0,Ruimtestaat[[#This Row],[Prest. (m2 /jaar) werkdagen]]/Ruimtestaat[[#This Row],[Norm (m2/uur) werkdagen]],0)</f>
        <v>0</v>
      </c>
      <c r="Y544" s="442">
        <f>Ruimtestaat[[#This Row],[Uitvoeringen werkdagen]]*Ruimtestaat[[#This Row],[Gedeeltelijk]]</f>
        <v>0</v>
      </c>
      <c r="Z544" s="443" t="e">
        <f>IF(U544&gt;0,Ruimtestaat[[#This Row],[Prest. (m2 / jaar) werkdagen gedeeld]]/Ruimtestaat[[#This Row],[Norm (m2/uur) werkdagen]],0)</f>
        <v>#DIV/0!</v>
      </c>
      <c r="AA544" s="441" t="e">
        <f>Ruimtestaat[[#This Row],[uren / jaar werkdagen gedeeld]]*Tariefsopbouw!$E$35</f>
        <v>#DIV/0!</v>
      </c>
      <c r="AB544" s="441">
        <f>Ruimtestaat[[#This Row],[Uitvoeringen werkdagen]]*Ruimtestaat[[#This Row],[BSO]]</f>
        <v>0</v>
      </c>
      <c r="AC544" s="443" t="e">
        <f>IF(U544&gt;0,Ruimtestaat[[#This Row],[Prest. (m2 / jaar) werkdagen BSO]]/Ruimtestaat[[#This Row],[Norm (m2/uur) werkdagen]],0)</f>
        <v>#DIV/0!</v>
      </c>
      <c r="AD544" s="443" t="e">
        <f>Ruimtestaat[[#This Row],[uren / jaar werkdagen BSO]]*Tariefsopbouw!$E$35</f>
        <v>#DIV/0!</v>
      </c>
      <c r="AE544" s="444">
        <f>Ruimtestaat[[#This Row],[uren / jaar werkdagen]]*Tariefsopbouw!$E$35</f>
        <v>0</v>
      </c>
      <c r="AF544" s="454"/>
      <c r="AG544" s="455">
        <f>IF(Ruimtestaat[[#This Row],[Frequentie weekend]]&gt;0,VALUE(LEFT(AF544,1))*S544,0)</f>
        <v>0</v>
      </c>
      <c r="AH544" s="455">
        <f>IF($AG544&gt;0,VLOOKUP($J544,Ruimtegroepen[],3,FALSE)*VLOOKUP($L544,Vloersoorten[],3,FALSE)*VLOOKUP($AF544,Frequenties[],3,FALSE)*VLOOKUP(#REF!,Locaties[],3,FALSE),0)</f>
        <v>0</v>
      </c>
      <c r="AI544" s="434">
        <f>Ruimtestaat[[#This Row],[Uitvoeringen weekend]]*Ruimtestaat[[#This Row],[Oppervlak (netto)]]</f>
        <v>0</v>
      </c>
      <c r="AJ544" s="434">
        <f>IF(AH544&gt;0,Ruimtestaat[[#This Row],[Prest. (m2 /jaar) weekend]]/Ruimtestaat[[#This Row],[Norm (m2/uur) weekend]],0)</f>
        <v>0</v>
      </c>
      <c r="AK544" s="444">
        <f>Ruimtestaat[[#This Row],[uren / jaar weekend]]*Tariefsopbouw!$D$40</f>
        <v>0</v>
      </c>
      <c r="AL544" s="441">
        <f>Ruimtestaat[[#This Row],[Prest. (m2 /jaar) weekend]]+Ruimtestaat[[#This Row],[Prest. (m2 /jaar) werkdagen]]</f>
        <v>600</v>
      </c>
      <c r="AM544" s="441">
        <f>Ruimtestaat[[#This Row],[uren / jaar weekend]]+Ruimtestaat[[#This Row],[uren / jaar werkdagen]]</f>
        <v>0</v>
      </c>
      <c r="AN544" s="446">
        <f>Ruimtestaat[[#This Row],[kosten / jaar weekend]]+Ruimtestaat[[#This Row],[kosten / jaar werkdagen]]</f>
        <v>0</v>
      </c>
      <c r="AO544" s="446"/>
      <c r="AP544" s="446" t="str">
        <f>IF(Ruimtestaat[[#This Row],[Frequentie werkdagen]]="","",_xlfn.CONCAT(Ruimtestaat[[#This Row],[Ruimte code]],"-",Ruimtestaat[[#This Row],[Frequentie werkdagen]]," ",Ruimtestaat[[#This Row],[Vloer code]]))</f>
        <v>11-5w S</v>
      </c>
      <c r="AQ544" s="448" t="str">
        <f>_xlfn.IFNA(VLOOKUP($AP544,Programma!$F$3:$G$1101,2,0),"")</f>
        <v>_</v>
      </c>
      <c r="AR544" s="448" t="str">
        <f>_xlfn.IFNA(VLOOKUP($AP544,Programma!$F$3:$H$1101,3,0),"")</f>
        <v>_</v>
      </c>
      <c r="AS544" s="448" t="str">
        <f>_xlfn.IFNA(VLOOKUP($AP544,Programma!$F$3:$I$1101,4,0),"")</f>
        <v>4w</v>
      </c>
      <c r="AT544" s="448" t="str">
        <f>_xlfn.IFNA(VLOOKUP($AP544,Programma!$F$3:$J$1101,5,0),"")</f>
        <v>1w</v>
      </c>
      <c r="AU544" s="448" t="str">
        <f>_xlfn.IFNA(VLOOKUP($AP544,Programma!$F$3:$K$1101,6,0),"")</f>
        <v>4j</v>
      </c>
      <c r="AV544" s="448" t="str">
        <f>_xlfn.IFNA(VLOOKUP($AP544,Programma!$F$3:$L$1101,7,0),"")</f>
        <v>_</v>
      </c>
      <c r="AW544" s="448" t="str">
        <f>_xlfn.IFNA(VLOOKUP($AP544,Programma!$F$3:$M$1101,8,0),"")</f>
        <v>_</v>
      </c>
      <c r="AX544" s="448" t="str">
        <f>_xlfn.IFNA(VLOOKUP($AP544,Programma!$F$3:$N$1101,9,0),"")</f>
        <v>_</v>
      </c>
      <c r="AY544" s="448" t="str">
        <f>_xlfn.IFNA(VLOOKUP($AP544,Programma!$F$3:$O$1101,10,0),"")</f>
        <v>5w</v>
      </c>
      <c r="AZ544" s="448" t="str">
        <f>_xlfn.IFNA(VLOOKUP($AP544,Programma!$F$3:$P$1101,11,0),"")</f>
        <v>5w</v>
      </c>
      <c r="BA544" s="448" t="str">
        <f>_xlfn.IFNA(VLOOKUP($AP544,Programma!$F$3:$Q$1101,12,0),"")</f>
        <v>1w</v>
      </c>
      <c r="BB544" s="448" t="str">
        <f>_xlfn.IFNA(VLOOKUP($AP544,Programma!$F$3:$R$1101,13,0),"")</f>
        <v>1w</v>
      </c>
      <c r="BC544" s="448" t="str">
        <f>_xlfn.IFNA(VLOOKUP($AP544,Programma!$F$3:$S$1101,14,0),"")</f>
        <v>1m</v>
      </c>
      <c r="BD544" s="448" t="str">
        <f>_xlfn.IFNA(VLOOKUP($AP544,Programma!$F$3:$T$1101,15,0),"")</f>
        <v>2j</v>
      </c>
      <c r="BE544" s="448" t="str">
        <f>_xlfn.IFNA(VLOOKUP($AP544,Programma!$F$3:$U$1101,16,0),"")</f>
        <v>1j</v>
      </c>
      <c r="BF544" s="448" t="str">
        <f>_xlfn.IFNA(VLOOKUP($AP544,Programma!$F$3:$V$1101,17,0),"")</f>
        <v>_</v>
      </c>
      <c r="BG544" s="448" t="str">
        <f>_xlfn.IFNA(VLOOKUP($AP544,Programma!$F$3:$W$1101,18,0),"")</f>
        <v>_</v>
      </c>
      <c r="BH544" s="448" t="str">
        <f>_xlfn.IFNA(VLOOKUP($AP544,Programma!$F$3:$X$1101,19,0),"")</f>
        <v>_</v>
      </c>
      <c r="BI544" s="448" t="str">
        <f>_xlfn.IFNA(VLOOKUP($AP544,Programma!$F$3:$Y$1101,20,0),"")</f>
        <v>_</v>
      </c>
      <c r="BJ544" s="449"/>
      <c r="BK544" s="446" t="str">
        <f>IF(Ruimtestaat[[#This Row],[Frequentie weekend]]="","",_xlfn.CONCAT(Ruimtestaat[[#This Row],[Ruimte code]],"-",Ruimtestaat[[#This Row],[Frequentie weekend]]," ",Ruimtestaat[[#This Row],[Vloer code]]))</f>
        <v/>
      </c>
      <c r="BL544" s="448" t="str">
        <f>_xlfn.IFNA(VLOOKUP($BK544,Programma!$F$3:$G$1101,2,0),"")</f>
        <v/>
      </c>
      <c r="BM544" s="448" t="str">
        <f>_xlfn.IFNA(VLOOKUP($BK544,Programma!$F$3:$H$1101,3,0),"")</f>
        <v/>
      </c>
      <c r="BN544" s="448" t="str">
        <f>_xlfn.IFNA(VLOOKUP($BK544,Programma!$F$3:$I$1101,4,0),"")</f>
        <v/>
      </c>
      <c r="BO544" s="448" t="str">
        <f>_xlfn.IFNA(VLOOKUP($BK544,Programma!$F$3:$J$1101,5,0),"")</f>
        <v/>
      </c>
      <c r="BP544" s="448" t="str">
        <f>_xlfn.IFNA(VLOOKUP($BK544,Programma!$F$3:$K$1101,6,0),"")</f>
        <v/>
      </c>
      <c r="BQ544" s="448" t="str">
        <f>_xlfn.IFNA(VLOOKUP($BK544,Programma!$F$3:$L$1101,7,0),"")</f>
        <v/>
      </c>
      <c r="BR544" s="448" t="str">
        <f>_xlfn.IFNA(VLOOKUP($BK544,Programma!$F$3:$M$1101,8,0),"")</f>
        <v/>
      </c>
      <c r="BS544" s="448" t="str">
        <f>_xlfn.IFNA(VLOOKUP($BK544,Programma!$F$3:$N$1101,9,0),"")</f>
        <v/>
      </c>
      <c r="BT544" s="448" t="str">
        <f>_xlfn.IFNA(VLOOKUP($BK544,Programma!$F$3:$O$1101,10,0),"")</f>
        <v/>
      </c>
      <c r="BU544" s="448" t="str">
        <f>_xlfn.IFNA(VLOOKUP($BK544,Programma!$F$3:$P$1101,11,0),"")</f>
        <v/>
      </c>
      <c r="BV544" s="448" t="str">
        <f>_xlfn.IFNA(VLOOKUP($BK544,Programma!$F$3:$Q$1101,12,0),"")</f>
        <v/>
      </c>
      <c r="BW544" s="448" t="str">
        <f>_xlfn.IFNA(VLOOKUP($BK544,Programma!$F$3:$R$1101,13,0),"")</f>
        <v/>
      </c>
      <c r="BX544" s="448" t="str">
        <f>_xlfn.IFNA(VLOOKUP($BK544,Programma!$F$3:$S$1101,14,0),"")</f>
        <v/>
      </c>
      <c r="BY544" s="448" t="str">
        <f>_xlfn.IFNA(VLOOKUP($BK544,Programma!$F$3:$T$1101,15,0),"")</f>
        <v/>
      </c>
      <c r="BZ544" s="448" t="str">
        <f>_xlfn.IFNA(VLOOKUP($BK544,Programma!$F$3:$U$1101,16,0),"")</f>
        <v/>
      </c>
      <c r="CA544" s="448" t="str">
        <f>_xlfn.IFNA(VLOOKUP($BK544,Programma!$F$3:$V$1101,17,0),"")</f>
        <v/>
      </c>
      <c r="CB544" s="448" t="str">
        <f>_xlfn.IFNA(VLOOKUP($BK544,Programma!$F$3:$W$1101,18,0),"")</f>
        <v/>
      </c>
      <c r="CC544" s="448" t="str">
        <f>_xlfn.IFNA(VLOOKUP($BK544,Programma!$F$3:$X$1101,19,0),"")</f>
        <v/>
      </c>
      <c r="CD544" s="448" t="str">
        <f>_xlfn.IFNA(VLOOKUP($BK544,Programma!$F$3:$Y$1101,20,0),"")</f>
        <v/>
      </c>
    </row>
    <row r="545" spans="1:82" ht="15" customHeight="1">
      <c r="A545" s="327">
        <v>19</v>
      </c>
      <c r="B545" s="435" t="str">
        <f>VLOOKUP(Ruimtestaat[[#This Row],[Code]],Locaties[[Code]:[Locatie]],2,FALSE)</f>
        <v>IKC de Leerplaneet (vhKlimboom)</v>
      </c>
      <c r="C545" s="435" t="str">
        <f>VLOOKUP(Ruimtestaat[[#This Row],[Code]],Locaties[[#All],[Code]:[Adres]],4,FALSE)</f>
        <v>Nesciohove 105-107</v>
      </c>
      <c r="D545" s="435" t="str">
        <f>VLOOKUP(Ruimtestaat[[#This Row],[Code]],Locaties[[#All],[Code]:[Postcode]],5,FALSE)</f>
        <v>2726 BL</v>
      </c>
      <c r="E545" s="435" t="str">
        <f>VLOOKUP(Ruimtestaat[[#This Row],[Code]],Locaties[#All],6,FALSE)</f>
        <v>Zoetermeer</v>
      </c>
      <c r="F545" s="450"/>
      <c r="G545" s="330" t="s">
        <v>1769</v>
      </c>
      <c r="H545" s="330" t="s">
        <v>1923</v>
      </c>
      <c r="I545" s="450" t="s">
        <v>1675</v>
      </c>
      <c r="J545" s="330">
        <v>6</v>
      </c>
      <c r="K545" s="450" t="str">
        <f>VLOOKUP(Ruimtestaat[[#This Row],[Ruimte code]],Ruimtegroepen[[#All],[Code]:[Ruimte omschrijving]],2,FALSE)</f>
        <v>Gangen/hallen</v>
      </c>
      <c r="L545" s="330" t="s">
        <v>101</v>
      </c>
      <c r="M545" s="437" t="s">
        <v>1816</v>
      </c>
      <c r="N545" s="439">
        <v>59</v>
      </c>
      <c r="O545" s="439"/>
      <c r="P545" s="439"/>
      <c r="Q545" s="439"/>
      <c r="R545" s="440" t="str">
        <f>VLOOKUP(Ruimtestaat[[#This Row],[Ruimte code]],Ruimtegroepen[],4,FALSE)</f>
        <v>Ve</v>
      </c>
      <c r="S545" s="434">
        <v>41</v>
      </c>
      <c r="T545" s="434" t="s">
        <v>2</v>
      </c>
      <c r="U545" s="453">
        <f>IF(S545&gt;0,IF(RIGHT(Ruimtestaat[[#This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45" s="434">
        <f>IF(U545&gt;0,VLOOKUP($J545,Ruimtegroepen[],3,FALSE)*VLOOKUP($L545,Vloersoorten[],3,FALSE)*VLOOKUP($T545,Frequenties[],3,FALSE)*VLOOKUP($A545,Locaties[],3,FALSE),0)</f>
        <v>0</v>
      </c>
      <c r="W545" s="434">
        <f>Ruimtestaat[[#This Row],[Uitvoeringen werkdagen]]*Ruimtestaat[[#This Row],[Oppervlak (netto)]]</f>
        <v>12095</v>
      </c>
      <c r="X545" s="441">
        <f>IF(V545&gt;0,Ruimtestaat[[#This Row],[Prest. (m2 /jaar) werkdagen]]/Ruimtestaat[[#This Row],[Norm (m2/uur) werkdagen]],0)</f>
        <v>0</v>
      </c>
      <c r="Y545" s="442">
        <f>Ruimtestaat[[#This Row],[Uitvoeringen werkdagen]]*Ruimtestaat[[#This Row],[Gedeeltelijk]]</f>
        <v>0</v>
      </c>
      <c r="Z545" s="443" t="e">
        <f>IF(U545&gt;0,Ruimtestaat[[#This Row],[Prest. (m2 / jaar) werkdagen gedeeld]]/Ruimtestaat[[#This Row],[Norm (m2/uur) werkdagen]],0)</f>
        <v>#DIV/0!</v>
      </c>
      <c r="AA545" s="441" t="e">
        <f>Ruimtestaat[[#This Row],[uren / jaar werkdagen gedeeld]]*Tariefsopbouw!$E$35</f>
        <v>#DIV/0!</v>
      </c>
      <c r="AB545" s="441">
        <f>Ruimtestaat[[#This Row],[Uitvoeringen werkdagen]]*Ruimtestaat[[#This Row],[BSO]]</f>
        <v>0</v>
      </c>
      <c r="AC545" s="443" t="e">
        <f>IF(U545&gt;0,Ruimtestaat[[#This Row],[Prest. (m2 / jaar) werkdagen BSO]]/Ruimtestaat[[#This Row],[Norm (m2/uur) werkdagen]],0)</f>
        <v>#DIV/0!</v>
      </c>
      <c r="AD545" s="443" t="e">
        <f>Ruimtestaat[[#This Row],[uren / jaar werkdagen BSO]]*Tariefsopbouw!$E$35</f>
        <v>#DIV/0!</v>
      </c>
      <c r="AE545" s="444">
        <f>Ruimtestaat[[#This Row],[uren / jaar werkdagen]]*Tariefsopbouw!$E$35</f>
        <v>0</v>
      </c>
      <c r="AF545" s="454"/>
      <c r="AG545" s="455">
        <f>IF(Ruimtestaat[[#This Row],[Frequentie weekend]]&gt;0,VALUE(LEFT(AF545,1))*S545,0)</f>
        <v>0</v>
      </c>
      <c r="AH545" s="455">
        <f>IF($AG545&gt;0,VLOOKUP($J545,Ruimtegroepen[],3,FALSE)*VLOOKUP($L545,Vloersoorten[],3,FALSE)*VLOOKUP($AF545,Frequenties[],3,FALSE)*VLOOKUP(#REF!,Locaties[],3,FALSE),0)</f>
        <v>0</v>
      </c>
      <c r="AI545" s="434">
        <f>Ruimtestaat[[#This Row],[Uitvoeringen weekend]]*Ruimtestaat[[#This Row],[Oppervlak (netto)]]</f>
        <v>0</v>
      </c>
      <c r="AJ545" s="434">
        <f>IF(AH545&gt;0,Ruimtestaat[[#This Row],[Prest. (m2 /jaar) weekend]]/Ruimtestaat[[#This Row],[Norm (m2/uur) weekend]],0)</f>
        <v>0</v>
      </c>
      <c r="AK545" s="444">
        <f>Ruimtestaat[[#This Row],[uren / jaar weekend]]*Tariefsopbouw!$D$40</f>
        <v>0</v>
      </c>
      <c r="AL545" s="441">
        <f>Ruimtestaat[[#This Row],[Prest. (m2 /jaar) weekend]]+Ruimtestaat[[#This Row],[Prest. (m2 /jaar) werkdagen]]</f>
        <v>12095</v>
      </c>
      <c r="AM545" s="441">
        <f>Ruimtestaat[[#This Row],[uren / jaar weekend]]+Ruimtestaat[[#This Row],[uren / jaar werkdagen]]</f>
        <v>0</v>
      </c>
      <c r="AN545" s="446">
        <f>Ruimtestaat[[#This Row],[kosten / jaar weekend]]+Ruimtestaat[[#This Row],[kosten / jaar werkdagen]]</f>
        <v>0</v>
      </c>
      <c r="AO545" s="446"/>
      <c r="AP545" s="446" t="str">
        <f>IF(Ruimtestaat[[#This Row],[Frequentie werkdagen]]="","",_xlfn.CONCAT(Ruimtestaat[[#This Row],[Ruimte code]],"-",Ruimtestaat[[#This Row],[Frequentie werkdagen]]," ",Ruimtestaat[[#This Row],[Vloer code]]))</f>
        <v>6-5w S</v>
      </c>
      <c r="AQ545" s="448" t="str">
        <f>_xlfn.IFNA(VLOOKUP($AP545,Programma!$F$3:$G$1101,2,0),"")</f>
        <v>_</v>
      </c>
      <c r="AR545" s="448" t="str">
        <f>_xlfn.IFNA(VLOOKUP($AP545,Programma!$F$3:$H$1101,3,0),"")</f>
        <v>_</v>
      </c>
      <c r="AS545" s="448" t="str">
        <f>_xlfn.IFNA(VLOOKUP($AP545,Programma!$F$3:$I$1101,4,0),"")</f>
        <v>5w</v>
      </c>
      <c r="AT545" s="448" t="str">
        <f>_xlfn.IFNA(VLOOKUP($AP545,Programma!$F$3:$J$1101,5,0),"")</f>
        <v>_</v>
      </c>
      <c r="AU545" s="448" t="str">
        <f>_xlfn.IFNA(VLOOKUP($AP545,Programma!$F$3:$K$1101,6,0),"")</f>
        <v>5w</v>
      </c>
      <c r="AV545" s="448" t="str">
        <f>_xlfn.IFNA(VLOOKUP($AP545,Programma!$F$3:$L$1101,7,0),"")</f>
        <v>_</v>
      </c>
      <c r="AW545" s="448" t="str">
        <f>_xlfn.IFNA(VLOOKUP($AP545,Programma!$F$3:$M$1101,8,0),"")</f>
        <v>_</v>
      </c>
      <c r="AX545" s="448" t="str">
        <f>_xlfn.IFNA(VLOOKUP($AP545,Programma!$F$3:$N$1101,9,0),"")</f>
        <v>_</v>
      </c>
      <c r="AY545" s="448" t="str">
        <f>_xlfn.IFNA(VLOOKUP($AP545,Programma!$F$3:$O$1101,10,0),"")</f>
        <v>5w</v>
      </c>
      <c r="AZ545" s="448" t="str">
        <f>_xlfn.IFNA(VLOOKUP($AP545,Programma!$F$3:$P$1101,11,0),"")</f>
        <v>5w</v>
      </c>
      <c r="BA545" s="448" t="str">
        <f>_xlfn.IFNA(VLOOKUP($AP545,Programma!$F$3:$Q$1101,12,0),"")</f>
        <v>1w</v>
      </c>
      <c r="BB545" s="448" t="str">
        <f>_xlfn.IFNA(VLOOKUP($AP545,Programma!$F$3:$R$1101,13,0),"")</f>
        <v>1w</v>
      </c>
      <c r="BC545" s="448" t="str">
        <f>_xlfn.IFNA(VLOOKUP($AP545,Programma!$F$3:$S$1101,14,0),"")</f>
        <v>1m</v>
      </c>
      <c r="BD545" s="448" t="str">
        <f>_xlfn.IFNA(VLOOKUP($AP545,Programma!$F$3:$T$1101,15,0),"")</f>
        <v>2j</v>
      </c>
      <c r="BE545" s="448" t="str">
        <f>_xlfn.IFNA(VLOOKUP($AP545,Programma!$F$3:$U$1101,16,0),"")</f>
        <v>1j</v>
      </c>
      <c r="BF545" s="448" t="str">
        <f>_xlfn.IFNA(VLOOKUP($AP545,Programma!$F$3:$V$1101,17,0),"")</f>
        <v>_</v>
      </c>
      <c r="BG545" s="448" t="str">
        <f>_xlfn.IFNA(VLOOKUP($AP545,Programma!$F$3:$W$1101,18,0),"")</f>
        <v>_</v>
      </c>
      <c r="BH545" s="448" t="str">
        <f>_xlfn.IFNA(VLOOKUP($AP545,Programma!$F$3:$X$1101,19,0),"")</f>
        <v>_</v>
      </c>
      <c r="BI545" s="448" t="str">
        <f>_xlfn.IFNA(VLOOKUP($AP545,Programma!$F$3:$Y$1101,20,0),"")</f>
        <v>_</v>
      </c>
      <c r="BJ545" s="449"/>
      <c r="BK545" s="446" t="str">
        <f>IF(Ruimtestaat[[#This Row],[Frequentie weekend]]="","",_xlfn.CONCAT(Ruimtestaat[[#This Row],[Ruimte code]],"-",Ruimtestaat[[#This Row],[Frequentie weekend]]," ",Ruimtestaat[[#This Row],[Vloer code]]))</f>
        <v/>
      </c>
      <c r="BL545" s="448" t="str">
        <f>_xlfn.IFNA(VLOOKUP($BK545,Programma!$F$3:$G$1101,2,0),"")</f>
        <v/>
      </c>
      <c r="BM545" s="448" t="str">
        <f>_xlfn.IFNA(VLOOKUP($BK545,Programma!$F$3:$H$1101,3,0),"")</f>
        <v/>
      </c>
      <c r="BN545" s="448" t="str">
        <f>_xlfn.IFNA(VLOOKUP($BK545,Programma!$F$3:$I$1101,4,0),"")</f>
        <v/>
      </c>
      <c r="BO545" s="448" t="str">
        <f>_xlfn.IFNA(VLOOKUP($BK545,Programma!$F$3:$J$1101,5,0),"")</f>
        <v/>
      </c>
      <c r="BP545" s="448" t="str">
        <f>_xlfn.IFNA(VLOOKUP($BK545,Programma!$F$3:$K$1101,6,0),"")</f>
        <v/>
      </c>
      <c r="BQ545" s="448" t="str">
        <f>_xlfn.IFNA(VLOOKUP($BK545,Programma!$F$3:$L$1101,7,0),"")</f>
        <v/>
      </c>
      <c r="BR545" s="448" t="str">
        <f>_xlfn.IFNA(VLOOKUP($BK545,Programma!$F$3:$M$1101,8,0),"")</f>
        <v/>
      </c>
      <c r="BS545" s="448" t="str">
        <f>_xlfn.IFNA(VLOOKUP($BK545,Programma!$F$3:$N$1101,9,0),"")</f>
        <v/>
      </c>
      <c r="BT545" s="448" t="str">
        <f>_xlfn.IFNA(VLOOKUP($BK545,Programma!$F$3:$O$1101,10,0),"")</f>
        <v/>
      </c>
      <c r="BU545" s="448" t="str">
        <f>_xlfn.IFNA(VLOOKUP($BK545,Programma!$F$3:$P$1101,11,0),"")</f>
        <v/>
      </c>
      <c r="BV545" s="448" t="str">
        <f>_xlfn.IFNA(VLOOKUP($BK545,Programma!$F$3:$Q$1101,12,0),"")</f>
        <v/>
      </c>
      <c r="BW545" s="448" t="str">
        <f>_xlfn.IFNA(VLOOKUP($BK545,Programma!$F$3:$R$1101,13,0),"")</f>
        <v/>
      </c>
      <c r="BX545" s="448" t="str">
        <f>_xlfn.IFNA(VLOOKUP($BK545,Programma!$F$3:$S$1101,14,0),"")</f>
        <v/>
      </c>
      <c r="BY545" s="448" t="str">
        <f>_xlfn.IFNA(VLOOKUP($BK545,Programma!$F$3:$T$1101,15,0),"")</f>
        <v/>
      </c>
      <c r="BZ545" s="448" t="str">
        <f>_xlfn.IFNA(VLOOKUP($BK545,Programma!$F$3:$U$1101,16,0),"")</f>
        <v/>
      </c>
      <c r="CA545" s="448" t="str">
        <f>_xlfn.IFNA(VLOOKUP($BK545,Programma!$F$3:$V$1101,17,0),"")</f>
        <v/>
      </c>
      <c r="CB545" s="448" t="str">
        <f>_xlfn.IFNA(VLOOKUP($BK545,Programma!$F$3:$W$1101,18,0),"")</f>
        <v/>
      </c>
      <c r="CC545" s="448" t="str">
        <f>_xlfn.IFNA(VLOOKUP($BK545,Programma!$F$3:$X$1101,19,0),"")</f>
        <v/>
      </c>
      <c r="CD545" s="448" t="str">
        <f>_xlfn.IFNA(VLOOKUP($BK545,Programma!$F$3:$Y$1101,20,0),"")</f>
        <v/>
      </c>
    </row>
    <row r="546" spans="1:82" ht="15" customHeight="1">
      <c r="A546" s="327">
        <v>19</v>
      </c>
      <c r="B546" s="435" t="str">
        <f>VLOOKUP(Ruimtestaat[[#This Row],[Code]],Locaties[[Code]:[Locatie]],2,FALSE)</f>
        <v>IKC de Leerplaneet (vhKlimboom)</v>
      </c>
      <c r="C546" s="435" t="str">
        <f>VLOOKUP(Ruimtestaat[[#This Row],[Code]],Locaties[[#All],[Code]:[Adres]],4,FALSE)</f>
        <v>Nesciohove 105-107</v>
      </c>
      <c r="D546" s="435" t="str">
        <f>VLOOKUP(Ruimtestaat[[#This Row],[Code]],Locaties[[#All],[Code]:[Postcode]],5,FALSE)</f>
        <v>2726 BL</v>
      </c>
      <c r="E546" s="435" t="str">
        <f>VLOOKUP(Ruimtestaat[[#This Row],[Code]],Locaties[#All],6,FALSE)</f>
        <v>Zoetermeer</v>
      </c>
      <c r="F546" s="450"/>
      <c r="G546" s="330" t="s">
        <v>1769</v>
      </c>
      <c r="H546" s="330" t="s">
        <v>1923</v>
      </c>
      <c r="I546" s="450" t="s">
        <v>1924</v>
      </c>
      <c r="J546" s="330">
        <v>9</v>
      </c>
      <c r="K546" s="450" t="str">
        <f>VLOOKUP(Ruimtestaat[[#This Row],[Ruimte code]],Ruimtegroepen[[#All],[Code]:[Ruimte omschrijving]],2,FALSE)</f>
        <v>Bibliotheek/OLC</v>
      </c>
      <c r="L546" s="330" t="s">
        <v>101</v>
      </c>
      <c r="M546" s="437" t="s">
        <v>1816</v>
      </c>
      <c r="N546" s="439">
        <v>25.2</v>
      </c>
      <c r="O546" s="439"/>
      <c r="P546" s="439"/>
      <c r="Q546" s="439"/>
      <c r="R546" s="440" t="str">
        <f>VLOOKUP(Ruimtestaat[[#This Row],[Ruimte code]],Ruimtegroepen[],4,FALSE)</f>
        <v>Le</v>
      </c>
      <c r="S546" s="434">
        <v>40</v>
      </c>
      <c r="T546" s="434" t="s">
        <v>2</v>
      </c>
      <c r="U546" s="453">
        <f>IF(S546&gt;0,IF(RIGHT(Ruimtestaat[[#This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6" s="434">
        <f>IF(U546&gt;0,VLOOKUP($J546,Ruimtegroepen[],3,FALSE)*VLOOKUP($L546,Vloersoorten[],3,FALSE)*VLOOKUP($T546,Frequenties[],3,FALSE)*VLOOKUP($A546,Locaties[],3,FALSE),0)</f>
        <v>0</v>
      </c>
      <c r="W546" s="434">
        <f>Ruimtestaat[[#This Row],[Uitvoeringen werkdagen]]*Ruimtestaat[[#This Row],[Oppervlak (netto)]]</f>
        <v>5040</v>
      </c>
      <c r="X546" s="441">
        <f>IF(V546&gt;0,Ruimtestaat[[#This Row],[Prest. (m2 /jaar) werkdagen]]/Ruimtestaat[[#This Row],[Norm (m2/uur) werkdagen]],0)</f>
        <v>0</v>
      </c>
      <c r="Y546" s="442">
        <f>Ruimtestaat[[#This Row],[Uitvoeringen werkdagen]]*Ruimtestaat[[#This Row],[Gedeeltelijk]]</f>
        <v>0</v>
      </c>
      <c r="Z546" s="443" t="e">
        <f>IF(U546&gt;0,Ruimtestaat[[#This Row],[Prest. (m2 / jaar) werkdagen gedeeld]]/Ruimtestaat[[#This Row],[Norm (m2/uur) werkdagen]],0)</f>
        <v>#DIV/0!</v>
      </c>
      <c r="AA546" s="441" t="e">
        <f>Ruimtestaat[[#This Row],[uren / jaar werkdagen gedeeld]]*Tariefsopbouw!$E$35</f>
        <v>#DIV/0!</v>
      </c>
      <c r="AB546" s="441">
        <f>Ruimtestaat[[#This Row],[Uitvoeringen werkdagen]]*Ruimtestaat[[#This Row],[BSO]]</f>
        <v>0</v>
      </c>
      <c r="AC546" s="443" t="e">
        <f>IF(U546&gt;0,Ruimtestaat[[#This Row],[Prest. (m2 / jaar) werkdagen BSO]]/Ruimtestaat[[#This Row],[Norm (m2/uur) werkdagen]],0)</f>
        <v>#DIV/0!</v>
      </c>
      <c r="AD546" s="443" t="e">
        <f>Ruimtestaat[[#This Row],[uren / jaar werkdagen BSO]]*Tariefsopbouw!$E$35</f>
        <v>#DIV/0!</v>
      </c>
      <c r="AE546" s="444">
        <f>Ruimtestaat[[#This Row],[uren / jaar werkdagen]]*Tariefsopbouw!$E$35</f>
        <v>0</v>
      </c>
      <c r="AF546" s="454"/>
      <c r="AG546" s="455">
        <f>IF(Ruimtestaat[[#This Row],[Frequentie weekend]]&gt;0,VALUE(LEFT(AF546,1))*S546,0)</f>
        <v>0</v>
      </c>
      <c r="AH546" s="455">
        <f>IF($AG546&gt;0,VLOOKUP($J546,Ruimtegroepen[],3,FALSE)*VLOOKUP($L546,Vloersoorten[],3,FALSE)*VLOOKUP($AF546,Frequenties[],3,FALSE)*VLOOKUP(#REF!,Locaties[],3,FALSE),0)</f>
        <v>0</v>
      </c>
      <c r="AI546" s="434">
        <f>Ruimtestaat[[#This Row],[Uitvoeringen weekend]]*Ruimtestaat[[#This Row],[Oppervlak (netto)]]</f>
        <v>0</v>
      </c>
      <c r="AJ546" s="434">
        <f>IF(AH546&gt;0,Ruimtestaat[[#This Row],[Prest. (m2 /jaar) weekend]]/Ruimtestaat[[#This Row],[Norm (m2/uur) weekend]],0)</f>
        <v>0</v>
      </c>
      <c r="AK546" s="444">
        <f>Ruimtestaat[[#This Row],[uren / jaar weekend]]*Tariefsopbouw!$D$40</f>
        <v>0</v>
      </c>
      <c r="AL546" s="441">
        <f>Ruimtestaat[[#This Row],[Prest. (m2 /jaar) weekend]]+Ruimtestaat[[#This Row],[Prest. (m2 /jaar) werkdagen]]</f>
        <v>5040</v>
      </c>
      <c r="AM546" s="441">
        <f>Ruimtestaat[[#This Row],[uren / jaar weekend]]+Ruimtestaat[[#This Row],[uren / jaar werkdagen]]</f>
        <v>0</v>
      </c>
      <c r="AN546" s="446">
        <f>Ruimtestaat[[#This Row],[kosten / jaar weekend]]+Ruimtestaat[[#This Row],[kosten / jaar werkdagen]]</f>
        <v>0</v>
      </c>
      <c r="AO546" s="446"/>
      <c r="AP546" s="446" t="str">
        <f>IF(Ruimtestaat[[#This Row],[Frequentie werkdagen]]="","",_xlfn.CONCAT(Ruimtestaat[[#This Row],[Ruimte code]],"-",Ruimtestaat[[#This Row],[Frequentie werkdagen]]," ",Ruimtestaat[[#This Row],[Vloer code]]))</f>
        <v>9-5w S</v>
      </c>
      <c r="AQ546" s="448" t="str">
        <f>_xlfn.IFNA(VLOOKUP($AP546,Programma!$F$3:$G$1101,2,0),"")</f>
        <v>_</v>
      </c>
      <c r="AR546" s="448" t="str">
        <f>_xlfn.IFNA(VLOOKUP($AP546,Programma!$F$3:$H$1101,3,0),"")</f>
        <v>_</v>
      </c>
      <c r="AS546" s="448" t="str">
        <f>_xlfn.IFNA(VLOOKUP($AP546,Programma!$F$3:$I$1101,4,0),"")</f>
        <v>4w</v>
      </c>
      <c r="AT546" s="448" t="str">
        <f>_xlfn.IFNA(VLOOKUP($AP546,Programma!$F$3:$J$1101,5,0),"")</f>
        <v>1w</v>
      </c>
      <c r="AU546" s="448" t="str">
        <f>_xlfn.IFNA(VLOOKUP($AP546,Programma!$F$3:$K$1101,6,0),"")</f>
        <v>4j</v>
      </c>
      <c r="AV546" s="448" t="str">
        <f>_xlfn.IFNA(VLOOKUP($AP546,Programma!$F$3:$L$1101,7,0),"")</f>
        <v>_</v>
      </c>
      <c r="AW546" s="448" t="str">
        <f>_xlfn.IFNA(VLOOKUP($AP546,Programma!$F$3:$M$1101,8,0),"")</f>
        <v>_</v>
      </c>
      <c r="AX546" s="448" t="str">
        <f>_xlfn.IFNA(VLOOKUP($AP546,Programma!$F$3:$N$1101,9,0),"")</f>
        <v>_</v>
      </c>
      <c r="AY546" s="448" t="str">
        <f>_xlfn.IFNA(VLOOKUP($AP546,Programma!$F$3:$O$1101,10,0),"")</f>
        <v>5w</v>
      </c>
      <c r="AZ546" s="448" t="str">
        <f>_xlfn.IFNA(VLOOKUP($AP546,Programma!$F$3:$P$1101,11,0),"")</f>
        <v>5w</v>
      </c>
      <c r="BA546" s="448" t="str">
        <f>_xlfn.IFNA(VLOOKUP($AP546,Programma!$F$3:$Q$1101,12,0),"")</f>
        <v>1w</v>
      </c>
      <c r="BB546" s="448" t="str">
        <f>_xlfn.IFNA(VLOOKUP($AP546,Programma!$F$3:$R$1101,13,0),"")</f>
        <v>1w</v>
      </c>
      <c r="BC546" s="448" t="str">
        <f>_xlfn.IFNA(VLOOKUP($AP546,Programma!$F$3:$S$1101,14,0),"")</f>
        <v>1m</v>
      </c>
      <c r="BD546" s="448" t="str">
        <f>_xlfn.IFNA(VLOOKUP($AP546,Programma!$F$3:$T$1101,15,0),"")</f>
        <v>2j</v>
      </c>
      <c r="BE546" s="448" t="str">
        <f>_xlfn.IFNA(VLOOKUP($AP546,Programma!$F$3:$U$1101,16,0),"")</f>
        <v>1j</v>
      </c>
      <c r="BF546" s="448" t="str">
        <f>_xlfn.IFNA(VLOOKUP($AP546,Programma!$F$3:$V$1101,17,0),"")</f>
        <v>_</v>
      </c>
      <c r="BG546" s="448" t="str">
        <f>_xlfn.IFNA(VLOOKUP($AP546,Programma!$F$3:$W$1101,18,0),"")</f>
        <v>_</v>
      </c>
      <c r="BH546" s="448" t="str">
        <f>_xlfn.IFNA(VLOOKUP($AP546,Programma!$F$3:$X$1101,19,0),"")</f>
        <v>_</v>
      </c>
      <c r="BI546" s="448" t="str">
        <f>_xlfn.IFNA(VLOOKUP($AP546,Programma!$F$3:$Y$1101,20,0),"")</f>
        <v>_</v>
      </c>
      <c r="BJ546" s="449"/>
      <c r="BK546" s="446" t="str">
        <f>IF(Ruimtestaat[[#This Row],[Frequentie weekend]]="","",_xlfn.CONCAT(Ruimtestaat[[#This Row],[Ruimte code]],"-",Ruimtestaat[[#This Row],[Frequentie weekend]]," ",Ruimtestaat[[#This Row],[Vloer code]]))</f>
        <v/>
      </c>
      <c r="BL546" s="448" t="str">
        <f>_xlfn.IFNA(VLOOKUP($BK546,Programma!$F$3:$G$1101,2,0),"")</f>
        <v/>
      </c>
      <c r="BM546" s="448" t="str">
        <f>_xlfn.IFNA(VLOOKUP($BK546,Programma!$F$3:$H$1101,3,0),"")</f>
        <v/>
      </c>
      <c r="BN546" s="448" t="str">
        <f>_xlfn.IFNA(VLOOKUP($BK546,Programma!$F$3:$I$1101,4,0),"")</f>
        <v/>
      </c>
      <c r="BO546" s="448" t="str">
        <f>_xlfn.IFNA(VLOOKUP($BK546,Programma!$F$3:$J$1101,5,0),"")</f>
        <v/>
      </c>
      <c r="BP546" s="448" t="str">
        <f>_xlfn.IFNA(VLOOKUP($BK546,Programma!$F$3:$K$1101,6,0),"")</f>
        <v/>
      </c>
      <c r="BQ546" s="448" t="str">
        <f>_xlfn.IFNA(VLOOKUP($BK546,Programma!$F$3:$L$1101,7,0),"")</f>
        <v/>
      </c>
      <c r="BR546" s="448" t="str">
        <f>_xlfn.IFNA(VLOOKUP($BK546,Programma!$F$3:$M$1101,8,0),"")</f>
        <v/>
      </c>
      <c r="BS546" s="448" t="str">
        <f>_xlfn.IFNA(VLOOKUP($BK546,Programma!$F$3:$N$1101,9,0),"")</f>
        <v/>
      </c>
      <c r="BT546" s="448" t="str">
        <f>_xlfn.IFNA(VLOOKUP($BK546,Programma!$F$3:$O$1101,10,0),"")</f>
        <v/>
      </c>
      <c r="BU546" s="448" t="str">
        <f>_xlfn.IFNA(VLOOKUP($BK546,Programma!$F$3:$P$1101,11,0),"")</f>
        <v/>
      </c>
      <c r="BV546" s="448" t="str">
        <f>_xlfn.IFNA(VLOOKUP($BK546,Programma!$F$3:$Q$1101,12,0),"")</f>
        <v/>
      </c>
      <c r="BW546" s="448" t="str">
        <f>_xlfn.IFNA(VLOOKUP($BK546,Programma!$F$3:$R$1101,13,0),"")</f>
        <v/>
      </c>
      <c r="BX546" s="448" t="str">
        <f>_xlfn.IFNA(VLOOKUP($BK546,Programma!$F$3:$S$1101,14,0),"")</f>
        <v/>
      </c>
      <c r="BY546" s="448" t="str">
        <f>_xlfn.IFNA(VLOOKUP($BK546,Programma!$F$3:$T$1101,15,0),"")</f>
        <v/>
      </c>
      <c r="BZ546" s="448" t="str">
        <f>_xlfn.IFNA(VLOOKUP($BK546,Programma!$F$3:$U$1101,16,0),"")</f>
        <v/>
      </c>
      <c r="CA546" s="448" t="str">
        <f>_xlfn.IFNA(VLOOKUP($BK546,Programma!$F$3:$V$1101,17,0),"")</f>
        <v/>
      </c>
      <c r="CB546" s="448" t="str">
        <f>_xlfn.IFNA(VLOOKUP($BK546,Programma!$F$3:$W$1101,18,0),"")</f>
        <v/>
      </c>
      <c r="CC546" s="448" t="str">
        <f>_xlfn.IFNA(VLOOKUP($BK546,Programma!$F$3:$X$1101,19,0),"")</f>
        <v/>
      </c>
      <c r="CD546" s="448" t="str">
        <f>_xlfn.IFNA(VLOOKUP($BK546,Programma!$F$3:$Y$1101,20,0),"")</f>
        <v/>
      </c>
    </row>
    <row r="547" spans="1:82" ht="15" customHeight="1">
      <c r="A547" s="327">
        <v>19</v>
      </c>
      <c r="B547" s="435" t="str">
        <f>VLOOKUP(Ruimtestaat[[#This Row],[Code]],Locaties[[Code]:[Locatie]],2,FALSE)</f>
        <v>IKC de Leerplaneet (vhKlimboom)</v>
      </c>
      <c r="C547" s="435" t="str">
        <f>VLOOKUP(Ruimtestaat[[#This Row],[Code]],Locaties[[#All],[Code]:[Adres]],4,FALSE)</f>
        <v>Nesciohove 105-107</v>
      </c>
      <c r="D547" s="435" t="str">
        <f>VLOOKUP(Ruimtestaat[[#This Row],[Code]],Locaties[[#All],[Code]:[Postcode]],5,FALSE)</f>
        <v>2726 BL</v>
      </c>
      <c r="E547" s="435" t="str">
        <f>VLOOKUP(Ruimtestaat[[#This Row],[Code]],Locaties[#All],6,FALSE)</f>
        <v>Zoetermeer</v>
      </c>
      <c r="F547" s="450"/>
      <c r="G547" s="330" t="s">
        <v>1769</v>
      </c>
      <c r="H547" s="330" t="s">
        <v>1925</v>
      </c>
      <c r="I547" s="450" t="s">
        <v>1926</v>
      </c>
      <c r="J547" s="330">
        <v>20</v>
      </c>
      <c r="K547" s="450" t="str">
        <f>VLOOKUP(Ruimtestaat[[#This Row],[Ruimte code]],Ruimtegroepen[[#All],[Code]:[Ruimte omschrijving]],2,FALSE)</f>
        <v>Niet in Onderhoud</v>
      </c>
      <c r="L547" s="330" t="s">
        <v>101</v>
      </c>
      <c r="M547" s="437" t="s">
        <v>1816</v>
      </c>
      <c r="N547" s="439"/>
      <c r="O547" s="439">
        <v>8.5</v>
      </c>
      <c r="P547" s="439"/>
      <c r="Q547" s="439"/>
      <c r="R547" s="440">
        <f>VLOOKUP(Ruimtestaat[[#This Row],[Ruimte code]],Ruimtegroepen[],4,FALSE)</f>
        <v>0</v>
      </c>
      <c r="S547" s="434"/>
      <c r="T547" s="434"/>
      <c r="U547" s="453">
        <f>IF(S547&gt;0,IF(RIGHT(Ruimtestaat[[#This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47" s="434">
        <f>IF(U547&gt;0,VLOOKUP($J547,Ruimtegroepen[],3,FALSE)*VLOOKUP($L547,Vloersoorten[],3,FALSE)*VLOOKUP($T547,Frequenties[],3,FALSE)*VLOOKUP($A547,Locaties[],3,FALSE),0)</f>
        <v>0</v>
      </c>
      <c r="W547" s="434">
        <f>Ruimtestaat[[#This Row],[Uitvoeringen werkdagen]]*Ruimtestaat[[#This Row],[Oppervlak (netto)]]</f>
        <v>0</v>
      </c>
      <c r="X547" s="441">
        <f>IF(V547&gt;0,Ruimtestaat[[#This Row],[Prest. (m2 /jaar) werkdagen]]/Ruimtestaat[[#This Row],[Norm (m2/uur) werkdagen]],0)</f>
        <v>0</v>
      </c>
      <c r="Y547" s="442">
        <f>Ruimtestaat[[#This Row],[Uitvoeringen werkdagen]]*Ruimtestaat[[#This Row],[Gedeeltelijk]]</f>
        <v>0</v>
      </c>
      <c r="Z547" s="443">
        <f>IF(U547&gt;0,Ruimtestaat[[#This Row],[Prest. (m2 / jaar) werkdagen gedeeld]]/Ruimtestaat[[#This Row],[Norm (m2/uur) werkdagen]],0)</f>
        <v>0</v>
      </c>
      <c r="AA547" s="441">
        <f>Ruimtestaat[[#This Row],[uren / jaar werkdagen gedeeld]]*Tariefsopbouw!$E$35</f>
        <v>0</v>
      </c>
      <c r="AB547" s="441">
        <f>Ruimtestaat[[#This Row],[Uitvoeringen werkdagen]]*Ruimtestaat[[#This Row],[BSO]]</f>
        <v>0</v>
      </c>
      <c r="AC547" s="443">
        <f>IF(U547&gt;0,Ruimtestaat[[#This Row],[Prest. (m2 / jaar) werkdagen BSO]]/Ruimtestaat[[#This Row],[Norm (m2/uur) werkdagen]],0)</f>
        <v>0</v>
      </c>
      <c r="AD547" s="443">
        <f>Ruimtestaat[[#This Row],[uren / jaar werkdagen BSO]]*Tariefsopbouw!$E$35</f>
        <v>0</v>
      </c>
      <c r="AE547" s="444">
        <f>Ruimtestaat[[#This Row],[uren / jaar werkdagen]]*Tariefsopbouw!$E$35</f>
        <v>0</v>
      </c>
      <c r="AF547" s="454"/>
      <c r="AG547" s="455">
        <f>IF(Ruimtestaat[[#This Row],[Frequentie weekend]]&gt;0,VALUE(LEFT(AF547,1))*S547,0)</f>
        <v>0</v>
      </c>
      <c r="AH547" s="455">
        <f>IF($AG547&gt;0,VLOOKUP($J547,Ruimtegroepen[],3,FALSE)*VLOOKUP($L547,Vloersoorten[],3,FALSE)*VLOOKUP($AF547,Frequenties[],3,FALSE)*VLOOKUP(#REF!,Locaties[],3,FALSE),0)</f>
        <v>0</v>
      </c>
      <c r="AI547" s="434">
        <f>Ruimtestaat[[#This Row],[Uitvoeringen weekend]]*Ruimtestaat[[#This Row],[Oppervlak (netto)]]</f>
        <v>0</v>
      </c>
      <c r="AJ547" s="434">
        <f>IF(AH547&gt;0,Ruimtestaat[[#This Row],[Prest. (m2 /jaar) weekend]]/Ruimtestaat[[#This Row],[Norm (m2/uur) weekend]],0)</f>
        <v>0</v>
      </c>
      <c r="AK547" s="444">
        <f>Ruimtestaat[[#This Row],[uren / jaar weekend]]*Tariefsopbouw!$D$40</f>
        <v>0</v>
      </c>
      <c r="AL547" s="441">
        <f>Ruimtestaat[[#This Row],[Prest. (m2 /jaar) weekend]]+Ruimtestaat[[#This Row],[Prest. (m2 /jaar) werkdagen]]</f>
        <v>0</v>
      </c>
      <c r="AM547" s="441">
        <f>Ruimtestaat[[#This Row],[uren / jaar weekend]]+Ruimtestaat[[#This Row],[uren / jaar werkdagen]]</f>
        <v>0</v>
      </c>
      <c r="AN547" s="446">
        <f>Ruimtestaat[[#This Row],[kosten / jaar weekend]]+Ruimtestaat[[#This Row],[kosten / jaar werkdagen]]</f>
        <v>0</v>
      </c>
      <c r="AO547" s="446"/>
      <c r="AP547" s="446" t="str">
        <f>IF(Ruimtestaat[[#This Row],[Frequentie werkdagen]]="","",_xlfn.CONCAT(Ruimtestaat[[#This Row],[Ruimte code]],"-",Ruimtestaat[[#This Row],[Frequentie werkdagen]]," ",Ruimtestaat[[#This Row],[Vloer code]]))</f>
        <v/>
      </c>
      <c r="AQ547" s="448" t="str">
        <f>_xlfn.IFNA(VLOOKUP($AP547,Programma!$F$3:$G$1101,2,0),"")</f>
        <v/>
      </c>
      <c r="AR547" s="448" t="str">
        <f>_xlfn.IFNA(VLOOKUP($AP547,Programma!$F$3:$H$1101,3,0),"")</f>
        <v/>
      </c>
      <c r="AS547" s="448" t="str">
        <f>_xlfn.IFNA(VLOOKUP($AP547,Programma!$F$3:$I$1101,4,0),"")</f>
        <v/>
      </c>
      <c r="AT547" s="448" t="str">
        <f>_xlfn.IFNA(VLOOKUP($AP547,Programma!$F$3:$J$1101,5,0),"")</f>
        <v/>
      </c>
      <c r="AU547" s="448" t="str">
        <f>_xlfn.IFNA(VLOOKUP($AP547,Programma!$F$3:$K$1101,6,0),"")</f>
        <v/>
      </c>
      <c r="AV547" s="448" t="str">
        <f>_xlfn.IFNA(VLOOKUP($AP547,Programma!$F$3:$L$1101,7,0),"")</f>
        <v/>
      </c>
      <c r="AW547" s="448" t="str">
        <f>_xlfn.IFNA(VLOOKUP($AP547,Programma!$F$3:$M$1101,8,0),"")</f>
        <v/>
      </c>
      <c r="AX547" s="448" t="str">
        <f>_xlfn.IFNA(VLOOKUP($AP547,Programma!$F$3:$N$1101,9,0),"")</f>
        <v/>
      </c>
      <c r="AY547" s="448" t="str">
        <f>_xlfn.IFNA(VLOOKUP($AP547,Programma!$F$3:$O$1101,10,0),"")</f>
        <v/>
      </c>
      <c r="AZ547" s="448" t="str">
        <f>_xlfn.IFNA(VLOOKUP($AP547,Programma!$F$3:$P$1101,11,0),"")</f>
        <v/>
      </c>
      <c r="BA547" s="448" t="str">
        <f>_xlfn.IFNA(VLOOKUP($AP547,Programma!$F$3:$Q$1101,12,0),"")</f>
        <v/>
      </c>
      <c r="BB547" s="448" t="str">
        <f>_xlfn.IFNA(VLOOKUP($AP547,Programma!$F$3:$R$1101,13,0),"")</f>
        <v/>
      </c>
      <c r="BC547" s="448" t="str">
        <f>_xlfn.IFNA(VLOOKUP($AP547,Programma!$F$3:$S$1101,14,0),"")</f>
        <v/>
      </c>
      <c r="BD547" s="448" t="str">
        <f>_xlfn.IFNA(VLOOKUP($AP547,Programma!$F$3:$T$1101,15,0),"")</f>
        <v/>
      </c>
      <c r="BE547" s="448" t="str">
        <f>_xlfn.IFNA(VLOOKUP($AP547,Programma!$F$3:$U$1101,16,0),"")</f>
        <v/>
      </c>
      <c r="BF547" s="448" t="str">
        <f>_xlfn.IFNA(VLOOKUP($AP547,Programma!$F$3:$V$1101,17,0),"")</f>
        <v/>
      </c>
      <c r="BG547" s="448" t="str">
        <f>_xlfn.IFNA(VLOOKUP($AP547,Programma!$F$3:$W$1101,18,0),"")</f>
        <v/>
      </c>
      <c r="BH547" s="448" t="str">
        <f>_xlfn.IFNA(VLOOKUP($AP547,Programma!$F$3:$X$1101,19,0),"")</f>
        <v/>
      </c>
      <c r="BI547" s="448" t="str">
        <f>_xlfn.IFNA(VLOOKUP($AP547,Programma!$F$3:$Y$1101,20,0),"")</f>
        <v/>
      </c>
      <c r="BJ547" s="449"/>
      <c r="BK547" s="446" t="str">
        <f>IF(Ruimtestaat[[#This Row],[Frequentie weekend]]="","",_xlfn.CONCAT(Ruimtestaat[[#This Row],[Ruimte code]],"-",Ruimtestaat[[#This Row],[Frequentie weekend]]," ",Ruimtestaat[[#This Row],[Vloer code]]))</f>
        <v/>
      </c>
      <c r="BL547" s="448" t="str">
        <f>_xlfn.IFNA(VLOOKUP($BK547,Programma!$F$3:$G$1101,2,0),"")</f>
        <v/>
      </c>
      <c r="BM547" s="448" t="str">
        <f>_xlfn.IFNA(VLOOKUP($BK547,Programma!$F$3:$H$1101,3,0),"")</f>
        <v/>
      </c>
      <c r="BN547" s="448" t="str">
        <f>_xlfn.IFNA(VLOOKUP($BK547,Programma!$F$3:$I$1101,4,0),"")</f>
        <v/>
      </c>
      <c r="BO547" s="448" t="str">
        <f>_xlfn.IFNA(VLOOKUP($BK547,Programma!$F$3:$J$1101,5,0),"")</f>
        <v/>
      </c>
      <c r="BP547" s="448" t="str">
        <f>_xlfn.IFNA(VLOOKUP($BK547,Programma!$F$3:$K$1101,6,0),"")</f>
        <v/>
      </c>
      <c r="BQ547" s="448" t="str">
        <f>_xlfn.IFNA(VLOOKUP($BK547,Programma!$F$3:$L$1101,7,0),"")</f>
        <v/>
      </c>
      <c r="BR547" s="448" t="str">
        <f>_xlfn.IFNA(VLOOKUP($BK547,Programma!$F$3:$M$1101,8,0),"")</f>
        <v/>
      </c>
      <c r="BS547" s="448" t="str">
        <f>_xlfn.IFNA(VLOOKUP($BK547,Programma!$F$3:$N$1101,9,0),"")</f>
        <v/>
      </c>
      <c r="BT547" s="448" t="str">
        <f>_xlfn.IFNA(VLOOKUP($BK547,Programma!$F$3:$O$1101,10,0),"")</f>
        <v/>
      </c>
      <c r="BU547" s="448" t="str">
        <f>_xlfn.IFNA(VLOOKUP($BK547,Programma!$F$3:$P$1101,11,0),"")</f>
        <v/>
      </c>
      <c r="BV547" s="448" t="str">
        <f>_xlfn.IFNA(VLOOKUP($BK547,Programma!$F$3:$Q$1101,12,0),"")</f>
        <v/>
      </c>
      <c r="BW547" s="448" t="str">
        <f>_xlfn.IFNA(VLOOKUP($BK547,Programma!$F$3:$R$1101,13,0),"")</f>
        <v/>
      </c>
      <c r="BX547" s="448" t="str">
        <f>_xlfn.IFNA(VLOOKUP($BK547,Programma!$F$3:$S$1101,14,0),"")</f>
        <v/>
      </c>
      <c r="BY547" s="448" t="str">
        <f>_xlfn.IFNA(VLOOKUP($BK547,Programma!$F$3:$T$1101,15,0),"")</f>
        <v/>
      </c>
      <c r="BZ547" s="448" t="str">
        <f>_xlfn.IFNA(VLOOKUP($BK547,Programma!$F$3:$U$1101,16,0),"")</f>
        <v/>
      </c>
      <c r="CA547" s="448" t="str">
        <f>_xlfn.IFNA(VLOOKUP($BK547,Programma!$F$3:$V$1101,17,0),"")</f>
        <v/>
      </c>
      <c r="CB547" s="448" t="str">
        <f>_xlfn.IFNA(VLOOKUP($BK547,Programma!$F$3:$W$1101,18,0),"")</f>
        <v/>
      </c>
      <c r="CC547" s="448" t="str">
        <f>_xlfn.IFNA(VLOOKUP($BK547,Programma!$F$3:$X$1101,19,0),"")</f>
        <v/>
      </c>
      <c r="CD547" s="448" t="str">
        <f>_xlfn.IFNA(VLOOKUP($BK547,Programma!$F$3:$Y$1101,20,0),"")</f>
        <v/>
      </c>
    </row>
    <row r="548" spans="1:82" ht="15" customHeight="1">
      <c r="A548" s="327">
        <v>19</v>
      </c>
      <c r="B548" s="435" t="str">
        <f>VLOOKUP(Ruimtestaat[[#This Row],[Code]],Locaties[[Code]:[Locatie]],2,FALSE)</f>
        <v>IKC de Leerplaneet (vhKlimboom)</v>
      </c>
      <c r="C548" s="435" t="str">
        <f>VLOOKUP(Ruimtestaat[[#This Row],[Code]],Locaties[[#All],[Code]:[Adres]],4,FALSE)</f>
        <v>Nesciohove 105-107</v>
      </c>
      <c r="D548" s="435" t="str">
        <f>VLOOKUP(Ruimtestaat[[#This Row],[Code]],Locaties[[#All],[Code]:[Postcode]],5,FALSE)</f>
        <v>2726 BL</v>
      </c>
      <c r="E548" s="435" t="str">
        <f>VLOOKUP(Ruimtestaat[[#This Row],[Code]],Locaties[#All],6,FALSE)</f>
        <v>Zoetermeer</v>
      </c>
      <c r="F548" s="450"/>
      <c r="G548" s="330" t="s">
        <v>1769</v>
      </c>
      <c r="H548" s="330" t="s">
        <v>1927</v>
      </c>
      <c r="I548" s="450" t="s">
        <v>1842</v>
      </c>
      <c r="J548" s="330">
        <v>16</v>
      </c>
      <c r="K548" s="450" t="str">
        <f>VLOOKUP(Ruimtestaat[[#This Row],[Ruimte code]],Ruimtegroepen[[#All],[Code]:[Ruimte omschrijving]],2,FALSE)</f>
        <v>Leslokalen</v>
      </c>
      <c r="L548" s="330" t="s">
        <v>101</v>
      </c>
      <c r="M548" s="437" t="s">
        <v>1816</v>
      </c>
      <c r="N548" s="439">
        <v>56.1</v>
      </c>
      <c r="O548" s="439"/>
      <c r="P548" s="439"/>
      <c r="Q548" s="439"/>
      <c r="R548" s="440" t="str">
        <f>VLOOKUP(Ruimtestaat[[#This Row],[Ruimte code]],Ruimtegroepen[],4,FALSE)</f>
        <v>Le</v>
      </c>
      <c r="S548" s="434">
        <v>40</v>
      </c>
      <c r="T548" s="434" t="s">
        <v>2</v>
      </c>
      <c r="U548" s="453">
        <f>IF(S548&gt;0,IF(RIGHT(Ruimtestaat[[#This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8" s="434">
        <f>IF(U548&gt;0,VLOOKUP($J548,Ruimtegroepen[],3,FALSE)*VLOOKUP($L548,Vloersoorten[],3,FALSE)*VLOOKUP($T548,Frequenties[],3,FALSE)*VLOOKUP($A548,Locaties[],3,FALSE),0)</f>
        <v>0</v>
      </c>
      <c r="W548" s="434">
        <f>Ruimtestaat[[#This Row],[Uitvoeringen werkdagen]]*Ruimtestaat[[#This Row],[Oppervlak (netto)]]</f>
        <v>11220</v>
      </c>
      <c r="X548" s="441">
        <f>IF(V548&gt;0,Ruimtestaat[[#This Row],[Prest. (m2 /jaar) werkdagen]]/Ruimtestaat[[#This Row],[Norm (m2/uur) werkdagen]],0)</f>
        <v>0</v>
      </c>
      <c r="Y548" s="442">
        <f>Ruimtestaat[[#This Row],[Uitvoeringen werkdagen]]*Ruimtestaat[[#This Row],[Gedeeltelijk]]</f>
        <v>0</v>
      </c>
      <c r="Z548" s="443" t="e">
        <f>IF(U548&gt;0,Ruimtestaat[[#This Row],[Prest. (m2 / jaar) werkdagen gedeeld]]/Ruimtestaat[[#This Row],[Norm (m2/uur) werkdagen]],0)</f>
        <v>#DIV/0!</v>
      </c>
      <c r="AA548" s="441" t="e">
        <f>Ruimtestaat[[#This Row],[uren / jaar werkdagen gedeeld]]*Tariefsopbouw!$E$35</f>
        <v>#DIV/0!</v>
      </c>
      <c r="AB548" s="441">
        <f>Ruimtestaat[[#This Row],[Uitvoeringen werkdagen]]*Ruimtestaat[[#This Row],[BSO]]</f>
        <v>0</v>
      </c>
      <c r="AC548" s="443" t="e">
        <f>IF(U548&gt;0,Ruimtestaat[[#This Row],[Prest. (m2 / jaar) werkdagen BSO]]/Ruimtestaat[[#This Row],[Norm (m2/uur) werkdagen]],0)</f>
        <v>#DIV/0!</v>
      </c>
      <c r="AD548" s="443" t="e">
        <f>Ruimtestaat[[#This Row],[uren / jaar werkdagen BSO]]*Tariefsopbouw!$E$35</f>
        <v>#DIV/0!</v>
      </c>
      <c r="AE548" s="444">
        <f>Ruimtestaat[[#This Row],[uren / jaar werkdagen]]*Tariefsopbouw!$E$35</f>
        <v>0</v>
      </c>
      <c r="AF548" s="454"/>
      <c r="AG548" s="455">
        <f>IF(Ruimtestaat[[#This Row],[Frequentie weekend]]&gt;0,VALUE(LEFT(AF548,1))*S548,0)</f>
        <v>0</v>
      </c>
      <c r="AH548" s="455">
        <f>IF($AG548&gt;0,VLOOKUP($J548,Ruimtegroepen[],3,FALSE)*VLOOKUP($L548,Vloersoorten[],3,FALSE)*VLOOKUP($AF548,Frequenties[],3,FALSE)*VLOOKUP(#REF!,Locaties[],3,FALSE),0)</f>
        <v>0</v>
      </c>
      <c r="AI548" s="434">
        <f>Ruimtestaat[[#This Row],[Uitvoeringen weekend]]*Ruimtestaat[[#This Row],[Oppervlak (netto)]]</f>
        <v>0</v>
      </c>
      <c r="AJ548" s="434">
        <f>IF(AH548&gt;0,Ruimtestaat[[#This Row],[Prest. (m2 /jaar) weekend]]/Ruimtestaat[[#This Row],[Norm (m2/uur) weekend]],0)</f>
        <v>0</v>
      </c>
      <c r="AK548" s="444">
        <f>Ruimtestaat[[#This Row],[uren / jaar weekend]]*Tariefsopbouw!$D$40</f>
        <v>0</v>
      </c>
      <c r="AL548" s="441">
        <f>Ruimtestaat[[#This Row],[Prest. (m2 /jaar) weekend]]+Ruimtestaat[[#This Row],[Prest. (m2 /jaar) werkdagen]]</f>
        <v>11220</v>
      </c>
      <c r="AM548" s="441">
        <f>Ruimtestaat[[#This Row],[uren / jaar weekend]]+Ruimtestaat[[#This Row],[uren / jaar werkdagen]]</f>
        <v>0</v>
      </c>
      <c r="AN548" s="446">
        <f>Ruimtestaat[[#This Row],[kosten / jaar weekend]]+Ruimtestaat[[#This Row],[kosten / jaar werkdagen]]</f>
        <v>0</v>
      </c>
      <c r="AO548" s="446"/>
      <c r="AP548" s="446" t="str">
        <f>IF(Ruimtestaat[[#This Row],[Frequentie werkdagen]]="","",_xlfn.CONCAT(Ruimtestaat[[#This Row],[Ruimte code]],"-",Ruimtestaat[[#This Row],[Frequentie werkdagen]]," ",Ruimtestaat[[#This Row],[Vloer code]]))</f>
        <v>16-5w S</v>
      </c>
      <c r="AQ548" s="448" t="str">
        <f>_xlfn.IFNA(VLOOKUP($AP548,Programma!$F$3:$G$1101,2,0),"")</f>
        <v>_</v>
      </c>
      <c r="AR548" s="448" t="str">
        <f>_xlfn.IFNA(VLOOKUP($AP548,Programma!$F$3:$H$1101,3,0),"")</f>
        <v>_</v>
      </c>
      <c r="AS548" s="448" t="str">
        <f>_xlfn.IFNA(VLOOKUP($AP548,Programma!$F$3:$I$1101,4,0),"")</f>
        <v>4w</v>
      </c>
      <c r="AT548" s="448" t="str">
        <f>_xlfn.IFNA(VLOOKUP($AP548,Programma!$F$3:$J$1101,5,0),"")</f>
        <v>1w</v>
      </c>
      <c r="AU548" s="448" t="str">
        <f>_xlfn.IFNA(VLOOKUP($AP548,Programma!$F$3:$K$1101,6,0),"")</f>
        <v>1m</v>
      </c>
      <c r="AV548" s="448" t="str">
        <f>_xlfn.IFNA(VLOOKUP($AP548,Programma!$F$3:$L$1101,7,0),"")</f>
        <v>_</v>
      </c>
      <c r="AW548" s="448" t="str">
        <f>_xlfn.IFNA(VLOOKUP($AP548,Programma!$F$3:$M$1101,8,0),"")</f>
        <v>_</v>
      </c>
      <c r="AX548" s="448" t="str">
        <f>_xlfn.IFNA(VLOOKUP($AP548,Programma!$F$3:$N$1101,9,0),"")</f>
        <v>_</v>
      </c>
      <c r="AY548" s="448" t="str">
        <f>_xlfn.IFNA(VLOOKUP($AP548,Programma!$F$3:$O$1101,10,0),"")</f>
        <v>5w</v>
      </c>
      <c r="AZ548" s="448" t="str">
        <f>_xlfn.IFNA(VLOOKUP($AP548,Programma!$F$3:$P$1101,11,0),"")</f>
        <v>5w</v>
      </c>
      <c r="BA548" s="448" t="str">
        <f>_xlfn.IFNA(VLOOKUP($AP548,Programma!$F$3:$Q$1101,12,0),"")</f>
        <v>1w</v>
      </c>
      <c r="BB548" s="448" t="str">
        <f>_xlfn.IFNA(VLOOKUP($AP548,Programma!$F$3:$R$1101,13,0),"")</f>
        <v>1w</v>
      </c>
      <c r="BC548" s="448" t="str">
        <f>_xlfn.IFNA(VLOOKUP($AP548,Programma!$F$3:$S$1101,14,0),"")</f>
        <v>1m</v>
      </c>
      <c r="BD548" s="448" t="str">
        <f>_xlfn.IFNA(VLOOKUP($AP548,Programma!$F$3:$T$1101,15,0),"")</f>
        <v>2j</v>
      </c>
      <c r="BE548" s="448" t="str">
        <f>_xlfn.IFNA(VLOOKUP($AP548,Programma!$F$3:$U$1101,16,0),"")</f>
        <v>1j</v>
      </c>
      <c r="BF548" s="448" t="str">
        <f>_xlfn.IFNA(VLOOKUP($AP548,Programma!$F$3:$V$1101,17,0),"")</f>
        <v>_</v>
      </c>
      <c r="BG548" s="448" t="str">
        <f>_xlfn.IFNA(VLOOKUP($AP548,Programma!$F$3:$W$1101,18,0),"")</f>
        <v>_</v>
      </c>
      <c r="BH548" s="448" t="str">
        <f>_xlfn.IFNA(VLOOKUP($AP548,Programma!$F$3:$X$1101,19,0),"")</f>
        <v>_</v>
      </c>
      <c r="BI548" s="448" t="str">
        <f>_xlfn.IFNA(VLOOKUP($AP548,Programma!$F$3:$Y$1101,20,0),"")</f>
        <v>_</v>
      </c>
      <c r="BJ548" s="449"/>
      <c r="BK548" s="446" t="str">
        <f>IF(Ruimtestaat[[#This Row],[Frequentie weekend]]="","",_xlfn.CONCAT(Ruimtestaat[[#This Row],[Ruimte code]],"-",Ruimtestaat[[#This Row],[Frequentie weekend]]," ",Ruimtestaat[[#This Row],[Vloer code]]))</f>
        <v/>
      </c>
      <c r="BL548" s="448" t="str">
        <f>_xlfn.IFNA(VLOOKUP($BK548,Programma!$F$3:$G$1101,2,0),"")</f>
        <v/>
      </c>
      <c r="BM548" s="448" t="str">
        <f>_xlfn.IFNA(VLOOKUP($BK548,Programma!$F$3:$H$1101,3,0),"")</f>
        <v/>
      </c>
      <c r="BN548" s="448" t="str">
        <f>_xlfn.IFNA(VLOOKUP($BK548,Programma!$F$3:$I$1101,4,0),"")</f>
        <v/>
      </c>
      <c r="BO548" s="448" t="str">
        <f>_xlfn.IFNA(VLOOKUP($BK548,Programma!$F$3:$J$1101,5,0),"")</f>
        <v/>
      </c>
      <c r="BP548" s="448" t="str">
        <f>_xlfn.IFNA(VLOOKUP($BK548,Programma!$F$3:$K$1101,6,0),"")</f>
        <v/>
      </c>
      <c r="BQ548" s="448" t="str">
        <f>_xlfn.IFNA(VLOOKUP($BK548,Programma!$F$3:$L$1101,7,0),"")</f>
        <v/>
      </c>
      <c r="BR548" s="448" t="str">
        <f>_xlfn.IFNA(VLOOKUP($BK548,Programma!$F$3:$M$1101,8,0),"")</f>
        <v/>
      </c>
      <c r="BS548" s="448" t="str">
        <f>_xlfn.IFNA(VLOOKUP($BK548,Programma!$F$3:$N$1101,9,0),"")</f>
        <v/>
      </c>
      <c r="BT548" s="448" t="str">
        <f>_xlfn.IFNA(VLOOKUP($BK548,Programma!$F$3:$O$1101,10,0),"")</f>
        <v/>
      </c>
      <c r="BU548" s="448" t="str">
        <f>_xlfn.IFNA(VLOOKUP($BK548,Programma!$F$3:$P$1101,11,0),"")</f>
        <v/>
      </c>
      <c r="BV548" s="448" t="str">
        <f>_xlfn.IFNA(VLOOKUP($BK548,Programma!$F$3:$Q$1101,12,0),"")</f>
        <v/>
      </c>
      <c r="BW548" s="448" t="str">
        <f>_xlfn.IFNA(VLOOKUP($BK548,Programma!$F$3:$R$1101,13,0),"")</f>
        <v/>
      </c>
      <c r="BX548" s="448" t="str">
        <f>_xlfn.IFNA(VLOOKUP($BK548,Programma!$F$3:$S$1101,14,0),"")</f>
        <v/>
      </c>
      <c r="BY548" s="448" t="str">
        <f>_xlfn.IFNA(VLOOKUP($BK548,Programma!$F$3:$T$1101,15,0),"")</f>
        <v/>
      </c>
      <c r="BZ548" s="448" t="str">
        <f>_xlfn.IFNA(VLOOKUP($BK548,Programma!$F$3:$U$1101,16,0),"")</f>
        <v/>
      </c>
      <c r="CA548" s="448" t="str">
        <f>_xlfn.IFNA(VLOOKUP($BK548,Programma!$F$3:$V$1101,17,0),"")</f>
        <v/>
      </c>
      <c r="CB548" s="448" t="str">
        <f>_xlfn.IFNA(VLOOKUP($BK548,Programma!$F$3:$W$1101,18,0),"")</f>
        <v/>
      </c>
      <c r="CC548" s="448" t="str">
        <f>_xlfn.IFNA(VLOOKUP($BK548,Programma!$F$3:$X$1101,19,0),"")</f>
        <v/>
      </c>
      <c r="CD548" s="448" t="str">
        <f>_xlfn.IFNA(VLOOKUP($BK548,Programma!$F$3:$Y$1101,20,0),"")</f>
        <v/>
      </c>
    </row>
    <row r="549" spans="1:82" ht="15" customHeight="1">
      <c r="A549" s="327">
        <v>19</v>
      </c>
      <c r="B549" s="435" t="str">
        <f>VLOOKUP(Ruimtestaat[[#This Row],[Code]],Locaties[[Code]:[Locatie]],2,FALSE)</f>
        <v>IKC de Leerplaneet (vhKlimboom)</v>
      </c>
      <c r="C549" s="435" t="str">
        <f>VLOOKUP(Ruimtestaat[[#This Row],[Code]],Locaties[[#All],[Code]:[Adres]],4,FALSE)</f>
        <v>Nesciohove 105-107</v>
      </c>
      <c r="D549" s="435" t="str">
        <f>VLOOKUP(Ruimtestaat[[#This Row],[Code]],Locaties[[#All],[Code]:[Postcode]],5,FALSE)</f>
        <v>2726 BL</v>
      </c>
      <c r="E549" s="435" t="str">
        <f>VLOOKUP(Ruimtestaat[[#This Row],[Code]],Locaties[#All],6,FALSE)</f>
        <v>Zoetermeer</v>
      </c>
      <c r="F549" s="450"/>
      <c r="G549" s="330" t="s">
        <v>1769</v>
      </c>
      <c r="H549" s="330" t="s">
        <v>1927</v>
      </c>
      <c r="I549" s="450" t="s">
        <v>1901</v>
      </c>
      <c r="J549" s="330">
        <v>11</v>
      </c>
      <c r="K549" s="450" t="str">
        <f>VLOOKUP(Ruimtestaat[[#This Row],[Ruimte code]],Ruimtegroepen[[#All],[Code]:[Ruimte omschrijving]],2,FALSE)</f>
        <v>Garderobes</v>
      </c>
      <c r="L549" s="330" t="s">
        <v>101</v>
      </c>
      <c r="M549" s="437" t="s">
        <v>1816</v>
      </c>
      <c r="N549" s="439">
        <v>3</v>
      </c>
      <c r="O549" s="439"/>
      <c r="P549" s="439"/>
      <c r="Q549" s="439"/>
      <c r="R549" s="440" t="str">
        <f>VLOOKUP(Ruimtestaat[[#This Row],[Ruimte code]],Ruimtegroepen[],4,FALSE)</f>
        <v>Ve</v>
      </c>
      <c r="S549" s="434">
        <v>40</v>
      </c>
      <c r="T549" s="434" t="s">
        <v>2</v>
      </c>
      <c r="U549" s="453">
        <f>IF(S549&gt;0,IF(RIGHT(Ruimtestaat[[#This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9" s="434">
        <f>IF(U549&gt;0,VLOOKUP($J549,Ruimtegroepen[],3,FALSE)*VLOOKUP($L549,Vloersoorten[],3,FALSE)*VLOOKUP($T549,Frequenties[],3,FALSE)*VLOOKUP($A549,Locaties[],3,FALSE),0)</f>
        <v>0</v>
      </c>
      <c r="W549" s="434">
        <f>Ruimtestaat[[#This Row],[Uitvoeringen werkdagen]]*Ruimtestaat[[#This Row],[Oppervlak (netto)]]</f>
        <v>600</v>
      </c>
      <c r="X549" s="441">
        <f>IF(V549&gt;0,Ruimtestaat[[#This Row],[Prest. (m2 /jaar) werkdagen]]/Ruimtestaat[[#This Row],[Norm (m2/uur) werkdagen]],0)</f>
        <v>0</v>
      </c>
      <c r="Y549" s="442">
        <f>Ruimtestaat[[#This Row],[Uitvoeringen werkdagen]]*Ruimtestaat[[#This Row],[Gedeeltelijk]]</f>
        <v>0</v>
      </c>
      <c r="Z549" s="443" t="e">
        <f>IF(U549&gt;0,Ruimtestaat[[#This Row],[Prest. (m2 / jaar) werkdagen gedeeld]]/Ruimtestaat[[#This Row],[Norm (m2/uur) werkdagen]],0)</f>
        <v>#DIV/0!</v>
      </c>
      <c r="AA549" s="441" t="e">
        <f>Ruimtestaat[[#This Row],[uren / jaar werkdagen gedeeld]]*Tariefsopbouw!$E$35</f>
        <v>#DIV/0!</v>
      </c>
      <c r="AB549" s="441">
        <f>Ruimtestaat[[#This Row],[Uitvoeringen werkdagen]]*Ruimtestaat[[#This Row],[BSO]]</f>
        <v>0</v>
      </c>
      <c r="AC549" s="443" t="e">
        <f>IF(U549&gt;0,Ruimtestaat[[#This Row],[Prest. (m2 / jaar) werkdagen BSO]]/Ruimtestaat[[#This Row],[Norm (m2/uur) werkdagen]],0)</f>
        <v>#DIV/0!</v>
      </c>
      <c r="AD549" s="443" t="e">
        <f>Ruimtestaat[[#This Row],[uren / jaar werkdagen BSO]]*Tariefsopbouw!$E$35</f>
        <v>#DIV/0!</v>
      </c>
      <c r="AE549" s="444">
        <f>Ruimtestaat[[#This Row],[uren / jaar werkdagen]]*Tariefsopbouw!$E$35</f>
        <v>0</v>
      </c>
      <c r="AF549" s="454"/>
      <c r="AG549" s="455">
        <f>IF(Ruimtestaat[[#This Row],[Frequentie weekend]]&gt;0,VALUE(LEFT(AF549,1))*S549,0)</f>
        <v>0</v>
      </c>
      <c r="AH549" s="455">
        <f>IF($AG549&gt;0,VLOOKUP($J549,Ruimtegroepen[],3,FALSE)*VLOOKUP($L549,Vloersoorten[],3,FALSE)*VLOOKUP($AF549,Frequenties[],3,FALSE)*VLOOKUP(#REF!,Locaties[],3,FALSE),0)</f>
        <v>0</v>
      </c>
      <c r="AI549" s="434">
        <f>Ruimtestaat[[#This Row],[Uitvoeringen weekend]]*Ruimtestaat[[#This Row],[Oppervlak (netto)]]</f>
        <v>0</v>
      </c>
      <c r="AJ549" s="434">
        <f>IF(AH549&gt;0,Ruimtestaat[[#This Row],[Prest. (m2 /jaar) weekend]]/Ruimtestaat[[#This Row],[Norm (m2/uur) weekend]],0)</f>
        <v>0</v>
      </c>
      <c r="AK549" s="444">
        <f>Ruimtestaat[[#This Row],[uren / jaar weekend]]*Tariefsopbouw!$D$40</f>
        <v>0</v>
      </c>
      <c r="AL549" s="441">
        <f>Ruimtestaat[[#This Row],[Prest. (m2 /jaar) weekend]]+Ruimtestaat[[#This Row],[Prest. (m2 /jaar) werkdagen]]</f>
        <v>600</v>
      </c>
      <c r="AM549" s="441">
        <f>Ruimtestaat[[#This Row],[uren / jaar weekend]]+Ruimtestaat[[#This Row],[uren / jaar werkdagen]]</f>
        <v>0</v>
      </c>
      <c r="AN549" s="446">
        <f>Ruimtestaat[[#This Row],[kosten / jaar weekend]]+Ruimtestaat[[#This Row],[kosten / jaar werkdagen]]</f>
        <v>0</v>
      </c>
      <c r="AO549" s="446"/>
      <c r="AP549" s="446" t="str">
        <f>IF(Ruimtestaat[[#This Row],[Frequentie werkdagen]]="","",_xlfn.CONCAT(Ruimtestaat[[#This Row],[Ruimte code]],"-",Ruimtestaat[[#This Row],[Frequentie werkdagen]]," ",Ruimtestaat[[#This Row],[Vloer code]]))</f>
        <v>11-5w S</v>
      </c>
      <c r="AQ549" s="448" t="str">
        <f>_xlfn.IFNA(VLOOKUP($AP549,Programma!$F$3:$G$1101,2,0),"")</f>
        <v>_</v>
      </c>
      <c r="AR549" s="448" t="str">
        <f>_xlfn.IFNA(VLOOKUP($AP549,Programma!$F$3:$H$1101,3,0),"")</f>
        <v>_</v>
      </c>
      <c r="AS549" s="448" t="str">
        <f>_xlfn.IFNA(VLOOKUP($AP549,Programma!$F$3:$I$1101,4,0),"")</f>
        <v>4w</v>
      </c>
      <c r="AT549" s="448" t="str">
        <f>_xlfn.IFNA(VLOOKUP($AP549,Programma!$F$3:$J$1101,5,0),"")</f>
        <v>1w</v>
      </c>
      <c r="AU549" s="448" t="str">
        <f>_xlfn.IFNA(VLOOKUP($AP549,Programma!$F$3:$K$1101,6,0),"")</f>
        <v>4j</v>
      </c>
      <c r="AV549" s="448" t="str">
        <f>_xlfn.IFNA(VLOOKUP($AP549,Programma!$F$3:$L$1101,7,0),"")</f>
        <v>_</v>
      </c>
      <c r="AW549" s="448" t="str">
        <f>_xlfn.IFNA(VLOOKUP($AP549,Programma!$F$3:$M$1101,8,0),"")</f>
        <v>_</v>
      </c>
      <c r="AX549" s="448" t="str">
        <f>_xlfn.IFNA(VLOOKUP($AP549,Programma!$F$3:$N$1101,9,0),"")</f>
        <v>_</v>
      </c>
      <c r="AY549" s="448" t="str">
        <f>_xlfn.IFNA(VLOOKUP($AP549,Programma!$F$3:$O$1101,10,0),"")</f>
        <v>5w</v>
      </c>
      <c r="AZ549" s="448" t="str">
        <f>_xlfn.IFNA(VLOOKUP($AP549,Programma!$F$3:$P$1101,11,0),"")</f>
        <v>5w</v>
      </c>
      <c r="BA549" s="448" t="str">
        <f>_xlfn.IFNA(VLOOKUP($AP549,Programma!$F$3:$Q$1101,12,0),"")</f>
        <v>1w</v>
      </c>
      <c r="BB549" s="448" t="str">
        <f>_xlfn.IFNA(VLOOKUP($AP549,Programma!$F$3:$R$1101,13,0),"")</f>
        <v>1w</v>
      </c>
      <c r="BC549" s="448" t="str">
        <f>_xlfn.IFNA(VLOOKUP($AP549,Programma!$F$3:$S$1101,14,0),"")</f>
        <v>1m</v>
      </c>
      <c r="BD549" s="448" t="str">
        <f>_xlfn.IFNA(VLOOKUP($AP549,Programma!$F$3:$T$1101,15,0),"")</f>
        <v>2j</v>
      </c>
      <c r="BE549" s="448" t="str">
        <f>_xlfn.IFNA(VLOOKUP($AP549,Programma!$F$3:$U$1101,16,0),"")</f>
        <v>1j</v>
      </c>
      <c r="BF549" s="448" t="str">
        <f>_xlfn.IFNA(VLOOKUP($AP549,Programma!$F$3:$V$1101,17,0),"")</f>
        <v>_</v>
      </c>
      <c r="BG549" s="448" t="str">
        <f>_xlfn.IFNA(VLOOKUP($AP549,Programma!$F$3:$W$1101,18,0),"")</f>
        <v>_</v>
      </c>
      <c r="BH549" s="448" t="str">
        <f>_xlfn.IFNA(VLOOKUP($AP549,Programma!$F$3:$X$1101,19,0),"")</f>
        <v>_</v>
      </c>
      <c r="BI549" s="448" t="str">
        <f>_xlfn.IFNA(VLOOKUP($AP549,Programma!$F$3:$Y$1101,20,0),"")</f>
        <v>_</v>
      </c>
      <c r="BJ549" s="449"/>
      <c r="BK549" s="446" t="str">
        <f>IF(Ruimtestaat[[#This Row],[Frequentie weekend]]="","",_xlfn.CONCAT(Ruimtestaat[[#This Row],[Ruimte code]],"-",Ruimtestaat[[#This Row],[Frequentie weekend]]," ",Ruimtestaat[[#This Row],[Vloer code]]))</f>
        <v/>
      </c>
      <c r="BL549" s="448" t="str">
        <f>_xlfn.IFNA(VLOOKUP($BK549,Programma!$F$3:$G$1101,2,0),"")</f>
        <v/>
      </c>
      <c r="BM549" s="448" t="str">
        <f>_xlfn.IFNA(VLOOKUP($BK549,Programma!$F$3:$H$1101,3,0),"")</f>
        <v/>
      </c>
      <c r="BN549" s="448" t="str">
        <f>_xlfn.IFNA(VLOOKUP($BK549,Programma!$F$3:$I$1101,4,0),"")</f>
        <v/>
      </c>
      <c r="BO549" s="448" t="str">
        <f>_xlfn.IFNA(VLOOKUP($BK549,Programma!$F$3:$J$1101,5,0),"")</f>
        <v/>
      </c>
      <c r="BP549" s="448" t="str">
        <f>_xlfn.IFNA(VLOOKUP($BK549,Programma!$F$3:$K$1101,6,0),"")</f>
        <v/>
      </c>
      <c r="BQ549" s="448" t="str">
        <f>_xlfn.IFNA(VLOOKUP($BK549,Programma!$F$3:$L$1101,7,0),"")</f>
        <v/>
      </c>
      <c r="BR549" s="448" t="str">
        <f>_xlfn.IFNA(VLOOKUP($BK549,Programma!$F$3:$M$1101,8,0),"")</f>
        <v/>
      </c>
      <c r="BS549" s="448" t="str">
        <f>_xlfn.IFNA(VLOOKUP($BK549,Programma!$F$3:$N$1101,9,0),"")</f>
        <v/>
      </c>
      <c r="BT549" s="448" t="str">
        <f>_xlfn.IFNA(VLOOKUP($BK549,Programma!$F$3:$O$1101,10,0),"")</f>
        <v/>
      </c>
      <c r="BU549" s="448" t="str">
        <f>_xlfn.IFNA(VLOOKUP($BK549,Programma!$F$3:$P$1101,11,0),"")</f>
        <v/>
      </c>
      <c r="BV549" s="448" t="str">
        <f>_xlfn.IFNA(VLOOKUP($BK549,Programma!$F$3:$Q$1101,12,0),"")</f>
        <v/>
      </c>
      <c r="BW549" s="448" t="str">
        <f>_xlfn.IFNA(VLOOKUP($BK549,Programma!$F$3:$R$1101,13,0),"")</f>
        <v/>
      </c>
      <c r="BX549" s="448" t="str">
        <f>_xlfn.IFNA(VLOOKUP($BK549,Programma!$F$3:$S$1101,14,0),"")</f>
        <v/>
      </c>
      <c r="BY549" s="448" t="str">
        <f>_xlfn.IFNA(VLOOKUP($BK549,Programma!$F$3:$T$1101,15,0),"")</f>
        <v/>
      </c>
      <c r="BZ549" s="448" t="str">
        <f>_xlfn.IFNA(VLOOKUP($BK549,Programma!$F$3:$U$1101,16,0),"")</f>
        <v/>
      </c>
      <c r="CA549" s="448" t="str">
        <f>_xlfn.IFNA(VLOOKUP($BK549,Programma!$F$3:$V$1101,17,0),"")</f>
        <v/>
      </c>
      <c r="CB549" s="448" t="str">
        <f>_xlfn.IFNA(VLOOKUP($BK549,Programma!$F$3:$W$1101,18,0),"")</f>
        <v/>
      </c>
      <c r="CC549" s="448" t="str">
        <f>_xlfn.IFNA(VLOOKUP($BK549,Programma!$F$3:$X$1101,19,0),"")</f>
        <v/>
      </c>
      <c r="CD549" s="448" t="str">
        <f>_xlfn.IFNA(VLOOKUP($BK549,Programma!$F$3:$Y$1101,20,0),"")</f>
        <v/>
      </c>
    </row>
    <row r="550" spans="1:82" ht="15" customHeight="1">
      <c r="A550" s="327">
        <v>19</v>
      </c>
      <c r="B550" s="435" t="str">
        <f>VLOOKUP(Ruimtestaat[[#This Row],[Code]],Locaties[[Code]:[Locatie]],2,FALSE)</f>
        <v>IKC de Leerplaneet (vhKlimboom)</v>
      </c>
      <c r="C550" s="435" t="str">
        <f>VLOOKUP(Ruimtestaat[[#This Row],[Code]],Locaties[[#All],[Code]:[Adres]],4,FALSE)</f>
        <v>Nesciohove 105-107</v>
      </c>
      <c r="D550" s="435" t="str">
        <f>VLOOKUP(Ruimtestaat[[#This Row],[Code]],Locaties[[#All],[Code]:[Postcode]],5,FALSE)</f>
        <v>2726 BL</v>
      </c>
      <c r="E550" s="435" t="str">
        <f>VLOOKUP(Ruimtestaat[[#This Row],[Code]],Locaties[#All],6,FALSE)</f>
        <v>Zoetermeer</v>
      </c>
      <c r="F550" s="450"/>
      <c r="G550" s="330" t="s">
        <v>1769</v>
      </c>
      <c r="H550" s="330" t="s">
        <v>1928</v>
      </c>
      <c r="I550" s="450" t="s">
        <v>1842</v>
      </c>
      <c r="J550" s="330">
        <v>16</v>
      </c>
      <c r="K550" s="450" t="str">
        <f>VLOOKUP(Ruimtestaat[[#This Row],[Ruimte code]],Ruimtegroepen[[#All],[Code]:[Ruimte omschrijving]],2,FALSE)</f>
        <v>Leslokalen</v>
      </c>
      <c r="L550" s="330" t="s">
        <v>101</v>
      </c>
      <c r="M550" s="437" t="s">
        <v>1816</v>
      </c>
      <c r="N550" s="439">
        <v>56.1</v>
      </c>
      <c r="O550" s="439"/>
      <c r="P550" s="439"/>
      <c r="Q550" s="439"/>
      <c r="R550" s="440" t="str">
        <f>VLOOKUP(Ruimtestaat[[#This Row],[Ruimte code]],Ruimtegroepen[],4,FALSE)</f>
        <v>Le</v>
      </c>
      <c r="S550" s="434">
        <v>40</v>
      </c>
      <c r="T550" s="434" t="s">
        <v>2</v>
      </c>
      <c r="U550" s="453">
        <f>IF(S550&gt;0,IF(RIGHT(Ruimtestaat[[#This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0" s="434">
        <f>IF(U550&gt;0,VLOOKUP($J550,Ruimtegroepen[],3,FALSE)*VLOOKUP($L550,Vloersoorten[],3,FALSE)*VLOOKUP($T550,Frequenties[],3,FALSE)*VLOOKUP($A550,Locaties[],3,FALSE),0)</f>
        <v>0</v>
      </c>
      <c r="W550" s="434">
        <f>Ruimtestaat[[#This Row],[Uitvoeringen werkdagen]]*Ruimtestaat[[#This Row],[Oppervlak (netto)]]</f>
        <v>11220</v>
      </c>
      <c r="X550" s="441">
        <f>IF(V550&gt;0,Ruimtestaat[[#This Row],[Prest. (m2 /jaar) werkdagen]]/Ruimtestaat[[#This Row],[Norm (m2/uur) werkdagen]],0)</f>
        <v>0</v>
      </c>
      <c r="Y550" s="442">
        <f>Ruimtestaat[[#This Row],[Uitvoeringen werkdagen]]*Ruimtestaat[[#This Row],[Gedeeltelijk]]</f>
        <v>0</v>
      </c>
      <c r="Z550" s="443" t="e">
        <f>IF(U550&gt;0,Ruimtestaat[[#This Row],[Prest. (m2 / jaar) werkdagen gedeeld]]/Ruimtestaat[[#This Row],[Norm (m2/uur) werkdagen]],0)</f>
        <v>#DIV/0!</v>
      </c>
      <c r="AA550" s="441" t="e">
        <f>Ruimtestaat[[#This Row],[uren / jaar werkdagen gedeeld]]*Tariefsopbouw!$E$35</f>
        <v>#DIV/0!</v>
      </c>
      <c r="AB550" s="441">
        <f>Ruimtestaat[[#This Row],[Uitvoeringen werkdagen]]*Ruimtestaat[[#This Row],[BSO]]</f>
        <v>0</v>
      </c>
      <c r="AC550" s="443" t="e">
        <f>IF(U550&gt;0,Ruimtestaat[[#This Row],[Prest. (m2 / jaar) werkdagen BSO]]/Ruimtestaat[[#This Row],[Norm (m2/uur) werkdagen]],0)</f>
        <v>#DIV/0!</v>
      </c>
      <c r="AD550" s="443" t="e">
        <f>Ruimtestaat[[#This Row],[uren / jaar werkdagen BSO]]*Tariefsopbouw!$E$35</f>
        <v>#DIV/0!</v>
      </c>
      <c r="AE550" s="444">
        <f>Ruimtestaat[[#This Row],[uren / jaar werkdagen]]*Tariefsopbouw!$E$35</f>
        <v>0</v>
      </c>
      <c r="AF550" s="454"/>
      <c r="AG550" s="455">
        <f>IF(Ruimtestaat[[#This Row],[Frequentie weekend]]&gt;0,VALUE(LEFT(AF550,1))*S550,0)</f>
        <v>0</v>
      </c>
      <c r="AH550" s="455">
        <f>IF($AG550&gt;0,VLOOKUP($J550,Ruimtegroepen[],3,FALSE)*VLOOKUP($L550,Vloersoorten[],3,FALSE)*VLOOKUP($AF550,Frequenties[],3,FALSE)*VLOOKUP(#REF!,Locaties[],3,FALSE),0)</f>
        <v>0</v>
      </c>
      <c r="AI550" s="434">
        <f>Ruimtestaat[[#This Row],[Uitvoeringen weekend]]*Ruimtestaat[[#This Row],[Oppervlak (netto)]]</f>
        <v>0</v>
      </c>
      <c r="AJ550" s="434">
        <f>IF(AH550&gt;0,Ruimtestaat[[#This Row],[Prest. (m2 /jaar) weekend]]/Ruimtestaat[[#This Row],[Norm (m2/uur) weekend]],0)</f>
        <v>0</v>
      </c>
      <c r="AK550" s="444">
        <f>Ruimtestaat[[#This Row],[uren / jaar weekend]]*Tariefsopbouw!$D$40</f>
        <v>0</v>
      </c>
      <c r="AL550" s="441">
        <f>Ruimtestaat[[#This Row],[Prest. (m2 /jaar) weekend]]+Ruimtestaat[[#This Row],[Prest. (m2 /jaar) werkdagen]]</f>
        <v>11220</v>
      </c>
      <c r="AM550" s="441">
        <f>Ruimtestaat[[#This Row],[uren / jaar weekend]]+Ruimtestaat[[#This Row],[uren / jaar werkdagen]]</f>
        <v>0</v>
      </c>
      <c r="AN550" s="446">
        <f>Ruimtestaat[[#This Row],[kosten / jaar weekend]]+Ruimtestaat[[#This Row],[kosten / jaar werkdagen]]</f>
        <v>0</v>
      </c>
      <c r="AO550" s="446"/>
      <c r="AP550" s="446" t="str">
        <f>IF(Ruimtestaat[[#This Row],[Frequentie werkdagen]]="","",_xlfn.CONCAT(Ruimtestaat[[#This Row],[Ruimte code]],"-",Ruimtestaat[[#This Row],[Frequentie werkdagen]]," ",Ruimtestaat[[#This Row],[Vloer code]]))</f>
        <v>16-5w S</v>
      </c>
      <c r="AQ550" s="448" t="str">
        <f>_xlfn.IFNA(VLOOKUP($AP550,Programma!$F$3:$G$1101,2,0),"")</f>
        <v>_</v>
      </c>
      <c r="AR550" s="448" t="str">
        <f>_xlfn.IFNA(VLOOKUP($AP550,Programma!$F$3:$H$1101,3,0),"")</f>
        <v>_</v>
      </c>
      <c r="AS550" s="448" t="str">
        <f>_xlfn.IFNA(VLOOKUP($AP550,Programma!$F$3:$I$1101,4,0),"")</f>
        <v>4w</v>
      </c>
      <c r="AT550" s="448" t="str">
        <f>_xlfn.IFNA(VLOOKUP($AP550,Programma!$F$3:$J$1101,5,0),"")</f>
        <v>1w</v>
      </c>
      <c r="AU550" s="448" t="str">
        <f>_xlfn.IFNA(VLOOKUP($AP550,Programma!$F$3:$K$1101,6,0),"")</f>
        <v>1m</v>
      </c>
      <c r="AV550" s="448" t="str">
        <f>_xlfn.IFNA(VLOOKUP($AP550,Programma!$F$3:$L$1101,7,0),"")</f>
        <v>_</v>
      </c>
      <c r="AW550" s="448" t="str">
        <f>_xlfn.IFNA(VLOOKUP($AP550,Programma!$F$3:$M$1101,8,0),"")</f>
        <v>_</v>
      </c>
      <c r="AX550" s="448" t="str">
        <f>_xlfn.IFNA(VLOOKUP($AP550,Programma!$F$3:$N$1101,9,0),"")</f>
        <v>_</v>
      </c>
      <c r="AY550" s="448" t="str">
        <f>_xlfn.IFNA(VLOOKUP($AP550,Programma!$F$3:$O$1101,10,0),"")</f>
        <v>5w</v>
      </c>
      <c r="AZ550" s="448" t="str">
        <f>_xlfn.IFNA(VLOOKUP($AP550,Programma!$F$3:$P$1101,11,0),"")</f>
        <v>5w</v>
      </c>
      <c r="BA550" s="448" t="str">
        <f>_xlfn.IFNA(VLOOKUP($AP550,Programma!$F$3:$Q$1101,12,0),"")</f>
        <v>1w</v>
      </c>
      <c r="BB550" s="448" t="str">
        <f>_xlfn.IFNA(VLOOKUP($AP550,Programma!$F$3:$R$1101,13,0),"")</f>
        <v>1w</v>
      </c>
      <c r="BC550" s="448" t="str">
        <f>_xlfn.IFNA(VLOOKUP($AP550,Programma!$F$3:$S$1101,14,0),"")</f>
        <v>1m</v>
      </c>
      <c r="BD550" s="448" t="str">
        <f>_xlfn.IFNA(VLOOKUP($AP550,Programma!$F$3:$T$1101,15,0),"")</f>
        <v>2j</v>
      </c>
      <c r="BE550" s="448" t="str">
        <f>_xlfn.IFNA(VLOOKUP($AP550,Programma!$F$3:$U$1101,16,0),"")</f>
        <v>1j</v>
      </c>
      <c r="BF550" s="448" t="str">
        <f>_xlfn.IFNA(VLOOKUP($AP550,Programma!$F$3:$V$1101,17,0),"")</f>
        <v>_</v>
      </c>
      <c r="BG550" s="448" t="str">
        <f>_xlfn.IFNA(VLOOKUP($AP550,Programma!$F$3:$W$1101,18,0),"")</f>
        <v>_</v>
      </c>
      <c r="BH550" s="448" t="str">
        <f>_xlfn.IFNA(VLOOKUP($AP550,Programma!$F$3:$X$1101,19,0),"")</f>
        <v>_</v>
      </c>
      <c r="BI550" s="448" t="str">
        <f>_xlfn.IFNA(VLOOKUP($AP550,Programma!$F$3:$Y$1101,20,0),"")</f>
        <v>_</v>
      </c>
      <c r="BJ550" s="449"/>
      <c r="BK550" s="446" t="str">
        <f>IF(Ruimtestaat[[#This Row],[Frequentie weekend]]="","",_xlfn.CONCAT(Ruimtestaat[[#This Row],[Ruimte code]],"-",Ruimtestaat[[#This Row],[Frequentie weekend]]," ",Ruimtestaat[[#This Row],[Vloer code]]))</f>
        <v/>
      </c>
      <c r="BL550" s="448" t="str">
        <f>_xlfn.IFNA(VLOOKUP($BK550,Programma!$F$3:$G$1101,2,0),"")</f>
        <v/>
      </c>
      <c r="BM550" s="448" t="str">
        <f>_xlfn.IFNA(VLOOKUP($BK550,Programma!$F$3:$H$1101,3,0),"")</f>
        <v/>
      </c>
      <c r="BN550" s="448" t="str">
        <f>_xlfn.IFNA(VLOOKUP($BK550,Programma!$F$3:$I$1101,4,0),"")</f>
        <v/>
      </c>
      <c r="BO550" s="448" t="str">
        <f>_xlfn.IFNA(VLOOKUP($BK550,Programma!$F$3:$J$1101,5,0),"")</f>
        <v/>
      </c>
      <c r="BP550" s="448" t="str">
        <f>_xlfn.IFNA(VLOOKUP($BK550,Programma!$F$3:$K$1101,6,0),"")</f>
        <v/>
      </c>
      <c r="BQ550" s="448" t="str">
        <f>_xlfn.IFNA(VLOOKUP($BK550,Programma!$F$3:$L$1101,7,0),"")</f>
        <v/>
      </c>
      <c r="BR550" s="448" t="str">
        <f>_xlfn.IFNA(VLOOKUP($BK550,Programma!$F$3:$M$1101,8,0),"")</f>
        <v/>
      </c>
      <c r="BS550" s="448" t="str">
        <f>_xlfn.IFNA(VLOOKUP($BK550,Programma!$F$3:$N$1101,9,0),"")</f>
        <v/>
      </c>
      <c r="BT550" s="448" t="str">
        <f>_xlfn.IFNA(VLOOKUP($BK550,Programma!$F$3:$O$1101,10,0),"")</f>
        <v/>
      </c>
      <c r="BU550" s="448" t="str">
        <f>_xlfn.IFNA(VLOOKUP($BK550,Programma!$F$3:$P$1101,11,0),"")</f>
        <v/>
      </c>
      <c r="BV550" s="448" t="str">
        <f>_xlfn.IFNA(VLOOKUP($BK550,Programma!$F$3:$Q$1101,12,0),"")</f>
        <v/>
      </c>
      <c r="BW550" s="448" t="str">
        <f>_xlfn.IFNA(VLOOKUP($BK550,Programma!$F$3:$R$1101,13,0),"")</f>
        <v/>
      </c>
      <c r="BX550" s="448" t="str">
        <f>_xlfn.IFNA(VLOOKUP($BK550,Programma!$F$3:$S$1101,14,0),"")</f>
        <v/>
      </c>
      <c r="BY550" s="448" t="str">
        <f>_xlfn.IFNA(VLOOKUP($BK550,Programma!$F$3:$T$1101,15,0),"")</f>
        <v/>
      </c>
      <c r="BZ550" s="448" t="str">
        <f>_xlfn.IFNA(VLOOKUP($BK550,Programma!$F$3:$U$1101,16,0),"")</f>
        <v/>
      </c>
      <c r="CA550" s="448" t="str">
        <f>_xlfn.IFNA(VLOOKUP($BK550,Programma!$F$3:$V$1101,17,0),"")</f>
        <v/>
      </c>
      <c r="CB550" s="448" t="str">
        <f>_xlfn.IFNA(VLOOKUP($BK550,Programma!$F$3:$W$1101,18,0),"")</f>
        <v/>
      </c>
      <c r="CC550" s="448" t="str">
        <f>_xlfn.IFNA(VLOOKUP($BK550,Programma!$F$3:$X$1101,19,0),"")</f>
        <v/>
      </c>
      <c r="CD550" s="448" t="str">
        <f>_xlfn.IFNA(VLOOKUP($BK550,Programma!$F$3:$Y$1101,20,0),"")</f>
        <v/>
      </c>
    </row>
    <row r="551" spans="1:82" ht="15" customHeight="1">
      <c r="A551" s="327">
        <v>19</v>
      </c>
      <c r="B551" s="435" t="str">
        <f>VLOOKUP(Ruimtestaat[[#This Row],[Code]],Locaties[[Code]:[Locatie]],2,FALSE)</f>
        <v>IKC de Leerplaneet (vhKlimboom)</v>
      </c>
      <c r="C551" s="435" t="str">
        <f>VLOOKUP(Ruimtestaat[[#This Row],[Code]],Locaties[[#All],[Code]:[Adres]],4,FALSE)</f>
        <v>Nesciohove 105-107</v>
      </c>
      <c r="D551" s="435" t="str">
        <f>VLOOKUP(Ruimtestaat[[#This Row],[Code]],Locaties[[#All],[Code]:[Postcode]],5,FALSE)</f>
        <v>2726 BL</v>
      </c>
      <c r="E551" s="435" t="str">
        <f>VLOOKUP(Ruimtestaat[[#This Row],[Code]],Locaties[#All],6,FALSE)</f>
        <v>Zoetermeer</v>
      </c>
      <c r="F551" s="450"/>
      <c r="G551" s="330" t="s">
        <v>1769</v>
      </c>
      <c r="H551" s="330" t="s">
        <v>1928</v>
      </c>
      <c r="I551" s="450" t="s">
        <v>1901</v>
      </c>
      <c r="J551" s="330">
        <v>11</v>
      </c>
      <c r="K551" s="450" t="str">
        <f>VLOOKUP(Ruimtestaat[[#This Row],[Ruimte code]],Ruimtegroepen[[#All],[Code]:[Ruimte omschrijving]],2,FALSE)</f>
        <v>Garderobes</v>
      </c>
      <c r="L551" s="330" t="s">
        <v>101</v>
      </c>
      <c r="M551" s="437" t="s">
        <v>1816</v>
      </c>
      <c r="N551" s="439">
        <v>3</v>
      </c>
      <c r="O551" s="439"/>
      <c r="P551" s="439"/>
      <c r="Q551" s="439"/>
      <c r="R551" s="440" t="str">
        <f>VLOOKUP(Ruimtestaat[[#This Row],[Ruimte code]],Ruimtegroepen[],4,FALSE)</f>
        <v>Ve</v>
      </c>
      <c r="S551" s="434">
        <v>40</v>
      </c>
      <c r="T551" s="434" t="s">
        <v>2</v>
      </c>
      <c r="U551" s="453">
        <f>IF(S551&gt;0,IF(RIGHT(Ruimtestaat[[#This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1" s="434">
        <f>IF(U551&gt;0,VLOOKUP($J551,Ruimtegroepen[],3,FALSE)*VLOOKUP($L551,Vloersoorten[],3,FALSE)*VLOOKUP($T551,Frequenties[],3,FALSE)*VLOOKUP($A551,Locaties[],3,FALSE),0)</f>
        <v>0</v>
      </c>
      <c r="W551" s="434">
        <f>Ruimtestaat[[#This Row],[Uitvoeringen werkdagen]]*Ruimtestaat[[#This Row],[Oppervlak (netto)]]</f>
        <v>600</v>
      </c>
      <c r="X551" s="441">
        <f>IF(V551&gt;0,Ruimtestaat[[#This Row],[Prest. (m2 /jaar) werkdagen]]/Ruimtestaat[[#This Row],[Norm (m2/uur) werkdagen]],0)</f>
        <v>0</v>
      </c>
      <c r="Y551" s="442">
        <f>Ruimtestaat[[#This Row],[Uitvoeringen werkdagen]]*Ruimtestaat[[#This Row],[Gedeeltelijk]]</f>
        <v>0</v>
      </c>
      <c r="Z551" s="443" t="e">
        <f>IF(U551&gt;0,Ruimtestaat[[#This Row],[Prest. (m2 / jaar) werkdagen gedeeld]]/Ruimtestaat[[#This Row],[Norm (m2/uur) werkdagen]],0)</f>
        <v>#DIV/0!</v>
      </c>
      <c r="AA551" s="441" t="e">
        <f>Ruimtestaat[[#This Row],[uren / jaar werkdagen gedeeld]]*Tariefsopbouw!$E$35</f>
        <v>#DIV/0!</v>
      </c>
      <c r="AB551" s="441">
        <f>Ruimtestaat[[#This Row],[Uitvoeringen werkdagen]]*Ruimtestaat[[#This Row],[BSO]]</f>
        <v>0</v>
      </c>
      <c r="AC551" s="443" t="e">
        <f>IF(U551&gt;0,Ruimtestaat[[#This Row],[Prest. (m2 / jaar) werkdagen BSO]]/Ruimtestaat[[#This Row],[Norm (m2/uur) werkdagen]],0)</f>
        <v>#DIV/0!</v>
      </c>
      <c r="AD551" s="443" t="e">
        <f>Ruimtestaat[[#This Row],[uren / jaar werkdagen BSO]]*Tariefsopbouw!$E$35</f>
        <v>#DIV/0!</v>
      </c>
      <c r="AE551" s="444">
        <f>Ruimtestaat[[#This Row],[uren / jaar werkdagen]]*Tariefsopbouw!$E$35</f>
        <v>0</v>
      </c>
      <c r="AF551" s="454"/>
      <c r="AG551" s="455">
        <f>IF(Ruimtestaat[[#This Row],[Frequentie weekend]]&gt;0,VALUE(LEFT(AF551,1))*S551,0)</f>
        <v>0</v>
      </c>
      <c r="AH551" s="455">
        <f>IF($AG551&gt;0,VLOOKUP($J551,Ruimtegroepen[],3,FALSE)*VLOOKUP($L551,Vloersoorten[],3,FALSE)*VLOOKUP($AF551,Frequenties[],3,FALSE)*VLOOKUP(#REF!,Locaties[],3,FALSE),0)</f>
        <v>0</v>
      </c>
      <c r="AI551" s="434">
        <f>Ruimtestaat[[#This Row],[Uitvoeringen weekend]]*Ruimtestaat[[#This Row],[Oppervlak (netto)]]</f>
        <v>0</v>
      </c>
      <c r="AJ551" s="434">
        <f>IF(AH551&gt;0,Ruimtestaat[[#This Row],[Prest. (m2 /jaar) weekend]]/Ruimtestaat[[#This Row],[Norm (m2/uur) weekend]],0)</f>
        <v>0</v>
      </c>
      <c r="AK551" s="444">
        <f>Ruimtestaat[[#This Row],[uren / jaar weekend]]*Tariefsopbouw!$D$40</f>
        <v>0</v>
      </c>
      <c r="AL551" s="441">
        <f>Ruimtestaat[[#This Row],[Prest. (m2 /jaar) weekend]]+Ruimtestaat[[#This Row],[Prest. (m2 /jaar) werkdagen]]</f>
        <v>600</v>
      </c>
      <c r="AM551" s="441">
        <f>Ruimtestaat[[#This Row],[uren / jaar weekend]]+Ruimtestaat[[#This Row],[uren / jaar werkdagen]]</f>
        <v>0</v>
      </c>
      <c r="AN551" s="446">
        <f>Ruimtestaat[[#This Row],[kosten / jaar weekend]]+Ruimtestaat[[#This Row],[kosten / jaar werkdagen]]</f>
        <v>0</v>
      </c>
      <c r="AO551" s="446"/>
      <c r="AP551" s="446" t="str">
        <f>IF(Ruimtestaat[[#This Row],[Frequentie werkdagen]]="","",_xlfn.CONCAT(Ruimtestaat[[#This Row],[Ruimte code]],"-",Ruimtestaat[[#This Row],[Frequentie werkdagen]]," ",Ruimtestaat[[#This Row],[Vloer code]]))</f>
        <v>11-5w S</v>
      </c>
      <c r="AQ551" s="448" t="str">
        <f>_xlfn.IFNA(VLOOKUP($AP551,Programma!$F$3:$G$1101,2,0),"")</f>
        <v>_</v>
      </c>
      <c r="AR551" s="448" t="str">
        <f>_xlfn.IFNA(VLOOKUP($AP551,Programma!$F$3:$H$1101,3,0),"")</f>
        <v>_</v>
      </c>
      <c r="AS551" s="448" t="str">
        <f>_xlfn.IFNA(VLOOKUP($AP551,Programma!$F$3:$I$1101,4,0),"")</f>
        <v>4w</v>
      </c>
      <c r="AT551" s="448" t="str">
        <f>_xlfn.IFNA(VLOOKUP($AP551,Programma!$F$3:$J$1101,5,0),"")</f>
        <v>1w</v>
      </c>
      <c r="AU551" s="448" t="str">
        <f>_xlfn.IFNA(VLOOKUP($AP551,Programma!$F$3:$K$1101,6,0),"")</f>
        <v>4j</v>
      </c>
      <c r="AV551" s="448" t="str">
        <f>_xlfn.IFNA(VLOOKUP($AP551,Programma!$F$3:$L$1101,7,0),"")</f>
        <v>_</v>
      </c>
      <c r="AW551" s="448" t="str">
        <f>_xlfn.IFNA(VLOOKUP($AP551,Programma!$F$3:$M$1101,8,0),"")</f>
        <v>_</v>
      </c>
      <c r="AX551" s="448" t="str">
        <f>_xlfn.IFNA(VLOOKUP($AP551,Programma!$F$3:$N$1101,9,0),"")</f>
        <v>_</v>
      </c>
      <c r="AY551" s="448" t="str">
        <f>_xlfn.IFNA(VLOOKUP($AP551,Programma!$F$3:$O$1101,10,0),"")</f>
        <v>5w</v>
      </c>
      <c r="AZ551" s="448" t="str">
        <f>_xlfn.IFNA(VLOOKUP($AP551,Programma!$F$3:$P$1101,11,0),"")</f>
        <v>5w</v>
      </c>
      <c r="BA551" s="448" t="str">
        <f>_xlfn.IFNA(VLOOKUP($AP551,Programma!$F$3:$Q$1101,12,0),"")</f>
        <v>1w</v>
      </c>
      <c r="BB551" s="448" t="str">
        <f>_xlfn.IFNA(VLOOKUP($AP551,Programma!$F$3:$R$1101,13,0),"")</f>
        <v>1w</v>
      </c>
      <c r="BC551" s="448" t="str">
        <f>_xlfn.IFNA(VLOOKUP($AP551,Programma!$F$3:$S$1101,14,0),"")</f>
        <v>1m</v>
      </c>
      <c r="BD551" s="448" t="str">
        <f>_xlfn.IFNA(VLOOKUP($AP551,Programma!$F$3:$T$1101,15,0),"")</f>
        <v>2j</v>
      </c>
      <c r="BE551" s="448" t="str">
        <f>_xlfn.IFNA(VLOOKUP($AP551,Programma!$F$3:$U$1101,16,0),"")</f>
        <v>1j</v>
      </c>
      <c r="BF551" s="448" t="str">
        <f>_xlfn.IFNA(VLOOKUP($AP551,Programma!$F$3:$V$1101,17,0),"")</f>
        <v>_</v>
      </c>
      <c r="BG551" s="448" t="str">
        <f>_xlfn.IFNA(VLOOKUP($AP551,Programma!$F$3:$W$1101,18,0),"")</f>
        <v>_</v>
      </c>
      <c r="BH551" s="448" t="str">
        <f>_xlfn.IFNA(VLOOKUP($AP551,Programma!$F$3:$X$1101,19,0),"")</f>
        <v>_</v>
      </c>
      <c r="BI551" s="448" t="str">
        <f>_xlfn.IFNA(VLOOKUP($AP551,Programma!$F$3:$Y$1101,20,0),"")</f>
        <v>_</v>
      </c>
      <c r="BJ551" s="449"/>
      <c r="BK551" s="446" t="str">
        <f>IF(Ruimtestaat[[#This Row],[Frequentie weekend]]="","",_xlfn.CONCAT(Ruimtestaat[[#This Row],[Ruimte code]],"-",Ruimtestaat[[#This Row],[Frequentie weekend]]," ",Ruimtestaat[[#This Row],[Vloer code]]))</f>
        <v/>
      </c>
      <c r="BL551" s="448" t="str">
        <f>_xlfn.IFNA(VLOOKUP($BK551,Programma!$F$3:$G$1101,2,0),"")</f>
        <v/>
      </c>
      <c r="BM551" s="448" t="str">
        <f>_xlfn.IFNA(VLOOKUP($BK551,Programma!$F$3:$H$1101,3,0),"")</f>
        <v/>
      </c>
      <c r="BN551" s="448" t="str">
        <f>_xlfn.IFNA(VLOOKUP($BK551,Programma!$F$3:$I$1101,4,0),"")</f>
        <v/>
      </c>
      <c r="BO551" s="448" t="str">
        <f>_xlfn.IFNA(VLOOKUP($BK551,Programma!$F$3:$J$1101,5,0),"")</f>
        <v/>
      </c>
      <c r="BP551" s="448" t="str">
        <f>_xlfn.IFNA(VLOOKUP($BK551,Programma!$F$3:$K$1101,6,0),"")</f>
        <v/>
      </c>
      <c r="BQ551" s="448" t="str">
        <f>_xlfn.IFNA(VLOOKUP($BK551,Programma!$F$3:$L$1101,7,0),"")</f>
        <v/>
      </c>
      <c r="BR551" s="448" t="str">
        <f>_xlfn.IFNA(VLOOKUP($BK551,Programma!$F$3:$M$1101,8,0),"")</f>
        <v/>
      </c>
      <c r="BS551" s="448" t="str">
        <f>_xlfn.IFNA(VLOOKUP($BK551,Programma!$F$3:$N$1101,9,0),"")</f>
        <v/>
      </c>
      <c r="BT551" s="448" t="str">
        <f>_xlfn.IFNA(VLOOKUP($BK551,Programma!$F$3:$O$1101,10,0),"")</f>
        <v/>
      </c>
      <c r="BU551" s="448" t="str">
        <f>_xlfn.IFNA(VLOOKUP($BK551,Programma!$F$3:$P$1101,11,0),"")</f>
        <v/>
      </c>
      <c r="BV551" s="448" t="str">
        <f>_xlfn.IFNA(VLOOKUP($BK551,Programma!$F$3:$Q$1101,12,0),"")</f>
        <v/>
      </c>
      <c r="BW551" s="448" t="str">
        <f>_xlfn.IFNA(VLOOKUP($BK551,Programma!$F$3:$R$1101,13,0),"")</f>
        <v/>
      </c>
      <c r="BX551" s="448" t="str">
        <f>_xlfn.IFNA(VLOOKUP($BK551,Programma!$F$3:$S$1101,14,0),"")</f>
        <v/>
      </c>
      <c r="BY551" s="448" t="str">
        <f>_xlfn.IFNA(VLOOKUP($BK551,Programma!$F$3:$T$1101,15,0),"")</f>
        <v/>
      </c>
      <c r="BZ551" s="448" t="str">
        <f>_xlfn.IFNA(VLOOKUP($BK551,Programma!$F$3:$U$1101,16,0),"")</f>
        <v/>
      </c>
      <c r="CA551" s="448" t="str">
        <f>_xlfn.IFNA(VLOOKUP($BK551,Programma!$F$3:$V$1101,17,0),"")</f>
        <v/>
      </c>
      <c r="CB551" s="448" t="str">
        <f>_xlfn.IFNA(VLOOKUP($BK551,Programma!$F$3:$W$1101,18,0),"")</f>
        <v/>
      </c>
      <c r="CC551" s="448" t="str">
        <f>_xlfn.IFNA(VLOOKUP($BK551,Programma!$F$3:$X$1101,19,0),"")</f>
        <v/>
      </c>
      <c r="CD551" s="448" t="str">
        <f>_xlfn.IFNA(VLOOKUP($BK551,Programma!$F$3:$Y$1101,20,0),"")</f>
        <v/>
      </c>
    </row>
    <row r="552" spans="1:82" ht="15" customHeight="1">
      <c r="A552" s="327">
        <v>19</v>
      </c>
      <c r="B552" s="435" t="str">
        <f>VLOOKUP(Ruimtestaat[[#This Row],[Code]],Locaties[[Code]:[Locatie]],2,FALSE)</f>
        <v>IKC de Leerplaneet (vhKlimboom)</v>
      </c>
      <c r="C552" s="435" t="str">
        <f>VLOOKUP(Ruimtestaat[[#This Row],[Code]],Locaties[[#All],[Code]:[Adres]],4,FALSE)</f>
        <v>Nesciohove 105-107</v>
      </c>
      <c r="D552" s="435" t="str">
        <f>VLOOKUP(Ruimtestaat[[#This Row],[Code]],Locaties[[#All],[Code]:[Postcode]],5,FALSE)</f>
        <v>2726 BL</v>
      </c>
      <c r="E552" s="435" t="str">
        <f>VLOOKUP(Ruimtestaat[[#This Row],[Code]],Locaties[#All],6,FALSE)</f>
        <v>Zoetermeer</v>
      </c>
      <c r="F552" s="450"/>
      <c r="G552" s="330" t="s">
        <v>1769</v>
      </c>
      <c r="H552" s="330" t="s">
        <v>1929</v>
      </c>
      <c r="I552" s="450" t="s">
        <v>1842</v>
      </c>
      <c r="J552" s="330">
        <v>16</v>
      </c>
      <c r="K552" s="450" t="str">
        <f>VLOOKUP(Ruimtestaat[[#This Row],[Ruimte code]],Ruimtegroepen[[#All],[Code]:[Ruimte omschrijving]],2,FALSE)</f>
        <v>Leslokalen</v>
      </c>
      <c r="L552" s="330" t="s">
        <v>101</v>
      </c>
      <c r="M552" s="437" t="s">
        <v>1816</v>
      </c>
      <c r="N552" s="439">
        <v>59.7</v>
      </c>
      <c r="O552" s="439"/>
      <c r="P552" s="439"/>
      <c r="Q552" s="439"/>
      <c r="R552" s="440" t="str">
        <f>VLOOKUP(Ruimtestaat[[#This Row],[Ruimte code]],Ruimtegroepen[],4,FALSE)</f>
        <v>Le</v>
      </c>
      <c r="S552" s="434">
        <v>40</v>
      </c>
      <c r="T552" s="434" t="s">
        <v>2</v>
      </c>
      <c r="U552" s="453">
        <f>IF(S552&gt;0,IF(RIGHT(Ruimtestaat[[#This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2" s="434">
        <f>IF(U552&gt;0,VLOOKUP($J552,Ruimtegroepen[],3,FALSE)*VLOOKUP($L552,Vloersoorten[],3,FALSE)*VLOOKUP($T552,Frequenties[],3,FALSE)*VLOOKUP($A552,Locaties[],3,FALSE),0)</f>
        <v>0</v>
      </c>
      <c r="W552" s="434">
        <f>Ruimtestaat[[#This Row],[Uitvoeringen werkdagen]]*Ruimtestaat[[#This Row],[Oppervlak (netto)]]</f>
        <v>11940</v>
      </c>
      <c r="X552" s="441">
        <f>IF(V552&gt;0,Ruimtestaat[[#This Row],[Prest. (m2 /jaar) werkdagen]]/Ruimtestaat[[#This Row],[Norm (m2/uur) werkdagen]],0)</f>
        <v>0</v>
      </c>
      <c r="Y552" s="442">
        <f>Ruimtestaat[[#This Row],[Uitvoeringen werkdagen]]*Ruimtestaat[[#This Row],[Gedeeltelijk]]</f>
        <v>0</v>
      </c>
      <c r="Z552" s="443" t="e">
        <f>IF(U552&gt;0,Ruimtestaat[[#This Row],[Prest. (m2 / jaar) werkdagen gedeeld]]/Ruimtestaat[[#This Row],[Norm (m2/uur) werkdagen]],0)</f>
        <v>#DIV/0!</v>
      </c>
      <c r="AA552" s="441" t="e">
        <f>Ruimtestaat[[#This Row],[uren / jaar werkdagen gedeeld]]*Tariefsopbouw!$E$35</f>
        <v>#DIV/0!</v>
      </c>
      <c r="AB552" s="441">
        <f>Ruimtestaat[[#This Row],[Uitvoeringen werkdagen]]*Ruimtestaat[[#This Row],[BSO]]</f>
        <v>0</v>
      </c>
      <c r="AC552" s="443" t="e">
        <f>IF(U552&gt;0,Ruimtestaat[[#This Row],[Prest. (m2 / jaar) werkdagen BSO]]/Ruimtestaat[[#This Row],[Norm (m2/uur) werkdagen]],0)</f>
        <v>#DIV/0!</v>
      </c>
      <c r="AD552" s="443" t="e">
        <f>Ruimtestaat[[#This Row],[uren / jaar werkdagen BSO]]*Tariefsopbouw!$E$35</f>
        <v>#DIV/0!</v>
      </c>
      <c r="AE552" s="444">
        <f>Ruimtestaat[[#This Row],[uren / jaar werkdagen]]*Tariefsopbouw!$E$35</f>
        <v>0</v>
      </c>
      <c r="AF552" s="454"/>
      <c r="AG552" s="455">
        <f>IF(Ruimtestaat[[#This Row],[Frequentie weekend]]&gt;0,VALUE(LEFT(AF552,1))*S552,0)</f>
        <v>0</v>
      </c>
      <c r="AH552" s="455">
        <f>IF($AG552&gt;0,VLOOKUP($J552,Ruimtegroepen[],3,FALSE)*VLOOKUP($L552,Vloersoorten[],3,FALSE)*VLOOKUP($AF552,Frequenties[],3,FALSE)*VLOOKUP(#REF!,Locaties[],3,FALSE),0)</f>
        <v>0</v>
      </c>
      <c r="AI552" s="434">
        <f>Ruimtestaat[[#This Row],[Uitvoeringen weekend]]*Ruimtestaat[[#This Row],[Oppervlak (netto)]]</f>
        <v>0</v>
      </c>
      <c r="AJ552" s="434">
        <f>IF(AH552&gt;0,Ruimtestaat[[#This Row],[Prest. (m2 /jaar) weekend]]/Ruimtestaat[[#This Row],[Norm (m2/uur) weekend]],0)</f>
        <v>0</v>
      </c>
      <c r="AK552" s="444">
        <f>Ruimtestaat[[#This Row],[uren / jaar weekend]]*Tariefsopbouw!$D$40</f>
        <v>0</v>
      </c>
      <c r="AL552" s="441">
        <f>Ruimtestaat[[#This Row],[Prest. (m2 /jaar) weekend]]+Ruimtestaat[[#This Row],[Prest. (m2 /jaar) werkdagen]]</f>
        <v>11940</v>
      </c>
      <c r="AM552" s="441">
        <f>Ruimtestaat[[#This Row],[uren / jaar weekend]]+Ruimtestaat[[#This Row],[uren / jaar werkdagen]]</f>
        <v>0</v>
      </c>
      <c r="AN552" s="446">
        <f>Ruimtestaat[[#This Row],[kosten / jaar weekend]]+Ruimtestaat[[#This Row],[kosten / jaar werkdagen]]</f>
        <v>0</v>
      </c>
      <c r="AO552" s="446"/>
      <c r="AP552" s="446" t="str">
        <f>IF(Ruimtestaat[[#This Row],[Frequentie werkdagen]]="","",_xlfn.CONCAT(Ruimtestaat[[#This Row],[Ruimte code]],"-",Ruimtestaat[[#This Row],[Frequentie werkdagen]]," ",Ruimtestaat[[#This Row],[Vloer code]]))</f>
        <v>16-5w S</v>
      </c>
      <c r="AQ552" s="448" t="str">
        <f>_xlfn.IFNA(VLOOKUP($AP552,Programma!$F$3:$G$1101,2,0),"")</f>
        <v>_</v>
      </c>
      <c r="AR552" s="448" t="str">
        <f>_xlfn.IFNA(VLOOKUP($AP552,Programma!$F$3:$H$1101,3,0),"")</f>
        <v>_</v>
      </c>
      <c r="AS552" s="448" t="str">
        <f>_xlfn.IFNA(VLOOKUP($AP552,Programma!$F$3:$I$1101,4,0),"")</f>
        <v>4w</v>
      </c>
      <c r="AT552" s="448" t="str">
        <f>_xlfn.IFNA(VLOOKUP($AP552,Programma!$F$3:$J$1101,5,0),"")</f>
        <v>1w</v>
      </c>
      <c r="AU552" s="448" t="str">
        <f>_xlfn.IFNA(VLOOKUP($AP552,Programma!$F$3:$K$1101,6,0),"")</f>
        <v>1m</v>
      </c>
      <c r="AV552" s="448" t="str">
        <f>_xlfn.IFNA(VLOOKUP($AP552,Programma!$F$3:$L$1101,7,0),"")</f>
        <v>_</v>
      </c>
      <c r="AW552" s="448" t="str">
        <f>_xlfn.IFNA(VLOOKUP($AP552,Programma!$F$3:$M$1101,8,0),"")</f>
        <v>_</v>
      </c>
      <c r="AX552" s="448" t="str">
        <f>_xlfn.IFNA(VLOOKUP($AP552,Programma!$F$3:$N$1101,9,0),"")</f>
        <v>_</v>
      </c>
      <c r="AY552" s="448" t="str">
        <f>_xlfn.IFNA(VLOOKUP($AP552,Programma!$F$3:$O$1101,10,0),"")</f>
        <v>5w</v>
      </c>
      <c r="AZ552" s="448" t="str">
        <f>_xlfn.IFNA(VLOOKUP($AP552,Programma!$F$3:$P$1101,11,0),"")</f>
        <v>5w</v>
      </c>
      <c r="BA552" s="448" t="str">
        <f>_xlfn.IFNA(VLOOKUP($AP552,Programma!$F$3:$Q$1101,12,0),"")</f>
        <v>1w</v>
      </c>
      <c r="BB552" s="448" t="str">
        <f>_xlfn.IFNA(VLOOKUP($AP552,Programma!$F$3:$R$1101,13,0),"")</f>
        <v>1w</v>
      </c>
      <c r="BC552" s="448" t="str">
        <f>_xlfn.IFNA(VLOOKUP($AP552,Programma!$F$3:$S$1101,14,0),"")</f>
        <v>1m</v>
      </c>
      <c r="BD552" s="448" t="str">
        <f>_xlfn.IFNA(VLOOKUP($AP552,Programma!$F$3:$T$1101,15,0),"")</f>
        <v>2j</v>
      </c>
      <c r="BE552" s="448" t="str">
        <f>_xlfn.IFNA(VLOOKUP($AP552,Programma!$F$3:$U$1101,16,0),"")</f>
        <v>1j</v>
      </c>
      <c r="BF552" s="448" t="str">
        <f>_xlfn.IFNA(VLOOKUP($AP552,Programma!$F$3:$V$1101,17,0),"")</f>
        <v>_</v>
      </c>
      <c r="BG552" s="448" t="str">
        <f>_xlfn.IFNA(VLOOKUP($AP552,Programma!$F$3:$W$1101,18,0),"")</f>
        <v>_</v>
      </c>
      <c r="BH552" s="448" t="str">
        <f>_xlfn.IFNA(VLOOKUP($AP552,Programma!$F$3:$X$1101,19,0),"")</f>
        <v>_</v>
      </c>
      <c r="BI552" s="448" t="str">
        <f>_xlfn.IFNA(VLOOKUP($AP552,Programma!$F$3:$Y$1101,20,0),"")</f>
        <v>_</v>
      </c>
      <c r="BJ552" s="449"/>
      <c r="BK552" s="446" t="str">
        <f>IF(Ruimtestaat[[#This Row],[Frequentie weekend]]="","",_xlfn.CONCAT(Ruimtestaat[[#This Row],[Ruimte code]],"-",Ruimtestaat[[#This Row],[Frequentie weekend]]," ",Ruimtestaat[[#This Row],[Vloer code]]))</f>
        <v/>
      </c>
      <c r="BL552" s="448" t="str">
        <f>_xlfn.IFNA(VLOOKUP($BK552,Programma!$F$3:$G$1101,2,0),"")</f>
        <v/>
      </c>
      <c r="BM552" s="448" t="str">
        <f>_xlfn.IFNA(VLOOKUP($BK552,Programma!$F$3:$H$1101,3,0),"")</f>
        <v/>
      </c>
      <c r="BN552" s="448" t="str">
        <f>_xlfn.IFNA(VLOOKUP($BK552,Programma!$F$3:$I$1101,4,0),"")</f>
        <v/>
      </c>
      <c r="BO552" s="448" t="str">
        <f>_xlfn.IFNA(VLOOKUP($BK552,Programma!$F$3:$J$1101,5,0),"")</f>
        <v/>
      </c>
      <c r="BP552" s="448" t="str">
        <f>_xlfn.IFNA(VLOOKUP($BK552,Programma!$F$3:$K$1101,6,0),"")</f>
        <v/>
      </c>
      <c r="BQ552" s="448" t="str">
        <f>_xlfn.IFNA(VLOOKUP($BK552,Programma!$F$3:$L$1101,7,0),"")</f>
        <v/>
      </c>
      <c r="BR552" s="448" t="str">
        <f>_xlfn.IFNA(VLOOKUP($BK552,Programma!$F$3:$M$1101,8,0),"")</f>
        <v/>
      </c>
      <c r="BS552" s="448" t="str">
        <f>_xlfn.IFNA(VLOOKUP($BK552,Programma!$F$3:$N$1101,9,0),"")</f>
        <v/>
      </c>
      <c r="BT552" s="448" t="str">
        <f>_xlfn.IFNA(VLOOKUP($BK552,Programma!$F$3:$O$1101,10,0),"")</f>
        <v/>
      </c>
      <c r="BU552" s="448" t="str">
        <f>_xlfn.IFNA(VLOOKUP($BK552,Programma!$F$3:$P$1101,11,0),"")</f>
        <v/>
      </c>
      <c r="BV552" s="448" t="str">
        <f>_xlfn.IFNA(VLOOKUP($BK552,Programma!$F$3:$Q$1101,12,0),"")</f>
        <v/>
      </c>
      <c r="BW552" s="448" t="str">
        <f>_xlfn.IFNA(VLOOKUP($BK552,Programma!$F$3:$R$1101,13,0),"")</f>
        <v/>
      </c>
      <c r="BX552" s="448" t="str">
        <f>_xlfn.IFNA(VLOOKUP($BK552,Programma!$F$3:$S$1101,14,0),"")</f>
        <v/>
      </c>
      <c r="BY552" s="448" t="str">
        <f>_xlfn.IFNA(VLOOKUP($BK552,Programma!$F$3:$T$1101,15,0),"")</f>
        <v/>
      </c>
      <c r="BZ552" s="448" t="str">
        <f>_xlfn.IFNA(VLOOKUP($BK552,Programma!$F$3:$U$1101,16,0),"")</f>
        <v/>
      </c>
      <c r="CA552" s="448" t="str">
        <f>_xlfn.IFNA(VLOOKUP($BK552,Programma!$F$3:$V$1101,17,0),"")</f>
        <v/>
      </c>
      <c r="CB552" s="448" t="str">
        <f>_xlfn.IFNA(VLOOKUP($BK552,Programma!$F$3:$W$1101,18,0),"")</f>
        <v/>
      </c>
      <c r="CC552" s="448" t="str">
        <f>_xlfn.IFNA(VLOOKUP($BK552,Programma!$F$3:$X$1101,19,0),"")</f>
        <v/>
      </c>
      <c r="CD552" s="448" t="str">
        <f>_xlfn.IFNA(VLOOKUP($BK552,Programma!$F$3:$Y$1101,20,0),"")</f>
        <v/>
      </c>
    </row>
    <row r="553" spans="1:82" ht="15" customHeight="1">
      <c r="A553" s="327">
        <v>19</v>
      </c>
      <c r="B553" s="435" t="str">
        <f>VLOOKUP(Ruimtestaat[[#This Row],[Code]],Locaties[[Code]:[Locatie]],2,FALSE)</f>
        <v>IKC de Leerplaneet (vhKlimboom)</v>
      </c>
      <c r="C553" s="435" t="str">
        <f>VLOOKUP(Ruimtestaat[[#This Row],[Code]],Locaties[[#All],[Code]:[Adres]],4,FALSE)</f>
        <v>Nesciohove 105-107</v>
      </c>
      <c r="D553" s="435" t="str">
        <f>VLOOKUP(Ruimtestaat[[#This Row],[Code]],Locaties[[#All],[Code]:[Postcode]],5,FALSE)</f>
        <v>2726 BL</v>
      </c>
      <c r="E553" s="435" t="str">
        <f>VLOOKUP(Ruimtestaat[[#This Row],[Code]],Locaties[#All],6,FALSE)</f>
        <v>Zoetermeer</v>
      </c>
      <c r="F553" s="450"/>
      <c r="G553" s="330" t="s">
        <v>1769</v>
      </c>
      <c r="H553" s="330" t="s">
        <v>1930</v>
      </c>
      <c r="I553" s="450" t="s">
        <v>1895</v>
      </c>
      <c r="J553" s="330">
        <v>5</v>
      </c>
      <c r="K553" s="450" t="str">
        <f>VLOOKUP(Ruimtestaat[[#This Row],[Ruimte code]],Ruimtegroepen[[#All],[Code]:[Ruimte omschrijving]],2,FALSE)</f>
        <v>Sanitair</v>
      </c>
      <c r="L553" s="330" t="s">
        <v>101</v>
      </c>
      <c r="M553" s="437" t="s">
        <v>1816</v>
      </c>
      <c r="N553" s="439">
        <v>4.5</v>
      </c>
      <c r="O553" s="439"/>
      <c r="P553" s="439"/>
      <c r="Q553" s="439"/>
      <c r="R553" s="440" t="str">
        <f>VLOOKUP(Ruimtestaat[[#This Row],[Ruimte code]],Ruimtegroepen[],4,FALSE)</f>
        <v>Sa</v>
      </c>
      <c r="S553" s="434">
        <v>41</v>
      </c>
      <c r="T553" s="434" t="s">
        <v>2</v>
      </c>
      <c r="U553" s="453">
        <f>IF(S553&gt;0,IF(RIGHT(Ruimtestaat[[#This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53" s="434">
        <f>IF(U553&gt;0,VLOOKUP($J553,Ruimtegroepen[],3,FALSE)*VLOOKUP($L553,Vloersoorten[],3,FALSE)*VLOOKUP($T553,Frequenties[],3,FALSE)*VLOOKUP($A553,Locaties[],3,FALSE),0)</f>
        <v>0</v>
      </c>
      <c r="W553" s="434">
        <f>Ruimtestaat[[#This Row],[Uitvoeringen werkdagen]]*Ruimtestaat[[#This Row],[Oppervlak (netto)]]</f>
        <v>922.5</v>
      </c>
      <c r="X553" s="441">
        <f>IF(V553&gt;0,Ruimtestaat[[#This Row],[Prest. (m2 /jaar) werkdagen]]/Ruimtestaat[[#This Row],[Norm (m2/uur) werkdagen]],0)</f>
        <v>0</v>
      </c>
      <c r="Y553" s="442">
        <f>Ruimtestaat[[#This Row],[Uitvoeringen werkdagen]]*Ruimtestaat[[#This Row],[Gedeeltelijk]]</f>
        <v>0</v>
      </c>
      <c r="Z553" s="443" t="e">
        <f>IF(U553&gt;0,Ruimtestaat[[#This Row],[Prest. (m2 / jaar) werkdagen gedeeld]]/Ruimtestaat[[#This Row],[Norm (m2/uur) werkdagen]],0)</f>
        <v>#DIV/0!</v>
      </c>
      <c r="AA553" s="441" t="e">
        <f>Ruimtestaat[[#This Row],[uren / jaar werkdagen gedeeld]]*Tariefsopbouw!$E$35</f>
        <v>#DIV/0!</v>
      </c>
      <c r="AB553" s="441">
        <f>Ruimtestaat[[#This Row],[Uitvoeringen werkdagen]]*Ruimtestaat[[#This Row],[BSO]]</f>
        <v>0</v>
      </c>
      <c r="AC553" s="443" t="e">
        <f>IF(U553&gt;0,Ruimtestaat[[#This Row],[Prest. (m2 / jaar) werkdagen BSO]]/Ruimtestaat[[#This Row],[Norm (m2/uur) werkdagen]],0)</f>
        <v>#DIV/0!</v>
      </c>
      <c r="AD553" s="443" t="e">
        <f>Ruimtestaat[[#This Row],[uren / jaar werkdagen BSO]]*Tariefsopbouw!$E$35</f>
        <v>#DIV/0!</v>
      </c>
      <c r="AE553" s="444">
        <f>Ruimtestaat[[#This Row],[uren / jaar werkdagen]]*Tariefsopbouw!$E$35</f>
        <v>0</v>
      </c>
      <c r="AF553" s="454"/>
      <c r="AG553" s="455">
        <f>IF(Ruimtestaat[[#This Row],[Frequentie weekend]]&gt;0,VALUE(LEFT(AF553,1))*S553,0)</f>
        <v>0</v>
      </c>
      <c r="AH553" s="455">
        <f>IF($AG553&gt;0,VLOOKUP($J553,Ruimtegroepen[],3,FALSE)*VLOOKUP($L553,Vloersoorten[],3,FALSE)*VLOOKUP($AF553,Frequenties[],3,FALSE)*VLOOKUP(#REF!,Locaties[],3,FALSE),0)</f>
        <v>0</v>
      </c>
      <c r="AI553" s="434">
        <f>Ruimtestaat[[#This Row],[Uitvoeringen weekend]]*Ruimtestaat[[#This Row],[Oppervlak (netto)]]</f>
        <v>0</v>
      </c>
      <c r="AJ553" s="434">
        <f>IF(AH553&gt;0,Ruimtestaat[[#This Row],[Prest. (m2 /jaar) weekend]]/Ruimtestaat[[#This Row],[Norm (m2/uur) weekend]],0)</f>
        <v>0</v>
      </c>
      <c r="AK553" s="444">
        <f>Ruimtestaat[[#This Row],[uren / jaar weekend]]*Tariefsopbouw!$D$40</f>
        <v>0</v>
      </c>
      <c r="AL553" s="441">
        <f>Ruimtestaat[[#This Row],[Prest. (m2 /jaar) weekend]]+Ruimtestaat[[#This Row],[Prest. (m2 /jaar) werkdagen]]</f>
        <v>922.5</v>
      </c>
      <c r="AM553" s="441">
        <f>Ruimtestaat[[#This Row],[uren / jaar weekend]]+Ruimtestaat[[#This Row],[uren / jaar werkdagen]]</f>
        <v>0</v>
      </c>
      <c r="AN553" s="446">
        <f>Ruimtestaat[[#This Row],[kosten / jaar weekend]]+Ruimtestaat[[#This Row],[kosten / jaar werkdagen]]</f>
        <v>0</v>
      </c>
      <c r="AO553" s="446"/>
      <c r="AP553" s="446" t="str">
        <f>IF(Ruimtestaat[[#This Row],[Frequentie werkdagen]]="","",_xlfn.CONCAT(Ruimtestaat[[#This Row],[Ruimte code]],"-",Ruimtestaat[[#This Row],[Frequentie werkdagen]]," ",Ruimtestaat[[#This Row],[Vloer code]]))</f>
        <v>5-5w S</v>
      </c>
      <c r="AQ553" s="448" t="str">
        <f>_xlfn.IFNA(VLOOKUP($AP553,Programma!$F$3:$G$1101,2,0),"")</f>
        <v>_</v>
      </c>
      <c r="AR553" s="448" t="str">
        <f>_xlfn.IFNA(VLOOKUP($AP553,Programma!$F$3:$H$1101,3,0),"")</f>
        <v>_</v>
      </c>
      <c r="AS553" s="448" t="str">
        <f>_xlfn.IFNA(VLOOKUP($AP553,Programma!$F$3:$I$1101,4,0),"")</f>
        <v>_</v>
      </c>
      <c r="AT553" s="448" t="str">
        <f>_xlfn.IFNA(VLOOKUP($AP553,Programma!$F$3:$J$1101,5,0),"")</f>
        <v>4w</v>
      </c>
      <c r="AU553" s="448" t="str">
        <f>_xlfn.IFNA(VLOOKUP($AP553,Programma!$F$3:$K$1101,6,0),"")</f>
        <v>1w</v>
      </c>
      <c r="AV553" s="448" t="str">
        <f>_xlfn.IFNA(VLOOKUP($AP553,Programma!$F$3:$L$1101,7,0),"")</f>
        <v>_</v>
      </c>
      <c r="AW553" s="448" t="str">
        <f>_xlfn.IFNA(VLOOKUP($AP553,Programma!$F$3:$M$1101,8,0),"")</f>
        <v>_</v>
      </c>
      <c r="AX553" s="448" t="str">
        <f>_xlfn.IFNA(VLOOKUP($AP553,Programma!$F$3:$N$1101,9,0),"")</f>
        <v>_</v>
      </c>
      <c r="AY553" s="448" t="str">
        <f>_xlfn.IFNA(VLOOKUP($AP553,Programma!$F$3:$O$1101,10,0),"")</f>
        <v>_</v>
      </c>
      <c r="AZ553" s="448" t="str">
        <f>_xlfn.IFNA(VLOOKUP($AP553,Programma!$F$3:$P$1101,11,0),"")</f>
        <v>_</v>
      </c>
      <c r="BA553" s="448" t="str">
        <f>_xlfn.IFNA(VLOOKUP($AP553,Programma!$F$3:$Q$1101,12,0),"")</f>
        <v>_</v>
      </c>
      <c r="BB553" s="448" t="str">
        <f>_xlfn.IFNA(VLOOKUP($AP553,Programma!$F$3:$R$1101,13,0),"")</f>
        <v>_</v>
      </c>
      <c r="BC553" s="448" t="str">
        <f>_xlfn.IFNA(VLOOKUP($AP553,Programma!$F$3:$S$1101,14,0),"")</f>
        <v>_</v>
      </c>
      <c r="BD553" s="448" t="str">
        <f>_xlfn.IFNA(VLOOKUP($AP553,Programma!$F$3:$T$1101,15,0),"")</f>
        <v>_</v>
      </c>
      <c r="BE553" s="448" t="str">
        <f>_xlfn.IFNA(VLOOKUP($AP553,Programma!$F$3:$U$1101,16,0),"")</f>
        <v>_</v>
      </c>
      <c r="BF553" s="448" t="str">
        <f>_xlfn.IFNA(VLOOKUP($AP553,Programma!$F$3:$V$1101,17,0),"")</f>
        <v>_</v>
      </c>
      <c r="BG553" s="448" t="str">
        <f>_xlfn.IFNA(VLOOKUP($AP553,Programma!$F$3:$W$1101,18,0),"")</f>
        <v>4w</v>
      </c>
      <c r="BH553" s="448" t="str">
        <f>_xlfn.IFNA(VLOOKUP($AP553,Programma!$F$3:$X$1101,19,0),"")</f>
        <v>1w</v>
      </c>
      <c r="BI553" s="448" t="str">
        <f>_xlfn.IFNA(VLOOKUP($AP553,Programma!$F$3:$Y$1101,20,0),"")</f>
        <v>_</v>
      </c>
      <c r="BJ553" s="449"/>
      <c r="BK553" s="446" t="str">
        <f>IF(Ruimtestaat[[#This Row],[Frequentie weekend]]="","",_xlfn.CONCAT(Ruimtestaat[[#This Row],[Ruimte code]],"-",Ruimtestaat[[#This Row],[Frequentie weekend]]," ",Ruimtestaat[[#This Row],[Vloer code]]))</f>
        <v/>
      </c>
      <c r="BL553" s="448" t="str">
        <f>_xlfn.IFNA(VLOOKUP($BK553,Programma!$F$3:$G$1101,2,0),"")</f>
        <v/>
      </c>
      <c r="BM553" s="448" t="str">
        <f>_xlfn.IFNA(VLOOKUP($BK553,Programma!$F$3:$H$1101,3,0),"")</f>
        <v/>
      </c>
      <c r="BN553" s="448" t="str">
        <f>_xlfn.IFNA(VLOOKUP($BK553,Programma!$F$3:$I$1101,4,0),"")</f>
        <v/>
      </c>
      <c r="BO553" s="448" t="str">
        <f>_xlfn.IFNA(VLOOKUP($BK553,Programma!$F$3:$J$1101,5,0),"")</f>
        <v/>
      </c>
      <c r="BP553" s="448" t="str">
        <f>_xlfn.IFNA(VLOOKUP($BK553,Programma!$F$3:$K$1101,6,0),"")</f>
        <v/>
      </c>
      <c r="BQ553" s="448" t="str">
        <f>_xlfn.IFNA(VLOOKUP($BK553,Programma!$F$3:$L$1101,7,0),"")</f>
        <v/>
      </c>
      <c r="BR553" s="448" t="str">
        <f>_xlfn.IFNA(VLOOKUP($BK553,Programma!$F$3:$M$1101,8,0),"")</f>
        <v/>
      </c>
      <c r="BS553" s="448" t="str">
        <f>_xlfn.IFNA(VLOOKUP($BK553,Programma!$F$3:$N$1101,9,0),"")</f>
        <v/>
      </c>
      <c r="BT553" s="448" t="str">
        <f>_xlfn.IFNA(VLOOKUP($BK553,Programma!$F$3:$O$1101,10,0),"")</f>
        <v/>
      </c>
      <c r="BU553" s="448" t="str">
        <f>_xlfn.IFNA(VLOOKUP($BK553,Programma!$F$3:$P$1101,11,0),"")</f>
        <v/>
      </c>
      <c r="BV553" s="448" t="str">
        <f>_xlfn.IFNA(VLOOKUP($BK553,Programma!$F$3:$Q$1101,12,0),"")</f>
        <v/>
      </c>
      <c r="BW553" s="448" t="str">
        <f>_xlfn.IFNA(VLOOKUP($BK553,Programma!$F$3:$R$1101,13,0),"")</f>
        <v/>
      </c>
      <c r="BX553" s="448" t="str">
        <f>_xlfn.IFNA(VLOOKUP($BK553,Programma!$F$3:$S$1101,14,0),"")</f>
        <v/>
      </c>
      <c r="BY553" s="448" t="str">
        <f>_xlfn.IFNA(VLOOKUP($BK553,Programma!$F$3:$T$1101,15,0),"")</f>
        <v/>
      </c>
      <c r="BZ553" s="448" t="str">
        <f>_xlfn.IFNA(VLOOKUP($BK553,Programma!$F$3:$U$1101,16,0),"")</f>
        <v/>
      </c>
      <c r="CA553" s="448" t="str">
        <f>_xlfn.IFNA(VLOOKUP($BK553,Programma!$F$3:$V$1101,17,0),"")</f>
        <v/>
      </c>
      <c r="CB553" s="448" t="str">
        <f>_xlfn.IFNA(VLOOKUP($BK553,Programma!$F$3:$W$1101,18,0),"")</f>
        <v/>
      </c>
      <c r="CC553" s="448" t="str">
        <f>_xlfn.IFNA(VLOOKUP($BK553,Programma!$F$3:$X$1101,19,0),"")</f>
        <v/>
      </c>
      <c r="CD553" s="448" t="str">
        <f>_xlfn.IFNA(VLOOKUP($BK553,Programma!$F$3:$Y$1101,20,0),"")</f>
        <v/>
      </c>
    </row>
    <row r="554" spans="1:82" ht="15" customHeight="1">
      <c r="A554" s="327">
        <v>19</v>
      </c>
      <c r="B554" s="435" t="str">
        <f>VLOOKUP(Ruimtestaat[[#This Row],[Code]],Locaties[[Code]:[Locatie]],2,FALSE)</f>
        <v>IKC de Leerplaneet (vhKlimboom)</v>
      </c>
      <c r="C554" s="435" t="str">
        <f>VLOOKUP(Ruimtestaat[[#This Row],[Code]],Locaties[[#All],[Code]:[Adres]],4,FALSE)</f>
        <v>Nesciohove 105-107</v>
      </c>
      <c r="D554" s="435" t="str">
        <f>VLOOKUP(Ruimtestaat[[#This Row],[Code]],Locaties[[#All],[Code]:[Postcode]],5,FALSE)</f>
        <v>2726 BL</v>
      </c>
      <c r="E554" s="435" t="str">
        <f>VLOOKUP(Ruimtestaat[[#This Row],[Code]],Locaties[#All],6,FALSE)</f>
        <v>Zoetermeer</v>
      </c>
      <c r="F554" s="450"/>
      <c r="G554" s="330" t="s">
        <v>1769</v>
      </c>
      <c r="H554" s="330" t="s">
        <v>1931</v>
      </c>
      <c r="I554" s="450" t="s">
        <v>1932</v>
      </c>
      <c r="J554" s="330">
        <v>20</v>
      </c>
      <c r="K554" s="450" t="str">
        <f>VLOOKUP(Ruimtestaat[[#This Row],[Ruimte code]],Ruimtegroepen[[#All],[Code]:[Ruimte omschrijving]],2,FALSE)</f>
        <v>Niet in Onderhoud</v>
      </c>
      <c r="L554" s="330" t="s">
        <v>101</v>
      </c>
      <c r="M554" s="437" t="s">
        <v>1816</v>
      </c>
      <c r="N554" s="439"/>
      <c r="O554" s="439">
        <v>7.3</v>
      </c>
      <c r="P554" s="439"/>
      <c r="Q554" s="439"/>
      <c r="R554" s="440">
        <f>VLOOKUP(Ruimtestaat[[#This Row],[Ruimte code]],Ruimtegroepen[],4,FALSE)</f>
        <v>0</v>
      </c>
      <c r="S554" s="434"/>
      <c r="T554" s="434"/>
      <c r="U554" s="453">
        <f>IF(S554&gt;0,IF(RIGHT(Ruimtestaat[[#This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54" s="434">
        <f>IF(U554&gt;0,VLOOKUP($J554,Ruimtegroepen[],3,FALSE)*VLOOKUP($L554,Vloersoorten[],3,FALSE)*VLOOKUP($T554,Frequenties[],3,FALSE)*VLOOKUP($A554,Locaties[],3,FALSE),0)</f>
        <v>0</v>
      </c>
      <c r="W554" s="434">
        <f>Ruimtestaat[[#This Row],[Uitvoeringen werkdagen]]*Ruimtestaat[[#This Row],[Oppervlak (netto)]]</f>
        <v>0</v>
      </c>
      <c r="X554" s="441">
        <f>IF(V554&gt;0,Ruimtestaat[[#This Row],[Prest. (m2 /jaar) werkdagen]]/Ruimtestaat[[#This Row],[Norm (m2/uur) werkdagen]],0)</f>
        <v>0</v>
      </c>
      <c r="Y554" s="442">
        <f>Ruimtestaat[[#This Row],[Uitvoeringen werkdagen]]*Ruimtestaat[[#This Row],[Gedeeltelijk]]</f>
        <v>0</v>
      </c>
      <c r="Z554" s="443">
        <f>IF(U554&gt;0,Ruimtestaat[[#This Row],[Prest. (m2 / jaar) werkdagen gedeeld]]/Ruimtestaat[[#This Row],[Norm (m2/uur) werkdagen]],0)</f>
        <v>0</v>
      </c>
      <c r="AA554" s="441">
        <f>Ruimtestaat[[#This Row],[uren / jaar werkdagen gedeeld]]*Tariefsopbouw!$E$35</f>
        <v>0</v>
      </c>
      <c r="AB554" s="441">
        <f>Ruimtestaat[[#This Row],[Uitvoeringen werkdagen]]*Ruimtestaat[[#This Row],[BSO]]</f>
        <v>0</v>
      </c>
      <c r="AC554" s="443">
        <f>IF(U554&gt;0,Ruimtestaat[[#This Row],[Prest. (m2 / jaar) werkdagen BSO]]/Ruimtestaat[[#This Row],[Norm (m2/uur) werkdagen]],0)</f>
        <v>0</v>
      </c>
      <c r="AD554" s="443">
        <f>Ruimtestaat[[#This Row],[uren / jaar werkdagen BSO]]*Tariefsopbouw!$E$35</f>
        <v>0</v>
      </c>
      <c r="AE554" s="444">
        <f>Ruimtestaat[[#This Row],[uren / jaar werkdagen]]*Tariefsopbouw!$E$35</f>
        <v>0</v>
      </c>
      <c r="AF554" s="454"/>
      <c r="AG554" s="455">
        <f>IF(Ruimtestaat[[#This Row],[Frequentie weekend]]&gt;0,VALUE(LEFT(AF554,1))*S554,0)</f>
        <v>0</v>
      </c>
      <c r="AH554" s="455">
        <f>IF($AG554&gt;0,VLOOKUP($J554,Ruimtegroepen[],3,FALSE)*VLOOKUP($L554,Vloersoorten[],3,FALSE)*VLOOKUP($AF554,Frequenties[],3,FALSE)*VLOOKUP(#REF!,Locaties[],3,FALSE),0)</f>
        <v>0</v>
      </c>
      <c r="AI554" s="434">
        <f>Ruimtestaat[[#This Row],[Uitvoeringen weekend]]*Ruimtestaat[[#This Row],[Oppervlak (netto)]]</f>
        <v>0</v>
      </c>
      <c r="AJ554" s="434">
        <f>IF(AH554&gt;0,Ruimtestaat[[#This Row],[Prest. (m2 /jaar) weekend]]/Ruimtestaat[[#This Row],[Norm (m2/uur) weekend]],0)</f>
        <v>0</v>
      </c>
      <c r="AK554" s="444">
        <f>Ruimtestaat[[#This Row],[uren / jaar weekend]]*Tariefsopbouw!$D$40</f>
        <v>0</v>
      </c>
      <c r="AL554" s="441">
        <f>Ruimtestaat[[#This Row],[Prest. (m2 /jaar) weekend]]+Ruimtestaat[[#This Row],[Prest. (m2 /jaar) werkdagen]]</f>
        <v>0</v>
      </c>
      <c r="AM554" s="441">
        <f>Ruimtestaat[[#This Row],[uren / jaar weekend]]+Ruimtestaat[[#This Row],[uren / jaar werkdagen]]</f>
        <v>0</v>
      </c>
      <c r="AN554" s="446">
        <f>Ruimtestaat[[#This Row],[kosten / jaar weekend]]+Ruimtestaat[[#This Row],[kosten / jaar werkdagen]]</f>
        <v>0</v>
      </c>
      <c r="AO554" s="446"/>
      <c r="AP554" s="446" t="str">
        <f>IF(Ruimtestaat[[#This Row],[Frequentie werkdagen]]="","",_xlfn.CONCAT(Ruimtestaat[[#This Row],[Ruimte code]],"-",Ruimtestaat[[#This Row],[Frequentie werkdagen]]," ",Ruimtestaat[[#This Row],[Vloer code]]))</f>
        <v/>
      </c>
      <c r="AQ554" s="448" t="str">
        <f>_xlfn.IFNA(VLOOKUP($AP554,Programma!$F$3:$G$1101,2,0),"")</f>
        <v/>
      </c>
      <c r="AR554" s="448" t="str">
        <f>_xlfn.IFNA(VLOOKUP($AP554,Programma!$F$3:$H$1101,3,0),"")</f>
        <v/>
      </c>
      <c r="AS554" s="448" t="str">
        <f>_xlfn.IFNA(VLOOKUP($AP554,Programma!$F$3:$I$1101,4,0),"")</f>
        <v/>
      </c>
      <c r="AT554" s="448" t="str">
        <f>_xlfn.IFNA(VLOOKUP($AP554,Programma!$F$3:$J$1101,5,0),"")</f>
        <v/>
      </c>
      <c r="AU554" s="448" t="str">
        <f>_xlfn.IFNA(VLOOKUP($AP554,Programma!$F$3:$K$1101,6,0),"")</f>
        <v/>
      </c>
      <c r="AV554" s="448" t="str">
        <f>_xlfn.IFNA(VLOOKUP($AP554,Programma!$F$3:$L$1101,7,0),"")</f>
        <v/>
      </c>
      <c r="AW554" s="448" t="str">
        <f>_xlfn.IFNA(VLOOKUP($AP554,Programma!$F$3:$M$1101,8,0),"")</f>
        <v/>
      </c>
      <c r="AX554" s="448" t="str">
        <f>_xlfn.IFNA(VLOOKUP($AP554,Programma!$F$3:$N$1101,9,0),"")</f>
        <v/>
      </c>
      <c r="AY554" s="448" t="str">
        <f>_xlfn.IFNA(VLOOKUP($AP554,Programma!$F$3:$O$1101,10,0),"")</f>
        <v/>
      </c>
      <c r="AZ554" s="448" t="str">
        <f>_xlfn.IFNA(VLOOKUP($AP554,Programma!$F$3:$P$1101,11,0),"")</f>
        <v/>
      </c>
      <c r="BA554" s="448" t="str">
        <f>_xlfn.IFNA(VLOOKUP($AP554,Programma!$F$3:$Q$1101,12,0),"")</f>
        <v/>
      </c>
      <c r="BB554" s="448" t="str">
        <f>_xlfn.IFNA(VLOOKUP($AP554,Programma!$F$3:$R$1101,13,0),"")</f>
        <v/>
      </c>
      <c r="BC554" s="448" t="str">
        <f>_xlfn.IFNA(VLOOKUP($AP554,Programma!$F$3:$S$1101,14,0),"")</f>
        <v/>
      </c>
      <c r="BD554" s="448" t="str">
        <f>_xlfn.IFNA(VLOOKUP($AP554,Programma!$F$3:$T$1101,15,0),"")</f>
        <v/>
      </c>
      <c r="BE554" s="448" t="str">
        <f>_xlfn.IFNA(VLOOKUP($AP554,Programma!$F$3:$U$1101,16,0),"")</f>
        <v/>
      </c>
      <c r="BF554" s="448" t="str">
        <f>_xlfn.IFNA(VLOOKUP($AP554,Programma!$F$3:$V$1101,17,0),"")</f>
        <v/>
      </c>
      <c r="BG554" s="448" t="str">
        <f>_xlfn.IFNA(VLOOKUP($AP554,Programma!$F$3:$W$1101,18,0),"")</f>
        <v/>
      </c>
      <c r="BH554" s="448" t="str">
        <f>_xlfn.IFNA(VLOOKUP($AP554,Programma!$F$3:$X$1101,19,0),"")</f>
        <v/>
      </c>
      <c r="BI554" s="448" t="str">
        <f>_xlfn.IFNA(VLOOKUP($AP554,Programma!$F$3:$Y$1101,20,0),"")</f>
        <v/>
      </c>
      <c r="BJ554" s="449"/>
      <c r="BK554" s="446" t="str">
        <f>IF(Ruimtestaat[[#This Row],[Frequentie weekend]]="","",_xlfn.CONCAT(Ruimtestaat[[#This Row],[Ruimte code]],"-",Ruimtestaat[[#This Row],[Frequentie weekend]]," ",Ruimtestaat[[#This Row],[Vloer code]]))</f>
        <v/>
      </c>
      <c r="BL554" s="448" t="str">
        <f>_xlfn.IFNA(VLOOKUP($BK554,Programma!$F$3:$G$1101,2,0),"")</f>
        <v/>
      </c>
      <c r="BM554" s="448" t="str">
        <f>_xlfn.IFNA(VLOOKUP($BK554,Programma!$F$3:$H$1101,3,0),"")</f>
        <v/>
      </c>
      <c r="BN554" s="448" t="str">
        <f>_xlfn.IFNA(VLOOKUP($BK554,Programma!$F$3:$I$1101,4,0),"")</f>
        <v/>
      </c>
      <c r="BO554" s="448" t="str">
        <f>_xlfn.IFNA(VLOOKUP($BK554,Programma!$F$3:$J$1101,5,0),"")</f>
        <v/>
      </c>
      <c r="BP554" s="448" t="str">
        <f>_xlfn.IFNA(VLOOKUP($BK554,Programma!$F$3:$K$1101,6,0),"")</f>
        <v/>
      </c>
      <c r="BQ554" s="448" t="str">
        <f>_xlfn.IFNA(VLOOKUP($BK554,Programma!$F$3:$L$1101,7,0),"")</f>
        <v/>
      </c>
      <c r="BR554" s="448" t="str">
        <f>_xlfn.IFNA(VLOOKUP($BK554,Programma!$F$3:$M$1101,8,0),"")</f>
        <v/>
      </c>
      <c r="BS554" s="448" t="str">
        <f>_xlfn.IFNA(VLOOKUP($BK554,Programma!$F$3:$N$1101,9,0),"")</f>
        <v/>
      </c>
      <c r="BT554" s="448" t="str">
        <f>_xlfn.IFNA(VLOOKUP($BK554,Programma!$F$3:$O$1101,10,0),"")</f>
        <v/>
      </c>
      <c r="BU554" s="448" t="str">
        <f>_xlfn.IFNA(VLOOKUP($BK554,Programma!$F$3:$P$1101,11,0),"")</f>
        <v/>
      </c>
      <c r="BV554" s="448" t="str">
        <f>_xlfn.IFNA(VLOOKUP($BK554,Programma!$F$3:$Q$1101,12,0),"")</f>
        <v/>
      </c>
      <c r="BW554" s="448" t="str">
        <f>_xlfn.IFNA(VLOOKUP($BK554,Programma!$F$3:$R$1101,13,0),"")</f>
        <v/>
      </c>
      <c r="BX554" s="448" t="str">
        <f>_xlfn.IFNA(VLOOKUP($BK554,Programma!$F$3:$S$1101,14,0),"")</f>
        <v/>
      </c>
      <c r="BY554" s="448" t="str">
        <f>_xlfn.IFNA(VLOOKUP($BK554,Programma!$F$3:$T$1101,15,0),"")</f>
        <v/>
      </c>
      <c r="BZ554" s="448" t="str">
        <f>_xlfn.IFNA(VLOOKUP($BK554,Programma!$F$3:$U$1101,16,0),"")</f>
        <v/>
      </c>
      <c r="CA554" s="448" t="str">
        <f>_xlfn.IFNA(VLOOKUP($BK554,Programma!$F$3:$V$1101,17,0),"")</f>
        <v/>
      </c>
      <c r="CB554" s="448" t="str">
        <f>_xlfn.IFNA(VLOOKUP($BK554,Programma!$F$3:$W$1101,18,0),"")</f>
        <v/>
      </c>
      <c r="CC554" s="448" t="str">
        <f>_xlfn.IFNA(VLOOKUP($BK554,Programma!$F$3:$X$1101,19,0),"")</f>
        <v/>
      </c>
      <c r="CD554" s="448" t="str">
        <f>_xlfn.IFNA(VLOOKUP($BK554,Programma!$F$3:$Y$1101,20,0),"")</f>
        <v/>
      </c>
    </row>
    <row r="555" spans="1:82" ht="15" customHeight="1">
      <c r="A555" s="327">
        <v>19</v>
      </c>
      <c r="B555" s="435" t="str">
        <f>VLOOKUP(Ruimtestaat[[#This Row],[Code]],Locaties[[Code]:[Locatie]],2,FALSE)</f>
        <v>IKC de Leerplaneet (vhKlimboom)</v>
      </c>
      <c r="C555" s="435" t="str">
        <f>VLOOKUP(Ruimtestaat[[#This Row],[Code]],Locaties[[#All],[Code]:[Adres]],4,FALSE)</f>
        <v>Nesciohove 105-107</v>
      </c>
      <c r="D555" s="435" t="str">
        <f>VLOOKUP(Ruimtestaat[[#This Row],[Code]],Locaties[[#All],[Code]:[Postcode]],5,FALSE)</f>
        <v>2726 BL</v>
      </c>
      <c r="E555" s="435" t="str">
        <f>VLOOKUP(Ruimtestaat[[#This Row],[Code]],Locaties[#All],6,FALSE)</f>
        <v>Zoetermeer</v>
      </c>
      <c r="F555" s="450"/>
      <c r="G555" s="330" t="s">
        <v>1769</v>
      </c>
      <c r="H555" s="330" t="s">
        <v>1933</v>
      </c>
      <c r="I555" s="450" t="s">
        <v>1934</v>
      </c>
      <c r="J555" s="330">
        <v>6</v>
      </c>
      <c r="K555" s="450" t="str">
        <f>VLOOKUP(Ruimtestaat[[#This Row],[Ruimte code]],Ruimtegroepen[[#All],[Code]:[Ruimte omschrijving]],2,FALSE)</f>
        <v>Gangen/hallen</v>
      </c>
      <c r="L555" s="330" t="s">
        <v>101</v>
      </c>
      <c r="M555" s="437" t="s">
        <v>1816</v>
      </c>
      <c r="N555" s="439">
        <v>2</v>
      </c>
      <c r="O555" s="439"/>
      <c r="P555" s="439"/>
      <c r="Q555" s="439"/>
      <c r="R555" s="440" t="str">
        <f>VLOOKUP(Ruimtestaat[[#This Row],[Ruimte code]],Ruimtegroepen[],4,FALSE)</f>
        <v>Ve</v>
      </c>
      <c r="S555" s="434">
        <v>41</v>
      </c>
      <c r="T555" s="434" t="s">
        <v>2</v>
      </c>
      <c r="U555" s="453">
        <f>IF(S555&gt;0,IF(RIGHT(Ruimtestaat[[#This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55" s="434">
        <f>IF(U555&gt;0,VLOOKUP($J555,Ruimtegroepen[],3,FALSE)*VLOOKUP($L555,Vloersoorten[],3,FALSE)*VLOOKUP($T555,Frequenties[],3,FALSE)*VLOOKUP($A555,Locaties[],3,FALSE),0)</f>
        <v>0</v>
      </c>
      <c r="W555" s="434">
        <f>Ruimtestaat[[#This Row],[Uitvoeringen werkdagen]]*Ruimtestaat[[#This Row],[Oppervlak (netto)]]</f>
        <v>410</v>
      </c>
      <c r="X555" s="441">
        <f>IF(V555&gt;0,Ruimtestaat[[#This Row],[Prest. (m2 /jaar) werkdagen]]/Ruimtestaat[[#This Row],[Norm (m2/uur) werkdagen]],0)</f>
        <v>0</v>
      </c>
      <c r="Y555" s="442">
        <f>Ruimtestaat[[#This Row],[Uitvoeringen werkdagen]]*Ruimtestaat[[#This Row],[Gedeeltelijk]]</f>
        <v>0</v>
      </c>
      <c r="Z555" s="443" t="e">
        <f>IF(U555&gt;0,Ruimtestaat[[#This Row],[Prest. (m2 / jaar) werkdagen gedeeld]]/Ruimtestaat[[#This Row],[Norm (m2/uur) werkdagen]],0)</f>
        <v>#DIV/0!</v>
      </c>
      <c r="AA555" s="441" t="e">
        <f>Ruimtestaat[[#This Row],[uren / jaar werkdagen gedeeld]]*Tariefsopbouw!$E$35</f>
        <v>#DIV/0!</v>
      </c>
      <c r="AB555" s="441">
        <f>Ruimtestaat[[#This Row],[Uitvoeringen werkdagen]]*Ruimtestaat[[#This Row],[BSO]]</f>
        <v>0</v>
      </c>
      <c r="AC555" s="443" t="e">
        <f>IF(U555&gt;0,Ruimtestaat[[#This Row],[Prest. (m2 / jaar) werkdagen BSO]]/Ruimtestaat[[#This Row],[Norm (m2/uur) werkdagen]],0)</f>
        <v>#DIV/0!</v>
      </c>
      <c r="AD555" s="443" t="e">
        <f>Ruimtestaat[[#This Row],[uren / jaar werkdagen BSO]]*Tariefsopbouw!$E$35</f>
        <v>#DIV/0!</v>
      </c>
      <c r="AE555" s="444">
        <f>Ruimtestaat[[#This Row],[uren / jaar werkdagen]]*Tariefsopbouw!$E$35</f>
        <v>0</v>
      </c>
      <c r="AF555" s="454"/>
      <c r="AG555" s="455">
        <f>IF(Ruimtestaat[[#This Row],[Frequentie weekend]]&gt;0,VALUE(LEFT(AF555,1))*S555,0)</f>
        <v>0</v>
      </c>
      <c r="AH555" s="455">
        <f>IF($AG555&gt;0,VLOOKUP($J555,Ruimtegroepen[],3,FALSE)*VLOOKUP($L555,Vloersoorten[],3,FALSE)*VLOOKUP($AF555,Frequenties[],3,FALSE)*VLOOKUP(#REF!,Locaties[],3,FALSE),0)</f>
        <v>0</v>
      </c>
      <c r="AI555" s="434">
        <f>Ruimtestaat[[#This Row],[Uitvoeringen weekend]]*Ruimtestaat[[#This Row],[Oppervlak (netto)]]</f>
        <v>0</v>
      </c>
      <c r="AJ555" s="434">
        <f>IF(AH555&gt;0,Ruimtestaat[[#This Row],[Prest. (m2 /jaar) weekend]]/Ruimtestaat[[#This Row],[Norm (m2/uur) weekend]],0)</f>
        <v>0</v>
      </c>
      <c r="AK555" s="444">
        <f>Ruimtestaat[[#This Row],[uren / jaar weekend]]*Tariefsopbouw!$D$40</f>
        <v>0</v>
      </c>
      <c r="AL555" s="441">
        <f>Ruimtestaat[[#This Row],[Prest. (m2 /jaar) weekend]]+Ruimtestaat[[#This Row],[Prest. (m2 /jaar) werkdagen]]</f>
        <v>410</v>
      </c>
      <c r="AM555" s="441">
        <f>Ruimtestaat[[#This Row],[uren / jaar weekend]]+Ruimtestaat[[#This Row],[uren / jaar werkdagen]]</f>
        <v>0</v>
      </c>
      <c r="AN555" s="446">
        <f>Ruimtestaat[[#This Row],[kosten / jaar weekend]]+Ruimtestaat[[#This Row],[kosten / jaar werkdagen]]</f>
        <v>0</v>
      </c>
      <c r="AO555" s="446"/>
      <c r="AP555" s="446" t="str">
        <f>IF(Ruimtestaat[[#This Row],[Frequentie werkdagen]]="","",_xlfn.CONCAT(Ruimtestaat[[#This Row],[Ruimte code]],"-",Ruimtestaat[[#This Row],[Frequentie werkdagen]]," ",Ruimtestaat[[#This Row],[Vloer code]]))</f>
        <v>6-5w S</v>
      </c>
      <c r="AQ555" s="448" t="str">
        <f>_xlfn.IFNA(VLOOKUP($AP555,Programma!$F$3:$G$1101,2,0),"")</f>
        <v>_</v>
      </c>
      <c r="AR555" s="448" t="str">
        <f>_xlfn.IFNA(VLOOKUP($AP555,Programma!$F$3:$H$1101,3,0),"")</f>
        <v>_</v>
      </c>
      <c r="AS555" s="448" t="str">
        <f>_xlfn.IFNA(VLOOKUP($AP555,Programma!$F$3:$I$1101,4,0),"")</f>
        <v>5w</v>
      </c>
      <c r="AT555" s="448" t="str">
        <f>_xlfn.IFNA(VLOOKUP($AP555,Programma!$F$3:$J$1101,5,0),"")</f>
        <v>_</v>
      </c>
      <c r="AU555" s="448" t="str">
        <f>_xlfn.IFNA(VLOOKUP($AP555,Programma!$F$3:$K$1101,6,0),"")</f>
        <v>5w</v>
      </c>
      <c r="AV555" s="448" t="str">
        <f>_xlfn.IFNA(VLOOKUP($AP555,Programma!$F$3:$L$1101,7,0),"")</f>
        <v>_</v>
      </c>
      <c r="AW555" s="448" t="str">
        <f>_xlfn.IFNA(VLOOKUP($AP555,Programma!$F$3:$M$1101,8,0),"")</f>
        <v>_</v>
      </c>
      <c r="AX555" s="448" t="str">
        <f>_xlfn.IFNA(VLOOKUP($AP555,Programma!$F$3:$N$1101,9,0),"")</f>
        <v>_</v>
      </c>
      <c r="AY555" s="448" t="str">
        <f>_xlfn.IFNA(VLOOKUP($AP555,Programma!$F$3:$O$1101,10,0),"")</f>
        <v>5w</v>
      </c>
      <c r="AZ555" s="448" t="str">
        <f>_xlfn.IFNA(VLOOKUP($AP555,Programma!$F$3:$P$1101,11,0),"")</f>
        <v>5w</v>
      </c>
      <c r="BA555" s="448" t="str">
        <f>_xlfn.IFNA(VLOOKUP($AP555,Programma!$F$3:$Q$1101,12,0),"")</f>
        <v>1w</v>
      </c>
      <c r="BB555" s="448" t="str">
        <f>_xlfn.IFNA(VLOOKUP($AP555,Programma!$F$3:$R$1101,13,0),"")</f>
        <v>1w</v>
      </c>
      <c r="BC555" s="448" t="str">
        <f>_xlfn.IFNA(VLOOKUP($AP555,Programma!$F$3:$S$1101,14,0),"")</f>
        <v>1m</v>
      </c>
      <c r="BD555" s="448" t="str">
        <f>_xlfn.IFNA(VLOOKUP($AP555,Programma!$F$3:$T$1101,15,0),"")</f>
        <v>2j</v>
      </c>
      <c r="BE555" s="448" t="str">
        <f>_xlfn.IFNA(VLOOKUP($AP555,Programma!$F$3:$U$1101,16,0),"")</f>
        <v>1j</v>
      </c>
      <c r="BF555" s="448" t="str">
        <f>_xlfn.IFNA(VLOOKUP($AP555,Programma!$F$3:$V$1101,17,0),"")</f>
        <v>_</v>
      </c>
      <c r="BG555" s="448" t="str">
        <f>_xlfn.IFNA(VLOOKUP($AP555,Programma!$F$3:$W$1101,18,0),"")</f>
        <v>_</v>
      </c>
      <c r="BH555" s="448" t="str">
        <f>_xlfn.IFNA(VLOOKUP($AP555,Programma!$F$3:$X$1101,19,0),"")</f>
        <v>_</v>
      </c>
      <c r="BI555" s="448" t="str">
        <f>_xlfn.IFNA(VLOOKUP($AP555,Programma!$F$3:$Y$1101,20,0),"")</f>
        <v>_</v>
      </c>
      <c r="BJ555" s="449"/>
      <c r="BK555" s="446" t="str">
        <f>IF(Ruimtestaat[[#This Row],[Frequentie weekend]]="","",_xlfn.CONCAT(Ruimtestaat[[#This Row],[Ruimte code]],"-",Ruimtestaat[[#This Row],[Frequentie weekend]]," ",Ruimtestaat[[#This Row],[Vloer code]]))</f>
        <v/>
      </c>
      <c r="BL555" s="448" t="str">
        <f>_xlfn.IFNA(VLOOKUP($BK555,Programma!$F$3:$G$1101,2,0),"")</f>
        <v/>
      </c>
      <c r="BM555" s="448" t="str">
        <f>_xlfn.IFNA(VLOOKUP($BK555,Programma!$F$3:$H$1101,3,0),"")</f>
        <v/>
      </c>
      <c r="BN555" s="448" t="str">
        <f>_xlfn.IFNA(VLOOKUP($BK555,Programma!$F$3:$I$1101,4,0),"")</f>
        <v/>
      </c>
      <c r="BO555" s="448" t="str">
        <f>_xlfn.IFNA(VLOOKUP($BK555,Programma!$F$3:$J$1101,5,0),"")</f>
        <v/>
      </c>
      <c r="BP555" s="448" t="str">
        <f>_xlfn.IFNA(VLOOKUP($BK555,Programma!$F$3:$K$1101,6,0),"")</f>
        <v/>
      </c>
      <c r="BQ555" s="448" t="str">
        <f>_xlfn.IFNA(VLOOKUP($BK555,Programma!$F$3:$L$1101,7,0),"")</f>
        <v/>
      </c>
      <c r="BR555" s="448" t="str">
        <f>_xlfn.IFNA(VLOOKUP($BK555,Programma!$F$3:$M$1101,8,0),"")</f>
        <v/>
      </c>
      <c r="BS555" s="448" t="str">
        <f>_xlfn.IFNA(VLOOKUP($BK555,Programma!$F$3:$N$1101,9,0),"")</f>
        <v/>
      </c>
      <c r="BT555" s="448" t="str">
        <f>_xlfn.IFNA(VLOOKUP($BK555,Programma!$F$3:$O$1101,10,0),"")</f>
        <v/>
      </c>
      <c r="BU555" s="448" t="str">
        <f>_xlfn.IFNA(VLOOKUP($BK555,Programma!$F$3:$P$1101,11,0),"")</f>
        <v/>
      </c>
      <c r="BV555" s="448" t="str">
        <f>_xlfn.IFNA(VLOOKUP($BK555,Programma!$F$3:$Q$1101,12,0),"")</f>
        <v/>
      </c>
      <c r="BW555" s="448" t="str">
        <f>_xlfn.IFNA(VLOOKUP($BK555,Programma!$F$3:$R$1101,13,0),"")</f>
        <v/>
      </c>
      <c r="BX555" s="448" t="str">
        <f>_xlfn.IFNA(VLOOKUP($BK555,Programma!$F$3:$S$1101,14,0),"")</f>
        <v/>
      </c>
      <c r="BY555" s="448" t="str">
        <f>_xlfn.IFNA(VLOOKUP($BK555,Programma!$F$3:$T$1101,15,0),"")</f>
        <v/>
      </c>
      <c r="BZ555" s="448" t="str">
        <f>_xlfn.IFNA(VLOOKUP($BK555,Programma!$F$3:$U$1101,16,0),"")</f>
        <v/>
      </c>
      <c r="CA555" s="448" t="str">
        <f>_xlfn.IFNA(VLOOKUP($BK555,Programma!$F$3:$V$1101,17,0),"")</f>
        <v/>
      </c>
      <c r="CB555" s="448" t="str">
        <f>_xlfn.IFNA(VLOOKUP($BK555,Programma!$F$3:$W$1101,18,0),"")</f>
        <v/>
      </c>
      <c r="CC555" s="448" t="str">
        <f>_xlfn.IFNA(VLOOKUP($BK555,Programma!$F$3:$X$1101,19,0),"")</f>
        <v/>
      </c>
      <c r="CD555" s="448" t="str">
        <f>_xlfn.IFNA(VLOOKUP($BK555,Programma!$F$3:$Y$1101,20,0),"")</f>
        <v/>
      </c>
    </row>
    <row r="556" spans="1:82" ht="15" customHeight="1">
      <c r="A556" s="327">
        <v>19</v>
      </c>
      <c r="B556" s="435" t="str">
        <f>VLOOKUP(Ruimtestaat[[#This Row],[Code]],Locaties[[Code]:[Locatie]],2,FALSE)</f>
        <v>IKC de Leerplaneet (vhKlimboom)</v>
      </c>
      <c r="C556" s="435" t="str">
        <f>VLOOKUP(Ruimtestaat[[#This Row],[Code]],Locaties[[#All],[Code]:[Adres]],4,FALSE)</f>
        <v>Nesciohove 105-107</v>
      </c>
      <c r="D556" s="435" t="str">
        <f>VLOOKUP(Ruimtestaat[[#This Row],[Code]],Locaties[[#All],[Code]:[Postcode]],5,FALSE)</f>
        <v>2726 BL</v>
      </c>
      <c r="E556" s="435" t="str">
        <f>VLOOKUP(Ruimtestaat[[#This Row],[Code]],Locaties[#All],6,FALSE)</f>
        <v>Zoetermeer</v>
      </c>
      <c r="F556" s="450"/>
      <c r="G556" s="330" t="s">
        <v>1769</v>
      </c>
      <c r="H556" s="330" t="s">
        <v>1935</v>
      </c>
      <c r="I556" s="450" t="s">
        <v>1895</v>
      </c>
      <c r="J556" s="330">
        <v>5</v>
      </c>
      <c r="K556" s="450" t="str">
        <f>VLOOKUP(Ruimtestaat[[#This Row],[Ruimte code]],Ruimtegroepen[[#All],[Code]:[Ruimte omschrijving]],2,FALSE)</f>
        <v>Sanitair</v>
      </c>
      <c r="L556" s="330" t="s">
        <v>101</v>
      </c>
      <c r="M556" s="437" t="s">
        <v>1816</v>
      </c>
      <c r="N556" s="439">
        <v>4.5</v>
      </c>
      <c r="O556" s="439"/>
      <c r="P556" s="439"/>
      <c r="Q556" s="439"/>
      <c r="R556" s="440" t="str">
        <f>VLOOKUP(Ruimtestaat[[#This Row],[Ruimte code]],Ruimtegroepen[],4,FALSE)</f>
        <v>Sa</v>
      </c>
      <c r="S556" s="434">
        <v>41</v>
      </c>
      <c r="T556" s="434" t="s">
        <v>2</v>
      </c>
      <c r="U556" s="453">
        <f>IF(S556&gt;0,IF(RIGHT(Ruimtestaat[[#This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56" s="434">
        <f>IF(U556&gt;0,VLOOKUP($J556,Ruimtegroepen[],3,FALSE)*VLOOKUP($L556,Vloersoorten[],3,FALSE)*VLOOKUP($T556,Frequenties[],3,FALSE)*VLOOKUP($A556,Locaties[],3,FALSE),0)</f>
        <v>0</v>
      </c>
      <c r="W556" s="434">
        <f>Ruimtestaat[[#This Row],[Uitvoeringen werkdagen]]*Ruimtestaat[[#This Row],[Oppervlak (netto)]]</f>
        <v>922.5</v>
      </c>
      <c r="X556" s="441">
        <f>IF(V556&gt;0,Ruimtestaat[[#This Row],[Prest. (m2 /jaar) werkdagen]]/Ruimtestaat[[#This Row],[Norm (m2/uur) werkdagen]],0)</f>
        <v>0</v>
      </c>
      <c r="Y556" s="442">
        <f>Ruimtestaat[[#This Row],[Uitvoeringen werkdagen]]*Ruimtestaat[[#This Row],[Gedeeltelijk]]</f>
        <v>0</v>
      </c>
      <c r="Z556" s="443" t="e">
        <f>IF(U556&gt;0,Ruimtestaat[[#This Row],[Prest. (m2 / jaar) werkdagen gedeeld]]/Ruimtestaat[[#This Row],[Norm (m2/uur) werkdagen]],0)</f>
        <v>#DIV/0!</v>
      </c>
      <c r="AA556" s="441" t="e">
        <f>Ruimtestaat[[#This Row],[uren / jaar werkdagen gedeeld]]*Tariefsopbouw!$E$35</f>
        <v>#DIV/0!</v>
      </c>
      <c r="AB556" s="441">
        <f>Ruimtestaat[[#This Row],[Uitvoeringen werkdagen]]*Ruimtestaat[[#This Row],[BSO]]</f>
        <v>0</v>
      </c>
      <c r="AC556" s="443" t="e">
        <f>IF(U556&gt;0,Ruimtestaat[[#This Row],[Prest. (m2 / jaar) werkdagen BSO]]/Ruimtestaat[[#This Row],[Norm (m2/uur) werkdagen]],0)</f>
        <v>#DIV/0!</v>
      </c>
      <c r="AD556" s="443" t="e">
        <f>Ruimtestaat[[#This Row],[uren / jaar werkdagen BSO]]*Tariefsopbouw!$E$35</f>
        <v>#DIV/0!</v>
      </c>
      <c r="AE556" s="444">
        <f>Ruimtestaat[[#This Row],[uren / jaar werkdagen]]*Tariefsopbouw!$E$35</f>
        <v>0</v>
      </c>
      <c r="AF556" s="454"/>
      <c r="AG556" s="455">
        <f>IF(Ruimtestaat[[#This Row],[Frequentie weekend]]&gt;0,VALUE(LEFT(AF556,1))*S556,0)</f>
        <v>0</v>
      </c>
      <c r="AH556" s="455">
        <f>IF($AG556&gt;0,VLOOKUP($J556,Ruimtegroepen[],3,FALSE)*VLOOKUP($L556,Vloersoorten[],3,FALSE)*VLOOKUP($AF556,Frequenties[],3,FALSE)*VLOOKUP(#REF!,Locaties[],3,FALSE),0)</f>
        <v>0</v>
      </c>
      <c r="AI556" s="434">
        <f>Ruimtestaat[[#This Row],[Uitvoeringen weekend]]*Ruimtestaat[[#This Row],[Oppervlak (netto)]]</f>
        <v>0</v>
      </c>
      <c r="AJ556" s="434">
        <f>IF(AH556&gt;0,Ruimtestaat[[#This Row],[Prest. (m2 /jaar) weekend]]/Ruimtestaat[[#This Row],[Norm (m2/uur) weekend]],0)</f>
        <v>0</v>
      </c>
      <c r="AK556" s="444">
        <f>Ruimtestaat[[#This Row],[uren / jaar weekend]]*Tariefsopbouw!$D$40</f>
        <v>0</v>
      </c>
      <c r="AL556" s="441">
        <f>Ruimtestaat[[#This Row],[Prest. (m2 /jaar) weekend]]+Ruimtestaat[[#This Row],[Prest. (m2 /jaar) werkdagen]]</f>
        <v>922.5</v>
      </c>
      <c r="AM556" s="441">
        <f>Ruimtestaat[[#This Row],[uren / jaar weekend]]+Ruimtestaat[[#This Row],[uren / jaar werkdagen]]</f>
        <v>0</v>
      </c>
      <c r="AN556" s="446">
        <f>Ruimtestaat[[#This Row],[kosten / jaar weekend]]+Ruimtestaat[[#This Row],[kosten / jaar werkdagen]]</f>
        <v>0</v>
      </c>
      <c r="AO556" s="446"/>
      <c r="AP556" s="446" t="str">
        <f>IF(Ruimtestaat[[#This Row],[Frequentie werkdagen]]="","",_xlfn.CONCAT(Ruimtestaat[[#This Row],[Ruimte code]],"-",Ruimtestaat[[#This Row],[Frequentie werkdagen]]," ",Ruimtestaat[[#This Row],[Vloer code]]))</f>
        <v>5-5w S</v>
      </c>
      <c r="AQ556" s="448" t="str">
        <f>_xlfn.IFNA(VLOOKUP($AP556,Programma!$F$3:$G$1101,2,0),"")</f>
        <v>_</v>
      </c>
      <c r="AR556" s="448" t="str">
        <f>_xlfn.IFNA(VLOOKUP($AP556,Programma!$F$3:$H$1101,3,0),"")</f>
        <v>_</v>
      </c>
      <c r="AS556" s="448" t="str">
        <f>_xlfn.IFNA(VLOOKUP($AP556,Programma!$F$3:$I$1101,4,0),"")</f>
        <v>_</v>
      </c>
      <c r="AT556" s="448" t="str">
        <f>_xlfn.IFNA(VLOOKUP($AP556,Programma!$F$3:$J$1101,5,0),"")</f>
        <v>4w</v>
      </c>
      <c r="AU556" s="448" t="str">
        <f>_xlfn.IFNA(VLOOKUP($AP556,Programma!$F$3:$K$1101,6,0),"")</f>
        <v>1w</v>
      </c>
      <c r="AV556" s="448" t="str">
        <f>_xlfn.IFNA(VLOOKUP($AP556,Programma!$F$3:$L$1101,7,0),"")</f>
        <v>_</v>
      </c>
      <c r="AW556" s="448" t="str">
        <f>_xlfn.IFNA(VLOOKUP($AP556,Programma!$F$3:$M$1101,8,0),"")</f>
        <v>_</v>
      </c>
      <c r="AX556" s="448" t="str">
        <f>_xlfn.IFNA(VLOOKUP($AP556,Programma!$F$3:$N$1101,9,0),"")</f>
        <v>_</v>
      </c>
      <c r="AY556" s="448" t="str">
        <f>_xlfn.IFNA(VLOOKUP($AP556,Programma!$F$3:$O$1101,10,0),"")</f>
        <v>_</v>
      </c>
      <c r="AZ556" s="448" t="str">
        <f>_xlfn.IFNA(VLOOKUP($AP556,Programma!$F$3:$P$1101,11,0),"")</f>
        <v>_</v>
      </c>
      <c r="BA556" s="448" t="str">
        <f>_xlfn.IFNA(VLOOKUP($AP556,Programma!$F$3:$Q$1101,12,0),"")</f>
        <v>_</v>
      </c>
      <c r="BB556" s="448" t="str">
        <f>_xlfn.IFNA(VLOOKUP($AP556,Programma!$F$3:$R$1101,13,0),"")</f>
        <v>_</v>
      </c>
      <c r="BC556" s="448" t="str">
        <f>_xlfn.IFNA(VLOOKUP($AP556,Programma!$F$3:$S$1101,14,0),"")</f>
        <v>_</v>
      </c>
      <c r="BD556" s="448" t="str">
        <f>_xlfn.IFNA(VLOOKUP($AP556,Programma!$F$3:$T$1101,15,0),"")</f>
        <v>_</v>
      </c>
      <c r="BE556" s="448" t="str">
        <f>_xlfn.IFNA(VLOOKUP($AP556,Programma!$F$3:$U$1101,16,0),"")</f>
        <v>_</v>
      </c>
      <c r="BF556" s="448" t="str">
        <f>_xlfn.IFNA(VLOOKUP($AP556,Programma!$F$3:$V$1101,17,0),"")</f>
        <v>_</v>
      </c>
      <c r="BG556" s="448" t="str">
        <f>_xlfn.IFNA(VLOOKUP($AP556,Programma!$F$3:$W$1101,18,0),"")</f>
        <v>4w</v>
      </c>
      <c r="BH556" s="448" t="str">
        <f>_xlfn.IFNA(VLOOKUP($AP556,Programma!$F$3:$X$1101,19,0),"")</f>
        <v>1w</v>
      </c>
      <c r="BI556" s="448" t="str">
        <f>_xlfn.IFNA(VLOOKUP($AP556,Programma!$F$3:$Y$1101,20,0),"")</f>
        <v>_</v>
      </c>
      <c r="BJ556" s="449"/>
      <c r="BK556" s="446" t="str">
        <f>IF(Ruimtestaat[[#This Row],[Frequentie weekend]]="","",_xlfn.CONCAT(Ruimtestaat[[#This Row],[Ruimte code]],"-",Ruimtestaat[[#This Row],[Frequentie weekend]]," ",Ruimtestaat[[#This Row],[Vloer code]]))</f>
        <v/>
      </c>
      <c r="BL556" s="448" t="str">
        <f>_xlfn.IFNA(VLOOKUP($BK556,Programma!$F$3:$G$1101,2,0),"")</f>
        <v/>
      </c>
      <c r="BM556" s="448" t="str">
        <f>_xlfn.IFNA(VLOOKUP($BK556,Programma!$F$3:$H$1101,3,0),"")</f>
        <v/>
      </c>
      <c r="BN556" s="448" t="str">
        <f>_xlfn.IFNA(VLOOKUP($BK556,Programma!$F$3:$I$1101,4,0),"")</f>
        <v/>
      </c>
      <c r="BO556" s="448" t="str">
        <f>_xlfn.IFNA(VLOOKUP($BK556,Programma!$F$3:$J$1101,5,0),"")</f>
        <v/>
      </c>
      <c r="BP556" s="448" t="str">
        <f>_xlfn.IFNA(VLOOKUP($BK556,Programma!$F$3:$K$1101,6,0),"")</f>
        <v/>
      </c>
      <c r="BQ556" s="448" t="str">
        <f>_xlfn.IFNA(VLOOKUP($BK556,Programma!$F$3:$L$1101,7,0),"")</f>
        <v/>
      </c>
      <c r="BR556" s="448" t="str">
        <f>_xlfn.IFNA(VLOOKUP($BK556,Programma!$F$3:$M$1101,8,0),"")</f>
        <v/>
      </c>
      <c r="BS556" s="448" t="str">
        <f>_xlfn.IFNA(VLOOKUP($BK556,Programma!$F$3:$N$1101,9,0),"")</f>
        <v/>
      </c>
      <c r="BT556" s="448" t="str">
        <f>_xlfn.IFNA(VLOOKUP($BK556,Programma!$F$3:$O$1101,10,0),"")</f>
        <v/>
      </c>
      <c r="BU556" s="448" t="str">
        <f>_xlfn.IFNA(VLOOKUP($BK556,Programma!$F$3:$P$1101,11,0),"")</f>
        <v/>
      </c>
      <c r="BV556" s="448" t="str">
        <f>_xlfn.IFNA(VLOOKUP($BK556,Programma!$F$3:$Q$1101,12,0),"")</f>
        <v/>
      </c>
      <c r="BW556" s="448" t="str">
        <f>_xlfn.IFNA(VLOOKUP($BK556,Programma!$F$3:$R$1101,13,0),"")</f>
        <v/>
      </c>
      <c r="BX556" s="448" t="str">
        <f>_xlfn.IFNA(VLOOKUP($BK556,Programma!$F$3:$S$1101,14,0),"")</f>
        <v/>
      </c>
      <c r="BY556" s="448" t="str">
        <f>_xlfn.IFNA(VLOOKUP($BK556,Programma!$F$3:$T$1101,15,0),"")</f>
        <v/>
      </c>
      <c r="BZ556" s="448" t="str">
        <f>_xlfn.IFNA(VLOOKUP($BK556,Programma!$F$3:$U$1101,16,0),"")</f>
        <v/>
      </c>
      <c r="CA556" s="448" t="str">
        <f>_xlfn.IFNA(VLOOKUP($BK556,Programma!$F$3:$V$1101,17,0),"")</f>
        <v/>
      </c>
      <c r="CB556" s="448" t="str">
        <f>_xlfn.IFNA(VLOOKUP($BK556,Programma!$F$3:$W$1101,18,0),"")</f>
        <v/>
      </c>
      <c r="CC556" s="448" t="str">
        <f>_xlfn.IFNA(VLOOKUP($BK556,Programma!$F$3:$X$1101,19,0),"")</f>
        <v/>
      </c>
      <c r="CD556" s="448" t="str">
        <f>_xlfn.IFNA(VLOOKUP($BK556,Programma!$F$3:$Y$1101,20,0),"")</f>
        <v/>
      </c>
    </row>
    <row r="557" spans="1:82" ht="15" customHeight="1">
      <c r="A557" s="327">
        <v>19</v>
      </c>
      <c r="B557" s="435" t="str">
        <f>VLOOKUP(Ruimtestaat[[#This Row],[Code]],Locaties[[Code]:[Locatie]],2,FALSE)</f>
        <v>IKC de Leerplaneet (vhKlimboom)</v>
      </c>
      <c r="C557" s="435" t="str">
        <f>VLOOKUP(Ruimtestaat[[#This Row],[Code]],Locaties[[#All],[Code]:[Adres]],4,FALSE)</f>
        <v>Nesciohove 105-107</v>
      </c>
      <c r="D557" s="435" t="str">
        <f>VLOOKUP(Ruimtestaat[[#This Row],[Code]],Locaties[[#All],[Code]:[Postcode]],5,FALSE)</f>
        <v>2726 BL</v>
      </c>
      <c r="E557" s="435" t="str">
        <f>VLOOKUP(Ruimtestaat[[#This Row],[Code]],Locaties[#All],6,FALSE)</f>
        <v>Zoetermeer</v>
      </c>
      <c r="F557" s="450"/>
      <c r="G557" s="330" t="s">
        <v>1769</v>
      </c>
      <c r="H557" s="330" t="s">
        <v>1748</v>
      </c>
      <c r="I557" s="450" t="s">
        <v>1842</v>
      </c>
      <c r="J557" s="330">
        <v>16</v>
      </c>
      <c r="K557" s="450" t="str">
        <f>VLOOKUP(Ruimtestaat[[#This Row],[Ruimte code]],Ruimtegroepen[[#All],[Code]:[Ruimte omschrijving]],2,FALSE)</f>
        <v>Leslokalen</v>
      </c>
      <c r="L557" s="330" t="s">
        <v>101</v>
      </c>
      <c r="M557" s="437" t="s">
        <v>1816</v>
      </c>
      <c r="N557" s="439">
        <v>59.7</v>
      </c>
      <c r="O557" s="439"/>
      <c r="P557" s="439"/>
      <c r="Q557" s="439"/>
      <c r="R557" s="440" t="str">
        <f>VLOOKUP(Ruimtestaat[[#This Row],[Ruimte code]],Ruimtegroepen[],4,FALSE)</f>
        <v>Le</v>
      </c>
      <c r="S557" s="434">
        <v>40</v>
      </c>
      <c r="T557" s="434" t="s">
        <v>2</v>
      </c>
      <c r="U557" s="453">
        <f>IF(S557&gt;0,IF(RIGHT(Ruimtestaat[[#This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7" s="434">
        <f>IF(U557&gt;0,VLOOKUP($J557,Ruimtegroepen[],3,FALSE)*VLOOKUP($L557,Vloersoorten[],3,FALSE)*VLOOKUP($T557,Frequenties[],3,FALSE)*VLOOKUP($A557,Locaties[],3,FALSE),0)</f>
        <v>0</v>
      </c>
      <c r="W557" s="434">
        <f>Ruimtestaat[[#This Row],[Uitvoeringen werkdagen]]*Ruimtestaat[[#This Row],[Oppervlak (netto)]]</f>
        <v>11940</v>
      </c>
      <c r="X557" s="441">
        <f>IF(V557&gt;0,Ruimtestaat[[#This Row],[Prest. (m2 /jaar) werkdagen]]/Ruimtestaat[[#This Row],[Norm (m2/uur) werkdagen]],0)</f>
        <v>0</v>
      </c>
      <c r="Y557" s="442">
        <f>Ruimtestaat[[#This Row],[Uitvoeringen werkdagen]]*Ruimtestaat[[#This Row],[Gedeeltelijk]]</f>
        <v>0</v>
      </c>
      <c r="Z557" s="443" t="e">
        <f>IF(U557&gt;0,Ruimtestaat[[#This Row],[Prest. (m2 / jaar) werkdagen gedeeld]]/Ruimtestaat[[#This Row],[Norm (m2/uur) werkdagen]],0)</f>
        <v>#DIV/0!</v>
      </c>
      <c r="AA557" s="441" t="e">
        <f>Ruimtestaat[[#This Row],[uren / jaar werkdagen gedeeld]]*Tariefsopbouw!$E$35</f>
        <v>#DIV/0!</v>
      </c>
      <c r="AB557" s="441">
        <f>Ruimtestaat[[#This Row],[Uitvoeringen werkdagen]]*Ruimtestaat[[#This Row],[BSO]]</f>
        <v>0</v>
      </c>
      <c r="AC557" s="443" t="e">
        <f>IF(U557&gt;0,Ruimtestaat[[#This Row],[Prest. (m2 / jaar) werkdagen BSO]]/Ruimtestaat[[#This Row],[Norm (m2/uur) werkdagen]],0)</f>
        <v>#DIV/0!</v>
      </c>
      <c r="AD557" s="443" t="e">
        <f>Ruimtestaat[[#This Row],[uren / jaar werkdagen BSO]]*Tariefsopbouw!$E$35</f>
        <v>#DIV/0!</v>
      </c>
      <c r="AE557" s="444">
        <f>Ruimtestaat[[#This Row],[uren / jaar werkdagen]]*Tariefsopbouw!$E$35</f>
        <v>0</v>
      </c>
      <c r="AF557" s="454"/>
      <c r="AG557" s="455">
        <f>IF(Ruimtestaat[[#This Row],[Frequentie weekend]]&gt;0,VALUE(LEFT(AF557,1))*S557,0)</f>
        <v>0</v>
      </c>
      <c r="AH557" s="455">
        <f>IF($AG557&gt;0,VLOOKUP($J557,Ruimtegroepen[],3,FALSE)*VLOOKUP($L557,Vloersoorten[],3,FALSE)*VLOOKUP($AF557,Frequenties[],3,FALSE)*VLOOKUP(#REF!,Locaties[],3,FALSE),0)</f>
        <v>0</v>
      </c>
      <c r="AI557" s="434">
        <f>Ruimtestaat[[#This Row],[Uitvoeringen weekend]]*Ruimtestaat[[#This Row],[Oppervlak (netto)]]</f>
        <v>0</v>
      </c>
      <c r="AJ557" s="434">
        <f>IF(AH557&gt;0,Ruimtestaat[[#This Row],[Prest. (m2 /jaar) weekend]]/Ruimtestaat[[#This Row],[Norm (m2/uur) weekend]],0)</f>
        <v>0</v>
      </c>
      <c r="AK557" s="444">
        <f>Ruimtestaat[[#This Row],[uren / jaar weekend]]*Tariefsopbouw!$D$40</f>
        <v>0</v>
      </c>
      <c r="AL557" s="441">
        <f>Ruimtestaat[[#This Row],[Prest. (m2 /jaar) weekend]]+Ruimtestaat[[#This Row],[Prest. (m2 /jaar) werkdagen]]</f>
        <v>11940</v>
      </c>
      <c r="AM557" s="441">
        <f>Ruimtestaat[[#This Row],[uren / jaar weekend]]+Ruimtestaat[[#This Row],[uren / jaar werkdagen]]</f>
        <v>0</v>
      </c>
      <c r="AN557" s="446">
        <f>Ruimtestaat[[#This Row],[kosten / jaar weekend]]+Ruimtestaat[[#This Row],[kosten / jaar werkdagen]]</f>
        <v>0</v>
      </c>
      <c r="AO557" s="446"/>
      <c r="AP557" s="446" t="str">
        <f>IF(Ruimtestaat[[#This Row],[Frequentie werkdagen]]="","",_xlfn.CONCAT(Ruimtestaat[[#This Row],[Ruimte code]],"-",Ruimtestaat[[#This Row],[Frequentie werkdagen]]," ",Ruimtestaat[[#This Row],[Vloer code]]))</f>
        <v>16-5w S</v>
      </c>
      <c r="AQ557" s="448" t="str">
        <f>_xlfn.IFNA(VLOOKUP($AP557,Programma!$F$3:$G$1101,2,0),"")</f>
        <v>_</v>
      </c>
      <c r="AR557" s="448" t="str">
        <f>_xlfn.IFNA(VLOOKUP($AP557,Programma!$F$3:$H$1101,3,0),"")</f>
        <v>_</v>
      </c>
      <c r="AS557" s="448" t="str">
        <f>_xlfn.IFNA(VLOOKUP($AP557,Programma!$F$3:$I$1101,4,0),"")</f>
        <v>4w</v>
      </c>
      <c r="AT557" s="448" t="str">
        <f>_xlfn.IFNA(VLOOKUP($AP557,Programma!$F$3:$J$1101,5,0),"")</f>
        <v>1w</v>
      </c>
      <c r="AU557" s="448" t="str">
        <f>_xlfn.IFNA(VLOOKUP($AP557,Programma!$F$3:$K$1101,6,0),"")</f>
        <v>1m</v>
      </c>
      <c r="AV557" s="448" t="str">
        <f>_xlfn.IFNA(VLOOKUP($AP557,Programma!$F$3:$L$1101,7,0),"")</f>
        <v>_</v>
      </c>
      <c r="AW557" s="448" t="str">
        <f>_xlfn.IFNA(VLOOKUP($AP557,Programma!$F$3:$M$1101,8,0),"")</f>
        <v>_</v>
      </c>
      <c r="AX557" s="448" t="str">
        <f>_xlfn.IFNA(VLOOKUP($AP557,Programma!$F$3:$N$1101,9,0),"")</f>
        <v>_</v>
      </c>
      <c r="AY557" s="448" t="str">
        <f>_xlfn.IFNA(VLOOKUP($AP557,Programma!$F$3:$O$1101,10,0),"")</f>
        <v>5w</v>
      </c>
      <c r="AZ557" s="448" t="str">
        <f>_xlfn.IFNA(VLOOKUP($AP557,Programma!$F$3:$P$1101,11,0),"")</f>
        <v>5w</v>
      </c>
      <c r="BA557" s="448" t="str">
        <f>_xlfn.IFNA(VLOOKUP($AP557,Programma!$F$3:$Q$1101,12,0),"")</f>
        <v>1w</v>
      </c>
      <c r="BB557" s="448" t="str">
        <f>_xlfn.IFNA(VLOOKUP($AP557,Programma!$F$3:$R$1101,13,0),"")</f>
        <v>1w</v>
      </c>
      <c r="BC557" s="448" t="str">
        <f>_xlfn.IFNA(VLOOKUP($AP557,Programma!$F$3:$S$1101,14,0),"")</f>
        <v>1m</v>
      </c>
      <c r="BD557" s="448" t="str">
        <f>_xlfn.IFNA(VLOOKUP($AP557,Programma!$F$3:$T$1101,15,0),"")</f>
        <v>2j</v>
      </c>
      <c r="BE557" s="448" t="str">
        <f>_xlfn.IFNA(VLOOKUP($AP557,Programma!$F$3:$U$1101,16,0),"")</f>
        <v>1j</v>
      </c>
      <c r="BF557" s="448" t="str">
        <f>_xlfn.IFNA(VLOOKUP($AP557,Programma!$F$3:$V$1101,17,0),"")</f>
        <v>_</v>
      </c>
      <c r="BG557" s="448" t="str">
        <f>_xlfn.IFNA(VLOOKUP($AP557,Programma!$F$3:$W$1101,18,0),"")</f>
        <v>_</v>
      </c>
      <c r="BH557" s="448" t="str">
        <f>_xlfn.IFNA(VLOOKUP($AP557,Programma!$F$3:$X$1101,19,0),"")</f>
        <v>_</v>
      </c>
      <c r="BI557" s="448" t="str">
        <f>_xlfn.IFNA(VLOOKUP($AP557,Programma!$F$3:$Y$1101,20,0),"")</f>
        <v>_</v>
      </c>
      <c r="BJ557" s="449"/>
      <c r="BK557" s="446" t="str">
        <f>IF(Ruimtestaat[[#This Row],[Frequentie weekend]]="","",_xlfn.CONCAT(Ruimtestaat[[#This Row],[Ruimte code]],"-",Ruimtestaat[[#This Row],[Frequentie weekend]]," ",Ruimtestaat[[#This Row],[Vloer code]]))</f>
        <v/>
      </c>
      <c r="BL557" s="448" t="str">
        <f>_xlfn.IFNA(VLOOKUP($BK557,Programma!$F$3:$G$1101,2,0),"")</f>
        <v/>
      </c>
      <c r="BM557" s="448" t="str">
        <f>_xlfn.IFNA(VLOOKUP($BK557,Programma!$F$3:$H$1101,3,0),"")</f>
        <v/>
      </c>
      <c r="BN557" s="448" t="str">
        <f>_xlfn.IFNA(VLOOKUP($BK557,Programma!$F$3:$I$1101,4,0),"")</f>
        <v/>
      </c>
      <c r="BO557" s="448" t="str">
        <f>_xlfn.IFNA(VLOOKUP($BK557,Programma!$F$3:$J$1101,5,0),"")</f>
        <v/>
      </c>
      <c r="BP557" s="448" t="str">
        <f>_xlfn.IFNA(VLOOKUP($BK557,Programma!$F$3:$K$1101,6,0),"")</f>
        <v/>
      </c>
      <c r="BQ557" s="448" t="str">
        <f>_xlfn.IFNA(VLOOKUP($BK557,Programma!$F$3:$L$1101,7,0),"")</f>
        <v/>
      </c>
      <c r="BR557" s="448" t="str">
        <f>_xlfn.IFNA(VLOOKUP($BK557,Programma!$F$3:$M$1101,8,0),"")</f>
        <v/>
      </c>
      <c r="BS557" s="448" t="str">
        <f>_xlfn.IFNA(VLOOKUP($BK557,Programma!$F$3:$N$1101,9,0),"")</f>
        <v/>
      </c>
      <c r="BT557" s="448" t="str">
        <f>_xlfn.IFNA(VLOOKUP($BK557,Programma!$F$3:$O$1101,10,0),"")</f>
        <v/>
      </c>
      <c r="BU557" s="448" t="str">
        <f>_xlfn.IFNA(VLOOKUP($BK557,Programma!$F$3:$P$1101,11,0),"")</f>
        <v/>
      </c>
      <c r="BV557" s="448" t="str">
        <f>_xlfn.IFNA(VLOOKUP($BK557,Programma!$F$3:$Q$1101,12,0),"")</f>
        <v/>
      </c>
      <c r="BW557" s="448" t="str">
        <f>_xlfn.IFNA(VLOOKUP($BK557,Programma!$F$3:$R$1101,13,0),"")</f>
        <v/>
      </c>
      <c r="BX557" s="448" t="str">
        <f>_xlfn.IFNA(VLOOKUP($BK557,Programma!$F$3:$S$1101,14,0),"")</f>
        <v/>
      </c>
      <c r="BY557" s="448" t="str">
        <f>_xlfn.IFNA(VLOOKUP($BK557,Programma!$F$3:$T$1101,15,0),"")</f>
        <v/>
      </c>
      <c r="BZ557" s="448" t="str">
        <f>_xlfn.IFNA(VLOOKUP($BK557,Programma!$F$3:$U$1101,16,0),"")</f>
        <v/>
      </c>
      <c r="CA557" s="448" t="str">
        <f>_xlfn.IFNA(VLOOKUP($BK557,Programma!$F$3:$V$1101,17,0),"")</f>
        <v/>
      </c>
      <c r="CB557" s="448" t="str">
        <f>_xlfn.IFNA(VLOOKUP($BK557,Programma!$F$3:$W$1101,18,0),"")</f>
        <v/>
      </c>
      <c r="CC557" s="448" t="str">
        <f>_xlfn.IFNA(VLOOKUP($BK557,Programma!$F$3:$X$1101,19,0),"")</f>
        <v/>
      </c>
      <c r="CD557" s="448" t="str">
        <f>_xlfn.IFNA(VLOOKUP($BK557,Programma!$F$3:$Y$1101,20,0),"")</f>
        <v/>
      </c>
    </row>
    <row r="558" spans="1:82" ht="15" customHeight="1">
      <c r="A558" s="327">
        <v>19</v>
      </c>
      <c r="B558" s="435" t="str">
        <f>VLOOKUP(Ruimtestaat[[#This Row],[Code]],Locaties[[Code]:[Locatie]],2,FALSE)</f>
        <v>IKC de Leerplaneet (vhKlimboom)</v>
      </c>
      <c r="C558" s="435" t="str">
        <f>VLOOKUP(Ruimtestaat[[#This Row],[Code]],Locaties[[#All],[Code]:[Adres]],4,FALSE)</f>
        <v>Nesciohove 105-107</v>
      </c>
      <c r="D558" s="435" t="str">
        <f>VLOOKUP(Ruimtestaat[[#This Row],[Code]],Locaties[[#All],[Code]:[Postcode]],5,FALSE)</f>
        <v>2726 BL</v>
      </c>
      <c r="E558" s="435" t="str">
        <f>VLOOKUP(Ruimtestaat[[#This Row],[Code]],Locaties[#All],6,FALSE)</f>
        <v>Zoetermeer</v>
      </c>
      <c r="F558" s="450"/>
      <c r="G558" s="330" t="s">
        <v>1769</v>
      </c>
      <c r="H558" s="330" t="s">
        <v>1750</v>
      </c>
      <c r="I558" s="450" t="s">
        <v>1842</v>
      </c>
      <c r="J558" s="330">
        <v>16</v>
      </c>
      <c r="K558" s="450" t="str">
        <f>VLOOKUP(Ruimtestaat[[#This Row],[Ruimte code]],Ruimtegroepen[[#All],[Code]:[Ruimte omschrijving]],2,FALSE)</f>
        <v>Leslokalen</v>
      </c>
      <c r="L558" s="330" t="s">
        <v>101</v>
      </c>
      <c r="M558" s="437" t="s">
        <v>1816</v>
      </c>
      <c r="N558" s="439">
        <v>56.1</v>
      </c>
      <c r="O558" s="439"/>
      <c r="P558" s="439"/>
      <c r="Q558" s="439"/>
      <c r="R558" s="440" t="str">
        <f>VLOOKUP(Ruimtestaat[[#This Row],[Ruimte code]],Ruimtegroepen[],4,FALSE)</f>
        <v>Le</v>
      </c>
      <c r="S558" s="434">
        <v>40</v>
      </c>
      <c r="T558" s="434" t="s">
        <v>2</v>
      </c>
      <c r="U558" s="453">
        <f>IF(S558&gt;0,IF(RIGHT(Ruimtestaat[[#This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8" s="434">
        <f>IF(U558&gt;0,VLOOKUP($J558,Ruimtegroepen[],3,FALSE)*VLOOKUP($L558,Vloersoorten[],3,FALSE)*VLOOKUP($T558,Frequenties[],3,FALSE)*VLOOKUP($A558,Locaties[],3,FALSE),0)</f>
        <v>0</v>
      </c>
      <c r="W558" s="434">
        <f>Ruimtestaat[[#This Row],[Uitvoeringen werkdagen]]*Ruimtestaat[[#This Row],[Oppervlak (netto)]]</f>
        <v>11220</v>
      </c>
      <c r="X558" s="441">
        <f>IF(V558&gt;0,Ruimtestaat[[#This Row],[Prest. (m2 /jaar) werkdagen]]/Ruimtestaat[[#This Row],[Norm (m2/uur) werkdagen]],0)</f>
        <v>0</v>
      </c>
      <c r="Y558" s="442">
        <f>Ruimtestaat[[#This Row],[Uitvoeringen werkdagen]]*Ruimtestaat[[#This Row],[Gedeeltelijk]]</f>
        <v>0</v>
      </c>
      <c r="Z558" s="443" t="e">
        <f>IF(U558&gt;0,Ruimtestaat[[#This Row],[Prest. (m2 / jaar) werkdagen gedeeld]]/Ruimtestaat[[#This Row],[Norm (m2/uur) werkdagen]],0)</f>
        <v>#DIV/0!</v>
      </c>
      <c r="AA558" s="441" t="e">
        <f>Ruimtestaat[[#This Row],[uren / jaar werkdagen gedeeld]]*Tariefsopbouw!$E$35</f>
        <v>#DIV/0!</v>
      </c>
      <c r="AB558" s="441">
        <f>Ruimtestaat[[#This Row],[Uitvoeringen werkdagen]]*Ruimtestaat[[#This Row],[BSO]]</f>
        <v>0</v>
      </c>
      <c r="AC558" s="443" t="e">
        <f>IF(U558&gt;0,Ruimtestaat[[#This Row],[Prest. (m2 / jaar) werkdagen BSO]]/Ruimtestaat[[#This Row],[Norm (m2/uur) werkdagen]],0)</f>
        <v>#DIV/0!</v>
      </c>
      <c r="AD558" s="443" t="e">
        <f>Ruimtestaat[[#This Row],[uren / jaar werkdagen BSO]]*Tariefsopbouw!$E$35</f>
        <v>#DIV/0!</v>
      </c>
      <c r="AE558" s="444">
        <f>Ruimtestaat[[#This Row],[uren / jaar werkdagen]]*Tariefsopbouw!$E$35</f>
        <v>0</v>
      </c>
      <c r="AF558" s="454"/>
      <c r="AG558" s="455">
        <f>IF(Ruimtestaat[[#This Row],[Frequentie weekend]]&gt;0,VALUE(LEFT(AF558,1))*S558,0)</f>
        <v>0</v>
      </c>
      <c r="AH558" s="455">
        <f>IF($AG558&gt;0,VLOOKUP($J558,Ruimtegroepen[],3,FALSE)*VLOOKUP($L558,Vloersoorten[],3,FALSE)*VLOOKUP($AF558,Frequenties[],3,FALSE)*VLOOKUP(#REF!,Locaties[],3,FALSE),0)</f>
        <v>0</v>
      </c>
      <c r="AI558" s="434">
        <f>Ruimtestaat[[#This Row],[Uitvoeringen weekend]]*Ruimtestaat[[#This Row],[Oppervlak (netto)]]</f>
        <v>0</v>
      </c>
      <c r="AJ558" s="434">
        <f>IF(AH558&gt;0,Ruimtestaat[[#This Row],[Prest. (m2 /jaar) weekend]]/Ruimtestaat[[#This Row],[Norm (m2/uur) weekend]],0)</f>
        <v>0</v>
      </c>
      <c r="AK558" s="444">
        <f>Ruimtestaat[[#This Row],[uren / jaar weekend]]*Tariefsopbouw!$D$40</f>
        <v>0</v>
      </c>
      <c r="AL558" s="441">
        <f>Ruimtestaat[[#This Row],[Prest. (m2 /jaar) weekend]]+Ruimtestaat[[#This Row],[Prest. (m2 /jaar) werkdagen]]</f>
        <v>11220</v>
      </c>
      <c r="AM558" s="441">
        <f>Ruimtestaat[[#This Row],[uren / jaar weekend]]+Ruimtestaat[[#This Row],[uren / jaar werkdagen]]</f>
        <v>0</v>
      </c>
      <c r="AN558" s="446">
        <f>Ruimtestaat[[#This Row],[kosten / jaar weekend]]+Ruimtestaat[[#This Row],[kosten / jaar werkdagen]]</f>
        <v>0</v>
      </c>
      <c r="AO558" s="446"/>
      <c r="AP558" s="446" t="str">
        <f>IF(Ruimtestaat[[#This Row],[Frequentie werkdagen]]="","",_xlfn.CONCAT(Ruimtestaat[[#This Row],[Ruimte code]],"-",Ruimtestaat[[#This Row],[Frequentie werkdagen]]," ",Ruimtestaat[[#This Row],[Vloer code]]))</f>
        <v>16-5w S</v>
      </c>
      <c r="AQ558" s="448" t="str">
        <f>_xlfn.IFNA(VLOOKUP($AP558,Programma!$F$3:$G$1101,2,0),"")</f>
        <v>_</v>
      </c>
      <c r="AR558" s="448" t="str">
        <f>_xlfn.IFNA(VLOOKUP($AP558,Programma!$F$3:$H$1101,3,0),"")</f>
        <v>_</v>
      </c>
      <c r="AS558" s="448" t="str">
        <f>_xlfn.IFNA(VLOOKUP($AP558,Programma!$F$3:$I$1101,4,0),"")</f>
        <v>4w</v>
      </c>
      <c r="AT558" s="448" t="str">
        <f>_xlfn.IFNA(VLOOKUP($AP558,Programma!$F$3:$J$1101,5,0),"")</f>
        <v>1w</v>
      </c>
      <c r="AU558" s="448" t="str">
        <f>_xlfn.IFNA(VLOOKUP($AP558,Programma!$F$3:$K$1101,6,0),"")</f>
        <v>1m</v>
      </c>
      <c r="AV558" s="448" t="str">
        <f>_xlfn.IFNA(VLOOKUP($AP558,Programma!$F$3:$L$1101,7,0),"")</f>
        <v>_</v>
      </c>
      <c r="AW558" s="448" t="str">
        <f>_xlfn.IFNA(VLOOKUP($AP558,Programma!$F$3:$M$1101,8,0),"")</f>
        <v>_</v>
      </c>
      <c r="AX558" s="448" t="str">
        <f>_xlfn.IFNA(VLOOKUP($AP558,Programma!$F$3:$N$1101,9,0),"")</f>
        <v>_</v>
      </c>
      <c r="AY558" s="448" t="str">
        <f>_xlfn.IFNA(VLOOKUP($AP558,Programma!$F$3:$O$1101,10,0),"")</f>
        <v>5w</v>
      </c>
      <c r="AZ558" s="448" t="str">
        <f>_xlfn.IFNA(VLOOKUP($AP558,Programma!$F$3:$P$1101,11,0),"")</f>
        <v>5w</v>
      </c>
      <c r="BA558" s="448" t="str">
        <f>_xlfn.IFNA(VLOOKUP($AP558,Programma!$F$3:$Q$1101,12,0),"")</f>
        <v>1w</v>
      </c>
      <c r="BB558" s="448" t="str">
        <f>_xlfn.IFNA(VLOOKUP($AP558,Programma!$F$3:$R$1101,13,0),"")</f>
        <v>1w</v>
      </c>
      <c r="BC558" s="448" t="str">
        <f>_xlfn.IFNA(VLOOKUP($AP558,Programma!$F$3:$S$1101,14,0),"")</f>
        <v>1m</v>
      </c>
      <c r="BD558" s="448" t="str">
        <f>_xlfn.IFNA(VLOOKUP($AP558,Programma!$F$3:$T$1101,15,0),"")</f>
        <v>2j</v>
      </c>
      <c r="BE558" s="448" t="str">
        <f>_xlfn.IFNA(VLOOKUP($AP558,Programma!$F$3:$U$1101,16,0),"")</f>
        <v>1j</v>
      </c>
      <c r="BF558" s="448" t="str">
        <f>_xlfn.IFNA(VLOOKUP($AP558,Programma!$F$3:$V$1101,17,0),"")</f>
        <v>_</v>
      </c>
      <c r="BG558" s="448" t="str">
        <f>_xlfn.IFNA(VLOOKUP($AP558,Programma!$F$3:$W$1101,18,0),"")</f>
        <v>_</v>
      </c>
      <c r="BH558" s="448" t="str">
        <f>_xlfn.IFNA(VLOOKUP($AP558,Programma!$F$3:$X$1101,19,0),"")</f>
        <v>_</v>
      </c>
      <c r="BI558" s="448" t="str">
        <f>_xlfn.IFNA(VLOOKUP($AP558,Programma!$F$3:$Y$1101,20,0),"")</f>
        <v>_</v>
      </c>
      <c r="BJ558" s="449"/>
      <c r="BK558" s="446" t="str">
        <f>IF(Ruimtestaat[[#This Row],[Frequentie weekend]]="","",_xlfn.CONCAT(Ruimtestaat[[#This Row],[Ruimte code]],"-",Ruimtestaat[[#This Row],[Frequentie weekend]]," ",Ruimtestaat[[#This Row],[Vloer code]]))</f>
        <v/>
      </c>
      <c r="BL558" s="448" t="str">
        <f>_xlfn.IFNA(VLOOKUP($BK558,Programma!$F$3:$G$1101,2,0),"")</f>
        <v/>
      </c>
      <c r="BM558" s="448" t="str">
        <f>_xlfn.IFNA(VLOOKUP($BK558,Programma!$F$3:$H$1101,3,0),"")</f>
        <v/>
      </c>
      <c r="BN558" s="448" t="str">
        <f>_xlfn.IFNA(VLOOKUP($BK558,Programma!$F$3:$I$1101,4,0),"")</f>
        <v/>
      </c>
      <c r="BO558" s="448" t="str">
        <f>_xlfn.IFNA(VLOOKUP($BK558,Programma!$F$3:$J$1101,5,0),"")</f>
        <v/>
      </c>
      <c r="BP558" s="448" t="str">
        <f>_xlfn.IFNA(VLOOKUP($BK558,Programma!$F$3:$K$1101,6,0),"")</f>
        <v/>
      </c>
      <c r="BQ558" s="448" t="str">
        <f>_xlfn.IFNA(VLOOKUP($BK558,Programma!$F$3:$L$1101,7,0),"")</f>
        <v/>
      </c>
      <c r="BR558" s="448" t="str">
        <f>_xlfn.IFNA(VLOOKUP($BK558,Programma!$F$3:$M$1101,8,0),"")</f>
        <v/>
      </c>
      <c r="BS558" s="448" t="str">
        <f>_xlfn.IFNA(VLOOKUP($BK558,Programma!$F$3:$N$1101,9,0),"")</f>
        <v/>
      </c>
      <c r="BT558" s="448" t="str">
        <f>_xlfn.IFNA(VLOOKUP($BK558,Programma!$F$3:$O$1101,10,0),"")</f>
        <v/>
      </c>
      <c r="BU558" s="448" t="str">
        <f>_xlfn.IFNA(VLOOKUP($BK558,Programma!$F$3:$P$1101,11,0),"")</f>
        <v/>
      </c>
      <c r="BV558" s="448" t="str">
        <f>_xlfn.IFNA(VLOOKUP($BK558,Programma!$F$3:$Q$1101,12,0),"")</f>
        <v/>
      </c>
      <c r="BW558" s="448" t="str">
        <f>_xlfn.IFNA(VLOOKUP($BK558,Programma!$F$3:$R$1101,13,0),"")</f>
        <v/>
      </c>
      <c r="BX558" s="448" t="str">
        <f>_xlfn.IFNA(VLOOKUP($BK558,Programma!$F$3:$S$1101,14,0),"")</f>
        <v/>
      </c>
      <c r="BY558" s="448" t="str">
        <f>_xlfn.IFNA(VLOOKUP($BK558,Programma!$F$3:$T$1101,15,0),"")</f>
        <v/>
      </c>
      <c r="BZ558" s="448" t="str">
        <f>_xlfn.IFNA(VLOOKUP($BK558,Programma!$F$3:$U$1101,16,0),"")</f>
        <v/>
      </c>
      <c r="CA558" s="448" t="str">
        <f>_xlfn.IFNA(VLOOKUP($BK558,Programma!$F$3:$V$1101,17,0),"")</f>
        <v/>
      </c>
      <c r="CB558" s="448" t="str">
        <f>_xlfn.IFNA(VLOOKUP($BK558,Programma!$F$3:$W$1101,18,0),"")</f>
        <v/>
      </c>
      <c r="CC558" s="448" t="str">
        <f>_xlfn.IFNA(VLOOKUP($BK558,Programma!$F$3:$X$1101,19,0),"")</f>
        <v/>
      </c>
      <c r="CD558" s="448" t="str">
        <f>_xlfn.IFNA(VLOOKUP($BK558,Programma!$F$3:$Y$1101,20,0),"")</f>
        <v/>
      </c>
    </row>
    <row r="559" spans="1:82" ht="15" customHeight="1">
      <c r="A559" s="327">
        <v>19</v>
      </c>
      <c r="B559" s="435" t="str">
        <f>VLOOKUP(Ruimtestaat[[#This Row],[Code]],Locaties[[Code]:[Locatie]],2,FALSE)</f>
        <v>IKC de Leerplaneet (vhKlimboom)</v>
      </c>
      <c r="C559" s="435" t="str">
        <f>VLOOKUP(Ruimtestaat[[#This Row],[Code]],Locaties[[#All],[Code]:[Adres]],4,FALSE)</f>
        <v>Nesciohove 105-107</v>
      </c>
      <c r="D559" s="435" t="str">
        <f>VLOOKUP(Ruimtestaat[[#This Row],[Code]],Locaties[[#All],[Code]:[Postcode]],5,FALSE)</f>
        <v>2726 BL</v>
      </c>
      <c r="E559" s="435" t="str">
        <f>VLOOKUP(Ruimtestaat[[#This Row],[Code]],Locaties[#All],6,FALSE)</f>
        <v>Zoetermeer</v>
      </c>
      <c r="F559" s="450"/>
      <c r="G559" s="330" t="s">
        <v>1769</v>
      </c>
      <c r="H559" s="330" t="s">
        <v>1750</v>
      </c>
      <c r="I559" s="450" t="s">
        <v>1901</v>
      </c>
      <c r="J559" s="330">
        <v>11</v>
      </c>
      <c r="K559" s="450" t="str">
        <f>VLOOKUP(Ruimtestaat[[#This Row],[Ruimte code]],Ruimtegroepen[[#All],[Code]:[Ruimte omschrijving]],2,FALSE)</f>
        <v>Garderobes</v>
      </c>
      <c r="L559" s="330" t="s">
        <v>101</v>
      </c>
      <c r="M559" s="437" t="s">
        <v>1816</v>
      </c>
      <c r="N559" s="439">
        <v>3</v>
      </c>
      <c r="O559" s="439"/>
      <c r="P559" s="439"/>
      <c r="Q559" s="439"/>
      <c r="R559" s="440" t="str">
        <f>VLOOKUP(Ruimtestaat[[#This Row],[Ruimte code]],Ruimtegroepen[],4,FALSE)</f>
        <v>Ve</v>
      </c>
      <c r="S559" s="434">
        <v>40</v>
      </c>
      <c r="T559" s="434" t="s">
        <v>2</v>
      </c>
      <c r="U559" s="453">
        <f>IF(S559&gt;0,IF(RIGHT(Ruimtestaat[[#This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9" s="434">
        <f>IF(U559&gt;0,VLOOKUP($J559,Ruimtegroepen[],3,FALSE)*VLOOKUP($L559,Vloersoorten[],3,FALSE)*VLOOKUP($T559,Frequenties[],3,FALSE)*VLOOKUP($A559,Locaties[],3,FALSE),0)</f>
        <v>0</v>
      </c>
      <c r="W559" s="434">
        <f>Ruimtestaat[[#This Row],[Uitvoeringen werkdagen]]*Ruimtestaat[[#This Row],[Oppervlak (netto)]]</f>
        <v>600</v>
      </c>
      <c r="X559" s="441">
        <f>IF(V559&gt;0,Ruimtestaat[[#This Row],[Prest. (m2 /jaar) werkdagen]]/Ruimtestaat[[#This Row],[Norm (m2/uur) werkdagen]],0)</f>
        <v>0</v>
      </c>
      <c r="Y559" s="442">
        <f>Ruimtestaat[[#This Row],[Uitvoeringen werkdagen]]*Ruimtestaat[[#This Row],[Gedeeltelijk]]</f>
        <v>0</v>
      </c>
      <c r="Z559" s="443" t="e">
        <f>IF(U559&gt;0,Ruimtestaat[[#This Row],[Prest. (m2 / jaar) werkdagen gedeeld]]/Ruimtestaat[[#This Row],[Norm (m2/uur) werkdagen]],0)</f>
        <v>#DIV/0!</v>
      </c>
      <c r="AA559" s="441" t="e">
        <f>Ruimtestaat[[#This Row],[uren / jaar werkdagen gedeeld]]*Tariefsopbouw!$E$35</f>
        <v>#DIV/0!</v>
      </c>
      <c r="AB559" s="441">
        <f>Ruimtestaat[[#This Row],[Uitvoeringen werkdagen]]*Ruimtestaat[[#This Row],[BSO]]</f>
        <v>0</v>
      </c>
      <c r="AC559" s="443" t="e">
        <f>IF(U559&gt;0,Ruimtestaat[[#This Row],[Prest. (m2 / jaar) werkdagen BSO]]/Ruimtestaat[[#This Row],[Norm (m2/uur) werkdagen]],0)</f>
        <v>#DIV/0!</v>
      </c>
      <c r="AD559" s="443" t="e">
        <f>Ruimtestaat[[#This Row],[uren / jaar werkdagen BSO]]*Tariefsopbouw!$E$35</f>
        <v>#DIV/0!</v>
      </c>
      <c r="AE559" s="444">
        <f>Ruimtestaat[[#This Row],[uren / jaar werkdagen]]*Tariefsopbouw!$E$35</f>
        <v>0</v>
      </c>
      <c r="AF559" s="454"/>
      <c r="AG559" s="455">
        <f>IF(Ruimtestaat[[#This Row],[Frequentie weekend]]&gt;0,VALUE(LEFT(AF559,1))*S559,0)</f>
        <v>0</v>
      </c>
      <c r="AH559" s="455">
        <f>IF($AG559&gt;0,VLOOKUP($J559,Ruimtegroepen[],3,FALSE)*VLOOKUP($L559,Vloersoorten[],3,FALSE)*VLOOKUP($AF559,Frequenties[],3,FALSE)*VLOOKUP(#REF!,Locaties[],3,FALSE),0)</f>
        <v>0</v>
      </c>
      <c r="AI559" s="434">
        <f>Ruimtestaat[[#This Row],[Uitvoeringen weekend]]*Ruimtestaat[[#This Row],[Oppervlak (netto)]]</f>
        <v>0</v>
      </c>
      <c r="AJ559" s="434">
        <f>IF(AH559&gt;0,Ruimtestaat[[#This Row],[Prest. (m2 /jaar) weekend]]/Ruimtestaat[[#This Row],[Norm (m2/uur) weekend]],0)</f>
        <v>0</v>
      </c>
      <c r="AK559" s="444">
        <f>Ruimtestaat[[#This Row],[uren / jaar weekend]]*Tariefsopbouw!$D$40</f>
        <v>0</v>
      </c>
      <c r="AL559" s="441">
        <f>Ruimtestaat[[#This Row],[Prest. (m2 /jaar) weekend]]+Ruimtestaat[[#This Row],[Prest. (m2 /jaar) werkdagen]]</f>
        <v>600</v>
      </c>
      <c r="AM559" s="441">
        <f>Ruimtestaat[[#This Row],[uren / jaar weekend]]+Ruimtestaat[[#This Row],[uren / jaar werkdagen]]</f>
        <v>0</v>
      </c>
      <c r="AN559" s="446">
        <f>Ruimtestaat[[#This Row],[kosten / jaar weekend]]+Ruimtestaat[[#This Row],[kosten / jaar werkdagen]]</f>
        <v>0</v>
      </c>
      <c r="AO559" s="446"/>
      <c r="AP559" s="446" t="str">
        <f>IF(Ruimtestaat[[#This Row],[Frequentie werkdagen]]="","",_xlfn.CONCAT(Ruimtestaat[[#This Row],[Ruimte code]],"-",Ruimtestaat[[#This Row],[Frequentie werkdagen]]," ",Ruimtestaat[[#This Row],[Vloer code]]))</f>
        <v>11-5w S</v>
      </c>
      <c r="AQ559" s="448" t="str">
        <f>_xlfn.IFNA(VLOOKUP($AP559,Programma!$F$3:$G$1101,2,0),"")</f>
        <v>_</v>
      </c>
      <c r="AR559" s="448" t="str">
        <f>_xlfn.IFNA(VLOOKUP($AP559,Programma!$F$3:$H$1101,3,0),"")</f>
        <v>_</v>
      </c>
      <c r="AS559" s="448" t="str">
        <f>_xlfn.IFNA(VLOOKUP($AP559,Programma!$F$3:$I$1101,4,0),"")</f>
        <v>4w</v>
      </c>
      <c r="AT559" s="448" t="str">
        <f>_xlfn.IFNA(VLOOKUP($AP559,Programma!$F$3:$J$1101,5,0),"")</f>
        <v>1w</v>
      </c>
      <c r="AU559" s="448" t="str">
        <f>_xlfn.IFNA(VLOOKUP($AP559,Programma!$F$3:$K$1101,6,0),"")</f>
        <v>4j</v>
      </c>
      <c r="AV559" s="448" t="str">
        <f>_xlfn.IFNA(VLOOKUP($AP559,Programma!$F$3:$L$1101,7,0),"")</f>
        <v>_</v>
      </c>
      <c r="AW559" s="448" t="str">
        <f>_xlfn.IFNA(VLOOKUP($AP559,Programma!$F$3:$M$1101,8,0),"")</f>
        <v>_</v>
      </c>
      <c r="AX559" s="448" t="str">
        <f>_xlfn.IFNA(VLOOKUP($AP559,Programma!$F$3:$N$1101,9,0),"")</f>
        <v>_</v>
      </c>
      <c r="AY559" s="448" t="str">
        <f>_xlfn.IFNA(VLOOKUP($AP559,Programma!$F$3:$O$1101,10,0),"")</f>
        <v>5w</v>
      </c>
      <c r="AZ559" s="448" t="str">
        <f>_xlfn.IFNA(VLOOKUP($AP559,Programma!$F$3:$P$1101,11,0),"")</f>
        <v>5w</v>
      </c>
      <c r="BA559" s="448" t="str">
        <f>_xlfn.IFNA(VLOOKUP($AP559,Programma!$F$3:$Q$1101,12,0),"")</f>
        <v>1w</v>
      </c>
      <c r="BB559" s="448" t="str">
        <f>_xlfn.IFNA(VLOOKUP($AP559,Programma!$F$3:$R$1101,13,0),"")</f>
        <v>1w</v>
      </c>
      <c r="BC559" s="448" t="str">
        <f>_xlfn.IFNA(VLOOKUP($AP559,Programma!$F$3:$S$1101,14,0),"")</f>
        <v>1m</v>
      </c>
      <c r="BD559" s="448" t="str">
        <f>_xlfn.IFNA(VLOOKUP($AP559,Programma!$F$3:$T$1101,15,0),"")</f>
        <v>2j</v>
      </c>
      <c r="BE559" s="448" t="str">
        <f>_xlfn.IFNA(VLOOKUP($AP559,Programma!$F$3:$U$1101,16,0),"")</f>
        <v>1j</v>
      </c>
      <c r="BF559" s="448" t="str">
        <f>_xlfn.IFNA(VLOOKUP($AP559,Programma!$F$3:$V$1101,17,0),"")</f>
        <v>_</v>
      </c>
      <c r="BG559" s="448" t="str">
        <f>_xlfn.IFNA(VLOOKUP($AP559,Programma!$F$3:$W$1101,18,0),"")</f>
        <v>_</v>
      </c>
      <c r="BH559" s="448" t="str">
        <f>_xlfn.IFNA(VLOOKUP($AP559,Programma!$F$3:$X$1101,19,0),"")</f>
        <v>_</v>
      </c>
      <c r="BI559" s="448" t="str">
        <f>_xlfn.IFNA(VLOOKUP($AP559,Programma!$F$3:$Y$1101,20,0),"")</f>
        <v>_</v>
      </c>
      <c r="BJ559" s="449"/>
      <c r="BK559" s="446" t="str">
        <f>IF(Ruimtestaat[[#This Row],[Frequentie weekend]]="","",_xlfn.CONCAT(Ruimtestaat[[#This Row],[Ruimte code]],"-",Ruimtestaat[[#This Row],[Frequentie weekend]]," ",Ruimtestaat[[#This Row],[Vloer code]]))</f>
        <v/>
      </c>
      <c r="BL559" s="448" t="str">
        <f>_xlfn.IFNA(VLOOKUP($BK559,Programma!$F$3:$G$1101,2,0),"")</f>
        <v/>
      </c>
      <c r="BM559" s="448" t="str">
        <f>_xlfn.IFNA(VLOOKUP($BK559,Programma!$F$3:$H$1101,3,0),"")</f>
        <v/>
      </c>
      <c r="BN559" s="448" t="str">
        <f>_xlfn.IFNA(VLOOKUP($BK559,Programma!$F$3:$I$1101,4,0),"")</f>
        <v/>
      </c>
      <c r="BO559" s="448" t="str">
        <f>_xlfn.IFNA(VLOOKUP($BK559,Programma!$F$3:$J$1101,5,0),"")</f>
        <v/>
      </c>
      <c r="BP559" s="448" t="str">
        <f>_xlfn.IFNA(VLOOKUP($BK559,Programma!$F$3:$K$1101,6,0),"")</f>
        <v/>
      </c>
      <c r="BQ559" s="448" t="str">
        <f>_xlfn.IFNA(VLOOKUP($BK559,Programma!$F$3:$L$1101,7,0),"")</f>
        <v/>
      </c>
      <c r="BR559" s="448" t="str">
        <f>_xlfn.IFNA(VLOOKUP($BK559,Programma!$F$3:$M$1101,8,0),"")</f>
        <v/>
      </c>
      <c r="BS559" s="448" t="str">
        <f>_xlfn.IFNA(VLOOKUP($BK559,Programma!$F$3:$N$1101,9,0),"")</f>
        <v/>
      </c>
      <c r="BT559" s="448" t="str">
        <f>_xlfn.IFNA(VLOOKUP($BK559,Programma!$F$3:$O$1101,10,0),"")</f>
        <v/>
      </c>
      <c r="BU559" s="448" t="str">
        <f>_xlfn.IFNA(VLOOKUP($BK559,Programma!$F$3:$P$1101,11,0),"")</f>
        <v/>
      </c>
      <c r="BV559" s="448" t="str">
        <f>_xlfn.IFNA(VLOOKUP($BK559,Programma!$F$3:$Q$1101,12,0),"")</f>
        <v/>
      </c>
      <c r="BW559" s="448" t="str">
        <f>_xlfn.IFNA(VLOOKUP($BK559,Programma!$F$3:$R$1101,13,0),"")</f>
        <v/>
      </c>
      <c r="BX559" s="448" t="str">
        <f>_xlfn.IFNA(VLOOKUP($BK559,Programma!$F$3:$S$1101,14,0),"")</f>
        <v/>
      </c>
      <c r="BY559" s="448" t="str">
        <f>_xlfn.IFNA(VLOOKUP($BK559,Programma!$F$3:$T$1101,15,0),"")</f>
        <v/>
      </c>
      <c r="BZ559" s="448" t="str">
        <f>_xlfn.IFNA(VLOOKUP($BK559,Programma!$F$3:$U$1101,16,0),"")</f>
        <v/>
      </c>
      <c r="CA559" s="448" t="str">
        <f>_xlfn.IFNA(VLOOKUP($BK559,Programma!$F$3:$V$1101,17,0),"")</f>
        <v/>
      </c>
      <c r="CB559" s="448" t="str">
        <f>_xlfn.IFNA(VLOOKUP($BK559,Programma!$F$3:$W$1101,18,0),"")</f>
        <v/>
      </c>
      <c r="CC559" s="448" t="str">
        <f>_xlfn.IFNA(VLOOKUP($BK559,Programma!$F$3:$X$1101,19,0),"")</f>
        <v/>
      </c>
      <c r="CD559" s="448" t="str">
        <f>_xlfn.IFNA(VLOOKUP($BK559,Programma!$F$3:$Y$1101,20,0),"")</f>
        <v/>
      </c>
    </row>
    <row r="560" spans="1:82" ht="15" customHeight="1">
      <c r="A560" s="327">
        <v>19</v>
      </c>
      <c r="B560" s="435" t="str">
        <f>VLOOKUP(Ruimtestaat[[#This Row],[Code]],Locaties[[Code]:[Locatie]],2,FALSE)</f>
        <v>IKC de Leerplaneet (vhKlimboom)</v>
      </c>
      <c r="C560" s="435" t="str">
        <f>VLOOKUP(Ruimtestaat[[#This Row],[Code]],Locaties[[#All],[Code]:[Adres]],4,FALSE)</f>
        <v>Nesciohove 105-107</v>
      </c>
      <c r="D560" s="435" t="str">
        <f>VLOOKUP(Ruimtestaat[[#This Row],[Code]],Locaties[[#All],[Code]:[Postcode]],5,FALSE)</f>
        <v>2726 BL</v>
      </c>
      <c r="E560" s="435" t="str">
        <f>VLOOKUP(Ruimtestaat[[#This Row],[Code]],Locaties[#All],6,FALSE)</f>
        <v>Zoetermeer</v>
      </c>
      <c r="F560" s="450"/>
      <c r="G560" s="330" t="s">
        <v>1769</v>
      </c>
      <c r="H560" s="330" t="s">
        <v>1752</v>
      </c>
      <c r="I560" s="450" t="s">
        <v>1936</v>
      </c>
      <c r="J560" s="330">
        <v>13</v>
      </c>
      <c r="K560" s="450" t="str">
        <f>VLOOKUP(Ruimtestaat[[#This Row],[Ruimte code]],Ruimtegroepen[[#All],[Code]:[Ruimte omschrijving]],2,FALSE)</f>
        <v>Personeelskamer</v>
      </c>
      <c r="L560" s="330" t="s">
        <v>101</v>
      </c>
      <c r="M560" s="437" t="s">
        <v>1816</v>
      </c>
      <c r="N560" s="439">
        <v>29.9</v>
      </c>
      <c r="O560" s="439"/>
      <c r="P560" s="439"/>
      <c r="Q560" s="439"/>
      <c r="R560" s="440" t="str">
        <f>VLOOKUP(Ruimtestaat[[#This Row],[Ruimte code]],Ruimtegroepen[],4,FALSE)</f>
        <v>Ve</v>
      </c>
      <c r="S560" s="434">
        <v>41</v>
      </c>
      <c r="T560" s="434" t="s">
        <v>2</v>
      </c>
      <c r="U560" s="453">
        <f>IF(S560&gt;0,IF(RIGHT(Ruimtestaat[[#This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60" s="434">
        <f>IF(U560&gt;0,VLOOKUP($J560,Ruimtegroepen[],3,FALSE)*VLOOKUP($L560,Vloersoorten[],3,FALSE)*VLOOKUP($T560,Frequenties[],3,FALSE)*VLOOKUP($A560,Locaties[],3,FALSE),0)</f>
        <v>0</v>
      </c>
      <c r="W560" s="434">
        <f>Ruimtestaat[[#This Row],[Uitvoeringen werkdagen]]*Ruimtestaat[[#This Row],[Oppervlak (netto)]]</f>
        <v>6129.5</v>
      </c>
      <c r="X560" s="441">
        <f>IF(V560&gt;0,Ruimtestaat[[#This Row],[Prest. (m2 /jaar) werkdagen]]/Ruimtestaat[[#This Row],[Norm (m2/uur) werkdagen]],0)</f>
        <v>0</v>
      </c>
      <c r="Y560" s="442">
        <f>Ruimtestaat[[#This Row],[Uitvoeringen werkdagen]]*Ruimtestaat[[#This Row],[Gedeeltelijk]]</f>
        <v>0</v>
      </c>
      <c r="Z560" s="443" t="e">
        <f>IF(U560&gt;0,Ruimtestaat[[#This Row],[Prest. (m2 / jaar) werkdagen gedeeld]]/Ruimtestaat[[#This Row],[Norm (m2/uur) werkdagen]],0)</f>
        <v>#DIV/0!</v>
      </c>
      <c r="AA560" s="441" t="e">
        <f>Ruimtestaat[[#This Row],[uren / jaar werkdagen gedeeld]]*Tariefsopbouw!$E$35</f>
        <v>#DIV/0!</v>
      </c>
      <c r="AB560" s="441">
        <f>Ruimtestaat[[#This Row],[Uitvoeringen werkdagen]]*Ruimtestaat[[#This Row],[BSO]]</f>
        <v>0</v>
      </c>
      <c r="AC560" s="443" t="e">
        <f>IF(U560&gt;0,Ruimtestaat[[#This Row],[Prest. (m2 / jaar) werkdagen BSO]]/Ruimtestaat[[#This Row],[Norm (m2/uur) werkdagen]],0)</f>
        <v>#DIV/0!</v>
      </c>
      <c r="AD560" s="443" t="e">
        <f>Ruimtestaat[[#This Row],[uren / jaar werkdagen BSO]]*Tariefsopbouw!$E$35</f>
        <v>#DIV/0!</v>
      </c>
      <c r="AE560" s="444">
        <f>Ruimtestaat[[#This Row],[uren / jaar werkdagen]]*Tariefsopbouw!$E$35</f>
        <v>0</v>
      </c>
      <c r="AF560" s="454"/>
      <c r="AG560" s="455">
        <f>IF(Ruimtestaat[[#This Row],[Frequentie weekend]]&gt;0,VALUE(LEFT(AF560,1))*S560,0)</f>
        <v>0</v>
      </c>
      <c r="AH560" s="455">
        <f>IF($AG560&gt;0,VLOOKUP($J560,Ruimtegroepen[],3,FALSE)*VLOOKUP($L560,Vloersoorten[],3,FALSE)*VLOOKUP($AF560,Frequenties[],3,FALSE)*VLOOKUP(#REF!,Locaties[],3,FALSE),0)</f>
        <v>0</v>
      </c>
      <c r="AI560" s="434">
        <f>Ruimtestaat[[#This Row],[Uitvoeringen weekend]]*Ruimtestaat[[#This Row],[Oppervlak (netto)]]</f>
        <v>0</v>
      </c>
      <c r="AJ560" s="434">
        <f>IF(AH560&gt;0,Ruimtestaat[[#This Row],[Prest. (m2 /jaar) weekend]]/Ruimtestaat[[#This Row],[Norm (m2/uur) weekend]],0)</f>
        <v>0</v>
      </c>
      <c r="AK560" s="444">
        <f>Ruimtestaat[[#This Row],[uren / jaar weekend]]*Tariefsopbouw!$D$40</f>
        <v>0</v>
      </c>
      <c r="AL560" s="441">
        <f>Ruimtestaat[[#This Row],[Prest. (m2 /jaar) weekend]]+Ruimtestaat[[#This Row],[Prest. (m2 /jaar) werkdagen]]</f>
        <v>6129.5</v>
      </c>
      <c r="AM560" s="441">
        <f>Ruimtestaat[[#This Row],[uren / jaar weekend]]+Ruimtestaat[[#This Row],[uren / jaar werkdagen]]</f>
        <v>0</v>
      </c>
      <c r="AN560" s="446">
        <f>Ruimtestaat[[#This Row],[kosten / jaar weekend]]+Ruimtestaat[[#This Row],[kosten / jaar werkdagen]]</f>
        <v>0</v>
      </c>
      <c r="AO560" s="446"/>
      <c r="AP560" s="446" t="str">
        <f>IF(Ruimtestaat[[#This Row],[Frequentie werkdagen]]="","",_xlfn.CONCAT(Ruimtestaat[[#This Row],[Ruimte code]],"-",Ruimtestaat[[#This Row],[Frequentie werkdagen]]," ",Ruimtestaat[[#This Row],[Vloer code]]))</f>
        <v>13-5w S</v>
      </c>
      <c r="AQ560" s="448" t="str">
        <f>_xlfn.IFNA(VLOOKUP($AP560,Programma!$F$3:$G$1101,2,0),"")</f>
        <v>_</v>
      </c>
      <c r="AR560" s="448" t="str">
        <f>_xlfn.IFNA(VLOOKUP($AP560,Programma!$F$3:$H$1101,3,0),"")</f>
        <v>_</v>
      </c>
      <c r="AS560" s="448" t="str">
        <f>_xlfn.IFNA(VLOOKUP($AP560,Programma!$F$3:$I$1101,4,0),"")</f>
        <v>4w</v>
      </c>
      <c r="AT560" s="448" t="str">
        <f>_xlfn.IFNA(VLOOKUP($AP560,Programma!$F$3:$J$1101,5,0),"")</f>
        <v>1w</v>
      </c>
      <c r="AU560" s="448" t="str">
        <f>_xlfn.IFNA(VLOOKUP($AP560,Programma!$F$3:$K$1101,6,0),"")</f>
        <v>1j</v>
      </c>
      <c r="AV560" s="448" t="str">
        <f>_xlfn.IFNA(VLOOKUP($AP560,Programma!$F$3:$L$1101,7,0),"")</f>
        <v>_</v>
      </c>
      <c r="AW560" s="448" t="str">
        <f>_xlfn.IFNA(VLOOKUP($AP560,Programma!$F$3:$M$1101,8,0),"")</f>
        <v>_</v>
      </c>
      <c r="AX560" s="448" t="str">
        <f>_xlfn.IFNA(VLOOKUP($AP560,Programma!$F$3:$N$1101,9,0),"")</f>
        <v>_</v>
      </c>
      <c r="AY560" s="448" t="str">
        <f>_xlfn.IFNA(VLOOKUP($AP560,Programma!$F$3:$O$1101,10,0),"")</f>
        <v>5w</v>
      </c>
      <c r="AZ560" s="448" t="str">
        <f>_xlfn.IFNA(VLOOKUP($AP560,Programma!$F$3:$P$1101,11,0),"")</f>
        <v>5w</v>
      </c>
      <c r="BA560" s="448" t="str">
        <f>_xlfn.IFNA(VLOOKUP($AP560,Programma!$F$3:$Q$1101,12,0),"")</f>
        <v>1w</v>
      </c>
      <c r="BB560" s="448" t="str">
        <f>_xlfn.IFNA(VLOOKUP($AP560,Programma!$F$3:$R$1101,13,0),"")</f>
        <v>1w</v>
      </c>
      <c r="BC560" s="448" t="str">
        <f>_xlfn.IFNA(VLOOKUP($AP560,Programma!$F$3:$S$1101,14,0),"")</f>
        <v>1m</v>
      </c>
      <c r="BD560" s="448" t="str">
        <f>_xlfn.IFNA(VLOOKUP($AP560,Programma!$F$3:$T$1101,15,0),"")</f>
        <v>2j</v>
      </c>
      <c r="BE560" s="448" t="str">
        <f>_xlfn.IFNA(VLOOKUP($AP560,Programma!$F$3:$U$1101,16,0),"")</f>
        <v>1j</v>
      </c>
      <c r="BF560" s="448" t="str">
        <f>_xlfn.IFNA(VLOOKUP($AP560,Programma!$F$3:$V$1101,17,0),"")</f>
        <v>_</v>
      </c>
      <c r="BG560" s="448" t="str">
        <f>_xlfn.IFNA(VLOOKUP($AP560,Programma!$F$3:$W$1101,18,0),"")</f>
        <v>_</v>
      </c>
      <c r="BH560" s="448" t="str">
        <f>_xlfn.IFNA(VLOOKUP($AP560,Programma!$F$3:$X$1101,19,0),"")</f>
        <v>_</v>
      </c>
      <c r="BI560" s="448" t="str">
        <f>_xlfn.IFNA(VLOOKUP($AP560,Programma!$F$3:$Y$1101,20,0),"")</f>
        <v>_</v>
      </c>
      <c r="BJ560" s="449"/>
      <c r="BK560" s="446" t="str">
        <f>IF(Ruimtestaat[[#This Row],[Frequentie weekend]]="","",_xlfn.CONCAT(Ruimtestaat[[#This Row],[Ruimte code]],"-",Ruimtestaat[[#This Row],[Frequentie weekend]]," ",Ruimtestaat[[#This Row],[Vloer code]]))</f>
        <v/>
      </c>
      <c r="BL560" s="448" t="str">
        <f>_xlfn.IFNA(VLOOKUP($BK560,Programma!$F$3:$G$1101,2,0),"")</f>
        <v/>
      </c>
      <c r="BM560" s="448" t="str">
        <f>_xlfn.IFNA(VLOOKUP($BK560,Programma!$F$3:$H$1101,3,0),"")</f>
        <v/>
      </c>
      <c r="BN560" s="448" t="str">
        <f>_xlfn.IFNA(VLOOKUP($BK560,Programma!$F$3:$I$1101,4,0),"")</f>
        <v/>
      </c>
      <c r="BO560" s="448" t="str">
        <f>_xlfn.IFNA(VLOOKUP($BK560,Programma!$F$3:$J$1101,5,0),"")</f>
        <v/>
      </c>
      <c r="BP560" s="448" t="str">
        <f>_xlfn.IFNA(VLOOKUP($BK560,Programma!$F$3:$K$1101,6,0),"")</f>
        <v/>
      </c>
      <c r="BQ560" s="448" t="str">
        <f>_xlfn.IFNA(VLOOKUP($BK560,Programma!$F$3:$L$1101,7,0),"")</f>
        <v/>
      </c>
      <c r="BR560" s="448" t="str">
        <f>_xlfn.IFNA(VLOOKUP($BK560,Programma!$F$3:$M$1101,8,0),"")</f>
        <v/>
      </c>
      <c r="BS560" s="448" t="str">
        <f>_xlfn.IFNA(VLOOKUP($BK560,Programma!$F$3:$N$1101,9,0),"")</f>
        <v/>
      </c>
      <c r="BT560" s="448" t="str">
        <f>_xlfn.IFNA(VLOOKUP($BK560,Programma!$F$3:$O$1101,10,0),"")</f>
        <v/>
      </c>
      <c r="BU560" s="448" t="str">
        <f>_xlfn.IFNA(VLOOKUP($BK560,Programma!$F$3:$P$1101,11,0),"")</f>
        <v/>
      </c>
      <c r="BV560" s="448" t="str">
        <f>_xlfn.IFNA(VLOOKUP($BK560,Programma!$F$3:$Q$1101,12,0),"")</f>
        <v/>
      </c>
      <c r="BW560" s="448" t="str">
        <f>_xlfn.IFNA(VLOOKUP($BK560,Programma!$F$3:$R$1101,13,0),"")</f>
        <v/>
      </c>
      <c r="BX560" s="448" t="str">
        <f>_xlfn.IFNA(VLOOKUP($BK560,Programma!$F$3:$S$1101,14,0),"")</f>
        <v/>
      </c>
      <c r="BY560" s="448" t="str">
        <f>_xlfn.IFNA(VLOOKUP($BK560,Programma!$F$3:$T$1101,15,0),"")</f>
        <v/>
      </c>
      <c r="BZ560" s="448" t="str">
        <f>_xlfn.IFNA(VLOOKUP($BK560,Programma!$F$3:$U$1101,16,0),"")</f>
        <v/>
      </c>
      <c r="CA560" s="448" t="str">
        <f>_xlfn.IFNA(VLOOKUP($BK560,Programma!$F$3:$V$1101,17,0),"")</f>
        <v/>
      </c>
      <c r="CB560" s="448" t="str">
        <f>_xlfn.IFNA(VLOOKUP($BK560,Programma!$F$3:$W$1101,18,0),"")</f>
        <v/>
      </c>
      <c r="CC560" s="448" t="str">
        <f>_xlfn.IFNA(VLOOKUP($BK560,Programma!$F$3:$X$1101,19,0),"")</f>
        <v/>
      </c>
      <c r="CD560" s="448" t="str">
        <f>_xlfn.IFNA(VLOOKUP($BK560,Programma!$F$3:$Y$1101,20,0),"")</f>
        <v/>
      </c>
    </row>
    <row r="561" spans="1:82" ht="15" customHeight="1">
      <c r="A561" s="327">
        <v>19</v>
      </c>
      <c r="B561" s="435" t="str">
        <f>VLOOKUP(Ruimtestaat[[#This Row],[Code]],Locaties[[Code]:[Locatie]],2,FALSE)</f>
        <v>IKC de Leerplaneet (vhKlimboom)</v>
      </c>
      <c r="C561" s="435" t="str">
        <f>VLOOKUP(Ruimtestaat[[#This Row],[Code]],Locaties[[#All],[Code]:[Adres]],4,FALSE)</f>
        <v>Nesciohove 105-107</v>
      </c>
      <c r="D561" s="435" t="str">
        <f>VLOOKUP(Ruimtestaat[[#This Row],[Code]],Locaties[[#All],[Code]:[Postcode]],5,FALSE)</f>
        <v>2726 BL</v>
      </c>
      <c r="E561" s="435" t="str">
        <f>VLOOKUP(Ruimtestaat[[#This Row],[Code]],Locaties[#All],6,FALSE)</f>
        <v>Zoetermeer</v>
      </c>
      <c r="F561" s="450"/>
      <c r="G561" s="330" t="s">
        <v>1769</v>
      </c>
      <c r="H561" s="330" t="s">
        <v>1839</v>
      </c>
      <c r="I561" s="450" t="s">
        <v>1895</v>
      </c>
      <c r="J561" s="330">
        <v>5</v>
      </c>
      <c r="K561" s="450" t="str">
        <f>VLOOKUP(Ruimtestaat[[#This Row],[Ruimte code]],Ruimtegroepen[[#All],[Code]:[Ruimte omschrijving]],2,FALSE)</f>
        <v>Sanitair</v>
      </c>
      <c r="L561" s="330" t="s">
        <v>101</v>
      </c>
      <c r="M561" s="437" t="s">
        <v>1816</v>
      </c>
      <c r="N561" s="439">
        <v>4.5</v>
      </c>
      <c r="O561" s="439"/>
      <c r="P561" s="439"/>
      <c r="Q561" s="439"/>
      <c r="R561" s="440" t="str">
        <f>VLOOKUP(Ruimtestaat[[#This Row],[Ruimte code]],Ruimtegroepen[],4,FALSE)</f>
        <v>Sa</v>
      </c>
      <c r="S561" s="434">
        <v>41</v>
      </c>
      <c r="T561" s="434" t="s">
        <v>2</v>
      </c>
      <c r="U561" s="453">
        <f>IF(S561&gt;0,IF(RIGHT(Ruimtestaat[[#This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61" s="434">
        <f>IF(U561&gt;0,VLOOKUP($J561,Ruimtegroepen[],3,FALSE)*VLOOKUP($L561,Vloersoorten[],3,FALSE)*VLOOKUP($T561,Frequenties[],3,FALSE)*VLOOKUP($A561,Locaties[],3,FALSE),0)</f>
        <v>0</v>
      </c>
      <c r="W561" s="434">
        <f>Ruimtestaat[[#This Row],[Uitvoeringen werkdagen]]*Ruimtestaat[[#This Row],[Oppervlak (netto)]]</f>
        <v>922.5</v>
      </c>
      <c r="X561" s="441">
        <f>IF(V561&gt;0,Ruimtestaat[[#This Row],[Prest. (m2 /jaar) werkdagen]]/Ruimtestaat[[#This Row],[Norm (m2/uur) werkdagen]],0)</f>
        <v>0</v>
      </c>
      <c r="Y561" s="442">
        <f>Ruimtestaat[[#This Row],[Uitvoeringen werkdagen]]*Ruimtestaat[[#This Row],[Gedeeltelijk]]</f>
        <v>0</v>
      </c>
      <c r="Z561" s="443" t="e">
        <f>IF(U561&gt;0,Ruimtestaat[[#This Row],[Prest. (m2 / jaar) werkdagen gedeeld]]/Ruimtestaat[[#This Row],[Norm (m2/uur) werkdagen]],0)</f>
        <v>#DIV/0!</v>
      </c>
      <c r="AA561" s="441" t="e">
        <f>Ruimtestaat[[#This Row],[uren / jaar werkdagen gedeeld]]*Tariefsopbouw!$E$35</f>
        <v>#DIV/0!</v>
      </c>
      <c r="AB561" s="441">
        <f>Ruimtestaat[[#This Row],[Uitvoeringen werkdagen]]*Ruimtestaat[[#This Row],[BSO]]</f>
        <v>0</v>
      </c>
      <c r="AC561" s="443" t="e">
        <f>IF(U561&gt;0,Ruimtestaat[[#This Row],[Prest. (m2 / jaar) werkdagen BSO]]/Ruimtestaat[[#This Row],[Norm (m2/uur) werkdagen]],0)</f>
        <v>#DIV/0!</v>
      </c>
      <c r="AD561" s="443" t="e">
        <f>Ruimtestaat[[#This Row],[uren / jaar werkdagen BSO]]*Tariefsopbouw!$E$35</f>
        <v>#DIV/0!</v>
      </c>
      <c r="AE561" s="444">
        <f>Ruimtestaat[[#This Row],[uren / jaar werkdagen]]*Tariefsopbouw!$E$35</f>
        <v>0</v>
      </c>
      <c r="AF561" s="454"/>
      <c r="AG561" s="455">
        <f>IF(Ruimtestaat[[#This Row],[Frequentie weekend]]&gt;0,VALUE(LEFT(AF561,1))*S561,0)</f>
        <v>0</v>
      </c>
      <c r="AH561" s="455">
        <f>IF($AG561&gt;0,VLOOKUP($J561,Ruimtegroepen[],3,FALSE)*VLOOKUP($L561,Vloersoorten[],3,FALSE)*VLOOKUP($AF561,Frequenties[],3,FALSE)*VLOOKUP(#REF!,Locaties[],3,FALSE),0)</f>
        <v>0</v>
      </c>
      <c r="AI561" s="434">
        <f>Ruimtestaat[[#This Row],[Uitvoeringen weekend]]*Ruimtestaat[[#This Row],[Oppervlak (netto)]]</f>
        <v>0</v>
      </c>
      <c r="AJ561" s="434">
        <f>IF(AH561&gt;0,Ruimtestaat[[#This Row],[Prest. (m2 /jaar) weekend]]/Ruimtestaat[[#This Row],[Norm (m2/uur) weekend]],0)</f>
        <v>0</v>
      </c>
      <c r="AK561" s="444">
        <f>Ruimtestaat[[#This Row],[uren / jaar weekend]]*Tariefsopbouw!$D$40</f>
        <v>0</v>
      </c>
      <c r="AL561" s="441">
        <f>Ruimtestaat[[#This Row],[Prest. (m2 /jaar) weekend]]+Ruimtestaat[[#This Row],[Prest. (m2 /jaar) werkdagen]]</f>
        <v>922.5</v>
      </c>
      <c r="AM561" s="441">
        <f>Ruimtestaat[[#This Row],[uren / jaar weekend]]+Ruimtestaat[[#This Row],[uren / jaar werkdagen]]</f>
        <v>0</v>
      </c>
      <c r="AN561" s="446">
        <f>Ruimtestaat[[#This Row],[kosten / jaar weekend]]+Ruimtestaat[[#This Row],[kosten / jaar werkdagen]]</f>
        <v>0</v>
      </c>
      <c r="AO561" s="446"/>
      <c r="AP561" s="446" t="str">
        <f>IF(Ruimtestaat[[#This Row],[Frequentie werkdagen]]="","",_xlfn.CONCAT(Ruimtestaat[[#This Row],[Ruimte code]],"-",Ruimtestaat[[#This Row],[Frequentie werkdagen]]," ",Ruimtestaat[[#This Row],[Vloer code]]))</f>
        <v>5-5w S</v>
      </c>
      <c r="AQ561" s="448" t="str">
        <f>_xlfn.IFNA(VLOOKUP($AP561,Programma!$F$3:$G$1101,2,0),"")</f>
        <v>_</v>
      </c>
      <c r="AR561" s="448" t="str">
        <f>_xlfn.IFNA(VLOOKUP($AP561,Programma!$F$3:$H$1101,3,0),"")</f>
        <v>_</v>
      </c>
      <c r="AS561" s="448" t="str">
        <f>_xlfn.IFNA(VLOOKUP($AP561,Programma!$F$3:$I$1101,4,0),"")</f>
        <v>_</v>
      </c>
      <c r="AT561" s="448" t="str">
        <f>_xlfn.IFNA(VLOOKUP($AP561,Programma!$F$3:$J$1101,5,0),"")</f>
        <v>4w</v>
      </c>
      <c r="AU561" s="448" t="str">
        <f>_xlfn.IFNA(VLOOKUP($AP561,Programma!$F$3:$K$1101,6,0),"")</f>
        <v>1w</v>
      </c>
      <c r="AV561" s="448" t="str">
        <f>_xlfn.IFNA(VLOOKUP($AP561,Programma!$F$3:$L$1101,7,0),"")</f>
        <v>_</v>
      </c>
      <c r="AW561" s="448" t="str">
        <f>_xlfn.IFNA(VLOOKUP($AP561,Programma!$F$3:$M$1101,8,0),"")</f>
        <v>_</v>
      </c>
      <c r="AX561" s="448" t="str">
        <f>_xlfn.IFNA(VLOOKUP($AP561,Programma!$F$3:$N$1101,9,0),"")</f>
        <v>_</v>
      </c>
      <c r="AY561" s="448" t="str">
        <f>_xlfn.IFNA(VLOOKUP($AP561,Programma!$F$3:$O$1101,10,0),"")</f>
        <v>_</v>
      </c>
      <c r="AZ561" s="448" t="str">
        <f>_xlfn.IFNA(VLOOKUP($AP561,Programma!$F$3:$P$1101,11,0),"")</f>
        <v>_</v>
      </c>
      <c r="BA561" s="448" t="str">
        <f>_xlfn.IFNA(VLOOKUP($AP561,Programma!$F$3:$Q$1101,12,0),"")</f>
        <v>_</v>
      </c>
      <c r="BB561" s="448" t="str">
        <f>_xlfn.IFNA(VLOOKUP($AP561,Programma!$F$3:$R$1101,13,0),"")</f>
        <v>_</v>
      </c>
      <c r="BC561" s="448" t="str">
        <f>_xlfn.IFNA(VLOOKUP($AP561,Programma!$F$3:$S$1101,14,0),"")</f>
        <v>_</v>
      </c>
      <c r="BD561" s="448" t="str">
        <f>_xlfn.IFNA(VLOOKUP($AP561,Programma!$F$3:$T$1101,15,0),"")</f>
        <v>_</v>
      </c>
      <c r="BE561" s="448" t="str">
        <f>_xlfn.IFNA(VLOOKUP($AP561,Programma!$F$3:$U$1101,16,0),"")</f>
        <v>_</v>
      </c>
      <c r="BF561" s="448" t="str">
        <f>_xlfn.IFNA(VLOOKUP($AP561,Programma!$F$3:$V$1101,17,0),"")</f>
        <v>_</v>
      </c>
      <c r="BG561" s="448" t="str">
        <f>_xlfn.IFNA(VLOOKUP($AP561,Programma!$F$3:$W$1101,18,0),"")</f>
        <v>4w</v>
      </c>
      <c r="BH561" s="448" t="str">
        <f>_xlfn.IFNA(VLOOKUP($AP561,Programma!$F$3:$X$1101,19,0),"")</f>
        <v>1w</v>
      </c>
      <c r="BI561" s="448" t="str">
        <f>_xlfn.IFNA(VLOOKUP($AP561,Programma!$F$3:$Y$1101,20,0),"")</f>
        <v>_</v>
      </c>
      <c r="BJ561" s="449"/>
      <c r="BK561" s="446" t="str">
        <f>IF(Ruimtestaat[[#This Row],[Frequentie weekend]]="","",_xlfn.CONCAT(Ruimtestaat[[#This Row],[Ruimte code]],"-",Ruimtestaat[[#This Row],[Frequentie weekend]]," ",Ruimtestaat[[#This Row],[Vloer code]]))</f>
        <v/>
      </c>
      <c r="BL561" s="448" t="str">
        <f>_xlfn.IFNA(VLOOKUP($BK561,Programma!$F$3:$G$1101,2,0),"")</f>
        <v/>
      </c>
      <c r="BM561" s="448" t="str">
        <f>_xlfn.IFNA(VLOOKUP($BK561,Programma!$F$3:$H$1101,3,0),"")</f>
        <v/>
      </c>
      <c r="BN561" s="448" t="str">
        <f>_xlfn.IFNA(VLOOKUP($BK561,Programma!$F$3:$I$1101,4,0),"")</f>
        <v/>
      </c>
      <c r="BO561" s="448" t="str">
        <f>_xlfn.IFNA(VLOOKUP($BK561,Programma!$F$3:$J$1101,5,0),"")</f>
        <v/>
      </c>
      <c r="BP561" s="448" t="str">
        <f>_xlfn.IFNA(VLOOKUP($BK561,Programma!$F$3:$K$1101,6,0),"")</f>
        <v/>
      </c>
      <c r="BQ561" s="448" t="str">
        <f>_xlfn.IFNA(VLOOKUP($BK561,Programma!$F$3:$L$1101,7,0),"")</f>
        <v/>
      </c>
      <c r="BR561" s="448" t="str">
        <f>_xlfn.IFNA(VLOOKUP($BK561,Programma!$F$3:$M$1101,8,0),"")</f>
        <v/>
      </c>
      <c r="BS561" s="448" t="str">
        <f>_xlfn.IFNA(VLOOKUP($BK561,Programma!$F$3:$N$1101,9,0),"")</f>
        <v/>
      </c>
      <c r="BT561" s="448" t="str">
        <f>_xlfn.IFNA(VLOOKUP($BK561,Programma!$F$3:$O$1101,10,0),"")</f>
        <v/>
      </c>
      <c r="BU561" s="448" t="str">
        <f>_xlfn.IFNA(VLOOKUP($BK561,Programma!$F$3:$P$1101,11,0),"")</f>
        <v/>
      </c>
      <c r="BV561" s="448" t="str">
        <f>_xlfn.IFNA(VLOOKUP($BK561,Programma!$F$3:$Q$1101,12,0),"")</f>
        <v/>
      </c>
      <c r="BW561" s="448" t="str">
        <f>_xlfn.IFNA(VLOOKUP($BK561,Programma!$F$3:$R$1101,13,0),"")</f>
        <v/>
      </c>
      <c r="BX561" s="448" t="str">
        <f>_xlfn.IFNA(VLOOKUP($BK561,Programma!$F$3:$S$1101,14,0),"")</f>
        <v/>
      </c>
      <c r="BY561" s="448" t="str">
        <f>_xlfn.IFNA(VLOOKUP($BK561,Programma!$F$3:$T$1101,15,0),"")</f>
        <v/>
      </c>
      <c r="BZ561" s="448" t="str">
        <f>_xlfn.IFNA(VLOOKUP($BK561,Programma!$F$3:$U$1101,16,0),"")</f>
        <v/>
      </c>
      <c r="CA561" s="448" t="str">
        <f>_xlfn.IFNA(VLOOKUP($BK561,Programma!$F$3:$V$1101,17,0),"")</f>
        <v/>
      </c>
      <c r="CB561" s="448" t="str">
        <f>_xlfn.IFNA(VLOOKUP($BK561,Programma!$F$3:$W$1101,18,0),"")</f>
        <v/>
      </c>
      <c r="CC561" s="448" t="str">
        <f>_xlfn.IFNA(VLOOKUP($BK561,Programma!$F$3:$X$1101,19,0),"")</f>
        <v/>
      </c>
      <c r="CD561" s="448" t="str">
        <f>_xlfn.IFNA(VLOOKUP($BK561,Programma!$F$3:$Y$1101,20,0),"")</f>
        <v/>
      </c>
    </row>
    <row r="562" spans="1:82" ht="15" customHeight="1">
      <c r="A562" s="327">
        <v>19</v>
      </c>
      <c r="B562" s="435" t="str">
        <f>VLOOKUP(Ruimtestaat[[#This Row],[Code]],Locaties[[Code]:[Locatie]],2,FALSE)</f>
        <v>IKC de Leerplaneet (vhKlimboom)</v>
      </c>
      <c r="C562" s="435" t="str">
        <f>VLOOKUP(Ruimtestaat[[#This Row],[Code]],Locaties[[#All],[Code]:[Adres]],4,FALSE)</f>
        <v>Nesciohove 105-107</v>
      </c>
      <c r="D562" s="435" t="str">
        <f>VLOOKUP(Ruimtestaat[[#This Row],[Code]],Locaties[[#All],[Code]:[Postcode]],5,FALSE)</f>
        <v>2726 BL</v>
      </c>
      <c r="E562" s="435" t="str">
        <f>VLOOKUP(Ruimtestaat[[#This Row],[Code]],Locaties[#All],6,FALSE)</f>
        <v>Zoetermeer</v>
      </c>
      <c r="F562" s="450"/>
      <c r="G562" s="330" t="s">
        <v>1769</v>
      </c>
      <c r="H562" s="330" t="s">
        <v>1753</v>
      </c>
      <c r="I562" s="450" t="s">
        <v>1937</v>
      </c>
      <c r="J562" s="330">
        <v>5</v>
      </c>
      <c r="K562" s="450" t="str">
        <f>VLOOKUP(Ruimtestaat[[#This Row],[Ruimte code]],Ruimtegroepen[[#All],[Code]:[Ruimte omschrijving]],2,FALSE)</f>
        <v>Sanitair</v>
      </c>
      <c r="L562" s="330" t="s">
        <v>101</v>
      </c>
      <c r="M562" s="437" t="s">
        <v>1816</v>
      </c>
      <c r="N562" s="439">
        <v>3.7</v>
      </c>
      <c r="O562" s="439"/>
      <c r="P562" s="439"/>
      <c r="Q562" s="439"/>
      <c r="R562" s="440" t="str">
        <f>VLOOKUP(Ruimtestaat[[#This Row],[Ruimte code]],Ruimtegroepen[],4,FALSE)</f>
        <v>Sa</v>
      </c>
      <c r="S562" s="434">
        <v>41</v>
      </c>
      <c r="T562" s="434" t="s">
        <v>2</v>
      </c>
      <c r="U562" s="453">
        <f>IF(S562&gt;0,IF(RIGHT(Ruimtestaat[[#This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62" s="434">
        <f>IF(U562&gt;0,VLOOKUP($J562,Ruimtegroepen[],3,FALSE)*VLOOKUP($L562,Vloersoorten[],3,FALSE)*VLOOKUP($T562,Frequenties[],3,FALSE)*VLOOKUP($A562,Locaties[],3,FALSE),0)</f>
        <v>0</v>
      </c>
      <c r="W562" s="434">
        <f>Ruimtestaat[[#This Row],[Uitvoeringen werkdagen]]*Ruimtestaat[[#This Row],[Oppervlak (netto)]]</f>
        <v>758.5</v>
      </c>
      <c r="X562" s="441">
        <f>IF(V562&gt;0,Ruimtestaat[[#This Row],[Prest. (m2 /jaar) werkdagen]]/Ruimtestaat[[#This Row],[Norm (m2/uur) werkdagen]],0)</f>
        <v>0</v>
      </c>
      <c r="Y562" s="442">
        <f>Ruimtestaat[[#This Row],[Uitvoeringen werkdagen]]*Ruimtestaat[[#This Row],[Gedeeltelijk]]</f>
        <v>0</v>
      </c>
      <c r="Z562" s="443" t="e">
        <f>IF(U562&gt;0,Ruimtestaat[[#This Row],[Prest. (m2 / jaar) werkdagen gedeeld]]/Ruimtestaat[[#This Row],[Norm (m2/uur) werkdagen]],0)</f>
        <v>#DIV/0!</v>
      </c>
      <c r="AA562" s="441" t="e">
        <f>Ruimtestaat[[#This Row],[uren / jaar werkdagen gedeeld]]*Tariefsopbouw!$E$35</f>
        <v>#DIV/0!</v>
      </c>
      <c r="AB562" s="441">
        <f>Ruimtestaat[[#This Row],[Uitvoeringen werkdagen]]*Ruimtestaat[[#This Row],[BSO]]</f>
        <v>0</v>
      </c>
      <c r="AC562" s="443" t="e">
        <f>IF(U562&gt;0,Ruimtestaat[[#This Row],[Prest. (m2 / jaar) werkdagen BSO]]/Ruimtestaat[[#This Row],[Norm (m2/uur) werkdagen]],0)</f>
        <v>#DIV/0!</v>
      </c>
      <c r="AD562" s="443" t="e">
        <f>Ruimtestaat[[#This Row],[uren / jaar werkdagen BSO]]*Tariefsopbouw!$E$35</f>
        <v>#DIV/0!</v>
      </c>
      <c r="AE562" s="444">
        <f>Ruimtestaat[[#This Row],[uren / jaar werkdagen]]*Tariefsopbouw!$E$35</f>
        <v>0</v>
      </c>
      <c r="AF562" s="454"/>
      <c r="AG562" s="455">
        <f>IF(Ruimtestaat[[#This Row],[Frequentie weekend]]&gt;0,VALUE(LEFT(AF562,1))*S562,0)</f>
        <v>0</v>
      </c>
      <c r="AH562" s="455">
        <f>IF($AG562&gt;0,VLOOKUP($J562,Ruimtegroepen[],3,FALSE)*VLOOKUP($L562,Vloersoorten[],3,FALSE)*VLOOKUP($AF562,Frequenties[],3,FALSE)*VLOOKUP(#REF!,Locaties[],3,FALSE),0)</f>
        <v>0</v>
      </c>
      <c r="AI562" s="434">
        <f>Ruimtestaat[[#This Row],[Uitvoeringen weekend]]*Ruimtestaat[[#This Row],[Oppervlak (netto)]]</f>
        <v>0</v>
      </c>
      <c r="AJ562" s="434">
        <f>IF(AH562&gt;0,Ruimtestaat[[#This Row],[Prest. (m2 /jaar) weekend]]/Ruimtestaat[[#This Row],[Norm (m2/uur) weekend]],0)</f>
        <v>0</v>
      </c>
      <c r="AK562" s="444">
        <f>Ruimtestaat[[#This Row],[uren / jaar weekend]]*Tariefsopbouw!$D$40</f>
        <v>0</v>
      </c>
      <c r="AL562" s="441">
        <f>Ruimtestaat[[#This Row],[Prest. (m2 /jaar) weekend]]+Ruimtestaat[[#This Row],[Prest. (m2 /jaar) werkdagen]]</f>
        <v>758.5</v>
      </c>
      <c r="AM562" s="441">
        <f>Ruimtestaat[[#This Row],[uren / jaar weekend]]+Ruimtestaat[[#This Row],[uren / jaar werkdagen]]</f>
        <v>0</v>
      </c>
      <c r="AN562" s="446">
        <f>Ruimtestaat[[#This Row],[kosten / jaar weekend]]+Ruimtestaat[[#This Row],[kosten / jaar werkdagen]]</f>
        <v>0</v>
      </c>
      <c r="AO562" s="446"/>
      <c r="AP562" s="446" t="str">
        <f>IF(Ruimtestaat[[#This Row],[Frequentie werkdagen]]="","",_xlfn.CONCAT(Ruimtestaat[[#This Row],[Ruimte code]],"-",Ruimtestaat[[#This Row],[Frequentie werkdagen]]," ",Ruimtestaat[[#This Row],[Vloer code]]))</f>
        <v>5-5w S</v>
      </c>
      <c r="AQ562" s="448" t="str">
        <f>_xlfn.IFNA(VLOOKUP($AP562,Programma!$F$3:$G$1101,2,0),"")</f>
        <v>_</v>
      </c>
      <c r="AR562" s="448" t="str">
        <f>_xlfn.IFNA(VLOOKUP($AP562,Programma!$F$3:$H$1101,3,0),"")</f>
        <v>_</v>
      </c>
      <c r="AS562" s="448" t="str">
        <f>_xlfn.IFNA(VLOOKUP($AP562,Programma!$F$3:$I$1101,4,0),"")</f>
        <v>_</v>
      </c>
      <c r="AT562" s="448" t="str">
        <f>_xlfn.IFNA(VLOOKUP($AP562,Programma!$F$3:$J$1101,5,0),"")</f>
        <v>4w</v>
      </c>
      <c r="AU562" s="448" t="str">
        <f>_xlfn.IFNA(VLOOKUP($AP562,Programma!$F$3:$K$1101,6,0),"")</f>
        <v>1w</v>
      </c>
      <c r="AV562" s="448" t="str">
        <f>_xlfn.IFNA(VLOOKUP($AP562,Programma!$F$3:$L$1101,7,0),"")</f>
        <v>_</v>
      </c>
      <c r="AW562" s="448" t="str">
        <f>_xlfn.IFNA(VLOOKUP($AP562,Programma!$F$3:$M$1101,8,0),"")</f>
        <v>_</v>
      </c>
      <c r="AX562" s="448" t="str">
        <f>_xlfn.IFNA(VLOOKUP($AP562,Programma!$F$3:$N$1101,9,0),"")</f>
        <v>_</v>
      </c>
      <c r="AY562" s="448" t="str">
        <f>_xlfn.IFNA(VLOOKUP($AP562,Programma!$F$3:$O$1101,10,0),"")</f>
        <v>_</v>
      </c>
      <c r="AZ562" s="448" t="str">
        <f>_xlfn.IFNA(VLOOKUP($AP562,Programma!$F$3:$P$1101,11,0),"")</f>
        <v>_</v>
      </c>
      <c r="BA562" s="448" t="str">
        <f>_xlfn.IFNA(VLOOKUP($AP562,Programma!$F$3:$Q$1101,12,0),"")</f>
        <v>_</v>
      </c>
      <c r="BB562" s="448" t="str">
        <f>_xlfn.IFNA(VLOOKUP($AP562,Programma!$F$3:$R$1101,13,0),"")</f>
        <v>_</v>
      </c>
      <c r="BC562" s="448" t="str">
        <f>_xlfn.IFNA(VLOOKUP($AP562,Programma!$F$3:$S$1101,14,0),"")</f>
        <v>_</v>
      </c>
      <c r="BD562" s="448" t="str">
        <f>_xlfn.IFNA(VLOOKUP($AP562,Programma!$F$3:$T$1101,15,0),"")</f>
        <v>_</v>
      </c>
      <c r="BE562" s="448" t="str">
        <f>_xlfn.IFNA(VLOOKUP($AP562,Programma!$F$3:$U$1101,16,0),"")</f>
        <v>_</v>
      </c>
      <c r="BF562" s="448" t="str">
        <f>_xlfn.IFNA(VLOOKUP($AP562,Programma!$F$3:$V$1101,17,0),"")</f>
        <v>_</v>
      </c>
      <c r="BG562" s="448" t="str">
        <f>_xlfn.IFNA(VLOOKUP($AP562,Programma!$F$3:$W$1101,18,0),"")</f>
        <v>4w</v>
      </c>
      <c r="BH562" s="448" t="str">
        <f>_xlfn.IFNA(VLOOKUP($AP562,Programma!$F$3:$X$1101,19,0),"")</f>
        <v>1w</v>
      </c>
      <c r="BI562" s="448" t="str">
        <f>_xlfn.IFNA(VLOOKUP($AP562,Programma!$F$3:$Y$1101,20,0),"")</f>
        <v>_</v>
      </c>
      <c r="BJ562" s="449"/>
      <c r="BK562" s="446" t="str">
        <f>IF(Ruimtestaat[[#This Row],[Frequentie weekend]]="","",_xlfn.CONCAT(Ruimtestaat[[#This Row],[Ruimte code]],"-",Ruimtestaat[[#This Row],[Frequentie weekend]]," ",Ruimtestaat[[#This Row],[Vloer code]]))</f>
        <v/>
      </c>
      <c r="BL562" s="448" t="str">
        <f>_xlfn.IFNA(VLOOKUP($BK562,Programma!$F$3:$G$1101,2,0),"")</f>
        <v/>
      </c>
      <c r="BM562" s="448" t="str">
        <f>_xlfn.IFNA(VLOOKUP($BK562,Programma!$F$3:$H$1101,3,0),"")</f>
        <v/>
      </c>
      <c r="BN562" s="448" t="str">
        <f>_xlfn.IFNA(VLOOKUP($BK562,Programma!$F$3:$I$1101,4,0),"")</f>
        <v/>
      </c>
      <c r="BO562" s="448" t="str">
        <f>_xlfn.IFNA(VLOOKUP($BK562,Programma!$F$3:$J$1101,5,0),"")</f>
        <v/>
      </c>
      <c r="BP562" s="448" t="str">
        <f>_xlfn.IFNA(VLOOKUP($BK562,Programma!$F$3:$K$1101,6,0),"")</f>
        <v/>
      </c>
      <c r="BQ562" s="448" t="str">
        <f>_xlfn.IFNA(VLOOKUP($BK562,Programma!$F$3:$L$1101,7,0),"")</f>
        <v/>
      </c>
      <c r="BR562" s="448" t="str">
        <f>_xlfn.IFNA(VLOOKUP($BK562,Programma!$F$3:$M$1101,8,0),"")</f>
        <v/>
      </c>
      <c r="BS562" s="448" t="str">
        <f>_xlfn.IFNA(VLOOKUP($BK562,Programma!$F$3:$N$1101,9,0),"")</f>
        <v/>
      </c>
      <c r="BT562" s="448" t="str">
        <f>_xlfn.IFNA(VLOOKUP($BK562,Programma!$F$3:$O$1101,10,0),"")</f>
        <v/>
      </c>
      <c r="BU562" s="448" t="str">
        <f>_xlfn.IFNA(VLOOKUP($BK562,Programma!$F$3:$P$1101,11,0),"")</f>
        <v/>
      </c>
      <c r="BV562" s="448" t="str">
        <f>_xlfn.IFNA(VLOOKUP($BK562,Programma!$F$3:$Q$1101,12,0),"")</f>
        <v/>
      </c>
      <c r="BW562" s="448" t="str">
        <f>_xlfn.IFNA(VLOOKUP($BK562,Programma!$F$3:$R$1101,13,0),"")</f>
        <v/>
      </c>
      <c r="BX562" s="448" t="str">
        <f>_xlfn.IFNA(VLOOKUP($BK562,Programma!$F$3:$S$1101,14,0),"")</f>
        <v/>
      </c>
      <c r="BY562" s="448" t="str">
        <f>_xlfn.IFNA(VLOOKUP($BK562,Programma!$F$3:$T$1101,15,0),"")</f>
        <v/>
      </c>
      <c r="BZ562" s="448" t="str">
        <f>_xlfn.IFNA(VLOOKUP($BK562,Programma!$F$3:$U$1101,16,0),"")</f>
        <v/>
      </c>
      <c r="CA562" s="448" t="str">
        <f>_xlfn.IFNA(VLOOKUP($BK562,Programma!$F$3:$V$1101,17,0),"")</f>
        <v/>
      </c>
      <c r="CB562" s="448" t="str">
        <f>_xlfn.IFNA(VLOOKUP($BK562,Programma!$F$3:$W$1101,18,0),"")</f>
        <v/>
      </c>
      <c r="CC562" s="448" t="str">
        <f>_xlfn.IFNA(VLOOKUP($BK562,Programma!$F$3:$X$1101,19,0),"")</f>
        <v/>
      </c>
      <c r="CD562" s="448" t="str">
        <f>_xlfn.IFNA(VLOOKUP($BK562,Programma!$F$3:$Y$1101,20,0),"")</f>
        <v/>
      </c>
    </row>
    <row r="563" spans="1:82" ht="15" customHeight="1">
      <c r="A563" s="327">
        <v>19</v>
      </c>
      <c r="B563" s="435" t="str">
        <f>VLOOKUP(Ruimtestaat[[#This Row],[Code]],Locaties[[Code]:[Locatie]],2,FALSE)</f>
        <v>IKC de Leerplaneet (vhKlimboom)</v>
      </c>
      <c r="C563" s="435" t="str">
        <f>VLOOKUP(Ruimtestaat[[#This Row],[Code]],Locaties[[#All],[Code]:[Adres]],4,FALSE)</f>
        <v>Nesciohove 105-107</v>
      </c>
      <c r="D563" s="435" t="str">
        <f>VLOOKUP(Ruimtestaat[[#This Row],[Code]],Locaties[[#All],[Code]:[Postcode]],5,FALSE)</f>
        <v>2726 BL</v>
      </c>
      <c r="E563" s="435" t="str">
        <f>VLOOKUP(Ruimtestaat[[#This Row],[Code]],Locaties[#All],6,FALSE)</f>
        <v>Zoetermeer</v>
      </c>
      <c r="F563" s="450"/>
      <c r="G563" s="330" t="s">
        <v>1769</v>
      </c>
      <c r="H563" s="330" t="s">
        <v>1754</v>
      </c>
      <c r="I563" s="450" t="s">
        <v>1852</v>
      </c>
      <c r="J563" s="330">
        <v>20</v>
      </c>
      <c r="K563" s="450" t="str">
        <f>VLOOKUP(Ruimtestaat[[#This Row],[Ruimte code]],Ruimtegroepen[[#All],[Code]:[Ruimte omschrijving]],2,FALSE)</f>
        <v>Niet in Onderhoud</v>
      </c>
      <c r="L563" s="330" t="s">
        <v>101</v>
      </c>
      <c r="M563" s="437" t="s">
        <v>1816</v>
      </c>
      <c r="N563" s="439"/>
      <c r="O563" s="439">
        <v>0</v>
      </c>
      <c r="P563" s="439"/>
      <c r="Q563" s="439"/>
      <c r="R563" s="440">
        <f>VLOOKUP(Ruimtestaat[[#This Row],[Ruimte code]],Ruimtegroepen[],4,FALSE)</f>
        <v>0</v>
      </c>
      <c r="S563" s="434"/>
      <c r="T563" s="434"/>
      <c r="U563" s="453">
        <f>IF(S563&gt;0,IF(RIGHT(Ruimtestaat[[#This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63" s="434">
        <f>IF(U563&gt;0,VLOOKUP($J563,Ruimtegroepen[],3,FALSE)*VLOOKUP($L563,Vloersoorten[],3,FALSE)*VLOOKUP($T563,Frequenties[],3,FALSE)*VLOOKUP($A563,Locaties[],3,FALSE),0)</f>
        <v>0</v>
      </c>
      <c r="W563" s="434">
        <f>Ruimtestaat[[#This Row],[Uitvoeringen werkdagen]]*Ruimtestaat[[#This Row],[Oppervlak (netto)]]</f>
        <v>0</v>
      </c>
      <c r="X563" s="441">
        <f>IF(V563&gt;0,Ruimtestaat[[#This Row],[Prest. (m2 /jaar) werkdagen]]/Ruimtestaat[[#This Row],[Norm (m2/uur) werkdagen]],0)</f>
        <v>0</v>
      </c>
      <c r="Y563" s="442">
        <f>Ruimtestaat[[#This Row],[Uitvoeringen werkdagen]]*Ruimtestaat[[#This Row],[Gedeeltelijk]]</f>
        <v>0</v>
      </c>
      <c r="Z563" s="443">
        <f>IF(U563&gt;0,Ruimtestaat[[#This Row],[Prest. (m2 / jaar) werkdagen gedeeld]]/Ruimtestaat[[#This Row],[Norm (m2/uur) werkdagen]],0)</f>
        <v>0</v>
      </c>
      <c r="AA563" s="441">
        <f>Ruimtestaat[[#This Row],[uren / jaar werkdagen gedeeld]]*Tariefsopbouw!$E$35</f>
        <v>0</v>
      </c>
      <c r="AB563" s="441">
        <f>Ruimtestaat[[#This Row],[Uitvoeringen werkdagen]]*Ruimtestaat[[#This Row],[BSO]]</f>
        <v>0</v>
      </c>
      <c r="AC563" s="443">
        <f>IF(U563&gt;0,Ruimtestaat[[#This Row],[Prest. (m2 / jaar) werkdagen BSO]]/Ruimtestaat[[#This Row],[Norm (m2/uur) werkdagen]],0)</f>
        <v>0</v>
      </c>
      <c r="AD563" s="443">
        <f>Ruimtestaat[[#This Row],[uren / jaar werkdagen BSO]]*Tariefsopbouw!$E$35</f>
        <v>0</v>
      </c>
      <c r="AE563" s="444">
        <f>Ruimtestaat[[#This Row],[uren / jaar werkdagen]]*Tariefsopbouw!$E$35</f>
        <v>0</v>
      </c>
      <c r="AF563" s="454"/>
      <c r="AG563" s="455">
        <f>IF(Ruimtestaat[[#This Row],[Frequentie weekend]]&gt;0,VALUE(LEFT(AF563,1))*S563,0)</f>
        <v>0</v>
      </c>
      <c r="AH563" s="455">
        <f>IF($AG563&gt;0,VLOOKUP($J563,Ruimtegroepen[],3,FALSE)*VLOOKUP($L563,Vloersoorten[],3,FALSE)*VLOOKUP($AF563,Frequenties[],3,FALSE)*VLOOKUP(#REF!,Locaties[],3,FALSE),0)</f>
        <v>0</v>
      </c>
      <c r="AI563" s="434">
        <f>Ruimtestaat[[#This Row],[Uitvoeringen weekend]]*Ruimtestaat[[#This Row],[Oppervlak (netto)]]</f>
        <v>0</v>
      </c>
      <c r="AJ563" s="434">
        <f>IF(AH563&gt;0,Ruimtestaat[[#This Row],[Prest. (m2 /jaar) weekend]]/Ruimtestaat[[#This Row],[Norm (m2/uur) weekend]],0)</f>
        <v>0</v>
      </c>
      <c r="AK563" s="444">
        <f>Ruimtestaat[[#This Row],[uren / jaar weekend]]*Tariefsopbouw!$D$40</f>
        <v>0</v>
      </c>
      <c r="AL563" s="441">
        <f>Ruimtestaat[[#This Row],[Prest. (m2 /jaar) weekend]]+Ruimtestaat[[#This Row],[Prest. (m2 /jaar) werkdagen]]</f>
        <v>0</v>
      </c>
      <c r="AM563" s="441">
        <f>Ruimtestaat[[#This Row],[uren / jaar weekend]]+Ruimtestaat[[#This Row],[uren / jaar werkdagen]]</f>
        <v>0</v>
      </c>
      <c r="AN563" s="446">
        <f>Ruimtestaat[[#This Row],[kosten / jaar weekend]]+Ruimtestaat[[#This Row],[kosten / jaar werkdagen]]</f>
        <v>0</v>
      </c>
      <c r="AO563" s="446"/>
      <c r="AP563" s="446" t="str">
        <f>IF(Ruimtestaat[[#This Row],[Frequentie werkdagen]]="","",_xlfn.CONCAT(Ruimtestaat[[#This Row],[Ruimte code]],"-",Ruimtestaat[[#This Row],[Frequentie werkdagen]]," ",Ruimtestaat[[#This Row],[Vloer code]]))</f>
        <v/>
      </c>
      <c r="AQ563" s="448" t="str">
        <f>_xlfn.IFNA(VLOOKUP($AP563,Programma!$F$3:$G$1101,2,0),"")</f>
        <v/>
      </c>
      <c r="AR563" s="448" t="str">
        <f>_xlfn.IFNA(VLOOKUP($AP563,Programma!$F$3:$H$1101,3,0),"")</f>
        <v/>
      </c>
      <c r="AS563" s="448" t="str">
        <f>_xlfn.IFNA(VLOOKUP($AP563,Programma!$F$3:$I$1101,4,0),"")</f>
        <v/>
      </c>
      <c r="AT563" s="448" t="str">
        <f>_xlfn.IFNA(VLOOKUP($AP563,Programma!$F$3:$J$1101,5,0),"")</f>
        <v/>
      </c>
      <c r="AU563" s="448" t="str">
        <f>_xlfn.IFNA(VLOOKUP($AP563,Programma!$F$3:$K$1101,6,0),"")</f>
        <v/>
      </c>
      <c r="AV563" s="448" t="str">
        <f>_xlfn.IFNA(VLOOKUP($AP563,Programma!$F$3:$L$1101,7,0),"")</f>
        <v/>
      </c>
      <c r="AW563" s="448" t="str">
        <f>_xlfn.IFNA(VLOOKUP($AP563,Programma!$F$3:$M$1101,8,0),"")</f>
        <v/>
      </c>
      <c r="AX563" s="448" t="str">
        <f>_xlfn.IFNA(VLOOKUP($AP563,Programma!$F$3:$N$1101,9,0),"")</f>
        <v/>
      </c>
      <c r="AY563" s="448" t="str">
        <f>_xlfn.IFNA(VLOOKUP($AP563,Programma!$F$3:$O$1101,10,0),"")</f>
        <v/>
      </c>
      <c r="AZ563" s="448" t="str">
        <f>_xlfn.IFNA(VLOOKUP($AP563,Programma!$F$3:$P$1101,11,0),"")</f>
        <v/>
      </c>
      <c r="BA563" s="448" t="str">
        <f>_xlfn.IFNA(VLOOKUP($AP563,Programma!$F$3:$Q$1101,12,0),"")</f>
        <v/>
      </c>
      <c r="BB563" s="448" t="str">
        <f>_xlfn.IFNA(VLOOKUP($AP563,Programma!$F$3:$R$1101,13,0),"")</f>
        <v/>
      </c>
      <c r="BC563" s="448" t="str">
        <f>_xlfn.IFNA(VLOOKUP($AP563,Programma!$F$3:$S$1101,14,0),"")</f>
        <v/>
      </c>
      <c r="BD563" s="448" t="str">
        <f>_xlfn.IFNA(VLOOKUP($AP563,Programma!$F$3:$T$1101,15,0),"")</f>
        <v/>
      </c>
      <c r="BE563" s="448" t="str">
        <f>_xlfn.IFNA(VLOOKUP($AP563,Programma!$F$3:$U$1101,16,0),"")</f>
        <v/>
      </c>
      <c r="BF563" s="448" t="str">
        <f>_xlfn.IFNA(VLOOKUP($AP563,Programma!$F$3:$V$1101,17,0),"")</f>
        <v/>
      </c>
      <c r="BG563" s="448" t="str">
        <f>_xlfn.IFNA(VLOOKUP($AP563,Programma!$F$3:$W$1101,18,0),"")</f>
        <v/>
      </c>
      <c r="BH563" s="448" t="str">
        <f>_xlfn.IFNA(VLOOKUP($AP563,Programma!$F$3:$X$1101,19,0),"")</f>
        <v/>
      </c>
      <c r="BI563" s="448" t="str">
        <f>_xlfn.IFNA(VLOOKUP($AP563,Programma!$F$3:$Y$1101,20,0),"")</f>
        <v/>
      </c>
      <c r="BJ563" s="449"/>
      <c r="BK563" s="446" t="str">
        <f>IF(Ruimtestaat[[#This Row],[Frequentie weekend]]="","",_xlfn.CONCAT(Ruimtestaat[[#This Row],[Ruimte code]],"-",Ruimtestaat[[#This Row],[Frequentie weekend]]," ",Ruimtestaat[[#This Row],[Vloer code]]))</f>
        <v/>
      </c>
      <c r="BL563" s="448" t="str">
        <f>_xlfn.IFNA(VLOOKUP($BK563,Programma!$F$3:$G$1101,2,0),"")</f>
        <v/>
      </c>
      <c r="BM563" s="448" t="str">
        <f>_xlfn.IFNA(VLOOKUP($BK563,Programma!$F$3:$H$1101,3,0),"")</f>
        <v/>
      </c>
      <c r="BN563" s="448" t="str">
        <f>_xlfn.IFNA(VLOOKUP($BK563,Programma!$F$3:$I$1101,4,0),"")</f>
        <v/>
      </c>
      <c r="BO563" s="448" t="str">
        <f>_xlfn.IFNA(VLOOKUP($BK563,Programma!$F$3:$J$1101,5,0),"")</f>
        <v/>
      </c>
      <c r="BP563" s="448" t="str">
        <f>_xlfn.IFNA(VLOOKUP($BK563,Programma!$F$3:$K$1101,6,0),"")</f>
        <v/>
      </c>
      <c r="BQ563" s="448" t="str">
        <f>_xlfn.IFNA(VLOOKUP($BK563,Programma!$F$3:$L$1101,7,0),"")</f>
        <v/>
      </c>
      <c r="BR563" s="448" t="str">
        <f>_xlfn.IFNA(VLOOKUP($BK563,Programma!$F$3:$M$1101,8,0),"")</f>
        <v/>
      </c>
      <c r="BS563" s="448" t="str">
        <f>_xlfn.IFNA(VLOOKUP($BK563,Programma!$F$3:$N$1101,9,0),"")</f>
        <v/>
      </c>
      <c r="BT563" s="448" t="str">
        <f>_xlfn.IFNA(VLOOKUP($BK563,Programma!$F$3:$O$1101,10,0),"")</f>
        <v/>
      </c>
      <c r="BU563" s="448" t="str">
        <f>_xlfn.IFNA(VLOOKUP($BK563,Programma!$F$3:$P$1101,11,0),"")</f>
        <v/>
      </c>
      <c r="BV563" s="448" t="str">
        <f>_xlfn.IFNA(VLOOKUP($BK563,Programma!$F$3:$Q$1101,12,0),"")</f>
        <v/>
      </c>
      <c r="BW563" s="448" t="str">
        <f>_xlfn.IFNA(VLOOKUP($BK563,Programma!$F$3:$R$1101,13,0),"")</f>
        <v/>
      </c>
      <c r="BX563" s="448" t="str">
        <f>_xlfn.IFNA(VLOOKUP($BK563,Programma!$F$3:$S$1101,14,0),"")</f>
        <v/>
      </c>
      <c r="BY563" s="448" t="str">
        <f>_xlfn.IFNA(VLOOKUP($BK563,Programma!$F$3:$T$1101,15,0),"")</f>
        <v/>
      </c>
      <c r="BZ563" s="448" t="str">
        <f>_xlfn.IFNA(VLOOKUP($BK563,Programma!$F$3:$U$1101,16,0),"")</f>
        <v/>
      </c>
      <c r="CA563" s="448" t="str">
        <f>_xlfn.IFNA(VLOOKUP($BK563,Programma!$F$3:$V$1101,17,0),"")</f>
        <v/>
      </c>
      <c r="CB563" s="448" t="str">
        <f>_xlfn.IFNA(VLOOKUP($BK563,Programma!$F$3:$W$1101,18,0),"")</f>
        <v/>
      </c>
      <c r="CC563" s="448" t="str">
        <f>_xlfn.IFNA(VLOOKUP($BK563,Programma!$F$3:$X$1101,19,0),"")</f>
        <v/>
      </c>
      <c r="CD563" s="448" t="str">
        <f>_xlfn.IFNA(VLOOKUP($BK563,Programma!$F$3:$Y$1101,20,0),"")</f>
        <v/>
      </c>
    </row>
    <row r="564" spans="1:82" ht="15" customHeight="1">
      <c r="A564" s="327">
        <v>19</v>
      </c>
      <c r="B564" s="435" t="str">
        <f>VLOOKUP(Ruimtestaat[[#This Row],[Code]],Locaties[[Code]:[Locatie]],2,FALSE)</f>
        <v>IKC de Leerplaneet (vhKlimboom)</v>
      </c>
      <c r="C564" s="435" t="str">
        <f>VLOOKUP(Ruimtestaat[[#This Row],[Code]],Locaties[[#All],[Code]:[Adres]],4,FALSE)</f>
        <v>Nesciohove 105-107</v>
      </c>
      <c r="D564" s="435" t="str">
        <f>VLOOKUP(Ruimtestaat[[#This Row],[Code]],Locaties[[#All],[Code]:[Postcode]],5,FALSE)</f>
        <v>2726 BL</v>
      </c>
      <c r="E564" s="435" t="str">
        <f>VLOOKUP(Ruimtestaat[[#This Row],[Code]],Locaties[#All],6,FALSE)</f>
        <v>Zoetermeer</v>
      </c>
      <c r="F564" s="450"/>
      <c r="G564" s="330" t="s">
        <v>1769</v>
      </c>
      <c r="H564" s="330" t="s">
        <v>1757</v>
      </c>
      <c r="I564" s="450" t="s">
        <v>1938</v>
      </c>
      <c r="J564" s="330">
        <v>20</v>
      </c>
      <c r="K564" s="450" t="str">
        <f>VLOOKUP(Ruimtestaat[[#This Row],[Ruimte code]],Ruimtegroepen[[#All],[Code]:[Ruimte omschrijving]],2,FALSE)</f>
        <v>Niet in Onderhoud</v>
      </c>
      <c r="L564" s="330" t="s">
        <v>101</v>
      </c>
      <c r="M564" s="437" t="s">
        <v>1816</v>
      </c>
      <c r="N564" s="439"/>
      <c r="O564" s="439">
        <v>0</v>
      </c>
      <c r="P564" s="439"/>
      <c r="Q564" s="439"/>
      <c r="R564" s="440">
        <f>VLOOKUP(Ruimtestaat[[#This Row],[Ruimte code]],Ruimtegroepen[],4,FALSE)</f>
        <v>0</v>
      </c>
      <c r="S564" s="434"/>
      <c r="T564" s="434"/>
      <c r="U564" s="453">
        <f>IF(S564&gt;0,IF(RIGHT(Ruimtestaat[[#This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64" s="434">
        <f>IF(U564&gt;0,VLOOKUP($J564,Ruimtegroepen[],3,FALSE)*VLOOKUP($L564,Vloersoorten[],3,FALSE)*VLOOKUP($T564,Frequenties[],3,FALSE)*VLOOKUP($A564,Locaties[],3,FALSE),0)</f>
        <v>0</v>
      </c>
      <c r="W564" s="434">
        <f>Ruimtestaat[[#This Row],[Uitvoeringen werkdagen]]*Ruimtestaat[[#This Row],[Oppervlak (netto)]]</f>
        <v>0</v>
      </c>
      <c r="X564" s="441">
        <f>IF(V564&gt;0,Ruimtestaat[[#This Row],[Prest. (m2 /jaar) werkdagen]]/Ruimtestaat[[#This Row],[Norm (m2/uur) werkdagen]],0)</f>
        <v>0</v>
      </c>
      <c r="Y564" s="442">
        <f>Ruimtestaat[[#This Row],[Uitvoeringen werkdagen]]*Ruimtestaat[[#This Row],[Gedeeltelijk]]</f>
        <v>0</v>
      </c>
      <c r="Z564" s="443">
        <f>IF(U564&gt;0,Ruimtestaat[[#This Row],[Prest. (m2 / jaar) werkdagen gedeeld]]/Ruimtestaat[[#This Row],[Norm (m2/uur) werkdagen]],0)</f>
        <v>0</v>
      </c>
      <c r="AA564" s="441">
        <f>Ruimtestaat[[#This Row],[uren / jaar werkdagen gedeeld]]*Tariefsopbouw!$E$35</f>
        <v>0</v>
      </c>
      <c r="AB564" s="441">
        <f>Ruimtestaat[[#This Row],[Uitvoeringen werkdagen]]*Ruimtestaat[[#This Row],[BSO]]</f>
        <v>0</v>
      </c>
      <c r="AC564" s="443">
        <f>IF(U564&gt;0,Ruimtestaat[[#This Row],[Prest. (m2 / jaar) werkdagen BSO]]/Ruimtestaat[[#This Row],[Norm (m2/uur) werkdagen]],0)</f>
        <v>0</v>
      </c>
      <c r="AD564" s="443">
        <f>Ruimtestaat[[#This Row],[uren / jaar werkdagen BSO]]*Tariefsopbouw!$E$35</f>
        <v>0</v>
      </c>
      <c r="AE564" s="444">
        <f>Ruimtestaat[[#This Row],[uren / jaar werkdagen]]*Tariefsopbouw!$E$35</f>
        <v>0</v>
      </c>
      <c r="AF564" s="454"/>
      <c r="AG564" s="455">
        <f>IF(Ruimtestaat[[#This Row],[Frequentie weekend]]&gt;0,VALUE(LEFT(AF564,1))*S564,0)</f>
        <v>0</v>
      </c>
      <c r="AH564" s="455">
        <f>IF($AG564&gt;0,VLOOKUP($J564,Ruimtegroepen[],3,FALSE)*VLOOKUP($L564,Vloersoorten[],3,FALSE)*VLOOKUP($AF564,Frequenties[],3,FALSE)*VLOOKUP(#REF!,Locaties[],3,FALSE),0)</f>
        <v>0</v>
      </c>
      <c r="AI564" s="434">
        <f>Ruimtestaat[[#This Row],[Uitvoeringen weekend]]*Ruimtestaat[[#This Row],[Oppervlak (netto)]]</f>
        <v>0</v>
      </c>
      <c r="AJ564" s="434">
        <f>IF(AH564&gt;0,Ruimtestaat[[#This Row],[Prest. (m2 /jaar) weekend]]/Ruimtestaat[[#This Row],[Norm (m2/uur) weekend]],0)</f>
        <v>0</v>
      </c>
      <c r="AK564" s="444">
        <f>Ruimtestaat[[#This Row],[uren / jaar weekend]]*Tariefsopbouw!$D$40</f>
        <v>0</v>
      </c>
      <c r="AL564" s="441">
        <f>Ruimtestaat[[#This Row],[Prest. (m2 /jaar) weekend]]+Ruimtestaat[[#This Row],[Prest. (m2 /jaar) werkdagen]]</f>
        <v>0</v>
      </c>
      <c r="AM564" s="441">
        <f>Ruimtestaat[[#This Row],[uren / jaar weekend]]+Ruimtestaat[[#This Row],[uren / jaar werkdagen]]</f>
        <v>0</v>
      </c>
      <c r="AN564" s="446">
        <f>Ruimtestaat[[#This Row],[kosten / jaar weekend]]+Ruimtestaat[[#This Row],[kosten / jaar werkdagen]]</f>
        <v>0</v>
      </c>
      <c r="AO564" s="446"/>
      <c r="AP564" s="446" t="str">
        <f>IF(Ruimtestaat[[#This Row],[Frequentie werkdagen]]="","",_xlfn.CONCAT(Ruimtestaat[[#This Row],[Ruimte code]],"-",Ruimtestaat[[#This Row],[Frequentie werkdagen]]," ",Ruimtestaat[[#This Row],[Vloer code]]))</f>
        <v/>
      </c>
      <c r="AQ564" s="448" t="str">
        <f>_xlfn.IFNA(VLOOKUP($AP564,Programma!$F$3:$G$1101,2,0),"")</f>
        <v/>
      </c>
      <c r="AR564" s="448" t="str">
        <f>_xlfn.IFNA(VLOOKUP($AP564,Programma!$F$3:$H$1101,3,0),"")</f>
        <v/>
      </c>
      <c r="AS564" s="448" t="str">
        <f>_xlfn.IFNA(VLOOKUP($AP564,Programma!$F$3:$I$1101,4,0),"")</f>
        <v/>
      </c>
      <c r="AT564" s="448" t="str">
        <f>_xlfn.IFNA(VLOOKUP($AP564,Programma!$F$3:$J$1101,5,0),"")</f>
        <v/>
      </c>
      <c r="AU564" s="448" t="str">
        <f>_xlfn.IFNA(VLOOKUP($AP564,Programma!$F$3:$K$1101,6,0),"")</f>
        <v/>
      </c>
      <c r="AV564" s="448" t="str">
        <f>_xlfn.IFNA(VLOOKUP($AP564,Programma!$F$3:$L$1101,7,0),"")</f>
        <v/>
      </c>
      <c r="AW564" s="448" t="str">
        <f>_xlfn.IFNA(VLOOKUP($AP564,Programma!$F$3:$M$1101,8,0),"")</f>
        <v/>
      </c>
      <c r="AX564" s="448" t="str">
        <f>_xlfn.IFNA(VLOOKUP($AP564,Programma!$F$3:$N$1101,9,0),"")</f>
        <v/>
      </c>
      <c r="AY564" s="448" t="str">
        <f>_xlfn.IFNA(VLOOKUP($AP564,Programma!$F$3:$O$1101,10,0),"")</f>
        <v/>
      </c>
      <c r="AZ564" s="448" t="str">
        <f>_xlfn.IFNA(VLOOKUP($AP564,Programma!$F$3:$P$1101,11,0),"")</f>
        <v/>
      </c>
      <c r="BA564" s="448" t="str">
        <f>_xlfn.IFNA(VLOOKUP($AP564,Programma!$F$3:$Q$1101,12,0),"")</f>
        <v/>
      </c>
      <c r="BB564" s="448" t="str">
        <f>_xlfn.IFNA(VLOOKUP($AP564,Programma!$F$3:$R$1101,13,0),"")</f>
        <v/>
      </c>
      <c r="BC564" s="448" t="str">
        <f>_xlfn.IFNA(VLOOKUP($AP564,Programma!$F$3:$S$1101,14,0),"")</f>
        <v/>
      </c>
      <c r="BD564" s="448" t="str">
        <f>_xlfn.IFNA(VLOOKUP($AP564,Programma!$F$3:$T$1101,15,0),"")</f>
        <v/>
      </c>
      <c r="BE564" s="448" t="str">
        <f>_xlfn.IFNA(VLOOKUP($AP564,Programma!$F$3:$U$1101,16,0),"")</f>
        <v/>
      </c>
      <c r="BF564" s="448" t="str">
        <f>_xlfn.IFNA(VLOOKUP($AP564,Programma!$F$3:$V$1101,17,0),"")</f>
        <v/>
      </c>
      <c r="BG564" s="448" t="str">
        <f>_xlfn.IFNA(VLOOKUP($AP564,Programma!$F$3:$W$1101,18,0),"")</f>
        <v/>
      </c>
      <c r="BH564" s="448" t="str">
        <f>_xlfn.IFNA(VLOOKUP($AP564,Programma!$F$3:$X$1101,19,0),"")</f>
        <v/>
      </c>
      <c r="BI564" s="448" t="str">
        <f>_xlfn.IFNA(VLOOKUP($AP564,Programma!$F$3:$Y$1101,20,0),"")</f>
        <v/>
      </c>
      <c r="BJ564" s="449"/>
      <c r="BK564" s="446" t="str">
        <f>IF(Ruimtestaat[[#This Row],[Frequentie weekend]]="","",_xlfn.CONCAT(Ruimtestaat[[#This Row],[Ruimte code]],"-",Ruimtestaat[[#This Row],[Frequentie weekend]]," ",Ruimtestaat[[#This Row],[Vloer code]]))</f>
        <v/>
      </c>
      <c r="BL564" s="448" t="str">
        <f>_xlfn.IFNA(VLOOKUP($BK564,Programma!$F$3:$G$1101,2,0),"")</f>
        <v/>
      </c>
      <c r="BM564" s="448" t="str">
        <f>_xlfn.IFNA(VLOOKUP($BK564,Programma!$F$3:$H$1101,3,0),"")</f>
        <v/>
      </c>
      <c r="BN564" s="448" t="str">
        <f>_xlfn.IFNA(VLOOKUP($BK564,Programma!$F$3:$I$1101,4,0),"")</f>
        <v/>
      </c>
      <c r="BO564" s="448" t="str">
        <f>_xlfn.IFNA(VLOOKUP($BK564,Programma!$F$3:$J$1101,5,0),"")</f>
        <v/>
      </c>
      <c r="BP564" s="448" t="str">
        <f>_xlfn.IFNA(VLOOKUP($BK564,Programma!$F$3:$K$1101,6,0),"")</f>
        <v/>
      </c>
      <c r="BQ564" s="448" t="str">
        <f>_xlfn.IFNA(VLOOKUP($BK564,Programma!$F$3:$L$1101,7,0),"")</f>
        <v/>
      </c>
      <c r="BR564" s="448" t="str">
        <f>_xlfn.IFNA(VLOOKUP($BK564,Programma!$F$3:$M$1101,8,0),"")</f>
        <v/>
      </c>
      <c r="BS564" s="448" t="str">
        <f>_xlfn.IFNA(VLOOKUP($BK564,Programma!$F$3:$N$1101,9,0),"")</f>
        <v/>
      </c>
      <c r="BT564" s="448" t="str">
        <f>_xlfn.IFNA(VLOOKUP($BK564,Programma!$F$3:$O$1101,10,0),"")</f>
        <v/>
      </c>
      <c r="BU564" s="448" t="str">
        <f>_xlfn.IFNA(VLOOKUP($BK564,Programma!$F$3:$P$1101,11,0),"")</f>
        <v/>
      </c>
      <c r="BV564" s="448" t="str">
        <f>_xlfn.IFNA(VLOOKUP($BK564,Programma!$F$3:$Q$1101,12,0),"")</f>
        <v/>
      </c>
      <c r="BW564" s="448" t="str">
        <f>_xlfn.IFNA(VLOOKUP($BK564,Programma!$F$3:$R$1101,13,0),"")</f>
        <v/>
      </c>
      <c r="BX564" s="448" t="str">
        <f>_xlfn.IFNA(VLOOKUP($BK564,Programma!$F$3:$S$1101,14,0),"")</f>
        <v/>
      </c>
      <c r="BY564" s="448" t="str">
        <f>_xlfn.IFNA(VLOOKUP($BK564,Programma!$F$3:$T$1101,15,0),"")</f>
        <v/>
      </c>
      <c r="BZ564" s="448" t="str">
        <f>_xlfn.IFNA(VLOOKUP($BK564,Programma!$F$3:$U$1101,16,0),"")</f>
        <v/>
      </c>
      <c r="CA564" s="448" t="str">
        <f>_xlfn.IFNA(VLOOKUP($BK564,Programma!$F$3:$V$1101,17,0),"")</f>
        <v/>
      </c>
      <c r="CB564" s="448" t="str">
        <f>_xlfn.IFNA(VLOOKUP($BK564,Programma!$F$3:$W$1101,18,0),"")</f>
        <v/>
      </c>
      <c r="CC564" s="448" t="str">
        <f>_xlfn.IFNA(VLOOKUP($BK564,Programma!$F$3:$X$1101,19,0),"")</f>
        <v/>
      </c>
      <c r="CD564" s="448" t="str">
        <f>_xlfn.IFNA(VLOOKUP($BK564,Programma!$F$3:$Y$1101,20,0),"")</f>
        <v/>
      </c>
    </row>
    <row r="565" spans="1:82" ht="15" customHeight="1">
      <c r="A565" s="327">
        <v>19</v>
      </c>
      <c r="B565" s="435" t="str">
        <f>VLOOKUP(Ruimtestaat[[#This Row],[Code]],Locaties[[Code]:[Locatie]],2,FALSE)</f>
        <v>IKC de Leerplaneet (vhKlimboom)</v>
      </c>
      <c r="C565" s="435" t="str">
        <f>VLOOKUP(Ruimtestaat[[#This Row],[Code]],Locaties[[#All],[Code]:[Adres]],4,FALSE)</f>
        <v>Nesciohove 105-107</v>
      </c>
      <c r="D565" s="435" t="str">
        <f>VLOOKUP(Ruimtestaat[[#This Row],[Code]],Locaties[[#All],[Code]:[Postcode]],5,FALSE)</f>
        <v>2726 BL</v>
      </c>
      <c r="E565" s="435" t="str">
        <f>VLOOKUP(Ruimtestaat[[#This Row],[Code]],Locaties[#All],6,FALSE)</f>
        <v>Zoetermeer</v>
      </c>
      <c r="F565" s="450"/>
      <c r="G565" s="330" t="s">
        <v>1769</v>
      </c>
      <c r="H565" s="330" t="s">
        <v>1755</v>
      </c>
      <c r="I565" s="450" t="s">
        <v>1939</v>
      </c>
      <c r="J565" s="330">
        <v>20</v>
      </c>
      <c r="K565" s="450" t="str">
        <f>VLOOKUP(Ruimtestaat[[#This Row],[Ruimte code]],Ruimtegroepen[[#All],[Code]:[Ruimte omschrijving]],2,FALSE)</f>
        <v>Niet in Onderhoud</v>
      </c>
      <c r="L565" s="330" t="s">
        <v>101</v>
      </c>
      <c r="M565" s="437" t="s">
        <v>1816</v>
      </c>
      <c r="N565" s="439"/>
      <c r="O565" s="439">
        <v>6.2</v>
      </c>
      <c r="P565" s="439"/>
      <c r="Q565" s="439"/>
      <c r="R565" s="440">
        <f>VLOOKUP(Ruimtestaat[[#This Row],[Ruimte code]],Ruimtegroepen[],4,FALSE)</f>
        <v>0</v>
      </c>
      <c r="S565" s="434"/>
      <c r="T565" s="434"/>
      <c r="U565" s="453">
        <f>IF(S565&gt;0,IF(RIGHT(Ruimtestaat[[#This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65" s="434">
        <f>IF(U565&gt;0,VLOOKUP($J565,Ruimtegroepen[],3,FALSE)*VLOOKUP($L565,Vloersoorten[],3,FALSE)*VLOOKUP($T565,Frequenties[],3,FALSE)*VLOOKUP($A565,Locaties[],3,FALSE),0)</f>
        <v>0</v>
      </c>
      <c r="W565" s="434">
        <f>Ruimtestaat[[#This Row],[Uitvoeringen werkdagen]]*Ruimtestaat[[#This Row],[Oppervlak (netto)]]</f>
        <v>0</v>
      </c>
      <c r="X565" s="441">
        <f>IF(V565&gt;0,Ruimtestaat[[#This Row],[Prest. (m2 /jaar) werkdagen]]/Ruimtestaat[[#This Row],[Norm (m2/uur) werkdagen]],0)</f>
        <v>0</v>
      </c>
      <c r="Y565" s="442">
        <f>Ruimtestaat[[#This Row],[Uitvoeringen werkdagen]]*Ruimtestaat[[#This Row],[Gedeeltelijk]]</f>
        <v>0</v>
      </c>
      <c r="Z565" s="443">
        <f>IF(U565&gt;0,Ruimtestaat[[#This Row],[Prest. (m2 / jaar) werkdagen gedeeld]]/Ruimtestaat[[#This Row],[Norm (m2/uur) werkdagen]],0)</f>
        <v>0</v>
      </c>
      <c r="AA565" s="441">
        <f>Ruimtestaat[[#This Row],[uren / jaar werkdagen gedeeld]]*Tariefsopbouw!$E$35</f>
        <v>0</v>
      </c>
      <c r="AB565" s="441">
        <f>Ruimtestaat[[#This Row],[Uitvoeringen werkdagen]]*Ruimtestaat[[#This Row],[BSO]]</f>
        <v>0</v>
      </c>
      <c r="AC565" s="443">
        <f>IF(U565&gt;0,Ruimtestaat[[#This Row],[Prest. (m2 / jaar) werkdagen BSO]]/Ruimtestaat[[#This Row],[Norm (m2/uur) werkdagen]],0)</f>
        <v>0</v>
      </c>
      <c r="AD565" s="443">
        <f>Ruimtestaat[[#This Row],[uren / jaar werkdagen BSO]]*Tariefsopbouw!$E$35</f>
        <v>0</v>
      </c>
      <c r="AE565" s="444">
        <f>Ruimtestaat[[#This Row],[uren / jaar werkdagen]]*Tariefsopbouw!$E$35</f>
        <v>0</v>
      </c>
      <c r="AF565" s="454"/>
      <c r="AG565" s="455">
        <f>IF(Ruimtestaat[[#This Row],[Frequentie weekend]]&gt;0,VALUE(LEFT(AF565,1))*S565,0)</f>
        <v>0</v>
      </c>
      <c r="AH565" s="455">
        <f>IF($AG565&gt;0,VLOOKUP($J565,Ruimtegroepen[],3,FALSE)*VLOOKUP($L565,Vloersoorten[],3,FALSE)*VLOOKUP($AF565,Frequenties[],3,FALSE)*VLOOKUP(#REF!,Locaties[],3,FALSE),0)</f>
        <v>0</v>
      </c>
      <c r="AI565" s="434">
        <f>Ruimtestaat[[#This Row],[Uitvoeringen weekend]]*Ruimtestaat[[#This Row],[Oppervlak (netto)]]</f>
        <v>0</v>
      </c>
      <c r="AJ565" s="434">
        <f>IF(AH565&gt;0,Ruimtestaat[[#This Row],[Prest. (m2 /jaar) weekend]]/Ruimtestaat[[#This Row],[Norm (m2/uur) weekend]],0)</f>
        <v>0</v>
      </c>
      <c r="AK565" s="444">
        <f>Ruimtestaat[[#This Row],[uren / jaar weekend]]*Tariefsopbouw!$D$40</f>
        <v>0</v>
      </c>
      <c r="AL565" s="441">
        <f>Ruimtestaat[[#This Row],[Prest. (m2 /jaar) weekend]]+Ruimtestaat[[#This Row],[Prest. (m2 /jaar) werkdagen]]</f>
        <v>0</v>
      </c>
      <c r="AM565" s="441">
        <f>Ruimtestaat[[#This Row],[uren / jaar weekend]]+Ruimtestaat[[#This Row],[uren / jaar werkdagen]]</f>
        <v>0</v>
      </c>
      <c r="AN565" s="446">
        <f>Ruimtestaat[[#This Row],[kosten / jaar weekend]]+Ruimtestaat[[#This Row],[kosten / jaar werkdagen]]</f>
        <v>0</v>
      </c>
      <c r="AO565" s="446"/>
      <c r="AP565" s="446" t="str">
        <f>IF(Ruimtestaat[[#This Row],[Frequentie werkdagen]]="","",_xlfn.CONCAT(Ruimtestaat[[#This Row],[Ruimte code]],"-",Ruimtestaat[[#This Row],[Frequentie werkdagen]]," ",Ruimtestaat[[#This Row],[Vloer code]]))</f>
        <v/>
      </c>
      <c r="AQ565" s="448" t="str">
        <f>_xlfn.IFNA(VLOOKUP($AP565,Programma!$F$3:$G$1101,2,0),"")</f>
        <v/>
      </c>
      <c r="AR565" s="448" t="str">
        <f>_xlfn.IFNA(VLOOKUP($AP565,Programma!$F$3:$H$1101,3,0),"")</f>
        <v/>
      </c>
      <c r="AS565" s="448" t="str">
        <f>_xlfn.IFNA(VLOOKUP($AP565,Programma!$F$3:$I$1101,4,0),"")</f>
        <v/>
      </c>
      <c r="AT565" s="448" t="str">
        <f>_xlfn.IFNA(VLOOKUP($AP565,Programma!$F$3:$J$1101,5,0),"")</f>
        <v/>
      </c>
      <c r="AU565" s="448" t="str">
        <f>_xlfn.IFNA(VLOOKUP($AP565,Programma!$F$3:$K$1101,6,0),"")</f>
        <v/>
      </c>
      <c r="AV565" s="448" t="str">
        <f>_xlfn.IFNA(VLOOKUP($AP565,Programma!$F$3:$L$1101,7,0),"")</f>
        <v/>
      </c>
      <c r="AW565" s="448" t="str">
        <f>_xlfn.IFNA(VLOOKUP($AP565,Programma!$F$3:$M$1101,8,0),"")</f>
        <v/>
      </c>
      <c r="AX565" s="448" t="str">
        <f>_xlfn.IFNA(VLOOKUP($AP565,Programma!$F$3:$N$1101,9,0),"")</f>
        <v/>
      </c>
      <c r="AY565" s="448" t="str">
        <f>_xlfn.IFNA(VLOOKUP($AP565,Programma!$F$3:$O$1101,10,0),"")</f>
        <v/>
      </c>
      <c r="AZ565" s="448" t="str">
        <f>_xlfn.IFNA(VLOOKUP($AP565,Programma!$F$3:$P$1101,11,0),"")</f>
        <v/>
      </c>
      <c r="BA565" s="448" t="str">
        <f>_xlfn.IFNA(VLOOKUP($AP565,Programma!$F$3:$Q$1101,12,0),"")</f>
        <v/>
      </c>
      <c r="BB565" s="448" t="str">
        <f>_xlfn.IFNA(VLOOKUP($AP565,Programma!$F$3:$R$1101,13,0),"")</f>
        <v/>
      </c>
      <c r="BC565" s="448" t="str">
        <f>_xlfn.IFNA(VLOOKUP($AP565,Programma!$F$3:$S$1101,14,0),"")</f>
        <v/>
      </c>
      <c r="BD565" s="448" t="str">
        <f>_xlfn.IFNA(VLOOKUP($AP565,Programma!$F$3:$T$1101,15,0),"")</f>
        <v/>
      </c>
      <c r="BE565" s="448" t="str">
        <f>_xlfn.IFNA(VLOOKUP($AP565,Programma!$F$3:$U$1101,16,0),"")</f>
        <v/>
      </c>
      <c r="BF565" s="448" t="str">
        <f>_xlfn.IFNA(VLOOKUP($AP565,Programma!$F$3:$V$1101,17,0),"")</f>
        <v/>
      </c>
      <c r="BG565" s="448" t="str">
        <f>_xlfn.IFNA(VLOOKUP($AP565,Programma!$F$3:$W$1101,18,0),"")</f>
        <v/>
      </c>
      <c r="BH565" s="448" t="str">
        <f>_xlfn.IFNA(VLOOKUP($AP565,Programma!$F$3:$X$1101,19,0),"")</f>
        <v/>
      </c>
      <c r="BI565" s="448" t="str">
        <f>_xlfn.IFNA(VLOOKUP($AP565,Programma!$F$3:$Y$1101,20,0),"")</f>
        <v/>
      </c>
      <c r="BJ565" s="449"/>
      <c r="BK565" s="446" t="str">
        <f>IF(Ruimtestaat[[#This Row],[Frequentie weekend]]="","",_xlfn.CONCAT(Ruimtestaat[[#This Row],[Ruimte code]],"-",Ruimtestaat[[#This Row],[Frequentie weekend]]," ",Ruimtestaat[[#This Row],[Vloer code]]))</f>
        <v/>
      </c>
      <c r="BL565" s="448" t="str">
        <f>_xlfn.IFNA(VLOOKUP($BK565,Programma!$F$3:$G$1101,2,0),"")</f>
        <v/>
      </c>
      <c r="BM565" s="448" t="str">
        <f>_xlfn.IFNA(VLOOKUP($BK565,Programma!$F$3:$H$1101,3,0),"")</f>
        <v/>
      </c>
      <c r="BN565" s="448" t="str">
        <f>_xlfn.IFNA(VLOOKUP($BK565,Programma!$F$3:$I$1101,4,0),"")</f>
        <v/>
      </c>
      <c r="BO565" s="448" t="str">
        <f>_xlfn.IFNA(VLOOKUP($BK565,Programma!$F$3:$J$1101,5,0),"")</f>
        <v/>
      </c>
      <c r="BP565" s="448" t="str">
        <f>_xlfn.IFNA(VLOOKUP($BK565,Programma!$F$3:$K$1101,6,0),"")</f>
        <v/>
      </c>
      <c r="BQ565" s="448" t="str">
        <f>_xlfn.IFNA(VLOOKUP($BK565,Programma!$F$3:$L$1101,7,0),"")</f>
        <v/>
      </c>
      <c r="BR565" s="448" t="str">
        <f>_xlfn.IFNA(VLOOKUP($BK565,Programma!$F$3:$M$1101,8,0),"")</f>
        <v/>
      </c>
      <c r="BS565" s="448" t="str">
        <f>_xlfn.IFNA(VLOOKUP($BK565,Programma!$F$3:$N$1101,9,0),"")</f>
        <v/>
      </c>
      <c r="BT565" s="448" t="str">
        <f>_xlfn.IFNA(VLOOKUP($BK565,Programma!$F$3:$O$1101,10,0),"")</f>
        <v/>
      </c>
      <c r="BU565" s="448" t="str">
        <f>_xlfn.IFNA(VLOOKUP($BK565,Programma!$F$3:$P$1101,11,0),"")</f>
        <v/>
      </c>
      <c r="BV565" s="448" t="str">
        <f>_xlfn.IFNA(VLOOKUP($BK565,Programma!$F$3:$Q$1101,12,0),"")</f>
        <v/>
      </c>
      <c r="BW565" s="448" t="str">
        <f>_xlfn.IFNA(VLOOKUP($BK565,Programma!$F$3:$R$1101,13,0),"")</f>
        <v/>
      </c>
      <c r="BX565" s="448" t="str">
        <f>_xlfn.IFNA(VLOOKUP($BK565,Programma!$F$3:$S$1101,14,0),"")</f>
        <v/>
      </c>
      <c r="BY565" s="448" t="str">
        <f>_xlfn.IFNA(VLOOKUP($BK565,Programma!$F$3:$T$1101,15,0),"")</f>
        <v/>
      </c>
      <c r="BZ565" s="448" t="str">
        <f>_xlfn.IFNA(VLOOKUP($BK565,Programma!$F$3:$U$1101,16,0),"")</f>
        <v/>
      </c>
      <c r="CA565" s="448" t="str">
        <f>_xlfn.IFNA(VLOOKUP($BK565,Programma!$F$3:$V$1101,17,0),"")</f>
        <v/>
      </c>
      <c r="CB565" s="448" t="str">
        <f>_xlfn.IFNA(VLOOKUP($BK565,Programma!$F$3:$W$1101,18,0),"")</f>
        <v/>
      </c>
      <c r="CC565" s="448" t="str">
        <f>_xlfn.IFNA(VLOOKUP($BK565,Programma!$F$3:$X$1101,19,0),"")</f>
        <v/>
      </c>
      <c r="CD565" s="448" t="str">
        <f>_xlfn.IFNA(VLOOKUP($BK565,Programma!$F$3:$Y$1101,20,0),"")</f>
        <v/>
      </c>
    </row>
    <row r="566" spans="1:82" ht="15" customHeight="1">
      <c r="A566" s="327">
        <v>19</v>
      </c>
      <c r="B566" s="435" t="str">
        <f>VLOOKUP(Ruimtestaat[[#This Row],[Code]],Locaties[[Code]:[Locatie]],2,FALSE)</f>
        <v>IKC de Leerplaneet (vhKlimboom)</v>
      </c>
      <c r="C566" s="435" t="str">
        <f>VLOOKUP(Ruimtestaat[[#This Row],[Code]],Locaties[[#All],[Code]:[Adres]],4,FALSE)</f>
        <v>Nesciohove 105-107</v>
      </c>
      <c r="D566" s="435" t="str">
        <f>VLOOKUP(Ruimtestaat[[#This Row],[Code]],Locaties[[#All],[Code]:[Postcode]],5,FALSE)</f>
        <v>2726 BL</v>
      </c>
      <c r="E566" s="435" t="str">
        <f>VLOOKUP(Ruimtestaat[[#This Row],[Code]],Locaties[#All],6,FALSE)</f>
        <v>Zoetermeer</v>
      </c>
      <c r="F566" s="450"/>
      <c r="G566" s="330" t="s">
        <v>1769</v>
      </c>
      <c r="I566" s="450" t="s">
        <v>1708</v>
      </c>
      <c r="J566" s="330">
        <v>6</v>
      </c>
      <c r="K566" s="450" t="str">
        <f>VLOOKUP(Ruimtestaat[[#This Row],[Ruimte code]],Ruimtegroepen[[#All],[Code]:[Ruimte omschrijving]],2,FALSE)</f>
        <v>Gangen/hallen</v>
      </c>
      <c r="L566" s="330" t="s">
        <v>101</v>
      </c>
      <c r="M566" s="437" t="s">
        <v>1816</v>
      </c>
      <c r="N566" s="439">
        <v>40</v>
      </c>
      <c r="O566" s="439"/>
      <c r="P566" s="439"/>
      <c r="Q566" s="439"/>
      <c r="R566" s="440" t="str">
        <f>VLOOKUP(Ruimtestaat[[#This Row],[Ruimte code]],Ruimtegroepen[],4,FALSE)</f>
        <v>Ve</v>
      </c>
      <c r="S566" s="434">
        <v>41</v>
      </c>
      <c r="T566" s="434" t="s">
        <v>2</v>
      </c>
      <c r="U566" s="453">
        <f>IF(S566&gt;0,IF(RIGHT(Ruimtestaat[[#This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66" s="434">
        <f>IF(U566&gt;0,VLOOKUP($J566,Ruimtegroepen[],3,FALSE)*VLOOKUP($L566,Vloersoorten[],3,FALSE)*VLOOKUP($T566,Frequenties[],3,FALSE)*VLOOKUP($A566,Locaties[],3,FALSE),0)</f>
        <v>0</v>
      </c>
      <c r="W566" s="434">
        <f>Ruimtestaat[[#This Row],[Uitvoeringen werkdagen]]*Ruimtestaat[[#This Row],[Oppervlak (netto)]]</f>
        <v>8200</v>
      </c>
      <c r="X566" s="441">
        <f>IF(V566&gt;0,Ruimtestaat[[#This Row],[Prest. (m2 /jaar) werkdagen]]/Ruimtestaat[[#This Row],[Norm (m2/uur) werkdagen]],0)</f>
        <v>0</v>
      </c>
      <c r="Y566" s="442">
        <f>Ruimtestaat[[#This Row],[Uitvoeringen werkdagen]]*Ruimtestaat[[#This Row],[Gedeeltelijk]]</f>
        <v>0</v>
      </c>
      <c r="Z566" s="443" t="e">
        <f>IF(U566&gt;0,Ruimtestaat[[#This Row],[Prest. (m2 / jaar) werkdagen gedeeld]]/Ruimtestaat[[#This Row],[Norm (m2/uur) werkdagen]],0)</f>
        <v>#DIV/0!</v>
      </c>
      <c r="AA566" s="441" t="e">
        <f>Ruimtestaat[[#This Row],[uren / jaar werkdagen gedeeld]]*Tariefsopbouw!$E$35</f>
        <v>#DIV/0!</v>
      </c>
      <c r="AB566" s="441">
        <f>Ruimtestaat[[#This Row],[Uitvoeringen werkdagen]]*Ruimtestaat[[#This Row],[BSO]]</f>
        <v>0</v>
      </c>
      <c r="AC566" s="443" t="e">
        <f>IF(U566&gt;0,Ruimtestaat[[#This Row],[Prest. (m2 / jaar) werkdagen BSO]]/Ruimtestaat[[#This Row],[Norm (m2/uur) werkdagen]],0)</f>
        <v>#DIV/0!</v>
      </c>
      <c r="AD566" s="443" t="e">
        <f>Ruimtestaat[[#This Row],[uren / jaar werkdagen BSO]]*Tariefsopbouw!$E$35</f>
        <v>#DIV/0!</v>
      </c>
      <c r="AE566" s="444">
        <f>Ruimtestaat[[#This Row],[uren / jaar werkdagen]]*Tariefsopbouw!$E$35</f>
        <v>0</v>
      </c>
      <c r="AF566" s="454"/>
      <c r="AG566" s="455">
        <f>IF(Ruimtestaat[[#This Row],[Frequentie weekend]]&gt;0,VALUE(LEFT(AF566,1))*S566,0)</f>
        <v>0</v>
      </c>
      <c r="AH566" s="455">
        <f>IF($AG566&gt;0,VLOOKUP($J566,Ruimtegroepen[],3,FALSE)*VLOOKUP($L566,Vloersoorten[],3,FALSE)*VLOOKUP($AF566,Frequenties[],3,FALSE)*VLOOKUP(#REF!,Locaties[],3,FALSE),0)</f>
        <v>0</v>
      </c>
      <c r="AI566" s="434">
        <f>Ruimtestaat[[#This Row],[Uitvoeringen weekend]]*Ruimtestaat[[#This Row],[Oppervlak (netto)]]</f>
        <v>0</v>
      </c>
      <c r="AJ566" s="434">
        <f>IF(AH566&gt;0,Ruimtestaat[[#This Row],[Prest. (m2 /jaar) weekend]]/Ruimtestaat[[#This Row],[Norm (m2/uur) weekend]],0)</f>
        <v>0</v>
      </c>
      <c r="AK566" s="444">
        <f>Ruimtestaat[[#This Row],[uren / jaar weekend]]*Tariefsopbouw!$D$40</f>
        <v>0</v>
      </c>
      <c r="AL566" s="441">
        <f>Ruimtestaat[[#This Row],[Prest. (m2 /jaar) weekend]]+Ruimtestaat[[#This Row],[Prest. (m2 /jaar) werkdagen]]</f>
        <v>8200</v>
      </c>
      <c r="AM566" s="441">
        <f>Ruimtestaat[[#This Row],[uren / jaar weekend]]+Ruimtestaat[[#This Row],[uren / jaar werkdagen]]</f>
        <v>0</v>
      </c>
      <c r="AN566" s="446">
        <f>Ruimtestaat[[#This Row],[kosten / jaar weekend]]+Ruimtestaat[[#This Row],[kosten / jaar werkdagen]]</f>
        <v>0</v>
      </c>
      <c r="AO566" s="446"/>
      <c r="AP566" s="446" t="str">
        <f>IF(Ruimtestaat[[#This Row],[Frequentie werkdagen]]="","",_xlfn.CONCAT(Ruimtestaat[[#This Row],[Ruimte code]],"-",Ruimtestaat[[#This Row],[Frequentie werkdagen]]," ",Ruimtestaat[[#This Row],[Vloer code]]))</f>
        <v>6-5w S</v>
      </c>
      <c r="AQ566" s="448" t="str">
        <f>_xlfn.IFNA(VLOOKUP($AP566,Programma!$F$3:$G$1101,2,0),"")</f>
        <v>_</v>
      </c>
      <c r="AR566" s="448" t="str">
        <f>_xlfn.IFNA(VLOOKUP($AP566,Programma!$F$3:$H$1101,3,0),"")</f>
        <v>_</v>
      </c>
      <c r="AS566" s="448" t="str">
        <f>_xlfn.IFNA(VLOOKUP($AP566,Programma!$F$3:$I$1101,4,0),"")</f>
        <v>5w</v>
      </c>
      <c r="AT566" s="448" t="str">
        <f>_xlfn.IFNA(VLOOKUP($AP566,Programma!$F$3:$J$1101,5,0),"")</f>
        <v>_</v>
      </c>
      <c r="AU566" s="448" t="str">
        <f>_xlfn.IFNA(VLOOKUP($AP566,Programma!$F$3:$K$1101,6,0),"")</f>
        <v>5w</v>
      </c>
      <c r="AV566" s="448" t="str">
        <f>_xlfn.IFNA(VLOOKUP($AP566,Programma!$F$3:$L$1101,7,0),"")</f>
        <v>_</v>
      </c>
      <c r="AW566" s="448" t="str">
        <f>_xlfn.IFNA(VLOOKUP($AP566,Programma!$F$3:$M$1101,8,0),"")</f>
        <v>_</v>
      </c>
      <c r="AX566" s="448" t="str">
        <f>_xlfn.IFNA(VLOOKUP($AP566,Programma!$F$3:$N$1101,9,0),"")</f>
        <v>_</v>
      </c>
      <c r="AY566" s="448" t="str">
        <f>_xlfn.IFNA(VLOOKUP($AP566,Programma!$F$3:$O$1101,10,0),"")</f>
        <v>5w</v>
      </c>
      <c r="AZ566" s="448" t="str">
        <f>_xlfn.IFNA(VLOOKUP($AP566,Programma!$F$3:$P$1101,11,0),"")</f>
        <v>5w</v>
      </c>
      <c r="BA566" s="448" t="str">
        <f>_xlfn.IFNA(VLOOKUP($AP566,Programma!$F$3:$Q$1101,12,0),"")</f>
        <v>1w</v>
      </c>
      <c r="BB566" s="448" t="str">
        <f>_xlfn.IFNA(VLOOKUP($AP566,Programma!$F$3:$R$1101,13,0),"")</f>
        <v>1w</v>
      </c>
      <c r="BC566" s="448" t="str">
        <f>_xlfn.IFNA(VLOOKUP($AP566,Programma!$F$3:$S$1101,14,0),"")</f>
        <v>1m</v>
      </c>
      <c r="BD566" s="448" t="str">
        <f>_xlfn.IFNA(VLOOKUP($AP566,Programma!$F$3:$T$1101,15,0),"")</f>
        <v>2j</v>
      </c>
      <c r="BE566" s="448" t="str">
        <f>_xlfn.IFNA(VLOOKUP($AP566,Programma!$F$3:$U$1101,16,0),"")</f>
        <v>1j</v>
      </c>
      <c r="BF566" s="448" t="str">
        <f>_xlfn.IFNA(VLOOKUP($AP566,Programma!$F$3:$V$1101,17,0),"")</f>
        <v>_</v>
      </c>
      <c r="BG566" s="448" t="str">
        <f>_xlfn.IFNA(VLOOKUP($AP566,Programma!$F$3:$W$1101,18,0),"")</f>
        <v>_</v>
      </c>
      <c r="BH566" s="448" t="str">
        <f>_xlfn.IFNA(VLOOKUP($AP566,Programma!$F$3:$X$1101,19,0),"")</f>
        <v>_</v>
      </c>
      <c r="BI566" s="448" t="str">
        <f>_xlfn.IFNA(VLOOKUP($AP566,Programma!$F$3:$Y$1101,20,0),"")</f>
        <v>_</v>
      </c>
      <c r="BJ566" s="449"/>
      <c r="BK566" s="446" t="str">
        <f>IF(Ruimtestaat[[#This Row],[Frequentie weekend]]="","",_xlfn.CONCAT(Ruimtestaat[[#This Row],[Ruimte code]],"-",Ruimtestaat[[#This Row],[Frequentie weekend]]," ",Ruimtestaat[[#This Row],[Vloer code]]))</f>
        <v/>
      </c>
      <c r="BL566" s="448" t="str">
        <f>_xlfn.IFNA(VLOOKUP($BK566,Programma!$F$3:$G$1101,2,0),"")</f>
        <v/>
      </c>
      <c r="BM566" s="448" t="str">
        <f>_xlfn.IFNA(VLOOKUP($BK566,Programma!$F$3:$H$1101,3,0),"")</f>
        <v/>
      </c>
      <c r="BN566" s="448" t="str">
        <f>_xlfn.IFNA(VLOOKUP($BK566,Programma!$F$3:$I$1101,4,0),"")</f>
        <v/>
      </c>
      <c r="BO566" s="448" t="str">
        <f>_xlfn.IFNA(VLOOKUP($BK566,Programma!$F$3:$J$1101,5,0),"")</f>
        <v/>
      </c>
      <c r="BP566" s="448" t="str">
        <f>_xlfn.IFNA(VLOOKUP($BK566,Programma!$F$3:$K$1101,6,0),"")</f>
        <v/>
      </c>
      <c r="BQ566" s="448" t="str">
        <f>_xlfn.IFNA(VLOOKUP($BK566,Programma!$F$3:$L$1101,7,0),"")</f>
        <v/>
      </c>
      <c r="BR566" s="448" t="str">
        <f>_xlfn.IFNA(VLOOKUP($BK566,Programma!$F$3:$M$1101,8,0),"")</f>
        <v/>
      </c>
      <c r="BS566" s="448" t="str">
        <f>_xlfn.IFNA(VLOOKUP($BK566,Programma!$F$3:$N$1101,9,0),"")</f>
        <v/>
      </c>
      <c r="BT566" s="448" t="str">
        <f>_xlfn.IFNA(VLOOKUP($BK566,Programma!$F$3:$O$1101,10,0),"")</f>
        <v/>
      </c>
      <c r="BU566" s="448" t="str">
        <f>_xlfn.IFNA(VLOOKUP($BK566,Programma!$F$3:$P$1101,11,0),"")</f>
        <v/>
      </c>
      <c r="BV566" s="448" t="str">
        <f>_xlfn.IFNA(VLOOKUP($BK566,Programma!$F$3:$Q$1101,12,0),"")</f>
        <v/>
      </c>
      <c r="BW566" s="448" t="str">
        <f>_xlfn.IFNA(VLOOKUP($BK566,Programma!$F$3:$R$1101,13,0),"")</f>
        <v/>
      </c>
      <c r="BX566" s="448" t="str">
        <f>_xlfn.IFNA(VLOOKUP($BK566,Programma!$F$3:$S$1101,14,0),"")</f>
        <v/>
      </c>
      <c r="BY566" s="448" t="str">
        <f>_xlfn.IFNA(VLOOKUP($BK566,Programma!$F$3:$T$1101,15,0),"")</f>
        <v/>
      </c>
      <c r="BZ566" s="448" t="str">
        <f>_xlfn.IFNA(VLOOKUP($BK566,Programma!$F$3:$U$1101,16,0),"")</f>
        <v/>
      </c>
      <c r="CA566" s="448" t="str">
        <f>_xlfn.IFNA(VLOOKUP($BK566,Programma!$F$3:$V$1101,17,0),"")</f>
        <v/>
      </c>
      <c r="CB566" s="448" t="str">
        <f>_xlfn.IFNA(VLOOKUP($BK566,Programma!$F$3:$W$1101,18,0),"")</f>
        <v/>
      </c>
      <c r="CC566" s="448" t="str">
        <f>_xlfn.IFNA(VLOOKUP($BK566,Programma!$F$3:$X$1101,19,0),"")</f>
        <v/>
      </c>
      <c r="CD566" s="448" t="str">
        <f>_xlfn.IFNA(VLOOKUP($BK566,Programma!$F$3:$Y$1101,20,0),"")</f>
        <v/>
      </c>
    </row>
    <row r="567" spans="1:82" ht="15" customHeight="1">
      <c r="A567" s="327">
        <v>20</v>
      </c>
      <c r="B567" s="435" t="str">
        <f>VLOOKUP(Ruimtestaat[[#This Row],[Code]],Locaties[[Code]:[Locatie]],2,FALSE)</f>
        <v>IKC de Saffier (extra lokaal gemeente)</v>
      </c>
      <c r="C567" s="435" t="str">
        <f>VLOOKUP(Ruimtestaat[[#This Row],[Code]],Locaties[[#All],[Code]:[Adres]],4,FALSE)</f>
        <v>Electrablauw 5</v>
      </c>
      <c r="D567" s="435" t="str">
        <f>VLOOKUP(Ruimtestaat[[#This Row],[Code]],Locaties[[#All],[Code]:[Postcode]],5,FALSE)</f>
        <v>2718 JT</v>
      </c>
      <c r="E567" s="435" t="str">
        <f>VLOOKUP(Ruimtestaat[[#This Row],[Code]],Locaties[#All],6,FALSE)</f>
        <v>Zoetermeer</v>
      </c>
      <c r="F567" s="450"/>
      <c r="G567" s="330" t="s">
        <v>1678</v>
      </c>
      <c r="H567" s="330" t="s">
        <v>1691</v>
      </c>
      <c r="I567" s="450" t="s">
        <v>1720</v>
      </c>
      <c r="J567" s="330">
        <v>5</v>
      </c>
      <c r="K567" s="450" t="str">
        <f>VLOOKUP(Ruimtestaat[[#This Row],[Ruimte code]],Ruimtegroepen[[#All],[Code]:[Ruimte omschrijving]],2,FALSE)</f>
        <v>Sanitair</v>
      </c>
      <c r="L567" s="330" t="s">
        <v>101</v>
      </c>
      <c r="M567" s="437" t="s">
        <v>1947</v>
      </c>
      <c r="N567" s="439">
        <v>5</v>
      </c>
      <c r="O567" s="439"/>
      <c r="P567" s="439"/>
      <c r="Q567" s="439"/>
      <c r="R567" s="440" t="str">
        <f>VLOOKUP(Ruimtestaat[[#This Row],[Ruimte code]],Ruimtegroepen[],4,FALSE)</f>
        <v>Sa</v>
      </c>
      <c r="S567" s="434">
        <v>41</v>
      </c>
      <c r="T567" s="434" t="s">
        <v>2</v>
      </c>
      <c r="U567" s="453">
        <f>IF(S567&gt;0,IF(RIGHT(Ruimtestaat[[#This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67" s="434">
        <f>IF(U567&gt;0,VLOOKUP($J567,Ruimtegroepen[],3,FALSE)*VLOOKUP($L567,Vloersoorten[],3,FALSE)*VLOOKUP($T567,Frequenties[],3,FALSE)*VLOOKUP($A567,Locaties[],3,FALSE),0)</f>
        <v>0</v>
      </c>
      <c r="W567" s="434">
        <f>Ruimtestaat[[#This Row],[Uitvoeringen werkdagen]]*Ruimtestaat[[#This Row],[Oppervlak (netto)]]</f>
        <v>1025</v>
      </c>
      <c r="X567" s="441">
        <f>IF(V567&gt;0,Ruimtestaat[[#This Row],[Prest. (m2 /jaar) werkdagen]]/Ruimtestaat[[#This Row],[Norm (m2/uur) werkdagen]],0)</f>
        <v>0</v>
      </c>
      <c r="Y567" s="442">
        <f>Ruimtestaat[[#This Row],[Uitvoeringen werkdagen]]*Ruimtestaat[[#This Row],[Gedeeltelijk]]</f>
        <v>0</v>
      </c>
      <c r="Z567" s="443" t="e">
        <f>IF(U567&gt;0,Ruimtestaat[[#This Row],[Prest. (m2 / jaar) werkdagen gedeeld]]/Ruimtestaat[[#This Row],[Norm (m2/uur) werkdagen]],0)</f>
        <v>#DIV/0!</v>
      </c>
      <c r="AA567" s="441" t="e">
        <f>Ruimtestaat[[#This Row],[uren / jaar werkdagen gedeeld]]*Tariefsopbouw!$E$35</f>
        <v>#DIV/0!</v>
      </c>
      <c r="AB567" s="441">
        <f>Ruimtestaat[[#This Row],[Uitvoeringen werkdagen]]*Ruimtestaat[[#This Row],[BSO]]</f>
        <v>0</v>
      </c>
      <c r="AC567" s="443" t="e">
        <f>IF(U567&gt;0,Ruimtestaat[[#This Row],[Prest. (m2 / jaar) werkdagen BSO]]/Ruimtestaat[[#This Row],[Norm (m2/uur) werkdagen]],0)</f>
        <v>#DIV/0!</v>
      </c>
      <c r="AD567" s="443" t="e">
        <f>Ruimtestaat[[#This Row],[uren / jaar werkdagen BSO]]*Tariefsopbouw!$E$35</f>
        <v>#DIV/0!</v>
      </c>
      <c r="AE567" s="444">
        <f>Ruimtestaat[[#This Row],[uren / jaar werkdagen]]*Tariefsopbouw!$E$35</f>
        <v>0</v>
      </c>
      <c r="AF567" s="454"/>
      <c r="AG567" s="455">
        <f>IF(Ruimtestaat[[#This Row],[Frequentie weekend]]&gt;0,VALUE(LEFT(AF567,1))*S567,0)</f>
        <v>0</v>
      </c>
      <c r="AH567" s="455">
        <f>IF($AG567&gt;0,VLOOKUP($J567,Ruimtegroepen[],3,FALSE)*VLOOKUP($L567,Vloersoorten[],3,FALSE)*VLOOKUP($AF567,Frequenties[],3,FALSE)*VLOOKUP(#REF!,Locaties[],3,FALSE),0)</f>
        <v>0</v>
      </c>
      <c r="AI567" s="434">
        <f>Ruimtestaat[[#This Row],[Uitvoeringen weekend]]*Ruimtestaat[[#This Row],[Oppervlak (netto)]]</f>
        <v>0</v>
      </c>
      <c r="AJ567" s="434">
        <f>IF(AH567&gt;0,Ruimtestaat[[#This Row],[Prest. (m2 /jaar) weekend]]/Ruimtestaat[[#This Row],[Norm (m2/uur) weekend]],0)</f>
        <v>0</v>
      </c>
      <c r="AK567" s="444">
        <f>Ruimtestaat[[#This Row],[uren / jaar weekend]]*Tariefsopbouw!$D$40</f>
        <v>0</v>
      </c>
      <c r="AL567" s="441">
        <f>Ruimtestaat[[#This Row],[Prest. (m2 /jaar) weekend]]+Ruimtestaat[[#This Row],[Prest. (m2 /jaar) werkdagen]]</f>
        <v>1025</v>
      </c>
      <c r="AM567" s="441">
        <f>Ruimtestaat[[#This Row],[uren / jaar weekend]]+Ruimtestaat[[#This Row],[uren / jaar werkdagen]]</f>
        <v>0</v>
      </c>
      <c r="AN567" s="446">
        <f>Ruimtestaat[[#This Row],[kosten / jaar weekend]]+Ruimtestaat[[#This Row],[kosten / jaar werkdagen]]</f>
        <v>0</v>
      </c>
      <c r="AO567" s="446"/>
      <c r="AP567" s="446" t="str">
        <f>IF(Ruimtestaat[[#This Row],[Frequentie werkdagen]]="","",_xlfn.CONCAT(Ruimtestaat[[#This Row],[Ruimte code]],"-",Ruimtestaat[[#This Row],[Frequentie werkdagen]]," ",Ruimtestaat[[#This Row],[Vloer code]]))</f>
        <v>5-5w S</v>
      </c>
      <c r="AQ567" s="448" t="str">
        <f>_xlfn.IFNA(VLOOKUP($AP567,Programma!$F$3:$G$1101,2,0),"")</f>
        <v>_</v>
      </c>
      <c r="AR567" s="448" t="str">
        <f>_xlfn.IFNA(VLOOKUP($AP567,Programma!$F$3:$H$1101,3,0),"")</f>
        <v>_</v>
      </c>
      <c r="AS567" s="448" t="str">
        <f>_xlfn.IFNA(VLOOKUP($AP567,Programma!$F$3:$I$1101,4,0),"")</f>
        <v>_</v>
      </c>
      <c r="AT567" s="448" t="str">
        <f>_xlfn.IFNA(VLOOKUP($AP567,Programma!$F$3:$J$1101,5,0),"")</f>
        <v>4w</v>
      </c>
      <c r="AU567" s="448" t="str">
        <f>_xlfn.IFNA(VLOOKUP($AP567,Programma!$F$3:$K$1101,6,0),"")</f>
        <v>1w</v>
      </c>
      <c r="AV567" s="448" t="str">
        <f>_xlfn.IFNA(VLOOKUP($AP567,Programma!$F$3:$L$1101,7,0),"")</f>
        <v>_</v>
      </c>
      <c r="AW567" s="448" t="str">
        <f>_xlfn.IFNA(VLOOKUP($AP567,Programma!$F$3:$M$1101,8,0),"")</f>
        <v>_</v>
      </c>
      <c r="AX567" s="448" t="str">
        <f>_xlfn.IFNA(VLOOKUP($AP567,Programma!$F$3:$N$1101,9,0),"")</f>
        <v>_</v>
      </c>
      <c r="AY567" s="448" t="str">
        <f>_xlfn.IFNA(VLOOKUP($AP567,Programma!$F$3:$O$1101,10,0),"")</f>
        <v>_</v>
      </c>
      <c r="AZ567" s="448" t="str">
        <f>_xlfn.IFNA(VLOOKUP($AP567,Programma!$F$3:$P$1101,11,0),"")</f>
        <v>_</v>
      </c>
      <c r="BA567" s="448" t="str">
        <f>_xlfn.IFNA(VLOOKUP($AP567,Programma!$F$3:$Q$1101,12,0),"")</f>
        <v>_</v>
      </c>
      <c r="BB567" s="448" t="str">
        <f>_xlfn.IFNA(VLOOKUP($AP567,Programma!$F$3:$R$1101,13,0),"")</f>
        <v>_</v>
      </c>
      <c r="BC567" s="448" t="str">
        <f>_xlfn.IFNA(VLOOKUP($AP567,Programma!$F$3:$S$1101,14,0),"")</f>
        <v>_</v>
      </c>
      <c r="BD567" s="448" t="str">
        <f>_xlfn.IFNA(VLOOKUP($AP567,Programma!$F$3:$T$1101,15,0),"")</f>
        <v>_</v>
      </c>
      <c r="BE567" s="448" t="str">
        <f>_xlfn.IFNA(VLOOKUP($AP567,Programma!$F$3:$U$1101,16,0),"")</f>
        <v>_</v>
      </c>
      <c r="BF567" s="448" t="str">
        <f>_xlfn.IFNA(VLOOKUP($AP567,Programma!$F$3:$V$1101,17,0),"")</f>
        <v>_</v>
      </c>
      <c r="BG567" s="448" t="str">
        <f>_xlfn.IFNA(VLOOKUP($AP567,Programma!$F$3:$W$1101,18,0),"")</f>
        <v>4w</v>
      </c>
      <c r="BH567" s="448" t="str">
        <f>_xlfn.IFNA(VLOOKUP($AP567,Programma!$F$3:$X$1101,19,0),"")</f>
        <v>1w</v>
      </c>
      <c r="BI567" s="448" t="str">
        <f>_xlfn.IFNA(VLOOKUP($AP567,Programma!$F$3:$Y$1101,20,0),"")</f>
        <v>_</v>
      </c>
      <c r="BJ567" s="449"/>
      <c r="BK567" s="446" t="str">
        <f>IF(Ruimtestaat[[#This Row],[Frequentie weekend]]="","",_xlfn.CONCAT(Ruimtestaat[[#This Row],[Ruimte code]],"-",Ruimtestaat[[#This Row],[Frequentie weekend]]," ",Ruimtestaat[[#This Row],[Vloer code]]))</f>
        <v/>
      </c>
      <c r="BL567" s="448" t="str">
        <f>_xlfn.IFNA(VLOOKUP($BK567,Programma!$F$3:$G$1101,2,0),"")</f>
        <v/>
      </c>
      <c r="BM567" s="448" t="str">
        <f>_xlfn.IFNA(VLOOKUP($BK567,Programma!$F$3:$H$1101,3,0),"")</f>
        <v/>
      </c>
      <c r="BN567" s="448" t="str">
        <f>_xlfn.IFNA(VLOOKUP($BK567,Programma!$F$3:$I$1101,4,0),"")</f>
        <v/>
      </c>
      <c r="BO567" s="448" t="str">
        <f>_xlfn.IFNA(VLOOKUP($BK567,Programma!$F$3:$J$1101,5,0),"")</f>
        <v/>
      </c>
      <c r="BP567" s="448" t="str">
        <f>_xlfn.IFNA(VLOOKUP($BK567,Programma!$F$3:$K$1101,6,0),"")</f>
        <v/>
      </c>
      <c r="BQ567" s="448" t="str">
        <f>_xlfn.IFNA(VLOOKUP($BK567,Programma!$F$3:$L$1101,7,0),"")</f>
        <v/>
      </c>
      <c r="BR567" s="448" t="str">
        <f>_xlfn.IFNA(VLOOKUP($BK567,Programma!$F$3:$M$1101,8,0),"")</f>
        <v/>
      </c>
      <c r="BS567" s="448" t="str">
        <f>_xlfn.IFNA(VLOOKUP($BK567,Programma!$F$3:$N$1101,9,0),"")</f>
        <v/>
      </c>
      <c r="BT567" s="448" t="str">
        <f>_xlfn.IFNA(VLOOKUP($BK567,Programma!$F$3:$O$1101,10,0),"")</f>
        <v/>
      </c>
      <c r="BU567" s="448" t="str">
        <f>_xlfn.IFNA(VLOOKUP($BK567,Programma!$F$3:$P$1101,11,0),"")</f>
        <v/>
      </c>
      <c r="BV567" s="448" t="str">
        <f>_xlfn.IFNA(VLOOKUP($BK567,Programma!$F$3:$Q$1101,12,0),"")</f>
        <v/>
      </c>
      <c r="BW567" s="448" t="str">
        <f>_xlfn.IFNA(VLOOKUP($BK567,Programma!$F$3:$R$1101,13,0),"")</f>
        <v/>
      </c>
      <c r="BX567" s="448" t="str">
        <f>_xlfn.IFNA(VLOOKUP($BK567,Programma!$F$3:$S$1101,14,0),"")</f>
        <v/>
      </c>
      <c r="BY567" s="448" t="str">
        <f>_xlfn.IFNA(VLOOKUP($BK567,Programma!$F$3:$T$1101,15,0),"")</f>
        <v/>
      </c>
      <c r="BZ567" s="448" t="str">
        <f>_xlfn.IFNA(VLOOKUP($BK567,Programma!$F$3:$U$1101,16,0),"")</f>
        <v/>
      </c>
      <c r="CA567" s="448" t="str">
        <f>_xlfn.IFNA(VLOOKUP($BK567,Programma!$F$3:$V$1101,17,0),"")</f>
        <v/>
      </c>
      <c r="CB567" s="448" t="str">
        <f>_xlfn.IFNA(VLOOKUP($BK567,Programma!$F$3:$W$1101,18,0),"")</f>
        <v/>
      </c>
      <c r="CC567" s="448" t="str">
        <f>_xlfn.IFNA(VLOOKUP($BK567,Programma!$F$3:$X$1101,19,0),"")</f>
        <v/>
      </c>
      <c r="CD567" s="448" t="str">
        <f>_xlfn.IFNA(VLOOKUP($BK567,Programma!$F$3:$Y$1101,20,0),"")</f>
        <v/>
      </c>
    </row>
    <row r="568" spans="1:82" ht="15" customHeight="1">
      <c r="A568" s="327">
        <v>20</v>
      </c>
      <c r="B568" s="435" t="str">
        <f>VLOOKUP(Ruimtestaat[[#This Row],[Code]],Locaties[[Code]:[Locatie]],2,FALSE)</f>
        <v>IKC de Saffier (extra lokaal gemeente)</v>
      </c>
      <c r="C568" s="435" t="str">
        <f>VLOOKUP(Ruimtestaat[[#This Row],[Code]],Locaties[[#All],[Code]:[Adres]],4,FALSE)</f>
        <v>Electrablauw 5</v>
      </c>
      <c r="D568" s="435" t="str">
        <f>VLOOKUP(Ruimtestaat[[#This Row],[Code]],Locaties[[#All],[Code]:[Postcode]],5,FALSE)</f>
        <v>2718 JT</v>
      </c>
      <c r="E568" s="435" t="str">
        <f>VLOOKUP(Ruimtestaat[[#This Row],[Code]],Locaties[#All],6,FALSE)</f>
        <v>Zoetermeer</v>
      </c>
      <c r="F568" s="450"/>
      <c r="G568" s="330" t="s">
        <v>1678</v>
      </c>
      <c r="H568" s="330" t="s">
        <v>1692</v>
      </c>
      <c r="I568" s="450" t="s">
        <v>1940</v>
      </c>
      <c r="J568" s="330">
        <v>18</v>
      </c>
      <c r="K568" s="450" t="str">
        <f>VLOOKUP(Ruimtestaat[[#This Row],[Ruimte code]],Ruimtegroepen[[#All],[Code]:[Ruimte omschrijving]],2,FALSE)</f>
        <v>Gymzaal</v>
      </c>
      <c r="L568" s="330" t="s">
        <v>102</v>
      </c>
      <c r="M568" s="437" t="s">
        <v>120</v>
      </c>
      <c r="N568" s="439">
        <v>71.8</v>
      </c>
      <c r="O568" s="439"/>
      <c r="P568" s="439"/>
      <c r="Q568" s="439"/>
      <c r="R568" s="440" t="str">
        <f>VLOOKUP(Ruimtestaat[[#This Row],[Ruimte code]],Ruimtegroepen[],4,FALSE)</f>
        <v>Sp</v>
      </c>
      <c r="S568" s="434">
        <v>40</v>
      </c>
      <c r="T568" s="434" t="s">
        <v>2</v>
      </c>
      <c r="U568" s="453">
        <f>IF(S568&gt;0,IF(RIGHT(Ruimtestaat[[#This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8" s="434">
        <f>IF(U568&gt;0,VLOOKUP($J568,Ruimtegroepen[],3,FALSE)*VLOOKUP($L568,Vloersoorten[],3,FALSE)*VLOOKUP($T568,Frequenties[],3,FALSE)*VLOOKUP($A568,Locaties[],3,FALSE),0)</f>
        <v>0</v>
      </c>
      <c r="W568" s="434">
        <f>Ruimtestaat[[#This Row],[Uitvoeringen werkdagen]]*Ruimtestaat[[#This Row],[Oppervlak (netto)]]</f>
        <v>14360</v>
      </c>
      <c r="X568" s="441">
        <f>IF(V568&gt;0,Ruimtestaat[[#This Row],[Prest. (m2 /jaar) werkdagen]]/Ruimtestaat[[#This Row],[Norm (m2/uur) werkdagen]],0)</f>
        <v>0</v>
      </c>
      <c r="Y568" s="442">
        <f>Ruimtestaat[[#This Row],[Uitvoeringen werkdagen]]*Ruimtestaat[[#This Row],[Gedeeltelijk]]</f>
        <v>0</v>
      </c>
      <c r="Z568" s="443" t="e">
        <f>IF(U568&gt;0,Ruimtestaat[[#This Row],[Prest. (m2 / jaar) werkdagen gedeeld]]/Ruimtestaat[[#This Row],[Norm (m2/uur) werkdagen]],0)</f>
        <v>#DIV/0!</v>
      </c>
      <c r="AA568" s="441" t="e">
        <f>Ruimtestaat[[#This Row],[uren / jaar werkdagen gedeeld]]*Tariefsopbouw!$E$35</f>
        <v>#DIV/0!</v>
      </c>
      <c r="AB568" s="441">
        <f>Ruimtestaat[[#This Row],[Uitvoeringen werkdagen]]*Ruimtestaat[[#This Row],[BSO]]</f>
        <v>0</v>
      </c>
      <c r="AC568" s="443" t="e">
        <f>IF(U568&gt;0,Ruimtestaat[[#This Row],[Prest. (m2 / jaar) werkdagen BSO]]/Ruimtestaat[[#This Row],[Norm (m2/uur) werkdagen]],0)</f>
        <v>#DIV/0!</v>
      </c>
      <c r="AD568" s="443" t="e">
        <f>Ruimtestaat[[#This Row],[uren / jaar werkdagen BSO]]*Tariefsopbouw!$E$35</f>
        <v>#DIV/0!</v>
      </c>
      <c r="AE568" s="444">
        <f>Ruimtestaat[[#This Row],[uren / jaar werkdagen]]*Tariefsopbouw!$E$35</f>
        <v>0</v>
      </c>
      <c r="AF568" s="454"/>
      <c r="AG568" s="455">
        <f>IF(Ruimtestaat[[#This Row],[Frequentie weekend]]&gt;0,VALUE(LEFT(AF568,1))*S568,0)</f>
        <v>0</v>
      </c>
      <c r="AH568" s="455">
        <f>IF($AG568&gt;0,VLOOKUP($J568,Ruimtegroepen[],3,FALSE)*VLOOKUP($L568,Vloersoorten[],3,FALSE)*VLOOKUP($AF568,Frequenties[],3,FALSE)*VLOOKUP(#REF!,Locaties[],3,FALSE),0)</f>
        <v>0</v>
      </c>
      <c r="AI568" s="434">
        <f>Ruimtestaat[[#This Row],[Uitvoeringen weekend]]*Ruimtestaat[[#This Row],[Oppervlak (netto)]]</f>
        <v>0</v>
      </c>
      <c r="AJ568" s="434">
        <f>IF(AH568&gt;0,Ruimtestaat[[#This Row],[Prest. (m2 /jaar) weekend]]/Ruimtestaat[[#This Row],[Norm (m2/uur) weekend]],0)</f>
        <v>0</v>
      </c>
      <c r="AK568" s="444">
        <f>Ruimtestaat[[#This Row],[uren / jaar weekend]]*Tariefsopbouw!$D$40</f>
        <v>0</v>
      </c>
      <c r="AL568" s="441">
        <f>Ruimtestaat[[#This Row],[Prest. (m2 /jaar) weekend]]+Ruimtestaat[[#This Row],[Prest. (m2 /jaar) werkdagen]]</f>
        <v>14360</v>
      </c>
      <c r="AM568" s="441">
        <f>Ruimtestaat[[#This Row],[uren / jaar weekend]]+Ruimtestaat[[#This Row],[uren / jaar werkdagen]]</f>
        <v>0</v>
      </c>
      <c r="AN568" s="446">
        <f>Ruimtestaat[[#This Row],[kosten / jaar weekend]]+Ruimtestaat[[#This Row],[kosten / jaar werkdagen]]</f>
        <v>0</v>
      </c>
      <c r="AO568" s="446"/>
      <c r="AP568" s="446" t="str">
        <f>IF(Ruimtestaat[[#This Row],[Frequentie werkdagen]]="","",_xlfn.CONCAT(Ruimtestaat[[#This Row],[Ruimte code]],"-",Ruimtestaat[[#This Row],[Frequentie werkdagen]]," ",Ruimtestaat[[#This Row],[Vloer code]]))</f>
        <v>18-5w P</v>
      </c>
      <c r="AQ568" s="448" t="str">
        <f>_xlfn.IFNA(VLOOKUP($AP568,Programma!$F$3:$G$1101,2,0),"")</f>
        <v>_</v>
      </c>
      <c r="AR568" s="448" t="str">
        <f>_xlfn.IFNA(VLOOKUP($AP568,Programma!$F$3:$H$1101,3,0),"")</f>
        <v>_</v>
      </c>
      <c r="AS568" s="448" t="str">
        <f>_xlfn.IFNA(VLOOKUP($AP568,Programma!$F$3:$I$1101,4,0),"")</f>
        <v>4w</v>
      </c>
      <c r="AT568" s="448" t="str">
        <f>_xlfn.IFNA(VLOOKUP($AP568,Programma!$F$3:$J$1101,5,0),"")</f>
        <v>1w</v>
      </c>
      <c r="AU568" s="448" t="str">
        <f>_xlfn.IFNA(VLOOKUP($AP568,Programma!$F$3:$K$1101,6,0),"")</f>
        <v>4j</v>
      </c>
      <c r="AV568" s="448" t="str">
        <f>_xlfn.IFNA(VLOOKUP($AP568,Programma!$F$3:$L$1101,7,0),"")</f>
        <v>_</v>
      </c>
      <c r="AW568" s="448" t="str">
        <f>_xlfn.IFNA(VLOOKUP($AP568,Programma!$F$3:$M$1101,8,0),"")</f>
        <v>_</v>
      </c>
      <c r="AX568" s="448" t="str">
        <f>_xlfn.IFNA(VLOOKUP($AP568,Programma!$F$3:$N$1101,9,0),"")</f>
        <v>_</v>
      </c>
      <c r="AY568" s="448" t="str">
        <f>_xlfn.IFNA(VLOOKUP($AP568,Programma!$F$3:$O$1101,10,0),"")</f>
        <v>5w</v>
      </c>
      <c r="AZ568" s="448" t="str">
        <f>_xlfn.IFNA(VLOOKUP($AP568,Programma!$F$3:$P$1101,11,0),"")</f>
        <v>5w</v>
      </c>
      <c r="BA568" s="448" t="str">
        <f>_xlfn.IFNA(VLOOKUP($AP568,Programma!$F$3:$Q$1101,12,0),"")</f>
        <v>5w</v>
      </c>
      <c r="BB568" s="448" t="str">
        <f>_xlfn.IFNA(VLOOKUP($AP568,Programma!$F$3:$R$1101,13,0),"")</f>
        <v>5w</v>
      </c>
      <c r="BC568" s="448" t="str">
        <f>_xlfn.IFNA(VLOOKUP($AP568,Programma!$F$3:$S$1101,14,0),"")</f>
        <v>1m</v>
      </c>
      <c r="BD568" s="448" t="str">
        <f>_xlfn.IFNA(VLOOKUP($AP568,Programma!$F$3:$T$1101,15,0),"")</f>
        <v>2j</v>
      </c>
      <c r="BE568" s="448" t="str">
        <f>_xlfn.IFNA(VLOOKUP($AP568,Programma!$F$3:$U$1101,16,0),"")</f>
        <v>1j</v>
      </c>
      <c r="BF568" s="448" t="str">
        <f>_xlfn.IFNA(VLOOKUP($AP568,Programma!$F$3:$V$1101,17,0),"")</f>
        <v>_</v>
      </c>
      <c r="BG568" s="448" t="str">
        <f>_xlfn.IFNA(VLOOKUP($AP568,Programma!$F$3:$W$1101,18,0),"")</f>
        <v>_</v>
      </c>
      <c r="BH568" s="448" t="str">
        <f>_xlfn.IFNA(VLOOKUP($AP568,Programma!$F$3:$X$1101,19,0),"")</f>
        <v>_</v>
      </c>
      <c r="BI568" s="448" t="str">
        <f>_xlfn.IFNA(VLOOKUP($AP568,Programma!$F$3:$Y$1101,20,0),"")</f>
        <v>_</v>
      </c>
      <c r="BJ568" s="449"/>
      <c r="BK568" s="446" t="str">
        <f>IF(Ruimtestaat[[#This Row],[Frequentie weekend]]="","",_xlfn.CONCAT(Ruimtestaat[[#This Row],[Ruimte code]],"-",Ruimtestaat[[#This Row],[Frequentie weekend]]," ",Ruimtestaat[[#This Row],[Vloer code]]))</f>
        <v/>
      </c>
      <c r="BL568" s="448" t="str">
        <f>_xlfn.IFNA(VLOOKUP($BK568,Programma!$F$3:$G$1101,2,0),"")</f>
        <v/>
      </c>
      <c r="BM568" s="448" t="str">
        <f>_xlfn.IFNA(VLOOKUP($BK568,Programma!$F$3:$H$1101,3,0),"")</f>
        <v/>
      </c>
      <c r="BN568" s="448" t="str">
        <f>_xlfn.IFNA(VLOOKUP($BK568,Programma!$F$3:$I$1101,4,0),"")</f>
        <v/>
      </c>
      <c r="BO568" s="448" t="str">
        <f>_xlfn.IFNA(VLOOKUP($BK568,Programma!$F$3:$J$1101,5,0),"")</f>
        <v/>
      </c>
      <c r="BP568" s="448" t="str">
        <f>_xlfn.IFNA(VLOOKUP($BK568,Programma!$F$3:$K$1101,6,0),"")</f>
        <v/>
      </c>
      <c r="BQ568" s="448" t="str">
        <f>_xlfn.IFNA(VLOOKUP($BK568,Programma!$F$3:$L$1101,7,0),"")</f>
        <v/>
      </c>
      <c r="BR568" s="448" t="str">
        <f>_xlfn.IFNA(VLOOKUP($BK568,Programma!$F$3:$M$1101,8,0),"")</f>
        <v/>
      </c>
      <c r="BS568" s="448" t="str">
        <f>_xlfn.IFNA(VLOOKUP($BK568,Programma!$F$3:$N$1101,9,0),"")</f>
        <v/>
      </c>
      <c r="BT568" s="448" t="str">
        <f>_xlfn.IFNA(VLOOKUP($BK568,Programma!$F$3:$O$1101,10,0),"")</f>
        <v/>
      </c>
      <c r="BU568" s="448" t="str">
        <f>_xlfn.IFNA(VLOOKUP($BK568,Programma!$F$3:$P$1101,11,0),"")</f>
        <v/>
      </c>
      <c r="BV568" s="448" t="str">
        <f>_xlfn.IFNA(VLOOKUP($BK568,Programma!$F$3:$Q$1101,12,0),"")</f>
        <v/>
      </c>
      <c r="BW568" s="448" t="str">
        <f>_xlfn.IFNA(VLOOKUP($BK568,Programma!$F$3:$R$1101,13,0),"")</f>
        <v/>
      </c>
      <c r="BX568" s="448" t="str">
        <f>_xlfn.IFNA(VLOOKUP($BK568,Programma!$F$3:$S$1101,14,0),"")</f>
        <v/>
      </c>
      <c r="BY568" s="448" t="str">
        <f>_xlfn.IFNA(VLOOKUP($BK568,Programma!$F$3:$T$1101,15,0),"")</f>
        <v/>
      </c>
      <c r="BZ568" s="448" t="str">
        <f>_xlfn.IFNA(VLOOKUP($BK568,Programma!$F$3:$U$1101,16,0),"")</f>
        <v/>
      </c>
      <c r="CA568" s="448" t="str">
        <f>_xlfn.IFNA(VLOOKUP($BK568,Programma!$F$3:$V$1101,17,0),"")</f>
        <v/>
      </c>
      <c r="CB568" s="448" t="str">
        <f>_xlfn.IFNA(VLOOKUP($BK568,Programma!$F$3:$W$1101,18,0),"")</f>
        <v/>
      </c>
      <c r="CC568" s="448" t="str">
        <f>_xlfn.IFNA(VLOOKUP($BK568,Programma!$F$3:$X$1101,19,0),"")</f>
        <v/>
      </c>
      <c r="CD568" s="448" t="str">
        <f>_xlfn.IFNA(VLOOKUP($BK568,Programma!$F$3:$Y$1101,20,0),"")</f>
        <v/>
      </c>
    </row>
    <row r="569" spans="1:82" ht="15" customHeight="1">
      <c r="A569" s="327">
        <v>20</v>
      </c>
      <c r="B569" s="435" t="str">
        <f>VLOOKUP(Ruimtestaat[[#This Row],[Code]],Locaties[[Code]:[Locatie]],2,FALSE)</f>
        <v>IKC de Saffier (extra lokaal gemeente)</v>
      </c>
      <c r="C569" s="435" t="str">
        <f>VLOOKUP(Ruimtestaat[[#This Row],[Code]],Locaties[[#All],[Code]:[Adres]],4,FALSE)</f>
        <v>Electrablauw 5</v>
      </c>
      <c r="D569" s="435" t="str">
        <f>VLOOKUP(Ruimtestaat[[#This Row],[Code]],Locaties[[#All],[Code]:[Postcode]],5,FALSE)</f>
        <v>2718 JT</v>
      </c>
      <c r="E569" s="435" t="str">
        <f>VLOOKUP(Ruimtestaat[[#This Row],[Code]],Locaties[#All],6,FALSE)</f>
        <v>Zoetermeer</v>
      </c>
      <c r="F569" s="450"/>
      <c r="G569" s="330" t="s">
        <v>1678</v>
      </c>
      <c r="H569" s="330" t="s">
        <v>1693</v>
      </c>
      <c r="I569" s="450" t="s">
        <v>1724</v>
      </c>
      <c r="J569" s="330">
        <v>20</v>
      </c>
      <c r="K569" s="450" t="str">
        <f>VLOOKUP(Ruimtestaat[[#This Row],[Ruimte code]],Ruimtegroepen[[#All],[Code]:[Ruimte omschrijving]],2,FALSE)</f>
        <v>Niet in Onderhoud</v>
      </c>
      <c r="L569" s="434" t="s">
        <v>100</v>
      </c>
      <c r="M569" s="437" t="s">
        <v>1759</v>
      </c>
      <c r="N569" s="439"/>
      <c r="O569" s="439">
        <v>8.6999999999999993</v>
      </c>
      <c r="P569" s="439"/>
      <c r="Q569" s="439"/>
      <c r="R569" s="440">
        <f>VLOOKUP(Ruimtestaat[[#This Row],[Ruimte code]],Ruimtegroepen[],4,FALSE)</f>
        <v>0</v>
      </c>
      <c r="S569" s="434"/>
      <c r="T569" s="434"/>
      <c r="U569" s="453">
        <f>IF(S569&gt;0,IF(RIGHT(Ruimtestaat[[#This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69" s="434">
        <f>IF(U569&gt;0,VLOOKUP($J569,Ruimtegroepen[],3,FALSE)*VLOOKUP($L569,Vloersoorten[],3,FALSE)*VLOOKUP($T569,Frequenties[],3,FALSE)*VLOOKUP($A569,Locaties[],3,FALSE),0)</f>
        <v>0</v>
      </c>
      <c r="W569" s="434">
        <f>Ruimtestaat[[#This Row],[Uitvoeringen werkdagen]]*Ruimtestaat[[#This Row],[Oppervlak (netto)]]</f>
        <v>0</v>
      </c>
      <c r="X569" s="441">
        <f>IF(V569&gt;0,Ruimtestaat[[#This Row],[Prest. (m2 /jaar) werkdagen]]/Ruimtestaat[[#This Row],[Norm (m2/uur) werkdagen]],0)</f>
        <v>0</v>
      </c>
      <c r="Y569" s="442">
        <f>Ruimtestaat[[#This Row],[Uitvoeringen werkdagen]]*Ruimtestaat[[#This Row],[Gedeeltelijk]]</f>
        <v>0</v>
      </c>
      <c r="Z569" s="443">
        <f>IF(U569&gt;0,Ruimtestaat[[#This Row],[Prest. (m2 / jaar) werkdagen gedeeld]]/Ruimtestaat[[#This Row],[Norm (m2/uur) werkdagen]],0)</f>
        <v>0</v>
      </c>
      <c r="AA569" s="441">
        <f>Ruimtestaat[[#This Row],[uren / jaar werkdagen gedeeld]]*Tariefsopbouw!$E$35</f>
        <v>0</v>
      </c>
      <c r="AB569" s="441">
        <f>Ruimtestaat[[#This Row],[Uitvoeringen werkdagen]]*Ruimtestaat[[#This Row],[BSO]]</f>
        <v>0</v>
      </c>
      <c r="AC569" s="443">
        <f>IF(U569&gt;0,Ruimtestaat[[#This Row],[Prest. (m2 / jaar) werkdagen BSO]]/Ruimtestaat[[#This Row],[Norm (m2/uur) werkdagen]],0)</f>
        <v>0</v>
      </c>
      <c r="AD569" s="443">
        <f>Ruimtestaat[[#This Row],[uren / jaar werkdagen BSO]]*Tariefsopbouw!$E$35</f>
        <v>0</v>
      </c>
      <c r="AE569" s="444">
        <f>Ruimtestaat[[#This Row],[uren / jaar werkdagen]]*Tariefsopbouw!$E$35</f>
        <v>0</v>
      </c>
      <c r="AF569" s="454"/>
      <c r="AG569" s="455">
        <f>IF(Ruimtestaat[[#This Row],[Frequentie weekend]]&gt;0,VALUE(LEFT(AF569,1))*S569,0)</f>
        <v>0</v>
      </c>
      <c r="AH569" s="455">
        <f>IF($AG569&gt;0,VLOOKUP($J569,Ruimtegroepen[],3,FALSE)*VLOOKUP($L569,Vloersoorten[],3,FALSE)*VLOOKUP($AF569,Frequenties[],3,FALSE)*VLOOKUP(#REF!,Locaties[],3,FALSE),0)</f>
        <v>0</v>
      </c>
      <c r="AI569" s="434">
        <f>Ruimtestaat[[#This Row],[Uitvoeringen weekend]]*Ruimtestaat[[#This Row],[Oppervlak (netto)]]</f>
        <v>0</v>
      </c>
      <c r="AJ569" s="434">
        <f>IF(AH569&gt;0,Ruimtestaat[[#This Row],[Prest. (m2 /jaar) weekend]]/Ruimtestaat[[#This Row],[Norm (m2/uur) weekend]],0)</f>
        <v>0</v>
      </c>
      <c r="AK569" s="444">
        <f>Ruimtestaat[[#This Row],[uren / jaar weekend]]*Tariefsopbouw!$D$40</f>
        <v>0</v>
      </c>
      <c r="AL569" s="441">
        <f>Ruimtestaat[[#This Row],[Prest. (m2 /jaar) weekend]]+Ruimtestaat[[#This Row],[Prest. (m2 /jaar) werkdagen]]</f>
        <v>0</v>
      </c>
      <c r="AM569" s="441">
        <f>Ruimtestaat[[#This Row],[uren / jaar weekend]]+Ruimtestaat[[#This Row],[uren / jaar werkdagen]]</f>
        <v>0</v>
      </c>
      <c r="AN569" s="446">
        <f>Ruimtestaat[[#This Row],[kosten / jaar weekend]]+Ruimtestaat[[#This Row],[kosten / jaar werkdagen]]</f>
        <v>0</v>
      </c>
      <c r="AO569" s="446"/>
      <c r="AP569" s="446" t="str">
        <f>IF(Ruimtestaat[[#This Row],[Frequentie werkdagen]]="","",_xlfn.CONCAT(Ruimtestaat[[#This Row],[Ruimte code]],"-",Ruimtestaat[[#This Row],[Frequentie werkdagen]]," ",Ruimtestaat[[#This Row],[Vloer code]]))</f>
        <v/>
      </c>
      <c r="AQ569" s="448" t="str">
        <f>_xlfn.IFNA(VLOOKUP($AP569,Programma!$F$3:$G$1101,2,0),"")</f>
        <v/>
      </c>
      <c r="AR569" s="448" t="str">
        <f>_xlfn.IFNA(VLOOKUP($AP569,Programma!$F$3:$H$1101,3,0),"")</f>
        <v/>
      </c>
      <c r="AS569" s="448" t="str">
        <f>_xlfn.IFNA(VLOOKUP($AP569,Programma!$F$3:$I$1101,4,0),"")</f>
        <v/>
      </c>
      <c r="AT569" s="448" t="str">
        <f>_xlfn.IFNA(VLOOKUP($AP569,Programma!$F$3:$J$1101,5,0),"")</f>
        <v/>
      </c>
      <c r="AU569" s="448" t="str">
        <f>_xlfn.IFNA(VLOOKUP($AP569,Programma!$F$3:$K$1101,6,0),"")</f>
        <v/>
      </c>
      <c r="AV569" s="448" t="str">
        <f>_xlfn.IFNA(VLOOKUP($AP569,Programma!$F$3:$L$1101,7,0),"")</f>
        <v/>
      </c>
      <c r="AW569" s="448" t="str">
        <f>_xlfn.IFNA(VLOOKUP($AP569,Programma!$F$3:$M$1101,8,0),"")</f>
        <v/>
      </c>
      <c r="AX569" s="448" t="str">
        <f>_xlfn.IFNA(VLOOKUP($AP569,Programma!$F$3:$N$1101,9,0),"")</f>
        <v/>
      </c>
      <c r="AY569" s="448" t="str">
        <f>_xlfn.IFNA(VLOOKUP($AP569,Programma!$F$3:$O$1101,10,0),"")</f>
        <v/>
      </c>
      <c r="AZ569" s="448" t="str">
        <f>_xlfn.IFNA(VLOOKUP($AP569,Programma!$F$3:$P$1101,11,0),"")</f>
        <v/>
      </c>
      <c r="BA569" s="448" t="str">
        <f>_xlfn.IFNA(VLOOKUP($AP569,Programma!$F$3:$Q$1101,12,0),"")</f>
        <v/>
      </c>
      <c r="BB569" s="448" t="str">
        <f>_xlfn.IFNA(VLOOKUP($AP569,Programma!$F$3:$R$1101,13,0),"")</f>
        <v/>
      </c>
      <c r="BC569" s="448" t="str">
        <f>_xlfn.IFNA(VLOOKUP($AP569,Programma!$F$3:$S$1101,14,0),"")</f>
        <v/>
      </c>
      <c r="BD569" s="448" t="str">
        <f>_xlfn.IFNA(VLOOKUP($AP569,Programma!$F$3:$T$1101,15,0),"")</f>
        <v/>
      </c>
      <c r="BE569" s="448" t="str">
        <f>_xlfn.IFNA(VLOOKUP($AP569,Programma!$F$3:$U$1101,16,0),"")</f>
        <v/>
      </c>
      <c r="BF569" s="448" t="str">
        <f>_xlfn.IFNA(VLOOKUP($AP569,Programma!$F$3:$V$1101,17,0),"")</f>
        <v/>
      </c>
      <c r="BG569" s="448" t="str">
        <f>_xlfn.IFNA(VLOOKUP($AP569,Programma!$F$3:$W$1101,18,0),"")</f>
        <v/>
      </c>
      <c r="BH569" s="448" t="str">
        <f>_xlfn.IFNA(VLOOKUP($AP569,Programma!$F$3:$X$1101,19,0),"")</f>
        <v/>
      </c>
      <c r="BI569" s="448" t="str">
        <f>_xlfn.IFNA(VLOOKUP($AP569,Programma!$F$3:$Y$1101,20,0),"")</f>
        <v/>
      </c>
      <c r="BJ569" s="449"/>
      <c r="BK569" s="446" t="str">
        <f>IF(Ruimtestaat[[#This Row],[Frequentie weekend]]="","",_xlfn.CONCAT(Ruimtestaat[[#This Row],[Ruimte code]],"-",Ruimtestaat[[#This Row],[Frequentie weekend]]," ",Ruimtestaat[[#This Row],[Vloer code]]))</f>
        <v/>
      </c>
      <c r="BL569" s="448" t="str">
        <f>_xlfn.IFNA(VLOOKUP($BK569,Programma!$F$3:$G$1101,2,0),"")</f>
        <v/>
      </c>
      <c r="BM569" s="448" t="str">
        <f>_xlfn.IFNA(VLOOKUP($BK569,Programma!$F$3:$H$1101,3,0),"")</f>
        <v/>
      </c>
      <c r="BN569" s="448" t="str">
        <f>_xlfn.IFNA(VLOOKUP($BK569,Programma!$F$3:$I$1101,4,0),"")</f>
        <v/>
      </c>
      <c r="BO569" s="448" t="str">
        <f>_xlfn.IFNA(VLOOKUP($BK569,Programma!$F$3:$J$1101,5,0),"")</f>
        <v/>
      </c>
      <c r="BP569" s="448" t="str">
        <f>_xlfn.IFNA(VLOOKUP($BK569,Programma!$F$3:$K$1101,6,0),"")</f>
        <v/>
      </c>
      <c r="BQ569" s="448" t="str">
        <f>_xlfn.IFNA(VLOOKUP($BK569,Programma!$F$3:$L$1101,7,0),"")</f>
        <v/>
      </c>
      <c r="BR569" s="448" t="str">
        <f>_xlfn.IFNA(VLOOKUP($BK569,Programma!$F$3:$M$1101,8,0),"")</f>
        <v/>
      </c>
      <c r="BS569" s="448" t="str">
        <f>_xlfn.IFNA(VLOOKUP($BK569,Programma!$F$3:$N$1101,9,0),"")</f>
        <v/>
      </c>
      <c r="BT569" s="448" t="str">
        <f>_xlfn.IFNA(VLOOKUP($BK569,Programma!$F$3:$O$1101,10,0),"")</f>
        <v/>
      </c>
      <c r="BU569" s="448" t="str">
        <f>_xlfn.IFNA(VLOOKUP($BK569,Programma!$F$3:$P$1101,11,0),"")</f>
        <v/>
      </c>
      <c r="BV569" s="448" t="str">
        <f>_xlfn.IFNA(VLOOKUP($BK569,Programma!$F$3:$Q$1101,12,0),"")</f>
        <v/>
      </c>
      <c r="BW569" s="448" t="str">
        <f>_xlfn.IFNA(VLOOKUP($BK569,Programma!$F$3:$R$1101,13,0),"")</f>
        <v/>
      </c>
      <c r="BX569" s="448" t="str">
        <f>_xlfn.IFNA(VLOOKUP($BK569,Programma!$F$3:$S$1101,14,0),"")</f>
        <v/>
      </c>
      <c r="BY569" s="448" t="str">
        <f>_xlfn.IFNA(VLOOKUP($BK569,Programma!$F$3:$T$1101,15,0),"")</f>
        <v/>
      </c>
      <c r="BZ569" s="448" t="str">
        <f>_xlfn.IFNA(VLOOKUP($BK569,Programma!$F$3:$U$1101,16,0),"")</f>
        <v/>
      </c>
      <c r="CA569" s="448" t="str">
        <f>_xlfn.IFNA(VLOOKUP($BK569,Programma!$F$3:$V$1101,17,0),"")</f>
        <v/>
      </c>
      <c r="CB569" s="448" t="str">
        <f>_xlfn.IFNA(VLOOKUP($BK569,Programma!$F$3:$W$1101,18,0),"")</f>
        <v/>
      </c>
      <c r="CC569" s="448" t="str">
        <f>_xlfn.IFNA(VLOOKUP($BK569,Programma!$F$3:$X$1101,19,0),"")</f>
        <v/>
      </c>
      <c r="CD569" s="448" t="str">
        <f>_xlfn.IFNA(VLOOKUP($BK569,Programma!$F$3:$Y$1101,20,0),"")</f>
        <v/>
      </c>
    </row>
    <row r="570" spans="1:82" ht="15" customHeight="1">
      <c r="A570" s="327">
        <v>20</v>
      </c>
      <c r="B570" s="435" t="str">
        <f>VLOOKUP(Ruimtestaat[[#This Row],[Code]],Locaties[[Code]:[Locatie]],2,FALSE)</f>
        <v>IKC de Saffier (extra lokaal gemeente)</v>
      </c>
      <c r="C570" s="435" t="str">
        <f>VLOOKUP(Ruimtestaat[[#This Row],[Code]],Locaties[[#All],[Code]:[Adres]],4,FALSE)</f>
        <v>Electrablauw 5</v>
      </c>
      <c r="D570" s="435" t="str">
        <f>VLOOKUP(Ruimtestaat[[#This Row],[Code]],Locaties[[#All],[Code]:[Postcode]],5,FALSE)</f>
        <v>2718 JT</v>
      </c>
      <c r="E570" s="435" t="str">
        <f>VLOOKUP(Ruimtestaat[[#This Row],[Code]],Locaties[#All],6,FALSE)</f>
        <v>Zoetermeer</v>
      </c>
      <c r="F570" s="450"/>
      <c r="G570" s="330" t="s">
        <v>1678</v>
      </c>
      <c r="H570" s="330" t="s">
        <v>1699</v>
      </c>
      <c r="I570" s="450" t="s">
        <v>1724</v>
      </c>
      <c r="J570" s="330">
        <v>20</v>
      </c>
      <c r="K570" s="450" t="str">
        <f>VLOOKUP(Ruimtestaat[[#This Row],[Ruimte code]],Ruimtegroepen[[#All],[Code]:[Ruimte omschrijving]],2,FALSE)</f>
        <v>Niet in Onderhoud</v>
      </c>
      <c r="L570" s="434" t="s">
        <v>100</v>
      </c>
      <c r="M570" s="437" t="s">
        <v>1759</v>
      </c>
      <c r="N570" s="439"/>
      <c r="O570" s="439">
        <v>9.3000000000000007</v>
      </c>
      <c r="P570" s="439"/>
      <c r="Q570" s="439"/>
      <c r="R570" s="440">
        <f>VLOOKUP(Ruimtestaat[[#This Row],[Ruimte code]],Ruimtegroepen[],4,FALSE)</f>
        <v>0</v>
      </c>
      <c r="S570" s="434"/>
      <c r="T570" s="434"/>
      <c r="U570" s="453">
        <f>IF(S570&gt;0,IF(RIGHT(Ruimtestaat[[#This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70" s="434">
        <f>IF(U570&gt;0,VLOOKUP($J570,Ruimtegroepen[],3,FALSE)*VLOOKUP($L570,Vloersoorten[],3,FALSE)*VLOOKUP($T570,Frequenties[],3,FALSE)*VLOOKUP($A570,Locaties[],3,FALSE),0)</f>
        <v>0</v>
      </c>
      <c r="W570" s="434">
        <f>Ruimtestaat[[#This Row],[Uitvoeringen werkdagen]]*Ruimtestaat[[#This Row],[Oppervlak (netto)]]</f>
        <v>0</v>
      </c>
      <c r="X570" s="441">
        <f>IF(V570&gt;0,Ruimtestaat[[#This Row],[Prest. (m2 /jaar) werkdagen]]/Ruimtestaat[[#This Row],[Norm (m2/uur) werkdagen]],0)</f>
        <v>0</v>
      </c>
      <c r="Y570" s="442">
        <f>Ruimtestaat[[#This Row],[Uitvoeringen werkdagen]]*Ruimtestaat[[#This Row],[Gedeeltelijk]]</f>
        <v>0</v>
      </c>
      <c r="Z570" s="443">
        <f>IF(U570&gt;0,Ruimtestaat[[#This Row],[Prest. (m2 / jaar) werkdagen gedeeld]]/Ruimtestaat[[#This Row],[Norm (m2/uur) werkdagen]],0)</f>
        <v>0</v>
      </c>
      <c r="AA570" s="441">
        <f>Ruimtestaat[[#This Row],[uren / jaar werkdagen gedeeld]]*Tariefsopbouw!$E$35</f>
        <v>0</v>
      </c>
      <c r="AB570" s="441">
        <f>Ruimtestaat[[#This Row],[Uitvoeringen werkdagen]]*Ruimtestaat[[#This Row],[BSO]]</f>
        <v>0</v>
      </c>
      <c r="AC570" s="443">
        <f>IF(U570&gt;0,Ruimtestaat[[#This Row],[Prest. (m2 / jaar) werkdagen BSO]]/Ruimtestaat[[#This Row],[Norm (m2/uur) werkdagen]],0)</f>
        <v>0</v>
      </c>
      <c r="AD570" s="443">
        <f>Ruimtestaat[[#This Row],[uren / jaar werkdagen BSO]]*Tariefsopbouw!$E$35</f>
        <v>0</v>
      </c>
      <c r="AE570" s="444">
        <f>Ruimtestaat[[#This Row],[uren / jaar werkdagen]]*Tariefsopbouw!$E$35</f>
        <v>0</v>
      </c>
      <c r="AF570" s="454"/>
      <c r="AG570" s="455">
        <f>IF(Ruimtestaat[[#This Row],[Frequentie weekend]]&gt;0,VALUE(LEFT(AF570,1))*S570,0)</f>
        <v>0</v>
      </c>
      <c r="AH570" s="455">
        <f>IF($AG570&gt;0,VLOOKUP($J570,Ruimtegroepen[],3,FALSE)*VLOOKUP($L570,Vloersoorten[],3,FALSE)*VLOOKUP($AF570,Frequenties[],3,FALSE)*VLOOKUP(#REF!,Locaties[],3,FALSE),0)</f>
        <v>0</v>
      </c>
      <c r="AI570" s="434">
        <f>Ruimtestaat[[#This Row],[Uitvoeringen weekend]]*Ruimtestaat[[#This Row],[Oppervlak (netto)]]</f>
        <v>0</v>
      </c>
      <c r="AJ570" s="434">
        <f>IF(AH570&gt;0,Ruimtestaat[[#This Row],[Prest. (m2 /jaar) weekend]]/Ruimtestaat[[#This Row],[Norm (m2/uur) weekend]],0)</f>
        <v>0</v>
      </c>
      <c r="AK570" s="444">
        <f>Ruimtestaat[[#This Row],[uren / jaar weekend]]*Tariefsopbouw!$D$40</f>
        <v>0</v>
      </c>
      <c r="AL570" s="441">
        <f>Ruimtestaat[[#This Row],[Prest. (m2 /jaar) weekend]]+Ruimtestaat[[#This Row],[Prest. (m2 /jaar) werkdagen]]</f>
        <v>0</v>
      </c>
      <c r="AM570" s="441">
        <f>Ruimtestaat[[#This Row],[uren / jaar weekend]]+Ruimtestaat[[#This Row],[uren / jaar werkdagen]]</f>
        <v>0</v>
      </c>
      <c r="AN570" s="446">
        <f>Ruimtestaat[[#This Row],[kosten / jaar weekend]]+Ruimtestaat[[#This Row],[kosten / jaar werkdagen]]</f>
        <v>0</v>
      </c>
      <c r="AO570" s="446"/>
      <c r="AP570" s="446" t="str">
        <f>IF(Ruimtestaat[[#This Row],[Frequentie werkdagen]]="","",_xlfn.CONCAT(Ruimtestaat[[#This Row],[Ruimte code]],"-",Ruimtestaat[[#This Row],[Frequentie werkdagen]]," ",Ruimtestaat[[#This Row],[Vloer code]]))</f>
        <v/>
      </c>
      <c r="AQ570" s="448" t="str">
        <f>_xlfn.IFNA(VLOOKUP($AP570,Programma!$F$3:$G$1101,2,0),"")</f>
        <v/>
      </c>
      <c r="AR570" s="448" t="str">
        <f>_xlfn.IFNA(VLOOKUP($AP570,Programma!$F$3:$H$1101,3,0),"")</f>
        <v/>
      </c>
      <c r="AS570" s="448" t="str">
        <f>_xlfn.IFNA(VLOOKUP($AP570,Programma!$F$3:$I$1101,4,0),"")</f>
        <v/>
      </c>
      <c r="AT570" s="448" t="str">
        <f>_xlfn.IFNA(VLOOKUP($AP570,Programma!$F$3:$J$1101,5,0),"")</f>
        <v/>
      </c>
      <c r="AU570" s="448" t="str">
        <f>_xlfn.IFNA(VLOOKUP($AP570,Programma!$F$3:$K$1101,6,0),"")</f>
        <v/>
      </c>
      <c r="AV570" s="448" t="str">
        <f>_xlfn.IFNA(VLOOKUP($AP570,Programma!$F$3:$L$1101,7,0),"")</f>
        <v/>
      </c>
      <c r="AW570" s="448" t="str">
        <f>_xlfn.IFNA(VLOOKUP($AP570,Programma!$F$3:$M$1101,8,0),"")</f>
        <v/>
      </c>
      <c r="AX570" s="448" t="str">
        <f>_xlfn.IFNA(VLOOKUP($AP570,Programma!$F$3:$N$1101,9,0),"")</f>
        <v/>
      </c>
      <c r="AY570" s="448" t="str">
        <f>_xlfn.IFNA(VLOOKUP($AP570,Programma!$F$3:$O$1101,10,0),"")</f>
        <v/>
      </c>
      <c r="AZ570" s="448" t="str">
        <f>_xlfn.IFNA(VLOOKUP($AP570,Programma!$F$3:$P$1101,11,0),"")</f>
        <v/>
      </c>
      <c r="BA570" s="448" t="str">
        <f>_xlfn.IFNA(VLOOKUP($AP570,Programma!$F$3:$Q$1101,12,0),"")</f>
        <v/>
      </c>
      <c r="BB570" s="448" t="str">
        <f>_xlfn.IFNA(VLOOKUP($AP570,Programma!$F$3:$R$1101,13,0),"")</f>
        <v/>
      </c>
      <c r="BC570" s="448" t="str">
        <f>_xlfn.IFNA(VLOOKUP($AP570,Programma!$F$3:$S$1101,14,0),"")</f>
        <v/>
      </c>
      <c r="BD570" s="448" t="str">
        <f>_xlfn.IFNA(VLOOKUP($AP570,Programma!$F$3:$T$1101,15,0),"")</f>
        <v/>
      </c>
      <c r="BE570" s="448" t="str">
        <f>_xlfn.IFNA(VLOOKUP($AP570,Programma!$F$3:$U$1101,16,0),"")</f>
        <v/>
      </c>
      <c r="BF570" s="448" t="str">
        <f>_xlfn.IFNA(VLOOKUP($AP570,Programma!$F$3:$V$1101,17,0),"")</f>
        <v/>
      </c>
      <c r="BG570" s="448" t="str">
        <f>_xlfn.IFNA(VLOOKUP($AP570,Programma!$F$3:$W$1101,18,0),"")</f>
        <v/>
      </c>
      <c r="BH570" s="448" t="str">
        <f>_xlfn.IFNA(VLOOKUP($AP570,Programma!$F$3:$X$1101,19,0),"")</f>
        <v/>
      </c>
      <c r="BI570" s="448" t="str">
        <f>_xlfn.IFNA(VLOOKUP($AP570,Programma!$F$3:$Y$1101,20,0),"")</f>
        <v/>
      </c>
      <c r="BJ570" s="449"/>
      <c r="BK570" s="446" t="str">
        <f>IF(Ruimtestaat[[#This Row],[Frequentie weekend]]="","",_xlfn.CONCAT(Ruimtestaat[[#This Row],[Ruimte code]],"-",Ruimtestaat[[#This Row],[Frequentie weekend]]," ",Ruimtestaat[[#This Row],[Vloer code]]))</f>
        <v/>
      </c>
      <c r="BL570" s="448" t="str">
        <f>_xlfn.IFNA(VLOOKUP($BK570,Programma!$F$3:$G$1101,2,0),"")</f>
        <v/>
      </c>
      <c r="BM570" s="448" t="str">
        <f>_xlfn.IFNA(VLOOKUP($BK570,Programma!$F$3:$H$1101,3,0),"")</f>
        <v/>
      </c>
      <c r="BN570" s="448" t="str">
        <f>_xlfn.IFNA(VLOOKUP($BK570,Programma!$F$3:$I$1101,4,0),"")</f>
        <v/>
      </c>
      <c r="BO570" s="448" t="str">
        <f>_xlfn.IFNA(VLOOKUP($BK570,Programma!$F$3:$J$1101,5,0),"")</f>
        <v/>
      </c>
      <c r="BP570" s="448" t="str">
        <f>_xlfn.IFNA(VLOOKUP($BK570,Programma!$F$3:$K$1101,6,0),"")</f>
        <v/>
      </c>
      <c r="BQ570" s="448" t="str">
        <f>_xlfn.IFNA(VLOOKUP($BK570,Programma!$F$3:$L$1101,7,0),"")</f>
        <v/>
      </c>
      <c r="BR570" s="448" t="str">
        <f>_xlfn.IFNA(VLOOKUP($BK570,Programma!$F$3:$M$1101,8,0),"")</f>
        <v/>
      </c>
      <c r="BS570" s="448" t="str">
        <f>_xlfn.IFNA(VLOOKUP($BK570,Programma!$F$3:$N$1101,9,0),"")</f>
        <v/>
      </c>
      <c r="BT570" s="448" t="str">
        <f>_xlfn.IFNA(VLOOKUP($BK570,Programma!$F$3:$O$1101,10,0),"")</f>
        <v/>
      </c>
      <c r="BU570" s="448" t="str">
        <f>_xlfn.IFNA(VLOOKUP($BK570,Programma!$F$3:$P$1101,11,0),"")</f>
        <v/>
      </c>
      <c r="BV570" s="448" t="str">
        <f>_xlfn.IFNA(VLOOKUP($BK570,Programma!$F$3:$Q$1101,12,0),"")</f>
        <v/>
      </c>
      <c r="BW570" s="448" t="str">
        <f>_xlfn.IFNA(VLOOKUP($BK570,Programma!$F$3:$R$1101,13,0),"")</f>
        <v/>
      </c>
      <c r="BX570" s="448" t="str">
        <f>_xlfn.IFNA(VLOOKUP($BK570,Programma!$F$3:$S$1101,14,0),"")</f>
        <v/>
      </c>
      <c r="BY570" s="448" t="str">
        <f>_xlfn.IFNA(VLOOKUP($BK570,Programma!$F$3:$T$1101,15,0),"")</f>
        <v/>
      </c>
      <c r="BZ570" s="448" t="str">
        <f>_xlfn.IFNA(VLOOKUP($BK570,Programma!$F$3:$U$1101,16,0),"")</f>
        <v/>
      </c>
      <c r="CA570" s="448" t="str">
        <f>_xlfn.IFNA(VLOOKUP($BK570,Programma!$F$3:$V$1101,17,0),"")</f>
        <v/>
      </c>
      <c r="CB570" s="448" t="str">
        <f>_xlfn.IFNA(VLOOKUP($BK570,Programma!$F$3:$W$1101,18,0),"")</f>
        <v/>
      </c>
      <c r="CC570" s="448" t="str">
        <f>_xlfn.IFNA(VLOOKUP($BK570,Programma!$F$3:$X$1101,19,0),"")</f>
        <v/>
      </c>
      <c r="CD570" s="448" t="str">
        <f>_xlfn.IFNA(VLOOKUP($BK570,Programma!$F$3:$Y$1101,20,0),"")</f>
        <v/>
      </c>
    </row>
    <row r="571" spans="1:82" ht="15" customHeight="1">
      <c r="A571" s="327">
        <v>20</v>
      </c>
      <c r="B571" s="435" t="str">
        <f>VLOOKUP(Ruimtestaat[[#This Row],[Code]],Locaties[[Code]:[Locatie]],2,FALSE)</f>
        <v>IKC de Saffier (extra lokaal gemeente)</v>
      </c>
      <c r="C571" s="435" t="str">
        <f>VLOOKUP(Ruimtestaat[[#This Row],[Code]],Locaties[[#All],[Code]:[Adres]],4,FALSE)</f>
        <v>Electrablauw 5</v>
      </c>
      <c r="D571" s="435" t="str">
        <f>VLOOKUP(Ruimtestaat[[#This Row],[Code]],Locaties[[#All],[Code]:[Postcode]],5,FALSE)</f>
        <v>2718 JT</v>
      </c>
      <c r="E571" s="435" t="str">
        <f>VLOOKUP(Ruimtestaat[[#This Row],[Code]],Locaties[#All],6,FALSE)</f>
        <v>Zoetermeer</v>
      </c>
      <c r="F571" s="450"/>
      <c r="G571" s="330" t="s">
        <v>1678</v>
      </c>
      <c r="H571" s="330" t="s">
        <v>1764</v>
      </c>
      <c r="I571" s="450" t="s">
        <v>1941</v>
      </c>
      <c r="J571" s="330">
        <v>20</v>
      </c>
      <c r="K571" s="450" t="str">
        <f>VLOOKUP(Ruimtestaat[[#This Row],[Ruimte code]],Ruimtegroepen[[#All],[Code]:[Ruimte omschrijving]],2,FALSE)</f>
        <v>Niet in Onderhoud</v>
      </c>
      <c r="L571" s="434" t="s">
        <v>100</v>
      </c>
      <c r="M571" s="437" t="s">
        <v>1759</v>
      </c>
      <c r="N571" s="439"/>
      <c r="O571" s="439">
        <v>1</v>
      </c>
      <c r="P571" s="439"/>
      <c r="Q571" s="439"/>
      <c r="R571" s="440">
        <f>VLOOKUP(Ruimtestaat[[#This Row],[Ruimte code]],Ruimtegroepen[],4,FALSE)</f>
        <v>0</v>
      </c>
      <c r="S571" s="434"/>
      <c r="T571" s="434"/>
      <c r="U571" s="453">
        <f>IF(S571&gt;0,IF(RIGHT(Ruimtestaat[[#This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71" s="434">
        <f>IF(U571&gt;0,VLOOKUP($J571,Ruimtegroepen[],3,FALSE)*VLOOKUP($L571,Vloersoorten[],3,FALSE)*VLOOKUP($T571,Frequenties[],3,FALSE)*VLOOKUP($A571,Locaties[],3,FALSE),0)</f>
        <v>0</v>
      </c>
      <c r="W571" s="434">
        <f>Ruimtestaat[[#This Row],[Uitvoeringen werkdagen]]*Ruimtestaat[[#This Row],[Oppervlak (netto)]]</f>
        <v>0</v>
      </c>
      <c r="X571" s="441">
        <f>IF(V571&gt;0,Ruimtestaat[[#This Row],[Prest. (m2 /jaar) werkdagen]]/Ruimtestaat[[#This Row],[Norm (m2/uur) werkdagen]],0)</f>
        <v>0</v>
      </c>
      <c r="Y571" s="442">
        <f>Ruimtestaat[[#This Row],[Uitvoeringen werkdagen]]*Ruimtestaat[[#This Row],[Gedeeltelijk]]</f>
        <v>0</v>
      </c>
      <c r="Z571" s="443">
        <f>IF(U571&gt;0,Ruimtestaat[[#This Row],[Prest. (m2 / jaar) werkdagen gedeeld]]/Ruimtestaat[[#This Row],[Norm (m2/uur) werkdagen]],0)</f>
        <v>0</v>
      </c>
      <c r="AA571" s="441">
        <f>Ruimtestaat[[#This Row],[uren / jaar werkdagen gedeeld]]*Tariefsopbouw!$E$35</f>
        <v>0</v>
      </c>
      <c r="AB571" s="441">
        <f>Ruimtestaat[[#This Row],[Uitvoeringen werkdagen]]*Ruimtestaat[[#This Row],[BSO]]</f>
        <v>0</v>
      </c>
      <c r="AC571" s="443">
        <f>IF(U571&gt;0,Ruimtestaat[[#This Row],[Prest. (m2 / jaar) werkdagen BSO]]/Ruimtestaat[[#This Row],[Norm (m2/uur) werkdagen]],0)</f>
        <v>0</v>
      </c>
      <c r="AD571" s="443">
        <f>Ruimtestaat[[#This Row],[uren / jaar werkdagen BSO]]*Tariefsopbouw!$E$35</f>
        <v>0</v>
      </c>
      <c r="AE571" s="444">
        <f>Ruimtestaat[[#This Row],[uren / jaar werkdagen]]*Tariefsopbouw!$E$35</f>
        <v>0</v>
      </c>
      <c r="AF571" s="454"/>
      <c r="AG571" s="455">
        <f>IF(Ruimtestaat[[#This Row],[Frequentie weekend]]&gt;0,VALUE(LEFT(AF571,1))*S571,0)</f>
        <v>0</v>
      </c>
      <c r="AH571" s="455">
        <f>IF($AG571&gt;0,VLOOKUP($J571,Ruimtegroepen[],3,FALSE)*VLOOKUP($L571,Vloersoorten[],3,FALSE)*VLOOKUP($AF571,Frequenties[],3,FALSE)*VLOOKUP(#REF!,Locaties[],3,FALSE),0)</f>
        <v>0</v>
      </c>
      <c r="AI571" s="434">
        <f>Ruimtestaat[[#This Row],[Uitvoeringen weekend]]*Ruimtestaat[[#This Row],[Oppervlak (netto)]]</f>
        <v>0</v>
      </c>
      <c r="AJ571" s="434">
        <f>IF(AH571&gt;0,Ruimtestaat[[#This Row],[Prest. (m2 /jaar) weekend]]/Ruimtestaat[[#This Row],[Norm (m2/uur) weekend]],0)</f>
        <v>0</v>
      </c>
      <c r="AK571" s="444">
        <f>Ruimtestaat[[#This Row],[uren / jaar weekend]]*Tariefsopbouw!$D$40</f>
        <v>0</v>
      </c>
      <c r="AL571" s="441">
        <f>Ruimtestaat[[#This Row],[Prest. (m2 /jaar) weekend]]+Ruimtestaat[[#This Row],[Prest. (m2 /jaar) werkdagen]]</f>
        <v>0</v>
      </c>
      <c r="AM571" s="441">
        <f>Ruimtestaat[[#This Row],[uren / jaar weekend]]+Ruimtestaat[[#This Row],[uren / jaar werkdagen]]</f>
        <v>0</v>
      </c>
      <c r="AN571" s="446">
        <f>Ruimtestaat[[#This Row],[kosten / jaar weekend]]+Ruimtestaat[[#This Row],[kosten / jaar werkdagen]]</f>
        <v>0</v>
      </c>
      <c r="AO571" s="446"/>
      <c r="AP571" s="446" t="str">
        <f>IF(Ruimtestaat[[#This Row],[Frequentie werkdagen]]="","",_xlfn.CONCAT(Ruimtestaat[[#This Row],[Ruimte code]],"-",Ruimtestaat[[#This Row],[Frequentie werkdagen]]," ",Ruimtestaat[[#This Row],[Vloer code]]))</f>
        <v/>
      </c>
      <c r="AQ571" s="448" t="str">
        <f>_xlfn.IFNA(VLOOKUP($AP571,Programma!$F$3:$G$1101,2,0),"")</f>
        <v/>
      </c>
      <c r="AR571" s="448" t="str">
        <f>_xlfn.IFNA(VLOOKUP($AP571,Programma!$F$3:$H$1101,3,0),"")</f>
        <v/>
      </c>
      <c r="AS571" s="448" t="str">
        <f>_xlfn.IFNA(VLOOKUP($AP571,Programma!$F$3:$I$1101,4,0),"")</f>
        <v/>
      </c>
      <c r="AT571" s="448" t="str">
        <f>_xlfn.IFNA(VLOOKUP($AP571,Programma!$F$3:$J$1101,5,0),"")</f>
        <v/>
      </c>
      <c r="AU571" s="448" t="str">
        <f>_xlfn.IFNA(VLOOKUP($AP571,Programma!$F$3:$K$1101,6,0),"")</f>
        <v/>
      </c>
      <c r="AV571" s="448" t="str">
        <f>_xlfn.IFNA(VLOOKUP($AP571,Programma!$F$3:$L$1101,7,0),"")</f>
        <v/>
      </c>
      <c r="AW571" s="448" t="str">
        <f>_xlfn.IFNA(VLOOKUP($AP571,Programma!$F$3:$M$1101,8,0),"")</f>
        <v/>
      </c>
      <c r="AX571" s="448" t="str">
        <f>_xlfn.IFNA(VLOOKUP($AP571,Programma!$F$3:$N$1101,9,0),"")</f>
        <v/>
      </c>
      <c r="AY571" s="448" t="str">
        <f>_xlfn.IFNA(VLOOKUP($AP571,Programma!$F$3:$O$1101,10,0),"")</f>
        <v/>
      </c>
      <c r="AZ571" s="448" t="str">
        <f>_xlfn.IFNA(VLOOKUP($AP571,Programma!$F$3:$P$1101,11,0),"")</f>
        <v/>
      </c>
      <c r="BA571" s="448" t="str">
        <f>_xlfn.IFNA(VLOOKUP($AP571,Programma!$F$3:$Q$1101,12,0),"")</f>
        <v/>
      </c>
      <c r="BB571" s="448" t="str">
        <f>_xlfn.IFNA(VLOOKUP($AP571,Programma!$F$3:$R$1101,13,0),"")</f>
        <v/>
      </c>
      <c r="BC571" s="448" t="str">
        <f>_xlfn.IFNA(VLOOKUP($AP571,Programma!$F$3:$S$1101,14,0),"")</f>
        <v/>
      </c>
      <c r="BD571" s="448" t="str">
        <f>_xlfn.IFNA(VLOOKUP($AP571,Programma!$F$3:$T$1101,15,0),"")</f>
        <v/>
      </c>
      <c r="BE571" s="448" t="str">
        <f>_xlfn.IFNA(VLOOKUP($AP571,Programma!$F$3:$U$1101,16,0),"")</f>
        <v/>
      </c>
      <c r="BF571" s="448" t="str">
        <f>_xlfn.IFNA(VLOOKUP($AP571,Programma!$F$3:$V$1101,17,0),"")</f>
        <v/>
      </c>
      <c r="BG571" s="448" t="str">
        <f>_xlfn.IFNA(VLOOKUP($AP571,Programma!$F$3:$W$1101,18,0),"")</f>
        <v/>
      </c>
      <c r="BH571" s="448" t="str">
        <f>_xlfn.IFNA(VLOOKUP($AP571,Programma!$F$3:$X$1101,19,0),"")</f>
        <v/>
      </c>
      <c r="BI571" s="448" t="str">
        <f>_xlfn.IFNA(VLOOKUP($AP571,Programma!$F$3:$Y$1101,20,0),"")</f>
        <v/>
      </c>
      <c r="BJ571" s="449"/>
      <c r="BK571" s="446" t="str">
        <f>IF(Ruimtestaat[[#This Row],[Frequentie weekend]]="","",_xlfn.CONCAT(Ruimtestaat[[#This Row],[Ruimte code]],"-",Ruimtestaat[[#This Row],[Frequentie weekend]]," ",Ruimtestaat[[#This Row],[Vloer code]]))</f>
        <v/>
      </c>
      <c r="BL571" s="448" t="str">
        <f>_xlfn.IFNA(VLOOKUP($BK571,Programma!$F$3:$G$1101,2,0),"")</f>
        <v/>
      </c>
      <c r="BM571" s="448" t="str">
        <f>_xlfn.IFNA(VLOOKUP($BK571,Programma!$F$3:$H$1101,3,0),"")</f>
        <v/>
      </c>
      <c r="BN571" s="448" t="str">
        <f>_xlfn.IFNA(VLOOKUP($BK571,Programma!$F$3:$I$1101,4,0),"")</f>
        <v/>
      </c>
      <c r="BO571" s="448" t="str">
        <f>_xlfn.IFNA(VLOOKUP($BK571,Programma!$F$3:$J$1101,5,0),"")</f>
        <v/>
      </c>
      <c r="BP571" s="448" t="str">
        <f>_xlfn.IFNA(VLOOKUP($BK571,Programma!$F$3:$K$1101,6,0),"")</f>
        <v/>
      </c>
      <c r="BQ571" s="448" t="str">
        <f>_xlfn.IFNA(VLOOKUP($BK571,Programma!$F$3:$L$1101,7,0),"")</f>
        <v/>
      </c>
      <c r="BR571" s="448" t="str">
        <f>_xlfn.IFNA(VLOOKUP($BK571,Programma!$F$3:$M$1101,8,0),"")</f>
        <v/>
      </c>
      <c r="BS571" s="448" t="str">
        <f>_xlfn.IFNA(VLOOKUP($BK571,Programma!$F$3:$N$1101,9,0),"")</f>
        <v/>
      </c>
      <c r="BT571" s="448" t="str">
        <f>_xlfn.IFNA(VLOOKUP($BK571,Programma!$F$3:$O$1101,10,0),"")</f>
        <v/>
      </c>
      <c r="BU571" s="448" t="str">
        <f>_xlfn.IFNA(VLOOKUP($BK571,Programma!$F$3:$P$1101,11,0),"")</f>
        <v/>
      </c>
      <c r="BV571" s="448" t="str">
        <f>_xlfn.IFNA(VLOOKUP($BK571,Programma!$F$3:$Q$1101,12,0),"")</f>
        <v/>
      </c>
      <c r="BW571" s="448" t="str">
        <f>_xlfn.IFNA(VLOOKUP($BK571,Programma!$F$3:$R$1101,13,0),"")</f>
        <v/>
      </c>
      <c r="BX571" s="448" t="str">
        <f>_xlfn.IFNA(VLOOKUP($BK571,Programma!$F$3:$S$1101,14,0),"")</f>
        <v/>
      </c>
      <c r="BY571" s="448" t="str">
        <f>_xlfn.IFNA(VLOOKUP($BK571,Programma!$F$3:$T$1101,15,0),"")</f>
        <v/>
      </c>
      <c r="BZ571" s="448" t="str">
        <f>_xlfn.IFNA(VLOOKUP($BK571,Programma!$F$3:$U$1101,16,0),"")</f>
        <v/>
      </c>
      <c r="CA571" s="448" t="str">
        <f>_xlfn.IFNA(VLOOKUP($BK571,Programma!$F$3:$V$1101,17,0),"")</f>
        <v/>
      </c>
      <c r="CB571" s="448" t="str">
        <f>_xlfn.IFNA(VLOOKUP($BK571,Programma!$F$3:$W$1101,18,0),"")</f>
        <v/>
      </c>
      <c r="CC571" s="448" t="str">
        <f>_xlfn.IFNA(VLOOKUP($BK571,Programma!$F$3:$X$1101,19,0),"")</f>
        <v/>
      </c>
      <c r="CD571" s="448" t="str">
        <f>_xlfn.IFNA(VLOOKUP($BK571,Programma!$F$3:$Y$1101,20,0),"")</f>
        <v/>
      </c>
    </row>
    <row r="572" spans="1:82" ht="15" customHeight="1">
      <c r="A572" s="327">
        <v>20</v>
      </c>
      <c r="B572" s="435" t="str">
        <f>VLOOKUP(Ruimtestaat[[#This Row],[Code]],Locaties[[Code]:[Locatie]],2,FALSE)</f>
        <v>IKC de Saffier (extra lokaal gemeente)</v>
      </c>
      <c r="C572" s="435" t="str">
        <f>VLOOKUP(Ruimtestaat[[#This Row],[Code]],Locaties[[#All],[Code]:[Adres]],4,FALSE)</f>
        <v>Electrablauw 5</v>
      </c>
      <c r="D572" s="435" t="str">
        <f>VLOOKUP(Ruimtestaat[[#This Row],[Code]],Locaties[[#All],[Code]:[Postcode]],5,FALSE)</f>
        <v>2718 JT</v>
      </c>
      <c r="E572" s="435" t="str">
        <f>VLOOKUP(Ruimtestaat[[#This Row],[Code]],Locaties[#All],6,FALSE)</f>
        <v>Zoetermeer</v>
      </c>
      <c r="F572" s="450"/>
      <c r="G572" s="330" t="s">
        <v>1678</v>
      </c>
      <c r="H572" s="330" t="s">
        <v>1762</v>
      </c>
      <c r="I572" s="450" t="s">
        <v>1724</v>
      </c>
      <c r="J572" s="330">
        <v>20</v>
      </c>
      <c r="K572" s="450" t="str">
        <f>VLOOKUP(Ruimtestaat[[#This Row],[Ruimte code]],Ruimtegroepen[[#All],[Code]:[Ruimte omschrijving]],2,FALSE)</f>
        <v>Niet in Onderhoud</v>
      </c>
      <c r="L572" s="434" t="s">
        <v>100</v>
      </c>
      <c r="M572" s="437" t="s">
        <v>1759</v>
      </c>
      <c r="N572" s="439"/>
      <c r="O572" s="439">
        <v>5.3</v>
      </c>
      <c r="P572" s="439"/>
      <c r="Q572" s="439"/>
      <c r="R572" s="440">
        <f>VLOOKUP(Ruimtestaat[[#This Row],[Ruimte code]],Ruimtegroepen[],4,FALSE)</f>
        <v>0</v>
      </c>
      <c r="S572" s="434"/>
      <c r="T572" s="434"/>
      <c r="U572" s="453">
        <f>IF(S572&gt;0,IF(RIGHT(Ruimtestaat[[#This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72" s="434">
        <f>IF(U572&gt;0,VLOOKUP($J572,Ruimtegroepen[],3,FALSE)*VLOOKUP($L572,Vloersoorten[],3,FALSE)*VLOOKUP($T572,Frequenties[],3,FALSE)*VLOOKUP($A572,Locaties[],3,FALSE),0)</f>
        <v>0</v>
      </c>
      <c r="W572" s="434">
        <f>Ruimtestaat[[#This Row],[Uitvoeringen werkdagen]]*Ruimtestaat[[#This Row],[Oppervlak (netto)]]</f>
        <v>0</v>
      </c>
      <c r="X572" s="441">
        <f>IF(V572&gt;0,Ruimtestaat[[#This Row],[Prest. (m2 /jaar) werkdagen]]/Ruimtestaat[[#This Row],[Norm (m2/uur) werkdagen]],0)</f>
        <v>0</v>
      </c>
      <c r="Y572" s="442">
        <f>Ruimtestaat[[#This Row],[Uitvoeringen werkdagen]]*Ruimtestaat[[#This Row],[Gedeeltelijk]]</f>
        <v>0</v>
      </c>
      <c r="Z572" s="443">
        <f>IF(U572&gt;0,Ruimtestaat[[#This Row],[Prest. (m2 / jaar) werkdagen gedeeld]]/Ruimtestaat[[#This Row],[Norm (m2/uur) werkdagen]],0)</f>
        <v>0</v>
      </c>
      <c r="AA572" s="441">
        <f>Ruimtestaat[[#This Row],[uren / jaar werkdagen gedeeld]]*Tariefsopbouw!$E$35</f>
        <v>0</v>
      </c>
      <c r="AB572" s="441">
        <f>Ruimtestaat[[#This Row],[Uitvoeringen werkdagen]]*Ruimtestaat[[#This Row],[BSO]]</f>
        <v>0</v>
      </c>
      <c r="AC572" s="443">
        <f>IF(U572&gt;0,Ruimtestaat[[#This Row],[Prest. (m2 / jaar) werkdagen BSO]]/Ruimtestaat[[#This Row],[Norm (m2/uur) werkdagen]],0)</f>
        <v>0</v>
      </c>
      <c r="AD572" s="443">
        <f>Ruimtestaat[[#This Row],[uren / jaar werkdagen BSO]]*Tariefsopbouw!$E$35</f>
        <v>0</v>
      </c>
      <c r="AE572" s="444">
        <f>Ruimtestaat[[#This Row],[uren / jaar werkdagen]]*Tariefsopbouw!$E$35</f>
        <v>0</v>
      </c>
      <c r="AF572" s="454"/>
      <c r="AG572" s="455">
        <f>IF(Ruimtestaat[[#This Row],[Frequentie weekend]]&gt;0,VALUE(LEFT(AF572,1))*S572,0)</f>
        <v>0</v>
      </c>
      <c r="AH572" s="455">
        <f>IF($AG572&gt;0,VLOOKUP($J572,Ruimtegroepen[],3,FALSE)*VLOOKUP($L572,Vloersoorten[],3,FALSE)*VLOOKUP($AF572,Frequenties[],3,FALSE)*VLOOKUP(#REF!,Locaties[],3,FALSE),0)</f>
        <v>0</v>
      </c>
      <c r="AI572" s="434">
        <f>Ruimtestaat[[#This Row],[Uitvoeringen weekend]]*Ruimtestaat[[#This Row],[Oppervlak (netto)]]</f>
        <v>0</v>
      </c>
      <c r="AJ572" s="434">
        <f>IF(AH572&gt;0,Ruimtestaat[[#This Row],[Prest. (m2 /jaar) weekend]]/Ruimtestaat[[#This Row],[Norm (m2/uur) weekend]],0)</f>
        <v>0</v>
      </c>
      <c r="AK572" s="444">
        <f>Ruimtestaat[[#This Row],[uren / jaar weekend]]*Tariefsopbouw!$D$40</f>
        <v>0</v>
      </c>
      <c r="AL572" s="441">
        <f>Ruimtestaat[[#This Row],[Prest. (m2 /jaar) weekend]]+Ruimtestaat[[#This Row],[Prest. (m2 /jaar) werkdagen]]</f>
        <v>0</v>
      </c>
      <c r="AM572" s="441">
        <f>Ruimtestaat[[#This Row],[uren / jaar weekend]]+Ruimtestaat[[#This Row],[uren / jaar werkdagen]]</f>
        <v>0</v>
      </c>
      <c r="AN572" s="446">
        <f>Ruimtestaat[[#This Row],[kosten / jaar weekend]]+Ruimtestaat[[#This Row],[kosten / jaar werkdagen]]</f>
        <v>0</v>
      </c>
      <c r="AO572" s="446"/>
      <c r="AP572" s="446" t="str">
        <f>IF(Ruimtestaat[[#This Row],[Frequentie werkdagen]]="","",_xlfn.CONCAT(Ruimtestaat[[#This Row],[Ruimte code]],"-",Ruimtestaat[[#This Row],[Frequentie werkdagen]]," ",Ruimtestaat[[#This Row],[Vloer code]]))</f>
        <v/>
      </c>
      <c r="AQ572" s="448" t="str">
        <f>_xlfn.IFNA(VLOOKUP($AP572,Programma!$F$3:$G$1101,2,0),"")</f>
        <v/>
      </c>
      <c r="AR572" s="448" t="str">
        <f>_xlfn.IFNA(VLOOKUP($AP572,Programma!$F$3:$H$1101,3,0),"")</f>
        <v/>
      </c>
      <c r="AS572" s="448" t="str">
        <f>_xlfn.IFNA(VLOOKUP($AP572,Programma!$F$3:$I$1101,4,0),"")</f>
        <v/>
      </c>
      <c r="AT572" s="448" t="str">
        <f>_xlfn.IFNA(VLOOKUP($AP572,Programma!$F$3:$J$1101,5,0),"")</f>
        <v/>
      </c>
      <c r="AU572" s="448" t="str">
        <f>_xlfn.IFNA(VLOOKUP($AP572,Programma!$F$3:$K$1101,6,0),"")</f>
        <v/>
      </c>
      <c r="AV572" s="448" t="str">
        <f>_xlfn.IFNA(VLOOKUP($AP572,Programma!$F$3:$L$1101,7,0),"")</f>
        <v/>
      </c>
      <c r="AW572" s="448" t="str">
        <f>_xlfn.IFNA(VLOOKUP($AP572,Programma!$F$3:$M$1101,8,0),"")</f>
        <v/>
      </c>
      <c r="AX572" s="448" t="str">
        <f>_xlfn.IFNA(VLOOKUP($AP572,Programma!$F$3:$N$1101,9,0),"")</f>
        <v/>
      </c>
      <c r="AY572" s="448" t="str">
        <f>_xlfn.IFNA(VLOOKUP($AP572,Programma!$F$3:$O$1101,10,0),"")</f>
        <v/>
      </c>
      <c r="AZ572" s="448" t="str">
        <f>_xlfn.IFNA(VLOOKUP($AP572,Programma!$F$3:$P$1101,11,0),"")</f>
        <v/>
      </c>
      <c r="BA572" s="448" t="str">
        <f>_xlfn.IFNA(VLOOKUP($AP572,Programma!$F$3:$Q$1101,12,0),"")</f>
        <v/>
      </c>
      <c r="BB572" s="448" t="str">
        <f>_xlfn.IFNA(VLOOKUP($AP572,Programma!$F$3:$R$1101,13,0),"")</f>
        <v/>
      </c>
      <c r="BC572" s="448" t="str">
        <f>_xlfn.IFNA(VLOOKUP($AP572,Programma!$F$3:$S$1101,14,0),"")</f>
        <v/>
      </c>
      <c r="BD572" s="448" t="str">
        <f>_xlfn.IFNA(VLOOKUP($AP572,Programma!$F$3:$T$1101,15,0),"")</f>
        <v/>
      </c>
      <c r="BE572" s="448" t="str">
        <f>_xlfn.IFNA(VLOOKUP($AP572,Programma!$F$3:$U$1101,16,0),"")</f>
        <v/>
      </c>
      <c r="BF572" s="448" t="str">
        <f>_xlfn.IFNA(VLOOKUP($AP572,Programma!$F$3:$V$1101,17,0),"")</f>
        <v/>
      </c>
      <c r="BG572" s="448" t="str">
        <f>_xlfn.IFNA(VLOOKUP($AP572,Programma!$F$3:$W$1101,18,0),"")</f>
        <v/>
      </c>
      <c r="BH572" s="448" t="str">
        <f>_xlfn.IFNA(VLOOKUP($AP572,Programma!$F$3:$X$1101,19,0),"")</f>
        <v/>
      </c>
      <c r="BI572" s="448" t="str">
        <f>_xlfn.IFNA(VLOOKUP($AP572,Programma!$F$3:$Y$1101,20,0),"")</f>
        <v/>
      </c>
      <c r="BJ572" s="449"/>
      <c r="BK572" s="446" t="str">
        <f>IF(Ruimtestaat[[#This Row],[Frequentie weekend]]="","",_xlfn.CONCAT(Ruimtestaat[[#This Row],[Ruimte code]],"-",Ruimtestaat[[#This Row],[Frequentie weekend]]," ",Ruimtestaat[[#This Row],[Vloer code]]))</f>
        <v/>
      </c>
      <c r="BL572" s="448" t="str">
        <f>_xlfn.IFNA(VLOOKUP($BK572,Programma!$F$3:$G$1101,2,0),"")</f>
        <v/>
      </c>
      <c r="BM572" s="448" t="str">
        <f>_xlfn.IFNA(VLOOKUP($BK572,Programma!$F$3:$H$1101,3,0),"")</f>
        <v/>
      </c>
      <c r="BN572" s="448" t="str">
        <f>_xlfn.IFNA(VLOOKUP($BK572,Programma!$F$3:$I$1101,4,0),"")</f>
        <v/>
      </c>
      <c r="BO572" s="448" t="str">
        <f>_xlfn.IFNA(VLOOKUP($BK572,Programma!$F$3:$J$1101,5,0),"")</f>
        <v/>
      </c>
      <c r="BP572" s="448" t="str">
        <f>_xlfn.IFNA(VLOOKUP($BK572,Programma!$F$3:$K$1101,6,0),"")</f>
        <v/>
      </c>
      <c r="BQ572" s="448" t="str">
        <f>_xlfn.IFNA(VLOOKUP($BK572,Programma!$F$3:$L$1101,7,0),"")</f>
        <v/>
      </c>
      <c r="BR572" s="448" t="str">
        <f>_xlfn.IFNA(VLOOKUP($BK572,Programma!$F$3:$M$1101,8,0),"")</f>
        <v/>
      </c>
      <c r="BS572" s="448" t="str">
        <f>_xlfn.IFNA(VLOOKUP($BK572,Programma!$F$3:$N$1101,9,0),"")</f>
        <v/>
      </c>
      <c r="BT572" s="448" t="str">
        <f>_xlfn.IFNA(VLOOKUP($BK572,Programma!$F$3:$O$1101,10,0),"")</f>
        <v/>
      </c>
      <c r="BU572" s="448" t="str">
        <f>_xlfn.IFNA(VLOOKUP($BK572,Programma!$F$3:$P$1101,11,0),"")</f>
        <v/>
      </c>
      <c r="BV572" s="448" t="str">
        <f>_xlfn.IFNA(VLOOKUP($BK572,Programma!$F$3:$Q$1101,12,0),"")</f>
        <v/>
      </c>
      <c r="BW572" s="448" t="str">
        <f>_xlfn.IFNA(VLOOKUP($BK572,Programma!$F$3:$R$1101,13,0),"")</f>
        <v/>
      </c>
      <c r="BX572" s="448" t="str">
        <f>_xlfn.IFNA(VLOOKUP($BK572,Programma!$F$3:$S$1101,14,0),"")</f>
        <v/>
      </c>
      <c r="BY572" s="448" t="str">
        <f>_xlfn.IFNA(VLOOKUP($BK572,Programma!$F$3:$T$1101,15,0),"")</f>
        <v/>
      </c>
      <c r="BZ572" s="448" t="str">
        <f>_xlfn.IFNA(VLOOKUP($BK572,Programma!$F$3:$U$1101,16,0),"")</f>
        <v/>
      </c>
      <c r="CA572" s="448" t="str">
        <f>_xlfn.IFNA(VLOOKUP($BK572,Programma!$F$3:$V$1101,17,0),"")</f>
        <v/>
      </c>
      <c r="CB572" s="448" t="str">
        <f>_xlfn.IFNA(VLOOKUP($BK572,Programma!$F$3:$W$1101,18,0),"")</f>
        <v/>
      </c>
      <c r="CC572" s="448" t="str">
        <f>_xlfn.IFNA(VLOOKUP($BK572,Programma!$F$3:$X$1101,19,0),"")</f>
        <v/>
      </c>
      <c r="CD572" s="448" t="str">
        <f>_xlfn.IFNA(VLOOKUP($BK572,Programma!$F$3:$Y$1101,20,0),"")</f>
        <v/>
      </c>
    </row>
    <row r="573" spans="1:82" ht="15" customHeight="1">
      <c r="A573" s="327">
        <v>20</v>
      </c>
      <c r="B573" s="435" t="str">
        <f>VLOOKUP(Ruimtestaat[[#This Row],[Code]],Locaties[[Code]:[Locatie]],2,FALSE)</f>
        <v>IKC de Saffier (extra lokaal gemeente)</v>
      </c>
      <c r="C573" s="435" t="str">
        <f>VLOOKUP(Ruimtestaat[[#This Row],[Code]],Locaties[[#All],[Code]:[Adres]],4,FALSE)</f>
        <v>Electrablauw 5</v>
      </c>
      <c r="D573" s="435" t="str">
        <f>VLOOKUP(Ruimtestaat[[#This Row],[Code]],Locaties[[#All],[Code]:[Postcode]],5,FALSE)</f>
        <v>2718 JT</v>
      </c>
      <c r="E573" s="435" t="str">
        <f>VLOOKUP(Ruimtestaat[[#This Row],[Code]],Locaties[#All],6,FALSE)</f>
        <v>Zoetermeer</v>
      </c>
      <c r="F573" s="450"/>
      <c r="G573" s="330" t="s">
        <v>1678</v>
      </c>
      <c r="H573" s="330" t="s">
        <v>1763</v>
      </c>
      <c r="I573" s="450" t="s">
        <v>1720</v>
      </c>
      <c r="J573" s="330">
        <v>5</v>
      </c>
      <c r="K573" s="450" t="str">
        <f>VLOOKUP(Ruimtestaat[[#This Row],[Ruimte code]],Ruimtegroepen[[#All],[Code]:[Ruimte omschrijving]],2,FALSE)</f>
        <v>Sanitair</v>
      </c>
      <c r="L573" s="330" t="s">
        <v>101</v>
      </c>
      <c r="M573" s="437" t="s">
        <v>1947</v>
      </c>
      <c r="N573" s="439">
        <v>5</v>
      </c>
      <c r="O573" s="439"/>
      <c r="P573" s="439"/>
      <c r="Q573" s="439"/>
      <c r="R573" s="440" t="str">
        <f>VLOOKUP(Ruimtestaat[[#This Row],[Ruimte code]],Ruimtegroepen[],4,FALSE)</f>
        <v>Sa</v>
      </c>
      <c r="S573" s="434">
        <v>41</v>
      </c>
      <c r="T573" s="434" t="s">
        <v>2</v>
      </c>
      <c r="U573" s="453">
        <f>IF(S573&gt;0,IF(RIGHT(Ruimtestaat[[#This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73" s="434">
        <f>IF(U573&gt;0,VLOOKUP($J573,Ruimtegroepen[],3,FALSE)*VLOOKUP($L573,Vloersoorten[],3,FALSE)*VLOOKUP($T573,Frequenties[],3,FALSE)*VLOOKUP($A573,Locaties[],3,FALSE),0)</f>
        <v>0</v>
      </c>
      <c r="W573" s="434">
        <f>Ruimtestaat[[#This Row],[Uitvoeringen werkdagen]]*Ruimtestaat[[#This Row],[Oppervlak (netto)]]</f>
        <v>1025</v>
      </c>
      <c r="X573" s="441">
        <f>IF(V573&gt;0,Ruimtestaat[[#This Row],[Prest. (m2 /jaar) werkdagen]]/Ruimtestaat[[#This Row],[Norm (m2/uur) werkdagen]],0)</f>
        <v>0</v>
      </c>
      <c r="Y573" s="442">
        <f>Ruimtestaat[[#This Row],[Uitvoeringen werkdagen]]*Ruimtestaat[[#This Row],[Gedeeltelijk]]</f>
        <v>0</v>
      </c>
      <c r="Z573" s="443" t="e">
        <f>IF(U573&gt;0,Ruimtestaat[[#This Row],[Prest. (m2 / jaar) werkdagen gedeeld]]/Ruimtestaat[[#This Row],[Norm (m2/uur) werkdagen]],0)</f>
        <v>#DIV/0!</v>
      </c>
      <c r="AA573" s="441" t="e">
        <f>Ruimtestaat[[#This Row],[uren / jaar werkdagen gedeeld]]*Tariefsopbouw!$E$35</f>
        <v>#DIV/0!</v>
      </c>
      <c r="AB573" s="441">
        <f>Ruimtestaat[[#This Row],[Uitvoeringen werkdagen]]*Ruimtestaat[[#This Row],[BSO]]</f>
        <v>0</v>
      </c>
      <c r="AC573" s="443" t="e">
        <f>IF(U573&gt;0,Ruimtestaat[[#This Row],[Prest. (m2 / jaar) werkdagen BSO]]/Ruimtestaat[[#This Row],[Norm (m2/uur) werkdagen]],0)</f>
        <v>#DIV/0!</v>
      </c>
      <c r="AD573" s="443" t="e">
        <f>Ruimtestaat[[#This Row],[uren / jaar werkdagen BSO]]*Tariefsopbouw!$E$35</f>
        <v>#DIV/0!</v>
      </c>
      <c r="AE573" s="444">
        <f>Ruimtestaat[[#This Row],[uren / jaar werkdagen]]*Tariefsopbouw!$E$35</f>
        <v>0</v>
      </c>
      <c r="AF573" s="454"/>
      <c r="AG573" s="455">
        <f>IF(Ruimtestaat[[#This Row],[Frequentie weekend]]&gt;0,VALUE(LEFT(AF573,1))*S573,0)</f>
        <v>0</v>
      </c>
      <c r="AH573" s="455">
        <f>IF($AG573&gt;0,VLOOKUP($J573,Ruimtegroepen[],3,FALSE)*VLOOKUP($L573,Vloersoorten[],3,FALSE)*VLOOKUP($AF573,Frequenties[],3,FALSE)*VLOOKUP(#REF!,Locaties[],3,FALSE),0)</f>
        <v>0</v>
      </c>
      <c r="AI573" s="434">
        <f>Ruimtestaat[[#This Row],[Uitvoeringen weekend]]*Ruimtestaat[[#This Row],[Oppervlak (netto)]]</f>
        <v>0</v>
      </c>
      <c r="AJ573" s="434">
        <f>IF(AH573&gt;0,Ruimtestaat[[#This Row],[Prest. (m2 /jaar) weekend]]/Ruimtestaat[[#This Row],[Norm (m2/uur) weekend]],0)</f>
        <v>0</v>
      </c>
      <c r="AK573" s="444">
        <f>Ruimtestaat[[#This Row],[uren / jaar weekend]]*Tariefsopbouw!$D$40</f>
        <v>0</v>
      </c>
      <c r="AL573" s="441">
        <f>Ruimtestaat[[#This Row],[Prest. (m2 /jaar) weekend]]+Ruimtestaat[[#This Row],[Prest. (m2 /jaar) werkdagen]]</f>
        <v>1025</v>
      </c>
      <c r="AM573" s="441">
        <f>Ruimtestaat[[#This Row],[uren / jaar weekend]]+Ruimtestaat[[#This Row],[uren / jaar werkdagen]]</f>
        <v>0</v>
      </c>
      <c r="AN573" s="446">
        <f>Ruimtestaat[[#This Row],[kosten / jaar weekend]]+Ruimtestaat[[#This Row],[kosten / jaar werkdagen]]</f>
        <v>0</v>
      </c>
      <c r="AO573" s="446"/>
      <c r="AP573" s="446" t="str">
        <f>IF(Ruimtestaat[[#This Row],[Frequentie werkdagen]]="","",_xlfn.CONCAT(Ruimtestaat[[#This Row],[Ruimte code]],"-",Ruimtestaat[[#This Row],[Frequentie werkdagen]]," ",Ruimtestaat[[#This Row],[Vloer code]]))</f>
        <v>5-5w S</v>
      </c>
      <c r="AQ573" s="448" t="str">
        <f>_xlfn.IFNA(VLOOKUP($AP573,Programma!$F$3:$G$1101,2,0),"")</f>
        <v>_</v>
      </c>
      <c r="AR573" s="448" t="str">
        <f>_xlfn.IFNA(VLOOKUP($AP573,Programma!$F$3:$H$1101,3,0),"")</f>
        <v>_</v>
      </c>
      <c r="AS573" s="448" t="str">
        <f>_xlfn.IFNA(VLOOKUP($AP573,Programma!$F$3:$I$1101,4,0),"")</f>
        <v>_</v>
      </c>
      <c r="AT573" s="448" t="str">
        <f>_xlfn.IFNA(VLOOKUP($AP573,Programma!$F$3:$J$1101,5,0),"")</f>
        <v>4w</v>
      </c>
      <c r="AU573" s="448" t="str">
        <f>_xlfn.IFNA(VLOOKUP($AP573,Programma!$F$3:$K$1101,6,0),"")</f>
        <v>1w</v>
      </c>
      <c r="AV573" s="448" t="str">
        <f>_xlfn.IFNA(VLOOKUP($AP573,Programma!$F$3:$L$1101,7,0),"")</f>
        <v>_</v>
      </c>
      <c r="AW573" s="448" t="str">
        <f>_xlfn.IFNA(VLOOKUP($AP573,Programma!$F$3:$M$1101,8,0),"")</f>
        <v>_</v>
      </c>
      <c r="AX573" s="448" t="str">
        <f>_xlfn.IFNA(VLOOKUP($AP573,Programma!$F$3:$N$1101,9,0),"")</f>
        <v>_</v>
      </c>
      <c r="AY573" s="448" t="str">
        <f>_xlfn.IFNA(VLOOKUP($AP573,Programma!$F$3:$O$1101,10,0),"")</f>
        <v>_</v>
      </c>
      <c r="AZ573" s="448" t="str">
        <f>_xlfn.IFNA(VLOOKUP($AP573,Programma!$F$3:$P$1101,11,0),"")</f>
        <v>_</v>
      </c>
      <c r="BA573" s="448" t="str">
        <f>_xlfn.IFNA(VLOOKUP($AP573,Programma!$F$3:$Q$1101,12,0),"")</f>
        <v>_</v>
      </c>
      <c r="BB573" s="448" t="str">
        <f>_xlfn.IFNA(VLOOKUP($AP573,Programma!$F$3:$R$1101,13,0),"")</f>
        <v>_</v>
      </c>
      <c r="BC573" s="448" t="str">
        <f>_xlfn.IFNA(VLOOKUP($AP573,Programma!$F$3:$S$1101,14,0),"")</f>
        <v>_</v>
      </c>
      <c r="BD573" s="448" t="str">
        <f>_xlfn.IFNA(VLOOKUP($AP573,Programma!$F$3:$T$1101,15,0),"")</f>
        <v>_</v>
      </c>
      <c r="BE573" s="448" t="str">
        <f>_xlfn.IFNA(VLOOKUP($AP573,Programma!$F$3:$U$1101,16,0),"")</f>
        <v>_</v>
      </c>
      <c r="BF573" s="448" t="str">
        <f>_xlfn.IFNA(VLOOKUP($AP573,Programma!$F$3:$V$1101,17,0),"")</f>
        <v>_</v>
      </c>
      <c r="BG573" s="448" t="str">
        <f>_xlfn.IFNA(VLOOKUP($AP573,Programma!$F$3:$W$1101,18,0),"")</f>
        <v>4w</v>
      </c>
      <c r="BH573" s="448" t="str">
        <f>_xlfn.IFNA(VLOOKUP($AP573,Programma!$F$3:$X$1101,19,0),"")</f>
        <v>1w</v>
      </c>
      <c r="BI573" s="448" t="str">
        <f>_xlfn.IFNA(VLOOKUP($AP573,Programma!$F$3:$Y$1101,20,0),"")</f>
        <v>_</v>
      </c>
      <c r="BJ573" s="449"/>
      <c r="BK573" s="446" t="str">
        <f>IF(Ruimtestaat[[#This Row],[Frequentie weekend]]="","",_xlfn.CONCAT(Ruimtestaat[[#This Row],[Ruimte code]],"-",Ruimtestaat[[#This Row],[Frequentie weekend]]," ",Ruimtestaat[[#This Row],[Vloer code]]))</f>
        <v/>
      </c>
      <c r="BL573" s="448" t="str">
        <f>_xlfn.IFNA(VLOOKUP($BK573,Programma!$F$3:$G$1101,2,0),"")</f>
        <v/>
      </c>
      <c r="BM573" s="448" t="str">
        <f>_xlfn.IFNA(VLOOKUP($BK573,Programma!$F$3:$H$1101,3,0),"")</f>
        <v/>
      </c>
      <c r="BN573" s="448" t="str">
        <f>_xlfn.IFNA(VLOOKUP($BK573,Programma!$F$3:$I$1101,4,0),"")</f>
        <v/>
      </c>
      <c r="BO573" s="448" t="str">
        <f>_xlfn.IFNA(VLOOKUP($BK573,Programma!$F$3:$J$1101,5,0),"")</f>
        <v/>
      </c>
      <c r="BP573" s="448" t="str">
        <f>_xlfn.IFNA(VLOOKUP($BK573,Programma!$F$3:$K$1101,6,0),"")</f>
        <v/>
      </c>
      <c r="BQ573" s="448" t="str">
        <f>_xlfn.IFNA(VLOOKUP($BK573,Programma!$F$3:$L$1101,7,0),"")</f>
        <v/>
      </c>
      <c r="BR573" s="448" t="str">
        <f>_xlfn.IFNA(VLOOKUP($BK573,Programma!$F$3:$M$1101,8,0),"")</f>
        <v/>
      </c>
      <c r="BS573" s="448" t="str">
        <f>_xlfn.IFNA(VLOOKUP($BK573,Programma!$F$3:$N$1101,9,0),"")</f>
        <v/>
      </c>
      <c r="BT573" s="448" t="str">
        <f>_xlfn.IFNA(VLOOKUP($BK573,Programma!$F$3:$O$1101,10,0),"")</f>
        <v/>
      </c>
      <c r="BU573" s="448" t="str">
        <f>_xlfn.IFNA(VLOOKUP($BK573,Programma!$F$3:$P$1101,11,0),"")</f>
        <v/>
      </c>
      <c r="BV573" s="448" t="str">
        <f>_xlfn.IFNA(VLOOKUP($BK573,Programma!$F$3:$Q$1101,12,0),"")</f>
        <v/>
      </c>
      <c r="BW573" s="448" t="str">
        <f>_xlfn.IFNA(VLOOKUP($BK573,Programma!$F$3:$R$1101,13,0),"")</f>
        <v/>
      </c>
      <c r="BX573" s="448" t="str">
        <f>_xlfn.IFNA(VLOOKUP($BK573,Programma!$F$3:$S$1101,14,0),"")</f>
        <v/>
      </c>
      <c r="BY573" s="448" t="str">
        <f>_xlfn.IFNA(VLOOKUP($BK573,Programma!$F$3:$T$1101,15,0),"")</f>
        <v/>
      </c>
      <c r="BZ573" s="448" t="str">
        <f>_xlfn.IFNA(VLOOKUP($BK573,Programma!$F$3:$U$1101,16,0),"")</f>
        <v/>
      </c>
      <c r="CA573" s="448" t="str">
        <f>_xlfn.IFNA(VLOOKUP($BK573,Programma!$F$3:$V$1101,17,0),"")</f>
        <v/>
      </c>
      <c r="CB573" s="448" t="str">
        <f>_xlfn.IFNA(VLOOKUP($BK573,Programma!$F$3:$W$1101,18,0),"")</f>
        <v/>
      </c>
      <c r="CC573" s="448" t="str">
        <f>_xlfn.IFNA(VLOOKUP($BK573,Programma!$F$3:$X$1101,19,0),"")</f>
        <v/>
      </c>
      <c r="CD573" s="448" t="str">
        <f>_xlfn.IFNA(VLOOKUP($BK573,Programma!$F$3:$Y$1101,20,0),"")</f>
        <v/>
      </c>
    </row>
    <row r="574" spans="1:82" ht="15" customHeight="1">
      <c r="A574" s="327">
        <v>20</v>
      </c>
      <c r="B574" s="435" t="str">
        <f>VLOOKUP(Ruimtestaat[[#This Row],[Code]],Locaties[[Code]:[Locatie]],2,FALSE)</f>
        <v>IKC de Saffier (extra lokaal gemeente)</v>
      </c>
      <c r="C574" s="435" t="str">
        <f>VLOOKUP(Ruimtestaat[[#This Row],[Code]],Locaties[[#All],[Code]:[Adres]],4,FALSE)</f>
        <v>Electrablauw 5</v>
      </c>
      <c r="D574" s="435" t="str">
        <f>VLOOKUP(Ruimtestaat[[#This Row],[Code]],Locaties[[#All],[Code]:[Postcode]],5,FALSE)</f>
        <v>2718 JT</v>
      </c>
      <c r="E574" s="435" t="str">
        <f>VLOOKUP(Ruimtestaat[[#This Row],[Code]],Locaties[#All],6,FALSE)</f>
        <v>Zoetermeer</v>
      </c>
      <c r="F574" s="450"/>
      <c r="G574" s="330" t="s">
        <v>1678</v>
      </c>
      <c r="H574" s="330" t="s">
        <v>1827</v>
      </c>
      <c r="I574" s="450" t="s">
        <v>1942</v>
      </c>
      <c r="J574" s="330">
        <v>18</v>
      </c>
      <c r="K574" s="450" t="str">
        <f>VLOOKUP(Ruimtestaat[[#This Row],[Ruimte code]],Ruimtegroepen[[#All],[Code]:[Ruimte omschrijving]],2,FALSE)</f>
        <v>Gymzaal</v>
      </c>
      <c r="L574" s="330" t="s">
        <v>102</v>
      </c>
      <c r="M574" s="437" t="s">
        <v>120</v>
      </c>
      <c r="N574" s="439">
        <v>58.1</v>
      </c>
      <c r="O574" s="439"/>
      <c r="P574" s="439"/>
      <c r="Q574" s="439"/>
      <c r="R574" s="440" t="str">
        <f>VLOOKUP(Ruimtestaat[[#This Row],[Ruimte code]],Ruimtegroepen[],4,FALSE)</f>
        <v>Sp</v>
      </c>
      <c r="S574" s="434">
        <v>40</v>
      </c>
      <c r="T574" s="434" t="s">
        <v>2</v>
      </c>
      <c r="U574" s="453">
        <f>IF(S574&gt;0,IF(RIGHT(Ruimtestaat[[#This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4" s="434">
        <f>IF(U574&gt;0,VLOOKUP($J574,Ruimtegroepen[],3,FALSE)*VLOOKUP($L574,Vloersoorten[],3,FALSE)*VLOOKUP($T574,Frequenties[],3,FALSE)*VLOOKUP($A574,Locaties[],3,FALSE),0)</f>
        <v>0</v>
      </c>
      <c r="W574" s="434">
        <f>Ruimtestaat[[#This Row],[Uitvoeringen werkdagen]]*Ruimtestaat[[#This Row],[Oppervlak (netto)]]</f>
        <v>11620</v>
      </c>
      <c r="X574" s="441">
        <f>IF(V574&gt;0,Ruimtestaat[[#This Row],[Prest. (m2 /jaar) werkdagen]]/Ruimtestaat[[#This Row],[Norm (m2/uur) werkdagen]],0)</f>
        <v>0</v>
      </c>
      <c r="Y574" s="442">
        <f>Ruimtestaat[[#This Row],[Uitvoeringen werkdagen]]*Ruimtestaat[[#This Row],[Gedeeltelijk]]</f>
        <v>0</v>
      </c>
      <c r="Z574" s="443" t="e">
        <f>IF(U574&gt;0,Ruimtestaat[[#This Row],[Prest. (m2 / jaar) werkdagen gedeeld]]/Ruimtestaat[[#This Row],[Norm (m2/uur) werkdagen]],0)</f>
        <v>#DIV/0!</v>
      </c>
      <c r="AA574" s="441" t="e">
        <f>Ruimtestaat[[#This Row],[uren / jaar werkdagen gedeeld]]*Tariefsopbouw!$E$35</f>
        <v>#DIV/0!</v>
      </c>
      <c r="AB574" s="441">
        <f>Ruimtestaat[[#This Row],[Uitvoeringen werkdagen]]*Ruimtestaat[[#This Row],[BSO]]</f>
        <v>0</v>
      </c>
      <c r="AC574" s="443" t="e">
        <f>IF(U574&gt;0,Ruimtestaat[[#This Row],[Prest. (m2 / jaar) werkdagen BSO]]/Ruimtestaat[[#This Row],[Norm (m2/uur) werkdagen]],0)</f>
        <v>#DIV/0!</v>
      </c>
      <c r="AD574" s="443" t="e">
        <f>Ruimtestaat[[#This Row],[uren / jaar werkdagen BSO]]*Tariefsopbouw!$E$35</f>
        <v>#DIV/0!</v>
      </c>
      <c r="AE574" s="444">
        <f>Ruimtestaat[[#This Row],[uren / jaar werkdagen]]*Tariefsopbouw!$E$35</f>
        <v>0</v>
      </c>
      <c r="AF574" s="454"/>
      <c r="AG574" s="455">
        <f>IF(Ruimtestaat[[#This Row],[Frequentie weekend]]&gt;0,VALUE(LEFT(AF574,1))*S574,0)</f>
        <v>0</v>
      </c>
      <c r="AH574" s="455">
        <f>IF($AG574&gt;0,VLOOKUP($J574,Ruimtegroepen[],3,FALSE)*VLOOKUP($L574,Vloersoorten[],3,FALSE)*VLOOKUP($AF574,Frequenties[],3,FALSE)*VLOOKUP(#REF!,Locaties[],3,FALSE),0)</f>
        <v>0</v>
      </c>
      <c r="AI574" s="434">
        <f>Ruimtestaat[[#This Row],[Uitvoeringen weekend]]*Ruimtestaat[[#This Row],[Oppervlak (netto)]]</f>
        <v>0</v>
      </c>
      <c r="AJ574" s="434">
        <f>IF(AH574&gt;0,Ruimtestaat[[#This Row],[Prest. (m2 /jaar) weekend]]/Ruimtestaat[[#This Row],[Norm (m2/uur) weekend]],0)</f>
        <v>0</v>
      </c>
      <c r="AK574" s="444">
        <f>Ruimtestaat[[#This Row],[uren / jaar weekend]]*Tariefsopbouw!$D$40</f>
        <v>0</v>
      </c>
      <c r="AL574" s="441">
        <f>Ruimtestaat[[#This Row],[Prest. (m2 /jaar) weekend]]+Ruimtestaat[[#This Row],[Prest. (m2 /jaar) werkdagen]]</f>
        <v>11620</v>
      </c>
      <c r="AM574" s="441">
        <f>Ruimtestaat[[#This Row],[uren / jaar weekend]]+Ruimtestaat[[#This Row],[uren / jaar werkdagen]]</f>
        <v>0</v>
      </c>
      <c r="AN574" s="446">
        <f>Ruimtestaat[[#This Row],[kosten / jaar weekend]]+Ruimtestaat[[#This Row],[kosten / jaar werkdagen]]</f>
        <v>0</v>
      </c>
      <c r="AO574" s="446"/>
      <c r="AP574" s="446" t="str">
        <f>IF(Ruimtestaat[[#This Row],[Frequentie werkdagen]]="","",_xlfn.CONCAT(Ruimtestaat[[#This Row],[Ruimte code]],"-",Ruimtestaat[[#This Row],[Frequentie werkdagen]]," ",Ruimtestaat[[#This Row],[Vloer code]]))</f>
        <v>18-5w P</v>
      </c>
      <c r="AQ574" s="448" t="str">
        <f>_xlfn.IFNA(VLOOKUP($AP574,Programma!$F$3:$G$1101,2,0),"")</f>
        <v>_</v>
      </c>
      <c r="AR574" s="448" t="str">
        <f>_xlfn.IFNA(VLOOKUP($AP574,Programma!$F$3:$H$1101,3,0),"")</f>
        <v>_</v>
      </c>
      <c r="AS574" s="448" t="str">
        <f>_xlfn.IFNA(VLOOKUP($AP574,Programma!$F$3:$I$1101,4,0),"")</f>
        <v>4w</v>
      </c>
      <c r="AT574" s="448" t="str">
        <f>_xlfn.IFNA(VLOOKUP($AP574,Programma!$F$3:$J$1101,5,0),"")</f>
        <v>1w</v>
      </c>
      <c r="AU574" s="448" t="str">
        <f>_xlfn.IFNA(VLOOKUP($AP574,Programma!$F$3:$K$1101,6,0),"")</f>
        <v>4j</v>
      </c>
      <c r="AV574" s="448" t="str">
        <f>_xlfn.IFNA(VLOOKUP($AP574,Programma!$F$3:$L$1101,7,0),"")</f>
        <v>_</v>
      </c>
      <c r="AW574" s="448" t="str">
        <f>_xlfn.IFNA(VLOOKUP($AP574,Programma!$F$3:$M$1101,8,0),"")</f>
        <v>_</v>
      </c>
      <c r="AX574" s="448" t="str">
        <f>_xlfn.IFNA(VLOOKUP($AP574,Programma!$F$3:$N$1101,9,0),"")</f>
        <v>_</v>
      </c>
      <c r="AY574" s="448" t="str">
        <f>_xlfn.IFNA(VLOOKUP($AP574,Programma!$F$3:$O$1101,10,0),"")</f>
        <v>5w</v>
      </c>
      <c r="AZ574" s="448" t="str">
        <f>_xlfn.IFNA(VLOOKUP($AP574,Programma!$F$3:$P$1101,11,0),"")</f>
        <v>5w</v>
      </c>
      <c r="BA574" s="448" t="str">
        <f>_xlfn.IFNA(VLOOKUP($AP574,Programma!$F$3:$Q$1101,12,0),"")</f>
        <v>5w</v>
      </c>
      <c r="BB574" s="448" t="str">
        <f>_xlfn.IFNA(VLOOKUP($AP574,Programma!$F$3:$R$1101,13,0),"")</f>
        <v>5w</v>
      </c>
      <c r="BC574" s="448" t="str">
        <f>_xlfn.IFNA(VLOOKUP($AP574,Programma!$F$3:$S$1101,14,0),"")</f>
        <v>1m</v>
      </c>
      <c r="BD574" s="448" t="str">
        <f>_xlfn.IFNA(VLOOKUP($AP574,Programma!$F$3:$T$1101,15,0),"")</f>
        <v>2j</v>
      </c>
      <c r="BE574" s="448" t="str">
        <f>_xlfn.IFNA(VLOOKUP($AP574,Programma!$F$3:$U$1101,16,0),"")</f>
        <v>1j</v>
      </c>
      <c r="BF574" s="448" t="str">
        <f>_xlfn.IFNA(VLOOKUP($AP574,Programma!$F$3:$V$1101,17,0),"")</f>
        <v>_</v>
      </c>
      <c r="BG574" s="448" t="str">
        <f>_xlfn.IFNA(VLOOKUP($AP574,Programma!$F$3:$W$1101,18,0),"")</f>
        <v>_</v>
      </c>
      <c r="BH574" s="448" t="str">
        <f>_xlfn.IFNA(VLOOKUP($AP574,Programma!$F$3:$X$1101,19,0),"")</f>
        <v>_</v>
      </c>
      <c r="BI574" s="448" t="str">
        <f>_xlfn.IFNA(VLOOKUP($AP574,Programma!$F$3:$Y$1101,20,0),"")</f>
        <v>_</v>
      </c>
      <c r="BJ574" s="449"/>
      <c r="BK574" s="446" t="str">
        <f>IF(Ruimtestaat[[#This Row],[Frequentie weekend]]="","",_xlfn.CONCAT(Ruimtestaat[[#This Row],[Ruimte code]],"-",Ruimtestaat[[#This Row],[Frequentie weekend]]," ",Ruimtestaat[[#This Row],[Vloer code]]))</f>
        <v/>
      </c>
      <c r="BL574" s="448" t="str">
        <f>_xlfn.IFNA(VLOOKUP($BK574,Programma!$F$3:$G$1101,2,0),"")</f>
        <v/>
      </c>
      <c r="BM574" s="448" t="str">
        <f>_xlfn.IFNA(VLOOKUP($BK574,Programma!$F$3:$H$1101,3,0),"")</f>
        <v/>
      </c>
      <c r="BN574" s="448" t="str">
        <f>_xlfn.IFNA(VLOOKUP($BK574,Programma!$F$3:$I$1101,4,0),"")</f>
        <v/>
      </c>
      <c r="BO574" s="448" t="str">
        <f>_xlfn.IFNA(VLOOKUP($BK574,Programma!$F$3:$J$1101,5,0),"")</f>
        <v/>
      </c>
      <c r="BP574" s="448" t="str">
        <f>_xlfn.IFNA(VLOOKUP($BK574,Programma!$F$3:$K$1101,6,0),"")</f>
        <v/>
      </c>
      <c r="BQ574" s="448" t="str">
        <f>_xlfn.IFNA(VLOOKUP($BK574,Programma!$F$3:$L$1101,7,0),"")</f>
        <v/>
      </c>
      <c r="BR574" s="448" t="str">
        <f>_xlfn.IFNA(VLOOKUP($BK574,Programma!$F$3:$M$1101,8,0),"")</f>
        <v/>
      </c>
      <c r="BS574" s="448" t="str">
        <f>_xlfn.IFNA(VLOOKUP($BK574,Programma!$F$3:$N$1101,9,0),"")</f>
        <v/>
      </c>
      <c r="BT574" s="448" t="str">
        <f>_xlfn.IFNA(VLOOKUP($BK574,Programma!$F$3:$O$1101,10,0),"")</f>
        <v/>
      </c>
      <c r="BU574" s="448" t="str">
        <f>_xlfn.IFNA(VLOOKUP($BK574,Programma!$F$3:$P$1101,11,0),"")</f>
        <v/>
      </c>
      <c r="BV574" s="448" t="str">
        <f>_xlfn.IFNA(VLOOKUP($BK574,Programma!$F$3:$Q$1101,12,0),"")</f>
        <v/>
      </c>
      <c r="BW574" s="448" t="str">
        <f>_xlfn.IFNA(VLOOKUP($BK574,Programma!$F$3:$R$1101,13,0),"")</f>
        <v/>
      </c>
      <c r="BX574" s="448" t="str">
        <f>_xlfn.IFNA(VLOOKUP($BK574,Programma!$F$3:$S$1101,14,0),"")</f>
        <v/>
      </c>
      <c r="BY574" s="448" t="str">
        <f>_xlfn.IFNA(VLOOKUP($BK574,Programma!$F$3:$T$1101,15,0),"")</f>
        <v/>
      </c>
      <c r="BZ574" s="448" t="str">
        <f>_xlfn.IFNA(VLOOKUP($BK574,Programma!$F$3:$U$1101,16,0),"")</f>
        <v/>
      </c>
      <c r="CA574" s="448" t="str">
        <f>_xlfn.IFNA(VLOOKUP($BK574,Programma!$F$3:$V$1101,17,0),"")</f>
        <v/>
      </c>
      <c r="CB574" s="448" t="str">
        <f>_xlfn.IFNA(VLOOKUP($BK574,Programma!$F$3:$W$1101,18,0),"")</f>
        <v/>
      </c>
      <c r="CC574" s="448" t="str">
        <f>_xlfn.IFNA(VLOOKUP($BK574,Programma!$F$3:$X$1101,19,0),"")</f>
        <v/>
      </c>
      <c r="CD574" s="448" t="str">
        <f>_xlfn.IFNA(VLOOKUP($BK574,Programma!$F$3:$Y$1101,20,0),"")</f>
        <v/>
      </c>
    </row>
    <row r="575" spans="1:82" ht="15" customHeight="1">
      <c r="A575" s="327">
        <v>20</v>
      </c>
      <c r="B575" s="435" t="str">
        <f>VLOOKUP(Ruimtestaat[[#This Row],[Code]],Locaties[[Code]:[Locatie]],2,FALSE)</f>
        <v>IKC de Saffier (extra lokaal gemeente)</v>
      </c>
      <c r="C575" s="435" t="str">
        <f>VLOOKUP(Ruimtestaat[[#This Row],[Code]],Locaties[[#All],[Code]:[Adres]],4,FALSE)</f>
        <v>Electrablauw 5</v>
      </c>
      <c r="D575" s="435" t="str">
        <f>VLOOKUP(Ruimtestaat[[#This Row],[Code]],Locaties[[#All],[Code]:[Postcode]],5,FALSE)</f>
        <v>2718 JT</v>
      </c>
      <c r="E575" s="435" t="str">
        <f>VLOOKUP(Ruimtestaat[[#This Row],[Code]],Locaties[#All],6,FALSE)</f>
        <v>Zoetermeer</v>
      </c>
      <c r="F575" s="450"/>
      <c r="G575" s="330" t="s">
        <v>1678</v>
      </c>
      <c r="H575" s="330" t="s">
        <v>1831</v>
      </c>
      <c r="I575" s="450" t="s">
        <v>1818</v>
      </c>
      <c r="J575" s="330">
        <v>15</v>
      </c>
      <c r="K575" s="450" t="str">
        <f>VLOOKUP(Ruimtestaat[[#This Row],[Ruimte code]],Ruimtegroepen[[#All],[Code]:[Ruimte omschrijving]],2,FALSE)</f>
        <v>Keuken/pantry</v>
      </c>
      <c r="L575" s="434" t="s">
        <v>100</v>
      </c>
      <c r="M575" s="437" t="s">
        <v>1759</v>
      </c>
      <c r="N575" s="439">
        <v>2</v>
      </c>
      <c r="O575" s="439"/>
      <c r="P575" s="439"/>
      <c r="Q575" s="439"/>
      <c r="R575" s="440" t="str">
        <f>VLOOKUP(Ruimtestaat[[#This Row],[Ruimte code]],Ruimtegroepen[],4,FALSE)</f>
        <v>Ve</v>
      </c>
      <c r="S575" s="434">
        <v>41</v>
      </c>
      <c r="T575" s="434" t="s">
        <v>2</v>
      </c>
      <c r="U575" s="453">
        <f>IF(S575&gt;0,IF(RIGHT(Ruimtestaat[[#This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75" s="434">
        <f>IF(U575&gt;0,VLOOKUP($J575,Ruimtegroepen[],3,FALSE)*VLOOKUP($L575,Vloersoorten[],3,FALSE)*VLOOKUP($T575,Frequenties[],3,FALSE)*VLOOKUP($A575,Locaties[],3,FALSE),0)</f>
        <v>0</v>
      </c>
      <c r="W575" s="434">
        <f>Ruimtestaat[[#This Row],[Uitvoeringen werkdagen]]*Ruimtestaat[[#This Row],[Oppervlak (netto)]]</f>
        <v>410</v>
      </c>
      <c r="X575" s="441">
        <f>IF(V575&gt;0,Ruimtestaat[[#This Row],[Prest. (m2 /jaar) werkdagen]]/Ruimtestaat[[#This Row],[Norm (m2/uur) werkdagen]],0)</f>
        <v>0</v>
      </c>
      <c r="Y575" s="442">
        <f>Ruimtestaat[[#This Row],[Uitvoeringen werkdagen]]*Ruimtestaat[[#This Row],[Gedeeltelijk]]</f>
        <v>0</v>
      </c>
      <c r="Z575" s="443" t="e">
        <f>IF(U575&gt;0,Ruimtestaat[[#This Row],[Prest. (m2 / jaar) werkdagen gedeeld]]/Ruimtestaat[[#This Row],[Norm (m2/uur) werkdagen]],0)</f>
        <v>#DIV/0!</v>
      </c>
      <c r="AA575" s="441" t="e">
        <f>Ruimtestaat[[#This Row],[uren / jaar werkdagen gedeeld]]*Tariefsopbouw!$E$35</f>
        <v>#DIV/0!</v>
      </c>
      <c r="AB575" s="441">
        <f>Ruimtestaat[[#This Row],[Uitvoeringen werkdagen]]*Ruimtestaat[[#This Row],[BSO]]</f>
        <v>0</v>
      </c>
      <c r="AC575" s="443" t="e">
        <f>IF(U575&gt;0,Ruimtestaat[[#This Row],[Prest. (m2 / jaar) werkdagen BSO]]/Ruimtestaat[[#This Row],[Norm (m2/uur) werkdagen]],0)</f>
        <v>#DIV/0!</v>
      </c>
      <c r="AD575" s="443" t="e">
        <f>Ruimtestaat[[#This Row],[uren / jaar werkdagen BSO]]*Tariefsopbouw!$E$35</f>
        <v>#DIV/0!</v>
      </c>
      <c r="AE575" s="444">
        <f>Ruimtestaat[[#This Row],[uren / jaar werkdagen]]*Tariefsopbouw!$E$35</f>
        <v>0</v>
      </c>
      <c r="AF575" s="454"/>
      <c r="AG575" s="455">
        <f>IF(Ruimtestaat[[#This Row],[Frequentie weekend]]&gt;0,VALUE(LEFT(AF575,1))*S575,0)</f>
        <v>0</v>
      </c>
      <c r="AH575" s="455">
        <f>IF($AG575&gt;0,VLOOKUP($J575,Ruimtegroepen[],3,FALSE)*VLOOKUP($L575,Vloersoorten[],3,FALSE)*VLOOKUP($AF575,Frequenties[],3,FALSE)*VLOOKUP(#REF!,Locaties[],3,FALSE),0)</f>
        <v>0</v>
      </c>
      <c r="AI575" s="434">
        <f>Ruimtestaat[[#This Row],[Uitvoeringen weekend]]*Ruimtestaat[[#This Row],[Oppervlak (netto)]]</f>
        <v>0</v>
      </c>
      <c r="AJ575" s="434">
        <f>IF(AH575&gt;0,Ruimtestaat[[#This Row],[Prest. (m2 /jaar) weekend]]/Ruimtestaat[[#This Row],[Norm (m2/uur) weekend]],0)</f>
        <v>0</v>
      </c>
      <c r="AK575" s="444">
        <f>Ruimtestaat[[#This Row],[uren / jaar weekend]]*Tariefsopbouw!$D$40</f>
        <v>0</v>
      </c>
      <c r="AL575" s="441">
        <f>Ruimtestaat[[#This Row],[Prest. (m2 /jaar) weekend]]+Ruimtestaat[[#This Row],[Prest. (m2 /jaar) werkdagen]]</f>
        <v>410</v>
      </c>
      <c r="AM575" s="441">
        <f>Ruimtestaat[[#This Row],[uren / jaar weekend]]+Ruimtestaat[[#This Row],[uren / jaar werkdagen]]</f>
        <v>0</v>
      </c>
      <c r="AN575" s="446">
        <f>Ruimtestaat[[#This Row],[kosten / jaar weekend]]+Ruimtestaat[[#This Row],[kosten / jaar werkdagen]]</f>
        <v>0</v>
      </c>
      <c r="AO575" s="446"/>
      <c r="AP575" s="446" t="str">
        <f>IF(Ruimtestaat[[#This Row],[Frequentie werkdagen]]="","",_xlfn.CONCAT(Ruimtestaat[[#This Row],[Ruimte code]],"-",Ruimtestaat[[#This Row],[Frequentie werkdagen]]," ",Ruimtestaat[[#This Row],[Vloer code]]))</f>
        <v>15-5w L</v>
      </c>
      <c r="AQ575" s="448" t="str">
        <f>_xlfn.IFNA(VLOOKUP($AP575,Programma!$F$3:$G$1101,2,0),"")</f>
        <v>_</v>
      </c>
      <c r="AR575" s="448" t="str">
        <f>_xlfn.IFNA(VLOOKUP($AP575,Programma!$F$3:$H$1101,3,0),"")</f>
        <v>_</v>
      </c>
      <c r="AS575" s="448" t="str">
        <f>_xlfn.IFNA(VLOOKUP($AP575,Programma!$F$3:$I$1101,4,0),"")</f>
        <v>_</v>
      </c>
      <c r="AT575" s="448" t="str">
        <f>_xlfn.IFNA(VLOOKUP($AP575,Programma!$F$3:$J$1101,5,0),"")</f>
        <v>5w</v>
      </c>
      <c r="AU575" s="448" t="str">
        <f>_xlfn.IFNA(VLOOKUP($AP575,Programma!$F$3:$K$1101,6,0),"")</f>
        <v>_</v>
      </c>
      <c r="AV575" s="448" t="str">
        <f>_xlfn.IFNA(VLOOKUP($AP575,Programma!$F$3:$L$1101,7,0),"")</f>
        <v>_</v>
      </c>
      <c r="AW575" s="448" t="str">
        <f>_xlfn.IFNA(VLOOKUP($AP575,Programma!$F$3:$M$1101,8,0),"")</f>
        <v>_</v>
      </c>
      <c r="AX575" s="448" t="str">
        <f>_xlfn.IFNA(VLOOKUP($AP575,Programma!$F$3:$N$1101,9,0),"")</f>
        <v>_</v>
      </c>
      <c r="AY575" s="448" t="str">
        <f>_xlfn.IFNA(VLOOKUP($AP575,Programma!$F$3:$O$1101,10,0),"")</f>
        <v>5w</v>
      </c>
      <c r="AZ575" s="448" t="str">
        <f>_xlfn.IFNA(VLOOKUP($AP575,Programma!$F$3:$P$1101,11,0),"")</f>
        <v>5w</v>
      </c>
      <c r="BA575" s="448" t="str">
        <f>_xlfn.IFNA(VLOOKUP($AP575,Programma!$F$3:$Q$1101,12,0),"")</f>
        <v>1w</v>
      </c>
      <c r="BB575" s="448" t="str">
        <f>_xlfn.IFNA(VLOOKUP($AP575,Programma!$F$3:$R$1101,13,0),"")</f>
        <v>1w</v>
      </c>
      <c r="BC575" s="448" t="str">
        <f>_xlfn.IFNA(VLOOKUP($AP575,Programma!$F$3:$S$1101,14,0),"")</f>
        <v>1m</v>
      </c>
      <c r="BD575" s="448" t="str">
        <f>_xlfn.IFNA(VLOOKUP($AP575,Programma!$F$3:$T$1101,15,0),"")</f>
        <v>2j</v>
      </c>
      <c r="BE575" s="448" t="str">
        <f>_xlfn.IFNA(VLOOKUP($AP575,Programma!$F$3:$U$1101,16,0),"")</f>
        <v>1j</v>
      </c>
      <c r="BF575" s="448" t="str">
        <f>_xlfn.IFNA(VLOOKUP($AP575,Programma!$F$3:$V$1101,17,0),"")</f>
        <v>_</v>
      </c>
      <c r="BG575" s="448" t="str">
        <f>_xlfn.IFNA(VLOOKUP($AP575,Programma!$F$3:$W$1101,18,0),"")</f>
        <v>_</v>
      </c>
      <c r="BH575" s="448" t="str">
        <f>_xlfn.IFNA(VLOOKUP($AP575,Programma!$F$3:$X$1101,19,0),"")</f>
        <v>_</v>
      </c>
      <c r="BI575" s="448" t="str">
        <f>_xlfn.IFNA(VLOOKUP($AP575,Programma!$F$3:$Y$1101,20,0),"")</f>
        <v>_</v>
      </c>
      <c r="BJ575" s="449"/>
      <c r="BK575" s="446" t="str">
        <f>IF(Ruimtestaat[[#This Row],[Frequentie weekend]]="","",_xlfn.CONCAT(Ruimtestaat[[#This Row],[Ruimte code]],"-",Ruimtestaat[[#This Row],[Frequentie weekend]]," ",Ruimtestaat[[#This Row],[Vloer code]]))</f>
        <v/>
      </c>
      <c r="BL575" s="448" t="str">
        <f>_xlfn.IFNA(VLOOKUP($BK575,Programma!$F$3:$G$1101,2,0),"")</f>
        <v/>
      </c>
      <c r="BM575" s="448" t="str">
        <f>_xlfn.IFNA(VLOOKUP($BK575,Programma!$F$3:$H$1101,3,0),"")</f>
        <v/>
      </c>
      <c r="BN575" s="448" t="str">
        <f>_xlfn.IFNA(VLOOKUP($BK575,Programma!$F$3:$I$1101,4,0),"")</f>
        <v/>
      </c>
      <c r="BO575" s="448" t="str">
        <f>_xlfn.IFNA(VLOOKUP($BK575,Programma!$F$3:$J$1101,5,0),"")</f>
        <v/>
      </c>
      <c r="BP575" s="448" t="str">
        <f>_xlfn.IFNA(VLOOKUP($BK575,Programma!$F$3:$K$1101,6,0),"")</f>
        <v/>
      </c>
      <c r="BQ575" s="448" t="str">
        <f>_xlfn.IFNA(VLOOKUP($BK575,Programma!$F$3:$L$1101,7,0),"")</f>
        <v/>
      </c>
      <c r="BR575" s="448" t="str">
        <f>_xlfn.IFNA(VLOOKUP($BK575,Programma!$F$3:$M$1101,8,0),"")</f>
        <v/>
      </c>
      <c r="BS575" s="448" t="str">
        <f>_xlfn.IFNA(VLOOKUP($BK575,Programma!$F$3:$N$1101,9,0),"")</f>
        <v/>
      </c>
      <c r="BT575" s="448" t="str">
        <f>_xlfn.IFNA(VLOOKUP($BK575,Programma!$F$3:$O$1101,10,0),"")</f>
        <v/>
      </c>
      <c r="BU575" s="448" t="str">
        <f>_xlfn.IFNA(VLOOKUP($BK575,Programma!$F$3:$P$1101,11,0),"")</f>
        <v/>
      </c>
      <c r="BV575" s="448" t="str">
        <f>_xlfn.IFNA(VLOOKUP($BK575,Programma!$F$3:$Q$1101,12,0),"")</f>
        <v/>
      </c>
      <c r="BW575" s="448" t="str">
        <f>_xlfn.IFNA(VLOOKUP($BK575,Programma!$F$3:$R$1101,13,0),"")</f>
        <v/>
      </c>
      <c r="BX575" s="448" t="str">
        <f>_xlfn.IFNA(VLOOKUP($BK575,Programma!$F$3:$S$1101,14,0),"")</f>
        <v/>
      </c>
      <c r="BY575" s="448" t="str">
        <f>_xlfn.IFNA(VLOOKUP($BK575,Programma!$F$3:$T$1101,15,0),"")</f>
        <v/>
      </c>
      <c r="BZ575" s="448" t="str">
        <f>_xlfn.IFNA(VLOOKUP($BK575,Programma!$F$3:$U$1101,16,0),"")</f>
        <v/>
      </c>
      <c r="CA575" s="448" t="str">
        <f>_xlfn.IFNA(VLOOKUP($BK575,Programma!$F$3:$V$1101,17,0),"")</f>
        <v/>
      </c>
      <c r="CB575" s="448" t="str">
        <f>_xlfn.IFNA(VLOOKUP($BK575,Programma!$F$3:$W$1101,18,0),"")</f>
        <v/>
      </c>
      <c r="CC575" s="448" t="str">
        <f>_xlfn.IFNA(VLOOKUP($BK575,Programma!$F$3:$X$1101,19,0),"")</f>
        <v/>
      </c>
      <c r="CD575" s="448" t="str">
        <f>_xlfn.IFNA(VLOOKUP($BK575,Programma!$F$3:$Y$1101,20,0),"")</f>
        <v/>
      </c>
    </row>
    <row r="576" spans="1:82" ht="15" customHeight="1">
      <c r="A576" s="327">
        <v>20</v>
      </c>
      <c r="B576" s="435" t="str">
        <f>VLOOKUP(Ruimtestaat[[#This Row],[Code]],Locaties[[Code]:[Locatie]],2,FALSE)</f>
        <v>IKC de Saffier (extra lokaal gemeente)</v>
      </c>
      <c r="C576" s="435" t="str">
        <f>VLOOKUP(Ruimtestaat[[#This Row],[Code]],Locaties[[#All],[Code]:[Adres]],4,FALSE)</f>
        <v>Electrablauw 5</v>
      </c>
      <c r="D576" s="435" t="str">
        <f>VLOOKUP(Ruimtestaat[[#This Row],[Code]],Locaties[[#All],[Code]:[Postcode]],5,FALSE)</f>
        <v>2718 JT</v>
      </c>
      <c r="E576" s="435" t="str">
        <f>VLOOKUP(Ruimtestaat[[#This Row],[Code]],Locaties[#All],6,FALSE)</f>
        <v>Zoetermeer</v>
      </c>
      <c r="F576" s="450"/>
      <c r="G576" s="330" t="s">
        <v>1678</v>
      </c>
      <c r="H576" s="330" t="s">
        <v>1904</v>
      </c>
      <c r="I576" s="450" t="s">
        <v>1943</v>
      </c>
      <c r="J576" s="330">
        <v>20</v>
      </c>
      <c r="K576" s="450" t="str">
        <f>VLOOKUP(Ruimtestaat[[#This Row],[Ruimte code]],Ruimtegroepen[[#All],[Code]:[Ruimte omschrijving]],2,FALSE)</f>
        <v>Niet in Onderhoud</v>
      </c>
      <c r="L576" s="434" t="s">
        <v>100</v>
      </c>
      <c r="M576" s="437" t="s">
        <v>1759</v>
      </c>
      <c r="N576" s="439"/>
      <c r="O576" s="439">
        <v>36.1</v>
      </c>
      <c r="P576" s="439"/>
      <c r="Q576" s="439"/>
      <c r="R576" s="440">
        <f>VLOOKUP(Ruimtestaat[[#This Row],[Ruimte code]],Ruimtegroepen[],4,FALSE)</f>
        <v>0</v>
      </c>
      <c r="S576" s="434"/>
      <c r="T576" s="434"/>
      <c r="U576" s="453">
        <f>IF(S576&gt;0,IF(RIGHT(Ruimtestaat[[#This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76" s="434">
        <f>IF(U576&gt;0,VLOOKUP($J576,Ruimtegroepen[],3,FALSE)*VLOOKUP($L576,Vloersoorten[],3,FALSE)*VLOOKUP($T576,Frequenties[],3,FALSE)*VLOOKUP($A576,Locaties[],3,FALSE),0)</f>
        <v>0</v>
      </c>
      <c r="W576" s="434">
        <f>Ruimtestaat[[#This Row],[Uitvoeringen werkdagen]]*Ruimtestaat[[#This Row],[Oppervlak (netto)]]</f>
        <v>0</v>
      </c>
      <c r="X576" s="441">
        <f>IF(V576&gt;0,Ruimtestaat[[#This Row],[Prest. (m2 /jaar) werkdagen]]/Ruimtestaat[[#This Row],[Norm (m2/uur) werkdagen]],0)</f>
        <v>0</v>
      </c>
      <c r="Y576" s="442">
        <f>Ruimtestaat[[#This Row],[Uitvoeringen werkdagen]]*Ruimtestaat[[#This Row],[Gedeeltelijk]]</f>
        <v>0</v>
      </c>
      <c r="Z576" s="443">
        <f>IF(U576&gt;0,Ruimtestaat[[#This Row],[Prest. (m2 / jaar) werkdagen gedeeld]]/Ruimtestaat[[#This Row],[Norm (m2/uur) werkdagen]],0)</f>
        <v>0</v>
      </c>
      <c r="AA576" s="441">
        <f>Ruimtestaat[[#This Row],[uren / jaar werkdagen gedeeld]]*Tariefsopbouw!$E$35</f>
        <v>0</v>
      </c>
      <c r="AB576" s="441">
        <f>Ruimtestaat[[#This Row],[Uitvoeringen werkdagen]]*Ruimtestaat[[#This Row],[BSO]]</f>
        <v>0</v>
      </c>
      <c r="AC576" s="443">
        <f>IF(U576&gt;0,Ruimtestaat[[#This Row],[Prest. (m2 / jaar) werkdagen BSO]]/Ruimtestaat[[#This Row],[Norm (m2/uur) werkdagen]],0)</f>
        <v>0</v>
      </c>
      <c r="AD576" s="443">
        <f>Ruimtestaat[[#This Row],[uren / jaar werkdagen BSO]]*Tariefsopbouw!$E$35</f>
        <v>0</v>
      </c>
      <c r="AE576" s="444">
        <f>Ruimtestaat[[#This Row],[uren / jaar werkdagen]]*Tariefsopbouw!$E$35</f>
        <v>0</v>
      </c>
      <c r="AF576" s="454"/>
      <c r="AG576" s="455">
        <f>IF(Ruimtestaat[[#This Row],[Frequentie weekend]]&gt;0,VALUE(LEFT(AF576,1))*S576,0)</f>
        <v>0</v>
      </c>
      <c r="AH576" s="455">
        <f>IF($AG576&gt;0,VLOOKUP($J576,Ruimtegroepen[],3,FALSE)*VLOOKUP($L576,Vloersoorten[],3,FALSE)*VLOOKUP($AF576,Frequenties[],3,FALSE)*VLOOKUP(#REF!,Locaties[],3,FALSE),0)</f>
        <v>0</v>
      </c>
      <c r="AI576" s="434">
        <f>Ruimtestaat[[#This Row],[Uitvoeringen weekend]]*Ruimtestaat[[#This Row],[Oppervlak (netto)]]</f>
        <v>0</v>
      </c>
      <c r="AJ576" s="434">
        <f>IF(AH576&gt;0,Ruimtestaat[[#This Row],[Prest. (m2 /jaar) weekend]]/Ruimtestaat[[#This Row],[Norm (m2/uur) weekend]],0)</f>
        <v>0</v>
      </c>
      <c r="AK576" s="444">
        <f>Ruimtestaat[[#This Row],[uren / jaar weekend]]*Tariefsopbouw!$D$40</f>
        <v>0</v>
      </c>
      <c r="AL576" s="441">
        <f>Ruimtestaat[[#This Row],[Prest. (m2 /jaar) weekend]]+Ruimtestaat[[#This Row],[Prest. (m2 /jaar) werkdagen]]</f>
        <v>0</v>
      </c>
      <c r="AM576" s="441">
        <f>Ruimtestaat[[#This Row],[uren / jaar weekend]]+Ruimtestaat[[#This Row],[uren / jaar werkdagen]]</f>
        <v>0</v>
      </c>
      <c r="AN576" s="446">
        <f>Ruimtestaat[[#This Row],[kosten / jaar weekend]]+Ruimtestaat[[#This Row],[kosten / jaar werkdagen]]</f>
        <v>0</v>
      </c>
      <c r="AO576" s="446"/>
      <c r="AP576" s="446" t="str">
        <f>IF(Ruimtestaat[[#This Row],[Frequentie werkdagen]]="","",_xlfn.CONCAT(Ruimtestaat[[#This Row],[Ruimte code]],"-",Ruimtestaat[[#This Row],[Frequentie werkdagen]]," ",Ruimtestaat[[#This Row],[Vloer code]]))</f>
        <v/>
      </c>
      <c r="AQ576" s="448" t="str">
        <f>_xlfn.IFNA(VLOOKUP($AP576,Programma!$F$3:$G$1101,2,0),"")</f>
        <v/>
      </c>
      <c r="AR576" s="448" t="str">
        <f>_xlfn.IFNA(VLOOKUP($AP576,Programma!$F$3:$H$1101,3,0),"")</f>
        <v/>
      </c>
      <c r="AS576" s="448" t="str">
        <f>_xlfn.IFNA(VLOOKUP($AP576,Programma!$F$3:$I$1101,4,0),"")</f>
        <v/>
      </c>
      <c r="AT576" s="448" t="str">
        <f>_xlfn.IFNA(VLOOKUP($AP576,Programma!$F$3:$J$1101,5,0),"")</f>
        <v/>
      </c>
      <c r="AU576" s="448" t="str">
        <f>_xlfn.IFNA(VLOOKUP($AP576,Programma!$F$3:$K$1101,6,0),"")</f>
        <v/>
      </c>
      <c r="AV576" s="448" t="str">
        <f>_xlfn.IFNA(VLOOKUP($AP576,Programma!$F$3:$L$1101,7,0),"")</f>
        <v/>
      </c>
      <c r="AW576" s="448" t="str">
        <f>_xlfn.IFNA(VLOOKUP($AP576,Programma!$F$3:$M$1101,8,0),"")</f>
        <v/>
      </c>
      <c r="AX576" s="448" t="str">
        <f>_xlfn.IFNA(VLOOKUP($AP576,Programma!$F$3:$N$1101,9,0),"")</f>
        <v/>
      </c>
      <c r="AY576" s="448" t="str">
        <f>_xlfn.IFNA(VLOOKUP($AP576,Programma!$F$3:$O$1101,10,0),"")</f>
        <v/>
      </c>
      <c r="AZ576" s="448" t="str">
        <f>_xlfn.IFNA(VLOOKUP($AP576,Programma!$F$3:$P$1101,11,0),"")</f>
        <v/>
      </c>
      <c r="BA576" s="448" t="str">
        <f>_xlfn.IFNA(VLOOKUP($AP576,Programma!$F$3:$Q$1101,12,0),"")</f>
        <v/>
      </c>
      <c r="BB576" s="448" t="str">
        <f>_xlfn.IFNA(VLOOKUP($AP576,Programma!$F$3:$R$1101,13,0),"")</f>
        <v/>
      </c>
      <c r="BC576" s="448" t="str">
        <f>_xlfn.IFNA(VLOOKUP($AP576,Programma!$F$3:$S$1101,14,0),"")</f>
        <v/>
      </c>
      <c r="BD576" s="448" t="str">
        <f>_xlfn.IFNA(VLOOKUP($AP576,Programma!$F$3:$T$1101,15,0),"")</f>
        <v/>
      </c>
      <c r="BE576" s="448" t="str">
        <f>_xlfn.IFNA(VLOOKUP($AP576,Programma!$F$3:$U$1101,16,0),"")</f>
        <v/>
      </c>
      <c r="BF576" s="448" t="str">
        <f>_xlfn.IFNA(VLOOKUP($AP576,Programma!$F$3:$V$1101,17,0),"")</f>
        <v/>
      </c>
      <c r="BG576" s="448" t="str">
        <f>_xlfn.IFNA(VLOOKUP($AP576,Programma!$F$3:$W$1101,18,0),"")</f>
        <v/>
      </c>
      <c r="BH576" s="448" t="str">
        <f>_xlfn.IFNA(VLOOKUP($AP576,Programma!$F$3:$X$1101,19,0),"")</f>
        <v/>
      </c>
      <c r="BI576" s="448" t="str">
        <f>_xlfn.IFNA(VLOOKUP($AP576,Programma!$F$3:$Y$1101,20,0),"")</f>
        <v/>
      </c>
      <c r="BJ576" s="449"/>
      <c r="BK576" s="446" t="str">
        <f>IF(Ruimtestaat[[#This Row],[Frequentie weekend]]="","",_xlfn.CONCAT(Ruimtestaat[[#This Row],[Ruimte code]],"-",Ruimtestaat[[#This Row],[Frequentie weekend]]," ",Ruimtestaat[[#This Row],[Vloer code]]))</f>
        <v/>
      </c>
      <c r="BL576" s="448" t="str">
        <f>_xlfn.IFNA(VLOOKUP($BK576,Programma!$F$3:$G$1101,2,0),"")</f>
        <v/>
      </c>
      <c r="BM576" s="448" t="str">
        <f>_xlfn.IFNA(VLOOKUP($BK576,Programma!$F$3:$H$1101,3,0),"")</f>
        <v/>
      </c>
      <c r="BN576" s="448" t="str">
        <f>_xlfn.IFNA(VLOOKUP($BK576,Programma!$F$3:$I$1101,4,0),"")</f>
        <v/>
      </c>
      <c r="BO576" s="448" t="str">
        <f>_xlfn.IFNA(VLOOKUP($BK576,Programma!$F$3:$J$1101,5,0),"")</f>
        <v/>
      </c>
      <c r="BP576" s="448" t="str">
        <f>_xlfn.IFNA(VLOOKUP($BK576,Programma!$F$3:$K$1101,6,0),"")</f>
        <v/>
      </c>
      <c r="BQ576" s="448" t="str">
        <f>_xlfn.IFNA(VLOOKUP($BK576,Programma!$F$3:$L$1101,7,0),"")</f>
        <v/>
      </c>
      <c r="BR576" s="448" t="str">
        <f>_xlfn.IFNA(VLOOKUP($BK576,Programma!$F$3:$M$1101,8,0),"")</f>
        <v/>
      </c>
      <c r="BS576" s="448" t="str">
        <f>_xlfn.IFNA(VLOOKUP($BK576,Programma!$F$3:$N$1101,9,0),"")</f>
        <v/>
      </c>
      <c r="BT576" s="448" t="str">
        <f>_xlfn.IFNA(VLOOKUP($BK576,Programma!$F$3:$O$1101,10,0),"")</f>
        <v/>
      </c>
      <c r="BU576" s="448" t="str">
        <f>_xlfn.IFNA(VLOOKUP($BK576,Programma!$F$3:$P$1101,11,0),"")</f>
        <v/>
      </c>
      <c r="BV576" s="448" t="str">
        <f>_xlfn.IFNA(VLOOKUP($BK576,Programma!$F$3:$Q$1101,12,0),"")</f>
        <v/>
      </c>
      <c r="BW576" s="448" t="str">
        <f>_xlfn.IFNA(VLOOKUP($BK576,Programma!$F$3:$R$1101,13,0),"")</f>
        <v/>
      </c>
      <c r="BX576" s="448" t="str">
        <f>_xlfn.IFNA(VLOOKUP($BK576,Programma!$F$3:$S$1101,14,0),"")</f>
        <v/>
      </c>
      <c r="BY576" s="448" t="str">
        <f>_xlfn.IFNA(VLOOKUP($BK576,Programma!$F$3:$T$1101,15,0),"")</f>
        <v/>
      </c>
      <c r="BZ576" s="448" t="str">
        <f>_xlfn.IFNA(VLOOKUP($BK576,Programma!$F$3:$U$1101,16,0),"")</f>
        <v/>
      </c>
      <c r="CA576" s="448" t="str">
        <f>_xlfn.IFNA(VLOOKUP($BK576,Programma!$F$3:$V$1101,17,0),"")</f>
        <v/>
      </c>
      <c r="CB576" s="448" t="str">
        <f>_xlfn.IFNA(VLOOKUP($BK576,Programma!$F$3:$W$1101,18,0),"")</f>
        <v/>
      </c>
      <c r="CC576" s="448" t="str">
        <f>_xlfn.IFNA(VLOOKUP($BK576,Programma!$F$3:$X$1101,19,0),"")</f>
        <v/>
      </c>
      <c r="CD576" s="448" t="str">
        <f>_xlfn.IFNA(VLOOKUP($BK576,Programma!$F$3:$Y$1101,20,0),"")</f>
        <v/>
      </c>
    </row>
    <row r="577" spans="1:82" ht="15" customHeight="1">
      <c r="A577" s="327">
        <v>20</v>
      </c>
      <c r="B577" s="435" t="str">
        <f>VLOOKUP(Ruimtestaat[[#This Row],[Code]],Locaties[[Code]:[Locatie]],2,FALSE)</f>
        <v>IKC de Saffier (extra lokaal gemeente)</v>
      </c>
      <c r="C577" s="435" t="str">
        <f>VLOOKUP(Ruimtestaat[[#This Row],[Code]],Locaties[[#All],[Code]:[Adres]],4,FALSE)</f>
        <v>Electrablauw 5</v>
      </c>
      <c r="D577" s="435" t="str">
        <f>VLOOKUP(Ruimtestaat[[#This Row],[Code]],Locaties[[#All],[Code]:[Postcode]],5,FALSE)</f>
        <v>2718 JT</v>
      </c>
      <c r="E577" s="435" t="str">
        <f>VLOOKUP(Ruimtestaat[[#This Row],[Code]],Locaties[#All],6,FALSE)</f>
        <v>Zoetermeer</v>
      </c>
      <c r="F577" s="450"/>
      <c r="G577" s="330" t="s">
        <v>1678</v>
      </c>
      <c r="H577" s="330" t="s">
        <v>1909</v>
      </c>
      <c r="I577" s="450" t="s">
        <v>1944</v>
      </c>
      <c r="J577" s="330">
        <v>1</v>
      </c>
      <c r="K577" s="450" t="str">
        <f>VLOOKUP(Ruimtestaat[[#This Row],[Ruimte code]],Ruimtegroepen[[#All],[Code]:[Ruimte omschrijving]],2,FALSE)</f>
        <v>Magazijnen/bergingen</v>
      </c>
      <c r="L577" s="434" t="s">
        <v>100</v>
      </c>
      <c r="M577" s="437" t="s">
        <v>1759</v>
      </c>
      <c r="N577" s="439">
        <v>10</v>
      </c>
      <c r="O577" s="439"/>
      <c r="P577" s="439"/>
      <c r="Q577" s="439"/>
      <c r="R577" s="440" t="str">
        <f>VLOOKUP(Ruimtestaat[[#This Row],[Ruimte code]],Ruimtegroepen[],4,FALSE)</f>
        <v>Ve</v>
      </c>
      <c r="S577" s="434">
        <v>40</v>
      </c>
      <c r="T577" s="434" t="s">
        <v>2</v>
      </c>
      <c r="U577" s="453">
        <f>IF(S577&gt;0,IF(RIGHT(Ruimtestaat[[#This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7" s="434">
        <f>IF(U577&gt;0,VLOOKUP($J577,Ruimtegroepen[],3,FALSE)*VLOOKUP($L577,Vloersoorten[],3,FALSE)*VLOOKUP($T577,Frequenties[],3,FALSE)*VLOOKUP($A577,Locaties[],3,FALSE),0)</f>
        <v>0</v>
      </c>
      <c r="W577" s="434">
        <f>Ruimtestaat[[#This Row],[Uitvoeringen werkdagen]]*Ruimtestaat[[#This Row],[Oppervlak (netto)]]</f>
        <v>2000</v>
      </c>
      <c r="X577" s="441">
        <f>IF(V577&gt;0,Ruimtestaat[[#This Row],[Prest. (m2 /jaar) werkdagen]]/Ruimtestaat[[#This Row],[Norm (m2/uur) werkdagen]],0)</f>
        <v>0</v>
      </c>
      <c r="Y577" s="442">
        <f>Ruimtestaat[[#This Row],[Uitvoeringen werkdagen]]*Ruimtestaat[[#This Row],[Gedeeltelijk]]</f>
        <v>0</v>
      </c>
      <c r="Z577" s="443" t="e">
        <f>IF(U577&gt;0,Ruimtestaat[[#This Row],[Prest. (m2 / jaar) werkdagen gedeeld]]/Ruimtestaat[[#This Row],[Norm (m2/uur) werkdagen]],0)</f>
        <v>#DIV/0!</v>
      </c>
      <c r="AA577" s="441" t="e">
        <f>Ruimtestaat[[#This Row],[uren / jaar werkdagen gedeeld]]*Tariefsopbouw!$E$35</f>
        <v>#DIV/0!</v>
      </c>
      <c r="AB577" s="441">
        <f>Ruimtestaat[[#This Row],[Uitvoeringen werkdagen]]*Ruimtestaat[[#This Row],[BSO]]</f>
        <v>0</v>
      </c>
      <c r="AC577" s="443" t="e">
        <f>IF(U577&gt;0,Ruimtestaat[[#This Row],[Prest. (m2 / jaar) werkdagen BSO]]/Ruimtestaat[[#This Row],[Norm (m2/uur) werkdagen]],0)</f>
        <v>#DIV/0!</v>
      </c>
      <c r="AD577" s="443" t="e">
        <f>Ruimtestaat[[#This Row],[uren / jaar werkdagen BSO]]*Tariefsopbouw!$E$35</f>
        <v>#DIV/0!</v>
      </c>
      <c r="AE577" s="444">
        <f>Ruimtestaat[[#This Row],[uren / jaar werkdagen]]*Tariefsopbouw!$E$35</f>
        <v>0</v>
      </c>
      <c r="AF577" s="454"/>
      <c r="AG577" s="455">
        <f>IF(Ruimtestaat[[#This Row],[Frequentie weekend]]&gt;0,VALUE(LEFT(AF577,1))*S577,0)</f>
        <v>0</v>
      </c>
      <c r="AH577" s="455">
        <f>IF($AG577&gt;0,VLOOKUP($J577,Ruimtegroepen[],3,FALSE)*VLOOKUP($L577,Vloersoorten[],3,FALSE)*VLOOKUP($AF577,Frequenties[],3,FALSE)*VLOOKUP(#REF!,Locaties[],3,FALSE),0)</f>
        <v>0</v>
      </c>
      <c r="AI577" s="434">
        <f>Ruimtestaat[[#This Row],[Uitvoeringen weekend]]*Ruimtestaat[[#This Row],[Oppervlak (netto)]]</f>
        <v>0</v>
      </c>
      <c r="AJ577" s="434">
        <f>IF(AH577&gt;0,Ruimtestaat[[#This Row],[Prest. (m2 /jaar) weekend]]/Ruimtestaat[[#This Row],[Norm (m2/uur) weekend]],0)</f>
        <v>0</v>
      </c>
      <c r="AK577" s="444">
        <f>Ruimtestaat[[#This Row],[uren / jaar weekend]]*Tariefsopbouw!$D$40</f>
        <v>0</v>
      </c>
      <c r="AL577" s="441">
        <f>Ruimtestaat[[#This Row],[Prest. (m2 /jaar) weekend]]+Ruimtestaat[[#This Row],[Prest. (m2 /jaar) werkdagen]]</f>
        <v>2000</v>
      </c>
      <c r="AM577" s="441">
        <f>Ruimtestaat[[#This Row],[uren / jaar weekend]]+Ruimtestaat[[#This Row],[uren / jaar werkdagen]]</f>
        <v>0</v>
      </c>
      <c r="AN577" s="446">
        <f>Ruimtestaat[[#This Row],[kosten / jaar weekend]]+Ruimtestaat[[#This Row],[kosten / jaar werkdagen]]</f>
        <v>0</v>
      </c>
      <c r="AO577" s="446"/>
      <c r="AP577" s="446" t="str">
        <f>IF(Ruimtestaat[[#This Row],[Frequentie werkdagen]]="","",_xlfn.CONCAT(Ruimtestaat[[#This Row],[Ruimte code]],"-",Ruimtestaat[[#This Row],[Frequentie werkdagen]]," ",Ruimtestaat[[#This Row],[Vloer code]]))</f>
        <v>1-5w L</v>
      </c>
      <c r="AQ577" s="448" t="str">
        <f>_xlfn.IFNA(VLOOKUP($AP577,Programma!$F$3:$G$1101,2,0),"")</f>
        <v>_</v>
      </c>
      <c r="AR577" s="448" t="str">
        <f>_xlfn.IFNA(VLOOKUP($AP577,Programma!$F$3:$H$1101,3,0),"")</f>
        <v>_</v>
      </c>
      <c r="AS577" s="448" t="str">
        <f>_xlfn.IFNA(VLOOKUP($AP577,Programma!$F$3:$I$1101,4,0),"")</f>
        <v>4w</v>
      </c>
      <c r="AT577" s="448" t="str">
        <f>_xlfn.IFNA(VLOOKUP($AP577,Programma!$F$3:$J$1101,5,0),"")</f>
        <v>1w</v>
      </c>
      <c r="AU577" s="448" t="str">
        <f>_xlfn.IFNA(VLOOKUP($AP577,Programma!$F$3:$K$1101,6,0),"")</f>
        <v>_</v>
      </c>
      <c r="AV577" s="448" t="str">
        <f>_xlfn.IFNA(VLOOKUP($AP577,Programma!$F$3:$L$1101,7,0),"")</f>
        <v>_</v>
      </c>
      <c r="AW577" s="448" t="str">
        <f>_xlfn.IFNA(VLOOKUP($AP577,Programma!$F$3:$M$1101,8,0),"")</f>
        <v>_</v>
      </c>
      <c r="AX577" s="448" t="str">
        <f>_xlfn.IFNA(VLOOKUP($AP577,Programma!$F$3:$N$1101,9,0),"")</f>
        <v>_</v>
      </c>
      <c r="AY577" s="448" t="str">
        <f>_xlfn.IFNA(VLOOKUP($AP577,Programma!$F$3:$O$1101,10,0),"")</f>
        <v>_</v>
      </c>
      <c r="AZ577" s="448" t="str">
        <f>_xlfn.IFNA(VLOOKUP($AP577,Programma!$F$3:$P$1101,11,0),"")</f>
        <v>_</v>
      </c>
      <c r="BA577" s="448" t="str">
        <f>_xlfn.IFNA(VLOOKUP($AP577,Programma!$F$3:$Q$1101,12,0),"")</f>
        <v>_</v>
      </c>
      <c r="BB577" s="448" t="str">
        <f>_xlfn.IFNA(VLOOKUP($AP577,Programma!$F$3:$R$1101,13,0),"")</f>
        <v>_</v>
      </c>
      <c r="BC577" s="448" t="str">
        <f>_xlfn.IFNA(VLOOKUP($AP577,Programma!$F$3:$S$1101,14,0),"")</f>
        <v>5w</v>
      </c>
      <c r="BD577" s="448" t="str">
        <f>_xlfn.IFNA(VLOOKUP($AP577,Programma!$F$3:$T$1101,15,0),"")</f>
        <v>4j</v>
      </c>
      <c r="BE577" s="448" t="str">
        <f>_xlfn.IFNA(VLOOKUP($AP577,Programma!$F$3:$U$1101,16,0),"")</f>
        <v>4j</v>
      </c>
      <c r="BF577" s="448" t="str">
        <f>_xlfn.IFNA(VLOOKUP($AP577,Programma!$F$3:$V$1101,17,0),"")</f>
        <v>_</v>
      </c>
      <c r="BG577" s="448" t="str">
        <f>_xlfn.IFNA(VLOOKUP($AP577,Programma!$F$3:$W$1101,18,0),"")</f>
        <v>_</v>
      </c>
      <c r="BH577" s="448" t="str">
        <f>_xlfn.IFNA(VLOOKUP($AP577,Programma!$F$3:$X$1101,19,0),"")</f>
        <v>_</v>
      </c>
      <c r="BI577" s="448" t="str">
        <f>_xlfn.IFNA(VLOOKUP($AP577,Programma!$F$3:$Y$1101,20,0),"")</f>
        <v>_</v>
      </c>
      <c r="BJ577" s="449"/>
      <c r="BK577" s="446" t="str">
        <f>IF(Ruimtestaat[[#This Row],[Frequentie weekend]]="","",_xlfn.CONCAT(Ruimtestaat[[#This Row],[Ruimte code]],"-",Ruimtestaat[[#This Row],[Frequentie weekend]]," ",Ruimtestaat[[#This Row],[Vloer code]]))</f>
        <v/>
      </c>
      <c r="BL577" s="448" t="str">
        <f>_xlfn.IFNA(VLOOKUP($BK577,Programma!$F$3:$G$1101,2,0),"")</f>
        <v/>
      </c>
      <c r="BM577" s="448" t="str">
        <f>_xlfn.IFNA(VLOOKUP($BK577,Programma!$F$3:$H$1101,3,0),"")</f>
        <v/>
      </c>
      <c r="BN577" s="448" t="str">
        <f>_xlfn.IFNA(VLOOKUP($BK577,Programma!$F$3:$I$1101,4,0),"")</f>
        <v/>
      </c>
      <c r="BO577" s="448" t="str">
        <f>_xlfn.IFNA(VLOOKUP($BK577,Programma!$F$3:$J$1101,5,0),"")</f>
        <v/>
      </c>
      <c r="BP577" s="448" t="str">
        <f>_xlfn.IFNA(VLOOKUP($BK577,Programma!$F$3:$K$1101,6,0),"")</f>
        <v/>
      </c>
      <c r="BQ577" s="448" t="str">
        <f>_xlfn.IFNA(VLOOKUP($BK577,Programma!$F$3:$L$1101,7,0),"")</f>
        <v/>
      </c>
      <c r="BR577" s="448" t="str">
        <f>_xlfn.IFNA(VLOOKUP($BK577,Programma!$F$3:$M$1101,8,0),"")</f>
        <v/>
      </c>
      <c r="BS577" s="448" t="str">
        <f>_xlfn.IFNA(VLOOKUP($BK577,Programma!$F$3:$N$1101,9,0),"")</f>
        <v/>
      </c>
      <c r="BT577" s="448" t="str">
        <f>_xlfn.IFNA(VLOOKUP($BK577,Programma!$F$3:$O$1101,10,0),"")</f>
        <v/>
      </c>
      <c r="BU577" s="448" t="str">
        <f>_xlfn.IFNA(VLOOKUP($BK577,Programma!$F$3:$P$1101,11,0),"")</f>
        <v/>
      </c>
      <c r="BV577" s="448" t="str">
        <f>_xlfn.IFNA(VLOOKUP($BK577,Programma!$F$3:$Q$1101,12,0),"")</f>
        <v/>
      </c>
      <c r="BW577" s="448" t="str">
        <f>_xlfn.IFNA(VLOOKUP($BK577,Programma!$F$3:$R$1101,13,0),"")</f>
        <v/>
      </c>
      <c r="BX577" s="448" t="str">
        <f>_xlfn.IFNA(VLOOKUP($BK577,Programma!$F$3:$S$1101,14,0),"")</f>
        <v/>
      </c>
      <c r="BY577" s="448" t="str">
        <f>_xlfn.IFNA(VLOOKUP($BK577,Programma!$F$3:$T$1101,15,0),"")</f>
        <v/>
      </c>
      <c r="BZ577" s="448" t="str">
        <f>_xlfn.IFNA(VLOOKUP($BK577,Programma!$F$3:$U$1101,16,0),"")</f>
        <v/>
      </c>
      <c r="CA577" s="448" t="str">
        <f>_xlfn.IFNA(VLOOKUP($BK577,Programma!$F$3:$V$1101,17,0),"")</f>
        <v/>
      </c>
      <c r="CB577" s="448" t="str">
        <f>_xlfn.IFNA(VLOOKUP($BK577,Programma!$F$3:$W$1101,18,0),"")</f>
        <v/>
      </c>
      <c r="CC577" s="448" t="str">
        <f>_xlfn.IFNA(VLOOKUP($BK577,Programma!$F$3:$X$1101,19,0),"")</f>
        <v/>
      </c>
      <c r="CD577" s="448" t="str">
        <f>_xlfn.IFNA(VLOOKUP($BK577,Programma!$F$3:$Y$1101,20,0),"")</f>
        <v/>
      </c>
    </row>
    <row r="578" spans="1:82" ht="15" customHeight="1">
      <c r="A578" s="327">
        <v>20</v>
      </c>
      <c r="B578" s="435" t="str">
        <f>VLOOKUP(Ruimtestaat[[#This Row],[Code]],Locaties[[Code]:[Locatie]],2,FALSE)</f>
        <v>IKC de Saffier (extra lokaal gemeente)</v>
      </c>
      <c r="C578" s="435" t="str">
        <f>VLOOKUP(Ruimtestaat[[#This Row],[Code]],Locaties[[#All],[Code]:[Adres]],4,FALSE)</f>
        <v>Electrablauw 5</v>
      </c>
      <c r="D578" s="435" t="str">
        <f>VLOOKUP(Ruimtestaat[[#This Row],[Code]],Locaties[[#All],[Code]:[Postcode]],5,FALSE)</f>
        <v>2718 JT</v>
      </c>
      <c r="E578" s="435" t="str">
        <f>VLOOKUP(Ruimtestaat[[#This Row],[Code]],Locaties[#All],6,FALSE)</f>
        <v>Zoetermeer</v>
      </c>
      <c r="F578" s="450"/>
      <c r="G578" s="330" t="s">
        <v>1678</v>
      </c>
      <c r="H578" s="330" t="s">
        <v>1917</v>
      </c>
      <c r="I578" s="450" t="s">
        <v>1720</v>
      </c>
      <c r="J578" s="330">
        <v>5</v>
      </c>
      <c r="K578" s="450" t="str">
        <f>VLOOKUP(Ruimtestaat[[#This Row],[Ruimte code]],Ruimtegroepen[[#All],[Code]:[Ruimte omschrijving]],2,FALSE)</f>
        <v>Sanitair</v>
      </c>
      <c r="L578" s="330" t="s">
        <v>101</v>
      </c>
      <c r="M578" s="437" t="s">
        <v>1947</v>
      </c>
      <c r="N578" s="439">
        <v>2</v>
      </c>
      <c r="O578" s="439"/>
      <c r="P578" s="439"/>
      <c r="Q578" s="439"/>
      <c r="R578" s="440" t="str">
        <f>VLOOKUP(Ruimtestaat[[#This Row],[Ruimte code]],Ruimtegroepen[],4,FALSE)</f>
        <v>Sa</v>
      </c>
      <c r="S578" s="434">
        <v>41</v>
      </c>
      <c r="T578" s="434" t="s">
        <v>2</v>
      </c>
      <c r="U578" s="453">
        <f>IF(S578&gt;0,IF(RIGHT(Ruimtestaat[[#This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78" s="434">
        <f>IF(U578&gt;0,VLOOKUP($J578,Ruimtegroepen[],3,FALSE)*VLOOKUP($L578,Vloersoorten[],3,FALSE)*VLOOKUP($T578,Frequenties[],3,FALSE)*VLOOKUP($A578,Locaties[],3,FALSE),0)</f>
        <v>0</v>
      </c>
      <c r="W578" s="434">
        <f>Ruimtestaat[[#This Row],[Uitvoeringen werkdagen]]*Ruimtestaat[[#This Row],[Oppervlak (netto)]]</f>
        <v>410</v>
      </c>
      <c r="X578" s="441">
        <f>IF(V578&gt;0,Ruimtestaat[[#This Row],[Prest. (m2 /jaar) werkdagen]]/Ruimtestaat[[#This Row],[Norm (m2/uur) werkdagen]],0)</f>
        <v>0</v>
      </c>
      <c r="Y578" s="442">
        <f>Ruimtestaat[[#This Row],[Uitvoeringen werkdagen]]*Ruimtestaat[[#This Row],[Gedeeltelijk]]</f>
        <v>0</v>
      </c>
      <c r="Z578" s="443" t="e">
        <f>IF(U578&gt;0,Ruimtestaat[[#This Row],[Prest. (m2 / jaar) werkdagen gedeeld]]/Ruimtestaat[[#This Row],[Norm (m2/uur) werkdagen]],0)</f>
        <v>#DIV/0!</v>
      </c>
      <c r="AA578" s="441" t="e">
        <f>Ruimtestaat[[#This Row],[uren / jaar werkdagen gedeeld]]*Tariefsopbouw!$E$35</f>
        <v>#DIV/0!</v>
      </c>
      <c r="AB578" s="441">
        <f>Ruimtestaat[[#This Row],[Uitvoeringen werkdagen]]*Ruimtestaat[[#This Row],[BSO]]</f>
        <v>0</v>
      </c>
      <c r="AC578" s="443" t="e">
        <f>IF(U578&gt;0,Ruimtestaat[[#This Row],[Prest. (m2 / jaar) werkdagen BSO]]/Ruimtestaat[[#This Row],[Norm (m2/uur) werkdagen]],0)</f>
        <v>#DIV/0!</v>
      </c>
      <c r="AD578" s="443" t="e">
        <f>Ruimtestaat[[#This Row],[uren / jaar werkdagen BSO]]*Tariefsopbouw!$E$35</f>
        <v>#DIV/0!</v>
      </c>
      <c r="AE578" s="444">
        <f>Ruimtestaat[[#This Row],[uren / jaar werkdagen]]*Tariefsopbouw!$E$35</f>
        <v>0</v>
      </c>
      <c r="AF578" s="454"/>
      <c r="AG578" s="455">
        <f>IF(Ruimtestaat[[#This Row],[Frequentie weekend]]&gt;0,VALUE(LEFT(AF578,1))*S578,0)</f>
        <v>0</v>
      </c>
      <c r="AH578" s="455">
        <f>IF($AG578&gt;0,VLOOKUP($J578,Ruimtegroepen[],3,FALSE)*VLOOKUP($L578,Vloersoorten[],3,FALSE)*VLOOKUP($AF578,Frequenties[],3,FALSE)*VLOOKUP(#REF!,Locaties[],3,FALSE),0)</f>
        <v>0</v>
      </c>
      <c r="AI578" s="434">
        <f>Ruimtestaat[[#This Row],[Uitvoeringen weekend]]*Ruimtestaat[[#This Row],[Oppervlak (netto)]]</f>
        <v>0</v>
      </c>
      <c r="AJ578" s="434">
        <f>IF(AH578&gt;0,Ruimtestaat[[#This Row],[Prest. (m2 /jaar) weekend]]/Ruimtestaat[[#This Row],[Norm (m2/uur) weekend]],0)</f>
        <v>0</v>
      </c>
      <c r="AK578" s="444">
        <f>Ruimtestaat[[#This Row],[uren / jaar weekend]]*Tariefsopbouw!$D$40</f>
        <v>0</v>
      </c>
      <c r="AL578" s="441">
        <f>Ruimtestaat[[#This Row],[Prest. (m2 /jaar) weekend]]+Ruimtestaat[[#This Row],[Prest. (m2 /jaar) werkdagen]]</f>
        <v>410</v>
      </c>
      <c r="AM578" s="441">
        <f>Ruimtestaat[[#This Row],[uren / jaar weekend]]+Ruimtestaat[[#This Row],[uren / jaar werkdagen]]</f>
        <v>0</v>
      </c>
      <c r="AN578" s="446">
        <f>Ruimtestaat[[#This Row],[kosten / jaar weekend]]+Ruimtestaat[[#This Row],[kosten / jaar werkdagen]]</f>
        <v>0</v>
      </c>
      <c r="AO578" s="446"/>
      <c r="AP578" s="446" t="str">
        <f>IF(Ruimtestaat[[#This Row],[Frequentie werkdagen]]="","",_xlfn.CONCAT(Ruimtestaat[[#This Row],[Ruimte code]],"-",Ruimtestaat[[#This Row],[Frequentie werkdagen]]," ",Ruimtestaat[[#This Row],[Vloer code]]))</f>
        <v>5-5w S</v>
      </c>
      <c r="AQ578" s="448" t="str">
        <f>_xlfn.IFNA(VLOOKUP($AP578,Programma!$F$3:$G$1101,2,0),"")</f>
        <v>_</v>
      </c>
      <c r="AR578" s="448" t="str">
        <f>_xlfn.IFNA(VLOOKUP($AP578,Programma!$F$3:$H$1101,3,0),"")</f>
        <v>_</v>
      </c>
      <c r="AS578" s="448" t="str">
        <f>_xlfn.IFNA(VLOOKUP($AP578,Programma!$F$3:$I$1101,4,0),"")</f>
        <v>_</v>
      </c>
      <c r="AT578" s="448" t="str">
        <f>_xlfn.IFNA(VLOOKUP($AP578,Programma!$F$3:$J$1101,5,0),"")</f>
        <v>4w</v>
      </c>
      <c r="AU578" s="448" t="str">
        <f>_xlfn.IFNA(VLOOKUP($AP578,Programma!$F$3:$K$1101,6,0),"")</f>
        <v>1w</v>
      </c>
      <c r="AV578" s="448" t="str">
        <f>_xlfn.IFNA(VLOOKUP($AP578,Programma!$F$3:$L$1101,7,0),"")</f>
        <v>_</v>
      </c>
      <c r="AW578" s="448" t="str">
        <f>_xlfn.IFNA(VLOOKUP($AP578,Programma!$F$3:$M$1101,8,0),"")</f>
        <v>_</v>
      </c>
      <c r="AX578" s="448" t="str">
        <f>_xlfn.IFNA(VLOOKUP($AP578,Programma!$F$3:$N$1101,9,0),"")</f>
        <v>_</v>
      </c>
      <c r="AY578" s="448" t="str">
        <f>_xlfn.IFNA(VLOOKUP($AP578,Programma!$F$3:$O$1101,10,0),"")</f>
        <v>_</v>
      </c>
      <c r="AZ578" s="448" t="str">
        <f>_xlfn.IFNA(VLOOKUP($AP578,Programma!$F$3:$P$1101,11,0),"")</f>
        <v>_</v>
      </c>
      <c r="BA578" s="448" t="str">
        <f>_xlfn.IFNA(VLOOKUP($AP578,Programma!$F$3:$Q$1101,12,0),"")</f>
        <v>_</v>
      </c>
      <c r="BB578" s="448" t="str">
        <f>_xlfn.IFNA(VLOOKUP($AP578,Programma!$F$3:$R$1101,13,0),"")</f>
        <v>_</v>
      </c>
      <c r="BC578" s="448" t="str">
        <f>_xlfn.IFNA(VLOOKUP($AP578,Programma!$F$3:$S$1101,14,0),"")</f>
        <v>_</v>
      </c>
      <c r="BD578" s="448" t="str">
        <f>_xlfn.IFNA(VLOOKUP($AP578,Programma!$F$3:$T$1101,15,0),"")</f>
        <v>_</v>
      </c>
      <c r="BE578" s="448" t="str">
        <f>_xlfn.IFNA(VLOOKUP($AP578,Programma!$F$3:$U$1101,16,0),"")</f>
        <v>_</v>
      </c>
      <c r="BF578" s="448" t="str">
        <f>_xlfn.IFNA(VLOOKUP($AP578,Programma!$F$3:$V$1101,17,0),"")</f>
        <v>_</v>
      </c>
      <c r="BG578" s="448" t="str">
        <f>_xlfn.IFNA(VLOOKUP($AP578,Programma!$F$3:$W$1101,18,0),"")</f>
        <v>4w</v>
      </c>
      <c r="BH578" s="448" t="str">
        <f>_xlfn.IFNA(VLOOKUP($AP578,Programma!$F$3:$X$1101,19,0),"")</f>
        <v>1w</v>
      </c>
      <c r="BI578" s="448" t="str">
        <f>_xlfn.IFNA(VLOOKUP($AP578,Programma!$F$3:$Y$1101,20,0),"")</f>
        <v>_</v>
      </c>
      <c r="BJ578" s="449"/>
      <c r="BK578" s="446" t="str">
        <f>IF(Ruimtestaat[[#This Row],[Frequentie weekend]]="","",_xlfn.CONCAT(Ruimtestaat[[#This Row],[Ruimte code]],"-",Ruimtestaat[[#This Row],[Frequentie weekend]]," ",Ruimtestaat[[#This Row],[Vloer code]]))</f>
        <v/>
      </c>
      <c r="BL578" s="448" t="str">
        <f>_xlfn.IFNA(VLOOKUP($BK578,Programma!$F$3:$G$1101,2,0),"")</f>
        <v/>
      </c>
      <c r="BM578" s="448" t="str">
        <f>_xlfn.IFNA(VLOOKUP($BK578,Programma!$F$3:$H$1101,3,0),"")</f>
        <v/>
      </c>
      <c r="BN578" s="448" t="str">
        <f>_xlfn.IFNA(VLOOKUP($BK578,Programma!$F$3:$I$1101,4,0),"")</f>
        <v/>
      </c>
      <c r="BO578" s="448" t="str">
        <f>_xlfn.IFNA(VLOOKUP($BK578,Programma!$F$3:$J$1101,5,0),"")</f>
        <v/>
      </c>
      <c r="BP578" s="448" t="str">
        <f>_xlfn.IFNA(VLOOKUP($BK578,Programma!$F$3:$K$1101,6,0),"")</f>
        <v/>
      </c>
      <c r="BQ578" s="448" t="str">
        <f>_xlfn.IFNA(VLOOKUP($BK578,Programma!$F$3:$L$1101,7,0),"")</f>
        <v/>
      </c>
      <c r="BR578" s="448" t="str">
        <f>_xlfn.IFNA(VLOOKUP($BK578,Programma!$F$3:$M$1101,8,0),"")</f>
        <v/>
      </c>
      <c r="BS578" s="448" t="str">
        <f>_xlfn.IFNA(VLOOKUP($BK578,Programma!$F$3:$N$1101,9,0),"")</f>
        <v/>
      </c>
      <c r="BT578" s="448" t="str">
        <f>_xlfn.IFNA(VLOOKUP($BK578,Programma!$F$3:$O$1101,10,0),"")</f>
        <v/>
      </c>
      <c r="BU578" s="448" t="str">
        <f>_xlfn.IFNA(VLOOKUP($BK578,Programma!$F$3:$P$1101,11,0),"")</f>
        <v/>
      </c>
      <c r="BV578" s="448" t="str">
        <f>_xlfn.IFNA(VLOOKUP($BK578,Programma!$F$3:$Q$1101,12,0),"")</f>
        <v/>
      </c>
      <c r="BW578" s="448" t="str">
        <f>_xlfn.IFNA(VLOOKUP($BK578,Programma!$F$3:$R$1101,13,0),"")</f>
        <v/>
      </c>
      <c r="BX578" s="448" t="str">
        <f>_xlfn.IFNA(VLOOKUP($BK578,Programma!$F$3:$S$1101,14,0),"")</f>
        <v/>
      </c>
      <c r="BY578" s="448" t="str">
        <f>_xlfn.IFNA(VLOOKUP($BK578,Programma!$F$3:$T$1101,15,0),"")</f>
        <v/>
      </c>
      <c r="BZ578" s="448" t="str">
        <f>_xlfn.IFNA(VLOOKUP($BK578,Programma!$F$3:$U$1101,16,0),"")</f>
        <v/>
      </c>
      <c r="CA578" s="448" t="str">
        <f>_xlfn.IFNA(VLOOKUP($BK578,Programma!$F$3:$V$1101,17,0),"")</f>
        <v/>
      </c>
      <c r="CB578" s="448" t="str">
        <f>_xlfn.IFNA(VLOOKUP($BK578,Programma!$F$3:$W$1101,18,0),"")</f>
        <v/>
      </c>
      <c r="CC578" s="448" t="str">
        <f>_xlfn.IFNA(VLOOKUP($BK578,Programma!$F$3:$X$1101,19,0),"")</f>
        <v/>
      </c>
      <c r="CD578" s="448" t="str">
        <f>_xlfn.IFNA(VLOOKUP($BK578,Programma!$F$3:$Y$1101,20,0),"")</f>
        <v/>
      </c>
    </row>
    <row r="579" spans="1:82" ht="15" customHeight="1">
      <c r="A579" s="327">
        <v>20</v>
      </c>
      <c r="B579" s="435" t="str">
        <f>VLOOKUP(Ruimtestaat[[#This Row],[Code]],Locaties[[Code]:[Locatie]],2,FALSE)</f>
        <v>IKC de Saffier (extra lokaal gemeente)</v>
      </c>
      <c r="C579" s="435" t="str">
        <f>VLOOKUP(Ruimtestaat[[#This Row],[Code]],Locaties[[#All],[Code]:[Adres]],4,FALSE)</f>
        <v>Electrablauw 5</v>
      </c>
      <c r="D579" s="435" t="str">
        <f>VLOOKUP(Ruimtestaat[[#This Row],[Code]],Locaties[[#All],[Code]:[Postcode]],5,FALSE)</f>
        <v>2718 JT</v>
      </c>
      <c r="E579" s="435" t="str">
        <f>VLOOKUP(Ruimtestaat[[#This Row],[Code]],Locaties[#All],6,FALSE)</f>
        <v>Zoetermeer</v>
      </c>
      <c r="F579" s="450"/>
      <c r="G579" s="330" t="s">
        <v>1678</v>
      </c>
      <c r="H579" s="330" t="s">
        <v>1910</v>
      </c>
      <c r="I579" s="450" t="s">
        <v>1945</v>
      </c>
      <c r="J579" s="330">
        <v>20</v>
      </c>
      <c r="K579" s="450" t="str">
        <f>VLOOKUP(Ruimtestaat[[#This Row],[Ruimte code]],Ruimtegroepen[[#All],[Code]:[Ruimte omschrijving]],2,FALSE)</f>
        <v>Niet in Onderhoud</v>
      </c>
      <c r="L579" s="434" t="s">
        <v>100</v>
      </c>
      <c r="M579" s="437" t="s">
        <v>1759</v>
      </c>
      <c r="N579" s="439"/>
      <c r="O579" s="439"/>
      <c r="P579" s="439"/>
      <c r="Q579" s="439"/>
      <c r="R579" s="440">
        <f>VLOOKUP(Ruimtestaat[[#This Row],[Ruimte code]],Ruimtegroepen[],4,FALSE)</f>
        <v>0</v>
      </c>
      <c r="S579" s="434"/>
      <c r="T579" s="434"/>
      <c r="U579" s="453">
        <f>IF(S579&gt;0,IF(RIGHT(Ruimtestaat[[#This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79" s="434">
        <f>IF(U579&gt;0,VLOOKUP($J579,Ruimtegroepen[],3,FALSE)*VLOOKUP($L579,Vloersoorten[],3,FALSE)*VLOOKUP($T579,Frequenties[],3,FALSE)*VLOOKUP($A579,Locaties[],3,FALSE),0)</f>
        <v>0</v>
      </c>
      <c r="W579" s="434">
        <f>Ruimtestaat[[#This Row],[Uitvoeringen werkdagen]]*Ruimtestaat[[#This Row],[Oppervlak (netto)]]</f>
        <v>0</v>
      </c>
      <c r="X579" s="441">
        <f>IF(V579&gt;0,Ruimtestaat[[#This Row],[Prest. (m2 /jaar) werkdagen]]/Ruimtestaat[[#This Row],[Norm (m2/uur) werkdagen]],0)</f>
        <v>0</v>
      </c>
      <c r="Y579" s="442">
        <f>Ruimtestaat[[#This Row],[Uitvoeringen werkdagen]]*Ruimtestaat[[#This Row],[Gedeeltelijk]]</f>
        <v>0</v>
      </c>
      <c r="Z579" s="443">
        <f>IF(U579&gt;0,Ruimtestaat[[#This Row],[Prest. (m2 / jaar) werkdagen gedeeld]]/Ruimtestaat[[#This Row],[Norm (m2/uur) werkdagen]],0)</f>
        <v>0</v>
      </c>
      <c r="AA579" s="441">
        <f>Ruimtestaat[[#This Row],[uren / jaar werkdagen gedeeld]]*Tariefsopbouw!$E$35</f>
        <v>0</v>
      </c>
      <c r="AB579" s="441">
        <f>Ruimtestaat[[#This Row],[Uitvoeringen werkdagen]]*Ruimtestaat[[#This Row],[BSO]]</f>
        <v>0</v>
      </c>
      <c r="AC579" s="443">
        <f>IF(U579&gt;0,Ruimtestaat[[#This Row],[Prest. (m2 / jaar) werkdagen BSO]]/Ruimtestaat[[#This Row],[Norm (m2/uur) werkdagen]],0)</f>
        <v>0</v>
      </c>
      <c r="AD579" s="443">
        <f>Ruimtestaat[[#This Row],[uren / jaar werkdagen BSO]]*Tariefsopbouw!$E$35</f>
        <v>0</v>
      </c>
      <c r="AE579" s="444">
        <f>Ruimtestaat[[#This Row],[uren / jaar werkdagen]]*Tariefsopbouw!$E$35</f>
        <v>0</v>
      </c>
      <c r="AF579" s="454"/>
      <c r="AG579" s="455">
        <f>IF(Ruimtestaat[[#This Row],[Frequentie weekend]]&gt;0,VALUE(LEFT(AF579,1))*S579,0)</f>
        <v>0</v>
      </c>
      <c r="AH579" s="455">
        <f>IF($AG579&gt;0,VLOOKUP($J579,Ruimtegroepen[],3,FALSE)*VLOOKUP($L579,Vloersoorten[],3,FALSE)*VLOOKUP($AF579,Frequenties[],3,FALSE)*VLOOKUP(#REF!,Locaties[],3,FALSE),0)</f>
        <v>0</v>
      </c>
      <c r="AI579" s="434">
        <f>Ruimtestaat[[#This Row],[Uitvoeringen weekend]]*Ruimtestaat[[#This Row],[Oppervlak (netto)]]</f>
        <v>0</v>
      </c>
      <c r="AJ579" s="434">
        <f>IF(AH579&gt;0,Ruimtestaat[[#This Row],[Prest. (m2 /jaar) weekend]]/Ruimtestaat[[#This Row],[Norm (m2/uur) weekend]],0)</f>
        <v>0</v>
      </c>
      <c r="AK579" s="444">
        <f>Ruimtestaat[[#This Row],[uren / jaar weekend]]*Tariefsopbouw!$D$40</f>
        <v>0</v>
      </c>
      <c r="AL579" s="441">
        <f>Ruimtestaat[[#This Row],[Prest. (m2 /jaar) weekend]]+Ruimtestaat[[#This Row],[Prest. (m2 /jaar) werkdagen]]</f>
        <v>0</v>
      </c>
      <c r="AM579" s="441">
        <f>Ruimtestaat[[#This Row],[uren / jaar weekend]]+Ruimtestaat[[#This Row],[uren / jaar werkdagen]]</f>
        <v>0</v>
      </c>
      <c r="AN579" s="446">
        <f>Ruimtestaat[[#This Row],[kosten / jaar weekend]]+Ruimtestaat[[#This Row],[kosten / jaar werkdagen]]</f>
        <v>0</v>
      </c>
      <c r="AO579" s="446"/>
      <c r="AP579" s="446" t="str">
        <f>IF(Ruimtestaat[[#This Row],[Frequentie werkdagen]]="","",_xlfn.CONCAT(Ruimtestaat[[#This Row],[Ruimte code]],"-",Ruimtestaat[[#This Row],[Frequentie werkdagen]]," ",Ruimtestaat[[#This Row],[Vloer code]]))</f>
        <v/>
      </c>
      <c r="AQ579" s="448" t="str">
        <f>_xlfn.IFNA(VLOOKUP($AP579,Programma!$F$3:$G$1101,2,0),"")</f>
        <v/>
      </c>
      <c r="AR579" s="448" t="str">
        <f>_xlfn.IFNA(VLOOKUP($AP579,Programma!$F$3:$H$1101,3,0),"")</f>
        <v/>
      </c>
      <c r="AS579" s="448" t="str">
        <f>_xlfn.IFNA(VLOOKUP($AP579,Programma!$F$3:$I$1101,4,0),"")</f>
        <v/>
      </c>
      <c r="AT579" s="448" t="str">
        <f>_xlfn.IFNA(VLOOKUP($AP579,Programma!$F$3:$J$1101,5,0),"")</f>
        <v/>
      </c>
      <c r="AU579" s="448" t="str">
        <f>_xlfn.IFNA(VLOOKUP($AP579,Programma!$F$3:$K$1101,6,0),"")</f>
        <v/>
      </c>
      <c r="AV579" s="448" t="str">
        <f>_xlfn.IFNA(VLOOKUP($AP579,Programma!$F$3:$L$1101,7,0),"")</f>
        <v/>
      </c>
      <c r="AW579" s="448" t="str">
        <f>_xlfn.IFNA(VLOOKUP($AP579,Programma!$F$3:$M$1101,8,0),"")</f>
        <v/>
      </c>
      <c r="AX579" s="448" t="str">
        <f>_xlfn.IFNA(VLOOKUP($AP579,Programma!$F$3:$N$1101,9,0),"")</f>
        <v/>
      </c>
      <c r="AY579" s="448" t="str">
        <f>_xlfn.IFNA(VLOOKUP($AP579,Programma!$F$3:$O$1101,10,0),"")</f>
        <v/>
      </c>
      <c r="AZ579" s="448" t="str">
        <f>_xlfn.IFNA(VLOOKUP($AP579,Programma!$F$3:$P$1101,11,0),"")</f>
        <v/>
      </c>
      <c r="BA579" s="448" t="str">
        <f>_xlfn.IFNA(VLOOKUP($AP579,Programma!$F$3:$Q$1101,12,0),"")</f>
        <v/>
      </c>
      <c r="BB579" s="448" t="str">
        <f>_xlfn.IFNA(VLOOKUP($AP579,Programma!$F$3:$R$1101,13,0),"")</f>
        <v/>
      </c>
      <c r="BC579" s="448" t="str">
        <f>_xlfn.IFNA(VLOOKUP($AP579,Programma!$F$3:$S$1101,14,0),"")</f>
        <v/>
      </c>
      <c r="BD579" s="448" t="str">
        <f>_xlfn.IFNA(VLOOKUP($AP579,Programma!$F$3:$T$1101,15,0),"")</f>
        <v/>
      </c>
      <c r="BE579" s="448" t="str">
        <f>_xlfn.IFNA(VLOOKUP($AP579,Programma!$F$3:$U$1101,16,0),"")</f>
        <v/>
      </c>
      <c r="BF579" s="448" t="str">
        <f>_xlfn.IFNA(VLOOKUP($AP579,Programma!$F$3:$V$1101,17,0),"")</f>
        <v/>
      </c>
      <c r="BG579" s="448" t="str">
        <f>_xlfn.IFNA(VLOOKUP($AP579,Programma!$F$3:$W$1101,18,0),"")</f>
        <v/>
      </c>
      <c r="BH579" s="448" t="str">
        <f>_xlfn.IFNA(VLOOKUP($AP579,Programma!$F$3:$X$1101,19,0),"")</f>
        <v/>
      </c>
      <c r="BI579" s="448" t="str">
        <f>_xlfn.IFNA(VLOOKUP($AP579,Programma!$F$3:$Y$1101,20,0),"")</f>
        <v/>
      </c>
      <c r="BJ579" s="449"/>
      <c r="BK579" s="446" t="str">
        <f>IF(Ruimtestaat[[#This Row],[Frequentie weekend]]="","",_xlfn.CONCAT(Ruimtestaat[[#This Row],[Ruimte code]],"-",Ruimtestaat[[#This Row],[Frequentie weekend]]," ",Ruimtestaat[[#This Row],[Vloer code]]))</f>
        <v/>
      </c>
      <c r="BL579" s="448" t="str">
        <f>_xlfn.IFNA(VLOOKUP($BK579,Programma!$F$3:$G$1101,2,0),"")</f>
        <v/>
      </c>
      <c r="BM579" s="448" t="str">
        <f>_xlfn.IFNA(VLOOKUP($BK579,Programma!$F$3:$H$1101,3,0),"")</f>
        <v/>
      </c>
      <c r="BN579" s="448" t="str">
        <f>_xlfn.IFNA(VLOOKUP($BK579,Programma!$F$3:$I$1101,4,0),"")</f>
        <v/>
      </c>
      <c r="BO579" s="448" t="str">
        <f>_xlfn.IFNA(VLOOKUP($BK579,Programma!$F$3:$J$1101,5,0),"")</f>
        <v/>
      </c>
      <c r="BP579" s="448" t="str">
        <f>_xlfn.IFNA(VLOOKUP($BK579,Programma!$F$3:$K$1101,6,0),"")</f>
        <v/>
      </c>
      <c r="BQ579" s="448" t="str">
        <f>_xlfn.IFNA(VLOOKUP($BK579,Programma!$F$3:$L$1101,7,0),"")</f>
        <v/>
      </c>
      <c r="BR579" s="448" t="str">
        <f>_xlfn.IFNA(VLOOKUP($BK579,Programma!$F$3:$M$1101,8,0),"")</f>
        <v/>
      </c>
      <c r="BS579" s="448" t="str">
        <f>_xlfn.IFNA(VLOOKUP($BK579,Programma!$F$3:$N$1101,9,0),"")</f>
        <v/>
      </c>
      <c r="BT579" s="448" t="str">
        <f>_xlfn.IFNA(VLOOKUP($BK579,Programma!$F$3:$O$1101,10,0),"")</f>
        <v/>
      </c>
      <c r="BU579" s="448" t="str">
        <f>_xlfn.IFNA(VLOOKUP($BK579,Programma!$F$3:$P$1101,11,0),"")</f>
        <v/>
      </c>
      <c r="BV579" s="448" t="str">
        <f>_xlfn.IFNA(VLOOKUP($BK579,Programma!$F$3:$Q$1101,12,0),"")</f>
        <v/>
      </c>
      <c r="BW579" s="448" t="str">
        <f>_xlfn.IFNA(VLOOKUP($BK579,Programma!$F$3:$R$1101,13,0),"")</f>
        <v/>
      </c>
      <c r="BX579" s="448" t="str">
        <f>_xlfn.IFNA(VLOOKUP($BK579,Programma!$F$3:$S$1101,14,0),"")</f>
        <v/>
      </c>
      <c r="BY579" s="448" t="str">
        <f>_xlfn.IFNA(VLOOKUP($BK579,Programma!$F$3:$T$1101,15,0),"")</f>
        <v/>
      </c>
      <c r="BZ579" s="448" t="str">
        <f>_xlfn.IFNA(VLOOKUP($BK579,Programma!$F$3:$U$1101,16,0),"")</f>
        <v/>
      </c>
      <c r="CA579" s="448" t="str">
        <f>_xlfn.IFNA(VLOOKUP($BK579,Programma!$F$3:$V$1101,17,0),"")</f>
        <v/>
      </c>
      <c r="CB579" s="448" t="str">
        <f>_xlfn.IFNA(VLOOKUP($BK579,Programma!$F$3:$W$1101,18,0),"")</f>
        <v/>
      </c>
      <c r="CC579" s="448" t="str">
        <f>_xlfn.IFNA(VLOOKUP($BK579,Programma!$F$3:$X$1101,19,0),"")</f>
        <v/>
      </c>
      <c r="CD579" s="448" t="str">
        <f>_xlfn.IFNA(VLOOKUP($BK579,Programma!$F$3:$Y$1101,20,0),"")</f>
        <v/>
      </c>
    </row>
    <row r="580" spans="1:82" ht="15" customHeight="1">
      <c r="A580" s="327">
        <v>20</v>
      </c>
      <c r="B580" s="435" t="str">
        <f>VLOOKUP(Ruimtestaat[[#This Row],[Code]],Locaties[[Code]:[Locatie]],2,FALSE)</f>
        <v>IKC de Saffier (extra lokaal gemeente)</v>
      </c>
      <c r="C580" s="435" t="str">
        <f>VLOOKUP(Ruimtestaat[[#This Row],[Code]],Locaties[[#All],[Code]:[Adres]],4,FALSE)</f>
        <v>Electrablauw 5</v>
      </c>
      <c r="D580" s="435" t="str">
        <f>VLOOKUP(Ruimtestaat[[#This Row],[Code]],Locaties[[#All],[Code]:[Postcode]],5,FALSE)</f>
        <v>2718 JT</v>
      </c>
      <c r="E580" s="435" t="str">
        <f>VLOOKUP(Ruimtestaat[[#This Row],[Code]],Locaties[#All],6,FALSE)</f>
        <v>Zoetermeer</v>
      </c>
      <c r="F580" s="450"/>
      <c r="G580" s="330" t="s">
        <v>1678</v>
      </c>
      <c r="H580" s="330" t="s">
        <v>1915</v>
      </c>
      <c r="I580" s="450" t="s">
        <v>1852</v>
      </c>
      <c r="J580" s="330">
        <v>20</v>
      </c>
      <c r="K580" s="450" t="str">
        <f>VLOOKUP(Ruimtestaat[[#This Row],[Ruimte code]],Ruimtegroepen[[#All],[Code]:[Ruimte omschrijving]],2,FALSE)</f>
        <v>Niet in Onderhoud</v>
      </c>
      <c r="L580" s="434" t="s">
        <v>100</v>
      </c>
      <c r="M580" s="437" t="s">
        <v>1759</v>
      </c>
      <c r="N580" s="439"/>
      <c r="O580" s="439"/>
      <c r="P580" s="439"/>
      <c r="Q580" s="439"/>
      <c r="R580" s="440">
        <f>VLOOKUP(Ruimtestaat[[#This Row],[Ruimte code]],Ruimtegroepen[],4,FALSE)</f>
        <v>0</v>
      </c>
      <c r="S580" s="434"/>
      <c r="T580" s="434"/>
      <c r="U580" s="453">
        <f>IF(S580&gt;0,IF(RIGHT(Ruimtestaat[[#This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80" s="434">
        <f>IF(U580&gt;0,VLOOKUP($J580,Ruimtegroepen[],3,FALSE)*VLOOKUP($L580,Vloersoorten[],3,FALSE)*VLOOKUP($T580,Frequenties[],3,FALSE)*VLOOKUP($A580,Locaties[],3,FALSE),0)</f>
        <v>0</v>
      </c>
      <c r="W580" s="434">
        <f>Ruimtestaat[[#This Row],[Uitvoeringen werkdagen]]*Ruimtestaat[[#This Row],[Oppervlak (netto)]]</f>
        <v>0</v>
      </c>
      <c r="X580" s="441">
        <f>IF(V580&gt;0,Ruimtestaat[[#This Row],[Prest. (m2 /jaar) werkdagen]]/Ruimtestaat[[#This Row],[Norm (m2/uur) werkdagen]],0)</f>
        <v>0</v>
      </c>
      <c r="Y580" s="442">
        <f>Ruimtestaat[[#This Row],[Uitvoeringen werkdagen]]*Ruimtestaat[[#This Row],[Gedeeltelijk]]</f>
        <v>0</v>
      </c>
      <c r="Z580" s="443">
        <f>IF(U580&gt;0,Ruimtestaat[[#This Row],[Prest. (m2 / jaar) werkdagen gedeeld]]/Ruimtestaat[[#This Row],[Norm (m2/uur) werkdagen]],0)</f>
        <v>0</v>
      </c>
      <c r="AA580" s="441">
        <f>Ruimtestaat[[#This Row],[uren / jaar werkdagen gedeeld]]*Tariefsopbouw!$E$35</f>
        <v>0</v>
      </c>
      <c r="AB580" s="441">
        <f>Ruimtestaat[[#This Row],[Uitvoeringen werkdagen]]*Ruimtestaat[[#This Row],[BSO]]</f>
        <v>0</v>
      </c>
      <c r="AC580" s="443">
        <f>IF(U580&gt;0,Ruimtestaat[[#This Row],[Prest. (m2 / jaar) werkdagen BSO]]/Ruimtestaat[[#This Row],[Norm (m2/uur) werkdagen]],0)</f>
        <v>0</v>
      </c>
      <c r="AD580" s="443">
        <f>Ruimtestaat[[#This Row],[uren / jaar werkdagen BSO]]*Tariefsopbouw!$E$35</f>
        <v>0</v>
      </c>
      <c r="AE580" s="444">
        <f>Ruimtestaat[[#This Row],[uren / jaar werkdagen]]*Tariefsopbouw!$E$35</f>
        <v>0</v>
      </c>
      <c r="AF580" s="454"/>
      <c r="AG580" s="455">
        <f>IF(Ruimtestaat[[#This Row],[Frequentie weekend]]&gt;0,VALUE(LEFT(AF580,1))*S580,0)</f>
        <v>0</v>
      </c>
      <c r="AH580" s="455">
        <f>IF($AG580&gt;0,VLOOKUP($J580,Ruimtegroepen[],3,FALSE)*VLOOKUP($L580,Vloersoorten[],3,FALSE)*VLOOKUP($AF580,Frequenties[],3,FALSE)*VLOOKUP(#REF!,Locaties[],3,FALSE),0)</f>
        <v>0</v>
      </c>
      <c r="AI580" s="434">
        <f>Ruimtestaat[[#This Row],[Uitvoeringen weekend]]*Ruimtestaat[[#This Row],[Oppervlak (netto)]]</f>
        <v>0</v>
      </c>
      <c r="AJ580" s="434">
        <f>IF(AH580&gt;0,Ruimtestaat[[#This Row],[Prest. (m2 /jaar) weekend]]/Ruimtestaat[[#This Row],[Norm (m2/uur) weekend]],0)</f>
        <v>0</v>
      </c>
      <c r="AK580" s="444">
        <f>Ruimtestaat[[#This Row],[uren / jaar weekend]]*Tariefsopbouw!$D$40</f>
        <v>0</v>
      </c>
      <c r="AL580" s="441">
        <f>Ruimtestaat[[#This Row],[Prest. (m2 /jaar) weekend]]+Ruimtestaat[[#This Row],[Prest. (m2 /jaar) werkdagen]]</f>
        <v>0</v>
      </c>
      <c r="AM580" s="441">
        <f>Ruimtestaat[[#This Row],[uren / jaar weekend]]+Ruimtestaat[[#This Row],[uren / jaar werkdagen]]</f>
        <v>0</v>
      </c>
      <c r="AN580" s="446">
        <f>Ruimtestaat[[#This Row],[kosten / jaar weekend]]+Ruimtestaat[[#This Row],[kosten / jaar werkdagen]]</f>
        <v>0</v>
      </c>
      <c r="AO580" s="446"/>
      <c r="AP580" s="446" t="str">
        <f>IF(Ruimtestaat[[#This Row],[Frequentie werkdagen]]="","",_xlfn.CONCAT(Ruimtestaat[[#This Row],[Ruimte code]],"-",Ruimtestaat[[#This Row],[Frequentie werkdagen]]," ",Ruimtestaat[[#This Row],[Vloer code]]))</f>
        <v/>
      </c>
      <c r="AQ580" s="448" t="str">
        <f>_xlfn.IFNA(VLOOKUP($AP580,Programma!$F$3:$G$1101,2,0),"")</f>
        <v/>
      </c>
      <c r="AR580" s="448" t="str">
        <f>_xlfn.IFNA(VLOOKUP($AP580,Programma!$F$3:$H$1101,3,0),"")</f>
        <v/>
      </c>
      <c r="AS580" s="448" t="str">
        <f>_xlfn.IFNA(VLOOKUP($AP580,Programma!$F$3:$I$1101,4,0),"")</f>
        <v/>
      </c>
      <c r="AT580" s="448" t="str">
        <f>_xlfn.IFNA(VLOOKUP($AP580,Programma!$F$3:$J$1101,5,0),"")</f>
        <v/>
      </c>
      <c r="AU580" s="448" t="str">
        <f>_xlfn.IFNA(VLOOKUP($AP580,Programma!$F$3:$K$1101,6,0),"")</f>
        <v/>
      </c>
      <c r="AV580" s="448" t="str">
        <f>_xlfn.IFNA(VLOOKUP($AP580,Programma!$F$3:$L$1101,7,0),"")</f>
        <v/>
      </c>
      <c r="AW580" s="448" t="str">
        <f>_xlfn.IFNA(VLOOKUP($AP580,Programma!$F$3:$M$1101,8,0),"")</f>
        <v/>
      </c>
      <c r="AX580" s="448" t="str">
        <f>_xlfn.IFNA(VLOOKUP($AP580,Programma!$F$3:$N$1101,9,0),"")</f>
        <v/>
      </c>
      <c r="AY580" s="448" t="str">
        <f>_xlfn.IFNA(VLOOKUP($AP580,Programma!$F$3:$O$1101,10,0),"")</f>
        <v/>
      </c>
      <c r="AZ580" s="448" t="str">
        <f>_xlfn.IFNA(VLOOKUP($AP580,Programma!$F$3:$P$1101,11,0),"")</f>
        <v/>
      </c>
      <c r="BA580" s="448" t="str">
        <f>_xlfn.IFNA(VLOOKUP($AP580,Programma!$F$3:$Q$1101,12,0),"")</f>
        <v/>
      </c>
      <c r="BB580" s="448" t="str">
        <f>_xlfn.IFNA(VLOOKUP($AP580,Programma!$F$3:$R$1101,13,0),"")</f>
        <v/>
      </c>
      <c r="BC580" s="448" t="str">
        <f>_xlfn.IFNA(VLOOKUP($AP580,Programma!$F$3:$S$1101,14,0),"")</f>
        <v/>
      </c>
      <c r="BD580" s="448" t="str">
        <f>_xlfn.IFNA(VLOOKUP($AP580,Programma!$F$3:$T$1101,15,0),"")</f>
        <v/>
      </c>
      <c r="BE580" s="448" t="str">
        <f>_xlfn.IFNA(VLOOKUP($AP580,Programma!$F$3:$U$1101,16,0),"")</f>
        <v/>
      </c>
      <c r="BF580" s="448" t="str">
        <f>_xlfn.IFNA(VLOOKUP($AP580,Programma!$F$3:$V$1101,17,0),"")</f>
        <v/>
      </c>
      <c r="BG580" s="448" t="str">
        <f>_xlfn.IFNA(VLOOKUP($AP580,Programma!$F$3:$W$1101,18,0),"")</f>
        <v/>
      </c>
      <c r="BH580" s="448" t="str">
        <f>_xlfn.IFNA(VLOOKUP($AP580,Programma!$F$3:$X$1101,19,0),"")</f>
        <v/>
      </c>
      <c r="BI580" s="448" t="str">
        <f>_xlfn.IFNA(VLOOKUP($AP580,Programma!$F$3:$Y$1101,20,0),"")</f>
        <v/>
      </c>
      <c r="BJ580" s="449"/>
      <c r="BK580" s="446" t="str">
        <f>IF(Ruimtestaat[[#This Row],[Frequentie weekend]]="","",_xlfn.CONCAT(Ruimtestaat[[#This Row],[Ruimte code]],"-",Ruimtestaat[[#This Row],[Frequentie weekend]]," ",Ruimtestaat[[#This Row],[Vloer code]]))</f>
        <v/>
      </c>
      <c r="BL580" s="448" t="str">
        <f>_xlfn.IFNA(VLOOKUP($BK580,Programma!$F$3:$G$1101,2,0),"")</f>
        <v/>
      </c>
      <c r="BM580" s="448" t="str">
        <f>_xlfn.IFNA(VLOOKUP($BK580,Programma!$F$3:$H$1101,3,0),"")</f>
        <v/>
      </c>
      <c r="BN580" s="448" t="str">
        <f>_xlfn.IFNA(VLOOKUP($BK580,Programma!$F$3:$I$1101,4,0),"")</f>
        <v/>
      </c>
      <c r="BO580" s="448" t="str">
        <f>_xlfn.IFNA(VLOOKUP($BK580,Programma!$F$3:$J$1101,5,0),"")</f>
        <v/>
      </c>
      <c r="BP580" s="448" t="str">
        <f>_xlfn.IFNA(VLOOKUP($BK580,Programma!$F$3:$K$1101,6,0),"")</f>
        <v/>
      </c>
      <c r="BQ580" s="448" t="str">
        <f>_xlfn.IFNA(VLOOKUP($BK580,Programma!$F$3:$L$1101,7,0),"")</f>
        <v/>
      </c>
      <c r="BR580" s="448" t="str">
        <f>_xlfn.IFNA(VLOOKUP($BK580,Programma!$F$3:$M$1101,8,0),"")</f>
        <v/>
      </c>
      <c r="BS580" s="448" t="str">
        <f>_xlfn.IFNA(VLOOKUP($BK580,Programma!$F$3:$N$1101,9,0),"")</f>
        <v/>
      </c>
      <c r="BT580" s="448" t="str">
        <f>_xlfn.IFNA(VLOOKUP($BK580,Programma!$F$3:$O$1101,10,0),"")</f>
        <v/>
      </c>
      <c r="BU580" s="448" t="str">
        <f>_xlfn.IFNA(VLOOKUP($BK580,Programma!$F$3:$P$1101,11,0),"")</f>
        <v/>
      </c>
      <c r="BV580" s="448" t="str">
        <f>_xlfn.IFNA(VLOOKUP($BK580,Programma!$F$3:$Q$1101,12,0),"")</f>
        <v/>
      </c>
      <c r="BW580" s="448" t="str">
        <f>_xlfn.IFNA(VLOOKUP($BK580,Programma!$F$3:$R$1101,13,0),"")</f>
        <v/>
      </c>
      <c r="BX580" s="448" t="str">
        <f>_xlfn.IFNA(VLOOKUP($BK580,Programma!$F$3:$S$1101,14,0),"")</f>
        <v/>
      </c>
      <c r="BY580" s="448" t="str">
        <f>_xlfn.IFNA(VLOOKUP($BK580,Programma!$F$3:$T$1101,15,0),"")</f>
        <v/>
      </c>
      <c r="BZ580" s="448" t="str">
        <f>_xlfn.IFNA(VLOOKUP($BK580,Programma!$F$3:$U$1101,16,0),"")</f>
        <v/>
      </c>
      <c r="CA580" s="448" t="str">
        <f>_xlfn.IFNA(VLOOKUP($BK580,Programma!$F$3:$V$1101,17,0),"")</f>
        <v/>
      </c>
      <c r="CB580" s="448" t="str">
        <f>_xlfn.IFNA(VLOOKUP($BK580,Programma!$F$3:$W$1101,18,0),"")</f>
        <v/>
      </c>
      <c r="CC580" s="448" t="str">
        <f>_xlfn.IFNA(VLOOKUP($BK580,Programma!$F$3:$X$1101,19,0),"")</f>
        <v/>
      </c>
      <c r="CD580" s="448" t="str">
        <f>_xlfn.IFNA(VLOOKUP($BK580,Programma!$F$3:$Y$1101,20,0),"")</f>
        <v/>
      </c>
    </row>
    <row r="581" spans="1:82" ht="15" customHeight="1">
      <c r="A581" s="327">
        <v>20</v>
      </c>
      <c r="B581" s="435" t="str">
        <f>VLOOKUP(Ruimtestaat[[#This Row],[Code]],Locaties[[Code]:[Locatie]],2,FALSE)</f>
        <v>IKC de Saffier (extra lokaal gemeente)</v>
      </c>
      <c r="C581" s="435" t="str">
        <f>VLOOKUP(Ruimtestaat[[#This Row],[Code]],Locaties[[#All],[Code]:[Adres]],4,FALSE)</f>
        <v>Electrablauw 5</v>
      </c>
      <c r="D581" s="435" t="str">
        <f>VLOOKUP(Ruimtestaat[[#This Row],[Code]],Locaties[[#All],[Code]:[Postcode]],5,FALSE)</f>
        <v>2718 JT</v>
      </c>
      <c r="E581" s="435" t="str">
        <f>VLOOKUP(Ruimtestaat[[#This Row],[Code]],Locaties[#All],6,FALSE)</f>
        <v>Zoetermeer</v>
      </c>
      <c r="F581" s="450"/>
      <c r="G581" s="330" t="s">
        <v>1678</v>
      </c>
      <c r="H581" s="330" t="s">
        <v>1912</v>
      </c>
      <c r="I581" s="450" t="s">
        <v>1874</v>
      </c>
      <c r="J581" s="330">
        <v>20</v>
      </c>
      <c r="K581" s="450" t="str">
        <f>VLOOKUP(Ruimtestaat[[#This Row],[Ruimte code]],Ruimtegroepen[[#All],[Code]:[Ruimte omschrijving]],2,FALSE)</f>
        <v>Niet in Onderhoud</v>
      </c>
      <c r="L581" s="434" t="s">
        <v>100</v>
      </c>
      <c r="M581" s="437" t="s">
        <v>1759</v>
      </c>
      <c r="N581" s="439"/>
      <c r="O581" s="439"/>
      <c r="P581" s="439"/>
      <c r="Q581" s="439"/>
      <c r="R581" s="440">
        <f>VLOOKUP(Ruimtestaat[[#This Row],[Ruimte code]],Ruimtegroepen[],4,FALSE)</f>
        <v>0</v>
      </c>
      <c r="S581" s="434"/>
      <c r="T581" s="434"/>
      <c r="U581" s="453">
        <f>IF(S581&gt;0,IF(RIGHT(Ruimtestaat[[#This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81" s="434">
        <f>IF(U581&gt;0,VLOOKUP($J581,Ruimtegroepen[],3,FALSE)*VLOOKUP($L581,Vloersoorten[],3,FALSE)*VLOOKUP($T581,Frequenties[],3,FALSE)*VLOOKUP($A581,Locaties[],3,FALSE),0)</f>
        <v>0</v>
      </c>
      <c r="W581" s="434">
        <f>Ruimtestaat[[#This Row],[Uitvoeringen werkdagen]]*Ruimtestaat[[#This Row],[Oppervlak (netto)]]</f>
        <v>0</v>
      </c>
      <c r="X581" s="441">
        <f>IF(V581&gt;0,Ruimtestaat[[#This Row],[Prest. (m2 /jaar) werkdagen]]/Ruimtestaat[[#This Row],[Norm (m2/uur) werkdagen]],0)</f>
        <v>0</v>
      </c>
      <c r="Y581" s="442">
        <f>Ruimtestaat[[#This Row],[Uitvoeringen werkdagen]]*Ruimtestaat[[#This Row],[Gedeeltelijk]]</f>
        <v>0</v>
      </c>
      <c r="Z581" s="443">
        <f>IF(U581&gt;0,Ruimtestaat[[#This Row],[Prest. (m2 / jaar) werkdagen gedeeld]]/Ruimtestaat[[#This Row],[Norm (m2/uur) werkdagen]],0)</f>
        <v>0</v>
      </c>
      <c r="AA581" s="441">
        <f>Ruimtestaat[[#This Row],[uren / jaar werkdagen gedeeld]]*Tariefsopbouw!$E$35</f>
        <v>0</v>
      </c>
      <c r="AB581" s="441">
        <f>Ruimtestaat[[#This Row],[Uitvoeringen werkdagen]]*Ruimtestaat[[#This Row],[BSO]]</f>
        <v>0</v>
      </c>
      <c r="AC581" s="443">
        <f>IF(U581&gt;0,Ruimtestaat[[#This Row],[Prest. (m2 / jaar) werkdagen BSO]]/Ruimtestaat[[#This Row],[Norm (m2/uur) werkdagen]],0)</f>
        <v>0</v>
      </c>
      <c r="AD581" s="443">
        <f>Ruimtestaat[[#This Row],[uren / jaar werkdagen BSO]]*Tariefsopbouw!$E$35</f>
        <v>0</v>
      </c>
      <c r="AE581" s="444">
        <f>Ruimtestaat[[#This Row],[uren / jaar werkdagen]]*Tariefsopbouw!$E$35</f>
        <v>0</v>
      </c>
      <c r="AF581" s="454"/>
      <c r="AG581" s="455">
        <f>IF(Ruimtestaat[[#This Row],[Frequentie weekend]]&gt;0,VALUE(LEFT(AF581,1))*S581,0)</f>
        <v>0</v>
      </c>
      <c r="AH581" s="455">
        <f>IF($AG581&gt;0,VLOOKUP($J581,Ruimtegroepen[],3,FALSE)*VLOOKUP($L581,Vloersoorten[],3,FALSE)*VLOOKUP($AF581,Frequenties[],3,FALSE)*VLOOKUP(#REF!,Locaties[],3,FALSE),0)</f>
        <v>0</v>
      </c>
      <c r="AI581" s="434">
        <f>Ruimtestaat[[#This Row],[Uitvoeringen weekend]]*Ruimtestaat[[#This Row],[Oppervlak (netto)]]</f>
        <v>0</v>
      </c>
      <c r="AJ581" s="434">
        <f>IF(AH581&gt;0,Ruimtestaat[[#This Row],[Prest. (m2 /jaar) weekend]]/Ruimtestaat[[#This Row],[Norm (m2/uur) weekend]],0)</f>
        <v>0</v>
      </c>
      <c r="AK581" s="444">
        <f>Ruimtestaat[[#This Row],[uren / jaar weekend]]*Tariefsopbouw!$D$40</f>
        <v>0</v>
      </c>
      <c r="AL581" s="441">
        <f>Ruimtestaat[[#This Row],[Prest. (m2 /jaar) weekend]]+Ruimtestaat[[#This Row],[Prest. (m2 /jaar) werkdagen]]</f>
        <v>0</v>
      </c>
      <c r="AM581" s="441">
        <f>Ruimtestaat[[#This Row],[uren / jaar weekend]]+Ruimtestaat[[#This Row],[uren / jaar werkdagen]]</f>
        <v>0</v>
      </c>
      <c r="AN581" s="446">
        <f>Ruimtestaat[[#This Row],[kosten / jaar weekend]]+Ruimtestaat[[#This Row],[kosten / jaar werkdagen]]</f>
        <v>0</v>
      </c>
      <c r="AO581" s="446"/>
      <c r="AP581" s="446" t="str">
        <f>IF(Ruimtestaat[[#This Row],[Frequentie werkdagen]]="","",_xlfn.CONCAT(Ruimtestaat[[#This Row],[Ruimte code]],"-",Ruimtestaat[[#This Row],[Frequentie werkdagen]]," ",Ruimtestaat[[#This Row],[Vloer code]]))</f>
        <v/>
      </c>
      <c r="AQ581" s="448" t="str">
        <f>_xlfn.IFNA(VLOOKUP($AP581,Programma!$F$3:$G$1101,2,0),"")</f>
        <v/>
      </c>
      <c r="AR581" s="448" t="str">
        <f>_xlfn.IFNA(VLOOKUP($AP581,Programma!$F$3:$H$1101,3,0),"")</f>
        <v/>
      </c>
      <c r="AS581" s="448" t="str">
        <f>_xlfn.IFNA(VLOOKUP($AP581,Programma!$F$3:$I$1101,4,0),"")</f>
        <v/>
      </c>
      <c r="AT581" s="448" t="str">
        <f>_xlfn.IFNA(VLOOKUP($AP581,Programma!$F$3:$J$1101,5,0),"")</f>
        <v/>
      </c>
      <c r="AU581" s="448" t="str">
        <f>_xlfn.IFNA(VLOOKUP($AP581,Programma!$F$3:$K$1101,6,0),"")</f>
        <v/>
      </c>
      <c r="AV581" s="448" t="str">
        <f>_xlfn.IFNA(VLOOKUP($AP581,Programma!$F$3:$L$1101,7,0),"")</f>
        <v/>
      </c>
      <c r="AW581" s="448" t="str">
        <f>_xlfn.IFNA(VLOOKUP($AP581,Programma!$F$3:$M$1101,8,0),"")</f>
        <v/>
      </c>
      <c r="AX581" s="448" t="str">
        <f>_xlfn.IFNA(VLOOKUP($AP581,Programma!$F$3:$N$1101,9,0),"")</f>
        <v/>
      </c>
      <c r="AY581" s="448" t="str">
        <f>_xlfn.IFNA(VLOOKUP($AP581,Programma!$F$3:$O$1101,10,0),"")</f>
        <v/>
      </c>
      <c r="AZ581" s="448" t="str">
        <f>_xlfn.IFNA(VLOOKUP($AP581,Programma!$F$3:$P$1101,11,0),"")</f>
        <v/>
      </c>
      <c r="BA581" s="448" t="str">
        <f>_xlfn.IFNA(VLOOKUP($AP581,Programma!$F$3:$Q$1101,12,0),"")</f>
        <v/>
      </c>
      <c r="BB581" s="448" t="str">
        <f>_xlfn.IFNA(VLOOKUP($AP581,Programma!$F$3:$R$1101,13,0),"")</f>
        <v/>
      </c>
      <c r="BC581" s="448" t="str">
        <f>_xlfn.IFNA(VLOOKUP($AP581,Programma!$F$3:$S$1101,14,0),"")</f>
        <v/>
      </c>
      <c r="BD581" s="448" t="str">
        <f>_xlfn.IFNA(VLOOKUP($AP581,Programma!$F$3:$T$1101,15,0),"")</f>
        <v/>
      </c>
      <c r="BE581" s="448" t="str">
        <f>_xlfn.IFNA(VLOOKUP($AP581,Programma!$F$3:$U$1101,16,0),"")</f>
        <v/>
      </c>
      <c r="BF581" s="448" t="str">
        <f>_xlfn.IFNA(VLOOKUP($AP581,Programma!$F$3:$V$1101,17,0),"")</f>
        <v/>
      </c>
      <c r="BG581" s="448" t="str">
        <f>_xlfn.IFNA(VLOOKUP($AP581,Programma!$F$3:$W$1101,18,0),"")</f>
        <v/>
      </c>
      <c r="BH581" s="448" t="str">
        <f>_xlfn.IFNA(VLOOKUP($AP581,Programma!$F$3:$X$1101,19,0),"")</f>
        <v/>
      </c>
      <c r="BI581" s="448" t="str">
        <f>_xlfn.IFNA(VLOOKUP($AP581,Programma!$F$3:$Y$1101,20,0),"")</f>
        <v/>
      </c>
      <c r="BJ581" s="449"/>
      <c r="BK581" s="446" t="str">
        <f>IF(Ruimtestaat[[#This Row],[Frequentie weekend]]="","",_xlfn.CONCAT(Ruimtestaat[[#This Row],[Ruimte code]],"-",Ruimtestaat[[#This Row],[Frequentie weekend]]," ",Ruimtestaat[[#This Row],[Vloer code]]))</f>
        <v/>
      </c>
      <c r="BL581" s="448" t="str">
        <f>_xlfn.IFNA(VLOOKUP($BK581,Programma!$F$3:$G$1101,2,0),"")</f>
        <v/>
      </c>
      <c r="BM581" s="448" t="str">
        <f>_xlfn.IFNA(VLOOKUP($BK581,Programma!$F$3:$H$1101,3,0),"")</f>
        <v/>
      </c>
      <c r="BN581" s="448" t="str">
        <f>_xlfn.IFNA(VLOOKUP($BK581,Programma!$F$3:$I$1101,4,0),"")</f>
        <v/>
      </c>
      <c r="BO581" s="448" t="str">
        <f>_xlfn.IFNA(VLOOKUP($BK581,Programma!$F$3:$J$1101,5,0),"")</f>
        <v/>
      </c>
      <c r="BP581" s="448" t="str">
        <f>_xlfn.IFNA(VLOOKUP($BK581,Programma!$F$3:$K$1101,6,0),"")</f>
        <v/>
      </c>
      <c r="BQ581" s="448" t="str">
        <f>_xlfn.IFNA(VLOOKUP($BK581,Programma!$F$3:$L$1101,7,0),"")</f>
        <v/>
      </c>
      <c r="BR581" s="448" t="str">
        <f>_xlfn.IFNA(VLOOKUP($BK581,Programma!$F$3:$M$1101,8,0),"")</f>
        <v/>
      </c>
      <c r="BS581" s="448" t="str">
        <f>_xlfn.IFNA(VLOOKUP($BK581,Programma!$F$3:$N$1101,9,0),"")</f>
        <v/>
      </c>
      <c r="BT581" s="448" t="str">
        <f>_xlfn.IFNA(VLOOKUP($BK581,Programma!$F$3:$O$1101,10,0),"")</f>
        <v/>
      </c>
      <c r="BU581" s="448" t="str">
        <f>_xlfn.IFNA(VLOOKUP($BK581,Programma!$F$3:$P$1101,11,0),"")</f>
        <v/>
      </c>
      <c r="BV581" s="448" t="str">
        <f>_xlfn.IFNA(VLOOKUP($BK581,Programma!$F$3:$Q$1101,12,0),"")</f>
        <v/>
      </c>
      <c r="BW581" s="448" t="str">
        <f>_xlfn.IFNA(VLOOKUP($BK581,Programma!$F$3:$R$1101,13,0),"")</f>
        <v/>
      </c>
      <c r="BX581" s="448" t="str">
        <f>_xlfn.IFNA(VLOOKUP($BK581,Programma!$F$3:$S$1101,14,0),"")</f>
        <v/>
      </c>
      <c r="BY581" s="448" t="str">
        <f>_xlfn.IFNA(VLOOKUP($BK581,Programma!$F$3:$T$1101,15,0),"")</f>
        <v/>
      </c>
      <c r="BZ581" s="448" t="str">
        <f>_xlfn.IFNA(VLOOKUP($BK581,Programma!$F$3:$U$1101,16,0),"")</f>
        <v/>
      </c>
      <c r="CA581" s="448" t="str">
        <f>_xlfn.IFNA(VLOOKUP($BK581,Programma!$F$3:$V$1101,17,0),"")</f>
        <v/>
      </c>
      <c r="CB581" s="448" t="str">
        <f>_xlfn.IFNA(VLOOKUP($BK581,Programma!$F$3:$W$1101,18,0),"")</f>
        <v/>
      </c>
      <c r="CC581" s="448" t="str">
        <f>_xlfn.IFNA(VLOOKUP($BK581,Programma!$F$3:$X$1101,19,0),"")</f>
        <v/>
      </c>
      <c r="CD581" s="448" t="str">
        <f>_xlfn.IFNA(VLOOKUP($BK581,Programma!$F$3:$Y$1101,20,0),"")</f>
        <v/>
      </c>
    </row>
    <row r="582" spans="1:82" ht="15" customHeight="1">
      <c r="A582" s="327">
        <v>20</v>
      </c>
      <c r="B582" s="435" t="str">
        <f>VLOOKUP(Ruimtestaat[[#This Row],[Code]],Locaties[[Code]:[Locatie]],2,FALSE)</f>
        <v>IKC de Saffier (extra lokaal gemeente)</v>
      </c>
      <c r="C582" s="435" t="str">
        <f>VLOOKUP(Ruimtestaat[[#This Row],[Code]],Locaties[[#All],[Code]:[Adres]],4,FALSE)</f>
        <v>Electrablauw 5</v>
      </c>
      <c r="D582" s="435" t="str">
        <f>VLOOKUP(Ruimtestaat[[#This Row],[Code]],Locaties[[#All],[Code]:[Postcode]],5,FALSE)</f>
        <v>2718 JT</v>
      </c>
      <c r="E582" s="435" t="str">
        <f>VLOOKUP(Ruimtestaat[[#This Row],[Code]],Locaties[#All],6,FALSE)</f>
        <v>Zoetermeer</v>
      </c>
      <c r="F582" s="450"/>
      <c r="G582" s="330" t="s">
        <v>1678</v>
      </c>
      <c r="H582" s="330" t="s">
        <v>1921</v>
      </c>
      <c r="I582" s="450" t="s">
        <v>1720</v>
      </c>
      <c r="J582" s="330">
        <v>5</v>
      </c>
      <c r="K582" s="450" t="str">
        <f>VLOOKUP(Ruimtestaat[[#This Row],[Ruimte code]],Ruimtegroepen[[#All],[Code]:[Ruimte omschrijving]],2,FALSE)</f>
        <v>Sanitair</v>
      </c>
      <c r="L582" s="330" t="s">
        <v>101</v>
      </c>
      <c r="M582" s="437" t="s">
        <v>1947</v>
      </c>
      <c r="N582" s="439">
        <v>2</v>
      </c>
      <c r="O582" s="439"/>
      <c r="P582" s="439"/>
      <c r="Q582" s="439"/>
      <c r="R582" s="440" t="str">
        <f>VLOOKUP(Ruimtestaat[[#This Row],[Ruimte code]],Ruimtegroepen[],4,FALSE)</f>
        <v>Sa</v>
      </c>
      <c r="S582" s="434">
        <v>41</v>
      </c>
      <c r="T582" s="434" t="s">
        <v>2</v>
      </c>
      <c r="U582" s="453">
        <f>IF(S582&gt;0,IF(RIGHT(Ruimtestaat[[#This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82" s="434">
        <f>IF(U582&gt;0,VLOOKUP($J582,Ruimtegroepen[],3,FALSE)*VLOOKUP($L582,Vloersoorten[],3,FALSE)*VLOOKUP($T582,Frequenties[],3,FALSE)*VLOOKUP($A582,Locaties[],3,FALSE),0)</f>
        <v>0</v>
      </c>
      <c r="W582" s="434">
        <f>Ruimtestaat[[#This Row],[Uitvoeringen werkdagen]]*Ruimtestaat[[#This Row],[Oppervlak (netto)]]</f>
        <v>410</v>
      </c>
      <c r="X582" s="441">
        <f>IF(V582&gt;0,Ruimtestaat[[#This Row],[Prest. (m2 /jaar) werkdagen]]/Ruimtestaat[[#This Row],[Norm (m2/uur) werkdagen]],0)</f>
        <v>0</v>
      </c>
      <c r="Y582" s="442">
        <f>Ruimtestaat[[#This Row],[Uitvoeringen werkdagen]]*Ruimtestaat[[#This Row],[Gedeeltelijk]]</f>
        <v>0</v>
      </c>
      <c r="Z582" s="443" t="e">
        <f>IF(U582&gt;0,Ruimtestaat[[#This Row],[Prest. (m2 / jaar) werkdagen gedeeld]]/Ruimtestaat[[#This Row],[Norm (m2/uur) werkdagen]],0)</f>
        <v>#DIV/0!</v>
      </c>
      <c r="AA582" s="441" t="e">
        <f>Ruimtestaat[[#This Row],[uren / jaar werkdagen gedeeld]]*Tariefsopbouw!$E$35</f>
        <v>#DIV/0!</v>
      </c>
      <c r="AB582" s="441">
        <f>Ruimtestaat[[#This Row],[Uitvoeringen werkdagen]]*Ruimtestaat[[#This Row],[BSO]]</f>
        <v>0</v>
      </c>
      <c r="AC582" s="443" t="e">
        <f>IF(U582&gt;0,Ruimtestaat[[#This Row],[Prest. (m2 / jaar) werkdagen BSO]]/Ruimtestaat[[#This Row],[Norm (m2/uur) werkdagen]],0)</f>
        <v>#DIV/0!</v>
      </c>
      <c r="AD582" s="443" t="e">
        <f>Ruimtestaat[[#This Row],[uren / jaar werkdagen BSO]]*Tariefsopbouw!$E$35</f>
        <v>#DIV/0!</v>
      </c>
      <c r="AE582" s="444">
        <f>Ruimtestaat[[#This Row],[uren / jaar werkdagen]]*Tariefsopbouw!$E$35</f>
        <v>0</v>
      </c>
      <c r="AF582" s="454"/>
      <c r="AG582" s="455">
        <f>IF(Ruimtestaat[[#This Row],[Frequentie weekend]]&gt;0,VALUE(LEFT(AF582,1))*S582,0)</f>
        <v>0</v>
      </c>
      <c r="AH582" s="455">
        <f>IF($AG582&gt;0,VLOOKUP($J582,Ruimtegroepen[],3,FALSE)*VLOOKUP($L582,Vloersoorten[],3,FALSE)*VLOOKUP($AF582,Frequenties[],3,FALSE)*VLOOKUP(#REF!,Locaties[],3,FALSE),0)</f>
        <v>0</v>
      </c>
      <c r="AI582" s="434">
        <f>Ruimtestaat[[#This Row],[Uitvoeringen weekend]]*Ruimtestaat[[#This Row],[Oppervlak (netto)]]</f>
        <v>0</v>
      </c>
      <c r="AJ582" s="434">
        <f>IF(AH582&gt;0,Ruimtestaat[[#This Row],[Prest. (m2 /jaar) weekend]]/Ruimtestaat[[#This Row],[Norm (m2/uur) weekend]],0)</f>
        <v>0</v>
      </c>
      <c r="AK582" s="444">
        <f>Ruimtestaat[[#This Row],[uren / jaar weekend]]*Tariefsopbouw!$D$40</f>
        <v>0</v>
      </c>
      <c r="AL582" s="441">
        <f>Ruimtestaat[[#This Row],[Prest. (m2 /jaar) weekend]]+Ruimtestaat[[#This Row],[Prest. (m2 /jaar) werkdagen]]</f>
        <v>410</v>
      </c>
      <c r="AM582" s="441">
        <f>Ruimtestaat[[#This Row],[uren / jaar weekend]]+Ruimtestaat[[#This Row],[uren / jaar werkdagen]]</f>
        <v>0</v>
      </c>
      <c r="AN582" s="446">
        <f>Ruimtestaat[[#This Row],[kosten / jaar weekend]]+Ruimtestaat[[#This Row],[kosten / jaar werkdagen]]</f>
        <v>0</v>
      </c>
      <c r="AO582" s="446"/>
      <c r="AP582" s="446" t="str">
        <f>IF(Ruimtestaat[[#This Row],[Frequentie werkdagen]]="","",_xlfn.CONCAT(Ruimtestaat[[#This Row],[Ruimte code]],"-",Ruimtestaat[[#This Row],[Frequentie werkdagen]]," ",Ruimtestaat[[#This Row],[Vloer code]]))</f>
        <v>5-5w S</v>
      </c>
      <c r="AQ582" s="448" t="str">
        <f>_xlfn.IFNA(VLOOKUP($AP582,Programma!$F$3:$G$1101,2,0),"")</f>
        <v>_</v>
      </c>
      <c r="AR582" s="448" t="str">
        <f>_xlfn.IFNA(VLOOKUP($AP582,Programma!$F$3:$H$1101,3,0),"")</f>
        <v>_</v>
      </c>
      <c r="AS582" s="448" t="str">
        <f>_xlfn.IFNA(VLOOKUP($AP582,Programma!$F$3:$I$1101,4,0),"")</f>
        <v>_</v>
      </c>
      <c r="AT582" s="448" t="str">
        <f>_xlfn.IFNA(VLOOKUP($AP582,Programma!$F$3:$J$1101,5,0),"")</f>
        <v>4w</v>
      </c>
      <c r="AU582" s="448" t="str">
        <f>_xlfn.IFNA(VLOOKUP($AP582,Programma!$F$3:$K$1101,6,0),"")</f>
        <v>1w</v>
      </c>
      <c r="AV582" s="448" t="str">
        <f>_xlfn.IFNA(VLOOKUP($AP582,Programma!$F$3:$L$1101,7,0),"")</f>
        <v>_</v>
      </c>
      <c r="AW582" s="448" t="str">
        <f>_xlfn.IFNA(VLOOKUP($AP582,Programma!$F$3:$M$1101,8,0),"")</f>
        <v>_</v>
      </c>
      <c r="AX582" s="448" t="str">
        <f>_xlfn.IFNA(VLOOKUP($AP582,Programma!$F$3:$N$1101,9,0),"")</f>
        <v>_</v>
      </c>
      <c r="AY582" s="448" t="str">
        <f>_xlfn.IFNA(VLOOKUP($AP582,Programma!$F$3:$O$1101,10,0),"")</f>
        <v>_</v>
      </c>
      <c r="AZ582" s="448" t="str">
        <f>_xlfn.IFNA(VLOOKUP($AP582,Programma!$F$3:$P$1101,11,0),"")</f>
        <v>_</v>
      </c>
      <c r="BA582" s="448" t="str">
        <f>_xlfn.IFNA(VLOOKUP($AP582,Programma!$F$3:$Q$1101,12,0),"")</f>
        <v>_</v>
      </c>
      <c r="BB582" s="448" t="str">
        <f>_xlfn.IFNA(VLOOKUP($AP582,Programma!$F$3:$R$1101,13,0),"")</f>
        <v>_</v>
      </c>
      <c r="BC582" s="448" t="str">
        <f>_xlfn.IFNA(VLOOKUP($AP582,Programma!$F$3:$S$1101,14,0),"")</f>
        <v>_</v>
      </c>
      <c r="BD582" s="448" t="str">
        <f>_xlfn.IFNA(VLOOKUP($AP582,Programma!$F$3:$T$1101,15,0),"")</f>
        <v>_</v>
      </c>
      <c r="BE582" s="448" t="str">
        <f>_xlfn.IFNA(VLOOKUP($AP582,Programma!$F$3:$U$1101,16,0),"")</f>
        <v>_</v>
      </c>
      <c r="BF582" s="448" t="str">
        <f>_xlfn.IFNA(VLOOKUP($AP582,Programma!$F$3:$V$1101,17,0),"")</f>
        <v>_</v>
      </c>
      <c r="BG582" s="448" t="str">
        <f>_xlfn.IFNA(VLOOKUP($AP582,Programma!$F$3:$W$1101,18,0),"")</f>
        <v>4w</v>
      </c>
      <c r="BH582" s="448" t="str">
        <f>_xlfn.IFNA(VLOOKUP($AP582,Programma!$F$3:$X$1101,19,0),"")</f>
        <v>1w</v>
      </c>
      <c r="BI582" s="448" t="str">
        <f>_xlfn.IFNA(VLOOKUP($AP582,Programma!$F$3:$Y$1101,20,0),"")</f>
        <v>_</v>
      </c>
      <c r="BJ582" s="449"/>
      <c r="BK582" s="446" t="str">
        <f>IF(Ruimtestaat[[#This Row],[Frequentie weekend]]="","",_xlfn.CONCAT(Ruimtestaat[[#This Row],[Ruimte code]],"-",Ruimtestaat[[#This Row],[Frequentie weekend]]," ",Ruimtestaat[[#This Row],[Vloer code]]))</f>
        <v/>
      </c>
      <c r="BL582" s="448" t="str">
        <f>_xlfn.IFNA(VLOOKUP($BK582,Programma!$F$3:$G$1101,2,0),"")</f>
        <v/>
      </c>
      <c r="BM582" s="448" t="str">
        <f>_xlfn.IFNA(VLOOKUP($BK582,Programma!$F$3:$H$1101,3,0),"")</f>
        <v/>
      </c>
      <c r="BN582" s="448" t="str">
        <f>_xlfn.IFNA(VLOOKUP($BK582,Programma!$F$3:$I$1101,4,0),"")</f>
        <v/>
      </c>
      <c r="BO582" s="448" t="str">
        <f>_xlfn.IFNA(VLOOKUP($BK582,Programma!$F$3:$J$1101,5,0),"")</f>
        <v/>
      </c>
      <c r="BP582" s="448" t="str">
        <f>_xlfn.IFNA(VLOOKUP($BK582,Programma!$F$3:$K$1101,6,0),"")</f>
        <v/>
      </c>
      <c r="BQ582" s="448" t="str">
        <f>_xlfn.IFNA(VLOOKUP($BK582,Programma!$F$3:$L$1101,7,0),"")</f>
        <v/>
      </c>
      <c r="BR582" s="448" t="str">
        <f>_xlfn.IFNA(VLOOKUP($BK582,Programma!$F$3:$M$1101,8,0),"")</f>
        <v/>
      </c>
      <c r="BS582" s="448" t="str">
        <f>_xlfn.IFNA(VLOOKUP($BK582,Programma!$F$3:$N$1101,9,0),"")</f>
        <v/>
      </c>
      <c r="BT582" s="448" t="str">
        <f>_xlfn.IFNA(VLOOKUP($BK582,Programma!$F$3:$O$1101,10,0),"")</f>
        <v/>
      </c>
      <c r="BU582" s="448" t="str">
        <f>_xlfn.IFNA(VLOOKUP($BK582,Programma!$F$3:$P$1101,11,0),"")</f>
        <v/>
      </c>
      <c r="BV582" s="448" t="str">
        <f>_xlfn.IFNA(VLOOKUP($BK582,Programma!$F$3:$Q$1101,12,0),"")</f>
        <v/>
      </c>
      <c r="BW582" s="448" t="str">
        <f>_xlfn.IFNA(VLOOKUP($BK582,Programma!$F$3:$R$1101,13,0),"")</f>
        <v/>
      </c>
      <c r="BX582" s="448" t="str">
        <f>_xlfn.IFNA(VLOOKUP($BK582,Programma!$F$3:$S$1101,14,0),"")</f>
        <v/>
      </c>
      <c r="BY582" s="448" t="str">
        <f>_xlfn.IFNA(VLOOKUP($BK582,Programma!$F$3:$T$1101,15,0),"")</f>
        <v/>
      </c>
      <c r="BZ582" s="448" t="str">
        <f>_xlfn.IFNA(VLOOKUP($BK582,Programma!$F$3:$U$1101,16,0),"")</f>
        <v/>
      </c>
      <c r="CA582" s="448" t="str">
        <f>_xlfn.IFNA(VLOOKUP($BK582,Programma!$F$3:$V$1101,17,0),"")</f>
        <v/>
      </c>
      <c r="CB582" s="448" t="str">
        <f>_xlfn.IFNA(VLOOKUP($BK582,Programma!$F$3:$W$1101,18,0),"")</f>
        <v/>
      </c>
      <c r="CC582" s="448" t="str">
        <f>_xlfn.IFNA(VLOOKUP($BK582,Programma!$F$3:$X$1101,19,0),"")</f>
        <v/>
      </c>
      <c r="CD582" s="448" t="str">
        <f>_xlfn.IFNA(VLOOKUP($BK582,Programma!$F$3:$Y$1101,20,0),"")</f>
        <v/>
      </c>
    </row>
    <row r="583" spans="1:82" ht="15" customHeight="1">
      <c r="A583" s="327">
        <v>20</v>
      </c>
      <c r="B583" s="435" t="str">
        <f>VLOOKUP(Ruimtestaat[[#This Row],[Code]],Locaties[[Code]:[Locatie]],2,FALSE)</f>
        <v>IKC de Saffier (extra lokaal gemeente)</v>
      </c>
      <c r="C583" s="435" t="str">
        <f>VLOOKUP(Ruimtestaat[[#This Row],[Code]],Locaties[[#All],[Code]:[Adres]],4,FALSE)</f>
        <v>Electrablauw 5</v>
      </c>
      <c r="D583" s="435" t="str">
        <f>VLOOKUP(Ruimtestaat[[#This Row],[Code]],Locaties[[#All],[Code]:[Postcode]],5,FALSE)</f>
        <v>2718 JT</v>
      </c>
      <c r="E583" s="435" t="str">
        <f>VLOOKUP(Ruimtestaat[[#This Row],[Code]],Locaties[#All],6,FALSE)</f>
        <v>Zoetermeer</v>
      </c>
      <c r="F583" s="450"/>
      <c r="G583" s="330" t="s">
        <v>1678</v>
      </c>
      <c r="H583" s="330" t="s">
        <v>1922</v>
      </c>
      <c r="I583" s="450" t="s">
        <v>1946</v>
      </c>
      <c r="J583" s="330">
        <v>18</v>
      </c>
      <c r="K583" s="450" t="str">
        <f>VLOOKUP(Ruimtestaat[[#This Row],[Ruimte code]],Ruimtegroepen[[#All],[Code]:[Ruimte omschrijving]],2,FALSE)</f>
        <v>Gymzaal</v>
      </c>
      <c r="L583" s="330" t="s">
        <v>102</v>
      </c>
      <c r="M583" s="437" t="s">
        <v>120</v>
      </c>
      <c r="N583" s="439">
        <v>74.900000000000006</v>
      </c>
      <c r="O583" s="439"/>
      <c r="P583" s="439"/>
      <c r="Q583" s="439"/>
      <c r="R583" s="440" t="str">
        <f>VLOOKUP(Ruimtestaat[[#This Row],[Ruimte code]],Ruimtegroepen[],4,FALSE)</f>
        <v>Sp</v>
      </c>
      <c r="S583" s="434">
        <v>40</v>
      </c>
      <c r="T583" s="434" t="s">
        <v>2</v>
      </c>
      <c r="U583" s="453">
        <f>IF(S583&gt;0,IF(RIGHT(Ruimtestaat[[#This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3" s="434">
        <f>IF(U583&gt;0,VLOOKUP($J583,Ruimtegroepen[],3,FALSE)*VLOOKUP($L583,Vloersoorten[],3,FALSE)*VLOOKUP($T583,Frequenties[],3,FALSE)*VLOOKUP($A583,Locaties[],3,FALSE),0)</f>
        <v>0</v>
      </c>
      <c r="W583" s="434">
        <f>Ruimtestaat[[#This Row],[Uitvoeringen werkdagen]]*Ruimtestaat[[#This Row],[Oppervlak (netto)]]</f>
        <v>14980.000000000002</v>
      </c>
      <c r="X583" s="441">
        <f>IF(V583&gt;0,Ruimtestaat[[#This Row],[Prest. (m2 /jaar) werkdagen]]/Ruimtestaat[[#This Row],[Norm (m2/uur) werkdagen]],0)</f>
        <v>0</v>
      </c>
      <c r="Y583" s="442">
        <f>Ruimtestaat[[#This Row],[Uitvoeringen werkdagen]]*Ruimtestaat[[#This Row],[Gedeeltelijk]]</f>
        <v>0</v>
      </c>
      <c r="Z583" s="443" t="e">
        <f>IF(U583&gt;0,Ruimtestaat[[#This Row],[Prest. (m2 / jaar) werkdagen gedeeld]]/Ruimtestaat[[#This Row],[Norm (m2/uur) werkdagen]],0)</f>
        <v>#DIV/0!</v>
      </c>
      <c r="AA583" s="441" t="e">
        <f>Ruimtestaat[[#This Row],[uren / jaar werkdagen gedeeld]]*Tariefsopbouw!$E$35</f>
        <v>#DIV/0!</v>
      </c>
      <c r="AB583" s="441">
        <f>Ruimtestaat[[#This Row],[Uitvoeringen werkdagen]]*Ruimtestaat[[#This Row],[BSO]]</f>
        <v>0</v>
      </c>
      <c r="AC583" s="443" t="e">
        <f>IF(U583&gt;0,Ruimtestaat[[#This Row],[Prest. (m2 / jaar) werkdagen BSO]]/Ruimtestaat[[#This Row],[Norm (m2/uur) werkdagen]],0)</f>
        <v>#DIV/0!</v>
      </c>
      <c r="AD583" s="443" t="e">
        <f>Ruimtestaat[[#This Row],[uren / jaar werkdagen BSO]]*Tariefsopbouw!$E$35</f>
        <v>#DIV/0!</v>
      </c>
      <c r="AE583" s="444">
        <f>Ruimtestaat[[#This Row],[uren / jaar werkdagen]]*Tariefsopbouw!$E$35</f>
        <v>0</v>
      </c>
      <c r="AF583" s="454"/>
      <c r="AG583" s="455">
        <f>IF(Ruimtestaat[[#This Row],[Frequentie weekend]]&gt;0,VALUE(LEFT(AF583,1))*S583,0)</f>
        <v>0</v>
      </c>
      <c r="AH583" s="455">
        <f>IF($AG583&gt;0,VLOOKUP($J583,Ruimtegroepen[],3,FALSE)*VLOOKUP($L583,Vloersoorten[],3,FALSE)*VLOOKUP($AF583,Frequenties[],3,FALSE)*VLOOKUP(#REF!,Locaties[],3,FALSE),0)</f>
        <v>0</v>
      </c>
      <c r="AI583" s="434">
        <f>Ruimtestaat[[#This Row],[Uitvoeringen weekend]]*Ruimtestaat[[#This Row],[Oppervlak (netto)]]</f>
        <v>0</v>
      </c>
      <c r="AJ583" s="434">
        <f>IF(AH583&gt;0,Ruimtestaat[[#This Row],[Prest. (m2 /jaar) weekend]]/Ruimtestaat[[#This Row],[Norm (m2/uur) weekend]],0)</f>
        <v>0</v>
      </c>
      <c r="AK583" s="444">
        <f>Ruimtestaat[[#This Row],[uren / jaar weekend]]*Tariefsopbouw!$D$40</f>
        <v>0</v>
      </c>
      <c r="AL583" s="441">
        <f>Ruimtestaat[[#This Row],[Prest. (m2 /jaar) weekend]]+Ruimtestaat[[#This Row],[Prest. (m2 /jaar) werkdagen]]</f>
        <v>14980.000000000002</v>
      </c>
      <c r="AM583" s="441">
        <f>Ruimtestaat[[#This Row],[uren / jaar weekend]]+Ruimtestaat[[#This Row],[uren / jaar werkdagen]]</f>
        <v>0</v>
      </c>
      <c r="AN583" s="446">
        <f>Ruimtestaat[[#This Row],[kosten / jaar weekend]]+Ruimtestaat[[#This Row],[kosten / jaar werkdagen]]</f>
        <v>0</v>
      </c>
      <c r="AO583" s="446"/>
      <c r="AP583" s="446" t="str">
        <f>IF(Ruimtestaat[[#This Row],[Frequentie werkdagen]]="","",_xlfn.CONCAT(Ruimtestaat[[#This Row],[Ruimte code]],"-",Ruimtestaat[[#This Row],[Frequentie werkdagen]]," ",Ruimtestaat[[#This Row],[Vloer code]]))</f>
        <v>18-5w P</v>
      </c>
      <c r="AQ583" s="448" t="str">
        <f>_xlfn.IFNA(VLOOKUP($AP583,Programma!$F$3:$G$1101,2,0),"")</f>
        <v>_</v>
      </c>
      <c r="AR583" s="448" t="str">
        <f>_xlfn.IFNA(VLOOKUP($AP583,Programma!$F$3:$H$1101,3,0),"")</f>
        <v>_</v>
      </c>
      <c r="AS583" s="448" t="str">
        <f>_xlfn.IFNA(VLOOKUP($AP583,Programma!$F$3:$I$1101,4,0),"")</f>
        <v>4w</v>
      </c>
      <c r="AT583" s="448" t="str">
        <f>_xlfn.IFNA(VLOOKUP($AP583,Programma!$F$3:$J$1101,5,0),"")</f>
        <v>1w</v>
      </c>
      <c r="AU583" s="448" t="str">
        <f>_xlfn.IFNA(VLOOKUP($AP583,Programma!$F$3:$K$1101,6,0),"")</f>
        <v>4j</v>
      </c>
      <c r="AV583" s="448" t="str">
        <f>_xlfn.IFNA(VLOOKUP($AP583,Programma!$F$3:$L$1101,7,0),"")</f>
        <v>_</v>
      </c>
      <c r="AW583" s="448" t="str">
        <f>_xlfn.IFNA(VLOOKUP($AP583,Programma!$F$3:$M$1101,8,0),"")</f>
        <v>_</v>
      </c>
      <c r="AX583" s="448" t="str">
        <f>_xlfn.IFNA(VLOOKUP($AP583,Programma!$F$3:$N$1101,9,0),"")</f>
        <v>_</v>
      </c>
      <c r="AY583" s="448" t="str">
        <f>_xlfn.IFNA(VLOOKUP($AP583,Programma!$F$3:$O$1101,10,0),"")</f>
        <v>5w</v>
      </c>
      <c r="AZ583" s="448" t="str">
        <f>_xlfn.IFNA(VLOOKUP($AP583,Programma!$F$3:$P$1101,11,0),"")</f>
        <v>5w</v>
      </c>
      <c r="BA583" s="448" t="str">
        <f>_xlfn.IFNA(VLOOKUP($AP583,Programma!$F$3:$Q$1101,12,0),"")</f>
        <v>5w</v>
      </c>
      <c r="BB583" s="448" t="str">
        <f>_xlfn.IFNA(VLOOKUP($AP583,Programma!$F$3:$R$1101,13,0),"")</f>
        <v>5w</v>
      </c>
      <c r="BC583" s="448" t="str">
        <f>_xlfn.IFNA(VLOOKUP($AP583,Programma!$F$3:$S$1101,14,0),"")</f>
        <v>1m</v>
      </c>
      <c r="BD583" s="448" t="str">
        <f>_xlfn.IFNA(VLOOKUP($AP583,Programma!$F$3:$T$1101,15,0),"")</f>
        <v>2j</v>
      </c>
      <c r="BE583" s="448" t="str">
        <f>_xlfn.IFNA(VLOOKUP($AP583,Programma!$F$3:$U$1101,16,0),"")</f>
        <v>1j</v>
      </c>
      <c r="BF583" s="448" t="str">
        <f>_xlfn.IFNA(VLOOKUP($AP583,Programma!$F$3:$V$1101,17,0),"")</f>
        <v>_</v>
      </c>
      <c r="BG583" s="448" t="str">
        <f>_xlfn.IFNA(VLOOKUP($AP583,Programma!$F$3:$W$1101,18,0),"")</f>
        <v>_</v>
      </c>
      <c r="BH583" s="448" t="str">
        <f>_xlfn.IFNA(VLOOKUP($AP583,Programma!$F$3:$X$1101,19,0),"")</f>
        <v>_</v>
      </c>
      <c r="BI583" s="448" t="str">
        <f>_xlfn.IFNA(VLOOKUP($AP583,Programma!$F$3:$Y$1101,20,0),"")</f>
        <v>_</v>
      </c>
      <c r="BJ583" s="449"/>
      <c r="BK583" s="446" t="str">
        <f>IF(Ruimtestaat[[#This Row],[Frequentie weekend]]="","",_xlfn.CONCAT(Ruimtestaat[[#This Row],[Ruimte code]],"-",Ruimtestaat[[#This Row],[Frequentie weekend]]," ",Ruimtestaat[[#This Row],[Vloer code]]))</f>
        <v/>
      </c>
      <c r="BL583" s="448" t="str">
        <f>_xlfn.IFNA(VLOOKUP($BK583,Programma!$F$3:$G$1101,2,0),"")</f>
        <v/>
      </c>
      <c r="BM583" s="448" t="str">
        <f>_xlfn.IFNA(VLOOKUP($BK583,Programma!$F$3:$H$1101,3,0),"")</f>
        <v/>
      </c>
      <c r="BN583" s="448" t="str">
        <f>_xlfn.IFNA(VLOOKUP($BK583,Programma!$F$3:$I$1101,4,0),"")</f>
        <v/>
      </c>
      <c r="BO583" s="448" t="str">
        <f>_xlfn.IFNA(VLOOKUP($BK583,Programma!$F$3:$J$1101,5,0),"")</f>
        <v/>
      </c>
      <c r="BP583" s="448" t="str">
        <f>_xlfn.IFNA(VLOOKUP($BK583,Programma!$F$3:$K$1101,6,0),"")</f>
        <v/>
      </c>
      <c r="BQ583" s="448" t="str">
        <f>_xlfn.IFNA(VLOOKUP($BK583,Programma!$F$3:$L$1101,7,0),"")</f>
        <v/>
      </c>
      <c r="BR583" s="448" t="str">
        <f>_xlfn.IFNA(VLOOKUP($BK583,Programma!$F$3:$M$1101,8,0),"")</f>
        <v/>
      </c>
      <c r="BS583" s="448" t="str">
        <f>_xlfn.IFNA(VLOOKUP($BK583,Programma!$F$3:$N$1101,9,0),"")</f>
        <v/>
      </c>
      <c r="BT583" s="448" t="str">
        <f>_xlfn.IFNA(VLOOKUP($BK583,Programma!$F$3:$O$1101,10,0),"")</f>
        <v/>
      </c>
      <c r="BU583" s="448" t="str">
        <f>_xlfn.IFNA(VLOOKUP($BK583,Programma!$F$3:$P$1101,11,0),"")</f>
        <v/>
      </c>
      <c r="BV583" s="448" t="str">
        <f>_xlfn.IFNA(VLOOKUP($BK583,Programma!$F$3:$Q$1101,12,0),"")</f>
        <v/>
      </c>
      <c r="BW583" s="448" t="str">
        <f>_xlfn.IFNA(VLOOKUP($BK583,Programma!$F$3:$R$1101,13,0),"")</f>
        <v/>
      </c>
      <c r="BX583" s="448" t="str">
        <f>_xlfn.IFNA(VLOOKUP($BK583,Programma!$F$3:$S$1101,14,0),"")</f>
        <v/>
      </c>
      <c r="BY583" s="448" t="str">
        <f>_xlfn.IFNA(VLOOKUP($BK583,Programma!$F$3:$T$1101,15,0),"")</f>
        <v/>
      </c>
      <c r="BZ583" s="448" t="str">
        <f>_xlfn.IFNA(VLOOKUP($BK583,Programma!$F$3:$U$1101,16,0),"")</f>
        <v/>
      </c>
      <c r="CA583" s="448" t="str">
        <f>_xlfn.IFNA(VLOOKUP($BK583,Programma!$F$3:$V$1101,17,0),"")</f>
        <v/>
      </c>
      <c r="CB583" s="448" t="str">
        <f>_xlfn.IFNA(VLOOKUP($BK583,Programma!$F$3:$W$1101,18,0),"")</f>
        <v/>
      </c>
      <c r="CC583" s="448" t="str">
        <f>_xlfn.IFNA(VLOOKUP($BK583,Programma!$F$3:$X$1101,19,0),"")</f>
        <v/>
      </c>
      <c r="CD583" s="448" t="str">
        <f>_xlfn.IFNA(VLOOKUP($BK583,Programma!$F$3:$Y$1101,20,0),"")</f>
        <v/>
      </c>
    </row>
    <row r="584" spans="1:82" ht="15" customHeight="1">
      <c r="A584" s="327">
        <v>20</v>
      </c>
      <c r="B584" s="435" t="str">
        <f>VLOOKUP(Ruimtestaat[[#This Row],[Code]],Locaties[[Code]:[Locatie]],2,FALSE)</f>
        <v>IKC de Saffier (extra lokaal gemeente)</v>
      </c>
      <c r="C584" s="435" t="str">
        <f>VLOOKUP(Ruimtestaat[[#This Row],[Code]],Locaties[[#All],[Code]:[Adres]],4,FALSE)</f>
        <v>Electrablauw 5</v>
      </c>
      <c r="D584" s="435" t="str">
        <f>VLOOKUP(Ruimtestaat[[#This Row],[Code]],Locaties[[#All],[Code]:[Postcode]],5,FALSE)</f>
        <v>2718 JT</v>
      </c>
      <c r="E584" s="435" t="str">
        <f>VLOOKUP(Ruimtestaat[[#This Row],[Code]],Locaties[#All],6,FALSE)</f>
        <v>Zoetermeer</v>
      </c>
      <c r="F584" s="450"/>
      <c r="H584" s="330" t="s">
        <v>1662</v>
      </c>
      <c r="I584" s="450" t="s">
        <v>1708</v>
      </c>
      <c r="J584" s="330">
        <v>6</v>
      </c>
      <c r="K584" s="450" t="str">
        <f>VLOOKUP(Ruimtestaat[[#This Row],[Ruimte code]],Ruimtegroepen[[#All],[Code]:[Ruimte omschrijving]],2,FALSE)</f>
        <v>Gangen/hallen</v>
      </c>
      <c r="L584" s="434" t="s">
        <v>100</v>
      </c>
      <c r="M584" s="437" t="s">
        <v>1759</v>
      </c>
      <c r="N584" s="439">
        <v>55</v>
      </c>
      <c r="O584" s="439"/>
      <c r="P584" s="439"/>
      <c r="Q584" s="439"/>
      <c r="R584" s="440" t="str">
        <f>VLOOKUP(Ruimtestaat[[#This Row],[Ruimte code]],Ruimtegroepen[],4,FALSE)</f>
        <v>Ve</v>
      </c>
      <c r="S584" s="434">
        <v>41</v>
      </c>
      <c r="T584" s="434" t="s">
        <v>2</v>
      </c>
      <c r="U584" s="453">
        <f>IF(S584&gt;0,IF(RIGHT(Ruimtestaat[[#This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84" s="434">
        <f>IF(U584&gt;0,VLOOKUP($J584,Ruimtegroepen[],3,FALSE)*VLOOKUP($L584,Vloersoorten[],3,FALSE)*VLOOKUP($T584,Frequenties[],3,FALSE)*VLOOKUP($A584,Locaties[],3,FALSE),0)</f>
        <v>0</v>
      </c>
      <c r="W584" s="434">
        <f>Ruimtestaat[[#This Row],[Uitvoeringen werkdagen]]*Ruimtestaat[[#This Row],[Oppervlak (netto)]]</f>
        <v>11275</v>
      </c>
      <c r="X584" s="441">
        <f>IF(V584&gt;0,Ruimtestaat[[#This Row],[Prest. (m2 /jaar) werkdagen]]/Ruimtestaat[[#This Row],[Norm (m2/uur) werkdagen]],0)</f>
        <v>0</v>
      </c>
      <c r="Y584" s="442">
        <f>Ruimtestaat[[#This Row],[Uitvoeringen werkdagen]]*Ruimtestaat[[#This Row],[Gedeeltelijk]]</f>
        <v>0</v>
      </c>
      <c r="Z584" s="443" t="e">
        <f>IF(U584&gt;0,Ruimtestaat[[#This Row],[Prest. (m2 / jaar) werkdagen gedeeld]]/Ruimtestaat[[#This Row],[Norm (m2/uur) werkdagen]],0)</f>
        <v>#DIV/0!</v>
      </c>
      <c r="AA584" s="441" t="e">
        <f>Ruimtestaat[[#This Row],[uren / jaar werkdagen gedeeld]]*Tariefsopbouw!$E$35</f>
        <v>#DIV/0!</v>
      </c>
      <c r="AB584" s="441">
        <f>Ruimtestaat[[#This Row],[Uitvoeringen werkdagen]]*Ruimtestaat[[#This Row],[BSO]]</f>
        <v>0</v>
      </c>
      <c r="AC584" s="443" t="e">
        <f>IF(U584&gt;0,Ruimtestaat[[#This Row],[Prest. (m2 / jaar) werkdagen BSO]]/Ruimtestaat[[#This Row],[Norm (m2/uur) werkdagen]],0)</f>
        <v>#DIV/0!</v>
      </c>
      <c r="AD584" s="443" t="e">
        <f>Ruimtestaat[[#This Row],[uren / jaar werkdagen BSO]]*Tariefsopbouw!$E$35</f>
        <v>#DIV/0!</v>
      </c>
      <c r="AE584" s="444">
        <f>Ruimtestaat[[#This Row],[uren / jaar werkdagen]]*Tariefsopbouw!$E$35</f>
        <v>0</v>
      </c>
      <c r="AF584" s="454"/>
      <c r="AG584" s="455">
        <f>IF(Ruimtestaat[[#This Row],[Frequentie weekend]]&gt;0,VALUE(LEFT(AF584,1))*S584,0)</f>
        <v>0</v>
      </c>
      <c r="AH584" s="455">
        <f>IF($AG584&gt;0,VLOOKUP($J584,Ruimtegroepen[],3,FALSE)*VLOOKUP($L584,Vloersoorten[],3,FALSE)*VLOOKUP($AF584,Frequenties[],3,FALSE)*VLOOKUP(#REF!,Locaties[],3,FALSE),0)</f>
        <v>0</v>
      </c>
      <c r="AI584" s="434">
        <f>Ruimtestaat[[#This Row],[Uitvoeringen weekend]]*Ruimtestaat[[#This Row],[Oppervlak (netto)]]</f>
        <v>0</v>
      </c>
      <c r="AJ584" s="434">
        <f>IF(AH584&gt;0,Ruimtestaat[[#This Row],[Prest. (m2 /jaar) weekend]]/Ruimtestaat[[#This Row],[Norm (m2/uur) weekend]],0)</f>
        <v>0</v>
      </c>
      <c r="AK584" s="444">
        <f>Ruimtestaat[[#This Row],[uren / jaar weekend]]*Tariefsopbouw!$D$40</f>
        <v>0</v>
      </c>
      <c r="AL584" s="441">
        <f>Ruimtestaat[[#This Row],[Prest. (m2 /jaar) weekend]]+Ruimtestaat[[#This Row],[Prest. (m2 /jaar) werkdagen]]</f>
        <v>11275</v>
      </c>
      <c r="AM584" s="441">
        <f>Ruimtestaat[[#This Row],[uren / jaar weekend]]+Ruimtestaat[[#This Row],[uren / jaar werkdagen]]</f>
        <v>0</v>
      </c>
      <c r="AN584" s="446">
        <f>Ruimtestaat[[#This Row],[kosten / jaar weekend]]+Ruimtestaat[[#This Row],[kosten / jaar werkdagen]]</f>
        <v>0</v>
      </c>
      <c r="AO584" s="446"/>
      <c r="AP584" s="446" t="str">
        <f>IF(Ruimtestaat[[#This Row],[Frequentie werkdagen]]="","",_xlfn.CONCAT(Ruimtestaat[[#This Row],[Ruimte code]],"-",Ruimtestaat[[#This Row],[Frequentie werkdagen]]," ",Ruimtestaat[[#This Row],[Vloer code]]))</f>
        <v>6-5w L</v>
      </c>
      <c r="AQ584" s="448" t="str">
        <f>_xlfn.IFNA(VLOOKUP($AP584,Programma!$F$3:$G$1101,2,0),"")</f>
        <v>_</v>
      </c>
      <c r="AR584" s="448" t="str">
        <f>_xlfn.IFNA(VLOOKUP($AP584,Programma!$F$3:$H$1101,3,0),"")</f>
        <v>_</v>
      </c>
      <c r="AS584" s="448" t="str">
        <f>_xlfn.IFNA(VLOOKUP($AP584,Programma!$F$3:$I$1101,4,0),"")</f>
        <v>_</v>
      </c>
      <c r="AT584" s="448" t="str">
        <f>_xlfn.IFNA(VLOOKUP($AP584,Programma!$F$3:$J$1101,5,0),"")</f>
        <v>5w</v>
      </c>
      <c r="AU584" s="448" t="str">
        <f>_xlfn.IFNA(VLOOKUP($AP584,Programma!$F$3:$K$1101,6,0),"")</f>
        <v>_</v>
      </c>
      <c r="AV584" s="448" t="str">
        <f>_xlfn.IFNA(VLOOKUP($AP584,Programma!$F$3:$L$1101,7,0),"")</f>
        <v>_</v>
      </c>
      <c r="AW584" s="448" t="str">
        <f>_xlfn.IFNA(VLOOKUP($AP584,Programma!$F$3:$M$1101,8,0),"")</f>
        <v>_</v>
      </c>
      <c r="AX584" s="448" t="str">
        <f>_xlfn.IFNA(VLOOKUP($AP584,Programma!$F$3:$N$1101,9,0),"")</f>
        <v>_</v>
      </c>
      <c r="AY584" s="448" t="str">
        <f>_xlfn.IFNA(VLOOKUP($AP584,Programma!$F$3:$O$1101,10,0),"")</f>
        <v>5w</v>
      </c>
      <c r="AZ584" s="448" t="str">
        <f>_xlfn.IFNA(VLOOKUP($AP584,Programma!$F$3:$P$1101,11,0),"")</f>
        <v>5w</v>
      </c>
      <c r="BA584" s="448" t="str">
        <f>_xlfn.IFNA(VLOOKUP($AP584,Programma!$F$3:$Q$1101,12,0),"")</f>
        <v>1w</v>
      </c>
      <c r="BB584" s="448" t="str">
        <f>_xlfn.IFNA(VLOOKUP($AP584,Programma!$F$3:$R$1101,13,0),"")</f>
        <v>1w</v>
      </c>
      <c r="BC584" s="448" t="str">
        <f>_xlfn.IFNA(VLOOKUP($AP584,Programma!$F$3:$S$1101,14,0),"")</f>
        <v>1m</v>
      </c>
      <c r="BD584" s="448" t="str">
        <f>_xlfn.IFNA(VLOOKUP($AP584,Programma!$F$3:$T$1101,15,0),"")</f>
        <v>2j</v>
      </c>
      <c r="BE584" s="448" t="str">
        <f>_xlfn.IFNA(VLOOKUP($AP584,Programma!$F$3:$U$1101,16,0),"")</f>
        <v>1j</v>
      </c>
      <c r="BF584" s="448" t="str">
        <f>_xlfn.IFNA(VLOOKUP($AP584,Programma!$F$3:$V$1101,17,0),"")</f>
        <v>_</v>
      </c>
      <c r="BG584" s="448" t="str">
        <f>_xlfn.IFNA(VLOOKUP($AP584,Programma!$F$3:$W$1101,18,0),"")</f>
        <v>_</v>
      </c>
      <c r="BH584" s="448" t="str">
        <f>_xlfn.IFNA(VLOOKUP($AP584,Programma!$F$3:$X$1101,19,0),"")</f>
        <v>_</v>
      </c>
      <c r="BI584" s="448" t="str">
        <f>_xlfn.IFNA(VLOOKUP($AP584,Programma!$F$3:$Y$1101,20,0),"")</f>
        <v>_</v>
      </c>
      <c r="BJ584" s="449"/>
      <c r="BK584" s="446" t="str">
        <f>IF(Ruimtestaat[[#This Row],[Frequentie weekend]]="","",_xlfn.CONCAT(Ruimtestaat[[#This Row],[Ruimte code]],"-",Ruimtestaat[[#This Row],[Frequentie weekend]]," ",Ruimtestaat[[#This Row],[Vloer code]]))</f>
        <v/>
      </c>
      <c r="BL584" s="448" t="str">
        <f>_xlfn.IFNA(VLOOKUP($BK584,Programma!$F$3:$G$1101,2,0),"")</f>
        <v/>
      </c>
      <c r="BM584" s="448" t="str">
        <f>_xlfn.IFNA(VLOOKUP($BK584,Programma!$F$3:$H$1101,3,0),"")</f>
        <v/>
      </c>
      <c r="BN584" s="448" t="str">
        <f>_xlfn.IFNA(VLOOKUP($BK584,Programma!$F$3:$I$1101,4,0),"")</f>
        <v/>
      </c>
      <c r="BO584" s="448" t="str">
        <f>_xlfn.IFNA(VLOOKUP($BK584,Programma!$F$3:$J$1101,5,0),"")</f>
        <v/>
      </c>
      <c r="BP584" s="448" t="str">
        <f>_xlfn.IFNA(VLOOKUP($BK584,Programma!$F$3:$K$1101,6,0),"")</f>
        <v/>
      </c>
      <c r="BQ584" s="448" t="str">
        <f>_xlfn.IFNA(VLOOKUP($BK584,Programma!$F$3:$L$1101,7,0),"")</f>
        <v/>
      </c>
      <c r="BR584" s="448" t="str">
        <f>_xlfn.IFNA(VLOOKUP($BK584,Programma!$F$3:$M$1101,8,0),"")</f>
        <v/>
      </c>
      <c r="BS584" s="448" t="str">
        <f>_xlfn.IFNA(VLOOKUP($BK584,Programma!$F$3:$N$1101,9,0),"")</f>
        <v/>
      </c>
      <c r="BT584" s="448" t="str">
        <f>_xlfn.IFNA(VLOOKUP($BK584,Programma!$F$3:$O$1101,10,0),"")</f>
        <v/>
      </c>
      <c r="BU584" s="448" t="str">
        <f>_xlfn.IFNA(VLOOKUP($BK584,Programma!$F$3:$P$1101,11,0),"")</f>
        <v/>
      </c>
      <c r="BV584" s="448" t="str">
        <f>_xlfn.IFNA(VLOOKUP($BK584,Programma!$F$3:$Q$1101,12,0),"")</f>
        <v/>
      </c>
      <c r="BW584" s="448" t="str">
        <f>_xlfn.IFNA(VLOOKUP($BK584,Programma!$F$3:$R$1101,13,0),"")</f>
        <v/>
      </c>
      <c r="BX584" s="448" t="str">
        <f>_xlfn.IFNA(VLOOKUP($BK584,Programma!$F$3:$S$1101,14,0),"")</f>
        <v/>
      </c>
      <c r="BY584" s="448" t="str">
        <f>_xlfn.IFNA(VLOOKUP($BK584,Programma!$F$3:$T$1101,15,0),"")</f>
        <v/>
      </c>
      <c r="BZ584" s="448" t="str">
        <f>_xlfn.IFNA(VLOOKUP($BK584,Programma!$F$3:$U$1101,16,0),"")</f>
        <v/>
      </c>
      <c r="CA584" s="448" t="str">
        <f>_xlfn.IFNA(VLOOKUP($BK584,Programma!$F$3:$V$1101,17,0),"")</f>
        <v/>
      </c>
      <c r="CB584" s="448" t="str">
        <f>_xlfn.IFNA(VLOOKUP($BK584,Programma!$F$3:$W$1101,18,0),"")</f>
        <v/>
      </c>
      <c r="CC584" s="448" t="str">
        <f>_xlfn.IFNA(VLOOKUP($BK584,Programma!$F$3:$X$1101,19,0),"")</f>
        <v/>
      </c>
      <c r="CD584" s="448" t="str">
        <f>_xlfn.IFNA(VLOOKUP($BK584,Programma!$F$3:$Y$1101,20,0),"")</f>
        <v/>
      </c>
    </row>
    <row r="585" spans="1:82" ht="15" customHeight="1">
      <c r="A585" s="327">
        <v>20</v>
      </c>
      <c r="B585" s="435" t="str">
        <f>VLOOKUP(Ruimtestaat[[#This Row],[Code]],Locaties[[Code]:[Locatie]],2,FALSE)</f>
        <v>IKC de Saffier (extra lokaal gemeente)</v>
      </c>
      <c r="C585" s="435" t="str">
        <f>VLOOKUP(Ruimtestaat[[#This Row],[Code]],Locaties[[#All],[Code]:[Adres]],4,FALSE)</f>
        <v>Electrablauw 5</v>
      </c>
      <c r="D585" s="435" t="str">
        <f>VLOOKUP(Ruimtestaat[[#This Row],[Code]],Locaties[[#All],[Code]:[Postcode]],5,FALSE)</f>
        <v>2718 JT</v>
      </c>
      <c r="E585" s="435" t="str">
        <f>VLOOKUP(Ruimtestaat[[#This Row],[Code]],Locaties[#All],6,FALSE)</f>
        <v>Zoetermeer</v>
      </c>
      <c r="F585" s="450"/>
      <c r="H585" s="330" t="s">
        <v>1665</v>
      </c>
      <c r="I585" s="450" t="s">
        <v>1679</v>
      </c>
      <c r="J585" s="330">
        <v>16</v>
      </c>
      <c r="K585" s="450" t="str">
        <f>VLOOKUP(Ruimtestaat[[#This Row],[Ruimte code]],Ruimtegroepen[[#All],[Code]:[Ruimte omschrijving]],2,FALSE)</f>
        <v>Leslokalen</v>
      </c>
      <c r="L585" s="434" t="s">
        <v>100</v>
      </c>
      <c r="M585" s="437" t="s">
        <v>1759</v>
      </c>
      <c r="N585" s="439">
        <v>56</v>
      </c>
      <c r="O585" s="439"/>
      <c r="P585" s="439"/>
      <c r="Q585" s="439"/>
      <c r="R585" s="440" t="str">
        <f>VLOOKUP(Ruimtestaat[[#This Row],[Ruimte code]],Ruimtegroepen[],4,FALSE)</f>
        <v>Le</v>
      </c>
      <c r="S585" s="434">
        <v>40</v>
      </c>
      <c r="T585" s="434" t="s">
        <v>2</v>
      </c>
      <c r="U585" s="453">
        <f>IF(S585&gt;0,IF(RIGHT(Ruimtestaat[[#This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5" s="434">
        <f>IF(U585&gt;0,VLOOKUP($J585,Ruimtegroepen[],3,FALSE)*VLOOKUP($L585,Vloersoorten[],3,FALSE)*VLOOKUP($T585,Frequenties[],3,FALSE)*VLOOKUP($A585,Locaties[],3,FALSE),0)</f>
        <v>0</v>
      </c>
      <c r="W585" s="434">
        <f>Ruimtestaat[[#This Row],[Uitvoeringen werkdagen]]*Ruimtestaat[[#This Row],[Oppervlak (netto)]]</f>
        <v>11200</v>
      </c>
      <c r="X585" s="441">
        <f>IF(V585&gt;0,Ruimtestaat[[#This Row],[Prest. (m2 /jaar) werkdagen]]/Ruimtestaat[[#This Row],[Norm (m2/uur) werkdagen]],0)</f>
        <v>0</v>
      </c>
      <c r="Y585" s="442">
        <f>Ruimtestaat[[#This Row],[Uitvoeringen werkdagen]]*Ruimtestaat[[#This Row],[Gedeeltelijk]]</f>
        <v>0</v>
      </c>
      <c r="Z585" s="443" t="e">
        <f>IF(U585&gt;0,Ruimtestaat[[#This Row],[Prest. (m2 / jaar) werkdagen gedeeld]]/Ruimtestaat[[#This Row],[Norm (m2/uur) werkdagen]],0)</f>
        <v>#DIV/0!</v>
      </c>
      <c r="AA585" s="441" t="e">
        <f>Ruimtestaat[[#This Row],[uren / jaar werkdagen gedeeld]]*Tariefsopbouw!$E$35</f>
        <v>#DIV/0!</v>
      </c>
      <c r="AB585" s="441">
        <f>Ruimtestaat[[#This Row],[Uitvoeringen werkdagen]]*Ruimtestaat[[#This Row],[BSO]]</f>
        <v>0</v>
      </c>
      <c r="AC585" s="443" t="e">
        <f>IF(U585&gt;0,Ruimtestaat[[#This Row],[Prest. (m2 / jaar) werkdagen BSO]]/Ruimtestaat[[#This Row],[Norm (m2/uur) werkdagen]],0)</f>
        <v>#DIV/0!</v>
      </c>
      <c r="AD585" s="443" t="e">
        <f>Ruimtestaat[[#This Row],[uren / jaar werkdagen BSO]]*Tariefsopbouw!$E$35</f>
        <v>#DIV/0!</v>
      </c>
      <c r="AE585" s="444">
        <f>Ruimtestaat[[#This Row],[uren / jaar werkdagen]]*Tariefsopbouw!$E$35</f>
        <v>0</v>
      </c>
      <c r="AF585" s="454"/>
      <c r="AG585" s="455">
        <f>IF(Ruimtestaat[[#This Row],[Frequentie weekend]]&gt;0,VALUE(LEFT(AF585,1))*S585,0)</f>
        <v>0</v>
      </c>
      <c r="AH585" s="455">
        <f>IF($AG585&gt;0,VLOOKUP($J585,Ruimtegroepen[],3,FALSE)*VLOOKUP($L585,Vloersoorten[],3,FALSE)*VLOOKUP($AF585,Frequenties[],3,FALSE)*VLOOKUP(#REF!,Locaties[],3,FALSE),0)</f>
        <v>0</v>
      </c>
      <c r="AI585" s="434">
        <f>Ruimtestaat[[#This Row],[Uitvoeringen weekend]]*Ruimtestaat[[#This Row],[Oppervlak (netto)]]</f>
        <v>0</v>
      </c>
      <c r="AJ585" s="434">
        <f>IF(AH585&gt;0,Ruimtestaat[[#This Row],[Prest. (m2 /jaar) weekend]]/Ruimtestaat[[#This Row],[Norm (m2/uur) weekend]],0)</f>
        <v>0</v>
      </c>
      <c r="AK585" s="444">
        <f>Ruimtestaat[[#This Row],[uren / jaar weekend]]*Tariefsopbouw!$D$40</f>
        <v>0</v>
      </c>
      <c r="AL585" s="441">
        <f>Ruimtestaat[[#This Row],[Prest. (m2 /jaar) weekend]]+Ruimtestaat[[#This Row],[Prest. (m2 /jaar) werkdagen]]</f>
        <v>11200</v>
      </c>
      <c r="AM585" s="441">
        <f>Ruimtestaat[[#This Row],[uren / jaar weekend]]+Ruimtestaat[[#This Row],[uren / jaar werkdagen]]</f>
        <v>0</v>
      </c>
      <c r="AN585" s="446">
        <f>Ruimtestaat[[#This Row],[kosten / jaar weekend]]+Ruimtestaat[[#This Row],[kosten / jaar werkdagen]]</f>
        <v>0</v>
      </c>
      <c r="AO585" s="446"/>
      <c r="AP585" s="446" t="str">
        <f>IF(Ruimtestaat[[#This Row],[Frequentie werkdagen]]="","",_xlfn.CONCAT(Ruimtestaat[[#This Row],[Ruimte code]],"-",Ruimtestaat[[#This Row],[Frequentie werkdagen]]," ",Ruimtestaat[[#This Row],[Vloer code]]))</f>
        <v>16-5w L</v>
      </c>
      <c r="AQ585" s="448" t="str">
        <f>_xlfn.IFNA(VLOOKUP($AP585,Programma!$F$3:$G$1101,2,0),"")</f>
        <v>_</v>
      </c>
      <c r="AR585" s="448" t="str">
        <f>_xlfn.IFNA(VLOOKUP($AP585,Programma!$F$3:$H$1101,3,0),"")</f>
        <v>_</v>
      </c>
      <c r="AS585" s="448" t="str">
        <f>_xlfn.IFNA(VLOOKUP($AP585,Programma!$F$3:$I$1101,4,0),"")</f>
        <v>4w</v>
      </c>
      <c r="AT585" s="448" t="str">
        <f>_xlfn.IFNA(VLOOKUP($AP585,Programma!$F$3:$J$1101,5,0),"")</f>
        <v>1w</v>
      </c>
      <c r="AU585" s="448" t="str">
        <f>_xlfn.IFNA(VLOOKUP($AP585,Programma!$F$3:$K$1101,6,0),"")</f>
        <v>_</v>
      </c>
      <c r="AV585" s="448" t="str">
        <f>_xlfn.IFNA(VLOOKUP($AP585,Programma!$F$3:$L$1101,7,0),"")</f>
        <v>_</v>
      </c>
      <c r="AW585" s="448" t="str">
        <f>_xlfn.IFNA(VLOOKUP($AP585,Programma!$F$3:$M$1101,8,0),"")</f>
        <v>_</v>
      </c>
      <c r="AX585" s="448" t="str">
        <f>_xlfn.IFNA(VLOOKUP($AP585,Programma!$F$3:$N$1101,9,0),"")</f>
        <v>_</v>
      </c>
      <c r="AY585" s="448" t="str">
        <f>_xlfn.IFNA(VLOOKUP($AP585,Programma!$F$3:$O$1101,10,0),"")</f>
        <v>5w</v>
      </c>
      <c r="AZ585" s="448" t="str">
        <f>_xlfn.IFNA(VLOOKUP($AP585,Programma!$F$3:$P$1101,11,0),"")</f>
        <v>5w</v>
      </c>
      <c r="BA585" s="448" t="str">
        <f>_xlfn.IFNA(VLOOKUP($AP585,Programma!$F$3:$Q$1101,12,0),"")</f>
        <v>1w</v>
      </c>
      <c r="BB585" s="448" t="str">
        <f>_xlfn.IFNA(VLOOKUP($AP585,Programma!$F$3:$R$1101,13,0),"")</f>
        <v>1w</v>
      </c>
      <c r="BC585" s="448" t="str">
        <f>_xlfn.IFNA(VLOOKUP($AP585,Programma!$F$3:$S$1101,14,0),"")</f>
        <v>1m</v>
      </c>
      <c r="BD585" s="448" t="str">
        <f>_xlfn.IFNA(VLOOKUP($AP585,Programma!$F$3:$T$1101,15,0),"")</f>
        <v>2j</v>
      </c>
      <c r="BE585" s="448" t="str">
        <f>_xlfn.IFNA(VLOOKUP($AP585,Programma!$F$3:$U$1101,16,0),"")</f>
        <v>1j</v>
      </c>
      <c r="BF585" s="448" t="str">
        <f>_xlfn.IFNA(VLOOKUP($AP585,Programma!$F$3:$V$1101,17,0),"")</f>
        <v>_</v>
      </c>
      <c r="BG585" s="448" t="str">
        <f>_xlfn.IFNA(VLOOKUP($AP585,Programma!$F$3:$W$1101,18,0),"")</f>
        <v>_</v>
      </c>
      <c r="BH585" s="448" t="str">
        <f>_xlfn.IFNA(VLOOKUP($AP585,Programma!$F$3:$X$1101,19,0),"")</f>
        <v>_</v>
      </c>
      <c r="BI585" s="448" t="str">
        <f>_xlfn.IFNA(VLOOKUP($AP585,Programma!$F$3:$Y$1101,20,0),"")</f>
        <v>_</v>
      </c>
      <c r="BJ585" s="449"/>
      <c r="BK585" s="446" t="str">
        <f>IF(Ruimtestaat[[#This Row],[Frequentie weekend]]="","",_xlfn.CONCAT(Ruimtestaat[[#This Row],[Ruimte code]],"-",Ruimtestaat[[#This Row],[Frequentie weekend]]," ",Ruimtestaat[[#This Row],[Vloer code]]))</f>
        <v/>
      </c>
      <c r="BL585" s="448" t="str">
        <f>_xlfn.IFNA(VLOOKUP($BK585,Programma!$F$3:$G$1101,2,0),"")</f>
        <v/>
      </c>
      <c r="BM585" s="448" t="str">
        <f>_xlfn.IFNA(VLOOKUP($BK585,Programma!$F$3:$H$1101,3,0),"")</f>
        <v/>
      </c>
      <c r="BN585" s="448" t="str">
        <f>_xlfn.IFNA(VLOOKUP($BK585,Programma!$F$3:$I$1101,4,0),"")</f>
        <v/>
      </c>
      <c r="BO585" s="448" t="str">
        <f>_xlfn.IFNA(VLOOKUP($BK585,Programma!$F$3:$J$1101,5,0),"")</f>
        <v/>
      </c>
      <c r="BP585" s="448" t="str">
        <f>_xlfn.IFNA(VLOOKUP($BK585,Programma!$F$3:$K$1101,6,0),"")</f>
        <v/>
      </c>
      <c r="BQ585" s="448" t="str">
        <f>_xlfn.IFNA(VLOOKUP($BK585,Programma!$F$3:$L$1101,7,0),"")</f>
        <v/>
      </c>
      <c r="BR585" s="448" t="str">
        <f>_xlfn.IFNA(VLOOKUP($BK585,Programma!$F$3:$M$1101,8,0),"")</f>
        <v/>
      </c>
      <c r="BS585" s="448" t="str">
        <f>_xlfn.IFNA(VLOOKUP($BK585,Programma!$F$3:$N$1101,9,0),"")</f>
        <v/>
      </c>
      <c r="BT585" s="448" t="str">
        <f>_xlfn.IFNA(VLOOKUP($BK585,Programma!$F$3:$O$1101,10,0),"")</f>
        <v/>
      </c>
      <c r="BU585" s="448" t="str">
        <f>_xlfn.IFNA(VLOOKUP($BK585,Programma!$F$3:$P$1101,11,0),"")</f>
        <v/>
      </c>
      <c r="BV585" s="448" t="str">
        <f>_xlfn.IFNA(VLOOKUP($BK585,Programma!$F$3:$Q$1101,12,0),"")</f>
        <v/>
      </c>
      <c r="BW585" s="448" t="str">
        <f>_xlfn.IFNA(VLOOKUP($BK585,Programma!$F$3:$R$1101,13,0),"")</f>
        <v/>
      </c>
      <c r="BX585" s="448" t="str">
        <f>_xlfn.IFNA(VLOOKUP($BK585,Programma!$F$3:$S$1101,14,0),"")</f>
        <v/>
      </c>
      <c r="BY585" s="448" t="str">
        <f>_xlfn.IFNA(VLOOKUP($BK585,Programma!$F$3:$T$1101,15,0),"")</f>
        <v/>
      </c>
      <c r="BZ585" s="448" t="str">
        <f>_xlfn.IFNA(VLOOKUP($BK585,Programma!$F$3:$U$1101,16,0),"")</f>
        <v/>
      </c>
      <c r="CA585" s="448" t="str">
        <f>_xlfn.IFNA(VLOOKUP($BK585,Programma!$F$3:$V$1101,17,0),"")</f>
        <v/>
      </c>
      <c r="CB585" s="448" t="str">
        <f>_xlfn.IFNA(VLOOKUP($BK585,Programma!$F$3:$W$1101,18,0),"")</f>
        <v/>
      </c>
      <c r="CC585" s="448" t="str">
        <f>_xlfn.IFNA(VLOOKUP($BK585,Programma!$F$3:$X$1101,19,0),"")</f>
        <v/>
      </c>
      <c r="CD585" s="448" t="str">
        <f>_xlfn.IFNA(VLOOKUP($BK585,Programma!$F$3:$Y$1101,20,0),"")</f>
        <v/>
      </c>
    </row>
    <row r="586" spans="1:82" ht="15" customHeight="1">
      <c r="A586" s="327">
        <v>20</v>
      </c>
      <c r="B586" s="435" t="str">
        <f>VLOOKUP(Ruimtestaat[[#This Row],[Code]],Locaties[[Code]:[Locatie]],2,FALSE)</f>
        <v>IKC de Saffier (extra lokaal gemeente)</v>
      </c>
      <c r="C586" s="435" t="str">
        <f>VLOOKUP(Ruimtestaat[[#This Row],[Code]],Locaties[[#All],[Code]:[Adres]],4,FALSE)</f>
        <v>Electrablauw 5</v>
      </c>
      <c r="D586" s="435" t="str">
        <f>VLOOKUP(Ruimtestaat[[#This Row],[Code]],Locaties[[#All],[Code]:[Postcode]],5,FALSE)</f>
        <v>2718 JT</v>
      </c>
      <c r="E586" s="435" t="str">
        <f>VLOOKUP(Ruimtestaat[[#This Row],[Code]],Locaties[#All],6,FALSE)</f>
        <v>Zoetermeer</v>
      </c>
      <c r="F586" s="450"/>
      <c r="H586" s="330" t="s">
        <v>1667</v>
      </c>
      <c r="I586" s="450" t="s">
        <v>1726</v>
      </c>
      <c r="J586" s="330">
        <v>16</v>
      </c>
      <c r="K586" s="450" t="str">
        <f>VLOOKUP(Ruimtestaat[[#This Row],[Ruimte code]],Ruimtegroepen[[#All],[Code]:[Ruimte omschrijving]],2,FALSE)</f>
        <v>Leslokalen</v>
      </c>
      <c r="L586" s="330" t="s">
        <v>102</v>
      </c>
      <c r="M586" s="330" t="s">
        <v>2106</v>
      </c>
      <c r="N586" s="439">
        <v>75</v>
      </c>
      <c r="O586" s="439"/>
      <c r="P586" s="439"/>
      <c r="Q586" s="439"/>
      <c r="R586" s="440" t="str">
        <f>VLOOKUP(Ruimtestaat[[#This Row],[Ruimte code]],Ruimtegroepen[],4,FALSE)</f>
        <v>Le</v>
      </c>
      <c r="S586" s="434">
        <v>40</v>
      </c>
      <c r="T586" s="434" t="s">
        <v>2</v>
      </c>
      <c r="U586" s="453">
        <f>IF(S586&gt;0,IF(RIGHT(Ruimtestaat[[#This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6" s="434">
        <f>IF(U586&gt;0,VLOOKUP($J586,Ruimtegroepen[],3,FALSE)*VLOOKUP($L586,Vloersoorten[],3,FALSE)*VLOOKUP($T586,Frequenties[],3,FALSE)*VLOOKUP($A586,Locaties[],3,FALSE),0)</f>
        <v>0</v>
      </c>
      <c r="W586" s="434">
        <f>Ruimtestaat[[#This Row],[Uitvoeringen werkdagen]]*Ruimtestaat[[#This Row],[Oppervlak (netto)]]</f>
        <v>15000</v>
      </c>
      <c r="X586" s="441">
        <f>IF(V586&gt;0,Ruimtestaat[[#This Row],[Prest. (m2 /jaar) werkdagen]]/Ruimtestaat[[#This Row],[Norm (m2/uur) werkdagen]],0)</f>
        <v>0</v>
      </c>
      <c r="Y586" s="442">
        <f>Ruimtestaat[[#This Row],[Uitvoeringen werkdagen]]*Ruimtestaat[[#This Row],[Gedeeltelijk]]</f>
        <v>0</v>
      </c>
      <c r="Z586" s="443" t="e">
        <f>IF(U586&gt;0,Ruimtestaat[[#This Row],[Prest. (m2 / jaar) werkdagen gedeeld]]/Ruimtestaat[[#This Row],[Norm (m2/uur) werkdagen]],0)</f>
        <v>#DIV/0!</v>
      </c>
      <c r="AA586" s="441" t="e">
        <f>Ruimtestaat[[#This Row],[uren / jaar werkdagen gedeeld]]*Tariefsopbouw!$E$35</f>
        <v>#DIV/0!</v>
      </c>
      <c r="AB586" s="441">
        <f>Ruimtestaat[[#This Row],[Uitvoeringen werkdagen]]*Ruimtestaat[[#This Row],[BSO]]</f>
        <v>0</v>
      </c>
      <c r="AC586" s="443" t="e">
        <f>IF(U586&gt;0,Ruimtestaat[[#This Row],[Prest. (m2 / jaar) werkdagen BSO]]/Ruimtestaat[[#This Row],[Norm (m2/uur) werkdagen]],0)</f>
        <v>#DIV/0!</v>
      </c>
      <c r="AD586" s="443" t="e">
        <f>Ruimtestaat[[#This Row],[uren / jaar werkdagen BSO]]*Tariefsopbouw!$E$35</f>
        <v>#DIV/0!</v>
      </c>
      <c r="AE586" s="444">
        <f>Ruimtestaat[[#This Row],[uren / jaar werkdagen]]*Tariefsopbouw!$E$35</f>
        <v>0</v>
      </c>
      <c r="AF586" s="454"/>
      <c r="AG586" s="455">
        <f>IF(Ruimtestaat[[#This Row],[Frequentie weekend]]&gt;0,VALUE(LEFT(AF586,1))*S586,0)</f>
        <v>0</v>
      </c>
      <c r="AH586" s="455">
        <f>IF($AG586&gt;0,VLOOKUP($J586,Ruimtegroepen[],3,FALSE)*VLOOKUP($L586,Vloersoorten[],3,FALSE)*VLOOKUP($AF586,Frequenties[],3,FALSE)*VLOOKUP(#REF!,Locaties[],3,FALSE),0)</f>
        <v>0</v>
      </c>
      <c r="AI586" s="434">
        <f>Ruimtestaat[[#This Row],[Uitvoeringen weekend]]*Ruimtestaat[[#This Row],[Oppervlak (netto)]]</f>
        <v>0</v>
      </c>
      <c r="AJ586" s="434">
        <f>IF(AH586&gt;0,Ruimtestaat[[#This Row],[Prest. (m2 /jaar) weekend]]/Ruimtestaat[[#This Row],[Norm (m2/uur) weekend]],0)</f>
        <v>0</v>
      </c>
      <c r="AK586" s="444">
        <f>Ruimtestaat[[#This Row],[uren / jaar weekend]]*Tariefsopbouw!$D$40</f>
        <v>0</v>
      </c>
      <c r="AL586" s="441">
        <f>Ruimtestaat[[#This Row],[Prest. (m2 /jaar) weekend]]+Ruimtestaat[[#This Row],[Prest. (m2 /jaar) werkdagen]]</f>
        <v>15000</v>
      </c>
      <c r="AM586" s="441">
        <f>Ruimtestaat[[#This Row],[uren / jaar weekend]]+Ruimtestaat[[#This Row],[uren / jaar werkdagen]]</f>
        <v>0</v>
      </c>
      <c r="AN586" s="446">
        <f>Ruimtestaat[[#This Row],[kosten / jaar weekend]]+Ruimtestaat[[#This Row],[kosten / jaar werkdagen]]</f>
        <v>0</v>
      </c>
      <c r="AO586" s="446"/>
      <c r="AP586" s="446" t="str">
        <f>IF(Ruimtestaat[[#This Row],[Frequentie werkdagen]]="","",_xlfn.CONCAT(Ruimtestaat[[#This Row],[Ruimte code]],"-",Ruimtestaat[[#This Row],[Frequentie werkdagen]]," ",Ruimtestaat[[#This Row],[Vloer code]]))</f>
        <v>16-5w P</v>
      </c>
      <c r="AQ586" s="448" t="str">
        <f>_xlfn.IFNA(VLOOKUP($AP586,Programma!$F$3:$G$1101,2,0),"")</f>
        <v>_</v>
      </c>
      <c r="AR586" s="448" t="str">
        <f>_xlfn.IFNA(VLOOKUP($AP586,Programma!$F$3:$H$1101,3,0),"")</f>
        <v>_</v>
      </c>
      <c r="AS586" s="448" t="str">
        <f>_xlfn.IFNA(VLOOKUP($AP586,Programma!$F$3:$I$1101,4,0),"")</f>
        <v>4w</v>
      </c>
      <c r="AT586" s="448" t="str">
        <f>_xlfn.IFNA(VLOOKUP($AP586,Programma!$F$3:$J$1101,5,0),"")</f>
        <v>1w</v>
      </c>
      <c r="AU586" s="448" t="str">
        <f>_xlfn.IFNA(VLOOKUP($AP586,Programma!$F$3:$K$1101,6,0),"")</f>
        <v>1m</v>
      </c>
      <c r="AV586" s="448" t="str">
        <f>_xlfn.IFNA(VLOOKUP($AP586,Programma!$F$3:$L$1101,7,0),"")</f>
        <v>_</v>
      </c>
      <c r="AW586" s="448" t="str">
        <f>_xlfn.IFNA(VLOOKUP($AP586,Programma!$F$3:$M$1101,8,0),"")</f>
        <v>_</v>
      </c>
      <c r="AX586" s="448" t="str">
        <f>_xlfn.IFNA(VLOOKUP($AP586,Programma!$F$3:$N$1101,9,0),"")</f>
        <v>_</v>
      </c>
      <c r="AY586" s="448" t="str">
        <f>_xlfn.IFNA(VLOOKUP($AP586,Programma!$F$3:$O$1101,10,0),"")</f>
        <v>5w</v>
      </c>
      <c r="AZ586" s="448" t="str">
        <f>_xlfn.IFNA(VLOOKUP($AP586,Programma!$F$3:$P$1101,11,0),"")</f>
        <v>5w</v>
      </c>
      <c r="BA586" s="448" t="str">
        <f>_xlfn.IFNA(VLOOKUP($AP586,Programma!$F$3:$Q$1101,12,0),"")</f>
        <v>1w</v>
      </c>
      <c r="BB586" s="448" t="str">
        <f>_xlfn.IFNA(VLOOKUP($AP586,Programma!$F$3:$R$1101,13,0),"")</f>
        <v>1w</v>
      </c>
      <c r="BC586" s="448" t="str">
        <f>_xlfn.IFNA(VLOOKUP($AP586,Programma!$F$3:$S$1101,14,0),"")</f>
        <v>1m</v>
      </c>
      <c r="BD586" s="448" t="str">
        <f>_xlfn.IFNA(VLOOKUP($AP586,Programma!$F$3:$T$1101,15,0),"")</f>
        <v>2j</v>
      </c>
      <c r="BE586" s="448" t="str">
        <f>_xlfn.IFNA(VLOOKUP($AP586,Programma!$F$3:$U$1101,16,0),"")</f>
        <v>1j</v>
      </c>
      <c r="BF586" s="448" t="str">
        <f>_xlfn.IFNA(VLOOKUP($AP586,Programma!$F$3:$V$1101,17,0),"")</f>
        <v>_</v>
      </c>
      <c r="BG586" s="448" t="str">
        <f>_xlfn.IFNA(VLOOKUP($AP586,Programma!$F$3:$W$1101,18,0),"")</f>
        <v>_</v>
      </c>
      <c r="BH586" s="448" t="str">
        <f>_xlfn.IFNA(VLOOKUP($AP586,Programma!$F$3:$X$1101,19,0),"")</f>
        <v>_</v>
      </c>
      <c r="BI586" s="448" t="str">
        <f>_xlfn.IFNA(VLOOKUP($AP586,Programma!$F$3:$Y$1101,20,0),"")</f>
        <v>_</v>
      </c>
      <c r="BJ586" s="449"/>
      <c r="BK586" s="446" t="str">
        <f>IF(Ruimtestaat[[#This Row],[Frequentie weekend]]="","",_xlfn.CONCAT(Ruimtestaat[[#This Row],[Ruimte code]],"-",Ruimtestaat[[#This Row],[Frequentie weekend]]," ",Ruimtestaat[[#This Row],[Vloer code]]))</f>
        <v/>
      </c>
      <c r="BL586" s="448" t="str">
        <f>_xlfn.IFNA(VLOOKUP($BK586,Programma!$F$3:$G$1101,2,0),"")</f>
        <v/>
      </c>
      <c r="BM586" s="448" t="str">
        <f>_xlfn.IFNA(VLOOKUP($BK586,Programma!$F$3:$H$1101,3,0),"")</f>
        <v/>
      </c>
      <c r="BN586" s="448" t="str">
        <f>_xlfn.IFNA(VLOOKUP($BK586,Programma!$F$3:$I$1101,4,0),"")</f>
        <v/>
      </c>
      <c r="BO586" s="448" t="str">
        <f>_xlfn.IFNA(VLOOKUP($BK586,Programma!$F$3:$J$1101,5,0),"")</f>
        <v/>
      </c>
      <c r="BP586" s="448" t="str">
        <f>_xlfn.IFNA(VLOOKUP($BK586,Programma!$F$3:$K$1101,6,0),"")</f>
        <v/>
      </c>
      <c r="BQ586" s="448" t="str">
        <f>_xlfn.IFNA(VLOOKUP($BK586,Programma!$F$3:$L$1101,7,0),"")</f>
        <v/>
      </c>
      <c r="BR586" s="448" t="str">
        <f>_xlfn.IFNA(VLOOKUP($BK586,Programma!$F$3:$M$1101,8,0),"")</f>
        <v/>
      </c>
      <c r="BS586" s="448" t="str">
        <f>_xlfn.IFNA(VLOOKUP($BK586,Programma!$F$3:$N$1101,9,0),"")</f>
        <v/>
      </c>
      <c r="BT586" s="448" t="str">
        <f>_xlfn.IFNA(VLOOKUP($BK586,Programma!$F$3:$O$1101,10,0),"")</f>
        <v/>
      </c>
      <c r="BU586" s="448" t="str">
        <f>_xlfn.IFNA(VLOOKUP($BK586,Programma!$F$3:$P$1101,11,0),"")</f>
        <v/>
      </c>
      <c r="BV586" s="448" t="str">
        <f>_xlfn.IFNA(VLOOKUP($BK586,Programma!$F$3:$Q$1101,12,0),"")</f>
        <v/>
      </c>
      <c r="BW586" s="448" t="str">
        <f>_xlfn.IFNA(VLOOKUP($BK586,Programma!$F$3:$R$1101,13,0),"")</f>
        <v/>
      </c>
      <c r="BX586" s="448" t="str">
        <f>_xlfn.IFNA(VLOOKUP($BK586,Programma!$F$3:$S$1101,14,0),"")</f>
        <v/>
      </c>
      <c r="BY586" s="448" t="str">
        <f>_xlfn.IFNA(VLOOKUP($BK586,Programma!$F$3:$T$1101,15,0),"")</f>
        <v/>
      </c>
      <c r="BZ586" s="448" t="str">
        <f>_xlfn.IFNA(VLOOKUP($BK586,Programma!$F$3:$U$1101,16,0),"")</f>
        <v/>
      </c>
      <c r="CA586" s="448" t="str">
        <f>_xlfn.IFNA(VLOOKUP($BK586,Programma!$F$3:$V$1101,17,0),"")</f>
        <v/>
      </c>
      <c r="CB586" s="448" t="str">
        <f>_xlfn.IFNA(VLOOKUP($BK586,Programma!$F$3:$W$1101,18,0),"")</f>
        <v/>
      </c>
      <c r="CC586" s="448" t="str">
        <f>_xlfn.IFNA(VLOOKUP($BK586,Programma!$F$3:$X$1101,19,0),"")</f>
        <v/>
      </c>
      <c r="CD586" s="448" t="str">
        <f>_xlfn.IFNA(VLOOKUP($BK586,Programma!$F$3:$Y$1101,20,0),"")</f>
        <v/>
      </c>
    </row>
    <row r="587" spans="1:82" ht="15" customHeight="1">
      <c r="A587" s="327">
        <v>20</v>
      </c>
      <c r="B587" s="435" t="str">
        <f>VLOOKUP(Ruimtestaat[[#This Row],[Code]],Locaties[[Code]:[Locatie]],2,FALSE)</f>
        <v>IKC de Saffier (extra lokaal gemeente)</v>
      </c>
      <c r="C587" s="435" t="str">
        <f>VLOOKUP(Ruimtestaat[[#This Row],[Code]],Locaties[[#All],[Code]:[Adres]],4,FALSE)</f>
        <v>Electrablauw 5</v>
      </c>
      <c r="D587" s="435" t="str">
        <f>VLOOKUP(Ruimtestaat[[#This Row],[Code]],Locaties[[#All],[Code]:[Postcode]],5,FALSE)</f>
        <v>2718 JT</v>
      </c>
      <c r="E587" s="435" t="str">
        <f>VLOOKUP(Ruimtestaat[[#This Row],[Code]],Locaties[#All],6,FALSE)</f>
        <v>Zoetermeer</v>
      </c>
      <c r="F587" s="450"/>
      <c r="H587" s="330" t="s">
        <v>1668</v>
      </c>
      <c r="I587" s="450" t="s">
        <v>1895</v>
      </c>
      <c r="J587" s="330">
        <v>5</v>
      </c>
      <c r="K587" s="450" t="str">
        <f>VLOOKUP(Ruimtestaat[[#This Row],[Ruimte code]],Ruimtegroepen[[#All],[Code]:[Ruimte omschrijving]],2,FALSE)</f>
        <v>Sanitair</v>
      </c>
      <c r="L587" s="330" t="s">
        <v>101</v>
      </c>
      <c r="M587" s="437" t="s">
        <v>119</v>
      </c>
      <c r="N587" s="439">
        <v>14</v>
      </c>
      <c r="O587" s="439"/>
      <c r="P587" s="439"/>
      <c r="Q587" s="439"/>
      <c r="R587" s="440" t="str">
        <f>VLOOKUP(Ruimtestaat[[#This Row],[Ruimte code]],Ruimtegroepen[],4,FALSE)</f>
        <v>Sa</v>
      </c>
      <c r="S587" s="434">
        <v>41</v>
      </c>
      <c r="T587" s="434" t="s">
        <v>2</v>
      </c>
      <c r="U587" s="453">
        <f>IF(S587&gt;0,IF(RIGHT(Ruimtestaat[[#This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587" s="434">
        <f>IF(U587&gt;0,VLOOKUP($J587,Ruimtegroepen[],3,FALSE)*VLOOKUP($L587,Vloersoorten[],3,FALSE)*VLOOKUP($T587,Frequenties[],3,FALSE)*VLOOKUP($A587,Locaties[],3,FALSE),0)</f>
        <v>0</v>
      </c>
      <c r="W587" s="434">
        <f>Ruimtestaat[[#This Row],[Uitvoeringen werkdagen]]*Ruimtestaat[[#This Row],[Oppervlak (netto)]]</f>
        <v>2870</v>
      </c>
      <c r="X587" s="441">
        <f>IF(V587&gt;0,Ruimtestaat[[#This Row],[Prest. (m2 /jaar) werkdagen]]/Ruimtestaat[[#This Row],[Norm (m2/uur) werkdagen]],0)</f>
        <v>0</v>
      </c>
      <c r="Y587" s="442">
        <f>Ruimtestaat[[#This Row],[Uitvoeringen werkdagen]]*Ruimtestaat[[#This Row],[Gedeeltelijk]]</f>
        <v>0</v>
      </c>
      <c r="Z587" s="443" t="e">
        <f>IF(U587&gt;0,Ruimtestaat[[#This Row],[Prest. (m2 / jaar) werkdagen gedeeld]]/Ruimtestaat[[#This Row],[Norm (m2/uur) werkdagen]],0)</f>
        <v>#DIV/0!</v>
      </c>
      <c r="AA587" s="441" t="e">
        <f>Ruimtestaat[[#This Row],[uren / jaar werkdagen gedeeld]]*Tariefsopbouw!$E$35</f>
        <v>#DIV/0!</v>
      </c>
      <c r="AB587" s="441">
        <f>Ruimtestaat[[#This Row],[Uitvoeringen werkdagen]]*Ruimtestaat[[#This Row],[BSO]]</f>
        <v>0</v>
      </c>
      <c r="AC587" s="443" t="e">
        <f>IF(U587&gt;0,Ruimtestaat[[#This Row],[Prest. (m2 / jaar) werkdagen BSO]]/Ruimtestaat[[#This Row],[Norm (m2/uur) werkdagen]],0)</f>
        <v>#DIV/0!</v>
      </c>
      <c r="AD587" s="443" t="e">
        <f>Ruimtestaat[[#This Row],[uren / jaar werkdagen BSO]]*Tariefsopbouw!$E$35</f>
        <v>#DIV/0!</v>
      </c>
      <c r="AE587" s="444">
        <f>Ruimtestaat[[#This Row],[uren / jaar werkdagen]]*Tariefsopbouw!$E$35</f>
        <v>0</v>
      </c>
      <c r="AF587" s="454"/>
      <c r="AG587" s="455">
        <f>IF(Ruimtestaat[[#This Row],[Frequentie weekend]]&gt;0,VALUE(LEFT(AF587,1))*S587,0)</f>
        <v>0</v>
      </c>
      <c r="AH587" s="455">
        <f>IF($AG587&gt;0,VLOOKUP($J587,Ruimtegroepen[],3,FALSE)*VLOOKUP($L587,Vloersoorten[],3,FALSE)*VLOOKUP($AF587,Frequenties[],3,FALSE)*VLOOKUP(#REF!,Locaties[],3,FALSE),0)</f>
        <v>0</v>
      </c>
      <c r="AI587" s="434">
        <f>Ruimtestaat[[#This Row],[Uitvoeringen weekend]]*Ruimtestaat[[#This Row],[Oppervlak (netto)]]</f>
        <v>0</v>
      </c>
      <c r="AJ587" s="434">
        <f>IF(AH587&gt;0,Ruimtestaat[[#This Row],[Prest. (m2 /jaar) weekend]]/Ruimtestaat[[#This Row],[Norm (m2/uur) weekend]],0)</f>
        <v>0</v>
      </c>
      <c r="AK587" s="444">
        <f>Ruimtestaat[[#This Row],[uren / jaar weekend]]*Tariefsopbouw!$D$40</f>
        <v>0</v>
      </c>
      <c r="AL587" s="441">
        <f>Ruimtestaat[[#This Row],[Prest. (m2 /jaar) weekend]]+Ruimtestaat[[#This Row],[Prest. (m2 /jaar) werkdagen]]</f>
        <v>2870</v>
      </c>
      <c r="AM587" s="441">
        <f>Ruimtestaat[[#This Row],[uren / jaar weekend]]+Ruimtestaat[[#This Row],[uren / jaar werkdagen]]</f>
        <v>0</v>
      </c>
      <c r="AN587" s="446">
        <f>Ruimtestaat[[#This Row],[kosten / jaar weekend]]+Ruimtestaat[[#This Row],[kosten / jaar werkdagen]]</f>
        <v>0</v>
      </c>
      <c r="AO587" s="446"/>
      <c r="AP587" s="446" t="str">
        <f>IF(Ruimtestaat[[#This Row],[Frequentie werkdagen]]="","",_xlfn.CONCAT(Ruimtestaat[[#This Row],[Ruimte code]],"-",Ruimtestaat[[#This Row],[Frequentie werkdagen]]," ",Ruimtestaat[[#This Row],[Vloer code]]))</f>
        <v>5-5w S</v>
      </c>
      <c r="AQ587" s="448" t="str">
        <f>_xlfn.IFNA(VLOOKUP($AP587,Programma!$F$3:$G$1101,2,0),"")</f>
        <v>_</v>
      </c>
      <c r="AR587" s="448" t="str">
        <f>_xlfn.IFNA(VLOOKUP($AP587,Programma!$F$3:$H$1101,3,0),"")</f>
        <v>_</v>
      </c>
      <c r="AS587" s="448" t="str">
        <f>_xlfn.IFNA(VLOOKUP($AP587,Programma!$F$3:$I$1101,4,0),"")</f>
        <v>_</v>
      </c>
      <c r="AT587" s="448" t="str">
        <f>_xlfn.IFNA(VLOOKUP($AP587,Programma!$F$3:$J$1101,5,0),"")</f>
        <v>4w</v>
      </c>
      <c r="AU587" s="448" t="str">
        <f>_xlfn.IFNA(VLOOKUP($AP587,Programma!$F$3:$K$1101,6,0),"")</f>
        <v>1w</v>
      </c>
      <c r="AV587" s="448" t="str">
        <f>_xlfn.IFNA(VLOOKUP($AP587,Programma!$F$3:$L$1101,7,0),"")</f>
        <v>_</v>
      </c>
      <c r="AW587" s="448" t="str">
        <f>_xlfn.IFNA(VLOOKUP($AP587,Programma!$F$3:$M$1101,8,0),"")</f>
        <v>_</v>
      </c>
      <c r="AX587" s="448" t="str">
        <f>_xlfn.IFNA(VLOOKUP($AP587,Programma!$F$3:$N$1101,9,0),"")</f>
        <v>_</v>
      </c>
      <c r="AY587" s="448" t="str">
        <f>_xlfn.IFNA(VLOOKUP($AP587,Programma!$F$3:$O$1101,10,0),"")</f>
        <v>_</v>
      </c>
      <c r="AZ587" s="448" t="str">
        <f>_xlfn.IFNA(VLOOKUP($AP587,Programma!$F$3:$P$1101,11,0),"")</f>
        <v>_</v>
      </c>
      <c r="BA587" s="448" t="str">
        <f>_xlfn.IFNA(VLOOKUP($AP587,Programma!$F$3:$Q$1101,12,0),"")</f>
        <v>_</v>
      </c>
      <c r="BB587" s="448" t="str">
        <f>_xlfn.IFNA(VLOOKUP($AP587,Programma!$F$3:$R$1101,13,0),"")</f>
        <v>_</v>
      </c>
      <c r="BC587" s="448" t="str">
        <f>_xlfn.IFNA(VLOOKUP($AP587,Programma!$F$3:$S$1101,14,0),"")</f>
        <v>_</v>
      </c>
      <c r="BD587" s="448" t="str">
        <f>_xlfn.IFNA(VLOOKUP($AP587,Programma!$F$3:$T$1101,15,0),"")</f>
        <v>_</v>
      </c>
      <c r="BE587" s="448" t="str">
        <f>_xlfn.IFNA(VLOOKUP($AP587,Programma!$F$3:$U$1101,16,0),"")</f>
        <v>_</v>
      </c>
      <c r="BF587" s="448" t="str">
        <f>_xlfn.IFNA(VLOOKUP($AP587,Programma!$F$3:$V$1101,17,0),"")</f>
        <v>_</v>
      </c>
      <c r="BG587" s="448" t="str">
        <f>_xlfn.IFNA(VLOOKUP($AP587,Programma!$F$3:$W$1101,18,0),"")</f>
        <v>4w</v>
      </c>
      <c r="BH587" s="448" t="str">
        <f>_xlfn.IFNA(VLOOKUP($AP587,Programma!$F$3:$X$1101,19,0),"")</f>
        <v>1w</v>
      </c>
      <c r="BI587" s="448" t="str">
        <f>_xlfn.IFNA(VLOOKUP($AP587,Programma!$F$3:$Y$1101,20,0),"")</f>
        <v>_</v>
      </c>
      <c r="BJ587" s="449"/>
      <c r="BK587" s="446" t="str">
        <f>IF(Ruimtestaat[[#This Row],[Frequentie weekend]]="","",_xlfn.CONCAT(Ruimtestaat[[#This Row],[Ruimte code]],"-",Ruimtestaat[[#This Row],[Frequentie weekend]]," ",Ruimtestaat[[#This Row],[Vloer code]]))</f>
        <v/>
      </c>
      <c r="BL587" s="448" t="str">
        <f>_xlfn.IFNA(VLOOKUP($BK587,Programma!$F$3:$G$1101,2,0),"")</f>
        <v/>
      </c>
      <c r="BM587" s="448" t="str">
        <f>_xlfn.IFNA(VLOOKUP($BK587,Programma!$F$3:$H$1101,3,0),"")</f>
        <v/>
      </c>
      <c r="BN587" s="448" t="str">
        <f>_xlfn.IFNA(VLOOKUP($BK587,Programma!$F$3:$I$1101,4,0),"")</f>
        <v/>
      </c>
      <c r="BO587" s="448" t="str">
        <f>_xlfn.IFNA(VLOOKUP($BK587,Programma!$F$3:$J$1101,5,0),"")</f>
        <v/>
      </c>
      <c r="BP587" s="448" t="str">
        <f>_xlfn.IFNA(VLOOKUP($BK587,Programma!$F$3:$K$1101,6,0),"")</f>
        <v/>
      </c>
      <c r="BQ587" s="448" t="str">
        <f>_xlfn.IFNA(VLOOKUP($BK587,Programma!$F$3:$L$1101,7,0),"")</f>
        <v/>
      </c>
      <c r="BR587" s="448" t="str">
        <f>_xlfn.IFNA(VLOOKUP($BK587,Programma!$F$3:$M$1101,8,0),"")</f>
        <v/>
      </c>
      <c r="BS587" s="448" t="str">
        <f>_xlfn.IFNA(VLOOKUP($BK587,Programma!$F$3:$N$1101,9,0),"")</f>
        <v/>
      </c>
      <c r="BT587" s="448" t="str">
        <f>_xlfn.IFNA(VLOOKUP($BK587,Programma!$F$3:$O$1101,10,0),"")</f>
        <v/>
      </c>
      <c r="BU587" s="448" t="str">
        <f>_xlfn.IFNA(VLOOKUP($BK587,Programma!$F$3:$P$1101,11,0),"")</f>
        <v/>
      </c>
      <c r="BV587" s="448" t="str">
        <f>_xlfn.IFNA(VLOOKUP($BK587,Programma!$F$3:$Q$1101,12,0),"")</f>
        <v/>
      </c>
      <c r="BW587" s="448" t="str">
        <f>_xlfn.IFNA(VLOOKUP($BK587,Programma!$F$3:$R$1101,13,0),"")</f>
        <v/>
      </c>
      <c r="BX587" s="448" t="str">
        <f>_xlfn.IFNA(VLOOKUP($BK587,Programma!$F$3:$S$1101,14,0),"")</f>
        <v/>
      </c>
      <c r="BY587" s="448" t="str">
        <f>_xlfn.IFNA(VLOOKUP($BK587,Programma!$F$3:$T$1101,15,0),"")</f>
        <v/>
      </c>
      <c r="BZ587" s="448" t="str">
        <f>_xlfn.IFNA(VLOOKUP($BK587,Programma!$F$3:$U$1101,16,0),"")</f>
        <v/>
      </c>
      <c r="CA587" s="448" t="str">
        <f>_xlfn.IFNA(VLOOKUP($BK587,Programma!$F$3:$V$1101,17,0),"")</f>
        <v/>
      </c>
      <c r="CB587" s="448" t="str">
        <f>_xlfn.IFNA(VLOOKUP($BK587,Programma!$F$3:$W$1101,18,0),"")</f>
        <v/>
      </c>
      <c r="CC587" s="448" t="str">
        <f>_xlfn.IFNA(VLOOKUP($BK587,Programma!$F$3:$X$1101,19,0),"")</f>
        <v/>
      </c>
      <c r="CD587" s="448" t="str">
        <f>_xlfn.IFNA(VLOOKUP($BK587,Programma!$F$3:$Y$1101,20,0),"")</f>
        <v/>
      </c>
    </row>
    <row r="588" spans="1:82" ht="15" customHeight="1">
      <c r="A588" s="327">
        <v>21</v>
      </c>
      <c r="B588" s="435" t="str">
        <f>VLOOKUP(Ruimtestaat[[#This Row],[Code]],Locaties[[Code]:[Locatie]],2,FALSE)</f>
        <v>IKC De  Leerplaneet (bijgebouw)</v>
      </c>
      <c r="C588" s="435" t="str">
        <f>VLOOKUP(Ruimtestaat[[#This Row],[Code]],Locaties[[#All],[Code]:[Adres]],4,FALSE)</f>
        <v>Nesciohove 105-107</v>
      </c>
      <c r="D588" s="435" t="str">
        <f>VLOOKUP(Ruimtestaat[[#This Row],[Code]],Locaties[[#All],[Code]:[Postcode]],5,FALSE)</f>
        <v>2716 BL</v>
      </c>
      <c r="E588" s="435" t="str">
        <f>VLOOKUP(Ruimtestaat[[#This Row],[Code]],Locaties[#All],6,FALSE)</f>
        <v>Zoetermeer</v>
      </c>
      <c r="F588" s="450"/>
      <c r="H588" s="330" t="s">
        <v>1662</v>
      </c>
      <c r="I588" s="450" t="s">
        <v>1724</v>
      </c>
      <c r="J588" s="330">
        <v>20</v>
      </c>
      <c r="K588" s="450" t="str">
        <f>VLOOKUP(Ruimtestaat[[#This Row],[Ruimte code]],Ruimtegroepen[[#All],[Code]:[Ruimte omschrijving]],2,FALSE)</f>
        <v>Niet in Onderhoud</v>
      </c>
      <c r="L588" s="434" t="s">
        <v>100</v>
      </c>
      <c r="M588" s="437" t="s">
        <v>1759</v>
      </c>
      <c r="N588" s="439"/>
      <c r="O588" s="439">
        <v>10</v>
      </c>
      <c r="P588" s="439"/>
      <c r="Q588" s="439"/>
      <c r="R588" s="440">
        <f>VLOOKUP(Ruimtestaat[[#This Row],[Ruimte code]],Ruimtegroepen[],4,FALSE)</f>
        <v>0</v>
      </c>
      <c r="S588" s="434"/>
      <c r="T588" s="434"/>
      <c r="U588" s="453">
        <f>IF(S588&gt;0,IF(RIGHT(Ruimtestaat[[#This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88" s="434">
        <f>IF(U588&gt;0,VLOOKUP($J588,Ruimtegroepen[],3,FALSE)*VLOOKUP($L588,Vloersoorten[],3,FALSE)*VLOOKUP($T588,Frequenties[],3,FALSE)*VLOOKUP($A588,Locaties[],3,FALSE),0)</f>
        <v>0</v>
      </c>
      <c r="W588" s="434">
        <f>Ruimtestaat[[#This Row],[Uitvoeringen werkdagen]]*Ruimtestaat[[#This Row],[Oppervlak (netto)]]</f>
        <v>0</v>
      </c>
      <c r="X588" s="441">
        <f>IF(V588&gt;0,Ruimtestaat[[#This Row],[Prest. (m2 /jaar) werkdagen]]/Ruimtestaat[[#This Row],[Norm (m2/uur) werkdagen]],0)</f>
        <v>0</v>
      </c>
      <c r="Y588" s="442">
        <f>Ruimtestaat[[#This Row],[Uitvoeringen werkdagen]]*Ruimtestaat[[#This Row],[Gedeeltelijk]]</f>
        <v>0</v>
      </c>
      <c r="Z588" s="443">
        <f>IF(U588&gt;0,Ruimtestaat[[#This Row],[Prest. (m2 / jaar) werkdagen gedeeld]]/Ruimtestaat[[#This Row],[Norm (m2/uur) werkdagen]],0)</f>
        <v>0</v>
      </c>
      <c r="AA588" s="441">
        <f>Ruimtestaat[[#This Row],[uren / jaar werkdagen gedeeld]]*Tariefsopbouw!$E$35</f>
        <v>0</v>
      </c>
      <c r="AB588" s="441">
        <f>Ruimtestaat[[#This Row],[Uitvoeringen werkdagen]]*Ruimtestaat[[#This Row],[BSO]]</f>
        <v>0</v>
      </c>
      <c r="AC588" s="443">
        <f>IF(U588&gt;0,Ruimtestaat[[#This Row],[Prest. (m2 / jaar) werkdagen BSO]]/Ruimtestaat[[#This Row],[Norm (m2/uur) werkdagen]],0)</f>
        <v>0</v>
      </c>
      <c r="AD588" s="443">
        <f>Ruimtestaat[[#This Row],[uren / jaar werkdagen BSO]]*Tariefsopbouw!$E$35</f>
        <v>0</v>
      </c>
      <c r="AE588" s="444">
        <f>Ruimtestaat[[#This Row],[uren / jaar werkdagen]]*Tariefsopbouw!$E$35</f>
        <v>0</v>
      </c>
      <c r="AF588" s="454"/>
      <c r="AG588" s="455">
        <f>IF(Ruimtestaat[[#This Row],[Frequentie weekend]]&gt;0,VALUE(LEFT(AF588,1))*S588,0)</f>
        <v>0</v>
      </c>
      <c r="AH588" s="455">
        <f>IF($AG588&gt;0,VLOOKUP($J588,Ruimtegroepen[],3,FALSE)*VLOOKUP($L588,Vloersoorten[],3,FALSE)*VLOOKUP($AF588,Frequenties[],3,FALSE)*VLOOKUP(#REF!,Locaties[],3,FALSE),0)</f>
        <v>0</v>
      </c>
      <c r="AI588" s="434">
        <f>Ruimtestaat[[#This Row],[Uitvoeringen weekend]]*Ruimtestaat[[#This Row],[Oppervlak (netto)]]</f>
        <v>0</v>
      </c>
      <c r="AJ588" s="434">
        <f>IF(AH588&gt;0,Ruimtestaat[[#This Row],[Prest. (m2 /jaar) weekend]]/Ruimtestaat[[#This Row],[Norm (m2/uur) weekend]],0)</f>
        <v>0</v>
      </c>
      <c r="AK588" s="444">
        <f>Ruimtestaat[[#This Row],[uren / jaar weekend]]*Tariefsopbouw!$D$40</f>
        <v>0</v>
      </c>
      <c r="AL588" s="441">
        <f>Ruimtestaat[[#This Row],[Prest. (m2 /jaar) weekend]]+Ruimtestaat[[#This Row],[Prest. (m2 /jaar) werkdagen]]</f>
        <v>0</v>
      </c>
      <c r="AM588" s="441">
        <f>Ruimtestaat[[#This Row],[uren / jaar weekend]]+Ruimtestaat[[#This Row],[uren / jaar werkdagen]]</f>
        <v>0</v>
      </c>
      <c r="AN588" s="446">
        <f>Ruimtestaat[[#This Row],[kosten / jaar weekend]]+Ruimtestaat[[#This Row],[kosten / jaar werkdagen]]</f>
        <v>0</v>
      </c>
      <c r="AO588" s="446"/>
      <c r="AP588" s="446" t="str">
        <f>IF(Ruimtestaat[[#This Row],[Frequentie werkdagen]]="","",_xlfn.CONCAT(Ruimtestaat[[#This Row],[Ruimte code]],"-",Ruimtestaat[[#This Row],[Frequentie werkdagen]]," ",Ruimtestaat[[#This Row],[Vloer code]]))</f>
        <v/>
      </c>
      <c r="AQ588" s="448" t="str">
        <f>_xlfn.IFNA(VLOOKUP($AP588,Programma!$F$3:$G$1101,2,0),"")</f>
        <v/>
      </c>
      <c r="AR588" s="448" t="str">
        <f>_xlfn.IFNA(VLOOKUP($AP588,Programma!$F$3:$H$1101,3,0),"")</f>
        <v/>
      </c>
      <c r="AS588" s="448" t="str">
        <f>_xlfn.IFNA(VLOOKUP($AP588,Programma!$F$3:$I$1101,4,0),"")</f>
        <v/>
      </c>
      <c r="AT588" s="448" t="str">
        <f>_xlfn.IFNA(VLOOKUP($AP588,Programma!$F$3:$J$1101,5,0),"")</f>
        <v/>
      </c>
      <c r="AU588" s="448" t="str">
        <f>_xlfn.IFNA(VLOOKUP($AP588,Programma!$F$3:$K$1101,6,0),"")</f>
        <v/>
      </c>
      <c r="AV588" s="448" t="str">
        <f>_xlfn.IFNA(VLOOKUP($AP588,Programma!$F$3:$L$1101,7,0),"")</f>
        <v/>
      </c>
      <c r="AW588" s="448" t="str">
        <f>_xlfn.IFNA(VLOOKUP($AP588,Programma!$F$3:$M$1101,8,0),"")</f>
        <v/>
      </c>
      <c r="AX588" s="448" t="str">
        <f>_xlfn.IFNA(VLOOKUP($AP588,Programma!$F$3:$N$1101,9,0),"")</f>
        <v/>
      </c>
      <c r="AY588" s="448" t="str">
        <f>_xlfn.IFNA(VLOOKUP($AP588,Programma!$F$3:$O$1101,10,0),"")</f>
        <v/>
      </c>
      <c r="AZ588" s="448" t="str">
        <f>_xlfn.IFNA(VLOOKUP($AP588,Programma!$F$3:$P$1101,11,0),"")</f>
        <v/>
      </c>
      <c r="BA588" s="448" t="str">
        <f>_xlfn.IFNA(VLOOKUP($AP588,Programma!$F$3:$Q$1101,12,0),"")</f>
        <v/>
      </c>
      <c r="BB588" s="448" t="str">
        <f>_xlfn.IFNA(VLOOKUP($AP588,Programma!$F$3:$R$1101,13,0),"")</f>
        <v/>
      </c>
      <c r="BC588" s="448" t="str">
        <f>_xlfn.IFNA(VLOOKUP($AP588,Programma!$F$3:$S$1101,14,0),"")</f>
        <v/>
      </c>
      <c r="BD588" s="448" t="str">
        <f>_xlfn.IFNA(VLOOKUP($AP588,Programma!$F$3:$T$1101,15,0),"")</f>
        <v/>
      </c>
      <c r="BE588" s="448" t="str">
        <f>_xlfn.IFNA(VLOOKUP($AP588,Programma!$F$3:$U$1101,16,0),"")</f>
        <v/>
      </c>
      <c r="BF588" s="448" t="str">
        <f>_xlfn.IFNA(VLOOKUP($AP588,Programma!$F$3:$V$1101,17,0),"")</f>
        <v/>
      </c>
      <c r="BG588" s="448" t="str">
        <f>_xlfn.IFNA(VLOOKUP($AP588,Programma!$F$3:$W$1101,18,0),"")</f>
        <v/>
      </c>
      <c r="BH588" s="448" t="str">
        <f>_xlfn.IFNA(VLOOKUP($AP588,Programma!$F$3:$X$1101,19,0),"")</f>
        <v/>
      </c>
      <c r="BI588" s="448" t="str">
        <f>_xlfn.IFNA(VLOOKUP($AP588,Programma!$F$3:$Y$1101,20,0),"")</f>
        <v/>
      </c>
      <c r="BJ588" s="449"/>
      <c r="BK588" s="446" t="str">
        <f>IF(Ruimtestaat[[#This Row],[Frequentie weekend]]="","",_xlfn.CONCAT(Ruimtestaat[[#This Row],[Ruimte code]],"-",Ruimtestaat[[#This Row],[Frequentie weekend]]," ",Ruimtestaat[[#This Row],[Vloer code]]))</f>
        <v/>
      </c>
      <c r="BL588" s="448" t="str">
        <f>_xlfn.IFNA(VLOOKUP($BK588,Programma!$F$3:$G$1101,2,0),"")</f>
        <v/>
      </c>
      <c r="BM588" s="448" t="str">
        <f>_xlfn.IFNA(VLOOKUP($BK588,Programma!$F$3:$H$1101,3,0),"")</f>
        <v/>
      </c>
      <c r="BN588" s="448" t="str">
        <f>_xlfn.IFNA(VLOOKUP($BK588,Programma!$F$3:$I$1101,4,0),"")</f>
        <v/>
      </c>
      <c r="BO588" s="448" t="str">
        <f>_xlfn.IFNA(VLOOKUP($BK588,Programma!$F$3:$J$1101,5,0),"")</f>
        <v/>
      </c>
      <c r="BP588" s="448" t="str">
        <f>_xlfn.IFNA(VLOOKUP($BK588,Programma!$F$3:$K$1101,6,0),"")</f>
        <v/>
      </c>
      <c r="BQ588" s="448" t="str">
        <f>_xlfn.IFNA(VLOOKUP($BK588,Programma!$F$3:$L$1101,7,0),"")</f>
        <v/>
      </c>
      <c r="BR588" s="448" t="str">
        <f>_xlfn.IFNA(VLOOKUP($BK588,Programma!$F$3:$M$1101,8,0),"")</f>
        <v/>
      </c>
      <c r="BS588" s="448" t="str">
        <f>_xlfn.IFNA(VLOOKUP($BK588,Programma!$F$3:$N$1101,9,0),"")</f>
        <v/>
      </c>
      <c r="BT588" s="448" t="str">
        <f>_xlfn.IFNA(VLOOKUP($BK588,Programma!$F$3:$O$1101,10,0),"")</f>
        <v/>
      </c>
      <c r="BU588" s="448" t="str">
        <f>_xlfn.IFNA(VLOOKUP($BK588,Programma!$F$3:$P$1101,11,0),"")</f>
        <v/>
      </c>
      <c r="BV588" s="448" t="str">
        <f>_xlfn.IFNA(VLOOKUP($BK588,Programma!$F$3:$Q$1101,12,0),"")</f>
        <v/>
      </c>
      <c r="BW588" s="448" t="str">
        <f>_xlfn.IFNA(VLOOKUP($BK588,Programma!$F$3:$R$1101,13,0),"")</f>
        <v/>
      </c>
      <c r="BX588" s="448" t="str">
        <f>_xlfn.IFNA(VLOOKUP($BK588,Programma!$F$3:$S$1101,14,0),"")</f>
        <v/>
      </c>
      <c r="BY588" s="448" t="str">
        <f>_xlfn.IFNA(VLOOKUP($BK588,Programma!$F$3:$T$1101,15,0),"")</f>
        <v/>
      </c>
      <c r="BZ588" s="448" t="str">
        <f>_xlfn.IFNA(VLOOKUP($BK588,Programma!$F$3:$U$1101,16,0),"")</f>
        <v/>
      </c>
      <c r="CA588" s="448" t="str">
        <f>_xlfn.IFNA(VLOOKUP($BK588,Programma!$F$3:$V$1101,17,0),"")</f>
        <v/>
      </c>
      <c r="CB588" s="448" t="str">
        <f>_xlfn.IFNA(VLOOKUP($BK588,Programma!$F$3:$W$1101,18,0),"")</f>
        <v/>
      </c>
      <c r="CC588" s="448" t="str">
        <f>_xlfn.IFNA(VLOOKUP($BK588,Programma!$F$3:$X$1101,19,0),"")</f>
        <v/>
      </c>
      <c r="CD588" s="448" t="str">
        <f>_xlfn.IFNA(VLOOKUP($BK588,Programma!$F$3:$Y$1101,20,0),"")</f>
        <v/>
      </c>
    </row>
    <row r="589" spans="1:82" ht="15" customHeight="1">
      <c r="A589" s="327">
        <v>21</v>
      </c>
      <c r="B589" s="435" t="str">
        <f>VLOOKUP(Ruimtestaat[[#This Row],[Code]],Locaties[[Code]:[Locatie]],2,FALSE)</f>
        <v>IKC De  Leerplaneet (bijgebouw)</v>
      </c>
      <c r="C589" s="435" t="str">
        <f>VLOOKUP(Ruimtestaat[[#This Row],[Code]],Locaties[[#All],[Code]:[Adres]],4,FALSE)</f>
        <v>Nesciohove 105-107</v>
      </c>
      <c r="D589" s="435" t="str">
        <f>VLOOKUP(Ruimtestaat[[#This Row],[Code]],Locaties[[#All],[Code]:[Postcode]],5,FALSE)</f>
        <v>2716 BL</v>
      </c>
      <c r="E589" s="435" t="str">
        <f>VLOOKUP(Ruimtestaat[[#This Row],[Code]],Locaties[#All],6,FALSE)</f>
        <v>Zoetermeer</v>
      </c>
      <c r="F589" s="450"/>
      <c r="H589" s="330" t="s">
        <v>1665</v>
      </c>
      <c r="I589" s="450" t="s">
        <v>1724</v>
      </c>
      <c r="J589" s="330">
        <v>20</v>
      </c>
      <c r="K589" s="450" t="str">
        <f>VLOOKUP(Ruimtestaat[[#This Row],[Ruimte code]],Ruimtegroepen[[#All],[Code]:[Ruimte omschrijving]],2,FALSE)</f>
        <v>Niet in Onderhoud</v>
      </c>
      <c r="L589" s="434" t="s">
        <v>100</v>
      </c>
      <c r="M589" s="437" t="s">
        <v>1759</v>
      </c>
      <c r="N589" s="439"/>
      <c r="O589" s="439">
        <v>8</v>
      </c>
      <c r="P589" s="439"/>
      <c r="Q589" s="439"/>
      <c r="R589" s="440">
        <f>VLOOKUP(Ruimtestaat[[#This Row],[Ruimte code]],Ruimtegroepen[],4,FALSE)</f>
        <v>0</v>
      </c>
      <c r="S589" s="434"/>
      <c r="T589" s="434"/>
      <c r="U589" s="453">
        <f>IF(S589&gt;0,IF(RIGHT(Ruimtestaat[[#This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89" s="434">
        <f>IF(U589&gt;0,VLOOKUP($J589,Ruimtegroepen[],3,FALSE)*VLOOKUP($L589,Vloersoorten[],3,FALSE)*VLOOKUP($T589,Frequenties[],3,FALSE)*VLOOKUP($A589,Locaties[],3,FALSE),0)</f>
        <v>0</v>
      </c>
      <c r="W589" s="434">
        <f>Ruimtestaat[[#This Row],[Uitvoeringen werkdagen]]*Ruimtestaat[[#This Row],[Oppervlak (netto)]]</f>
        <v>0</v>
      </c>
      <c r="X589" s="441">
        <f>IF(V589&gt;0,Ruimtestaat[[#This Row],[Prest. (m2 /jaar) werkdagen]]/Ruimtestaat[[#This Row],[Norm (m2/uur) werkdagen]],0)</f>
        <v>0</v>
      </c>
      <c r="Y589" s="442">
        <f>Ruimtestaat[[#This Row],[Uitvoeringen werkdagen]]*Ruimtestaat[[#This Row],[Gedeeltelijk]]</f>
        <v>0</v>
      </c>
      <c r="Z589" s="443">
        <f>IF(U589&gt;0,Ruimtestaat[[#This Row],[Prest. (m2 / jaar) werkdagen gedeeld]]/Ruimtestaat[[#This Row],[Norm (m2/uur) werkdagen]],0)</f>
        <v>0</v>
      </c>
      <c r="AA589" s="441">
        <f>Ruimtestaat[[#This Row],[uren / jaar werkdagen gedeeld]]*Tariefsopbouw!$E$35</f>
        <v>0</v>
      </c>
      <c r="AB589" s="441">
        <f>Ruimtestaat[[#This Row],[Uitvoeringen werkdagen]]*Ruimtestaat[[#This Row],[BSO]]</f>
        <v>0</v>
      </c>
      <c r="AC589" s="443">
        <f>IF(U589&gt;0,Ruimtestaat[[#This Row],[Prest. (m2 / jaar) werkdagen BSO]]/Ruimtestaat[[#This Row],[Norm (m2/uur) werkdagen]],0)</f>
        <v>0</v>
      </c>
      <c r="AD589" s="443">
        <f>Ruimtestaat[[#This Row],[uren / jaar werkdagen BSO]]*Tariefsopbouw!$E$35</f>
        <v>0</v>
      </c>
      <c r="AE589" s="444">
        <f>Ruimtestaat[[#This Row],[uren / jaar werkdagen]]*Tariefsopbouw!$E$35</f>
        <v>0</v>
      </c>
      <c r="AF589" s="454"/>
      <c r="AG589" s="455">
        <f>IF(Ruimtestaat[[#This Row],[Frequentie weekend]]&gt;0,VALUE(LEFT(AF589,1))*S589,0)</f>
        <v>0</v>
      </c>
      <c r="AH589" s="455">
        <f>IF($AG589&gt;0,VLOOKUP($J589,Ruimtegroepen[],3,FALSE)*VLOOKUP($L589,Vloersoorten[],3,FALSE)*VLOOKUP($AF589,Frequenties[],3,FALSE)*VLOOKUP(#REF!,Locaties[],3,FALSE),0)</f>
        <v>0</v>
      </c>
      <c r="AI589" s="434">
        <f>Ruimtestaat[[#This Row],[Uitvoeringen weekend]]*Ruimtestaat[[#This Row],[Oppervlak (netto)]]</f>
        <v>0</v>
      </c>
      <c r="AJ589" s="434">
        <f>IF(AH589&gt;0,Ruimtestaat[[#This Row],[Prest. (m2 /jaar) weekend]]/Ruimtestaat[[#This Row],[Norm (m2/uur) weekend]],0)</f>
        <v>0</v>
      </c>
      <c r="AK589" s="444">
        <f>Ruimtestaat[[#This Row],[uren / jaar weekend]]*Tariefsopbouw!$D$40</f>
        <v>0</v>
      </c>
      <c r="AL589" s="441">
        <f>Ruimtestaat[[#This Row],[Prest. (m2 /jaar) weekend]]+Ruimtestaat[[#This Row],[Prest. (m2 /jaar) werkdagen]]</f>
        <v>0</v>
      </c>
      <c r="AM589" s="441">
        <f>Ruimtestaat[[#This Row],[uren / jaar weekend]]+Ruimtestaat[[#This Row],[uren / jaar werkdagen]]</f>
        <v>0</v>
      </c>
      <c r="AN589" s="446">
        <f>Ruimtestaat[[#This Row],[kosten / jaar weekend]]+Ruimtestaat[[#This Row],[kosten / jaar werkdagen]]</f>
        <v>0</v>
      </c>
      <c r="AO589" s="446"/>
      <c r="AP589" s="446" t="str">
        <f>IF(Ruimtestaat[[#This Row],[Frequentie werkdagen]]="","",_xlfn.CONCAT(Ruimtestaat[[#This Row],[Ruimte code]],"-",Ruimtestaat[[#This Row],[Frequentie werkdagen]]," ",Ruimtestaat[[#This Row],[Vloer code]]))</f>
        <v/>
      </c>
      <c r="AQ589" s="448" t="str">
        <f>_xlfn.IFNA(VLOOKUP($AP589,Programma!$F$3:$G$1101,2,0),"")</f>
        <v/>
      </c>
      <c r="AR589" s="448" t="str">
        <f>_xlfn.IFNA(VLOOKUP($AP589,Programma!$F$3:$H$1101,3,0),"")</f>
        <v/>
      </c>
      <c r="AS589" s="448" t="str">
        <f>_xlfn.IFNA(VLOOKUP($AP589,Programma!$F$3:$I$1101,4,0),"")</f>
        <v/>
      </c>
      <c r="AT589" s="448" t="str">
        <f>_xlfn.IFNA(VLOOKUP($AP589,Programma!$F$3:$J$1101,5,0),"")</f>
        <v/>
      </c>
      <c r="AU589" s="448" t="str">
        <f>_xlfn.IFNA(VLOOKUP($AP589,Programma!$F$3:$K$1101,6,0),"")</f>
        <v/>
      </c>
      <c r="AV589" s="448" t="str">
        <f>_xlfn.IFNA(VLOOKUP($AP589,Programma!$F$3:$L$1101,7,0),"")</f>
        <v/>
      </c>
      <c r="AW589" s="448" t="str">
        <f>_xlfn.IFNA(VLOOKUP($AP589,Programma!$F$3:$M$1101,8,0),"")</f>
        <v/>
      </c>
      <c r="AX589" s="448" t="str">
        <f>_xlfn.IFNA(VLOOKUP($AP589,Programma!$F$3:$N$1101,9,0),"")</f>
        <v/>
      </c>
      <c r="AY589" s="448" t="str">
        <f>_xlfn.IFNA(VLOOKUP($AP589,Programma!$F$3:$O$1101,10,0),"")</f>
        <v/>
      </c>
      <c r="AZ589" s="448" t="str">
        <f>_xlfn.IFNA(VLOOKUP($AP589,Programma!$F$3:$P$1101,11,0),"")</f>
        <v/>
      </c>
      <c r="BA589" s="448" t="str">
        <f>_xlfn.IFNA(VLOOKUP($AP589,Programma!$F$3:$Q$1101,12,0),"")</f>
        <v/>
      </c>
      <c r="BB589" s="448" t="str">
        <f>_xlfn.IFNA(VLOOKUP($AP589,Programma!$F$3:$R$1101,13,0),"")</f>
        <v/>
      </c>
      <c r="BC589" s="448" t="str">
        <f>_xlfn.IFNA(VLOOKUP($AP589,Programma!$F$3:$S$1101,14,0),"")</f>
        <v/>
      </c>
      <c r="BD589" s="448" t="str">
        <f>_xlfn.IFNA(VLOOKUP($AP589,Programma!$F$3:$T$1101,15,0),"")</f>
        <v/>
      </c>
      <c r="BE589" s="448" t="str">
        <f>_xlfn.IFNA(VLOOKUP($AP589,Programma!$F$3:$U$1101,16,0),"")</f>
        <v/>
      </c>
      <c r="BF589" s="448" t="str">
        <f>_xlfn.IFNA(VLOOKUP($AP589,Programma!$F$3:$V$1101,17,0),"")</f>
        <v/>
      </c>
      <c r="BG589" s="448" t="str">
        <f>_xlfn.IFNA(VLOOKUP($AP589,Programma!$F$3:$W$1101,18,0),"")</f>
        <v/>
      </c>
      <c r="BH589" s="448" t="str">
        <f>_xlfn.IFNA(VLOOKUP($AP589,Programma!$F$3:$X$1101,19,0),"")</f>
        <v/>
      </c>
      <c r="BI589" s="448" t="str">
        <f>_xlfn.IFNA(VLOOKUP($AP589,Programma!$F$3:$Y$1101,20,0),"")</f>
        <v/>
      </c>
      <c r="BJ589" s="449"/>
      <c r="BK589" s="446" t="str">
        <f>IF(Ruimtestaat[[#This Row],[Frequentie weekend]]="","",_xlfn.CONCAT(Ruimtestaat[[#This Row],[Ruimte code]],"-",Ruimtestaat[[#This Row],[Frequentie weekend]]," ",Ruimtestaat[[#This Row],[Vloer code]]))</f>
        <v/>
      </c>
      <c r="BL589" s="448" t="str">
        <f>_xlfn.IFNA(VLOOKUP($BK589,Programma!$F$3:$G$1101,2,0),"")</f>
        <v/>
      </c>
      <c r="BM589" s="448" t="str">
        <f>_xlfn.IFNA(VLOOKUP($BK589,Programma!$F$3:$H$1101,3,0),"")</f>
        <v/>
      </c>
      <c r="BN589" s="448" t="str">
        <f>_xlfn.IFNA(VLOOKUP($BK589,Programma!$F$3:$I$1101,4,0),"")</f>
        <v/>
      </c>
      <c r="BO589" s="448" t="str">
        <f>_xlfn.IFNA(VLOOKUP($BK589,Programma!$F$3:$J$1101,5,0),"")</f>
        <v/>
      </c>
      <c r="BP589" s="448" t="str">
        <f>_xlfn.IFNA(VLOOKUP($BK589,Programma!$F$3:$K$1101,6,0),"")</f>
        <v/>
      </c>
      <c r="BQ589" s="448" t="str">
        <f>_xlfn.IFNA(VLOOKUP($BK589,Programma!$F$3:$L$1101,7,0),"")</f>
        <v/>
      </c>
      <c r="BR589" s="448" t="str">
        <f>_xlfn.IFNA(VLOOKUP($BK589,Programma!$F$3:$M$1101,8,0),"")</f>
        <v/>
      </c>
      <c r="BS589" s="448" t="str">
        <f>_xlfn.IFNA(VLOOKUP($BK589,Programma!$F$3:$N$1101,9,0),"")</f>
        <v/>
      </c>
      <c r="BT589" s="448" t="str">
        <f>_xlfn.IFNA(VLOOKUP($BK589,Programma!$F$3:$O$1101,10,0),"")</f>
        <v/>
      </c>
      <c r="BU589" s="448" t="str">
        <f>_xlfn.IFNA(VLOOKUP($BK589,Programma!$F$3:$P$1101,11,0),"")</f>
        <v/>
      </c>
      <c r="BV589" s="448" t="str">
        <f>_xlfn.IFNA(VLOOKUP($BK589,Programma!$F$3:$Q$1101,12,0),"")</f>
        <v/>
      </c>
      <c r="BW589" s="448" t="str">
        <f>_xlfn.IFNA(VLOOKUP($BK589,Programma!$F$3:$R$1101,13,0),"")</f>
        <v/>
      </c>
      <c r="BX589" s="448" t="str">
        <f>_xlfn.IFNA(VLOOKUP($BK589,Programma!$F$3:$S$1101,14,0),"")</f>
        <v/>
      </c>
      <c r="BY589" s="448" t="str">
        <f>_xlfn.IFNA(VLOOKUP($BK589,Programma!$F$3:$T$1101,15,0),"")</f>
        <v/>
      </c>
      <c r="BZ589" s="448" t="str">
        <f>_xlfn.IFNA(VLOOKUP($BK589,Programma!$F$3:$U$1101,16,0),"")</f>
        <v/>
      </c>
      <c r="CA589" s="448" t="str">
        <f>_xlfn.IFNA(VLOOKUP($BK589,Programma!$F$3:$V$1101,17,0),"")</f>
        <v/>
      </c>
      <c r="CB589" s="448" t="str">
        <f>_xlfn.IFNA(VLOOKUP($BK589,Programma!$F$3:$W$1101,18,0),"")</f>
        <v/>
      </c>
      <c r="CC589" s="448" t="str">
        <f>_xlfn.IFNA(VLOOKUP($BK589,Programma!$F$3:$X$1101,19,0),"")</f>
        <v/>
      </c>
      <c r="CD589" s="448" t="str">
        <f>_xlfn.IFNA(VLOOKUP($BK589,Programma!$F$3:$Y$1101,20,0),"")</f>
        <v/>
      </c>
    </row>
    <row r="590" spans="1:82" ht="15" customHeight="1">
      <c r="A590" s="327">
        <v>21</v>
      </c>
      <c r="B590" s="435" t="str">
        <f>VLOOKUP(Ruimtestaat[[#This Row],[Code]],Locaties[[Code]:[Locatie]],2,FALSE)</f>
        <v>IKC De  Leerplaneet (bijgebouw)</v>
      </c>
      <c r="C590" s="435" t="str">
        <f>VLOOKUP(Ruimtestaat[[#This Row],[Code]],Locaties[[#All],[Code]:[Adres]],4,FALSE)</f>
        <v>Nesciohove 105-107</v>
      </c>
      <c r="D590" s="435" t="str">
        <f>VLOOKUP(Ruimtestaat[[#This Row],[Code]],Locaties[[#All],[Code]:[Postcode]],5,FALSE)</f>
        <v>2716 BL</v>
      </c>
      <c r="E590" s="435" t="str">
        <f>VLOOKUP(Ruimtestaat[[#This Row],[Code]],Locaties[#All],6,FALSE)</f>
        <v>Zoetermeer</v>
      </c>
      <c r="F590" s="450"/>
      <c r="H590" s="330" t="s">
        <v>1667</v>
      </c>
      <c r="I590" s="450" t="s">
        <v>1724</v>
      </c>
      <c r="J590" s="330">
        <v>20</v>
      </c>
      <c r="K590" s="450" t="str">
        <f>VLOOKUP(Ruimtestaat[[#This Row],[Ruimte code]],Ruimtegroepen[[#All],[Code]:[Ruimte omschrijving]],2,FALSE)</f>
        <v>Niet in Onderhoud</v>
      </c>
      <c r="L590" s="434" t="s">
        <v>100</v>
      </c>
      <c r="M590" s="437" t="s">
        <v>1759</v>
      </c>
      <c r="N590" s="439"/>
      <c r="O590" s="439">
        <v>5</v>
      </c>
      <c r="P590" s="439"/>
      <c r="Q590" s="439"/>
      <c r="R590" s="440">
        <f>VLOOKUP(Ruimtestaat[[#This Row],[Ruimte code]],Ruimtegroepen[],4,FALSE)</f>
        <v>0</v>
      </c>
      <c r="S590" s="434"/>
      <c r="T590" s="434"/>
      <c r="U590" s="453">
        <f>IF(S590&gt;0,IF(RIGHT(Ruimtestaat[[#This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90" s="434">
        <f>IF(U590&gt;0,VLOOKUP($J590,Ruimtegroepen[],3,FALSE)*VLOOKUP($L590,Vloersoorten[],3,FALSE)*VLOOKUP($T590,Frequenties[],3,FALSE)*VLOOKUP($A590,Locaties[],3,FALSE),0)</f>
        <v>0</v>
      </c>
      <c r="W590" s="434">
        <f>Ruimtestaat[[#This Row],[Uitvoeringen werkdagen]]*Ruimtestaat[[#This Row],[Oppervlak (netto)]]</f>
        <v>0</v>
      </c>
      <c r="X590" s="441">
        <f>IF(V590&gt;0,Ruimtestaat[[#This Row],[Prest. (m2 /jaar) werkdagen]]/Ruimtestaat[[#This Row],[Norm (m2/uur) werkdagen]],0)</f>
        <v>0</v>
      </c>
      <c r="Y590" s="442">
        <f>Ruimtestaat[[#This Row],[Uitvoeringen werkdagen]]*Ruimtestaat[[#This Row],[Gedeeltelijk]]</f>
        <v>0</v>
      </c>
      <c r="Z590" s="443">
        <f>IF(U590&gt;0,Ruimtestaat[[#This Row],[Prest. (m2 / jaar) werkdagen gedeeld]]/Ruimtestaat[[#This Row],[Norm (m2/uur) werkdagen]],0)</f>
        <v>0</v>
      </c>
      <c r="AA590" s="441">
        <f>Ruimtestaat[[#This Row],[uren / jaar werkdagen gedeeld]]*Tariefsopbouw!$E$35</f>
        <v>0</v>
      </c>
      <c r="AB590" s="441">
        <f>Ruimtestaat[[#This Row],[Uitvoeringen werkdagen]]*Ruimtestaat[[#This Row],[BSO]]</f>
        <v>0</v>
      </c>
      <c r="AC590" s="443">
        <f>IF(U590&gt;0,Ruimtestaat[[#This Row],[Prest. (m2 / jaar) werkdagen BSO]]/Ruimtestaat[[#This Row],[Norm (m2/uur) werkdagen]],0)</f>
        <v>0</v>
      </c>
      <c r="AD590" s="443">
        <f>Ruimtestaat[[#This Row],[uren / jaar werkdagen BSO]]*Tariefsopbouw!$E$35</f>
        <v>0</v>
      </c>
      <c r="AE590" s="444">
        <f>Ruimtestaat[[#This Row],[uren / jaar werkdagen]]*Tariefsopbouw!$E$35</f>
        <v>0</v>
      </c>
      <c r="AF590" s="454"/>
      <c r="AG590" s="455">
        <f>IF(Ruimtestaat[[#This Row],[Frequentie weekend]]&gt;0,VALUE(LEFT(AF590,1))*S590,0)</f>
        <v>0</v>
      </c>
      <c r="AH590" s="455">
        <f>IF($AG590&gt;0,VLOOKUP($J590,Ruimtegroepen[],3,FALSE)*VLOOKUP($L590,Vloersoorten[],3,FALSE)*VLOOKUP($AF590,Frequenties[],3,FALSE)*VLOOKUP(#REF!,Locaties[],3,FALSE),0)</f>
        <v>0</v>
      </c>
      <c r="AI590" s="434">
        <f>Ruimtestaat[[#This Row],[Uitvoeringen weekend]]*Ruimtestaat[[#This Row],[Oppervlak (netto)]]</f>
        <v>0</v>
      </c>
      <c r="AJ590" s="434">
        <f>IF(AH590&gt;0,Ruimtestaat[[#This Row],[Prest. (m2 /jaar) weekend]]/Ruimtestaat[[#This Row],[Norm (m2/uur) weekend]],0)</f>
        <v>0</v>
      </c>
      <c r="AK590" s="444">
        <f>Ruimtestaat[[#This Row],[uren / jaar weekend]]*Tariefsopbouw!$D$40</f>
        <v>0</v>
      </c>
      <c r="AL590" s="441">
        <f>Ruimtestaat[[#This Row],[Prest. (m2 /jaar) weekend]]+Ruimtestaat[[#This Row],[Prest. (m2 /jaar) werkdagen]]</f>
        <v>0</v>
      </c>
      <c r="AM590" s="441">
        <f>Ruimtestaat[[#This Row],[uren / jaar weekend]]+Ruimtestaat[[#This Row],[uren / jaar werkdagen]]</f>
        <v>0</v>
      </c>
      <c r="AN590" s="446">
        <f>Ruimtestaat[[#This Row],[kosten / jaar weekend]]+Ruimtestaat[[#This Row],[kosten / jaar werkdagen]]</f>
        <v>0</v>
      </c>
      <c r="AO590" s="446"/>
      <c r="AP590" s="446" t="str">
        <f>IF(Ruimtestaat[[#This Row],[Frequentie werkdagen]]="","",_xlfn.CONCAT(Ruimtestaat[[#This Row],[Ruimte code]],"-",Ruimtestaat[[#This Row],[Frequentie werkdagen]]," ",Ruimtestaat[[#This Row],[Vloer code]]))</f>
        <v/>
      </c>
      <c r="AQ590" s="448" t="str">
        <f>_xlfn.IFNA(VLOOKUP($AP590,Programma!$F$3:$G$1101,2,0),"")</f>
        <v/>
      </c>
      <c r="AR590" s="448" t="str">
        <f>_xlfn.IFNA(VLOOKUP($AP590,Programma!$F$3:$H$1101,3,0),"")</f>
        <v/>
      </c>
      <c r="AS590" s="448" t="str">
        <f>_xlfn.IFNA(VLOOKUP($AP590,Programma!$F$3:$I$1101,4,0),"")</f>
        <v/>
      </c>
      <c r="AT590" s="448" t="str">
        <f>_xlfn.IFNA(VLOOKUP($AP590,Programma!$F$3:$J$1101,5,0),"")</f>
        <v/>
      </c>
      <c r="AU590" s="448" t="str">
        <f>_xlfn.IFNA(VLOOKUP($AP590,Programma!$F$3:$K$1101,6,0),"")</f>
        <v/>
      </c>
      <c r="AV590" s="448" t="str">
        <f>_xlfn.IFNA(VLOOKUP($AP590,Programma!$F$3:$L$1101,7,0),"")</f>
        <v/>
      </c>
      <c r="AW590" s="448" t="str">
        <f>_xlfn.IFNA(VLOOKUP($AP590,Programma!$F$3:$M$1101,8,0),"")</f>
        <v/>
      </c>
      <c r="AX590" s="448" t="str">
        <f>_xlfn.IFNA(VLOOKUP($AP590,Programma!$F$3:$N$1101,9,0),"")</f>
        <v/>
      </c>
      <c r="AY590" s="448" t="str">
        <f>_xlfn.IFNA(VLOOKUP($AP590,Programma!$F$3:$O$1101,10,0),"")</f>
        <v/>
      </c>
      <c r="AZ590" s="448" t="str">
        <f>_xlfn.IFNA(VLOOKUP($AP590,Programma!$F$3:$P$1101,11,0),"")</f>
        <v/>
      </c>
      <c r="BA590" s="448" t="str">
        <f>_xlfn.IFNA(VLOOKUP($AP590,Programma!$F$3:$Q$1101,12,0),"")</f>
        <v/>
      </c>
      <c r="BB590" s="448" t="str">
        <f>_xlfn.IFNA(VLOOKUP($AP590,Programma!$F$3:$R$1101,13,0),"")</f>
        <v/>
      </c>
      <c r="BC590" s="448" t="str">
        <f>_xlfn.IFNA(VLOOKUP($AP590,Programma!$F$3:$S$1101,14,0),"")</f>
        <v/>
      </c>
      <c r="BD590" s="448" t="str">
        <f>_xlfn.IFNA(VLOOKUP($AP590,Programma!$F$3:$T$1101,15,0),"")</f>
        <v/>
      </c>
      <c r="BE590" s="448" t="str">
        <f>_xlfn.IFNA(VLOOKUP($AP590,Programma!$F$3:$U$1101,16,0),"")</f>
        <v/>
      </c>
      <c r="BF590" s="448" t="str">
        <f>_xlfn.IFNA(VLOOKUP($AP590,Programma!$F$3:$V$1101,17,0),"")</f>
        <v/>
      </c>
      <c r="BG590" s="448" t="str">
        <f>_xlfn.IFNA(VLOOKUP($AP590,Programma!$F$3:$W$1101,18,0),"")</f>
        <v/>
      </c>
      <c r="BH590" s="448" t="str">
        <f>_xlfn.IFNA(VLOOKUP($AP590,Programma!$F$3:$X$1101,19,0),"")</f>
        <v/>
      </c>
      <c r="BI590" s="448" t="str">
        <f>_xlfn.IFNA(VLOOKUP($AP590,Programma!$F$3:$Y$1101,20,0),"")</f>
        <v/>
      </c>
      <c r="BJ590" s="449"/>
      <c r="BK590" s="446" t="str">
        <f>IF(Ruimtestaat[[#This Row],[Frequentie weekend]]="","",_xlfn.CONCAT(Ruimtestaat[[#This Row],[Ruimte code]],"-",Ruimtestaat[[#This Row],[Frequentie weekend]]," ",Ruimtestaat[[#This Row],[Vloer code]]))</f>
        <v/>
      </c>
      <c r="BL590" s="448" t="str">
        <f>_xlfn.IFNA(VLOOKUP($BK590,Programma!$F$3:$G$1101,2,0),"")</f>
        <v/>
      </c>
      <c r="BM590" s="448" t="str">
        <f>_xlfn.IFNA(VLOOKUP($BK590,Programma!$F$3:$H$1101,3,0),"")</f>
        <v/>
      </c>
      <c r="BN590" s="448" t="str">
        <f>_xlfn.IFNA(VLOOKUP($BK590,Programma!$F$3:$I$1101,4,0),"")</f>
        <v/>
      </c>
      <c r="BO590" s="448" t="str">
        <f>_xlfn.IFNA(VLOOKUP($BK590,Programma!$F$3:$J$1101,5,0),"")</f>
        <v/>
      </c>
      <c r="BP590" s="448" t="str">
        <f>_xlfn.IFNA(VLOOKUP($BK590,Programma!$F$3:$K$1101,6,0),"")</f>
        <v/>
      </c>
      <c r="BQ590" s="448" t="str">
        <f>_xlfn.IFNA(VLOOKUP($BK590,Programma!$F$3:$L$1101,7,0),"")</f>
        <v/>
      </c>
      <c r="BR590" s="448" t="str">
        <f>_xlfn.IFNA(VLOOKUP($BK590,Programma!$F$3:$M$1101,8,0),"")</f>
        <v/>
      </c>
      <c r="BS590" s="448" t="str">
        <f>_xlfn.IFNA(VLOOKUP($BK590,Programma!$F$3:$N$1101,9,0),"")</f>
        <v/>
      </c>
      <c r="BT590" s="448" t="str">
        <f>_xlfn.IFNA(VLOOKUP($BK590,Programma!$F$3:$O$1101,10,0),"")</f>
        <v/>
      </c>
      <c r="BU590" s="448" t="str">
        <f>_xlfn.IFNA(VLOOKUP($BK590,Programma!$F$3:$P$1101,11,0),"")</f>
        <v/>
      </c>
      <c r="BV590" s="448" t="str">
        <f>_xlfn.IFNA(VLOOKUP($BK590,Programma!$F$3:$Q$1101,12,0),"")</f>
        <v/>
      </c>
      <c r="BW590" s="448" t="str">
        <f>_xlfn.IFNA(VLOOKUP($BK590,Programma!$F$3:$R$1101,13,0),"")</f>
        <v/>
      </c>
      <c r="BX590" s="448" t="str">
        <f>_xlfn.IFNA(VLOOKUP($BK590,Programma!$F$3:$S$1101,14,0),"")</f>
        <v/>
      </c>
      <c r="BY590" s="448" t="str">
        <f>_xlfn.IFNA(VLOOKUP($BK590,Programma!$F$3:$T$1101,15,0),"")</f>
        <v/>
      </c>
      <c r="BZ590" s="448" t="str">
        <f>_xlfn.IFNA(VLOOKUP($BK590,Programma!$F$3:$U$1101,16,0),"")</f>
        <v/>
      </c>
      <c r="CA590" s="448" t="str">
        <f>_xlfn.IFNA(VLOOKUP($BK590,Programma!$F$3:$V$1101,17,0),"")</f>
        <v/>
      </c>
      <c r="CB590" s="448" t="str">
        <f>_xlfn.IFNA(VLOOKUP($BK590,Programma!$F$3:$W$1101,18,0),"")</f>
        <v/>
      </c>
      <c r="CC590" s="448" t="str">
        <f>_xlfn.IFNA(VLOOKUP($BK590,Programma!$F$3:$X$1101,19,0),"")</f>
        <v/>
      </c>
      <c r="CD590" s="448" t="str">
        <f>_xlfn.IFNA(VLOOKUP($BK590,Programma!$F$3:$Y$1101,20,0),"")</f>
        <v/>
      </c>
    </row>
    <row r="591" spans="1:82" ht="15" customHeight="1">
      <c r="A591" s="327">
        <v>21</v>
      </c>
      <c r="B591" s="435" t="str">
        <f>VLOOKUP(Ruimtestaat[[#This Row],[Code]],Locaties[[Code]:[Locatie]],2,FALSE)</f>
        <v>IKC De  Leerplaneet (bijgebouw)</v>
      </c>
      <c r="C591" s="435" t="str">
        <f>VLOOKUP(Ruimtestaat[[#This Row],[Code]],Locaties[[#All],[Code]:[Adres]],4,FALSE)</f>
        <v>Nesciohove 105-107</v>
      </c>
      <c r="D591" s="435" t="str">
        <f>VLOOKUP(Ruimtestaat[[#This Row],[Code]],Locaties[[#All],[Code]:[Postcode]],5,FALSE)</f>
        <v>2716 BL</v>
      </c>
      <c r="E591" s="435" t="str">
        <f>VLOOKUP(Ruimtestaat[[#This Row],[Code]],Locaties[#All],6,FALSE)</f>
        <v>Zoetermeer</v>
      </c>
      <c r="F591" s="450"/>
      <c r="H591" s="330" t="s">
        <v>1668</v>
      </c>
      <c r="I591" s="450" t="s">
        <v>1789</v>
      </c>
      <c r="J591" s="330">
        <v>20</v>
      </c>
      <c r="K591" s="450" t="str">
        <f>VLOOKUP(Ruimtestaat[[#This Row],[Ruimte code]],Ruimtegroepen[[#All],[Code]:[Ruimte omschrijving]],2,FALSE)</f>
        <v>Niet in Onderhoud</v>
      </c>
      <c r="L591" s="434" t="s">
        <v>100</v>
      </c>
      <c r="M591" s="437" t="s">
        <v>1759</v>
      </c>
      <c r="N591" s="439"/>
      <c r="O591" s="439">
        <v>44</v>
      </c>
      <c r="P591" s="439"/>
      <c r="Q591" s="439"/>
      <c r="R591" s="440">
        <f>VLOOKUP(Ruimtestaat[[#This Row],[Ruimte code]],Ruimtegroepen[],4,FALSE)</f>
        <v>0</v>
      </c>
      <c r="S591" s="434"/>
      <c r="T591" s="434"/>
      <c r="U591" s="453">
        <f>IF(S591&gt;0,IF(RIGHT(Ruimtestaat[[#This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91" s="434">
        <f>IF(U591&gt;0,VLOOKUP($J591,Ruimtegroepen[],3,FALSE)*VLOOKUP($L591,Vloersoorten[],3,FALSE)*VLOOKUP($T591,Frequenties[],3,FALSE)*VLOOKUP($A591,Locaties[],3,FALSE),0)</f>
        <v>0</v>
      </c>
      <c r="W591" s="434">
        <f>Ruimtestaat[[#This Row],[Uitvoeringen werkdagen]]*Ruimtestaat[[#This Row],[Oppervlak (netto)]]</f>
        <v>0</v>
      </c>
      <c r="X591" s="441">
        <f>IF(V591&gt;0,Ruimtestaat[[#This Row],[Prest. (m2 /jaar) werkdagen]]/Ruimtestaat[[#This Row],[Norm (m2/uur) werkdagen]],0)</f>
        <v>0</v>
      </c>
      <c r="Y591" s="442">
        <f>Ruimtestaat[[#This Row],[Uitvoeringen werkdagen]]*Ruimtestaat[[#This Row],[Gedeeltelijk]]</f>
        <v>0</v>
      </c>
      <c r="Z591" s="443">
        <f>IF(U591&gt;0,Ruimtestaat[[#This Row],[Prest. (m2 / jaar) werkdagen gedeeld]]/Ruimtestaat[[#This Row],[Norm (m2/uur) werkdagen]],0)</f>
        <v>0</v>
      </c>
      <c r="AA591" s="441">
        <f>Ruimtestaat[[#This Row],[uren / jaar werkdagen gedeeld]]*Tariefsopbouw!$E$35</f>
        <v>0</v>
      </c>
      <c r="AB591" s="441">
        <f>Ruimtestaat[[#This Row],[Uitvoeringen werkdagen]]*Ruimtestaat[[#This Row],[BSO]]</f>
        <v>0</v>
      </c>
      <c r="AC591" s="443">
        <f>IF(U591&gt;0,Ruimtestaat[[#This Row],[Prest. (m2 / jaar) werkdagen BSO]]/Ruimtestaat[[#This Row],[Norm (m2/uur) werkdagen]],0)</f>
        <v>0</v>
      </c>
      <c r="AD591" s="443">
        <f>Ruimtestaat[[#This Row],[uren / jaar werkdagen BSO]]*Tariefsopbouw!$E$35</f>
        <v>0</v>
      </c>
      <c r="AE591" s="444">
        <f>Ruimtestaat[[#This Row],[uren / jaar werkdagen]]*Tariefsopbouw!$E$35</f>
        <v>0</v>
      </c>
      <c r="AF591" s="454"/>
      <c r="AG591" s="455">
        <f>IF(Ruimtestaat[[#This Row],[Frequentie weekend]]&gt;0,VALUE(LEFT(AF591,1))*S591,0)</f>
        <v>0</v>
      </c>
      <c r="AH591" s="455">
        <f>IF($AG591&gt;0,VLOOKUP($J591,Ruimtegroepen[],3,FALSE)*VLOOKUP($L591,Vloersoorten[],3,FALSE)*VLOOKUP($AF591,Frequenties[],3,FALSE)*VLOOKUP(#REF!,Locaties[],3,FALSE),0)</f>
        <v>0</v>
      </c>
      <c r="AI591" s="434">
        <f>Ruimtestaat[[#This Row],[Uitvoeringen weekend]]*Ruimtestaat[[#This Row],[Oppervlak (netto)]]</f>
        <v>0</v>
      </c>
      <c r="AJ591" s="434">
        <f>IF(AH591&gt;0,Ruimtestaat[[#This Row],[Prest. (m2 /jaar) weekend]]/Ruimtestaat[[#This Row],[Norm (m2/uur) weekend]],0)</f>
        <v>0</v>
      </c>
      <c r="AK591" s="444">
        <f>Ruimtestaat[[#This Row],[uren / jaar weekend]]*Tariefsopbouw!$D$40</f>
        <v>0</v>
      </c>
      <c r="AL591" s="441">
        <f>Ruimtestaat[[#This Row],[Prest. (m2 /jaar) weekend]]+Ruimtestaat[[#This Row],[Prest. (m2 /jaar) werkdagen]]</f>
        <v>0</v>
      </c>
      <c r="AM591" s="441">
        <f>Ruimtestaat[[#This Row],[uren / jaar weekend]]+Ruimtestaat[[#This Row],[uren / jaar werkdagen]]</f>
        <v>0</v>
      </c>
      <c r="AN591" s="446">
        <f>Ruimtestaat[[#This Row],[kosten / jaar weekend]]+Ruimtestaat[[#This Row],[kosten / jaar werkdagen]]</f>
        <v>0</v>
      </c>
      <c r="AO591" s="446"/>
      <c r="AP591" s="446" t="str">
        <f>IF(Ruimtestaat[[#This Row],[Frequentie werkdagen]]="","",_xlfn.CONCAT(Ruimtestaat[[#This Row],[Ruimte code]],"-",Ruimtestaat[[#This Row],[Frequentie werkdagen]]," ",Ruimtestaat[[#This Row],[Vloer code]]))</f>
        <v/>
      </c>
      <c r="AQ591" s="448" t="str">
        <f>_xlfn.IFNA(VLOOKUP($AP591,Programma!$F$3:$G$1101,2,0),"")</f>
        <v/>
      </c>
      <c r="AR591" s="448" t="str">
        <f>_xlfn.IFNA(VLOOKUP($AP591,Programma!$F$3:$H$1101,3,0),"")</f>
        <v/>
      </c>
      <c r="AS591" s="448" t="str">
        <f>_xlfn.IFNA(VLOOKUP($AP591,Programma!$F$3:$I$1101,4,0),"")</f>
        <v/>
      </c>
      <c r="AT591" s="448" t="str">
        <f>_xlfn.IFNA(VLOOKUP($AP591,Programma!$F$3:$J$1101,5,0),"")</f>
        <v/>
      </c>
      <c r="AU591" s="448" t="str">
        <f>_xlfn.IFNA(VLOOKUP($AP591,Programma!$F$3:$K$1101,6,0),"")</f>
        <v/>
      </c>
      <c r="AV591" s="448" t="str">
        <f>_xlfn.IFNA(VLOOKUP($AP591,Programma!$F$3:$L$1101,7,0),"")</f>
        <v/>
      </c>
      <c r="AW591" s="448" t="str">
        <f>_xlfn.IFNA(VLOOKUP($AP591,Programma!$F$3:$M$1101,8,0),"")</f>
        <v/>
      </c>
      <c r="AX591" s="448" t="str">
        <f>_xlfn.IFNA(VLOOKUP($AP591,Programma!$F$3:$N$1101,9,0),"")</f>
        <v/>
      </c>
      <c r="AY591" s="448" t="str">
        <f>_xlfn.IFNA(VLOOKUP($AP591,Programma!$F$3:$O$1101,10,0),"")</f>
        <v/>
      </c>
      <c r="AZ591" s="448" t="str">
        <f>_xlfn.IFNA(VLOOKUP($AP591,Programma!$F$3:$P$1101,11,0),"")</f>
        <v/>
      </c>
      <c r="BA591" s="448" t="str">
        <f>_xlfn.IFNA(VLOOKUP($AP591,Programma!$F$3:$Q$1101,12,0),"")</f>
        <v/>
      </c>
      <c r="BB591" s="448" t="str">
        <f>_xlfn.IFNA(VLOOKUP($AP591,Programma!$F$3:$R$1101,13,0),"")</f>
        <v/>
      </c>
      <c r="BC591" s="448" t="str">
        <f>_xlfn.IFNA(VLOOKUP($AP591,Programma!$F$3:$S$1101,14,0),"")</f>
        <v/>
      </c>
      <c r="BD591" s="448" t="str">
        <f>_xlfn.IFNA(VLOOKUP($AP591,Programma!$F$3:$T$1101,15,0),"")</f>
        <v/>
      </c>
      <c r="BE591" s="448" t="str">
        <f>_xlfn.IFNA(VLOOKUP($AP591,Programma!$F$3:$U$1101,16,0),"")</f>
        <v/>
      </c>
      <c r="BF591" s="448" t="str">
        <f>_xlfn.IFNA(VLOOKUP($AP591,Programma!$F$3:$V$1101,17,0),"")</f>
        <v/>
      </c>
      <c r="BG591" s="448" t="str">
        <f>_xlfn.IFNA(VLOOKUP($AP591,Programma!$F$3:$W$1101,18,0),"")</f>
        <v/>
      </c>
      <c r="BH591" s="448" t="str">
        <f>_xlfn.IFNA(VLOOKUP($AP591,Programma!$F$3:$X$1101,19,0),"")</f>
        <v/>
      </c>
      <c r="BI591" s="448" t="str">
        <f>_xlfn.IFNA(VLOOKUP($AP591,Programma!$F$3:$Y$1101,20,0),"")</f>
        <v/>
      </c>
      <c r="BJ591" s="449"/>
      <c r="BK591" s="446" t="str">
        <f>IF(Ruimtestaat[[#This Row],[Frequentie weekend]]="","",_xlfn.CONCAT(Ruimtestaat[[#This Row],[Ruimte code]],"-",Ruimtestaat[[#This Row],[Frequentie weekend]]," ",Ruimtestaat[[#This Row],[Vloer code]]))</f>
        <v/>
      </c>
      <c r="BL591" s="448" t="str">
        <f>_xlfn.IFNA(VLOOKUP($BK591,Programma!$F$3:$G$1101,2,0),"")</f>
        <v/>
      </c>
      <c r="BM591" s="448" t="str">
        <f>_xlfn.IFNA(VLOOKUP($BK591,Programma!$F$3:$H$1101,3,0),"")</f>
        <v/>
      </c>
      <c r="BN591" s="448" t="str">
        <f>_xlfn.IFNA(VLOOKUP($BK591,Programma!$F$3:$I$1101,4,0),"")</f>
        <v/>
      </c>
      <c r="BO591" s="448" t="str">
        <f>_xlfn.IFNA(VLOOKUP($BK591,Programma!$F$3:$J$1101,5,0),"")</f>
        <v/>
      </c>
      <c r="BP591" s="448" t="str">
        <f>_xlfn.IFNA(VLOOKUP($BK591,Programma!$F$3:$K$1101,6,0),"")</f>
        <v/>
      </c>
      <c r="BQ591" s="448" t="str">
        <f>_xlfn.IFNA(VLOOKUP($BK591,Programma!$F$3:$L$1101,7,0),"")</f>
        <v/>
      </c>
      <c r="BR591" s="448" t="str">
        <f>_xlfn.IFNA(VLOOKUP($BK591,Programma!$F$3:$M$1101,8,0),"")</f>
        <v/>
      </c>
      <c r="BS591" s="448" t="str">
        <f>_xlfn.IFNA(VLOOKUP($BK591,Programma!$F$3:$N$1101,9,0),"")</f>
        <v/>
      </c>
      <c r="BT591" s="448" t="str">
        <f>_xlfn.IFNA(VLOOKUP($BK591,Programma!$F$3:$O$1101,10,0),"")</f>
        <v/>
      </c>
      <c r="BU591" s="448" t="str">
        <f>_xlfn.IFNA(VLOOKUP($BK591,Programma!$F$3:$P$1101,11,0),"")</f>
        <v/>
      </c>
      <c r="BV591" s="448" t="str">
        <f>_xlfn.IFNA(VLOOKUP($BK591,Programma!$F$3:$Q$1101,12,0),"")</f>
        <v/>
      </c>
      <c r="BW591" s="448" t="str">
        <f>_xlfn.IFNA(VLOOKUP($BK591,Programma!$F$3:$R$1101,13,0),"")</f>
        <v/>
      </c>
      <c r="BX591" s="448" t="str">
        <f>_xlfn.IFNA(VLOOKUP($BK591,Programma!$F$3:$S$1101,14,0),"")</f>
        <v/>
      </c>
      <c r="BY591" s="448" t="str">
        <f>_xlfn.IFNA(VLOOKUP($BK591,Programma!$F$3:$T$1101,15,0),"")</f>
        <v/>
      </c>
      <c r="BZ591" s="448" t="str">
        <f>_xlfn.IFNA(VLOOKUP($BK591,Programma!$F$3:$U$1101,16,0),"")</f>
        <v/>
      </c>
      <c r="CA591" s="448" t="str">
        <f>_xlfn.IFNA(VLOOKUP($BK591,Programma!$F$3:$V$1101,17,0),"")</f>
        <v/>
      </c>
      <c r="CB591" s="448" t="str">
        <f>_xlfn.IFNA(VLOOKUP($BK591,Programma!$F$3:$W$1101,18,0),"")</f>
        <v/>
      </c>
      <c r="CC591" s="448" t="str">
        <f>_xlfn.IFNA(VLOOKUP($BK591,Programma!$F$3:$X$1101,19,0),"")</f>
        <v/>
      </c>
      <c r="CD591" s="448" t="str">
        <f>_xlfn.IFNA(VLOOKUP($BK591,Programma!$F$3:$Y$1101,20,0),"")</f>
        <v/>
      </c>
    </row>
    <row r="592" spans="1:82" ht="15" customHeight="1">
      <c r="A592" s="327">
        <v>21</v>
      </c>
      <c r="B592" s="435" t="str">
        <f>VLOOKUP(Ruimtestaat[[#This Row],[Code]],Locaties[[Code]:[Locatie]],2,FALSE)</f>
        <v>IKC De  Leerplaneet (bijgebouw)</v>
      </c>
      <c r="C592" s="435" t="str">
        <f>VLOOKUP(Ruimtestaat[[#This Row],[Code]],Locaties[[#All],[Code]:[Adres]],4,FALSE)</f>
        <v>Nesciohove 105-107</v>
      </c>
      <c r="D592" s="435" t="str">
        <f>VLOOKUP(Ruimtestaat[[#This Row],[Code]],Locaties[[#All],[Code]:[Postcode]],5,FALSE)</f>
        <v>2716 BL</v>
      </c>
      <c r="E592" s="435" t="str">
        <f>VLOOKUP(Ruimtestaat[[#This Row],[Code]],Locaties[#All],6,FALSE)</f>
        <v>Zoetermeer</v>
      </c>
      <c r="F592" s="450"/>
      <c r="H592" s="330" t="s">
        <v>1669</v>
      </c>
      <c r="I592" s="450" t="s">
        <v>1679</v>
      </c>
      <c r="J592" s="330">
        <v>8</v>
      </c>
      <c r="K592" s="450" t="str">
        <f>VLOOKUP(Ruimtestaat[[#This Row],[Ruimte code]],Ruimtegroepen[[#All],[Code]:[Ruimte omschrijving]],2,FALSE)</f>
        <v>Kinderopvang</v>
      </c>
      <c r="L592" s="434" t="s">
        <v>100</v>
      </c>
      <c r="M592" s="437" t="s">
        <v>1759</v>
      </c>
      <c r="N592" s="439"/>
      <c r="O592" s="439" t="s">
        <v>1960</v>
      </c>
      <c r="P592" s="439"/>
      <c r="Q592" s="439"/>
      <c r="R592" s="440" t="str">
        <f>VLOOKUP(Ruimtestaat[[#This Row],[Ruimte code]],Ruimtegroepen[],4,FALSE)</f>
        <v>Le</v>
      </c>
      <c r="S592" s="434">
        <v>51</v>
      </c>
      <c r="T592" s="434" t="s">
        <v>2</v>
      </c>
      <c r="U592" s="453">
        <f>IF(S592&gt;0,IF(RIGHT(Ruimtestaat[[#This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592" s="434">
        <f>IF(U592&gt;0,VLOOKUP($J592,Ruimtegroepen[],3,FALSE)*VLOOKUP($L592,Vloersoorten[],3,FALSE)*VLOOKUP($T592,Frequenties[],3,FALSE)*VLOOKUP($A592,Locaties[],3,FALSE),0)</f>
        <v>0</v>
      </c>
      <c r="W592" s="434">
        <f>Ruimtestaat[[#This Row],[Uitvoeringen werkdagen]]*Ruimtestaat[[#This Row],[Oppervlak (netto)]]</f>
        <v>0</v>
      </c>
      <c r="X592" s="441">
        <f>IF(V592&gt;0,Ruimtestaat[[#This Row],[Prest. (m2 /jaar) werkdagen]]/Ruimtestaat[[#This Row],[Norm (m2/uur) werkdagen]],0)</f>
        <v>0</v>
      </c>
      <c r="Y592" s="442">
        <f>Ruimtestaat[[#This Row],[Uitvoeringen werkdagen]]*Ruimtestaat[[#This Row],[Gedeeltelijk]]</f>
        <v>0</v>
      </c>
      <c r="Z592" s="443" t="e">
        <f>IF(U592&gt;0,Ruimtestaat[[#This Row],[Prest. (m2 / jaar) werkdagen gedeeld]]/Ruimtestaat[[#This Row],[Norm (m2/uur) werkdagen]],0)</f>
        <v>#DIV/0!</v>
      </c>
      <c r="AA592" s="441" t="e">
        <f>Ruimtestaat[[#This Row],[uren / jaar werkdagen gedeeld]]*Tariefsopbouw!$E$35</f>
        <v>#DIV/0!</v>
      </c>
      <c r="AB592" s="441">
        <f>Ruimtestaat[[#This Row],[Uitvoeringen werkdagen]]*Ruimtestaat[[#This Row],[BSO]]</f>
        <v>0</v>
      </c>
      <c r="AC592" s="443" t="e">
        <f>IF(U592&gt;0,Ruimtestaat[[#This Row],[Prest. (m2 / jaar) werkdagen BSO]]/Ruimtestaat[[#This Row],[Norm (m2/uur) werkdagen]],0)</f>
        <v>#DIV/0!</v>
      </c>
      <c r="AD592" s="443" t="e">
        <f>Ruimtestaat[[#This Row],[uren / jaar werkdagen BSO]]*Tariefsopbouw!$E$35</f>
        <v>#DIV/0!</v>
      </c>
      <c r="AE592" s="444">
        <f>Ruimtestaat[[#This Row],[uren / jaar werkdagen]]*Tariefsopbouw!$E$35</f>
        <v>0</v>
      </c>
      <c r="AF592" s="454"/>
      <c r="AG592" s="455">
        <f>IF(Ruimtestaat[[#This Row],[Frequentie weekend]]&gt;0,VALUE(LEFT(AF592,1))*S592,0)</f>
        <v>0</v>
      </c>
      <c r="AH592" s="455">
        <f>IF($AG592&gt;0,VLOOKUP($J592,Ruimtegroepen[],3,FALSE)*VLOOKUP($L592,Vloersoorten[],3,FALSE)*VLOOKUP($AF592,Frequenties[],3,FALSE)*VLOOKUP(#REF!,Locaties[],3,FALSE),0)</f>
        <v>0</v>
      </c>
      <c r="AI592" s="434">
        <f>Ruimtestaat[[#This Row],[Uitvoeringen weekend]]*Ruimtestaat[[#This Row],[Oppervlak (netto)]]</f>
        <v>0</v>
      </c>
      <c r="AJ592" s="434">
        <f>IF(AH592&gt;0,Ruimtestaat[[#This Row],[Prest. (m2 /jaar) weekend]]/Ruimtestaat[[#This Row],[Norm (m2/uur) weekend]],0)</f>
        <v>0</v>
      </c>
      <c r="AK592" s="444">
        <f>Ruimtestaat[[#This Row],[uren / jaar weekend]]*Tariefsopbouw!$D$40</f>
        <v>0</v>
      </c>
      <c r="AL592" s="441">
        <f>Ruimtestaat[[#This Row],[Prest. (m2 /jaar) weekend]]+Ruimtestaat[[#This Row],[Prest. (m2 /jaar) werkdagen]]</f>
        <v>0</v>
      </c>
      <c r="AM592" s="441">
        <f>Ruimtestaat[[#This Row],[uren / jaar weekend]]+Ruimtestaat[[#This Row],[uren / jaar werkdagen]]</f>
        <v>0</v>
      </c>
      <c r="AN592" s="446">
        <f>Ruimtestaat[[#This Row],[kosten / jaar weekend]]+Ruimtestaat[[#This Row],[kosten / jaar werkdagen]]</f>
        <v>0</v>
      </c>
      <c r="AO592" s="446"/>
      <c r="AP592" s="446" t="str">
        <f>IF(Ruimtestaat[[#This Row],[Frequentie werkdagen]]="","",_xlfn.CONCAT(Ruimtestaat[[#This Row],[Ruimte code]],"-",Ruimtestaat[[#This Row],[Frequentie werkdagen]]," ",Ruimtestaat[[#This Row],[Vloer code]]))</f>
        <v>8-5w L</v>
      </c>
      <c r="AQ592" s="448" t="str">
        <f>_xlfn.IFNA(VLOOKUP($AP592,Programma!$F$3:$G$1101,2,0),"")</f>
        <v>_</v>
      </c>
      <c r="AR592" s="448" t="str">
        <f>_xlfn.IFNA(VLOOKUP($AP592,Programma!$F$3:$H$1101,3,0),"")</f>
        <v>_</v>
      </c>
      <c r="AS592" s="448" t="str">
        <f>_xlfn.IFNA(VLOOKUP($AP592,Programma!$F$3:$I$1101,4,0),"")</f>
        <v>4w</v>
      </c>
      <c r="AT592" s="448" t="str">
        <f>_xlfn.IFNA(VLOOKUP($AP592,Programma!$F$3:$J$1101,5,0),"")</f>
        <v>1w</v>
      </c>
      <c r="AU592" s="448" t="str">
        <f>_xlfn.IFNA(VLOOKUP($AP592,Programma!$F$3:$K$1101,6,0),"")</f>
        <v>_</v>
      </c>
      <c r="AV592" s="448" t="str">
        <f>_xlfn.IFNA(VLOOKUP($AP592,Programma!$F$3:$L$1101,7,0),"")</f>
        <v>_</v>
      </c>
      <c r="AW592" s="448" t="str">
        <f>_xlfn.IFNA(VLOOKUP($AP592,Programma!$F$3:$M$1101,8,0),"")</f>
        <v>_</v>
      </c>
      <c r="AX592" s="448" t="str">
        <f>_xlfn.IFNA(VLOOKUP($AP592,Programma!$F$3:$N$1101,9,0),"")</f>
        <v>_</v>
      </c>
      <c r="AY592" s="448" t="str">
        <f>_xlfn.IFNA(VLOOKUP($AP592,Programma!$F$3:$O$1101,10,0),"")</f>
        <v>5w</v>
      </c>
      <c r="AZ592" s="448" t="str">
        <f>_xlfn.IFNA(VLOOKUP($AP592,Programma!$F$3:$P$1101,11,0),"")</f>
        <v>5w</v>
      </c>
      <c r="BA592" s="448" t="str">
        <f>_xlfn.IFNA(VLOOKUP($AP592,Programma!$F$3:$Q$1101,12,0),"")</f>
        <v>1w</v>
      </c>
      <c r="BB592" s="448" t="str">
        <f>_xlfn.IFNA(VLOOKUP($AP592,Programma!$F$3:$R$1101,13,0),"")</f>
        <v>1w</v>
      </c>
      <c r="BC592" s="448" t="str">
        <f>_xlfn.IFNA(VLOOKUP($AP592,Programma!$F$3:$S$1101,14,0),"")</f>
        <v>1m</v>
      </c>
      <c r="BD592" s="448" t="str">
        <f>_xlfn.IFNA(VLOOKUP($AP592,Programma!$F$3:$T$1101,15,0),"")</f>
        <v>2j</v>
      </c>
      <c r="BE592" s="448" t="str">
        <f>_xlfn.IFNA(VLOOKUP($AP592,Programma!$F$3:$U$1101,16,0),"")</f>
        <v>1j</v>
      </c>
      <c r="BF592" s="448" t="str">
        <f>_xlfn.IFNA(VLOOKUP($AP592,Programma!$F$3:$V$1101,17,0),"")</f>
        <v>_</v>
      </c>
      <c r="BG592" s="448" t="str">
        <f>_xlfn.IFNA(VLOOKUP($AP592,Programma!$F$3:$W$1101,18,0),"")</f>
        <v>_</v>
      </c>
      <c r="BH592" s="448" t="str">
        <f>_xlfn.IFNA(VLOOKUP($AP592,Programma!$F$3:$X$1101,19,0),"")</f>
        <v>_</v>
      </c>
      <c r="BI592" s="448" t="str">
        <f>_xlfn.IFNA(VLOOKUP($AP592,Programma!$F$3:$Y$1101,20,0),"")</f>
        <v>_</v>
      </c>
      <c r="BJ592" s="449"/>
      <c r="BK592" s="446" t="str">
        <f>IF(Ruimtestaat[[#This Row],[Frequentie weekend]]="","",_xlfn.CONCAT(Ruimtestaat[[#This Row],[Ruimte code]],"-",Ruimtestaat[[#This Row],[Frequentie weekend]]," ",Ruimtestaat[[#This Row],[Vloer code]]))</f>
        <v/>
      </c>
      <c r="BL592" s="448" t="str">
        <f>_xlfn.IFNA(VLOOKUP($BK592,Programma!$F$3:$G$1101,2,0),"")</f>
        <v/>
      </c>
      <c r="BM592" s="448" t="str">
        <f>_xlfn.IFNA(VLOOKUP($BK592,Programma!$F$3:$H$1101,3,0),"")</f>
        <v/>
      </c>
      <c r="BN592" s="448" t="str">
        <f>_xlfn.IFNA(VLOOKUP($BK592,Programma!$F$3:$I$1101,4,0),"")</f>
        <v/>
      </c>
      <c r="BO592" s="448" t="str">
        <f>_xlfn.IFNA(VLOOKUP($BK592,Programma!$F$3:$J$1101,5,0),"")</f>
        <v/>
      </c>
      <c r="BP592" s="448" t="str">
        <f>_xlfn.IFNA(VLOOKUP($BK592,Programma!$F$3:$K$1101,6,0),"")</f>
        <v/>
      </c>
      <c r="BQ592" s="448" t="str">
        <f>_xlfn.IFNA(VLOOKUP($BK592,Programma!$F$3:$L$1101,7,0),"")</f>
        <v/>
      </c>
      <c r="BR592" s="448" t="str">
        <f>_xlfn.IFNA(VLOOKUP($BK592,Programma!$F$3:$M$1101,8,0),"")</f>
        <v/>
      </c>
      <c r="BS592" s="448" t="str">
        <f>_xlfn.IFNA(VLOOKUP($BK592,Programma!$F$3:$N$1101,9,0),"")</f>
        <v/>
      </c>
      <c r="BT592" s="448" t="str">
        <f>_xlfn.IFNA(VLOOKUP($BK592,Programma!$F$3:$O$1101,10,0),"")</f>
        <v/>
      </c>
      <c r="BU592" s="448" t="str">
        <f>_xlfn.IFNA(VLOOKUP($BK592,Programma!$F$3:$P$1101,11,0),"")</f>
        <v/>
      </c>
      <c r="BV592" s="448" t="str">
        <f>_xlfn.IFNA(VLOOKUP($BK592,Programma!$F$3:$Q$1101,12,0),"")</f>
        <v/>
      </c>
      <c r="BW592" s="448" t="str">
        <f>_xlfn.IFNA(VLOOKUP($BK592,Programma!$F$3:$R$1101,13,0),"")</f>
        <v/>
      </c>
      <c r="BX592" s="448" t="str">
        <f>_xlfn.IFNA(VLOOKUP($BK592,Programma!$F$3:$S$1101,14,0),"")</f>
        <v/>
      </c>
      <c r="BY592" s="448" t="str">
        <f>_xlfn.IFNA(VLOOKUP($BK592,Programma!$F$3:$T$1101,15,0),"")</f>
        <v/>
      </c>
      <c r="BZ592" s="448" t="str">
        <f>_xlfn.IFNA(VLOOKUP($BK592,Programma!$F$3:$U$1101,16,0),"")</f>
        <v/>
      </c>
      <c r="CA592" s="448" t="str">
        <f>_xlfn.IFNA(VLOOKUP($BK592,Programma!$F$3:$V$1101,17,0),"")</f>
        <v/>
      </c>
      <c r="CB592" s="448" t="str">
        <f>_xlfn.IFNA(VLOOKUP($BK592,Programma!$F$3:$W$1101,18,0),"")</f>
        <v/>
      </c>
      <c r="CC592" s="448" t="str">
        <f>_xlfn.IFNA(VLOOKUP($BK592,Programma!$F$3:$X$1101,19,0),"")</f>
        <v/>
      </c>
      <c r="CD592" s="448" t="str">
        <f>_xlfn.IFNA(VLOOKUP($BK592,Programma!$F$3:$Y$1101,20,0),"")</f>
        <v/>
      </c>
    </row>
    <row r="593" spans="1:82" ht="15" customHeight="1">
      <c r="A593" s="327">
        <v>21</v>
      </c>
      <c r="B593" s="435" t="str">
        <f>VLOOKUP(Ruimtestaat[[#This Row],[Code]],Locaties[[Code]:[Locatie]],2,FALSE)</f>
        <v>IKC De  Leerplaneet (bijgebouw)</v>
      </c>
      <c r="C593" s="435" t="str">
        <f>VLOOKUP(Ruimtestaat[[#This Row],[Code]],Locaties[[#All],[Code]:[Adres]],4,FALSE)</f>
        <v>Nesciohove 105-107</v>
      </c>
      <c r="D593" s="435" t="str">
        <f>VLOOKUP(Ruimtestaat[[#This Row],[Code]],Locaties[[#All],[Code]:[Postcode]],5,FALSE)</f>
        <v>2716 BL</v>
      </c>
      <c r="E593" s="435" t="str">
        <f>VLOOKUP(Ruimtestaat[[#This Row],[Code]],Locaties[#All],6,FALSE)</f>
        <v>Zoetermeer</v>
      </c>
      <c r="F593" s="450"/>
      <c r="H593" s="330" t="s">
        <v>1670</v>
      </c>
      <c r="I593" s="450" t="s">
        <v>38</v>
      </c>
      <c r="J593" s="330">
        <v>20</v>
      </c>
      <c r="K593" s="450" t="str">
        <f>VLOOKUP(Ruimtestaat[[#This Row],[Ruimte code]],Ruimtegroepen[[#All],[Code]:[Ruimte omschrijving]],2,FALSE)</f>
        <v>Niet in Onderhoud</v>
      </c>
      <c r="L593" s="434" t="s">
        <v>100</v>
      </c>
      <c r="M593" s="437" t="s">
        <v>1759</v>
      </c>
      <c r="N593" s="439"/>
      <c r="O593" s="439">
        <v>5</v>
      </c>
      <c r="P593" s="439"/>
      <c r="Q593" s="439"/>
      <c r="R593" s="440">
        <f>VLOOKUP(Ruimtestaat[[#This Row],[Ruimte code]],Ruimtegroepen[],4,FALSE)</f>
        <v>0</v>
      </c>
      <c r="S593" s="434"/>
      <c r="T593" s="434"/>
      <c r="U593" s="453">
        <f>IF(S593&gt;0,IF(RIGHT(Ruimtestaat[[#This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93" s="434">
        <f>IF(U593&gt;0,VLOOKUP($J593,Ruimtegroepen[],3,FALSE)*VLOOKUP($L593,Vloersoorten[],3,FALSE)*VLOOKUP($T593,Frequenties[],3,FALSE)*VLOOKUP($A593,Locaties[],3,FALSE),0)</f>
        <v>0</v>
      </c>
      <c r="W593" s="434">
        <f>Ruimtestaat[[#This Row],[Uitvoeringen werkdagen]]*Ruimtestaat[[#This Row],[Oppervlak (netto)]]</f>
        <v>0</v>
      </c>
      <c r="X593" s="441">
        <f>IF(V593&gt;0,Ruimtestaat[[#This Row],[Prest. (m2 /jaar) werkdagen]]/Ruimtestaat[[#This Row],[Norm (m2/uur) werkdagen]],0)</f>
        <v>0</v>
      </c>
      <c r="Y593" s="442">
        <f>Ruimtestaat[[#This Row],[Uitvoeringen werkdagen]]*Ruimtestaat[[#This Row],[Gedeeltelijk]]</f>
        <v>0</v>
      </c>
      <c r="Z593" s="443">
        <f>IF(U593&gt;0,Ruimtestaat[[#This Row],[Prest. (m2 / jaar) werkdagen gedeeld]]/Ruimtestaat[[#This Row],[Norm (m2/uur) werkdagen]],0)</f>
        <v>0</v>
      </c>
      <c r="AA593" s="441">
        <f>Ruimtestaat[[#This Row],[uren / jaar werkdagen gedeeld]]*Tariefsopbouw!$E$35</f>
        <v>0</v>
      </c>
      <c r="AB593" s="441">
        <f>Ruimtestaat[[#This Row],[Uitvoeringen werkdagen]]*Ruimtestaat[[#This Row],[BSO]]</f>
        <v>0</v>
      </c>
      <c r="AC593" s="443">
        <f>IF(U593&gt;0,Ruimtestaat[[#This Row],[Prest. (m2 / jaar) werkdagen BSO]]/Ruimtestaat[[#This Row],[Norm (m2/uur) werkdagen]],0)</f>
        <v>0</v>
      </c>
      <c r="AD593" s="443">
        <f>Ruimtestaat[[#This Row],[uren / jaar werkdagen BSO]]*Tariefsopbouw!$E$35</f>
        <v>0</v>
      </c>
      <c r="AE593" s="444">
        <f>Ruimtestaat[[#This Row],[uren / jaar werkdagen]]*Tariefsopbouw!$E$35</f>
        <v>0</v>
      </c>
      <c r="AF593" s="454"/>
      <c r="AG593" s="455">
        <f>IF(Ruimtestaat[[#This Row],[Frequentie weekend]]&gt;0,VALUE(LEFT(AF593,1))*S593,0)</f>
        <v>0</v>
      </c>
      <c r="AH593" s="455">
        <f>IF($AG593&gt;0,VLOOKUP($J593,Ruimtegroepen[],3,FALSE)*VLOOKUP($L593,Vloersoorten[],3,FALSE)*VLOOKUP($AF593,Frequenties[],3,FALSE)*VLOOKUP(#REF!,Locaties[],3,FALSE),0)</f>
        <v>0</v>
      </c>
      <c r="AI593" s="434">
        <f>Ruimtestaat[[#This Row],[Uitvoeringen weekend]]*Ruimtestaat[[#This Row],[Oppervlak (netto)]]</f>
        <v>0</v>
      </c>
      <c r="AJ593" s="434">
        <f>IF(AH593&gt;0,Ruimtestaat[[#This Row],[Prest. (m2 /jaar) weekend]]/Ruimtestaat[[#This Row],[Norm (m2/uur) weekend]],0)</f>
        <v>0</v>
      </c>
      <c r="AK593" s="444">
        <f>Ruimtestaat[[#This Row],[uren / jaar weekend]]*Tariefsopbouw!$D$40</f>
        <v>0</v>
      </c>
      <c r="AL593" s="441">
        <f>Ruimtestaat[[#This Row],[Prest. (m2 /jaar) weekend]]+Ruimtestaat[[#This Row],[Prest. (m2 /jaar) werkdagen]]</f>
        <v>0</v>
      </c>
      <c r="AM593" s="441">
        <f>Ruimtestaat[[#This Row],[uren / jaar weekend]]+Ruimtestaat[[#This Row],[uren / jaar werkdagen]]</f>
        <v>0</v>
      </c>
      <c r="AN593" s="446">
        <f>Ruimtestaat[[#This Row],[kosten / jaar weekend]]+Ruimtestaat[[#This Row],[kosten / jaar werkdagen]]</f>
        <v>0</v>
      </c>
      <c r="AO593" s="446"/>
      <c r="AP593" s="446" t="str">
        <f>IF(Ruimtestaat[[#This Row],[Frequentie werkdagen]]="","",_xlfn.CONCAT(Ruimtestaat[[#This Row],[Ruimte code]],"-",Ruimtestaat[[#This Row],[Frequentie werkdagen]]," ",Ruimtestaat[[#This Row],[Vloer code]]))</f>
        <v/>
      </c>
      <c r="AQ593" s="448" t="str">
        <f>_xlfn.IFNA(VLOOKUP($AP593,Programma!$F$3:$G$1101,2,0),"")</f>
        <v/>
      </c>
      <c r="AR593" s="448" t="str">
        <f>_xlfn.IFNA(VLOOKUP($AP593,Programma!$F$3:$H$1101,3,0),"")</f>
        <v/>
      </c>
      <c r="AS593" s="448" t="str">
        <f>_xlfn.IFNA(VLOOKUP($AP593,Programma!$F$3:$I$1101,4,0),"")</f>
        <v/>
      </c>
      <c r="AT593" s="448" t="str">
        <f>_xlfn.IFNA(VLOOKUP($AP593,Programma!$F$3:$J$1101,5,0),"")</f>
        <v/>
      </c>
      <c r="AU593" s="448" t="str">
        <f>_xlfn.IFNA(VLOOKUP($AP593,Programma!$F$3:$K$1101,6,0),"")</f>
        <v/>
      </c>
      <c r="AV593" s="448" t="str">
        <f>_xlfn.IFNA(VLOOKUP($AP593,Programma!$F$3:$L$1101,7,0),"")</f>
        <v/>
      </c>
      <c r="AW593" s="448" t="str">
        <f>_xlfn.IFNA(VLOOKUP($AP593,Programma!$F$3:$M$1101,8,0),"")</f>
        <v/>
      </c>
      <c r="AX593" s="448" t="str">
        <f>_xlfn.IFNA(VLOOKUP($AP593,Programma!$F$3:$N$1101,9,0),"")</f>
        <v/>
      </c>
      <c r="AY593" s="448" t="str">
        <f>_xlfn.IFNA(VLOOKUP($AP593,Programma!$F$3:$O$1101,10,0),"")</f>
        <v/>
      </c>
      <c r="AZ593" s="448" t="str">
        <f>_xlfn.IFNA(VLOOKUP($AP593,Programma!$F$3:$P$1101,11,0),"")</f>
        <v/>
      </c>
      <c r="BA593" s="448" t="str">
        <f>_xlfn.IFNA(VLOOKUP($AP593,Programma!$F$3:$Q$1101,12,0),"")</f>
        <v/>
      </c>
      <c r="BB593" s="448" t="str">
        <f>_xlfn.IFNA(VLOOKUP($AP593,Programma!$F$3:$R$1101,13,0),"")</f>
        <v/>
      </c>
      <c r="BC593" s="448" t="str">
        <f>_xlfn.IFNA(VLOOKUP($AP593,Programma!$F$3:$S$1101,14,0),"")</f>
        <v/>
      </c>
      <c r="BD593" s="448" t="str">
        <f>_xlfn.IFNA(VLOOKUP($AP593,Programma!$F$3:$T$1101,15,0),"")</f>
        <v/>
      </c>
      <c r="BE593" s="448" t="str">
        <f>_xlfn.IFNA(VLOOKUP($AP593,Programma!$F$3:$U$1101,16,0),"")</f>
        <v/>
      </c>
      <c r="BF593" s="448" t="str">
        <f>_xlfn.IFNA(VLOOKUP($AP593,Programma!$F$3:$V$1101,17,0),"")</f>
        <v/>
      </c>
      <c r="BG593" s="448" t="str">
        <f>_xlfn.IFNA(VLOOKUP($AP593,Programma!$F$3:$W$1101,18,0),"")</f>
        <v/>
      </c>
      <c r="BH593" s="448" t="str">
        <f>_xlfn.IFNA(VLOOKUP($AP593,Programma!$F$3:$X$1101,19,0),"")</f>
        <v/>
      </c>
      <c r="BI593" s="448" t="str">
        <f>_xlfn.IFNA(VLOOKUP($AP593,Programma!$F$3:$Y$1101,20,0),"")</f>
        <v/>
      </c>
      <c r="BJ593" s="449"/>
      <c r="BK593" s="446" t="str">
        <f>IF(Ruimtestaat[[#This Row],[Frequentie weekend]]="","",_xlfn.CONCAT(Ruimtestaat[[#This Row],[Ruimte code]],"-",Ruimtestaat[[#This Row],[Frequentie weekend]]," ",Ruimtestaat[[#This Row],[Vloer code]]))</f>
        <v/>
      </c>
      <c r="BL593" s="448" t="str">
        <f>_xlfn.IFNA(VLOOKUP($BK593,Programma!$F$3:$G$1101,2,0),"")</f>
        <v/>
      </c>
      <c r="BM593" s="448" t="str">
        <f>_xlfn.IFNA(VLOOKUP($BK593,Programma!$F$3:$H$1101,3,0),"")</f>
        <v/>
      </c>
      <c r="BN593" s="448" t="str">
        <f>_xlfn.IFNA(VLOOKUP($BK593,Programma!$F$3:$I$1101,4,0),"")</f>
        <v/>
      </c>
      <c r="BO593" s="448" t="str">
        <f>_xlfn.IFNA(VLOOKUP($BK593,Programma!$F$3:$J$1101,5,0),"")</f>
        <v/>
      </c>
      <c r="BP593" s="448" t="str">
        <f>_xlfn.IFNA(VLOOKUP($BK593,Programma!$F$3:$K$1101,6,0),"")</f>
        <v/>
      </c>
      <c r="BQ593" s="448" t="str">
        <f>_xlfn.IFNA(VLOOKUP($BK593,Programma!$F$3:$L$1101,7,0),"")</f>
        <v/>
      </c>
      <c r="BR593" s="448" t="str">
        <f>_xlfn.IFNA(VLOOKUP($BK593,Programma!$F$3:$M$1101,8,0),"")</f>
        <v/>
      </c>
      <c r="BS593" s="448" t="str">
        <f>_xlfn.IFNA(VLOOKUP($BK593,Programma!$F$3:$N$1101,9,0),"")</f>
        <v/>
      </c>
      <c r="BT593" s="448" t="str">
        <f>_xlfn.IFNA(VLOOKUP($BK593,Programma!$F$3:$O$1101,10,0),"")</f>
        <v/>
      </c>
      <c r="BU593" s="448" t="str">
        <f>_xlfn.IFNA(VLOOKUP($BK593,Programma!$F$3:$P$1101,11,0),"")</f>
        <v/>
      </c>
      <c r="BV593" s="448" t="str">
        <f>_xlfn.IFNA(VLOOKUP($BK593,Programma!$F$3:$Q$1101,12,0),"")</f>
        <v/>
      </c>
      <c r="BW593" s="448" t="str">
        <f>_xlfn.IFNA(VLOOKUP($BK593,Programma!$F$3:$R$1101,13,0),"")</f>
        <v/>
      </c>
      <c r="BX593" s="448" t="str">
        <f>_xlfn.IFNA(VLOOKUP($BK593,Programma!$F$3:$S$1101,14,0),"")</f>
        <v/>
      </c>
      <c r="BY593" s="448" t="str">
        <f>_xlfn.IFNA(VLOOKUP($BK593,Programma!$F$3:$T$1101,15,0),"")</f>
        <v/>
      </c>
      <c r="BZ593" s="448" t="str">
        <f>_xlfn.IFNA(VLOOKUP($BK593,Programma!$F$3:$U$1101,16,0),"")</f>
        <v/>
      </c>
      <c r="CA593" s="448" t="str">
        <f>_xlfn.IFNA(VLOOKUP($BK593,Programma!$F$3:$V$1101,17,0),"")</f>
        <v/>
      </c>
      <c r="CB593" s="448" t="str">
        <f>_xlfn.IFNA(VLOOKUP($BK593,Programma!$F$3:$W$1101,18,0),"")</f>
        <v/>
      </c>
      <c r="CC593" s="448" t="str">
        <f>_xlfn.IFNA(VLOOKUP($BK593,Programma!$F$3:$X$1101,19,0),"")</f>
        <v/>
      </c>
      <c r="CD593" s="448" t="str">
        <f>_xlfn.IFNA(VLOOKUP($BK593,Programma!$F$3:$Y$1101,20,0),"")</f>
        <v/>
      </c>
    </row>
    <row r="594" spans="1:82" ht="15" customHeight="1">
      <c r="A594" s="327">
        <v>21</v>
      </c>
      <c r="B594" s="435" t="str">
        <f>VLOOKUP(Ruimtestaat[[#This Row],[Code]],Locaties[[Code]:[Locatie]],2,FALSE)</f>
        <v>IKC De  Leerplaneet (bijgebouw)</v>
      </c>
      <c r="C594" s="435" t="str">
        <f>VLOOKUP(Ruimtestaat[[#This Row],[Code]],Locaties[[#All],[Code]:[Adres]],4,FALSE)</f>
        <v>Nesciohove 105-107</v>
      </c>
      <c r="D594" s="435" t="str">
        <f>VLOOKUP(Ruimtestaat[[#This Row],[Code]],Locaties[[#All],[Code]:[Postcode]],5,FALSE)</f>
        <v>2716 BL</v>
      </c>
      <c r="E594" s="435" t="str">
        <f>VLOOKUP(Ruimtestaat[[#This Row],[Code]],Locaties[#All],6,FALSE)</f>
        <v>Zoetermeer</v>
      </c>
      <c r="F594" s="450"/>
      <c r="H594" s="330" t="s">
        <v>1672</v>
      </c>
      <c r="I594" s="450" t="s">
        <v>1886</v>
      </c>
      <c r="J594" s="330">
        <v>20</v>
      </c>
      <c r="K594" s="450" t="str">
        <f>VLOOKUP(Ruimtestaat[[#This Row],[Ruimte code]],Ruimtegroepen[[#All],[Code]:[Ruimte omschrijving]],2,FALSE)</f>
        <v>Niet in Onderhoud</v>
      </c>
      <c r="L594" s="434" t="s">
        <v>100</v>
      </c>
      <c r="M594" s="437" t="s">
        <v>1759</v>
      </c>
      <c r="N594" s="439"/>
      <c r="O594" s="439">
        <v>19</v>
      </c>
      <c r="P594" s="439"/>
      <c r="Q594" s="439"/>
      <c r="R594" s="440">
        <f>VLOOKUP(Ruimtestaat[[#This Row],[Ruimte code]],Ruimtegroepen[],4,FALSE)</f>
        <v>0</v>
      </c>
      <c r="S594" s="434"/>
      <c r="T594" s="434"/>
      <c r="U594" s="453">
        <f>IF(S594&gt;0,IF(RIGHT(Ruimtestaat[[#This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94" s="434">
        <f>IF(U594&gt;0,VLOOKUP($J594,Ruimtegroepen[],3,FALSE)*VLOOKUP($L594,Vloersoorten[],3,FALSE)*VLOOKUP($T594,Frequenties[],3,FALSE)*VLOOKUP($A594,Locaties[],3,FALSE),0)</f>
        <v>0</v>
      </c>
      <c r="W594" s="434">
        <f>Ruimtestaat[[#This Row],[Uitvoeringen werkdagen]]*Ruimtestaat[[#This Row],[Oppervlak (netto)]]</f>
        <v>0</v>
      </c>
      <c r="X594" s="441">
        <f>IF(V594&gt;0,Ruimtestaat[[#This Row],[Prest. (m2 /jaar) werkdagen]]/Ruimtestaat[[#This Row],[Norm (m2/uur) werkdagen]],0)</f>
        <v>0</v>
      </c>
      <c r="Y594" s="442">
        <f>Ruimtestaat[[#This Row],[Uitvoeringen werkdagen]]*Ruimtestaat[[#This Row],[Gedeeltelijk]]</f>
        <v>0</v>
      </c>
      <c r="Z594" s="443">
        <f>IF(U594&gt;0,Ruimtestaat[[#This Row],[Prest. (m2 / jaar) werkdagen gedeeld]]/Ruimtestaat[[#This Row],[Norm (m2/uur) werkdagen]],0)</f>
        <v>0</v>
      </c>
      <c r="AA594" s="441">
        <f>Ruimtestaat[[#This Row],[uren / jaar werkdagen gedeeld]]*Tariefsopbouw!$E$35</f>
        <v>0</v>
      </c>
      <c r="AB594" s="441">
        <f>Ruimtestaat[[#This Row],[Uitvoeringen werkdagen]]*Ruimtestaat[[#This Row],[BSO]]</f>
        <v>0</v>
      </c>
      <c r="AC594" s="443">
        <f>IF(U594&gt;0,Ruimtestaat[[#This Row],[Prest. (m2 / jaar) werkdagen BSO]]/Ruimtestaat[[#This Row],[Norm (m2/uur) werkdagen]],0)</f>
        <v>0</v>
      </c>
      <c r="AD594" s="443">
        <f>Ruimtestaat[[#This Row],[uren / jaar werkdagen BSO]]*Tariefsopbouw!$E$35</f>
        <v>0</v>
      </c>
      <c r="AE594" s="444">
        <f>Ruimtestaat[[#This Row],[uren / jaar werkdagen]]*Tariefsopbouw!$E$35</f>
        <v>0</v>
      </c>
      <c r="AF594" s="454"/>
      <c r="AG594" s="455">
        <f>IF(Ruimtestaat[[#This Row],[Frequentie weekend]]&gt;0,VALUE(LEFT(AF594,1))*S594,0)</f>
        <v>0</v>
      </c>
      <c r="AH594" s="455">
        <f>IF($AG594&gt;0,VLOOKUP($J594,Ruimtegroepen[],3,FALSE)*VLOOKUP($L594,Vloersoorten[],3,FALSE)*VLOOKUP($AF594,Frequenties[],3,FALSE)*VLOOKUP(#REF!,Locaties[],3,FALSE),0)</f>
        <v>0</v>
      </c>
      <c r="AI594" s="434">
        <f>Ruimtestaat[[#This Row],[Uitvoeringen weekend]]*Ruimtestaat[[#This Row],[Oppervlak (netto)]]</f>
        <v>0</v>
      </c>
      <c r="AJ594" s="434">
        <f>IF(AH594&gt;0,Ruimtestaat[[#This Row],[Prest. (m2 /jaar) weekend]]/Ruimtestaat[[#This Row],[Norm (m2/uur) weekend]],0)</f>
        <v>0</v>
      </c>
      <c r="AK594" s="444">
        <f>Ruimtestaat[[#This Row],[uren / jaar weekend]]*Tariefsopbouw!$D$40</f>
        <v>0</v>
      </c>
      <c r="AL594" s="441">
        <f>Ruimtestaat[[#This Row],[Prest. (m2 /jaar) weekend]]+Ruimtestaat[[#This Row],[Prest. (m2 /jaar) werkdagen]]</f>
        <v>0</v>
      </c>
      <c r="AM594" s="441">
        <f>Ruimtestaat[[#This Row],[uren / jaar weekend]]+Ruimtestaat[[#This Row],[uren / jaar werkdagen]]</f>
        <v>0</v>
      </c>
      <c r="AN594" s="446">
        <f>Ruimtestaat[[#This Row],[kosten / jaar weekend]]+Ruimtestaat[[#This Row],[kosten / jaar werkdagen]]</f>
        <v>0</v>
      </c>
      <c r="AO594" s="446"/>
      <c r="AP594" s="446" t="str">
        <f>IF(Ruimtestaat[[#This Row],[Frequentie werkdagen]]="","",_xlfn.CONCAT(Ruimtestaat[[#This Row],[Ruimte code]],"-",Ruimtestaat[[#This Row],[Frequentie werkdagen]]," ",Ruimtestaat[[#This Row],[Vloer code]]))</f>
        <v/>
      </c>
      <c r="AQ594" s="448" t="str">
        <f>_xlfn.IFNA(VLOOKUP($AP594,Programma!$F$3:$G$1101,2,0),"")</f>
        <v/>
      </c>
      <c r="AR594" s="448" t="str">
        <f>_xlfn.IFNA(VLOOKUP($AP594,Programma!$F$3:$H$1101,3,0),"")</f>
        <v/>
      </c>
      <c r="AS594" s="448" t="str">
        <f>_xlfn.IFNA(VLOOKUP($AP594,Programma!$F$3:$I$1101,4,0),"")</f>
        <v/>
      </c>
      <c r="AT594" s="448" t="str">
        <f>_xlfn.IFNA(VLOOKUP($AP594,Programma!$F$3:$J$1101,5,0),"")</f>
        <v/>
      </c>
      <c r="AU594" s="448" t="str">
        <f>_xlfn.IFNA(VLOOKUP($AP594,Programma!$F$3:$K$1101,6,0),"")</f>
        <v/>
      </c>
      <c r="AV594" s="448" t="str">
        <f>_xlfn.IFNA(VLOOKUP($AP594,Programma!$F$3:$L$1101,7,0),"")</f>
        <v/>
      </c>
      <c r="AW594" s="448" t="str">
        <f>_xlfn.IFNA(VLOOKUP($AP594,Programma!$F$3:$M$1101,8,0),"")</f>
        <v/>
      </c>
      <c r="AX594" s="448" t="str">
        <f>_xlfn.IFNA(VLOOKUP($AP594,Programma!$F$3:$N$1101,9,0),"")</f>
        <v/>
      </c>
      <c r="AY594" s="448" t="str">
        <f>_xlfn.IFNA(VLOOKUP($AP594,Programma!$F$3:$O$1101,10,0),"")</f>
        <v/>
      </c>
      <c r="AZ594" s="448" t="str">
        <f>_xlfn.IFNA(VLOOKUP($AP594,Programma!$F$3:$P$1101,11,0),"")</f>
        <v/>
      </c>
      <c r="BA594" s="448" t="str">
        <f>_xlfn.IFNA(VLOOKUP($AP594,Programma!$F$3:$Q$1101,12,0),"")</f>
        <v/>
      </c>
      <c r="BB594" s="448" t="str">
        <f>_xlfn.IFNA(VLOOKUP($AP594,Programma!$F$3:$R$1101,13,0),"")</f>
        <v/>
      </c>
      <c r="BC594" s="448" t="str">
        <f>_xlfn.IFNA(VLOOKUP($AP594,Programma!$F$3:$S$1101,14,0),"")</f>
        <v/>
      </c>
      <c r="BD594" s="448" t="str">
        <f>_xlfn.IFNA(VLOOKUP($AP594,Programma!$F$3:$T$1101,15,0),"")</f>
        <v/>
      </c>
      <c r="BE594" s="448" t="str">
        <f>_xlfn.IFNA(VLOOKUP($AP594,Programma!$F$3:$U$1101,16,0),"")</f>
        <v/>
      </c>
      <c r="BF594" s="448" t="str">
        <f>_xlfn.IFNA(VLOOKUP($AP594,Programma!$F$3:$V$1101,17,0),"")</f>
        <v/>
      </c>
      <c r="BG594" s="448" t="str">
        <f>_xlfn.IFNA(VLOOKUP($AP594,Programma!$F$3:$W$1101,18,0),"")</f>
        <v/>
      </c>
      <c r="BH594" s="448" t="str">
        <f>_xlfn.IFNA(VLOOKUP($AP594,Programma!$F$3:$X$1101,19,0),"")</f>
        <v/>
      </c>
      <c r="BI594" s="448" t="str">
        <f>_xlfn.IFNA(VLOOKUP($AP594,Programma!$F$3:$Y$1101,20,0),"")</f>
        <v/>
      </c>
      <c r="BJ594" s="449"/>
      <c r="BK594" s="446" t="str">
        <f>IF(Ruimtestaat[[#This Row],[Frequentie weekend]]="","",_xlfn.CONCAT(Ruimtestaat[[#This Row],[Ruimte code]],"-",Ruimtestaat[[#This Row],[Frequentie weekend]]," ",Ruimtestaat[[#This Row],[Vloer code]]))</f>
        <v/>
      </c>
      <c r="BL594" s="448" t="str">
        <f>_xlfn.IFNA(VLOOKUP($BK594,Programma!$F$3:$G$1101,2,0),"")</f>
        <v/>
      </c>
      <c r="BM594" s="448" t="str">
        <f>_xlfn.IFNA(VLOOKUP($BK594,Programma!$F$3:$H$1101,3,0),"")</f>
        <v/>
      </c>
      <c r="BN594" s="448" t="str">
        <f>_xlfn.IFNA(VLOOKUP($BK594,Programma!$F$3:$I$1101,4,0),"")</f>
        <v/>
      </c>
      <c r="BO594" s="448" t="str">
        <f>_xlfn.IFNA(VLOOKUP($BK594,Programma!$F$3:$J$1101,5,0),"")</f>
        <v/>
      </c>
      <c r="BP594" s="448" t="str">
        <f>_xlfn.IFNA(VLOOKUP($BK594,Programma!$F$3:$K$1101,6,0),"")</f>
        <v/>
      </c>
      <c r="BQ594" s="448" t="str">
        <f>_xlfn.IFNA(VLOOKUP($BK594,Programma!$F$3:$L$1101,7,0),"")</f>
        <v/>
      </c>
      <c r="BR594" s="448" t="str">
        <f>_xlfn.IFNA(VLOOKUP($BK594,Programma!$F$3:$M$1101,8,0),"")</f>
        <v/>
      </c>
      <c r="BS594" s="448" t="str">
        <f>_xlfn.IFNA(VLOOKUP($BK594,Programma!$F$3:$N$1101,9,0),"")</f>
        <v/>
      </c>
      <c r="BT594" s="448" t="str">
        <f>_xlfn.IFNA(VLOOKUP($BK594,Programma!$F$3:$O$1101,10,0),"")</f>
        <v/>
      </c>
      <c r="BU594" s="448" t="str">
        <f>_xlfn.IFNA(VLOOKUP($BK594,Programma!$F$3:$P$1101,11,0),"")</f>
        <v/>
      </c>
      <c r="BV594" s="448" t="str">
        <f>_xlfn.IFNA(VLOOKUP($BK594,Programma!$F$3:$Q$1101,12,0),"")</f>
        <v/>
      </c>
      <c r="BW594" s="448" t="str">
        <f>_xlfn.IFNA(VLOOKUP($BK594,Programma!$F$3:$R$1101,13,0),"")</f>
        <v/>
      </c>
      <c r="BX594" s="448" t="str">
        <f>_xlfn.IFNA(VLOOKUP($BK594,Programma!$F$3:$S$1101,14,0),"")</f>
        <v/>
      </c>
      <c r="BY594" s="448" t="str">
        <f>_xlfn.IFNA(VLOOKUP($BK594,Programma!$F$3:$T$1101,15,0),"")</f>
        <v/>
      </c>
      <c r="BZ594" s="448" t="str">
        <f>_xlfn.IFNA(VLOOKUP($BK594,Programma!$F$3:$U$1101,16,0),"")</f>
        <v/>
      </c>
      <c r="CA594" s="448" t="str">
        <f>_xlfn.IFNA(VLOOKUP($BK594,Programma!$F$3:$V$1101,17,0),"")</f>
        <v/>
      </c>
      <c r="CB594" s="448" t="str">
        <f>_xlfn.IFNA(VLOOKUP($BK594,Programma!$F$3:$W$1101,18,0),"")</f>
        <v/>
      </c>
      <c r="CC594" s="448" t="str">
        <f>_xlfn.IFNA(VLOOKUP($BK594,Programma!$F$3:$X$1101,19,0),"")</f>
        <v/>
      </c>
      <c r="CD594" s="448" t="str">
        <f>_xlfn.IFNA(VLOOKUP($BK594,Programma!$F$3:$Y$1101,20,0),"")</f>
        <v/>
      </c>
    </row>
    <row r="595" spans="1:82" ht="15" customHeight="1">
      <c r="A595" s="327">
        <v>21</v>
      </c>
      <c r="B595" s="435" t="str">
        <f>VLOOKUP(Ruimtestaat[[#This Row],[Code]],Locaties[[Code]:[Locatie]],2,FALSE)</f>
        <v>IKC De  Leerplaneet (bijgebouw)</v>
      </c>
      <c r="C595" s="435" t="str">
        <f>VLOOKUP(Ruimtestaat[[#This Row],[Code]],Locaties[[#All],[Code]:[Adres]],4,FALSE)</f>
        <v>Nesciohove 105-107</v>
      </c>
      <c r="D595" s="435" t="str">
        <f>VLOOKUP(Ruimtestaat[[#This Row],[Code]],Locaties[[#All],[Code]:[Postcode]],5,FALSE)</f>
        <v>2716 BL</v>
      </c>
      <c r="E595" s="435" t="str">
        <f>VLOOKUP(Ruimtestaat[[#This Row],[Code]],Locaties[#All],6,FALSE)</f>
        <v>Zoetermeer</v>
      </c>
      <c r="F595" s="450"/>
      <c r="H595" s="330" t="s">
        <v>1674</v>
      </c>
      <c r="I595" s="450" t="s">
        <v>1948</v>
      </c>
      <c r="J595" s="330">
        <v>20</v>
      </c>
      <c r="K595" s="450" t="str">
        <f>VLOOKUP(Ruimtestaat[[#This Row],[Ruimte code]],Ruimtegroepen[[#All],[Code]:[Ruimte omschrijving]],2,FALSE)</f>
        <v>Niet in Onderhoud</v>
      </c>
      <c r="L595" s="434" t="s">
        <v>100</v>
      </c>
      <c r="M595" s="437" t="s">
        <v>1759</v>
      </c>
      <c r="N595" s="439"/>
      <c r="O595" s="439">
        <v>19</v>
      </c>
      <c r="P595" s="439"/>
      <c r="Q595" s="439"/>
      <c r="R595" s="440">
        <f>VLOOKUP(Ruimtestaat[[#This Row],[Ruimte code]],Ruimtegroepen[],4,FALSE)</f>
        <v>0</v>
      </c>
      <c r="S595" s="434"/>
      <c r="T595" s="434"/>
      <c r="U595" s="453">
        <f>IF(S595&gt;0,IF(RIGHT(Ruimtestaat[[#This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95" s="434">
        <f>IF(U595&gt;0,VLOOKUP($J595,Ruimtegroepen[],3,FALSE)*VLOOKUP($L595,Vloersoorten[],3,FALSE)*VLOOKUP($T595,Frequenties[],3,FALSE)*VLOOKUP($A595,Locaties[],3,FALSE),0)</f>
        <v>0</v>
      </c>
      <c r="W595" s="434">
        <f>Ruimtestaat[[#This Row],[Uitvoeringen werkdagen]]*Ruimtestaat[[#This Row],[Oppervlak (netto)]]</f>
        <v>0</v>
      </c>
      <c r="X595" s="441">
        <f>IF(V595&gt;0,Ruimtestaat[[#This Row],[Prest. (m2 /jaar) werkdagen]]/Ruimtestaat[[#This Row],[Norm (m2/uur) werkdagen]],0)</f>
        <v>0</v>
      </c>
      <c r="Y595" s="442">
        <f>Ruimtestaat[[#This Row],[Uitvoeringen werkdagen]]*Ruimtestaat[[#This Row],[Gedeeltelijk]]</f>
        <v>0</v>
      </c>
      <c r="Z595" s="443">
        <f>IF(U595&gt;0,Ruimtestaat[[#This Row],[Prest. (m2 / jaar) werkdagen gedeeld]]/Ruimtestaat[[#This Row],[Norm (m2/uur) werkdagen]],0)</f>
        <v>0</v>
      </c>
      <c r="AA595" s="441">
        <f>Ruimtestaat[[#This Row],[uren / jaar werkdagen gedeeld]]*Tariefsopbouw!$E$35</f>
        <v>0</v>
      </c>
      <c r="AB595" s="441">
        <f>Ruimtestaat[[#This Row],[Uitvoeringen werkdagen]]*Ruimtestaat[[#This Row],[BSO]]</f>
        <v>0</v>
      </c>
      <c r="AC595" s="443">
        <f>IF(U595&gt;0,Ruimtestaat[[#This Row],[Prest. (m2 / jaar) werkdagen BSO]]/Ruimtestaat[[#This Row],[Norm (m2/uur) werkdagen]],0)</f>
        <v>0</v>
      </c>
      <c r="AD595" s="443">
        <f>Ruimtestaat[[#This Row],[uren / jaar werkdagen BSO]]*Tariefsopbouw!$E$35</f>
        <v>0</v>
      </c>
      <c r="AE595" s="444">
        <f>Ruimtestaat[[#This Row],[uren / jaar werkdagen]]*Tariefsopbouw!$E$35</f>
        <v>0</v>
      </c>
      <c r="AF595" s="454"/>
      <c r="AG595" s="455">
        <f>IF(Ruimtestaat[[#This Row],[Frequentie weekend]]&gt;0,VALUE(LEFT(AF595,1))*S595,0)</f>
        <v>0</v>
      </c>
      <c r="AH595" s="455">
        <f>IF($AG595&gt;0,VLOOKUP($J595,Ruimtegroepen[],3,FALSE)*VLOOKUP($L595,Vloersoorten[],3,FALSE)*VLOOKUP($AF595,Frequenties[],3,FALSE)*VLOOKUP(#REF!,Locaties[],3,FALSE),0)</f>
        <v>0</v>
      </c>
      <c r="AI595" s="434">
        <f>Ruimtestaat[[#This Row],[Uitvoeringen weekend]]*Ruimtestaat[[#This Row],[Oppervlak (netto)]]</f>
        <v>0</v>
      </c>
      <c r="AJ595" s="434">
        <f>IF(AH595&gt;0,Ruimtestaat[[#This Row],[Prest. (m2 /jaar) weekend]]/Ruimtestaat[[#This Row],[Norm (m2/uur) weekend]],0)</f>
        <v>0</v>
      </c>
      <c r="AK595" s="444">
        <f>Ruimtestaat[[#This Row],[uren / jaar weekend]]*Tariefsopbouw!$D$40</f>
        <v>0</v>
      </c>
      <c r="AL595" s="441">
        <f>Ruimtestaat[[#This Row],[Prest. (m2 /jaar) weekend]]+Ruimtestaat[[#This Row],[Prest. (m2 /jaar) werkdagen]]</f>
        <v>0</v>
      </c>
      <c r="AM595" s="441">
        <f>Ruimtestaat[[#This Row],[uren / jaar weekend]]+Ruimtestaat[[#This Row],[uren / jaar werkdagen]]</f>
        <v>0</v>
      </c>
      <c r="AN595" s="446">
        <f>Ruimtestaat[[#This Row],[kosten / jaar weekend]]+Ruimtestaat[[#This Row],[kosten / jaar werkdagen]]</f>
        <v>0</v>
      </c>
      <c r="AO595" s="446"/>
      <c r="AP595" s="446" t="str">
        <f>IF(Ruimtestaat[[#This Row],[Frequentie werkdagen]]="","",_xlfn.CONCAT(Ruimtestaat[[#This Row],[Ruimte code]],"-",Ruimtestaat[[#This Row],[Frequentie werkdagen]]," ",Ruimtestaat[[#This Row],[Vloer code]]))</f>
        <v/>
      </c>
      <c r="AQ595" s="448" t="str">
        <f>_xlfn.IFNA(VLOOKUP($AP595,Programma!$F$3:$G$1101,2,0),"")</f>
        <v/>
      </c>
      <c r="AR595" s="448" t="str">
        <f>_xlfn.IFNA(VLOOKUP($AP595,Programma!$F$3:$H$1101,3,0),"")</f>
        <v/>
      </c>
      <c r="AS595" s="448" t="str">
        <f>_xlfn.IFNA(VLOOKUP($AP595,Programma!$F$3:$I$1101,4,0),"")</f>
        <v/>
      </c>
      <c r="AT595" s="448" t="str">
        <f>_xlfn.IFNA(VLOOKUP($AP595,Programma!$F$3:$J$1101,5,0),"")</f>
        <v/>
      </c>
      <c r="AU595" s="448" t="str">
        <f>_xlfn.IFNA(VLOOKUP($AP595,Programma!$F$3:$K$1101,6,0),"")</f>
        <v/>
      </c>
      <c r="AV595" s="448" t="str">
        <f>_xlfn.IFNA(VLOOKUP($AP595,Programma!$F$3:$L$1101,7,0),"")</f>
        <v/>
      </c>
      <c r="AW595" s="448" t="str">
        <f>_xlfn.IFNA(VLOOKUP($AP595,Programma!$F$3:$M$1101,8,0),"")</f>
        <v/>
      </c>
      <c r="AX595" s="448" t="str">
        <f>_xlfn.IFNA(VLOOKUP($AP595,Programma!$F$3:$N$1101,9,0),"")</f>
        <v/>
      </c>
      <c r="AY595" s="448" t="str">
        <f>_xlfn.IFNA(VLOOKUP($AP595,Programma!$F$3:$O$1101,10,0),"")</f>
        <v/>
      </c>
      <c r="AZ595" s="448" t="str">
        <f>_xlfn.IFNA(VLOOKUP($AP595,Programma!$F$3:$P$1101,11,0),"")</f>
        <v/>
      </c>
      <c r="BA595" s="448" t="str">
        <f>_xlfn.IFNA(VLOOKUP($AP595,Programma!$F$3:$Q$1101,12,0),"")</f>
        <v/>
      </c>
      <c r="BB595" s="448" t="str">
        <f>_xlfn.IFNA(VLOOKUP($AP595,Programma!$F$3:$R$1101,13,0),"")</f>
        <v/>
      </c>
      <c r="BC595" s="448" t="str">
        <f>_xlfn.IFNA(VLOOKUP($AP595,Programma!$F$3:$S$1101,14,0),"")</f>
        <v/>
      </c>
      <c r="BD595" s="448" t="str">
        <f>_xlfn.IFNA(VLOOKUP($AP595,Programma!$F$3:$T$1101,15,0),"")</f>
        <v/>
      </c>
      <c r="BE595" s="448" t="str">
        <f>_xlfn.IFNA(VLOOKUP($AP595,Programma!$F$3:$U$1101,16,0),"")</f>
        <v/>
      </c>
      <c r="BF595" s="448" t="str">
        <f>_xlfn.IFNA(VLOOKUP($AP595,Programma!$F$3:$V$1101,17,0),"")</f>
        <v/>
      </c>
      <c r="BG595" s="448" t="str">
        <f>_xlfn.IFNA(VLOOKUP($AP595,Programma!$F$3:$W$1101,18,0),"")</f>
        <v/>
      </c>
      <c r="BH595" s="448" t="str">
        <f>_xlfn.IFNA(VLOOKUP($AP595,Programma!$F$3:$X$1101,19,0),"")</f>
        <v/>
      </c>
      <c r="BI595" s="448" t="str">
        <f>_xlfn.IFNA(VLOOKUP($AP595,Programma!$F$3:$Y$1101,20,0),"")</f>
        <v/>
      </c>
      <c r="BJ595" s="449"/>
      <c r="BK595" s="446" t="str">
        <f>IF(Ruimtestaat[[#This Row],[Frequentie weekend]]="","",_xlfn.CONCAT(Ruimtestaat[[#This Row],[Ruimte code]],"-",Ruimtestaat[[#This Row],[Frequentie weekend]]," ",Ruimtestaat[[#This Row],[Vloer code]]))</f>
        <v/>
      </c>
      <c r="BL595" s="448" t="str">
        <f>_xlfn.IFNA(VLOOKUP($BK595,Programma!$F$3:$G$1101,2,0),"")</f>
        <v/>
      </c>
      <c r="BM595" s="448" t="str">
        <f>_xlfn.IFNA(VLOOKUP($BK595,Programma!$F$3:$H$1101,3,0),"")</f>
        <v/>
      </c>
      <c r="BN595" s="448" t="str">
        <f>_xlfn.IFNA(VLOOKUP($BK595,Programma!$F$3:$I$1101,4,0),"")</f>
        <v/>
      </c>
      <c r="BO595" s="448" t="str">
        <f>_xlfn.IFNA(VLOOKUP($BK595,Programma!$F$3:$J$1101,5,0),"")</f>
        <v/>
      </c>
      <c r="BP595" s="448" t="str">
        <f>_xlfn.IFNA(VLOOKUP($BK595,Programma!$F$3:$K$1101,6,0),"")</f>
        <v/>
      </c>
      <c r="BQ595" s="448" t="str">
        <f>_xlfn.IFNA(VLOOKUP($BK595,Programma!$F$3:$L$1101,7,0),"")</f>
        <v/>
      </c>
      <c r="BR595" s="448" t="str">
        <f>_xlfn.IFNA(VLOOKUP($BK595,Programma!$F$3:$M$1101,8,0),"")</f>
        <v/>
      </c>
      <c r="BS595" s="448" t="str">
        <f>_xlfn.IFNA(VLOOKUP($BK595,Programma!$F$3:$N$1101,9,0),"")</f>
        <v/>
      </c>
      <c r="BT595" s="448" t="str">
        <f>_xlfn.IFNA(VLOOKUP($BK595,Programma!$F$3:$O$1101,10,0),"")</f>
        <v/>
      </c>
      <c r="BU595" s="448" t="str">
        <f>_xlfn.IFNA(VLOOKUP($BK595,Programma!$F$3:$P$1101,11,0),"")</f>
        <v/>
      </c>
      <c r="BV595" s="448" t="str">
        <f>_xlfn.IFNA(VLOOKUP($BK595,Programma!$F$3:$Q$1101,12,0),"")</f>
        <v/>
      </c>
      <c r="BW595" s="448" t="str">
        <f>_xlfn.IFNA(VLOOKUP($BK595,Programma!$F$3:$R$1101,13,0),"")</f>
        <v/>
      </c>
      <c r="BX595" s="448" t="str">
        <f>_xlfn.IFNA(VLOOKUP($BK595,Programma!$F$3:$S$1101,14,0),"")</f>
        <v/>
      </c>
      <c r="BY595" s="448" t="str">
        <f>_xlfn.IFNA(VLOOKUP($BK595,Programma!$F$3:$T$1101,15,0),"")</f>
        <v/>
      </c>
      <c r="BZ595" s="448" t="str">
        <f>_xlfn.IFNA(VLOOKUP($BK595,Programma!$F$3:$U$1101,16,0),"")</f>
        <v/>
      </c>
      <c r="CA595" s="448" t="str">
        <f>_xlfn.IFNA(VLOOKUP($BK595,Programma!$F$3:$V$1101,17,0),"")</f>
        <v/>
      </c>
      <c r="CB595" s="448" t="str">
        <f>_xlfn.IFNA(VLOOKUP($BK595,Programma!$F$3:$W$1101,18,0),"")</f>
        <v/>
      </c>
      <c r="CC595" s="448" t="str">
        <f>_xlfn.IFNA(VLOOKUP($BK595,Programma!$F$3:$X$1101,19,0),"")</f>
        <v/>
      </c>
      <c r="CD595" s="448" t="str">
        <f>_xlfn.IFNA(VLOOKUP($BK595,Programma!$F$3:$Y$1101,20,0),"")</f>
        <v/>
      </c>
    </row>
    <row r="596" spans="1:82" ht="15" customHeight="1">
      <c r="A596" s="327">
        <v>21</v>
      </c>
      <c r="B596" s="435" t="str">
        <f>VLOOKUP(Ruimtestaat[[#This Row],[Code]],Locaties[[Code]:[Locatie]],2,FALSE)</f>
        <v>IKC De  Leerplaneet (bijgebouw)</v>
      </c>
      <c r="C596" s="435" t="str">
        <f>VLOOKUP(Ruimtestaat[[#This Row],[Code]],Locaties[[#All],[Code]:[Adres]],4,FALSE)</f>
        <v>Nesciohove 105-107</v>
      </c>
      <c r="D596" s="435" t="str">
        <f>VLOOKUP(Ruimtestaat[[#This Row],[Code]],Locaties[[#All],[Code]:[Postcode]],5,FALSE)</f>
        <v>2716 BL</v>
      </c>
      <c r="E596" s="435" t="str">
        <f>VLOOKUP(Ruimtestaat[[#This Row],[Code]],Locaties[#All],6,FALSE)</f>
        <v>Zoetermeer</v>
      </c>
      <c r="F596" s="450"/>
      <c r="H596" s="330" t="s">
        <v>1680</v>
      </c>
      <c r="I596" s="450" t="s">
        <v>1949</v>
      </c>
      <c r="J596" s="330">
        <v>20</v>
      </c>
      <c r="K596" s="450" t="str">
        <f>VLOOKUP(Ruimtestaat[[#This Row],[Ruimte code]],Ruimtegroepen[[#All],[Code]:[Ruimte omschrijving]],2,FALSE)</f>
        <v>Niet in Onderhoud</v>
      </c>
      <c r="L596" s="434" t="s">
        <v>100</v>
      </c>
      <c r="M596" s="437" t="s">
        <v>1759</v>
      </c>
      <c r="N596" s="439"/>
      <c r="O596" s="439">
        <v>38</v>
      </c>
      <c r="P596" s="439"/>
      <c r="Q596" s="439"/>
      <c r="R596" s="440">
        <f>VLOOKUP(Ruimtestaat[[#This Row],[Ruimte code]],Ruimtegroepen[],4,FALSE)</f>
        <v>0</v>
      </c>
      <c r="S596" s="434"/>
      <c r="T596" s="434"/>
      <c r="U596" s="453">
        <f>IF(S596&gt;0,IF(RIGHT(Ruimtestaat[[#This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96" s="434">
        <f>IF(U596&gt;0,VLOOKUP($J596,Ruimtegroepen[],3,FALSE)*VLOOKUP($L596,Vloersoorten[],3,FALSE)*VLOOKUP($T596,Frequenties[],3,FALSE)*VLOOKUP($A596,Locaties[],3,FALSE),0)</f>
        <v>0</v>
      </c>
      <c r="W596" s="434">
        <f>Ruimtestaat[[#This Row],[Uitvoeringen werkdagen]]*Ruimtestaat[[#This Row],[Oppervlak (netto)]]</f>
        <v>0</v>
      </c>
      <c r="X596" s="441">
        <f>IF(V596&gt;0,Ruimtestaat[[#This Row],[Prest. (m2 /jaar) werkdagen]]/Ruimtestaat[[#This Row],[Norm (m2/uur) werkdagen]],0)</f>
        <v>0</v>
      </c>
      <c r="Y596" s="442">
        <f>Ruimtestaat[[#This Row],[Uitvoeringen werkdagen]]*Ruimtestaat[[#This Row],[Gedeeltelijk]]</f>
        <v>0</v>
      </c>
      <c r="Z596" s="443">
        <f>IF(U596&gt;0,Ruimtestaat[[#This Row],[Prest. (m2 / jaar) werkdagen gedeeld]]/Ruimtestaat[[#This Row],[Norm (m2/uur) werkdagen]],0)</f>
        <v>0</v>
      </c>
      <c r="AA596" s="441">
        <f>Ruimtestaat[[#This Row],[uren / jaar werkdagen gedeeld]]*Tariefsopbouw!$E$35</f>
        <v>0</v>
      </c>
      <c r="AB596" s="441">
        <f>Ruimtestaat[[#This Row],[Uitvoeringen werkdagen]]*Ruimtestaat[[#This Row],[BSO]]</f>
        <v>0</v>
      </c>
      <c r="AC596" s="443">
        <f>IF(U596&gt;0,Ruimtestaat[[#This Row],[Prest. (m2 / jaar) werkdagen BSO]]/Ruimtestaat[[#This Row],[Norm (m2/uur) werkdagen]],0)</f>
        <v>0</v>
      </c>
      <c r="AD596" s="443">
        <f>Ruimtestaat[[#This Row],[uren / jaar werkdagen BSO]]*Tariefsopbouw!$E$35</f>
        <v>0</v>
      </c>
      <c r="AE596" s="444">
        <f>Ruimtestaat[[#This Row],[uren / jaar werkdagen]]*Tariefsopbouw!$E$35</f>
        <v>0</v>
      </c>
      <c r="AF596" s="454"/>
      <c r="AG596" s="455">
        <f>IF(Ruimtestaat[[#This Row],[Frequentie weekend]]&gt;0,VALUE(LEFT(AF596,1))*S596,0)</f>
        <v>0</v>
      </c>
      <c r="AH596" s="455">
        <f>IF($AG596&gt;0,VLOOKUP($J596,Ruimtegroepen[],3,FALSE)*VLOOKUP($L596,Vloersoorten[],3,FALSE)*VLOOKUP($AF596,Frequenties[],3,FALSE)*VLOOKUP(#REF!,Locaties[],3,FALSE),0)</f>
        <v>0</v>
      </c>
      <c r="AI596" s="434">
        <f>Ruimtestaat[[#This Row],[Uitvoeringen weekend]]*Ruimtestaat[[#This Row],[Oppervlak (netto)]]</f>
        <v>0</v>
      </c>
      <c r="AJ596" s="434">
        <f>IF(AH596&gt;0,Ruimtestaat[[#This Row],[Prest. (m2 /jaar) weekend]]/Ruimtestaat[[#This Row],[Norm (m2/uur) weekend]],0)</f>
        <v>0</v>
      </c>
      <c r="AK596" s="444">
        <f>Ruimtestaat[[#This Row],[uren / jaar weekend]]*Tariefsopbouw!$D$40</f>
        <v>0</v>
      </c>
      <c r="AL596" s="441">
        <f>Ruimtestaat[[#This Row],[Prest. (m2 /jaar) weekend]]+Ruimtestaat[[#This Row],[Prest. (m2 /jaar) werkdagen]]</f>
        <v>0</v>
      </c>
      <c r="AM596" s="441">
        <f>Ruimtestaat[[#This Row],[uren / jaar weekend]]+Ruimtestaat[[#This Row],[uren / jaar werkdagen]]</f>
        <v>0</v>
      </c>
      <c r="AN596" s="446">
        <f>Ruimtestaat[[#This Row],[kosten / jaar weekend]]+Ruimtestaat[[#This Row],[kosten / jaar werkdagen]]</f>
        <v>0</v>
      </c>
      <c r="AO596" s="446"/>
      <c r="AP596" s="446" t="str">
        <f>IF(Ruimtestaat[[#This Row],[Frequentie werkdagen]]="","",_xlfn.CONCAT(Ruimtestaat[[#This Row],[Ruimte code]],"-",Ruimtestaat[[#This Row],[Frequentie werkdagen]]," ",Ruimtestaat[[#This Row],[Vloer code]]))</f>
        <v/>
      </c>
      <c r="AQ596" s="448" t="str">
        <f>_xlfn.IFNA(VLOOKUP($AP596,Programma!$F$3:$G$1101,2,0),"")</f>
        <v/>
      </c>
      <c r="AR596" s="448" t="str">
        <f>_xlfn.IFNA(VLOOKUP($AP596,Programma!$F$3:$H$1101,3,0),"")</f>
        <v/>
      </c>
      <c r="AS596" s="448" t="str">
        <f>_xlfn.IFNA(VLOOKUP($AP596,Programma!$F$3:$I$1101,4,0),"")</f>
        <v/>
      </c>
      <c r="AT596" s="448" t="str">
        <f>_xlfn.IFNA(VLOOKUP($AP596,Programma!$F$3:$J$1101,5,0),"")</f>
        <v/>
      </c>
      <c r="AU596" s="448" t="str">
        <f>_xlfn.IFNA(VLOOKUP($AP596,Programma!$F$3:$K$1101,6,0),"")</f>
        <v/>
      </c>
      <c r="AV596" s="448" t="str">
        <f>_xlfn.IFNA(VLOOKUP($AP596,Programma!$F$3:$L$1101,7,0),"")</f>
        <v/>
      </c>
      <c r="AW596" s="448" t="str">
        <f>_xlfn.IFNA(VLOOKUP($AP596,Programma!$F$3:$M$1101,8,0),"")</f>
        <v/>
      </c>
      <c r="AX596" s="448" t="str">
        <f>_xlfn.IFNA(VLOOKUP($AP596,Programma!$F$3:$N$1101,9,0),"")</f>
        <v/>
      </c>
      <c r="AY596" s="448" t="str">
        <f>_xlfn.IFNA(VLOOKUP($AP596,Programma!$F$3:$O$1101,10,0),"")</f>
        <v/>
      </c>
      <c r="AZ596" s="448" t="str">
        <f>_xlfn.IFNA(VLOOKUP($AP596,Programma!$F$3:$P$1101,11,0),"")</f>
        <v/>
      </c>
      <c r="BA596" s="448" t="str">
        <f>_xlfn.IFNA(VLOOKUP($AP596,Programma!$F$3:$Q$1101,12,0),"")</f>
        <v/>
      </c>
      <c r="BB596" s="448" t="str">
        <f>_xlfn.IFNA(VLOOKUP($AP596,Programma!$F$3:$R$1101,13,0),"")</f>
        <v/>
      </c>
      <c r="BC596" s="448" t="str">
        <f>_xlfn.IFNA(VLOOKUP($AP596,Programma!$F$3:$S$1101,14,0),"")</f>
        <v/>
      </c>
      <c r="BD596" s="448" t="str">
        <f>_xlfn.IFNA(VLOOKUP($AP596,Programma!$F$3:$T$1101,15,0),"")</f>
        <v/>
      </c>
      <c r="BE596" s="448" t="str">
        <f>_xlfn.IFNA(VLOOKUP($AP596,Programma!$F$3:$U$1101,16,0),"")</f>
        <v/>
      </c>
      <c r="BF596" s="448" t="str">
        <f>_xlfn.IFNA(VLOOKUP($AP596,Programma!$F$3:$V$1101,17,0),"")</f>
        <v/>
      </c>
      <c r="BG596" s="448" t="str">
        <f>_xlfn.IFNA(VLOOKUP($AP596,Programma!$F$3:$W$1101,18,0),"")</f>
        <v/>
      </c>
      <c r="BH596" s="448" t="str">
        <f>_xlfn.IFNA(VLOOKUP($AP596,Programma!$F$3:$X$1101,19,0),"")</f>
        <v/>
      </c>
      <c r="BI596" s="448" t="str">
        <f>_xlfn.IFNA(VLOOKUP($AP596,Programma!$F$3:$Y$1101,20,0),"")</f>
        <v/>
      </c>
      <c r="BJ596" s="449"/>
      <c r="BK596" s="446" t="str">
        <f>IF(Ruimtestaat[[#This Row],[Frequentie weekend]]="","",_xlfn.CONCAT(Ruimtestaat[[#This Row],[Ruimte code]],"-",Ruimtestaat[[#This Row],[Frequentie weekend]]," ",Ruimtestaat[[#This Row],[Vloer code]]))</f>
        <v/>
      </c>
      <c r="BL596" s="448" t="str">
        <f>_xlfn.IFNA(VLOOKUP($BK596,Programma!$F$3:$G$1101,2,0),"")</f>
        <v/>
      </c>
      <c r="BM596" s="448" t="str">
        <f>_xlfn.IFNA(VLOOKUP($BK596,Programma!$F$3:$H$1101,3,0),"")</f>
        <v/>
      </c>
      <c r="BN596" s="448" t="str">
        <f>_xlfn.IFNA(VLOOKUP($BK596,Programma!$F$3:$I$1101,4,0),"")</f>
        <v/>
      </c>
      <c r="BO596" s="448" t="str">
        <f>_xlfn.IFNA(VLOOKUP($BK596,Programma!$F$3:$J$1101,5,0),"")</f>
        <v/>
      </c>
      <c r="BP596" s="448" t="str">
        <f>_xlfn.IFNA(VLOOKUP($BK596,Programma!$F$3:$K$1101,6,0),"")</f>
        <v/>
      </c>
      <c r="BQ596" s="448" t="str">
        <f>_xlfn.IFNA(VLOOKUP($BK596,Programma!$F$3:$L$1101,7,0),"")</f>
        <v/>
      </c>
      <c r="BR596" s="448" t="str">
        <f>_xlfn.IFNA(VLOOKUP($BK596,Programma!$F$3:$M$1101,8,0),"")</f>
        <v/>
      </c>
      <c r="BS596" s="448" t="str">
        <f>_xlfn.IFNA(VLOOKUP($BK596,Programma!$F$3:$N$1101,9,0),"")</f>
        <v/>
      </c>
      <c r="BT596" s="448" t="str">
        <f>_xlfn.IFNA(VLOOKUP($BK596,Programma!$F$3:$O$1101,10,0),"")</f>
        <v/>
      </c>
      <c r="BU596" s="448" t="str">
        <f>_xlfn.IFNA(VLOOKUP($BK596,Programma!$F$3:$P$1101,11,0),"")</f>
        <v/>
      </c>
      <c r="BV596" s="448" t="str">
        <f>_xlfn.IFNA(VLOOKUP($BK596,Programma!$F$3:$Q$1101,12,0),"")</f>
        <v/>
      </c>
      <c r="BW596" s="448" t="str">
        <f>_xlfn.IFNA(VLOOKUP($BK596,Programma!$F$3:$R$1101,13,0),"")</f>
        <v/>
      </c>
      <c r="BX596" s="448" t="str">
        <f>_xlfn.IFNA(VLOOKUP($BK596,Programma!$F$3:$S$1101,14,0),"")</f>
        <v/>
      </c>
      <c r="BY596" s="448" t="str">
        <f>_xlfn.IFNA(VLOOKUP($BK596,Programma!$F$3:$T$1101,15,0),"")</f>
        <v/>
      </c>
      <c r="BZ596" s="448" t="str">
        <f>_xlfn.IFNA(VLOOKUP($BK596,Programma!$F$3:$U$1101,16,0),"")</f>
        <v/>
      </c>
      <c r="CA596" s="448" t="str">
        <f>_xlfn.IFNA(VLOOKUP($BK596,Programma!$F$3:$V$1101,17,0),"")</f>
        <v/>
      </c>
      <c r="CB596" s="448" t="str">
        <f>_xlfn.IFNA(VLOOKUP($BK596,Programma!$F$3:$W$1101,18,0),"")</f>
        <v/>
      </c>
      <c r="CC596" s="448" t="str">
        <f>_xlfn.IFNA(VLOOKUP($BK596,Programma!$F$3:$X$1101,19,0),"")</f>
        <v/>
      </c>
      <c r="CD596" s="448" t="str">
        <f>_xlfn.IFNA(VLOOKUP($BK596,Programma!$F$3:$Y$1101,20,0),"")</f>
        <v/>
      </c>
    </row>
    <row r="597" spans="1:82" ht="15" customHeight="1">
      <c r="A597" s="327">
        <v>21</v>
      </c>
      <c r="B597" s="435" t="str">
        <f>VLOOKUP(Ruimtestaat[[#This Row],[Code]],Locaties[[Code]:[Locatie]],2,FALSE)</f>
        <v>IKC De  Leerplaneet (bijgebouw)</v>
      </c>
      <c r="C597" s="435" t="str">
        <f>VLOOKUP(Ruimtestaat[[#This Row],[Code]],Locaties[[#All],[Code]:[Adres]],4,FALSE)</f>
        <v>Nesciohove 105-107</v>
      </c>
      <c r="D597" s="435" t="str">
        <f>VLOOKUP(Ruimtestaat[[#This Row],[Code]],Locaties[[#All],[Code]:[Postcode]],5,FALSE)</f>
        <v>2716 BL</v>
      </c>
      <c r="E597" s="435" t="str">
        <f>VLOOKUP(Ruimtestaat[[#This Row],[Code]],Locaties[#All],6,FALSE)</f>
        <v>Zoetermeer</v>
      </c>
      <c r="F597" s="450"/>
      <c r="H597" s="330" t="s">
        <v>1681</v>
      </c>
      <c r="I597" s="450" t="s">
        <v>1950</v>
      </c>
      <c r="J597" s="330">
        <v>20</v>
      </c>
      <c r="K597" s="450" t="str">
        <f>VLOOKUP(Ruimtestaat[[#This Row],[Ruimte code]],Ruimtegroepen[[#All],[Code]:[Ruimte omschrijving]],2,FALSE)</f>
        <v>Niet in Onderhoud</v>
      </c>
      <c r="L597" s="434" t="s">
        <v>100</v>
      </c>
      <c r="M597" s="437" t="s">
        <v>1759</v>
      </c>
      <c r="N597" s="439"/>
      <c r="O597" s="439">
        <v>11</v>
      </c>
      <c r="P597" s="439"/>
      <c r="Q597" s="439"/>
      <c r="R597" s="440">
        <f>VLOOKUP(Ruimtestaat[[#This Row],[Ruimte code]],Ruimtegroepen[],4,FALSE)</f>
        <v>0</v>
      </c>
      <c r="S597" s="434"/>
      <c r="T597" s="434"/>
      <c r="U597" s="453">
        <f>IF(S597&gt;0,IF(RIGHT(Ruimtestaat[[#This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97" s="434">
        <f>IF(U597&gt;0,VLOOKUP($J597,Ruimtegroepen[],3,FALSE)*VLOOKUP($L597,Vloersoorten[],3,FALSE)*VLOOKUP($T597,Frequenties[],3,FALSE)*VLOOKUP($A597,Locaties[],3,FALSE),0)</f>
        <v>0</v>
      </c>
      <c r="W597" s="434">
        <f>Ruimtestaat[[#This Row],[Uitvoeringen werkdagen]]*Ruimtestaat[[#This Row],[Oppervlak (netto)]]</f>
        <v>0</v>
      </c>
      <c r="X597" s="441">
        <f>IF(V597&gt;0,Ruimtestaat[[#This Row],[Prest. (m2 /jaar) werkdagen]]/Ruimtestaat[[#This Row],[Norm (m2/uur) werkdagen]],0)</f>
        <v>0</v>
      </c>
      <c r="Y597" s="442">
        <f>Ruimtestaat[[#This Row],[Uitvoeringen werkdagen]]*Ruimtestaat[[#This Row],[Gedeeltelijk]]</f>
        <v>0</v>
      </c>
      <c r="Z597" s="443">
        <f>IF(U597&gt;0,Ruimtestaat[[#This Row],[Prest. (m2 / jaar) werkdagen gedeeld]]/Ruimtestaat[[#This Row],[Norm (m2/uur) werkdagen]],0)</f>
        <v>0</v>
      </c>
      <c r="AA597" s="441">
        <f>Ruimtestaat[[#This Row],[uren / jaar werkdagen gedeeld]]*Tariefsopbouw!$E$35</f>
        <v>0</v>
      </c>
      <c r="AB597" s="441">
        <f>Ruimtestaat[[#This Row],[Uitvoeringen werkdagen]]*Ruimtestaat[[#This Row],[BSO]]</f>
        <v>0</v>
      </c>
      <c r="AC597" s="443">
        <f>IF(U597&gt;0,Ruimtestaat[[#This Row],[Prest. (m2 / jaar) werkdagen BSO]]/Ruimtestaat[[#This Row],[Norm (m2/uur) werkdagen]],0)</f>
        <v>0</v>
      </c>
      <c r="AD597" s="443">
        <f>Ruimtestaat[[#This Row],[uren / jaar werkdagen BSO]]*Tariefsopbouw!$E$35</f>
        <v>0</v>
      </c>
      <c r="AE597" s="444">
        <f>Ruimtestaat[[#This Row],[uren / jaar werkdagen]]*Tariefsopbouw!$E$35</f>
        <v>0</v>
      </c>
      <c r="AF597" s="454"/>
      <c r="AG597" s="455">
        <f>IF(Ruimtestaat[[#This Row],[Frequentie weekend]]&gt;0,VALUE(LEFT(AF597,1))*S597,0)</f>
        <v>0</v>
      </c>
      <c r="AH597" s="455">
        <f>IF($AG597&gt;0,VLOOKUP($J597,Ruimtegroepen[],3,FALSE)*VLOOKUP($L597,Vloersoorten[],3,FALSE)*VLOOKUP($AF597,Frequenties[],3,FALSE)*VLOOKUP(#REF!,Locaties[],3,FALSE),0)</f>
        <v>0</v>
      </c>
      <c r="AI597" s="434">
        <f>Ruimtestaat[[#This Row],[Uitvoeringen weekend]]*Ruimtestaat[[#This Row],[Oppervlak (netto)]]</f>
        <v>0</v>
      </c>
      <c r="AJ597" s="434">
        <f>IF(AH597&gt;0,Ruimtestaat[[#This Row],[Prest. (m2 /jaar) weekend]]/Ruimtestaat[[#This Row],[Norm (m2/uur) weekend]],0)</f>
        <v>0</v>
      </c>
      <c r="AK597" s="444">
        <f>Ruimtestaat[[#This Row],[uren / jaar weekend]]*Tariefsopbouw!$D$40</f>
        <v>0</v>
      </c>
      <c r="AL597" s="441">
        <f>Ruimtestaat[[#This Row],[Prest. (m2 /jaar) weekend]]+Ruimtestaat[[#This Row],[Prest. (m2 /jaar) werkdagen]]</f>
        <v>0</v>
      </c>
      <c r="AM597" s="441">
        <f>Ruimtestaat[[#This Row],[uren / jaar weekend]]+Ruimtestaat[[#This Row],[uren / jaar werkdagen]]</f>
        <v>0</v>
      </c>
      <c r="AN597" s="446">
        <f>Ruimtestaat[[#This Row],[kosten / jaar weekend]]+Ruimtestaat[[#This Row],[kosten / jaar werkdagen]]</f>
        <v>0</v>
      </c>
      <c r="AO597" s="446"/>
      <c r="AP597" s="446" t="str">
        <f>IF(Ruimtestaat[[#This Row],[Frequentie werkdagen]]="","",_xlfn.CONCAT(Ruimtestaat[[#This Row],[Ruimte code]],"-",Ruimtestaat[[#This Row],[Frequentie werkdagen]]," ",Ruimtestaat[[#This Row],[Vloer code]]))</f>
        <v/>
      </c>
      <c r="AQ597" s="448" t="str">
        <f>_xlfn.IFNA(VLOOKUP($AP597,Programma!$F$3:$G$1101,2,0),"")</f>
        <v/>
      </c>
      <c r="AR597" s="448" t="str">
        <f>_xlfn.IFNA(VLOOKUP($AP597,Programma!$F$3:$H$1101,3,0),"")</f>
        <v/>
      </c>
      <c r="AS597" s="448" t="str">
        <f>_xlfn.IFNA(VLOOKUP($AP597,Programma!$F$3:$I$1101,4,0),"")</f>
        <v/>
      </c>
      <c r="AT597" s="448" t="str">
        <f>_xlfn.IFNA(VLOOKUP($AP597,Programma!$F$3:$J$1101,5,0),"")</f>
        <v/>
      </c>
      <c r="AU597" s="448" t="str">
        <f>_xlfn.IFNA(VLOOKUP($AP597,Programma!$F$3:$K$1101,6,0),"")</f>
        <v/>
      </c>
      <c r="AV597" s="448" t="str">
        <f>_xlfn.IFNA(VLOOKUP($AP597,Programma!$F$3:$L$1101,7,0),"")</f>
        <v/>
      </c>
      <c r="AW597" s="448" t="str">
        <f>_xlfn.IFNA(VLOOKUP($AP597,Programma!$F$3:$M$1101,8,0),"")</f>
        <v/>
      </c>
      <c r="AX597" s="448" t="str">
        <f>_xlfn.IFNA(VLOOKUP($AP597,Programma!$F$3:$N$1101,9,0),"")</f>
        <v/>
      </c>
      <c r="AY597" s="448" t="str">
        <f>_xlfn.IFNA(VLOOKUP($AP597,Programma!$F$3:$O$1101,10,0),"")</f>
        <v/>
      </c>
      <c r="AZ597" s="448" t="str">
        <f>_xlfn.IFNA(VLOOKUP($AP597,Programma!$F$3:$P$1101,11,0),"")</f>
        <v/>
      </c>
      <c r="BA597" s="448" t="str">
        <f>_xlfn.IFNA(VLOOKUP($AP597,Programma!$F$3:$Q$1101,12,0),"")</f>
        <v/>
      </c>
      <c r="BB597" s="448" t="str">
        <f>_xlfn.IFNA(VLOOKUP($AP597,Programma!$F$3:$R$1101,13,0),"")</f>
        <v/>
      </c>
      <c r="BC597" s="448" t="str">
        <f>_xlfn.IFNA(VLOOKUP($AP597,Programma!$F$3:$S$1101,14,0),"")</f>
        <v/>
      </c>
      <c r="BD597" s="448" t="str">
        <f>_xlfn.IFNA(VLOOKUP($AP597,Programma!$F$3:$T$1101,15,0),"")</f>
        <v/>
      </c>
      <c r="BE597" s="448" t="str">
        <f>_xlfn.IFNA(VLOOKUP($AP597,Programma!$F$3:$U$1101,16,0),"")</f>
        <v/>
      </c>
      <c r="BF597" s="448" t="str">
        <f>_xlfn.IFNA(VLOOKUP($AP597,Programma!$F$3:$V$1101,17,0),"")</f>
        <v/>
      </c>
      <c r="BG597" s="448" t="str">
        <f>_xlfn.IFNA(VLOOKUP($AP597,Programma!$F$3:$W$1101,18,0),"")</f>
        <v/>
      </c>
      <c r="BH597" s="448" t="str">
        <f>_xlfn.IFNA(VLOOKUP($AP597,Programma!$F$3:$X$1101,19,0),"")</f>
        <v/>
      </c>
      <c r="BI597" s="448" t="str">
        <f>_xlfn.IFNA(VLOOKUP($AP597,Programma!$F$3:$Y$1101,20,0),"")</f>
        <v/>
      </c>
      <c r="BJ597" s="449"/>
      <c r="BK597" s="446" t="str">
        <f>IF(Ruimtestaat[[#This Row],[Frequentie weekend]]="","",_xlfn.CONCAT(Ruimtestaat[[#This Row],[Ruimte code]],"-",Ruimtestaat[[#This Row],[Frequentie weekend]]," ",Ruimtestaat[[#This Row],[Vloer code]]))</f>
        <v/>
      </c>
      <c r="BL597" s="448" t="str">
        <f>_xlfn.IFNA(VLOOKUP($BK597,Programma!$F$3:$G$1101,2,0),"")</f>
        <v/>
      </c>
      <c r="BM597" s="448" t="str">
        <f>_xlfn.IFNA(VLOOKUP($BK597,Programma!$F$3:$H$1101,3,0),"")</f>
        <v/>
      </c>
      <c r="BN597" s="448" t="str">
        <f>_xlfn.IFNA(VLOOKUP($BK597,Programma!$F$3:$I$1101,4,0),"")</f>
        <v/>
      </c>
      <c r="BO597" s="448" t="str">
        <f>_xlfn.IFNA(VLOOKUP($BK597,Programma!$F$3:$J$1101,5,0),"")</f>
        <v/>
      </c>
      <c r="BP597" s="448" t="str">
        <f>_xlfn.IFNA(VLOOKUP($BK597,Programma!$F$3:$K$1101,6,0),"")</f>
        <v/>
      </c>
      <c r="BQ597" s="448" t="str">
        <f>_xlfn.IFNA(VLOOKUP($BK597,Programma!$F$3:$L$1101,7,0),"")</f>
        <v/>
      </c>
      <c r="BR597" s="448" t="str">
        <f>_xlfn.IFNA(VLOOKUP($BK597,Programma!$F$3:$M$1101,8,0),"")</f>
        <v/>
      </c>
      <c r="BS597" s="448" t="str">
        <f>_xlfn.IFNA(VLOOKUP($BK597,Programma!$F$3:$N$1101,9,0),"")</f>
        <v/>
      </c>
      <c r="BT597" s="448" t="str">
        <f>_xlfn.IFNA(VLOOKUP($BK597,Programma!$F$3:$O$1101,10,0),"")</f>
        <v/>
      </c>
      <c r="BU597" s="448" t="str">
        <f>_xlfn.IFNA(VLOOKUP($BK597,Programma!$F$3:$P$1101,11,0),"")</f>
        <v/>
      </c>
      <c r="BV597" s="448" t="str">
        <f>_xlfn.IFNA(VLOOKUP($BK597,Programma!$F$3:$Q$1101,12,0),"")</f>
        <v/>
      </c>
      <c r="BW597" s="448" t="str">
        <f>_xlfn.IFNA(VLOOKUP($BK597,Programma!$F$3:$R$1101,13,0),"")</f>
        <v/>
      </c>
      <c r="BX597" s="448" t="str">
        <f>_xlfn.IFNA(VLOOKUP($BK597,Programma!$F$3:$S$1101,14,0),"")</f>
        <v/>
      </c>
      <c r="BY597" s="448" t="str">
        <f>_xlfn.IFNA(VLOOKUP($BK597,Programma!$F$3:$T$1101,15,0),"")</f>
        <v/>
      </c>
      <c r="BZ597" s="448" t="str">
        <f>_xlfn.IFNA(VLOOKUP($BK597,Programma!$F$3:$U$1101,16,0),"")</f>
        <v/>
      </c>
      <c r="CA597" s="448" t="str">
        <f>_xlfn.IFNA(VLOOKUP($BK597,Programma!$F$3:$V$1101,17,0),"")</f>
        <v/>
      </c>
      <c r="CB597" s="448" t="str">
        <f>_xlfn.IFNA(VLOOKUP($BK597,Programma!$F$3:$W$1101,18,0),"")</f>
        <v/>
      </c>
      <c r="CC597" s="448" t="str">
        <f>_xlfn.IFNA(VLOOKUP($BK597,Programma!$F$3:$X$1101,19,0),"")</f>
        <v/>
      </c>
      <c r="CD597" s="448" t="str">
        <f>_xlfn.IFNA(VLOOKUP($BK597,Programma!$F$3:$Y$1101,20,0),"")</f>
        <v/>
      </c>
    </row>
    <row r="598" spans="1:82" ht="15" customHeight="1">
      <c r="A598" s="327">
        <v>21</v>
      </c>
      <c r="B598" s="435" t="str">
        <f>VLOOKUP(Ruimtestaat[[#This Row],[Code]],Locaties[[Code]:[Locatie]],2,FALSE)</f>
        <v>IKC De  Leerplaneet (bijgebouw)</v>
      </c>
      <c r="C598" s="435" t="str">
        <f>VLOOKUP(Ruimtestaat[[#This Row],[Code]],Locaties[[#All],[Code]:[Adres]],4,FALSE)</f>
        <v>Nesciohove 105-107</v>
      </c>
      <c r="D598" s="435" t="str">
        <f>VLOOKUP(Ruimtestaat[[#This Row],[Code]],Locaties[[#All],[Code]:[Postcode]],5,FALSE)</f>
        <v>2716 BL</v>
      </c>
      <c r="E598" s="435" t="str">
        <f>VLOOKUP(Ruimtestaat[[#This Row],[Code]],Locaties[#All],6,FALSE)</f>
        <v>Zoetermeer</v>
      </c>
      <c r="F598" s="450"/>
      <c r="H598" s="330" t="s">
        <v>1682</v>
      </c>
      <c r="I598" s="450" t="s">
        <v>1951</v>
      </c>
      <c r="J598" s="330">
        <v>20</v>
      </c>
      <c r="K598" s="450" t="str">
        <f>VLOOKUP(Ruimtestaat[[#This Row],[Ruimte code]],Ruimtegroepen[[#All],[Code]:[Ruimte omschrijving]],2,FALSE)</f>
        <v>Niet in Onderhoud</v>
      </c>
      <c r="L598" s="434" t="s">
        <v>100</v>
      </c>
      <c r="M598" s="437" t="s">
        <v>1759</v>
      </c>
      <c r="N598" s="439"/>
      <c r="O598" s="439">
        <v>11</v>
      </c>
      <c r="P598" s="439"/>
      <c r="Q598" s="439"/>
      <c r="R598" s="440">
        <f>VLOOKUP(Ruimtestaat[[#This Row],[Ruimte code]],Ruimtegroepen[],4,FALSE)</f>
        <v>0</v>
      </c>
      <c r="S598" s="434"/>
      <c r="T598" s="434"/>
      <c r="U598" s="453">
        <f>IF(S598&gt;0,IF(RIGHT(Ruimtestaat[[#This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98" s="434">
        <f>IF(U598&gt;0,VLOOKUP($J598,Ruimtegroepen[],3,FALSE)*VLOOKUP($L598,Vloersoorten[],3,FALSE)*VLOOKUP($T598,Frequenties[],3,FALSE)*VLOOKUP($A598,Locaties[],3,FALSE),0)</f>
        <v>0</v>
      </c>
      <c r="W598" s="434">
        <f>Ruimtestaat[[#This Row],[Uitvoeringen werkdagen]]*Ruimtestaat[[#This Row],[Oppervlak (netto)]]</f>
        <v>0</v>
      </c>
      <c r="X598" s="441">
        <f>IF(V598&gt;0,Ruimtestaat[[#This Row],[Prest. (m2 /jaar) werkdagen]]/Ruimtestaat[[#This Row],[Norm (m2/uur) werkdagen]],0)</f>
        <v>0</v>
      </c>
      <c r="Y598" s="442">
        <f>Ruimtestaat[[#This Row],[Uitvoeringen werkdagen]]*Ruimtestaat[[#This Row],[Gedeeltelijk]]</f>
        <v>0</v>
      </c>
      <c r="Z598" s="443">
        <f>IF(U598&gt;0,Ruimtestaat[[#This Row],[Prest. (m2 / jaar) werkdagen gedeeld]]/Ruimtestaat[[#This Row],[Norm (m2/uur) werkdagen]],0)</f>
        <v>0</v>
      </c>
      <c r="AA598" s="441">
        <f>Ruimtestaat[[#This Row],[uren / jaar werkdagen gedeeld]]*Tariefsopbouw!$E$35</f>
        <v>0</v>
      </c>
      <c r="AB598" s="441">
        <f>Ruimtestaat[[#This Row],[Uitvoeringen werkdagen]]*Ruimtestaat[[#This Row],[BSO]]</f>
        <v>0</v>
      </c>
      <c r="AC598" s="443">
        <f>IF(U598&gt;0,Ruimtestaat[[#This Row],[Prest. (m2 / jaar) werkdagen BSO]]/Ruimtestaat[[#This Row],[Norm (m2/uur) werkdagen]],0)</f>
        <v>0</v>
      </c>
      <c r="AD598" s="443">
        <f>Ruimtestaat[[#This Row],[uren / jaar werkdagen BSO]]*Tariefsopbouw!$E$35</f>
        <v>0</v>
      </c>
      <c r="AE598" s="444">
        <f>Ruimtestaat[[#This Row],[uren / jaar werkdagen]]*Tariefsopbouw!$E$35</f>
        <v>0</v>
      </c>
      <c r="AF598" s="454"/>
      <c r="AG598" s="455">
        <f>IF(Ruimtestaat[[#This Row],[Frequentie weekend]]&gt;0,VALUE(LEFT(AF598,1))*S598,0)</f>
        <v>0</v>
      </c>
      <c r="AH598" s="455">
        <f>IF($AG598&gt;0,VLOOKUP($J598,Ruimtegroepen[],3,FALSE)*VLOOKUP($L598,Vloersoorten[],3,FALSE)*VLOOKUP($AF598,Frequenties[],3,FALSE)*VLOOKUP(#REF!,Locaties[],3,FALSE),0)</f>
        <v>0</v>
      </c>
      <c r="AI598" s="434">
        <f>Ruimtestaat[[#This Row],[Uitvoeringen weekend]]*Ruimtestaat[[#This Row],[Oppervlak (netto)]]</f>
        <v>0</v>
      </c>
      <c r="AJ598" s="434">
        <f>IF(AH598&gt;0,Ruimtestaat[[#This Row],[Prest. (m2 /jaar) weekend]]/Ruimtestaat[[#This Row],[Norm (m2/uur) weekend]],0)</f>
        <v>0</v>
      </c>
      <c r="AK598" s="444">
        <f>Ruimtestaat[[#This Row],[uren / jaar weekend]]*Tariefsopbouw!$D$40</f>
        <v>0</v>
      </c>
      <c r="AL598" s="441">
        <f>Ruimtestaat[[#This Row],[Prest. (m2 /jaar) weekend]]+Ruimtestaat[[#This Row],[Prest. (m2 /jaar) werkdagen]]</f>
        <v>0</v>
      </c>
      <c r="AM598" s="441">
        <f>Ruimtestaat[[#This Row],[uren / jaar weekend]]+Ruimtestaat[[#This Row],[uren / jaar werkdagen]]</f>
        <v>0</v>
      </c>
      <c r="AN598" s="446">
        <f>Ruimtestaat[[#This Row],[kosten / jaar weekend]]+Ruimtestaat[[#This Row],[kosten / jaar werkdagen]]</f>
        <v>0</v>
      </c>
      <c r="AO598" s="446"/>
      <c r="AP598" s="446" t="str">
        <f>IF(Ruimtestaat[[#This Row],[Frequentie werkdagen]]="","",_xlfn.CONCAT(Ruimtestaat[[#This Row],[Ruimte code]],"-",Ruimtestaat[[#This Row],[Frequentie werkdagen]]," ",Ruimtestaat[[#This Row],[Vloer code]]))</f>
        <v/>
      </c>
      <c r="AQ598" s="448" t="str">
        <f>_xlfn.IFNA(VLOOKUP($AP598,Programma!$F$3:$G$1101,2,0),"")</f>
        <v/>
      </c>
      <c r="AR598" s="448" t="str">
        <f>_xlfn.IFNA(VLOOKUP($AP598,Programma!$F$3:$H$1101,3,0),"")</f>
        <v/>
      </c>
      <c r="AS598" s="448" t="str">
        <f>_xlfn.IFNA(VLOOKUP($AP598,Programma!$F$3:$I$1101,4,0),"")</f>
        <v/>
      </c>
      <c r="AT598" s="448" t="str">
        <f>_xlfn.IFNA(VLOOKUP($AP598,Programma!$F$3:$J$1101,5,0),"")</f>
        <v/>
      </c>
      <c r="AU598" s="448" t="str">
        <f>_xlfn.IFNA(VLOOKUP($AP598,Programma!$F$3:$K$1101,6,0),"")</f>
        <v/>
      </c>
      <c r="AV598" s="448" t="str">
        <f>_xlfn.IFNA(VLOOKUP($AP598,Programma!$F$3:$L$1101,7,0),"")</f>
        <v/>
      </c>
      <c r="AW598" s="448" t="str">
        <f>_xlfn.IFNA(VLOOKUP($AP598,Programma!$F$3:$M$1101,8,0),"")</f>
        <v/>
      </c>
      <c r="AX598" s="448" t="str">
        <f>_xlfn.IFNA(VLOOKUP($AP598,Programma!$F$3:$N$1101,9,0),"")</f>
        <v/>
      </c>
      <c r="AY598" s="448" t="str">
        <f>_xlfn.IFNA(VLOOKUP($AP598,Programma!$F$3:$O$1101,10,0),"")</f>
        <v/>
      </c>
      <c r="AZ598" s="448" t="str">
        <f>_xlfn.IFNA(VLOOKUP($AP598,Programma!$F$3:$P$1101,11,0),"")</f>
        <v/>
      </c>
      <c r="BA598" s="448" t="str">
        <f>_xlfn.IFNA(VLOOKUP($AP598,Programma!$F$3:$Q$1101,12,0),"")</f>
        <v/>
      </c>
      <c r="BB598" s="448" t="str">
        <f>_xlfn.IFNA(VLOOKUP($AP598,Programma!$F$3:$R$1101,13,0),"")</f>
        <v/>
      </c>
      <c r="BC598" s="448" t="str">
        <f>_xlfn.IFNA(VLOOKUP($AP598,Programma!$F$3:$S$1101,14,0),"")</f>
        <v/>
      </c>
      <c r="BD598" s="448" t="str">
        <f>_xlfn.IFNA(VLOOKUP($AP598,Programma!$F$3:$T$1101,15,0),"")</f>
        <v/>
      </c>
      <c r="BE598" s="448" t="str">
        <f>_xlfn.IFNA(VLOOKUP($AP598,Programma!$F$3:$U$1101,16,0),"")</f>
        <v/>
      </c>
      <c r="BF598" s="448" t="str">
        <f>_xlfn.IFNA(VLOOKUP($AP598,Programma!$F$3:$V$1101,17,0),"")</f>
        <v/>
      </c>
      <c r="BG598" s="448" t="str">
        <f>_xlfn.IFNA(VLOOKUP($AP598,Programma!$F$3:$W$1101,18,0),"")</f>
        <v/>
      </c>
      <c r="BH598" s="448" t="str">
        <f>_xlfn.IFNA(VLOOKUP($AP598,Programma!$F$3:$X$1101,19,0),"")</f>
        <v/>
      </c>
      <c r="BI598" s="448" t="str">
        <f>_xlfn.IFNA(VLOOKUP($AP598,Programma!$F$3:$Y$1101,20,0),"")</f>
        <v/>
      </c>
      <c r="BJ598" s="449"/>
      <c r="BK598" s="446" t="str">
        <f>IF(Ruimtestaat[[#This Row],[Frequentie weekend]]="","",_xlfn.CONCAT(Ruimtestaat[[#This Row],[Ruimte code]],"-",Ruimtestaat[[#This Row],[Frequentie weekend]]," ",Ruimtestaat[[#This Row],[Vloer code]]))</f>
        <v/>
      </c>
      <c r="BL598" s="448" t="str">
        <f>_xlfn.IFNA(VLOOKUP($BK598,Programma!$F$3:$G$1101,2,0),"")</f>
        <v/>
      </c>
      <c r="BM598" s="448" t="str">
        <f>_xlfn.IFNA(VLOOKUP($BK598,Programma!$F$3:$H$1101,3,0),"")</f>
        <v/>
      </c>
      <c r="BN598" s="448" t="str">
        <f>_xlfn.IFNA(VLOOKUP($BK598,Programma!$F$3:$I$1101,4,0),"")</f>
        <v/>
      </c>
      <c r="BO598" s="448" t="str">
        <f>_xlfn.IFNA(VLOOKUP($BK598,Programma!$F$3:$J$1101,5,0),"")</f>
        <v/>
      </c>
      <c r="BP598" s="448" t="str">
        <f>_xlfn.IFNA(VLOOKUP($BK598,Programma!$F$3:$K$1101,6,0),"")</f>
        <v/>
      </c>
      <c r="BQ598" s="448" t="str">
        <f>_xlfn.IFNA(VLOOKUP($BK598,Programma!$F$3:$L$1101,7,0),"")</f>
        <v/>
      </c>
      <c r="BR598" s="448" t="str">
        <f>_xlfn.IFNA(VLOOKUP($BK598,Programma!$F$3:$M$1101,8,0),"")</f>
        <v/>
      </c>
      <c r="BS598" s="448" t="str">
        <f>_xlfn.IFNA(VLOOKUP($BK598,Programma!$F$3:$N$1101,9,0),"")</f>
        <v/>
      </c>
      <c r="BT598" s="448" t="str">
        <f>_xlfn.IFNA(VLOOKUP($BK598,Programma!$F$3:$O$1101,10,0),"")</f>
        <v/>
      </c>
      <c r="BU598" s="448" t="str">
        <f>_xlfn.IFNA(VLOOKUP($BK598,Programma!$F$3:$P$1101,11,0),"")</f>
        <v/>
      </c>
      <c r="BV598" s="448" t="str">
        <f>_xlfn.IFNA(VLOOKUP($BK598,Programma!$F$3:$Q$1101,12,0),"")</f>
        <v/>
      </c>
      <c r="BW598" s="448" t="str">
        <f>_xlfn.IFNA(VLOOKUP($BK598,Programma!$F$3:$R$1101,13,0),"")</f>
        <v/>
      </c>
      <c r="BX598" s="448" t="str">
        <f>_xlfn.IFNA(VLOOKUP($BK598,Programma!$F$3:$S$1101,14,0),"")</f>
        <v/>
      </c>
      <c r="BY598" s="448" t="str">
        <f>_xlfn.IFNA(VLOOKUP($BK598,Programma!$F$3:$T$1101,15,0),"")</f>
        <v/>
      </c>
      <c r="BZ598" s="448" t="str">
        <f>_xlfn.IFNA(VLOOKUP($BK598,Programma!$F$3:$U$1101,16,0),"")</f>
        <v/>
      </c>
      <c r="CA598" s="448" t="str">
        <f>_xlfn.IFNA(VLOOKUP($BK598,Programma!$F$3:$V$1101,17,0),"")</f>
        <v/>
      </c>
      <c r="CB598" s="448" t="str">
        <f>_xlfn.IFNA(VLOOKUP($BK598,Programma!$F$3:$W$1101,18,0),"")</f>
        <v/>
      </c>
      <c r="CC598" s="448" t="str">
        <f>_xlfn.IFNA(VLOOKUP($BK598,Programma!$F$3:$X$1101,19,0),"")</f>
        <v/>
      </c>
      <c r="CD598" s="448" t="str">
        <f>_xlfn.IFNA(VLOOKUP($BK598,Programma!$F$3:$Y$1101,20,0),"")</f>
        <v/>
      </c>
    </row>
    <row r="599" spans="1:82" ht="15" customHeight="1">
      <c r="A599" s="327">
        <v>21</v>
      </c>
      <c r="B599" s="435" t="str">
        <f>VLOOKUP(Ruimtestaat[[#This Row],[Code]],Locaties[[Code]:[Locatie]],2,FALSE)</f>
        <v>IKC De  Leerplaneet (bijgebouw)</v>
      </c>
      <c r="C599" s="435" t="str">
        <f>VLOOKUP(Ruimtestaat[[#This Row],[Code]],Locaties[[#All],[Code]:[Adres]],4,FALSE)</f>
        <v>Nesciohove 105-107</v>
      </c>
      <c r="D599" s="435" t="str">
        <f>VLOOKUP(Ruimtestaat[[#This Row],[Code]],Locaties[[#All],[Code]:[Postcode]],5,FALSE)</f>
        <v>2716 BL</v>
      </c>
      <c r="E599" s="435" t="str">
        <f>VLOOKUP(Ruimtestaat[[#This Row],[Code]],Locaties[#All],6,FALSE)</f>
        <v>Zoetermeer</v>
      </c>
      <c r="F599" s="450"/>
      <c r="H599" s="330" t="s">
        <v>1683</v>
      </c>
      <c r="I599" s="450" t="s">
        <v>1952</v>
      </c>
      <c r="J599" s="330">
        <v>20</v>
      </c>
      <c r="K599" s="450" t="str">
        <f>VLOOKUP(Ruimtestaat[[#This Row],[Ruimte code]],Ruimtegroepen[[#All],[Code]:[Ruimte omschrijving]],2,FALSE)</f>
        <v>Niet in Onderhoud</v>
      </c>
      <c r="L599" s="434" t="s">
        <v>100</v>
      </c>
      <c r="M599" s="437" t="s">
        <v>1759</v>
      </c>
      <c r="N599" s="439"/>
      <c r="O599" s="439">
        <v>28</v>
      </c>
      <c r="P599" s="439"/>
      <c r="Q599" s="439"/>
      <c r="R599" s="440">
        <f>VLOOKUP(Ruimtestaat[[#This Row],[Ruimte code]],Ruimtegroepen[],4,FALSE)</f>
        <v>0</v>
      </c>
      <c r="S599" s="434"/>
      <c r="T599" s="434"/>
      <c r="U599" s="453">
        <f>IF(S599&gt;0,IF(RIGHT(Ruimtestaat[[#This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99" s="434">
        <f>IF(U599&gt;0,VLOOKUP($J599,Ruimtegroepen[],3,FALSE)*VLOOKUP($L599,Vloersoorten[],3,FALSE)*VLOOKUP($T599,Frequenties[],3,FALSE)*VLOOKUP($A599,Locaties[],3,FALSE),0)</f>
        <v>0</v>
      </c>
      <c r="W599" s="434">
        <f>Ruimtestaat[[#This Row],[Uitvoeringen werkdagen]]*Ruimtestaat[[#This Row],[Oppervlak (netto)]]</f>
        <v>0</v>
      </c>
      <c r="X599" s="441">
        <f>IF(V599&gt;0,Ruimtestaat[[#This Row],[Prest. (m2 /jaar) werkdagen]]/Ruimtestaat[[#This Row],[Norm (m2/uur) werkdagen]],0)</f>
        <v>0</v>
      </c>
      <c r="Y599" s="442">
        <f>Ruimtestaat[[#This Row],[Uitvoeringen werkdagen]]*Ruimtestaat[[#This Row],[Gedeeltelijk]]</f>
        <v>0</v>
      </c>
      <c r="Z599" s="443">
        <f>IF(U599&gt;0,Ruimtestaat[[#This Row],[Prest. (m2 / jaar) werkdagen gedeeld]]/Ruimtestaat[[#This Row],[Norm (m2/uur) werkdagen]],0)</f>
        <v>0</v>
      </c>
      <c r="AA599" s="441">
        <f>Ruimtestaat[[#This Row],[uren / jaar werkdagen gedeeld]]*Tariefsopbouw!$E$35</f>
        <v>0</v>
      </c>
      <c r="AB599" s="441">
        <f>Ruimtestaat[[#This Row],[Uitvoeringen werkdagen]]*Ruimtestaat[[#This Row],[BSO]]</f>
        <v>0</v>
      </c>
      <c r="AC599" s="443">
        <f>IF(U599&gt;0,Ruimtestaat[[#This Row],[Prest. (m2 / jaar) werkdagen BSO]]/Ruimtestaat[[#This Row],[Norm (m2/uur) werkdagen]],0)</f>
        <v>0</v>
      </c>
      <c r="AD599" s="443">
        <f>Ruimtestaat[[#This Row],[uren / jaar werkdagen BSO]]*Tariefsopbouw!$E$35</f>
        <v>0</v>
      </c>
      <c r="AE599" s="444">
        <f>Ruimtestaat[[#This Row],[uren / jaar werkdagen]]*Tariefsopbouw!$E$35</f>
        <v>0</v>
      </c>
      <c r="AF599" s="454"/>
      <c r="AG599" s="455">
        <f>IF(Ruimtestaat[[#This Row],[Frequentie weekend]]&gt;0,VALUE(LEFT(AF599,1))*S599,0)</f>
        <v>0</v>
      </c>
      <c r="AH599" s="455">
        <f>IF($AG599&gt;0,VLOOKUP($J599,Ruimtegroepen[],3,FALSE)*VLOOKUP($L599,Vloersoorten[],3,FALSE)*VLOOKUP($AF599,Frequenties[],3,FALSE)*VLOOKUP(#REF!,Locaties[],3,FALSE),0)</f>
        <v>0</v>
      </c>
      <c r="AI599" s="434">
        <f>Ruimtestaat[[#This Row],[Uitvoeringen weekend]]*Ruimtestaat[[#This Row],[Oppervlak (netto)]]</f>
        <v>0</v>
      </c>
      <c r="AJ599" s="434">
        <f>IF(AH599&gt;0,Ruimtestaat[[#This Row],[Prest. (m2 /jaar) weekend]]/Ruimtestaat[[#This Row],[Norm (m2/uur) weekend]],0)</f>
        <v>0</v>
      </c>
      <c r="AK599" s="444">
        <f>Ruimtestaat[[#This Row],[uren / jaar weekend]]*Tariefsopbouw!$D$40</f>
        <v>0</v>
      </c>
      <c r="AL599" s="441">
        <f>Ruimtestaat[[#This Row],[Prest. (m2 /jaar) weekend]]+Ruimtestaat[[#This Row],[Prest. (m2 /jaar) werkdagen]]</f>
        <v>0</v>
      </c>
      <c r="AM599" s="441">
        <f>Ruimtestaat[[#This Row],[uren / jaar weekend]]+Ruimtestaat[[#This Row],[uren / jaar werkdagen]]</f>
        <v>0</v>
      </c>
      <c r="AN599" s="446">
        <f>Ruimtestaat[[#This Row],[kosten / jaar weekend]]+Ruimtestaat[[#This Row],[kosten / jaar werkdagen]]</f>
        <v>0</v>
      </c>
      <c r="AO599" s="446"/>
      <c r="AP599" s="446" t="str">
        <f>IF(Ruimtestaat[[#This Row],[Frequentie werkdagen]]="","",_xlfn.CONCAT(Ruimtestaat[[#This Row],[Ruimte code]],"-",Ruimtestaat[[#This Row],[Frequentie werkdagen]]," ",Ruimtestaat[[#This Row],[Vloer code]]))</f>
        <v/>
      </c>
      <c r="AQ599" s="448" t="str">
        <f>_xlfn.IFNA(VLOOKUP($AP599,Programma!$F$3:$G$1101,2,0),"")</f>
        <v/>
      </c>
      <c r="AR599" s="448" t="str">
        <f>_xlfn.IFNA(VLOOKUP($AP599,Programma!$F$3:$H$1101,3,0),"")</f>
        <v/>
      </c>
      <c r="AS599" s="448" t="str">
        <f>_xlfn.IFNA(VLOOKUP($AP599,Programma!$F$3:$I$1101,4,0),"")</f>
        <v/>
      </c>
      <c r="AT599" s="448" t="str">
        <f>_xlfn.IFNA(VLOOKUP($AP599,Programma!$F$3:$J$1101,5,0),"")</f>
        <v/>
      </c>
      <c r="AU599" s="448" t="str">
        <f>_xlfn.IFNA(VLOOKUP($AP599,Programma!$F$3:$K$1101,6,0),"")</f>
        <v/>
      </c>
      <c r="AV599" s="448" t="str">
        <f>_xlfn.IFNA(VLOOKUP($AP599,Programma!$F$3:$L$1101,7,0),"")</f>
        <v/>
      </c>
      <c r="AW599" s="448" t="str">
        <f>_xlfn.IFNA(VLOOKUP($AP599,Programma!$F$3:$M$1101,8,0),"")</f>
        <v/>
      </c>
      <c r="AX599" s="448" t="str">
        <f>_xlfn.IFNA(VLOOKUP($AP599,Programma!$F$3:$N$1101,9,0),"")</f>
        <v/>
      </c>
      <c r="AY599" s="448" t="str">
        <f>_xlfn.IFNA(VLOOKUP($AP599,Programma!$F$3:$O$1101,10,0),"")</f>
        <v/>
      </c>
      <c r="AZ599" s="448" t="str">
        <f>_xlfn.IFNA(VLOOKUP($AP599,Programma!$F$3:$P$1101,11,0),"")</f>
        <v/>
      </c>
      <c r="BA599" s="448" t="str">
        <f>_xlfn.IFNA(VLOOKUP($AP599,Programma!$F$3:$Q$1101,12,0),"")</f>
        <v/>
      </c>
      <c r="BB599" s="448" t="str">
        <f>_xlfn.IFNA(VLOOKUP($AP599,Programma!$F$3:$R$1101,13,0),"")</f>
        <v/>
      </c>
      <c r="BC599" s="448" t="str">
        <f>_xlfn.IFNA(VLOOKUP($AP599,Programma!$F$3:$S$1101,14,0),"")</f>
        <v/>
      </c>
      <c r="BD599" s="448" t="str">
        <f>_xlfn.IFNA(VLOOKUP($AP599,Programma!$F$3:$T$1101,15,0),"")</f>
        <v/>
      </c>
      <c r="BE599" s="448" t="str">
        <f>_xlfn.IFNA(VLOOKUP($AP599,Programma!$F$3:$U$1101,16,0),"")</f>
        <v/>
      </c>
      <c r="BF599" s="448" t="str">
        <f>_xlfn.IFNA(VLOOKUP($AP599,Programma!$F$3:$V$1101,17,0),"")</f>
        <v/>
      </c>
      <c r="BG599" s="448" t="str">
        <f>_xlfn.IFNA(VLOOKUP($AP599,Programma!$F$3:$W$1101,18,0),"")</f>
        <v/>
      </c>
      <c r="BH599" s="448" t="str">
        <f>_xlfn.IFNA(VLOOKUP($AP599,Programma!$F$3:$X$1101,19,0),"")</f>
        <v/>
      </c>
      <c r="BI599" s="448" t="str">
        <f>_xlfn.IFNA(VLOOKUP($AP599,Programma!$F$3:$Y$1101,20,0),"")</f>
        <v/>
      </c>
      <c r="BJ599" s="449"/>
      <c r="BK599" s="446" t="str">
        <f>IF(Ruimtestaat[[#This Row],[Frequentie weekend]]="","",_xlfn.CONCAT(Ruimtestaat[[#This Row],[Ruimte code]],"-",Ruimtestaat[[#This Row],[Frequentie weekend]]," ",Ruimtestaat[[#This Row],[Vloer code]]))</f>
        <v/>
      </c>
      <c r="BL599" s="448" t="str">
        <f>_xlfn.IFNA(VLOOKUP($BK599,Programma!$F$3:$G$1101,2,0),"")</f>
        <v/>
      </c>
      <c r="BM599" s="448" t="str">
        <f>_xlfn.IFNA(VLOOKUP($BK599,Programma!$F$3:$H$1101,3,0),"")</f>
        <v/>
      </c>
      <c r="BN599" s="448" t="str">
        <f>_xlfn.IFNA(VLOOKUP($BK599,Programma!$F$3:$I$1101,4,0),"")</f>
        <v/>
      </c>
      <c r="BO599" s="448" t="str">
        <f>_xlfn.IFNA(VLOOKUP($BK599,Programma!$F$3:$J$1101,5,0),"")</f>
        <v/>
      </c>
      <c r="BP599" s="448" t="str">
        <f>_xlfn.IFNA(VLOOKUP($BK599,Programma!$F$3:$K$1101,6,0),"")</f>
        <v/>
      </c>
      <c r="BQ599" s="448" t="str">
        <f>_xlfn.IFNA(VLOOKUP($BK599,Programma!$F$3:$L$1101,7,0),"")</f>
        <v/>
      </c>
      <c r="BR599" s="448" t="str">
        <f>_xlfn.IFNA(VLOOKUP($BK599,Programma!$F$3:$M$1101,8,0),"")</f>
        <v/>
      </c>
      <c r="BS599" s="448" t="str">
        <f>_xlfn.IFNA(VLOOKUP($BK599,Programma!$F$3:$N$1101,9,0),"")</f>
        <v/>
      </c>
      <c r="BT599" s="448" t="str">
        <f>_xlfn.IFNA(VLOOKUP($BK599,Programma!$F$3:$O$1101,10,0),"")</f>
        <v/>
      </c>
      <c r="BU599" s="448" t="str">
        <f>_xlfn.IFNA(VLOOKUP($BK599,Programma!$F$3:$P$1101,11,0),"")</f>
        <v/>
      </c>
      <c r="BV599" s="448" t="str">
        <f>_xlfn.IFNA(VLOOKUP($BK599,Programma!$F$3:$Q$1101,12,0),"")</f>
        <v/>
      </c>
      <c r="BW599" s="448" t="str">
        <f>_xlfn.IFNA(VLOOKUP($BK599,Programma!$F$3:$R$1101,13,0),"")</f>
        <v/>
      </c>
      <c r="BX599" s="448" t="str">
        <f>_xlfn.IFNA(VLOOKUP($BK599,Programma!$F$3:$S$1101,14,0),"")</f>
        <v/>
      </c>
      <c r="BY599" s="448" t="str">
        <f>_xlfn.IFNA(VLOOKUP($BK599,Programma!$F$3:$T$1101,15,0),"")</f>
        <v/>
      </c>
      <c r="BZ599" s="448" t="str">
        <f>_xlfn.IFNA(VLOOKUP($BK599,Programma!$F$3:$U$1101,16,0),"")</f>
        <v/>
      </c>
      <c r="CA599" s="448" t="str">
        <f>_xlfn.IFNA(VLOOKUP($BK599,Programma!$F$3:$V$1101,17,0),"")</f>
        <v/>
      </c>
      <c r="CB599" s="448" t="str">
        <f>_xlfn.IFNA(VLOOKUP($BK599,Programma!$F$3:$W$1101,18,0),"")</f>
        <v/>
      </c>
      <c r="CC599" s="448" t="str">
        <f>_xlfn.IFNA(VLOOKUP($BK599,Programma!$F$3:$X$1101,19,0),"")</f>
        <v/>
      </c>
      <c r="CD599" s="448" t="str">
        <f>_xlfn.IFNA(VLOOKUP($BK599,Programma!$F$3:$Y$1101,20,0),"")</f>
        <v/>
      </c>
    </row>
    <row r="600" spans="1:82" ht="15" customHeight="1">
      <c r="A600" s="327">
        <v>21</v>
      </c>
      <c r="B600" s="435" t="str">
        <f>VLOOKUP(Ruimtestaat[[#This Row],[Code]],Locaties[[Code]:[Locatie]],2,FALSE)</f>
        <v>IKC De  Leerplaneet (bijgebouw)</v>
      </c>
      <c r="C600" s="435" t="str">
        <f>VLOOKUP(Ruimtestaat[[#This Row],[Code]],Locaties[[#All],[Code]:[Adres]],4,FALSE)</f>
        <v>Nesciohove 105-107</v>
      </c>
      <c r="D600" s="435" t="str">
        <f>VLOOKUP(Ruimtestaat[[#This Row],[Code]],Locaties[[#All],[Code]:[Postcode]],5,FALSE)</f>
        <v>2716 BL</v>
      </c>
      <c r="E600" s="435" t="str">
        <f>VLOOKUP(Ruimtestaat[[#This Row],[Code]],Locaties[#All],6,FALSE)</f>
        <v>Zoetermeer</v>
      </c>
      <c r="F600" s="450"/>
      <c r="H600" s="330" t="s">
        <v>1761</v>
      </c>
      <c r="I600" s="450" t="s">
        <v>1953</v>
      </c>
      <c r="J600" s="330">
        <v>20</v>
      </c>
      <c r="K600" s="450" t="str">
        <f>VLOOKUP(Ruimtestaat[[#This Row],[Ruimte code]],Ruimtegroepen[[#All],[Code]:[Ruimte omschrijving]],2,FALSE)</f>
        <v>Niet in Onderhoud</v>
      </c>
      <c r="L600" s="434" t="s">
        <v>100</v>
      </c>
      <c r="M600" s="437" t="s">
        <v>1759</v>
      </c>
      <c r="N600" s="439"/>
      <c r="O600" s="439">
        <v>14</v>
      </c>
      <c r="P600" s="439"/>
      <c r="Q600" s="439"/>
      <c r="R600" s="440">
        <f>VLOOKUP(Ruimtestaat[[#This Row],[Ruimte code]],Ruimtegroepen[],4,FALSE)</f>
        <v>0</v>
      </c>
      <c r="S600" s="434"/>
      <c r="T600" s="434"/>
      <c r="U600" s="453">
        <f>IF(S600&gt;0,IF(RIGHT(Ruimtestaat[[#This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00" s="434">
        <f>IF(U600&gt;0,VLOOKUP($J600,Ruimtegroepen[],3,FALSE)*VLOOKUP($L600,Vloersoorten[],3,FALSE)*VLOOKUP($T600,Frequenties[],3,FALSE)*VLOOKUP($A600,Locaties[],3,FALSE),0)</f>
        <v>0</v>
      </c>
      <c r="W600" s="434">
        <f>Ruimtestaat[[#This Row],[Uitvoeringen werkdagen]]*Ruimtestaat[[#This Row],[Oppervlak (netto)]]</f>
        <v>0</v>
      </c>
      <c r="X600" s="441">
        <f>IF(V600&gt;0,Ruimtestaat[[#This Row],[Prest. (m2 /jaar) werkdagen]]/Ruimtestaat[[#This Row],[Norm (m2/uur) werkdagen]],0)</f>
        <v>0</v>
      </c>
      <c r="Y600" s="442">
        <f>Ruimtestaat[[#This Row],[Uitvoeringen werkdagen]]*Ruimtestaat[[#This Row],[Gedeeltelijk]]</f>
        <v>0</v>
      </c>
      <c r="Z600" s="443">
        <f>IF(U600&gt;0,Ruimtestaat[[#This Row],[Prest. (m2 / jaar) werkdagen gedeeld]]/Ruimtestaat[[#This Row],[Norm (m2/uur) werkdagen]],0)</f>
        <v>0</v>
      </c>
      <c r="AA600" s="441">
        <f>Ruimtestaat[[#This Row],[uren / jaar werkdagen gedeeld]]*Tariefsopbouw!$E$35</f>
        <v>0</v>
      </c>
      <c r="AB600" s="441">
        <f>Ruimtestaat[[#This Row],[Uitvoeringen werkdagen]]*Ruimtestaat[[#This Row],[BSO]]</f>
        <v>0</v>
      </c>
      <c r="AC600" s="443">
        <f>IF(U600&gt;0,Ruimtestaat[[#This Row],[Prest. (m2 / jaar) werkdagen BSO]]/Ruimtestaat[[#This Row],[Norm (m2/uur) werkdagen]],0)</f>
        <v>0</v>
      </c>
      <c r="AD600" s="443">
        <f>Ruimtestaat[[#This Row],[uren / jaar werkdagen BSO]]*Tariefsopbouw!$E$35</f>
        <v>0</v>
      </c>
      <c r="AE600" s="444">
        <f>Ruimtestaat[[#This Row],[uren / jaar werkdagen]]*Tariefsopbouw!$E$35</f>
        <v>0</v>
      </c>
      <c r="AF600" s="454"/>
      <c r="AG600" s="455">
        <f>IF(Ruimtestaat[[#This Row],[Frequentie weekend]]&gt;0,VALUE(LEFT(AF600,1))*S600,0)</f>
        <v>0</v>
      </c>
      <c r="AH600" s="455">
        <f>IF($AG600&gt;0,VLOOKUP($J600,Ruimtegroepen[],3,FALSE)*VLOOKUP($L600,Vloersoorten[],3,FALSE)*VLOOKUP($AF600,Frequenties[],3,FALSE)*VLOOKUP(#REF!,Locaties[],3,FALSE),0)</f>
        <v>0</v>
      </c>
      <c r="AI600" s="434">
        <f>Ruimtestaat[[#This Row],[Uitvoeringen weekend]]*Ruimtestaat[[#This Row],[Oppervlak (netto)]]</f>
        <v>0</v>
      </c>
      <c r="AJ600" s="434">
        <f>IF(AH600&gt;0,Ruimtestaat[[#This Row],[Prest. (m2 /jaar) weekend]]/Ruimtestaat[[#This Row],[Norm (m2/uur) weekend]],0)</f>
        <v>0</v>
      </c>
      <c r="AK600" s="444">
        <f>Ruimtestaat[[#This Row],[uren / jaar weekend]]*Tariefsopbouw!$D$40</f>
        <v>0</v>
      </c>
      <c r="AL600" s="441">
        <f>Ruimtestaat[[#This Row],[Prest. (m2 /jaar) weekend]]+Ruimtestaat[[#This Row],[Prest. (m2 /jaar) werkdagen]]</f>
        <v>0</v>
      </c>
      <c r="AM600" s="441">
        <f>Ruimtestaat[[#This Row],[uren / jaar weekend]]+Ruimtestaat[[#This Row],[uren / jaar werkdagen]]</f>
        <v>0</v>
      </c>
      <c r="AN600" s="446">
        <f>Ruimtestaat[[#This Row],[kosten / jaar weekend]]+Ruimtestaat[[#This Row],[kosten / jaar werkdagen]]</f>
        <v>0</v>
      </c>
      <c r="AO600" s="446"/>
      <c r="AP600" s="446" t="str">
        <f>IF(Ruimtestaat[[#This Row],[Frequentie werkdagen]]="","",_xlfn.CONCAT(Ruimtestaat[[#This Row],[Ruimte code]],"-",Ruimtestaat[[#This Row],[Frequentie werkdagen]]," ",Ruimtestaat[[#This Row],[Vloer code]]))</f>
        <v/>
      </c>
      <c r="AQ600" s="448" t="str">
        <f>_xlfn.IFNA(VLOOKUP($AP600,Programma!$F$3:$G$1101,2,0),"")</f>
        <v/>
      </c>
      <c r="AR600" s="448" t="str">
        <f>_xlfn.IFNA(VLOOKUP($AP600,Programma!$F$3:$H$1101,3,0),"")</f>
        <v/>
      </c>
      <c r="AS600" s="448" t="str">
        <f>_xlfn.IFNA(VLOOKUP($AP600,Programma!$F$3:$I$1101,4,0),"")</f>
        <v/>
      </c>
      <c r="AT600" s="448" t="str">
        <f>_xlfn.IFNA(VLOOKUP($AP600,Programma!$F$3:$J$1101,5,0),"")</f>
        <v/>
      </c>
      <c r="AU600" s="448" t="str">
        <f>_xlfn.IFNA(VLOOKUP($AP600,Programma!$F$3:$K$1101,6,0),"")</f>
        <v/>
      </c>
      <c r="AV600" s="448" t="str">
        <f>_xlfn.IFNA(VLOOKUP($AP600,Programma!$F$3:$L$1101,7,0),"")</f>
        <v/>
      </c>
      <c r="AW600" s="448" t="str">
        <f>_xlfn.IFNA(VLOOKUP($AP600,Programma!$F$3:$M$1101,8,0),"")</f>
        <v/>
      </c>
      <c r="AX600" s="448" t="str">
        <f>_xlfn.IFNA(VLOOKUP($AP600,Programma!$F$3:$N$1101,9,0),"")</f>
        <v/>
      </c>
      <c r="AY600" s="448" t="str">
        <f>_xlfn.IFNA(VLOOKUP($AP600,Programma!$F$3:$O$1101,10,0),"")</f>
        <v/>
      </c>
      <c r="AZ600" s="448" t="str">
        <f>_xlfn.IFNA(VLOOKUP($AP600,Programma!$F$3:$P$1101,11,0),"")</f>
        <v/>
      </c>
      <c r="BA600" s="448" t="str">
        <f>_xlfn.IFNA(VLOOKUP($AP600,Programma!$F$3:$Q$1101,12,0),"")</f>
        <v/>
      </c>
      <c r="BB600" s="448" t="str">
        <f>_xlfn.IFNA(VLOOKUP($AP600,Programma!$F$3:$R$1101,13,0),"")</f>
        <v/>
      </c>
      <c r="BC600" s="448" t="str">
        <f>_xlfn.IFNA(VLOOKUP($AP600,Programma!$F$3:$S$1101,14,0),"")</f>
        <v/>
      </c>
      <c r="BD600" s="448" t="str">
        <f>_xlfn.IFNA(VLOOKUP($AP600,Programma!$F$3:$T$1101,15,0),"")</f>
        <v/>
      </c>
      <c r="BE600" s="448" t="str">
        <f>_xlfn.IFNA(VLOOKUP($AP600,Programma!$F$3:$U$1101,16,0),"")</f>
        <v/>
      </c>
      <c r="BF600" s="448" t="str">
        <f>_xlfn.IFNA(VLOOKUP($AP600,Programma!$F$3:$V$1101,17,0),"")</f>
        <v/>
      </c>
      <c r="BG600" s="448" t="str">
        <f>_xlfn.IFNA(VLOOKUP($AP600,Programma!$F$3:$W$1101,18,0),"")</f>
        <v/>
      </c>
      <c r="BH600" s="448" t="str">
        <f>_xlfn.IFNA(VLOOKUP($AP600,Programma!$F$3:$X$1101,19,0),"")</f>
        <v/>
      </c>
      <c r="BI600" s="448" t="str">
        <f>_xlfn.IFNA(VLOOKUP($AP600,Programma!$F$3:$Y$1101,20,0),"")</f>
        <v/>
      </c>
      <c r="BJ600" s="449"/>
      <c r="BK600" s="446" t="str">
        <f>IF(Ruimtestaat[[#This Row],[Frequentie weekend]]="","",_xlfn.CONCAT(Ruimtestaat[[#This Row],[Ruimte code]],"-",Ruimtestaat[[#This Row],[Frequentie weekend]]," ",Ruimtestaat[[#This Row],[Vloer code]]))</f>
        <v/>
      </c>
      <c r="BL600" s="448" t="str">
        <f>_xlfn.IFNA(VLOOKUP($BK600,Programma!$F$3:$G$1101,2,0),"")</f>
        <v/>
      </c>
      <c r="BM600" s="448" t="str">
        <f>_xlfn.IFNA(VLOOKUP($BK600,Programma!$F$3:$H$1101,3,0),"")</f>
        <v/>
      </c>
      <c r="BN600" s="448" t="str">
        <f>_xlfn.IFNA(VLOOKUP($BK600,Programma!$F$3:$I$1101,4,0),"")</f>
        <v/>
      </c>
      <c r="BO600" s="448" t="str">
        <f>_xlfn.IFNA(VLOOKUP($BK600,Programma!$F$3:$J$1101,5,0),"")</f>
        <v/>
      </c>
      <c r="BP600" s="448" t="str">
        <f>_xlfn.IFNA(VLOOKUP($BK600,Programma!$F$3:$K$1101,6,0),"")</f>
        <v/>
      </c>
      <c r="BQ600" s="448" t="str">
        <f>_xlfn.IFNA(VLOOKUP($BK600,Programma!$F$3:$L$1101,7,0),"")</f>
        <v/>
      </c>
      <c r="BR600" s="448" t="str">
        <f>_xlfn.IFNA(VLOOKUP($BK600,Programma!$F$3:$M$1101,8,0),"")</f>
        <v/>
      </c>
      <c r="BS600" s="448" t="str">
        <f>_xlfn.IFNA(VLOOKUP($BK600,Programma!$F$3:$N$1101,9,0),"")</f>
        <v/>
      </c>
      <c r="BT600" s="448" t="str">
        <f>_xlfn.IFNA(VLOOKUP($BK600,Programma!$F$3:$O$1101,10,0),"")</f>
        <v/>
      </c>
      <c r="BU600" s="448" t="str">
        <f>_xlfn.IFNA(VLOOKUP($BK600,Programma!$F$3:$P$1101,11,0),"")</f>
        <v/>
      </c>
      <c r="BV600" s="448" t="str">
        <f>_xlfn.IFNA(VLOOKUP($BK600,Programma!$F$3:$Q$1101,12,0),"")</f>
        <v/>
      </c>
      <c r="BW600" s="448" t="str">
        <f>_xlfn.IFNA(VLOOKUP($BK600,Programma!$F$3:$R$1101,13,0),"")</f>
        <v/>
      </c>
      <c r="BX600" s="448" t="str">
        <f>_xlfn.IFNA(VLOOKUP($BK600,Programma!$F$3:$S$1101,14,0),"")</f>
        <v/>
      </c>
      <c r="BY600" s="448" t="str">
        <f>_xlfn.IFNA(VLOOKUP($BK600,Programma!$F$3:$T$1101,15,0),"")</f>
        <v/>
      </c>
      <c r="BZ600" s="448" t="str">
        <f>_xlfn.IFNA(VLOOKUP($BK600,Programma!$F$3:$U$1101,16,0),"")</f>
        <v/>
      </c>
      <c r="CA600" s="448" t="str">
        <f>_xlfn.IFNA(VLOOKUP($BK600,Programma!$F$3:$V$1101,17,0),"")</f>
        <v/>
      </c>
      <c r="CB600" s="448" t="str">
        <f>_xlfn.IFNA(VLOOKUP($BK600,Programma!$F$3:$W$1101,18,0),"")</f>
        <v/>
      </c>
      <c r="CC600" s="448" t="str">
        <f>_xlfn.IFNA(VLOOKUP($BK600,Programma!$F$3:$X$1101,19,0),"")</f>
        <v/>
      </c>
      <c r="CD600" s="448" t="str">
        <f>_xlfn.IFNA(VLOOKUP($BK600,Programma!$F$3:$Y$1101,20,0),"")</f>
        <v/>
      </c>
    </row>
    <row r="601" spans="1:82" ht="15" customHeight="1">
      <c r="A601" s="327">
        <v>21</v>
      </c>
      <c r="B601" s="435" t="str">
        <f>VLOOKUP(Ruimtestaat[[#This Row],[Code]],Locaties[[Code]:[Locatie]],2,FALSE)</f>
        <v>IKC De  Leerplaneet (bijgebouw)</v>
      </c>
      <c r="C601" s="435" t="str">
        <f>VLOOKUP(Ruimtestaat[[#This Row],[Code]],Locaties[[#All],[Code]:[Adres]],4,FALSE)</f>
        <v>Nesciohove 105-107</v>
      </c>
      <c r="D601" s="435" t="str">
        <f>VLOOKUP(Ruimtestaat[[#This Row],[Code]],Locaties[[#All],[Code]:[Postcode]],5,FALSE)</f>
        <v>2716 BL</v>
      </c>
      <c r="E601" s="435" t="str">
        <f>VLOOKUP(Ruimtestaat[[#This Row],[Code]],Locaties[#All],6,FALSE)</f>
        <v>Zoetermeer</v>
      </c>
      <c r="F601" s="450"/>
      <c r="H601" s="330" t="s">
        <v>1689</v>
      </c>
      <c r="I601" s="450" t="s">
        <v>1708</v>
      </c>
      <c r="J601" s="330">
        <v>20</v>
      </c>
      <c r="K601" s="450" t="str">
        <f>VLOOKUP(Ruimtestaat[[#This Row],[Ruimte code]],Ruimtegroepen[[#All],[Code]:[Ruimte omschrijving]],2,FALSE)</f>
        <v>Niet in Onderhoud</v>
      </c>
      <c r="L601" s="434" t="s">
        <v>100</v>
      </c>
      <c r="M601" s="437" t="s">
        <v>1759</v>
      </c>
      <c r="N601" s="439"/>
      <c r="O601" s="439">
        <v>132</v>
      </c>
      <c r="P601" s="439"/>
      <c r="Q601" s="439"/>
      <c r="R601" s="440">
        <f>VLOOKUP(Ruimtestaat[[#This Row],[Ruimte code]],Ruimtegroepen[],4,FALSE)</f>
        <v>0</v>
      </c>
      <c r="S601" s="434"/>
      <c r="T601" s="434"/>
      <c r="U601" s="453">
        <f>IF(S601&gt;0,IF(RIGHT(Ruimtestaat[[#This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01" s="434">
        <f>IF(U601&gt;0,VLOOKUP($J601,Ruimtegroepen[],3,FALSE)*VLOOKUP($L601,Vloersoorten[],3,FALSE)*VLOOKUP($T601,Frequenties[],3,FALSE)*VLOOKUP($A601,Locaties[],3,FALSE),0)</f>
        <v>0</v>
      </c>
      <c r="W601" s="434">
        <f>Ruimtestaat[[#This Row],[Uitvoeringen werkdagen]]*Ruimtestaat[[#This Row],[Oppervlak (netto)]]</f>
        <v>0</v>
      </c>
      <c r="X601" s="441">
        <f>IF(V601&gt;0,Ruimtestaat[[#This Row],[Prest. (m2 /jaar) werkdagen]]/Ruimtestaat[[#This Row],[Norm (m2/uur) werkdagen]],0)</f>
        <v>0</v>
      </c>
      <c r="Y601" s="442">
        <f>Ruimtestaat[[#This Row],[Uitvoeringen werkdagen]]*Ruimtestaat[[#This Row],[Gedeeltelijk]]</f>
        <v>0</v>
      </c>
      <c r="Z601" s="443">
        <f>IF(U601&gt;0,Ruimtestaat[[#This Row],[Prest. (m2 / jaar) werkdagen gedeeld]]/Ruimtestaat[[#This Row],[Norm (m2/uur) werkdagen]],0)</f>
        <v>0</v>
      </c>
      <c r="AA601" s="441">
        <f>Ruimtestaat[[#This Row],[uren / jaar werkdagen gedeeld]]*Tariefsopbouw!$E$35</f>
        <v>0</v>
      </c>
      <c r="AB601" s="441">
        <f>Ruimtestaat[[#This Row],[Uitvoeringen werkdagen]]*Ruimtestaat[[#This Row],[BSO]]</f>
        <v>0</v>
      </c>
      <c r="AC601" s="443">
        <f>IF(U601&gt;0,Ruimtestaat[[#This Row],[Prest. (m2 / jaar) werkdagen BSO]]/Ruimtestaat[[#This Row],[Norm (m2/uur) werkdagen]],0)</f>
        <v>0</v>
      </c>
      <c r="AD601" s="443">
        <f>Ruimtestaat[[#This Row],[uren / jaar werkdagen BSO]]*Tariefsopbouw!$E$35</f>
        <v>0</v>
      </c>
      <c r="AE601" s="444">
        <f>Ruimtestaat[[#This Row],[uren / jaar werkdagen]]*Tariefsopbouw!$E$35</f>
        <v>0</v>
      </c>
      <c r="AF601" s="454"/>
      <c r="AG601" s="455">
        <f>IF(Ruimtestaat[[#This Row],[Frequentie weekend]]&gt;0,VALUE(LEFT(AF601,1))*S601,0)</f>
        <v>0</v>
      </c>
      <c r="AH601" s="455">
        <f>IF($AG601&gt;0,VLOOKUP($J601,Ruimtegroepen[],3,FALSE)*VLOOKUP($L601,Vloersoorten[],3,FALSE)*VLOOKUP($AF601,Frequenties[],3,FALSE)*VLOOKUP(#REF!,Locaties[],3,FALSE),0)</f>
        <v>0</v>
      </c>
      <c r="AI601" s="434">
        <f>Ruimtestaat[[#This Row],[Uitvoeringen weekend]]*Ruimtestaat[[#This Row],[Oppervlak (netto)]]</f>
        <v>0</v>
      </c>
      <c r="AJ601" s="434">
        <f>IF(AH601&gt;0,Ruimtestaat[[#This Row],[Prest. (m2 /jaar) weekend]]/Ruimtestaat[[#This Row],[Norm (m2/uur) weekend]],0)</f>
        <v>0</v>
      </c>
      <c r="AK601" s="444">
        <f>Ruimtestaat[[#This Row],[uren / jaar weekend]]*Tariefsopbouw!$D$40</f>
        <v>0</v>
      </c>
      <c r="AL601" s="441">
        <f>Ruimtestaat[[#This Row],[Prest. (m2 /jaar) weekend]]+Ruimtestaat[[#This Row],[Prest. (m2 /jaar) werkdagen]]</f>
        <v>0</v>
      </c>
      <c r="AM601" s="441">
        <f>Ruimtestaat[[#This Row],[uren / jaar weekend]]+Ruimtestaat[[#This Row],[uren / jaar werkdagen]]</f>
        <v>0</v>
      </c>
      <c r="AN601" s="446">
        <f>Ruimtestaat[[#This Row],[kosten / jaar weekend]]+Ruimtestaat[[#This Row],[kosten / jaar werkdagen]]</f>
        <v>0</v>
      </c>
      <c r="AO601" s="446"/>
      <c r="AP601" s="446" t="str">
        <f>IF(Ruimtestaat[[#This Row],[Frequentie werkdagen]]="","",_xlfn.CONCAT(Ruimtestaat[[#This Row],[Ruimte code]],"-",Ruimtestaat[[#This Row],[Frequentie werkdagen]]," ",Ruimtestaat[[#This Row],[Vloer code]]))</f>
        <v/>
      </c>
      <c r="AQ601" s="448" t="str">
        <f>_xlfn.IFNA(VLOOKUP($AP601,Programma!$F$3:$G$1101,2,0),"")</f>
        <v/>
      </c>
      <c r="AR601" s="448" t="str">
        <f>_xlfn.IFNA(VLOOKUP($AP601,Programma!$F$3:$H$1101,3,0),"")</f>
        <v/>
      </c>
      <c r="AS601" s="448" t="str">
        <f>_xlfn.IFNA(VLOOKUP($AP601,Programma!$F$3:$I$1101,4,0),"")</f>
        <v/>
      </c>
      <c r="AT601" s="448" t="str">
        <f>_xlfn.IFNA(VLOOKUP($AP601,Programma!$F$3:$J$1101,5,0),"")</f>
        <v/>
      </c>
      <c r="AU601" s="448" t="str">
        <f>_xlfn.IFNA(VLOOKUP($AP601,Programma!$F$3:$K$1101,6,0),"")</f>
        <v/>
      </c>
      <c r="AV601" s="448" t="str">
        <f>_xlfn.IFNA(VLOOKUP($AP601,Programma!$F$3:$L$1101,7,0),"")</f>
        <v/>
      </c>
      <c r="AW601" s="448" t="str">
        <f>_xlfn.IFNA(VLOOKUP($AP601,Programma!$F$3:$M$1101,8,0),"")</f>
        <v/>
      </c>
      <c r="AX601" s="448" t="str">
        <f>_xlfn.IFNA(VLOOKUP($AP601,Programma!$F$3:$N$1101,9,0),"")</f>
        <v/>
      </c>
      <c r="AY601" s="448" t="str">
        <f>_xlfn.IFNA(VLOOKUP($AP601,Programma!$F$3:$O$1101,10,0),"")</f>
        <v/>
      </c>
      <c r="AZ601" s="448" t="str">
        <f>_xlfn.IFNA(VLOOKUP($AP601,Programma!$F$3:$P$1101,11,0),"")</f>
        <v/>
      </c>
      <c r="BA601" s="448" t="str">
        <f>_xlfn.IFNA(VLOOKUP($AP601,Programma!$F$3:$Q$1101,12,0),"")</f>
        <v/>
      </c>
      <c r="BB601" s="448" t="str">
        <f>_xlfn.IFNA(VLOOKUP($AP601,Programma!$F$3:$R$1101,13,0),"")</f>
        <v/>
      </c>
      <c r="BC601" s="448" t="str">
        <f>_xlfn.IFNA(VLOOKUP($AP601,Programma!$F$3:$S$1101,14,0),"")</f>
        <v/>
      </c>
      <c r="BD601" s="448" t="str">
        <f>_xlfn.IFNA(VLOOKUP($AP601,Programma!$F$3:$T$1101,15,0),"")</f>
        <v/>
      </c>
      <c r="BE601" s="448" t="str">
        <f>_xlfn.IFNA(VLOOKUP($AP601,Programma!$F$3:$U$1101,16,0),"")</f>
        <v/>
      </c>
      <c r="BF601" s="448" t="str">
        <f>_xlfn.IFNA(VLOOKUP($AP601,Programma!$F$3:$V$1101,17,0),"")</f>
        <v/>
      </c>
      <c r="BG601" s="448" t="str">
        <f>_xlfn.IFNA(VLOOKUP($AP601,Programma!$F$3:$W$1101,18,0),"")</f>
        <v/>
      </c>
      <c r="BH601" s="448" t="str">
        <f>_xlfn.IFNA(VLOOKUP($AP601,Programma!$F$3:$X$1101,19,0),"")</f>
        <v/>
      </c>
      <c r="BI601" s="448" t="str">
        <f>_xlfn.IFNA(VLOOKUP($AP601,Programma!$F$3:$Y$1101,20,0),"")</f>
        <v/>
      </c>
      <c r="BJ601" s="449"/>
      <c r="BK601" s="446" t="str">
        <f>IF(Ruimtestaat[[#This Row],[Frequentie weekend]]="","",_xlfn.CONCAT(Ruimtestaat[[#This Row],[Ruimte code]],"-",Ruimtestaat[[#This Row],[Frequentie weekend]]," ",Ruimtestaat[[#This Row],[Vloer code]]))</f>
        <v/>
      </c>
      <c r="BL601" s="448" t="str">
        <f>_xlfn.IFNA(VLOOKUP($BK601,Programma!$F$3:$G$1101,2,0),"")</f>
        <v/>
      </c>
      <c r="BM601" s="448" t="str">
        <f>_xlfn.IFNA(VLOOKUP($BK601,Programma!$F$3:$H$1101,3,0),"")</f>
        <v/>
      </c>
      <c r="BN601" s="448" t="str">
        <f>_xlfn.IFNA(VLOOKUP($BK601,Programma!$F$3:$I$1101,4,0),"")</f>
        <v/>
      </c>
      <c r="BO601" s="448" t="str">
        <f>_xlfn.IFNA(VLOOKUP($BK601,Programma!$F$3:$J$1101,5,0),"")</f>
        <v/>
      </c>
      <c r="BP601" s="448" t="str">
        <f>_xlfn.IFNA(VLOOKUP($BK601,Programma!$F$3:$K$1101,6,0),"")</f>
        <v/>
      </c>
      <c r="BQ601" s="448" t="str">
        <f>_xlfn.IFNA(VLOOKUP($BK601,Programma!$F$3:$L$1101,7,0),"")</f>
        <v/>
      </c>
      <c r="BR601" s="448" t="str">
        <f>_xlfn.IFNA(VLOOKUP($BK601,Programma!$F$3:$M$1101,8,0),"")</f>
        <v/>
      </c>
      <c r="BS601" s="448" t="str">
        <f>_xlfn.IFNA(VLOOKUP($BK601,Programma!$F$3:$N$1101,9,0),"")</f>
        <v/>
      </c>
      <c r="BT601" s="448" t="str">
        <f>_xlfn.IFNA(VLOOKUP($BK601,Programma!$F$3:$O$1101,10,0),"")</f>
        <v/>
      </c>
      <c r="BU601" s="448" t="str">
        <f>_xlfn.IFNA(VLOOKUP($BK601,Programma!$F$3:$P$1101,11,0),"")</f>
        <v/>
      </c>
      <c r="BV601" s="448" t="str">
        <f>_xlfn.IFNA(VLOOKUP($BK601,Programma!$F$3:$Q$1101,12,0),"")</f>
        <v/>
      </c>
      <c r="BW601" s="448" t="str">
        <f>_xlfn.IFNA(VLOOKUP($BK601,Programma!$F$3:$R$1101,13,0),"")</f>
        <v/>
      </c>
      <c r="BX601" s="448" t="str">
        <f>_xlfn.IFNA(VLOOKUP($BK601,Programma!$F$3:$S$1101,14,0),"")</f>
        <v/>
      </c>
      <c r="BY601" s="448" t="str">
        <f>_xlfn.IFNA(VLOOKUP($BK601,Programma!$F$3:$T$1101,15,0),"")</f>
        <v/>
      </c>
      <c r="BZ601" s="448" t="str">
        <f>_xlfn.IFNA(VLOOKUP($BK601,Programma!$F$3:$U$1101,16,0),"")</f>
        <v/>
      </c>
      <c r="CA601" s="448" t="str">
        <f>_xlfn.IFNA(VLOOKUP($BK601,Programma!$F$3:$V$1101,17,0),"")</f>
        <v/>
      </c>
      <c r="CB601" s="448" t="str">
        <f>_xlfn.IFNA(VLOOKUP($BK601,Programma!$F$3:$W$1101,18,0),"")</f>
        <v/>
      </c>
      <c r="CC601" s="448" t="str">
        <f>_xlfn.IFNA(VLOOKUP($BK601,Programma!$F$3:$X$1101,19,0),"")</f>
        <v/>
      </c>
      <c r="CD601" s="448" t="str">
        <f>_xlfn.IFNA(VLOOKUP($BK601,Programma!$F$3:$Y$1101,20,0),"")</f>
        <v/>
      </c>
    </row>
    <row r="602" spans="1:82" ht="15" customHeight="1">
      <c r="A602" s="327">
        <v>21</v>
      </c>
      <c r="B602" s="435" t="str">
        <f>VLOOKUP(Ruimtestaat[[#This Row],[Code]],Locaties[[Code]:[Locatie]],2,FALSE)</f>
        <v>IKC De  Leerplaneet (bijgebouw)</v>
      </c>
      <c r="C602" s="435" t="str">
        <f>VLOOKUP(Ruimtestaat[[#This Row],[Code]],Locaties[[#All],[Code]:[Adres]],4,FALSE)</f>
        <v>Nesciohove 105-107</v>
      </c>
      <c r="D602" s="435" t="str">
        <f>VLOOKUP(Ruimtestaat[[#This Row],[Code]],Locaties[[#All],[Code]:[Postcode]],5,FALSE)</f>
        <v>2716 BL</v>
      </c>
      <c r="E602" s="435" t="str">
        <f>VLOOKUP(Ruimtestaat[[#This Row],[Code]],Locaties[#All],6,FALSE)</f>
        <v>Zoetermeer</v>
      </c>
      <c r="F602" s="450"/>
      <c r="H602" s="330" t="s">
        <v>1691</v>
      </c>
      <c r="I602" s="450" t="s">
        <v>1708</v>
      </c>
      <c r="J602" s="330">
        <v>6</v>
      </c>
      <c r="K602" s="450" t="str">
        <f>VLOOKUP(Ruimtestaat[[#This Row],[Ruimte code]],Ruimtegroepen[[#All],[Code]:[Ruimte omschrijving]],2,FALSE)</f>
        <v>Gangen/hallen</v>
      </c>
      <c r="L602" s="434" t="s">
        <v>100</v>
      </c>
      <c r="M602" s="437" t="s">
        <v>1759</v>
      </c>
      <c r="N602" s="439">
        <v>44</v>
      </c>
      <c r="O602" s="439"/>
      <c r="P602" s="439"/>
      <c r="Q602" s="439"/>
      <c r="R602" s="440" t="str">
        <f>VLOOKUP(Ruimtestaat[[#This Row],[Ruimte code]],Ruimtegroepen[],4,FALSE)</f>
        <v>Ve</v>
      </c>
      <c r="S602" s="434">
        <v>41</v>
      </c>
      <c r="T602" s="434" t="s">
        <v>2</v>
      </c>
      <c r="U602" s="453">
        <f>IF(S602&gt;0,IF(RIGHT(Ruimtestaat[[#This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02" s="434">
        <f>IF(U602&gt;0,VLOOKUP($J602,Ruimtegroepen[],3,FALSE)*VLOOKUP($L602,Vloersoorten[],3,FALSE)*VLOOKUP($T602,Frequenties[],3,FALSE)*VLOOKUP($A602,Locaties[],3,FALSE),0)</f>
        <v>0</v>
      </c>
      <c r="W602" s="434">
        <f>Ruimtestaat[[#This Row],[Uitvoeringen werkdagen]]*Ruimtestaat[[#This Row],[Oppervlak (netto)]]</f>
        <v>9020</v>
      </c>
      <c r="X602" s="441">
        <f>IF(V602&gt;0,Ruimtestaat[[#This Row],[Prest. (m2 /jaar) werkdagen]]/Ruimtestaat[[#This Row],[Norm (m2/uur) werkdagen]],0)</f>
        <v>0</v>
      </c>
      <c r="Y602" s="442">
        <f>Ruimtestaat[[#This Row],[Uitvoeringen werkdagen]]*Ruimtestaat[[#This Row],[Gedeeltelijk]]</f>
        <v>0</v>
      </c>
      <c r="Z602" s="443" t="e">
        <f>IF(U602&gt;0,Ruimtestaat[[#This Row],[Prest. (m2 / jaar) werkdagen gedeeld]]/Ruimtestaat[[#This Row],[Norm (m2/uur) werkdagen]],0)</f>
        <v>#DIV/0!</v>
      </c>
      <c r="AA602" s="441" t="e">
        <f>Ruimtestaat[[#This Row],[uren / jaar werkdagen gedeeld]]*Tariefsopbouw!$E$35</f>
        <v>#DIV/0!</v>
      </c>
      <c r="AB602" s="441">
        <f>Ruimtestaat[[#This Row],[Uitvoeringen werkdagen]]*Ruimtestaat[[#This Row],[BSO]]</f>
        <v>0</v>
      </c>
      <c r="AC602" s="443" t="e">
        <f>IF(U602&gt;0,Ruimtestaat[[#This Row],[Prest. (m2 / jaar) werkdagen BSO]]/Ruimtestaat[[#This Row],[Norm (m2/uur) werkdagen]],0)</f>
        <v>#DIV/0!</v>
      </c>
      <c r="AD602" s="443" t="e">
        <f>Ruimtestaat[[#This Row],[uren / jaar werkdagen BSO]]*Tariefsopbouw!$E$35</f>
        <v>#DIV/0!</v>
      </c>
      <c r="AE602" s="444">
        <f>Ruimtestaat[[#This Row],[uren / jaar werkdagen]]*Tariefsopbouw!$E$35</f>
        <v>0</v>
      </c>
      <c r="AF602" s="454"/>
      <c r="AG602" s="455">
        <f>IF(Ruimtestaat[[#This Row],[Frequentie weekend]]&gt;0,VALUE(LEFT(AF602,1))*S602,0)</f>
        <v>0</v>
      </c>
      <c r="AH602" s="455">
        <f>IF($AG602&gt;0,VLOOKUP($J602,Ruimtegroepen[],3,FALSE)*VLOOKUP($L602,Vloersoorten[],3,FALSE)*VLOOKUP($AF602,Frequenties[],3,FALSE)*VLOOKUP(#REF!,Locaties[],3,FALSE),0)</f>
        <v>0</v>
      </c>
      <c r="AI602" s="434">
        <f>Ruimtestaat[[#This Row],[Uitvoeringen weekend]]*Ruimtestaat[[#This Row],[Oppervlak (netto)]]</f>
        <v>0</v>
      </c>
      <c r="AJ602" s="434">
        <f>IF(AH602&gt;0,Ruimtestaat[[#This Row],[Prest. (m2 /jaar) weekend]]/Ruimtestaat[[#This Row],[Norm (m2/uur) weekend]],0)</f>
        <v>0</v>
      </c>
      <c r="AK602" s="444">
        <f>Ruimtestaat[[#This Row],[uren / jaar weekend]]*Tariefsopbouw!$D$40</f>
        <v>0</v>
      </c>
      <c r="AL602" s="441">
        <f>Ruimtestaat[[#This Row],[Prest. (m2 /jaar) weekend]]+Ruimtestaat[[#This Row],[Prest. (m2 /jaar) werkdagen]]</f>
        <v>9020</v>
      </c>
      <c r="AM602" s="441">
        <f>Ruimtestaat[[#This Row],[uren / jaar weekend]]+Ruimtestaat[[#This Row],[uren / jaar werkdagen]]</f>
        <v>0</v>
      </c>
      <c r="AN602" s="446">
        <f>Ruimtestaat[[#This Row],[kosten / jaar weekend]]+Ruimtestaat[[#This Row],[kosten / jaar werkdagen]]</f>
        <v>0</v>
      </c>
      <c r="AO602" s="446"/>
      <c r="AP602" s="446" t="str">
        <f>IF(Ruimtestaat[[#This Row],[Frequentie werkdagen]]="","",_xlfn.CONCAT(Ruimtestaat[[#This Row],[Ruimte code]],"-",Ruimtestaat[[#This Row],[Frequentie werkdagen]]," ",Ruimtestaat[[#This Row],[Vloer code]]))</f>
        <v>6-5w L</v>
      </c>
      <c r="AQ602" s="448" t="str">
        <f>_xlfn.IFNA(VLOOKUP($AP602,Programma!$F$3:$G$1101,2,0),"")</f>
        <v>_</v>
      </c>
      <c r="AR602" s="448" t="str">
        <f>_xlfn.IFNA(VLOOKUP($AP602,Programma!$F$3:$H$1101,3,0),"")</f>
        <v>_</v>
      </c>
      <c r="AS602" s="448" t="str">
        <f>_xlfn.IFNA(VLOOKUP($AP602,Programma!$F$3:$I$1101,4,0),"")</f>
        <v>_</v>
      </c>
      <c r="AT602" s="448" t="str">
        <f>_xlfn.IFNA(VLOOKUP($AP602,Programma!$F$3:$J$1101,5,0),"")</f>
        <v>5w</v>
      </c>
      <c r="AU602" s="448" t="str">
        <f>_xlfn.IFNA(VLOOKUP($AP602,Programma!$F$3:$K$1101,6,0),"")</f>
        <v>_</v>
      </c>
      <c r="AV602" s="448" t="str">
        <f>_xlfn.IFNA(VLOOKUP($AP602,Programma!$F$3:$L$1101,7,0),"")</f>
        <v>_</v>
      </c>
      <c r="AW602" s="448" t="str">
        <f>_xlfn.IFNA(VLOOKUP($AP602,Programma!$F$3:$M$1101,8,0),"")</f>
        <v>_</v>
      </c>
      <c r="AX602" s="448" t="str">
        <f>_xlfn.IFNA(VLOOKUP($AP602,Programma!$F$3:$N$1101,9,0),"")</f>
        <v>_</v>
      </c>
      <c r="AY602" s="448" t="str">
        <f>_xlfn.IFNA(VLOOKUP($AP602,Programma!$F$3:$O$1101,10,0),"")</f>
        <v>5w</v>
      </c>
      <c r="AZ602" s="448" t="str">
        <f>_xlfn.IFNA(VLOOKUP($AP602,Programma!$F$3:$P$1101,11,0),"")</f>
        <v>5w</v>
      </c>
      <c r="BA602" s="448" t="str">
        <f>_xlfn.IFNA(VLOOKUP($AP602,Programma!$F$3:$Q$1101,12,0),"")</f>
        <v>1w</v>
      </c>
      <c r="BB602" s="448" t="str">
        <f>_xlfn.IFNA(VLOOKUP($AP602,Programma!$F$3:$R$1101,13,0),"")</f>
        <v>1w</v>
      </c>
      <c r="BC602" s="448" t="str">
        <f>_xlfn.IFNA(VLOOKUP($AP602,Programma!$F$3:$S$1101,14,0),"")</f>
        <v>1m</v>
      </c>
      <c r="BD602" s="448" t="str">
        <f>_xlfn.IFNA(VLOOKUP($AP602,Programma!$F$3:$T$1101,15,0),"")</f>
        <v>2j</v>
      </c>
      <c r="BE602" s="448" t="str">
        <f>_xlfn.IFNA(VLOOKUP($AP602,Programma!$F$3:$U$1101,16,0),"")</f>
        <v>1j</v>
      </c>
      <c r="BF602" s="448" t="str">
        <f>_xlfn.IFNA(VLOOKUP($AP602,Programma!$F$3:$V$1101,17,0),"")</f>
        <v>_</v>
      </c>
      <c r="BG602" s="448" t="str">
        <f>_xlfn.IFNA(VLOOKUP($AP602,Programma!$F$3:$W$1101,18,0),"")</f>
        <v>_</v>
      </c>
      <c r="BH602" s="448" t="str">
        <f>_xlfn.IFNA(VLOOKUP($AP602,Programma!$F$3:$X$1101,19,0),"")</f>
        <v>_</v>
      </c>
      <c r="BI602" s="448" t="str">
        <f>_xlfn.IFNA(VLOOKUP($AP602,Programma!$F$3:$Y$1101,20,0),"")</f>
        <v>_</v>
      </c>
      <c r="BJ602" s="449"/>
      <c r="BK602" s="446" t="str">
        <f>IF(Ruimtestaat[[#This Row],[Frequentie weekend]]="","",_xlfn.CONCAT(Ruimtestaat[[#This Row],[Ruimte code]],"-",Ruimtestaat[[#This Row],[Frequentie weekend]]," ",Ruimtestaat[[#This Row],[Vloer code]]))</f>
        <v/>
      </c>
      <c r="BL602" s="448" t="str">
        <f>_xlfn.IFNA(VLOOKUP($BK602,Programma!$F$3:$G$1101,2,0),"")</f>
        <v/>
      </c>
      <c r="BM602" s="448" t="str">
        <f>_xlfn.IFNA(VLOOKUP($BK602,Programma!$F$3:$H$1101,3,0),"")</f>
        <v/>
      </c>
      <c r="BN602" s="448" t="str">
        <f>_xlfn.IFNA(VLOOKUP($BK602,Programma!$F$3:$I$1101,4,0),"")</f>
        <v/>
      </c>
      <c r="BO602" s="448" t="str">
        <f>_xlfn.IFNA(VLOOKUP($BK602,Programma!$F$3:$J$1101,5,0),"")</f>
        <v/>
      </c>
      <c r="BP602" s="448" t="str">
        <f>_xlfn.IFNA(VLOOKUP($BK602,Programma!$F$3:$K$1101,6,0),"")</f>
        <v/>
      </c>
      <c r="BQ602" s="448" t="str">
        <f>_xlfn.IFNA(VLOOKUP($BK602,Programma!$F$3:$L$1101,7,0),"")</f>
        <v/>
      </c>
      <c r="BR602" s="448" t="str">
        <f>_xlfn.IFNA(VLOOKUP($BK602,Programma!$F$3:$M$1101,8,0),"")</f>
        <v/>
      </c>
      <c r="BS602" s="448" t="str">
        <f>_xlfn.IFNA(VLOOKUP($BK602,Programma!$F$3:$N$1101,9,0),"")</f>
        <v/>
      </c>
      <c r="BT602" s="448" t="str">
        <f>_xlfn.IFNA(VLOOKUP($BK602,Programma!$F$3:$O$1101,10,0),"")</f>
        <v/>
      </c>
      <c r="BU602" s="448" t="str">
        <f>_xlfn.IFNA(VLOOKUP($BK602,Programma!$F$3:$P$1101,11,0),"")</f>
        <v/>
      </c>
      <c r="BV602" s="448" t="str">
        <f>_xlfn.IFNA(VLOOKUP($BK602,Programma!$F$3:$Q$1101,12,0),"")</f>
        <v/>
      </c>
      <c r="BW602" s="448" t="str">
        <f>_xlfn.IFNA(VLOOKUP($BK602,Programma!$F$3:$R$1101,13,0),"")</f>
        <v/>
      </c>
      <c r="BX602" s="448" t="str">
        <f>_xlfn.IFNA(VLOOKUP($BK602,Programma!$F$3:$S$1101,14,0),"")</f>
        <v/>
      </c>
      <c r="BY602" s="448" t="str">
        <f>_xlfn.IFNA(VLOOKUP($BK602,Programma!$F$3:$T$1101,15,0),"")</f>
        <v/>
      </c>
      <c r="BZ602" s="448" t="str">
        <f>_xlfn.IFNA(VLOOKUP($BK602,Programma!$F$3:$U$1101,16,0),"")</f>
        <v/>
      </c>
      <c r="CA602" s="448" t="str">
        <f>_xlfn.IFNA(VLOOKUP($BK602,Programma!$F$3:$V$1101,17,0),"")</f>
        <v/>
      </c>
      <c r="CB602" s="448" t="str">
        <f>_xlfn.IFNA(VLOOKUP($BK602,Programma!$F$3:$W$1101,18,0),"")</f>
        <v/>
      </c>
      <c r="CC602" s="448" t="str">
        <f>_xlfn.IFNA(VLOOKUP($BK602,Programma!$F$3:$X$1101,19,0),"")</f>
        <v/>
      </c>
      <c r="CD602" s="448" t="str">
        <f>_xlfn.IFNA(VLOOKUP($BK602,Programma!$F$3:$Y$1101,20,0),"")</f>
        <v/>
      </c>
    </row>
    <row r="603" spans="1:82" ht="15" customHeight="1">
      <c r="A603" s="327">
        <v>21</v>
      </c>
      <c r="B603" s="435" t="str">
        <f>VLOOKUP(Ruimtestaat[[#This Row],[Code]],Locaties[[Code]:[Locatie]],2,FALSE)</f>
        <v>IKC De  Leerplaneet (bijgebouw)</v>
      </c>
      <c r="C603" s="435" t="str">
        <f>VLOOKUP(Ruimtestaat[[#This Row],[Code]],Locaties[[#All],[Code]:[Adres]],4,FALSE)</f>
        <v>Nesciohove 105-107</v>
      </c>
      <c r="D603" s="435" t="str">
        <f>VLOOKUP(Ruimtestaat[[#This Row],[Code]],Locaties[[#All],[Code]:[Postcode]],5,FALSE)</f>
        <v>2716 BL</v>
      </c>
      <c r="E603" s="435" t="str">
        <f>VLOOKUP(Ruimtestaat[[#This Row],[Code]],Locaties[#All],6,FALSE)</f>
        <v>Zoetermeer</v>
      </c>
      <c r="F603" s="450"/>
      <c r="H603" s="330" t="s">
        <v>1692</v>
      </c>
      <c r="I603" s="450" t="s">
        <v>1708</v>
      </c>
      <c r="J603" s="330">
        <v>20</v>
      </c>
      <c r="K603" s="450" t="str">
        <f>VLOOKUP(Ruimtestaat[[#This Row],[Ruimte code]],Ruimtegroepen[[#All],[Code]:[Ruimte omschrijving]],2,FALSE)</f>
        <v>Niet in Onderhoud</v>
      </c>
      <c r="L603" s="434" t="s">
        <v>100</v>
      </c>
      <c r="M603" s="437" t="s">
        <v>1759</v>
      </c>
      <c r="N603" s="439"/>
      <c r="O603" s="439">
        <v>88</v>
      </c>
      <c r="P603" s="439"/>
      <c r="Q603" s="439"/>
      <c r="R603" s="440">
        <f>VLOOKUP(Ruimtestaat[[#This Row],[Ruimte code]],Ruimtegroepen[],4,FALSE)</f>
        <v>0</v>
      </c>
      <c r="S603" s="434"/>
      <c r="T603" s="434"/>
      <c r="U603" s="453">
        <f>IF(S603&gt;0,IF(RIGHT(Ruimtestaat[[#This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03" s="434">
        <f>IF(U603&gt;0,VLOOKUP($J603,Ruimtegroepen[],3,FALSE)*VLOOKUP($L603,Vloersoorten[],3,FALSE)*VLOOKUP($T603,Frequenties[],3,FALSE)*VLOOKUP($A603,Locaties[],3,FALSE),0)</f>
        <v>0</v>
      </c>
      <c r="W603" s="434">
        <f>Ruimtestaat[[#This Row],[Uitvoeringen werkdagen]]*Ruimtestaat[[#This Row],[Oppervlak (netto)]]</f>
        <v>0</v>
      </c>
      <c r="X603" s="441">
        <f>IF(V603&gt;0,Ruimtestaat[[#This Row],[Prest. (m2 /jaar) werkdagen]]/Ruimtestaat[[#This Row],[Norm (m2/uur) werkdagen]],0)</f>
        <v>0</v>
      </c>
      <c r="Y603" s="442">
        <f>Ruimtestaat[[#This Row],[Uitvoeringen werkdagen]]*Ruimtestaat[[#This Row],[Gedeeltelijk]]</f>
        <v>0</v>
      </c>
      <c r="Z603" s="443">
        <f>IF(U603&gt;0,Ruimtestaat[[#This Row],[Prest. (m2 / jaar) werkdagen gedeeld]]/Ruimtestaat[[#This Row],[Norm (m2/uur) werkdagen]],0)</f>
        <v>0</v>
      </c>
      <c r="AA603" s="441">
        <f>Ruimtestaat[[#This Row],[uren / jaar werkdagen gedeeld]]*Tariefsopbouw!$E$35</f>
        <v>0</v>
      </c>
      <c r="AB603" s="441">
        <f>Ruimtestaat[[#This Row],[Uitvoeringen werkdagen]]*Ruimtestaat[[#This Row],[BSO]]</f>
        <v>0</v>
      </c>
      <c r="AC603" s="443">
        <f>IF(U603&gt;0,Ruimtestaat[[#This Row],[Prest. (m2 / jaar) werkdagen BSO]]/Ruimtestaat[[#This Row],[Norm (m2/uur) werkdagen]],0)</f>
        <v>0</v>
      </c>
      <c r="AD603" s="443">
        <f>Ruimtestaat[[#This Row],[uren / jaar werkdagen BSO]]*Tariefsopbouw!$E$35</f>
        <v>0</v>
      </c>
      <c r="AE603" s="444">
        <f>Ruimtestaat[[#This Row],[uren / jaar werkdagen]]*Tariefsopbouw!$E$35</f>
        <v>0</v>
      </c>
      <c r="AF603" s="454"/>
      <c r="AG603" s="455">
        <f>IF(Ruimtestaat[[#This Row],[Frequentie weekend]]&gt;0,VALUE(LEFT(AF603,1))*S603,0)</f>
        <v>0</v>
      </c>
      <c r="AH603" s="455">
        <f>IF($AG603&gt;0,VLOOKUP($J603,Ruimtegroepen[],3,FALSE)*VLOOKUP($L603,Vloersoorten[],3,FALSE)*VLOOKUP($AF603,Frequenties[],3,FALSE)*VLOOKUP(#REF!,Locaties[],3,FALSE),0)</f>
        <v>0</v>
      </c>
      <c r="AI603" s="434">
        <f>Ruimtestaat[[#This Row],[Uitvoeringen weekend]]*Ruimtestaat[[#This Row],[Oppervlak (netto)]]</f>
        <v>0</v>
      </c>
      <c r="AJ603" s="434">
        <f>IF(AH603&gt;0,Ruimtestaat[[#This Row],[Prest. (m2 /jaar) weekend]]/Ruimtestaat[[#This Row],[Norm (m2/uur) weekend]],0)</f>
        <v>0</v>
      </c>
      <c r="AK603" s="444">
        <f>Ruimtestaat[[#This Row],[uren / jaar weekend]]*Tariefsopbouw!$D$40</f>
        <v>0</v>
      </c>
      <c r="AL603" s="441">
        <f>Ruimtestaat[[#This Row],[Prest. (m2 /jaar) weekend]]+Ruimtestaat[[#This Row],[Prest. (m2 /jaar) werkdagen]]</f>
        <v>0</v>
      </c>
      <c r="AM603" s="441">
        <f>Ruimtestaat[[#This Row],[uren / jaar weekend]]+Ruimtestaat[[#This Row],[uren / jaar werkdagen]]</f>
        <v>0</v>
      </c>
      <c r="AN603" s="446">
        <f>Ruimtestaat[[#This Row],[kosten / jaar weekend]]+Ruimtestaat[[#This Row],[kosten / jaar werkdagen]]</f>
        <v>0</v>
      </c>
      <c r="AO603" s="446"/>
      <c r="AP603" s="446" t="str">
        <f>IF(Ruimtestaat[[#This Row],[Frequentie werkdagen]]="","",_xlfn.CONCAT(Ruimtestaat[[#This Row],[Ruimte code]],"-",Ruimtestaat[[#This Row],[Frequentie werkdagen]]," ",Ruimtestaat[[#This Row],[Vloer code]]))</f>
        <v/>
      </c>
      <c r="AQ603" s="448" t="str">
        <f>_xlfn.IFNA(VLOOKUP($AP603,Programma!$F$3:$G$1101,2,0),"")</f>
        <v/>
      </c>
      <c r="AR603" s="448" t="str">
        <f>_xlfn.IFNA(VLOOKUP($AP603,Programma!$F$3:$H$1101,3,0),"")</f>
        <v/>
      </c>
      <c r="AS603" s="448" t="str">
        <f>_xlfn.IFNA(VLOOKUP($AP603,Programma!$F$3:$I$1101,4,0),"")</f>
        <v/>
      </c>
      <c r="AT603" s="448" t="str">
        <f>_xlfn.IFNA(VLOOKUP($AP603,Programma!$F$3:$J$1101,5,0),"")</f>
        <v/>
      </c>
      <c r="AU603" s="448" t="str">
        <f>_xlfn.IFNA(VLOOKUP($AP603,Programma!$F$3:$K$1101,6,0),"")</f>
        <v/>
      </c>
      <c r="AV603" s="448" t="str">
        <f>_xlfn.IFNA(VLOOKUP($AP603,Programma!$F$3:$L$1101,7,0),"")</f>
        <v/>
      </c>
      <c r="AW603" s="448" t="str">
        <f>_xlfn.IFNA(VLOOKUP($AP603,Programma!$F$3:$M$1101,8,0),"")</f>
        <v/>
      </c>
      <c r="AX603" s="448" t="str">
        <f>_xlfn.IFNA(VLOOKUP($AP603,Programma!$F$3:$N$1101,9,0),"")</f>
        <v/>
      </c>
      <c r="AY603" s="448" t="str">
        <f>_xlfn.IFNA(VLOOKUP($AP603,Programma!$F$3:$O$1101,10,0),"")</f>
        <v/>
      </c>
      <c r="AZ603" s="448" t="str">
        <f>_xlfn.IFNA(VLOOKUP($AP603,Programma!$F$3:$P$1101,11,0),"")</f>
        <v/>
      </c>
      <c r="BA603" s="448" t="str">
        <f>_xlfn.IFNA(VLOOKUP($AP603,Programma!$F$3:$Q$1101,12,0),"")</f>
        <v/>
      </c>
      <c r="BB603" s="448" t="str">
        <f>_xlfn.IFNA(VLOOKUP($AP603,Programma!$F$3:$R$1101,13,0),"")</f>
        <v/>
      </c>
      <c r="BC603" s="448" t="str">
        <f>_xlfn.IFNA(VLOOKUP($AP603,Programma!$F$3:$S$1101,14,0),"")</f>
        <v/>
      </c>
      <c r="BD603" s="448" t="str">
        <f>_xlfn.IFNA(VLOOKUP($AP603,Programma!$F$3:$T$1101,15,0),"")</f>
        <v/>
      </c>
      <c r="BE603" s="448" t="str">
        <f>_xlfn.IFNA(VLOOKUP($AP603,Programma!$F$3:$U$1101,16,0),"")</f>
        <v/>
      </c>
      <c r="BF603" s="448" t="str">
        <f>_xlfn.IFNA(VLOOKUP($AP603,Programma!$F$3:$V$1101,17,0),"")</f>
        <v/>
      </c>
      <c r="BG603" s="448" t="str">
        <f>_xlfn.IFNA(VLOOKUP($AP603,Programma!$F$3:$W$1101,18,0),"")</f>
        <v/>
      </c>
      <c r="BH603" s="448" t="str">
        <f>_xlfn.IFNA(VLOOKUP($AP603,Programma!$F$3:$X$1101,19,0),"")</f>
        <v/>
      </c>
      <c r="BI603" s="448" t="str">
        <f>_xlfn.IFNA(VLOOKUP($AP603,Programma!$F$3:$Y$1101,20,0),"")</f>
        <v/>
      </c>
      <c r="BJ603" s="449"/>
      <c r="BK603" s="446" t="str">
        <f>IF(Ruimtestaat[[#This Row],[Frequentie weekend]]="","",_xlfn.CONCAT(Ruimtestaat[[#This Row],[Ruimte code]],"-",Ruimtestaat[[#This Row],[Frequentie weekend]]," ",Ruimtestaat[[#This Row],[Vloer code]]))</f>
        <v/>
      </c>
      <c r="BL603" s="448" t="str">
        <f>_xlfn.IFNA(VLOOKUP($BK603,Programma!$F$3:$G$1101,2,0),"")</f>
        <v/>
      </c>
      <c r="BM603" s="448" t="str">
        <f>_xlfn.IFNA(VLOOKUP($BK603,Programma!$F$3:$H$1101,3,0),"")</f>
        <v/>
      </c>
      <c r="BN603" s="448" t="str">
        <f>_xlfn.IFNA(VLOOKUP($BK603,Programma!$F$3:$I$1101,4,0),"")</f>
        <v/>
      </c>
      <c r="BO603" s="448" t="str">
        <f>_xlfn.IFNA(VLOOKUP($BK603,Programma!$F$3:$J$1101,5,0),"")</f>
        <v/>
      </c>
      <c r="BP603" s="448" t="str">
        <f>_xlfn.IFNA(VLOOKUP($BK603,Programma!$F$3:$K$1101,6,0),"")</f>
        <v/>
      </c>
      <c r="BQ603" s="448" t="str">
        <f>_xlfn.IFNA(VLOOKUP($BK603,Programma!$F$3:$L$1101,7,0),"")</f>
        <v/>
      </c>
      <c r="BR603" s="448" t="str">
        <f>_xlfn.IFNA(VLOOKUP($BK603,Programma!$F$3:$M$1101,8,0),"")</f>
        <v/>
      </c>
      <c r="BS603" s="448" t="str">
        <f>_xlfn.IFNA(VLOOKUP($BK603,Programma!$F$3:$N$1101,9,0),"")</f>
        <v/>
      </c>
      <c r="BT603" s="448" t="str">
        <f>_xlfn.IFNA(VLOOKUP($BK603,Programma!$F$3:$O$1101,10,0),"")</f>
        <v/>
      </c>
      <c r="BU603" s="448" t="str">
        <f>_xlfn.IFNA(VLOOKUP($BK603,Programma!$F$3:$P$1101,11,0),"")</f>
        <v/>
      </c>
      <c r="BV603" s="448" t="str">
        <f>_xlfn.IFNA(VLOOKUP($BK603,Programma!$F$3:$Q$1101,12,0),"")</f>
        <v/>
      </c>
      <c r="BW603" s="448" t="str">
        <f>_xlfn.IFNA(VLOOKUP($BK603,Programma!$F$3:$R$1101,13,0),"")</f>
        <v/>
      </c>
      <c r="BX603" s="448" t="str">
        <f>_xlfn.IFNA(VLOOKUP($BK603,Programma!$F$3:$S$1101,14,0),"")</f>
        <v/>
      </c>
      <c r="BY603" s="448" t="str">
        <f>_xlfn.IFNA(VLOOKUP($BK603,Programma!$F$3:$T$1101,15,0),"")</f>
        <v/>
      </c>
      <c r="BZ603" s="448" t="str">
        <f>_xlfn.IFNA(VLOOKUP($BK603,Programma!$F$3:$U$1101,16,0),"")</f>
        <v/>
      </c>
      <c r="CA603" s="448" t="str">
        <f>_xlfn.IFNA(VLOOKUP($BK603,Programma!$F$3:$V$1101,17,0),"")</f>
        <v/>
      </c>
      <c r="CB603" s="448" t="str">
        <f>_xlfn.IFNA(VLOOKUP($BK603,Programma!$F$3:$W$1101,18,0),"")</f>
        <v/>
      </c>
      <c r="CC603" s="448" t="str">
        <f>_xlfn.IFNA(VLOOKUP($BK603,Programma!$F$3:$X$1101,19,0),"")</f>
        <v/>
      </c>
      <c r="CD603" s="448" t="str">
        <f>_xlfn.IFNA(VLOOKUP($BK603,Programma!$F$3:$Y$1101,20,0),"")</f>
        <v/>
      </c>
    </row>
    <row r="604" spans="1:82" ht="15" customHeight="1">
      <c r="A604" s="327">
        <v>21</v>
      </c>
      <c r="B604" s="435" t="str">
        <f>VLOOKUP(Ruimtestaat[[#This Row],[Code]],Locaties[[Code]:[Locatie]],2,FALSE)</f>
        <v>IKC De  Leerplaneet (bijgebouw)</v>
      </c>
      <c r="C604" s="435" t="str">
        <f>VLOOKUP(Ruimtestaat[[#This Row],[Code]],Locaties[[#All],[Code]:[Adres]],4,FALSE)</f>
        <v>Nesciohove 105-107</v>
      </c>
      <c r="D604" s="435" t="str">
        <f>VLOOKUP(Ruimtestaat[[#This Row],[Code]],Locaties[[#All],[Code]:[Postcode]],5,FALSE)</f>
        <v>2716 BL</v>
      </c>
      <c r="E604" s="435" t="str">
        <f>VLOOKUP(Ruimtestaat[[#This Row],[Code]],Locaties[#All],6,FALSE)</f>
        <v>Zoetermeer</v>
      </c>
      <c r="F604" s="450"/>
      <c r="H604" s="330" t="s">
        <v>1693</v>
      </c>
      <c r="I604" s="450" t="s">
        <v>1708</v>
      </c>
      <c r="J604" s="330">
        <v>20</v>
      </c>
      <c r="K604" s="450" t="str">
        <f>VLOOKUP(Ruimtestaat[[#This Row],[Ruimte code]],Ruimtegroepen[[#All],[Code]:[Ruimte omschrijving]],2,FALSE)</f>
        <v>Niet in Onderhoud</v>
      </c>
      <c r="L604" s="434" t="s">
        <v>100</v>
      </c>
      <c r="M604" s="437" t="s">
        <v>1759</v>
      </c>
      <c r="N604" s="439"/>
      <c r="O604" s="439">
        <v>5</v>
      </c>
      <c r="P604" s="439"/>
      <c r="Q604" s="439"/>
      <c r="R604" s="440">
        <f>VLOOKUP(Ruimtestaat[[#This Row],[Ruimte code]],Ruimtegroepen[],4,FALSE)</f>
        <v>0</v>
      </c>
      <c r="S604" s="434"/>
      <c r="T604" s="434"/>
      <c r="U604" s="453">
        <f>IF(S604&gt;0,IF(RIGHT(Ruimtestaat[[#This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04" s="434">
        <f>IF(U604&gt;0,VLOOKUP($J604,Ruimtegroepen[],3,FALSE)*VLOOKUP($L604,Vloersoorten[],3,FALSE)*VLOOKUP($T604,Frequenties[],3,FALSE)*VLOOKUP($A604,Locaties[],3,FALSE),0)</f>
        <v>0</v>
      </c>
      <c r="W604" s="434">
        <f>Ruimtestaat[[#This Row],[Uitvoeringen werkdagen]]*Ruimtestaat[[#This Row],[Oppervlak (netto)]]</f>
        <v>0</v>
      </c>
      <c r="X604" s="441">
        <f>IF(V604&gt;0,Ruimtestaat[[#This Row],[Prest. (m2 /jaar) werkdagen]]/Ruimtestaat[[#This Row],[Norm (m2/uur) werkdagen]],0)</f>
        <v>0</v>
      </c>
      <c r="Y604" s="442">
        <f>Ruimtestaat[[#This Row],[Uitvoeringen werkdagen]]*Ruimtestaat[[#This Row],[Gedeeltelijk]]</f>
        <v>0</v>
      </c>
      <c r="Z604" s="443">
        <f>IF(U604&gt;0,Ruimtestaat[[#This Row],[Prest. (m2 / jaar) werkdagen gedeeld]]/Ruimtestaat[[#This Row],[Norm (m2/uur) werkdagen]],0)</f>
        <v>0</v>
      </c>
      <c r="AA604" s="441">
        <f>Ruimtestaat[[#This Row],[uren / jaar werkdagen gedeeld]]*Tariefsopbouw!$E$35</f>
        <v>0</v>
      </c>
      <c r="AB604" s="441">
        <f>Ruimtestaat[[#This Row],[Uitvoeringen werkdagen]]*Ruimtestaat[[#This Row],[BSO]]</f>
        <v>0</v>
      </c>
      <c r="AC604" s="443">
        <f>IF(U604&gt;0,Ruimtestaat[[#This Row],[Prest. (m2 / jaar) werkdagen BSO]]/Ruimtestaat[[#This Row],[Norm (m2/uur) werkdagen]],0)</f>
        <v>0</v>
      </c>
      <c r="AD604" s="443">
        <f>Ruimtestaat[[#This Row],[uren / jaar werkdagen BSO]]*Tariefsopbouw!$E$35</f>
        <v>0</v>
      </c>
      <c r="AE604" s="444">
        <f>Ruimtestaat[[#This Row],[uren / jaar werkdagen]]*Tariefsopbouw!$E$35</f>
        <v>0</v>
      </c>
      <c r="AF604" s="454"/>
      <c r="AG604" s="455">
        <f>IF(Ruimtestaat[[#This Row],[Frequentie weekend]]&gt;0,VALUE(LEFT(AF604,1))*S604,0)</f>
        <v>0</v>
      </c>
      <c r="AH604" s="455">
        <f>IF($AG604&gt;0,VLOOKUP($J604,Ruimtegroepen[],3,FALSE)*VLOOKUP($L604,Vloersoorten[],3,FALSE)*VLOOKUP($AF604,Frequenties[],3,FALSE)*VLOOKUP(#REF!,Locaties[],3,FALSE),0)</f>
        <v>0</v>
      </c>
      <c r="AI604" s="434">
        <f>Ruimtestaat[[#This Row],[Uitvoeringen weekend]]*Ruimtestaat[[#This Row],[Oppervlak (netto)]]</f>
        <v>0</v>
      </c>
      <c r="AJ604" s="434">
        <f>IF(AH604&gt;0,Ruimtestaat[[#This Row],[Prest. (m2 /jaar) weekend]]/Ruimtestaat[[#This Row],[Norm (m2/uur) weekend]],0)</f>
        <v>0</v>
      </c>
      <c r="AK604" s="444">
        <f>Ruimtestaat[[#This Row],[uren / jaar weekend]]*Tariefsopbouw!$D$40</f>
        <v>0</v>
      </c>
      <c r="AL604" s="441">
        <f>Ruimtestaat[[#This Row],[Prest. (m2 /jaar) weekend]]+Ruimtestaat[[#This Row],[Prest. (m2 /jaar) werkdagen]]</f>
        <v>0</v>
      </c>
      <c r="AM604" s="441">
        <f>Ruimtestaat[[#This Row],[uren / jaar weekend]]+Ruimtestaat[[#This Row],[uren / jaar werkdagen]]</f>
        <v>0</v>
      </c>
      <c r="AN604" s="446">
        <f>Ruimtestaat[[#This Row],[kosten / jaar weekend]]+Ruimtestaat[[#This Row],[kosten / jaar werkdagen]]</f>
        <v>0</v>
      </c>
      <c r="AO604" s="446"/>
      <c r="AP604" s="446" t="str">
        <f>IF(Ruimtestaat[[#This Row],[Frequentie werkdagen]]="","",_xlfn.CONCAT(Ruimtestaat[[#This Row],[Ruimte code]],"-",Ruimtestaat[[#This Row],[Frequentie werkdagen]]," ",Ruimtestaat[[#This Row],[Vloer code]]))</f>
        <v/>
      </c>
      <c r="AQ604" s="448" t="str">
        <f>_xlfn.IFNA(VLOOKUP($AP604,Programma!$F$3:$G$1101,2,0),"")</f>
        <v/>
      </c>
      <c r="AR604" s="448" t="str">
        <f>_xlfn.IFNA(VLOOKUP($AP604,Programma!$F$3:$H$1101,3,0),"")</f>
        <v/>
      </c>
      <c r="AS604" s="448" t="str">
        <f>_xlfn.IFNA(VLOOKUP($AP604,Programma!$F$3:$I$1101,4,0),"")</f>
        <v/>
      </c>
      <c r="AT604" s="448" t="str">
        <f>_xlfn.IFNA(VLOOKUP($AP604,Programma!$F$3:$J$1101,5,0),"")</f>
        <v/>
      </c>
      <c r="AU604" s="448" t="str">
        <f>_xlfn.IFNA(VLOOKUP($AP604,Programma!$F$3:$K$1101,6,0),"")</f>
        <v/>
      </c>
      <c r="AV604" s="448" t="str">
        <f>_xlfn.IFNA(VLOOKUP($AP604,Programma!$F$3:$L$1101,7,0),"")</f>
        <v/>
      </c>
      <c r="AW604" s="448" t="str">
        <f>_xlfn.IFNA(VLOOKUP($AP604,Programma!$F$3:$M$1101,8,0),"")</f>
        <v/>
      </c>
      <c r="AX604" s="448" t="str">
        <f>_xlfn.IFNA(VLOOKUP($AP604,Programma!$F$3:$N$1101,9,0),"")</f>
        <v/>
      </c>
      <c r="AY604" s="448" t="str">
        <f>_xlfn.IFNA(VLOOKUP($AP604,Programma!$F$3:$O$1101,10,0),"")</f>
        <v/>
      </c>
      <c r="AZ604" s="448" t="str">
        <f>_xlfn.IFNA(VLOOKUP($AP604,Programma!$F$3:$P$1101,11,0),"")</f>
        <v/>
      </c>
      <c r="BA604" s="448" t="str">
        <f>_xlfn.IFNA(VLOOKUP($AP604,Programma!$F$3:$Q$1101,12,0),"")</f>
        <v/>
      </c>
      <c r="BB604" s="448" t="str">
        <f>_xlfn.IFNA(VLOOKUP($AP604,Programma!$F$3:$R$1101,13,0),"")</f>
        <v/>
      </c>
      <c r="BC604" s="448" t="str">
        <f>_xlfn.IFNA(VLOOKUP($AP604,Programma!$F$3:$S$1101,14,0),"")</f>
        <v/>
      </c>
      <c r="BD604" s="448" t="str">
        <f>_xlfn.IFNA(VLOOKUP($AP604,Programma!$F$3:$T$1101,15,0),"")</f>
        <v/>
      </c>
      <c r="BE604" s="448" t="str">
        <f>_xlfn.IFNA(VLOOKUP($AP604,Programma!$F$3:$U$1101,16,0),"")</f>
        <v/>
      </c>
      <c r="BF604" s="448" t="str">
        <f>_xlfn.IFNA(VLOOKUP($AP604,Programma!$F$3:$V$1101,17,0),"")</f>
        <v/>
      </c>
      <c r="BG604" s="448" t="str">
        <f>_xlfn.IFNA(VLOOKUP($AP604,Programma!$F$3:$W$1101,18,0),"")</f>
        <v/>
      </c>
      <c r="BH604" s="448" t="str">
        <f>_xlfn.IFNA(VLOOKUP($AP604,Programma!$F$3:$X$1101,19,0),"")</f>
        <v/>
      </c>
      <c r="BI604" s="448" t="str">
        <f>_xlfn.IFNA(VLOOKUP($AP604,Programma!$F$3:$Y$1101,20,0),"")</f>
        <v/>
      </c>
      <c r="BJ604" s="449"/>
      <c r="BK604" s="446" t="str">
        <f>IF(Ruimtestaat[[#This Row],[Frequentie weekend]]="","",_xlfn.CONCAT(Ruimtestaat[[#This Row],[Ruimte code]],"-",Ruimtestaat[[#This Row],[Frequentie weekend]]," ",Ruimtestaat[[#This Row],[Vloer code]]))</f>
        <v/>
      </c>
      <c r="BL604" s="448" t="str">
        <f>_xlfn.IFNA(VLOOKUP($BK604,Programma!$F$3:$G$1101,2,0),"")</f>
        <v/>
      </c>
      <c r="BM604" s="448" t="str">
        <f>_xlfn.IFNA(VLOOKUP($BK604,Programma!$F$3:$H$1101,3,0),"")</f>
        <v/>
      </c>
      <c r="BN604" s="448" t="str">
        <f>_xlfn.IFNA(VLOOKUP($BK604,Programma!$F$3:$I$1101,4,0),"")</f>
        <v/>
      </c>
      <c r="BO604" s="448" t="str">
        <f>_xlfn.IFNA(VLOOKUP($BK604,Programma!$F$3:$J$1101,5,0),"")</f>
        <v/>
      </c>
      <c r="BP604" s="448" t="str">
        <f>_xlfn.IFNA(VLOOKUP($BK604,Programma!$F$3:$K$1101,6,0),"")</f>
        <v/>
      </c>
      <c r="BQ604" s="448" t="str">
        <f>_xlfn.IFNA(VLOOKUP($BK604,Programma!$F$3:$L$1101,7,0),"")</f>
        <v/>
      </c>
      <c r="BR604" s="448" t="str">
        <f>_xlfn.IFNA(VLOOKUP($BK604,Programma!$F$3:$M$1101,8,0),"")</f>
        <v/>
      </c>
      <c r="BS604" s="448" t="str">
        <f>_xlfn.IFNA(VLOOKUP($BK604,Programma!$F$3:$N$1101,9,0),"")</f>
        <v/>
      </c>
      <c r="BT604" s="448" t="str">
        <f>_xlfn.IFNA(VLOOKUP($BK604,Programma!$F$3:$O$1101,10,0),"")</f>
        <v/>
      </c>
      <c r="BU604" s="448" t="str">
        <f>_xlfn.IFNA(VLOOKUP($BK604,Programma!$F$3:$P$1101,11,0),"")</f>
        <v/>
      </c>
      <c r="BV604" s="448" t="str">
        <f>_xlfn.IFNA(VLOOKUP($BK604,Programma!$F$3:$Q$1101,12,0),"")</f>
        <v/>
      </c>
      <c r="BW604" s="448" t="str">
        <f>_xlfn.IFNA(VLOOKUP($BK604,Programma!$F$3:$R$1101,13,0),"")</f>
        <v/>
      </c>
      <c r="BX604" s="448" t="str">
        <f>_xlfn.IFNA(VLOOKUP($BK604,Programma!$F$3:$S$1101,14,0),"")</f>
        <v/>
      </c>
      <c r="BY604" s="448" t="str">
        <f>_xlfn.IFNA(VLOOKUP($BK604,Programma!$F$3:$T$1101,15,0),"")</f>
        <v/>
      </c>
      <c r="BZ604" s="448" t="str">
        <f>_xlfn.IFNA(VLOOKUP($BK604,Programma!$F$3:$U$1101,16,0),"")</f>
        <v/>
      </c>
      <c r="CA604" s="448" t="str">
        <f>_xlfn.IFNA(VLOOKUP($BK604,Programma!$F$3:$V$1101,17,0),"")</f>
        <v/>
      </c>
      <c r="CB604" s="448" t="str">
        <f>_xlfn.IFNA(VLOOKUP($BK604,Programma!$F$3:$W$1101,18,0),"")</f>
        <v/>
      </c>
      <c r="CC604" s="448" t="str">
        <f>_xlfn.IFNA(VLOOKUP($BK604,Programma!$F$3:$X$1101,19,0),"")</f>
        <v/>
      </c>
      <c r="CD604" s="448" t="str">
        <f>_xlfn.IFNA(VLOOKUP($BK604,Programma!$F$3:$Y$1101,20,0),"")</f>
        <v/>
      </c>
    </row>
    <row r="605" spans="1:82" ht="15" customHeight="1">
      <c r="A605" s="327">
        <v>21</v>
      </c>
      <c r="B605" s="435" t="str">
        <f>VLOOKUP(Ruimtestaat[[#This Row],[Code]],Locaties[[Code]:[Locatie]],2,FALSE)</f>
        <v>IKC De  Leerplaneet (bijgebouw)</v>
      </c>
      <c r="C605" s="435" t="str">
        <f>VLOOKUP(Ruimtestaat[[#This Row],[Code]],Locaties[[#All],[Code]:[Adres]],4,FALSE)</f>
        <v>Nesciohove 105-107</v>
      </c>
      <c r="D605" s="435" t="str">
        <f>VLOOKUP(Ruimtestaat[[#This Row],[Code]],Locaties[[#All],[Code]:[Postcode]],5,FALSE)</f>
        <v>2716 BL</v>
      </c>
      <c r="E605" s="435" t="str">
        <f>VLOOKUP(Ruimtestaat[[#This Row],[Code]],Locaties[#All],6,FALSE)</f>
        <v>Zoetermeer</v>
      </c>
      <c r="F605" s="450"/>
      <c r="H605" s="330" t="s">
        <v>1699</v>
      </c>
      <c r="I605" s="450" t="s">
        <v>1954</v>
      </c>
      <c r="J605" s="330">
        <v>20</v>
      </c>
      <c r="K605" s="450" t="str">
        <f>VLOOKUP(Ruimtestaat[[#This Row],[Ruimte code]],Ruimtegroepen[[#All],[Code]:[Ruimte omschrijving]],2,FALSE)</f>
        <v>Niet in Onderhoud</v>
      </c>
      <c r="L605" s="434" t="s">
        <v>100</v>
      </c>
      <c r="M605" s="437" t="s">
        <v>1759</v>
      </c>
      <c r="N605" s="439"/>
      <c r="O605" s="439">
        <v>58</v>
      </c>
      <c r="P605" s="439"/>
      <c r="Q605" s="439"/>
      <c r="R605" s="440">
        <f>VLOOKUP(Ruimtestaat[[#This Row],[Ruimte code]],Ruimtegroepen[],4,FALSE)</f>
        <v>0</v>
      </c>
      <c r="S605" s="434"/>
      <c r="T605" s="434"/>
      <c r="U605" s="453">
        <f>IF(S605&gt;0,IF(RIGHT(Ruimtestaat[[#This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05" s="434">
        <f>IF(U605&gt;0,VLOOKUP($J605,Ruimtegroepen[],3,FALSE)*VLOOKUP($L605,Vloersoorten[],3,FALSE)*VLOOKUP($T605,Frequenties[],3,FALSE)*VLOOKUP($A605,Locaties[],3,FALSE),0)</f>
        <v>0</v>
      </c>
      <c r="W605" s="434">
        <f>Ruimtestaat[[#This Row],[Uitvoeringen werkdagen]]*Ruimtestaat[[#This Row],[Oppervlak (netto)]]</f>
        <v>0</v>
      </c>
      <c r="X605" s="441">
        <f>IF(V605&gt;0,Ruimtestaat[[#This Row],[Prest. (m2 /jaar) werkdagen]]/Ruimtestaat[[#This Row],[Norm (m2/uur) werkdagen]],0)</f>
        <v>0</v>
      </c>
      <c r="Y605" s="442">
        <f>Ruimtestaat[[#This Row],[Uitvoeringen werkdagen]]*Ruimtestaat[[#This Row],[Gedeeltelijk]]</f>
        <v>0</v>
      </c>
      <c r="Z605" s="443">
        <f>IF(U605&gt;0,Ruimtestaat[[#This Row],[Prest. (m2 / jaar) werkdagen gedeeld]]/Ruimtestaat[[#This Row],[Norm (m2/uur) werkdagen]],0)</f>
        <v>0</v>
      </c>
      <c r="AA605" s="441">
        <f>Ruimtestaat[[#This Row],[uren / jaar werkdagen gedeeld]]*Tariefsopbouw!$E$35</f>
        <v>0</v>
      </c>
      <c r="AB605" s="441">
        <f>Ruimtestaat[[#This Row],[Uitvoeringen werkdagen]]*Ruimtestaat[[#This Row],[BSO]]</f>
        <v>0</v>
      </c>
      <c r="AC605" s="443">
        <f>IF(U605&gt;0,Ruimtestaat[[#This Row],[Prest. (m2 / jaar) werkdagen BSO]]/Ruimtestaat[[#This Row],[Norm (m2/uur) werkdagen]],0)</f>
        <v>0</v>
      </c>
      <c r="AD605" s="443">
        <f>Ruimtestaat[[#This Row],[uren / jaar werkdagen BSO]]*Tariefsopbouw!$E$35</f>
        <v>0</v>
      </c>
      <c r="AE605" s="444">
        <f>Ruimtestaat[[#This Row],[uren / jaar werkdagen]]*Tariefsopbouw!$E$35</f>
        <v>0</v>
      </c>
      <c r="AF605" s="454"/>
      <c r="AG605" s="455">
        <f>IF(Ruimtestaat[[#This Row],[Frequentie weekend]]&gt;0,VALUE(LEFT(AF605,1))*S605,0)</f>
        <v>0</v>
      </c>
      <c r="AH605" s="455">
        <f>IF($AG605&gt;0,VLOOKUP($J605,Ruimtegroepen[],3,FALSE)*VLOOKUP($L605,Vloersoorten[],3,FALSE)*VLOOKUP($AF605,Frequenties[],3,FALSE)*VLOOKUP(#REF!,Locaties[],3,FALSE),0)</f>
        <v>0</v>
      </c>
      <c r="AI605" s="434">
        <f>Ruimtestaat[[#This Row],[Uitvoeringen weekend]]*Ruimtestaat[[#This Row],[Oppervlak (netto)]]</f>
        <v>0</v>
      </c>
      <c r="AJ605" s="434">
        <f>IF(AH605&gt;0,Ruimtestaat[[#This Row],[Prest. (m2 /jaar) weekend]]/Ruimtestaat[[#This Row],[Norm (m2/uur) weekend]],0)</f>
        <v>0</v>
      </c>
      <c r="AK605" s="444">
        <f>Ruimtestaat[[#This Row],[uren / jaar weekend]]*Tariefsopbouw!$D$40</f>
        <v>0</v>
      </c>
      <c r="AL605" s="441">
        <f>Ruimtestaat[[#This Row],[Prest. (m2 /jaar) weekend]]+Ruimtestaat[[#This Row],[Prest. (m2 /jaar) werkdagen]]</f>
        <v>0</v>
      </c>
      <c r="AM605" s="441">
        <f>Ruimtestaat[[#This Row],[uren / jaar weekend]]+Ruimtestaat[[#This Row],[uren / jaar werkdagen]]</f>
        <v>0</v>
      </c>
      <c r="AN605" s="446">
        <f>Ruimtestaat[[#This Row],[kosten / jaar weekend]]+Ruimtestaat[[#This Row],[kosten / jaar werkdagen]]</f>
        <v>0</v>
      </c>
      <c r="AO605" s="446"/>
      <c r="AP605" s="446" t="str">
        <f>IF(Ruimtestaat[[#This Row],[Frequentie werkdagen]]="","",_xlfn.CONCAT(Ruimtestaat[[#This Row],[Ruimte code]],"-",Ruimtestaat[[#This Row],[Frequentie werkdagen]]," ",Ruimtestaat[[#This Row],[Vloer code]]))</f>
        <v/>
      </c>
      <c r="AQ605" s="448" t="str">
        <f>_xlfn.IFNA(VLOOKUP($AP605,Programma!$F$3:$G$1101,2,0),"")</f>
        <v/>
      </c>
      <c r="AR605" s="448" t="str">
        <f>_xlfn.IFNA(VLOOKUP($AP605,Programma!$F$3:$H$1101,3,0),"")</f>
        <v/>
      </c>
      <c r="AS605" s="448" t="str">
        <f>_xlfn.IFNA(VLOOKUP($AP605,Programma!$F$3:$I$1101,4,0),"")</f>
        <v/>
      </c>
      <c r="AT605" s="448" t="str">
        <f>_xlfn.IFNA(VLOOKUP($AP605,Programma!$F$3:$J$1101,5,0),"")</f>
        <v/>
      </c>
      <c r="AU605" s="448" t="str">
        <f>_xlfn.IFNA(VLOOKUP($AP605,Programma!$F$3:$K$1101,6,0),"")</f>
        <v/>
      </c>
      <c r="AV605" s="448" t="str">
        <f>_xlfn.IFNA(VLOOKUP($AP605,Programma!$F$3:$L$1101,7,0),"")</f>
        <v/>
      </c>
      <c r="AW605" s="448" t="str">
        <f>_xlfn.IFNA(VLOOKUP($AP605,Programma!$F$3:$M$1101,8,0),"")</f>
        <v/>
      </c>
      <c r="AX605" s="448" t="str">
        <f>_xlfn.IFNA(VLOOKUP($AP605,Programma!$F$3:$N$1101,9,0),"")</f>
        <v/>
      </c>
      <c r="AY605" s="448" t="str">
        <f>_xlfn.IFNA(VLOOKUP($AP605,Programma!$F$3:$O$1101,10,0),"")</f>
        <v/>
      </c>
      <c r="AZ605" s="448" t="str">
        <f>_xlfn.IFNA(VLOOKUP($AP605,Programma!$F$3:$P$1101,11,0),"")</f>
        <v/>
      </c>
      <c r="BA605" s="448" t="str">
        <f>_xlfn.IFNA(VLOOKUP($AP605,Programma!$F$3:$Q$1101,12,0),"")</f>
        <v/>
      </c>
      <c r="BB605" s="448" t="str">
        <f>_xlfn.IFNA(VLOOKUP($AP605,Programma!$F$3:$R$1101,13,0),"")</f>
        <v/>
      </c>
      <c r="BC605" s="448" t="str">
        <f>_xlfn.IFNA(VLOOKUP($AP605,Programma!$F$3:$S$1101,14,0),"")</f>
        <v/>
      </c>
      <c r="BD605" s="448" t="str">
        <f>_xlfn.IFNA(VLOOKUP($AP605,Programma!$F$3:$T$1101,15,0),"")</f>
        <v/>
      </c>
      <c r="BE605" s="448" t="str">
        <f>_xlfn.IFNA(VLOOKUP($AP605,Programma!$F$3:$U$1101,16,0),"")</f>
        <v/>
      </c>
      <c r="BF605" s="448" t="str">
        <f>_xlfn.IFNA(VLOOKUP($AP605,Programma!$F$3:$V$1101,17,0),"")</f>
        <v/>
      </c>
      <c r="BG605" s="448" t="str">
        <f>_xlfn.IFNA(VLOOKUP($AP605,Programma!$F$3:$W$1101,18,0),"")</f>
        <v/>
      </c>
      <c r="BH605" s="448" t="str">
        <f>_xlfn.IFNA(VLOOKUP($AP605,Programma!$F$3:$X$1101,19,0),"")</f>
        <v/>
      </c>
      <c r="BI605" s="448" t="str">
        <f>_xlfn.IFNA(VLOOKUP($AP605,Programma!$F$3:$Y$1101,20,0),"")</f>
        <v/>
      </c>
      <c r="BJ605" s="449"/>
      <c r="BK605" s="446" t="str">
        <f>IF(Ruimtestaat[[#This Row],[Frequentie weekend]]="","",_xlfn.CONCAT(Ruimtestaat[[#This Row],[Ruimte code]],"-",Ruimtestaat[[#This Row],[Frequentie weekend]]," ",Ruimtestaat[[#This Row],[Vloer code]]))</f>
        <v/>
      </c>
      <c r="BL605" s="448" t="str">
        <f>_xlfn.IFNA(VLOOKUP($BK605,Programma!$F$3:$G$1101,2,0),"")</f>
        <v/>
      </c>
      <c r="BM605" s="448" t="str">
        <f>_xlfn.IFNA(VLOOKUP($BK605,Programma!$F$3:$H$1101,3,0),"")</f>
        <v/>
      </c>
      <c r="BN605" s="448" t="str">
        <f>_xlfn.IFNA(VLOOKUP($BK605,Programma!$F$3:$I$1101,4,0),"")</f>
        <v/>
      </c>
      <c r="BO605" s="448" t="str">
        <f>_xlfn.IFNA(VLOOKUP($BK605,Programma!$F$3:$J$1101,5,0),"")</f>
        <v/>
      </c>
      <c r="BP605" s="448" t="str">
        <f>_xlfn.IFNA(VLOOKUP($BK605,Programma!$F$3:$K$1101,6,0),"")</f>
        <v/>
      </c>
      <c r="BQ605" s="448" t="str">
        <f>_xlfn.IFNA(VLOOKUP($BK605,Programma!$F$3:$L$1101,7,0),"")</f>
        <v/>
      </c>
      <c r="BR605" s="448" t="str">
        <f>_xlfn.IFNA(VLOOKUP($BK605,Programma!$F$3:$M$1101,8,0),"")</f>
        <v/>
      </c>
      <c r="BS605" s="448" t="str">
        <f>_xlfn.IFNA(VLOOKUP($BK605,Programma!$F$3:$N$1101,9,0),"")</f>
        <v/>
      </c>
      <c r="BT605" s="448" t="str">
        <f>_xlfn.IFNA(VLOOKUP($BK605,Programma!$F$3:$O$1101,10,0),"")</f>
        <v/>
      </c>
      <c r="BU605" s="448" t="str">
        <f>_xlfn.IFNA(VLOOKUP($BK605,Programma!$F$3:$P$1101,11,0),"")</f>
        <v/>
      </c>
      <c r="BV605" s="448" t="str">
        <f>_xlfn.IFNA(VLOOKUP($BK605,Programma!$F$3:$Q$1101,12,0),"")</f>
        <v/>
      </c>
      <c r="BW605" s="448" t="str">
        <f>_xlfn.IFNA(VLOOKUP($BK605,Programma!$F$3:$R$1101,13,0),"")</f>
        <v/>
      </c>
      <c r="BX605" s="448" t="str">
        <f>_xlfn.IFNA(VLOOKUP($BK605,Programma!$F$3:$S$1101,14,0),"")</f>
        <v/>
      </c>
      <c r="BY605" s="448" t="str">
        <f>_xlfn.IFNA(VLOOKUP($BK605,Programma!$F$3:$T$1101,15,0),"")</f>
        <v/>
      </c>
      <c r="BZ605" s="448" t="str">
        <f>_xlfn.IFNA(VLOOKUP($BK605,Programma!$F$3:$U$1101,16,0),"")</f>
        <v/>
      </c>
      <c r="CA605" s="448" t="str">
        <f>_xlfn.IFNA(VLOOKUP($BK605,Programma!$F$3:$V$1101,17,0),"")</f>
        <v/>
      </c>
      <c r="CB605" s="448" t="str">
        <f>_xlfn.IFNA(VLOOKUP($BK605,Programma!$F$3:$W$1101,18,0),"")</f>
        <v/>
      </c>
      <c r="CC605" s="448" t="str">
        <f>_xlfn.IFNA(VLOOKUP($BK605,Programma!$F$3:$X$1101,19,0),"")</f>
        <v/>
      </c>
      <c r="CD605" s="448" t="str">
        <f>_xlfn.IFNA(VLOOKUP($BK605,Programma!$F$3:$Y$1101,20,0),"")</f>
        <v/>
      </c>
    </row>
    <row r="606" spans="1:82" ht="15" customHeight="1">
      <c r="A606" s="327">
        <v>21</v>
      </c>
      <c r="B606" s="435" t="str">
        <f>VLOOKUP(Ruimtestaat[[#This Row],[Code]],Locaties[[Code]:[Locatie]],2,FALSE)</f>
        <v>IKC De  Leerplaneet (bijgebouw)</v>
      </c>
      <c r="C606" s="435" t="str">
        <f>VLOOKUP(Ruimtestaat[[#This Row],[Code]],Locaties[[#All],[Code]:[Adres]],4,FALSE)</f>
        <v>Nesciohove 105-107</v>
      </c>
      <c r="D606" s="435" t="str">
        <f>VLOOKUP(Ruimtestaat[[#This Row],[Code]],Locaties[[#All],[Code]:[Postcode]],5,FALSE)</f>
        <v>2716 BL</v>
      </c>
      <c r="E606" s="435" t="str">
        <f>VLOOKUP(Ruimtestaat[[#This Row],[Code]],Locaties[#All],6,FALSE)</f>
        <v>Zoetermeer</v>
      </c>
      <c r="F606" s="450"/>
      <c r="H606" s="330" t="s">
        <v>1762</v>
      </c>
      <c r="I606" s="450" t="s">
        <v>1955</v>
      </c>
      <c r="J606" s="330">
        <v>20</v>
      </c>
      <c r="K606" s="450" t="str">
        <f>VLOOKUP(Ruimtestaat[[#This Row],[Ruimte code]],Ruimtegroepen[[#All],[Code]:[Ruimte omschrijving]],2,FALSE)</f>
        <v>Niet in Onderhoud</v>
      </c>
      <c r="L606" s="434" t="s">
        <v>100</v>
      </c>
      <c r="M606" s="437" t="s">
        <v>1759</v>
      </c>
      <c r="N606" s="439"/>
      <c r="O606" s="439">
        <v>72</v>
      </c>
      <c r="P606" s="439"/>
      <c r="Q606" s="439"/>
      <c r="R606" s="440">
        <f>VLOOKUP(Ruimtestaat[[#This Row],[Ruimte code]],Ruimtegroepen[],4,FALSE)</f>
        <v>0</v>
      </c>
      <c r="S606" s="434"/>
      <c r="T606" s="434"/>
      <c r="U606" s="453">
        <f>IF(S606&gt;0,IF(RIGHT(Ruimtestaat[[#This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06" s="434">
        <f>IF(U606&gt;0,VLOOKUP($J606,Ruimtegroepen[],3,FALSE)*VLOOKUP($L606,Vloersoorten[],3,FALSE)*VLOOKUP($T606,Frequenties[],3,FALSE)*VLOOKUP($A606,Locaties[],3,FALSE),0)</f>
        <v>0</v>
      </c>
      <c r="W606" s="434">
        <f>Ruimtestaat[[#This Row],[Uitvoeringen werkdagen]]*Ruimtestaat[[#This Row],[Oppervlak (netto)]]</f>
        <v>0</v>
      </c>
      <c r="X606" s="441">
        <f>IF(V606&gt;0,Ruimtestaat[[#This Row],[Prest. (m2 /jaar) werkdagen]]/Ruimtestaat[[#This Row],[Norm (m2/uur) werkdagen]],0)</f>
        <v>0</v>
      </c>
      <c r="Y606" s="442">
        <f>Ruimtestaat[[#This Row],[Uitvoeringen werkdagen]]*Ruimtestaat[[#This Row],[Gedeeltelijk]]</f>
        <v>0</v>
      </c>
      <c r="Z606" s="443">
        <f>IF(U606&gt;0,Ruimtestaat[[#This Row],[Prest. (m2 / jaar) werkdagen gedeeld]]/Ruimtestaat[[#This Row],[Norm (m2/uur) werkdagen]],0)</f>
        <v>0</v>
      </c>
      <c r="AA606" s="441">
        <f>Ruimtestaat[[#This Row],[uren / jaar werkdagen gedeeld]]*Tariefsopbouw!$E$35</f>
        <v>0</v>
      </c>
      <c r="AB606" s="441">
        <f>Ruimtestaat[[#This Row],[Uitvoeringen werkdagen]]*Ruimtestaat[[#This Row],[BSO]]</f>
        <v>0</v>
      </c>
      <c r="AC606" s="443">
        <f>IF(U606&gt;0,Ruimtestaat[[#This Row],[Prest. (m2 / jaar) werkdagen BSO]]/Ruimtestaat[[#This Row],[Norm (m2/uur) werkdagen]],0)</f>
        <v>0</v>
      </c>
      <c r="AD606" s="443">
        <f>Ruimtestaat[[#This Row],[uren / jaar werkdagen BSO]]*Tariefsopbouw!$E$35</f>
        <v>0</v>
      </c>
      <c r="AE606" s="444">
        <f>Ruimtestaat[[#This Row],[uren / jaar werkdagen]]*Tariefsopbouw!$E$35</f>
        <v>0</v>
      </c>
      <c r="AF606" s="454"/>
      <c r="AG606" s="455">
        <f>IF(Ruimtestaat[[#This Row],[Frequentie weekend]]&gt;0,VALUE(LEFT(AF606,1))*S606,0)</f>
        <v>0</v>
      </c>
      <c r="AH606" s="455">
        <f>IF($AG606&gt;0,VLOOKUP($J606,Ruimtegroepen[],3,FALSE)*VLOOKUP($L606,Vloersoorten[],3,FALSE)*VLOOKUP($AF606,Frequenties[],3,FALSE)*VLOOKUP(#REF!,Locaties[],3,FALSE),0)</f>
        <v>0</v>
      </c>
      <c r="AI606" s="434">
        <f>Ruimtestaat[[#This Row],[Uitvoeringen weekend]]*Ruimtestaat[[#This Row],[Oppervlak (netto)]]</f>
        <v>0</v>
      </c>
      <c r="AJ606" s="434">
        <f>IF(AH606&gt;0,Ruimtestaat[[#This Row],[Prest. (m2 /jaar) weekend]]/Ruimtestaat[[#This Row],[Norm (m2/uur) weekend]],0)</f>
        <v>0</v>
      </c>
      <c r="AK606" s="444">
        <f>Ruimtestaat[[#This Row],[uren / jaar weekend]]*Tariefsopbouw!$D$40</f>
        <v>0</v>
      </c>
      <c r="AL606" s="441">
        <f>Ruimtestaat[[#This Row],[Prest. (m2 /jaar) weekend]]+Ruimtestaat[[#This Row],[Prest. (m2 /jaar) werkdagen]]</f>
        <v>0</v>
      </c>
      <c r="AM606" s="441">
        <f>Ruimtestaat[[#This Row],[uren / jaar weekend]]+Ruimtestaat[[#This Row],[uren / jaar werkdagen]]</f>
        <v>0</v>
      </c>
      <c r="AN606" s="446">
        <f>Ruimtestaat[[#This Row],[kosten / jaar weekend]]+Ruimtestaat[[#This Row],[kosten / jaar werkdagen]]</f>
        <v>0</v>
      </c>
      <c r="AO606" s="446"/>
      <c r="AP606" s="446" t="str">
        <f>IF(Ruimtestaat[[#This Row],[Frequentie werkdagen]]="","",_xlfn.CONCAT(Ruimtestaat[[#This Row],[Ruimte code]],"-",Ruimtestaat[[#This Row],[Frequentie werkdagen]]," ",Ruimtestaat[[#This Row],[Vloer code]]))</f>
        <v/>
      </c>
      <c r="AQ606" s="448" t="str">
        <f>_xlfn.IFNA(VLOOKUP($AP606,Programma!$F$3:$G$1101,2,0),"")</f>
        <v/>
      </c>
      <c r="AR606" s="448" t="str">
        <f>_xlfn.IFNA(VLOOKUP($AP606,Programma!$F$3:$H$1101,3,0),"")</f>
        <v/>
      </c>
      <c r="AS606" s="448" t="str">
        <f>_xlfn.IFNA(VLOOKUP($AP606,Programma!$F$3:$I$1101,4,0),"")</f>
        <v/>
      </c>
      <c r="AT606" s="448" t="str">
        <f>_xlfn.IFNA(VLOOKUP($AP606,Programma!$F$3:$J$1101,5,0),"")</f>
        <v/>
      </c>
      <c r="AU606" s="448" t="str">
        <f>_xlfn.IFNA(VLOOKUP($AP606,Programma!$F$3:$K$1101,6,0),"")</f>
        <v/>
      </c>
      <c r="AV606" s="448" t="str">
        <f>_xlfn.IFNA(VLOOKUP($AP606,Programma!$F$3:$L$1101,7,0),"")</f>
        <v/>
      </c>
      <c r="AW606" s="448" t="str">
        <f>_xlfn.IFNA(VLOOKUP($AP606,Programma!$F$3:$M$1101,8,0),"")</f>
        <v/>
      </c>
      <c r="AX606" s="448" t="str">
        <f>_xlfn.IFNA(VLOOKUP($AP606,Programma!$F$3:$N$1101,9,0),"")</f>
        <v/>
      </c>
      <c r="AY606" s="448" t="str">
        <f>_xlfn.IFNA(VLOOKUP($AP606,Programma!$F$3:$O$1101,10,0),"")</f>
        <v/>
      </c>
      <c r="AZ606" s="448" t="str">
        <f>_xlfn.IFNA(VLOOKUP($AP606,Programma!$F$3:$P$1101,11,0),"")</f>
        <v/>
      </c>
      <c r="BA606" s="448" t="str">
        <f>_xlfn.IFNA(VLOOKUP($AP606,Programma!$F$3:$Q$1101,12,0),"")</f>
        <v/>
      </c>
      <c r="BB606" s="448" t="str">
        <f>_xlfn.IFNA(VLOOKUP($AP606,Programma!$F$3:$R$1101,13,0),"")</f>
        <v/>
      </c>
      <c r="BC606" s="448" t="str">
        <f>_xlfn.IFNA(VLOOKUP($AP606,Programma!$F$3:$S$1101,14,0),"")</f>
        <v/>
      </c>
      <c r="BD606" s="448" t="str">
        <f>_xlfn.IFNA(VLOOKUP($AP606,Programma!$F$3:$T$1101,15,0),"")</f>
        <v/>
      </c>
      <c r="BE606" s="448" t="str">
        <f>_xlfn.IFNA(VLOOKUP($AP606,Programma!$F$3:$U$1101,16,0),"")</f>
        <v/>
      </c>
      <c r="BF606" s="448" t="str">
        <f>_xlfn.IFNA(VLOOKUP($AP606,Programma!$F$3:$V$1101,17,0),"")</f>
        <v/>
      </c>
      <c r="BG606" s="448" t="str">
        <f>_xlfn.IFNA(VLOOKUP($AP606,Programma!$F$3:$W$1101,18,0),"")</f>
        <v/>
      </c>
      <c r="BH606" s="448" t="str">
        <f>_xlfn.IFNA(VLOOKUP($AP606,Programma!$F$3:$X$1101,19,0),"")</f>
        <v/>
      </c>
      <c r="BI606" s="448" t="str">
        <f>_xlfn.IFNA(VLOOKUP($AP606,Programma!$F$3:$Y$1101,20,0),"")</f>
        <v/>
      </c>
      <c r="BJ606" s="449"/>
      <c r="BK606" s="446" t="str">
        <f>IF(Ruimtestaat[[#This Row],[Frequentie weekend]]="","",_xlfn.CONCAT(Ruimtestaat[[#This Row],[Ruimte code]],"-",Ruimtestaat[[#This Row],[Frequentie weekend]]," ",Ruimtestaat[[#This Row],[Vloer code]]))</f>
        <v/>
      </c>
      <c r="BL606" s="448" t="str">
        <f>_xlfn.IFNA(VLOOKUP($BK606,Programma!$F$3:$G$1101,2,0),"")</f>
        <v/>
      </c>
      <c r="BM606" s="448" t="str">
        <f>_xlfn.IFNA(VLOOKUP($BK606,Programma!$F$3:$H$1101,3,0),"")</f>
        <v/>
      </c>
      <c r="BN606" s="448" t="str">
        <f>_xlfn.IFNA(VLOOKUP($BK606,Programma!$F$3:$I$1101,4,0),"")</f>
        <v/>
      </c>
      <c r="BO606" s="448" t="str">
        <f>_xlfn.IFNA(VLOOKUP($BK606,Programma!$F$3:$J$1101,5,0),"")</f>
        <v/>
      </c>
      <c r="BP606" s="448" t="str">
        <f>_xlfn.IFNA(VLOOKUP($BK606,Programma!$F$3:$K$1101,6,0),"")</f>
        <v/>
      </c>
      <c r="BQ606" s="448" t="str">
        <f>_xlfn.IFNA(VLOOKUP($BK606,Programma!$F$3:$L$1101,7,0),"")</f>
        <v/>
      </c>
      <c r="BR606" s="448" t="str">
        <f>_xlfn.IFNA(VLOOKUP($BK606,Programma!$F$3:$M$1101,8,0),"")</f>
        <v/>
      </c>
      <c r="BS606" s="448" t="str">
        <f>_xlfn.IFNA(VLOOKUP($BK606,Programma!$F$3:$N$1101,9,0),"")</f>
        <v/>
      </c>
      <c r="BT606" s="448" t="str">
        <f>_xlfn.IFNA(VLOOKUP($BK606,Programma!$F$3:$O$1101,10,0),"")</f>
        <v/>
      </c>
      <c r="BU606" s="448" t="str">
        <f>_xlfn.IFNA(VLOOKUP($BK606,Programma!$F$3:$P$1101,11,0),"")</f>
        <v/>
      </c>
      <c r="BV606" s="448" t="str">
        <f>_xlfn.IFNA(VLOOKUP($BK606,Programma!$F$3:$Q$1101,12,0),"")</f>
        <v/>
      </c>
      <c r="BW606" s="448" t="str">
        <f>_xlfn.IFNA(VLOOKUP($BK606,Programma!$F$3:$R$1101,13,0),"")</f>
        <v/>
      </c>
      <c r="BX606" s="448" t="str">
        <f>_xlfn.IFNA(VLOOKUP($BK606,Programma!$F$3:$S$1101,14,0),"")</f>
        <v/>
      </c>
      <c r="BY606" s="448" t="str">
        <f>_xlfn.IFNA(VLOOKUP($BK606,Programma!$F$3:$T$1101,15,0),"")</f>
        <v/>
      </c>
      <c r="BZ606" s="448" t="str">
        <f>_xlfn.IFNA(VLOOKUP($BK606,Programma!$F$3:$U$1101,16,0),"")</f>
        <v/>
      </c>
      <c r="CA606" s="448" t="str">
        <f>_xlfn.IFNA(VLOOKUP($BK606,Programma!$F$3:$V$1101,17,0),"")</f>
        <v/>
      </c>
      <c r="CB606" s="448" t="str">
        <f>_xlfn.IFNA(VLOOKUP($BK606,Programma!$F$3:$W$1101,18,0),"")</f>
        <v/>
      </c>
      <c r="CC606" s="448" t="str">
        <f>_xlfn.IFNA(VLOOKUP($BK606,Programma!$F$3:$X$1101,19,0),"")</f>
        <v/>
      </c>
      <c r="CD606" s="448" t="str">
        <f>_xlfn.IFNA(VLOOKUP($BK606,Programma!$F$3:$Y$1101,20,0),"")</f>
        <v/>
      </c>
    </row>
    <row r="607" spans="1:82" ht="15" customHeight="1">
      <c r="A607" s="327">
        <v>21</v>
      </c>
      <c r="B607" s="435" t="str">
        <f>VLOOKUP(Ruimtestaat[[#This Row],[Code]],Locaties[[Code]:[Locatie]],2,FALSE)</f>
        <v>IKC De  Leerplaneet (bijgebouw)</v>
      </c>
      <c r="C607" s="435" t="str">
        <f>VLOOKUP(Ruimtestaat[[#This Row],[Code]],Locaties[[#All],[Code]:[Adres]],4,FALSE)</f>
        <v>Nesciohove 105-107</v>
      </c>
      <c r="D607" s="435" t="str">
        <f>VLOOKUP(Ruimtestaat[[#This Row],[Code]],Locaties[[#All],[Code]:[Postcode]],5,FALSE)</f>
        <v>2716 BL</v>
      </c>
      <c r="E607" s="435" t="str">
        <f>VLOOKUP(Ruimtestaat[[#This Row],[Code]],Locaties[#All],6,FALSE)</f>
        <v>Zoetermeer</v>
      </c>
      <c r="F607" s="450"/>
      <c r="H607" s="330" t="s">
        <v>1763</v>
      </c>
      <c r="I607" s="450" t="s">
        <v>1720</v>
      </c>
      <c r="J607" s="330">
        <v>20</v>
      </c>
      <c r="K607" s="450" t="str">
        <f>VLOOKUP(Ruimtestaat[[#This Row],[Ruimte code]],Ruimtegroepen[[#All],[Code]:[Ruimte omschrijving]],2,FALSE)</f>
        <v>Niet in Onderhoud</v>
      </c>
      <c r="L607" s="330" t="s">
        <v>101</v>
      </c>
      <c r="M607" s="437" t="s">
        <v>119</v>
      </c>
      <c r="N607" s="439"/>
      <c r="O607" s="439">
        <v>7</v>
      </c>
      <c r="P607" s="439"/>
      <c r="Q607" s="439"/>
      <c r="R607" s="440">
        <f>VLOOKUP(Ruimtestaat[[#This Row],[Ruimte code]],Ruimtegroepen[],4,FALSE)</f>
        <v>0</v>
      </c>
      <c r="S607" s="434"/>
      <c r="T607" s="434"/>
      <c r="U607" s="453">
        <f>IF(S607&gt;0,IF(RIGHT(Ruimtestaat[[#This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07" s="434">
        <f>IF(U607&gt;0,VLOOKUP($J607,Ruimtegroepen[],3,FALSE)*VLOOKUP($L607,Vloersoorten[],3,FALSE)*VLOOKUP($T607,Frequenties[],3,FALSE)*VLOOKUP($A607,Locaties[],3,FALSE),0)</f>
        <v>0</v>
      </c>
      <c r="W607" s="434">
        <f>Ruimtestaat[[#This Row],[Uitvoeringen werkdagen]]*Ruimtestaat[[#This Row],[Oppervlak (netto)]]</f>
        <v>0</v>
      </c>
      <c r="X607" s="441">
        <f>IF(V607&gt;0,Ruimtestaat[[#This Row],[Prest. (m2 /jaar) werkdagen]]/Ruimtestaat[[#This Row],[Norm (m2/uur) werkdagen]],0)</f>
        <v>0</v>
      </c>
      <c r="Y607" s="442">
        <f>Ruimtestaat[[#This Row],[Uitvoeringen werkdagen]]*Ruimtestaat[[#This Row],[Gedeeltelijk]]</f>
        <v>0</v>
      </c>
      <c r="Z607" s="443">
        <f>IF(U607&gt;0,Ruimtestaat[[#This Row],[Prest. (m2 / jaar) werkdagen gedeeld]]/Ruimtestaat[[#This Row],[Norm (m2/uur) werkdagen]],0)</f>
        <v>0</v>
      </c>
      <c r="AA607" s="441">
        <f>Ruimtestaat[[#This Row],[uren / jaar werkdagen gedeeld]]*Tariefsopbouw!$E$35</f>
        <v>0</v>
      </c>
      <c r="AB607" s="441">
        <f>Ruimtestaat[[#This Row],[Uitvoeringen werkdagen]]*Ruimtestaat[[#This Row],[BSO]]</f>
        <v>0</v>
      </c>
      <c r="AC607" s="443">
        <f>IF(U607&gt;0,Ruimtestaat[[#This Row],[Prest. (m2 / jaar) werkdagen BSO]]/Ruimtestaat[[#This Row],[Norm (m2/uur) werkdagen]],0)</f>
        <v>0</v>
      </c>
      <c r="AD607" s="443">
        <f>Ruimtestaat[[#This Row],[uren / jaar werkdagen BSO]]*Tariefsopbouw!$E$35</f>
        <v>0</v>
      </c>
      <c r="AE607" s="444">
        <f>Ruimtestaat[[#This Row],[uren / jaar werkdagen]]*Tariefsopbouw!$E$35</f>
        <v>0</v>
      </c>
      <c r="AF607" s="454"/>
      <c r="AG607" s="455">
        <f>IF(Ruimtestaat[[#This Row],[Frequentie weekend]]&gt;0,VALUE(LEFT(AF607,1))*S607,0)</f>
        <v>0</v>
      </c>
      <c r="AH607" s="455">
        <f>IF($AG607&gt;0,VLOOKUP($J607,Ruimtegroepen[],3,FALSE)*VLOOKUP($L607,Vloersoorten[],3,FALSE)*VLOOKUP($AF607,Frequenties[],3,FALSE)*VLOOKUP(#REF!,Locaties[],3,FALSE),0)</f>
        <v>0</v>
      </c>
      <c r="AI607" s="434">
        <f>Ruimtestaat[[#This Row],[Uitvoeringen weekend]]*Ruimtestaat[[#This Row],[Oppervlak (netto)]]</f>
        <v>0</v>
      </c>
      <c r="AJ607" s="434">
        <f>IF(AH607&gt;0,Ruimtestaat[[#This Row],[Prest. (m2 /jaar) weekend]]/Ruimtestaat[[#This Row],[Norm (m2/uur) weekend]],0)</f>
        <v>0</v>
      </c>
      <c r="AK607" s="444">
        <f>Ruimtestaat[[#This Row],[uren / jaar weekend]]*Tariefsopbouw!$D$40</f>
        <v>0</v>
      </c>
      <c r="AL607" s="441">
        <f>Ruimtestaat[[#This Row],[Prest. (m2 /jaar) weekend]]+Ruimtestaat[[#This Row],[Prest. (m2 /jaar) werkdagen]]</f>
        <v>0</v>
      </c>
      <c r="AM607" s="441">
        <f>Ruimtestaat[[#This Row],[uren / jaar weekend]]+Ruimtestaat[[#This Row],[uren / jaar werkdagen]]</f>
        <v>0</v>
      </c>
      <c r="AN607" s="446">
        <f>Ruimtestaat[[#This Row],[kosten / jaar weekend]]+Ruimtestaat[[#This Row],[kosten / jaar werkdagen]]</f>
        <v>0</v>
      </c>
      <c r="AO607" s="446"/>
      <c r="AP607" s="446" t="str">
        <f>IF(Ruimtestaat[[#This Row],[Frequentie werkdagen]]="","",_xlfn.CONCAT(Ruimtestaat[[#This Row],[Ruimte code]],"-",Ruimtestaat[[#This Row],[Frequentie werkdagen]]," ",Ruimtestaat[[#This Row],[Vloer code]]))</f>
        <v/>
      </c>
      <c r="AQ607" s="448" t="str">
        <f>_xlfn.IFNA(VLOOKUP($AP607,Programma!$F$3:$G$1101,2,0),"")</f>
        <v/>
      </c>
      <c r="AR607" s="448" t="str">
        <f>_xlfn.IFNA(VLOOKUP($AP607,Programma!$F$3:$H$1101,3,0),"")</f>
        <v/>
      </c>
      <c r="AS607" s="448" t="str">
        <f>_xlfn.IFNA(VLOOKUP($AP607,Programma!$F$3:$I$1101,4,0),"")</f>
        <v/>
      </c>
      <c r="AT607" s="448" t="str">
        <f>_xlfn.IFNA(VLOOKUP($AP607,Programma!$F$3:$J$1101,5,0),"")</f>
        <v/>
      </c>
      <c r="AU607" s="448" t="str">
        <f>_xlfn.IFNA(VLOOKUP($AP607,Programma!$F$3:$K$1101,6,0),"")</f>
        <v/>
      </c>
      <c r="AV607" s="448" t="str">
        <f>_xlfn.IFNA(VLOOKUP($AP607,Programma!$F$3:$L$1101,7,0),"")</f>
        <v/>
      </c>
      <c r="AW607" s="448" t="str">
        <f>_xlfn.IFNA(VLOOKUP($AP607,Programma!$F$3:$M$1101,8,0),"")</f>
        <v/>
      </c>
      <c r="AX607" s="448" t="str">
        <f>_xlfn.IFNA(VLOOKUP($AP607,Programma!$F$3:$N$1101,9,0),"")</f>
        <v/>
      </c>
      <c r="AY607" s="448" t="str">
        <f>_xlfn.IFNA(VLOOKUP($AP607,Programma!$F$3:$O$1101,10,0),"")</f>
        <v/>
      </c>
      <c r="AZ607" s="448" t="str">
        <f>_xlfn.IFNA(VLOOKUP($AP607,Programma!$F$3:$P$1101,11,0),"")</f>
        <v/>
      </c>
      <c r="BA607" s="448" t="str">
        <f>_xlfn.IFNA(VLOOKUP($AP607,Programma!$F$3:$Q$1101,12,0),"")</f>
        <v/>
      </c>
      <c r="BB607" s="448" t="str">
        <f>_xlfn.IFNA(VLOOKUP($AP607,Programma!$F$3:$R$1101,13,0),"")</f>
        <v/>
      </c>
      <c r="BC607" s="448" t="str">
        <f>_xlfn.IFNA(VLOOKUP($AP607,Programma!$F$3:$S$1101,14,0),"")</f>
        <v/>
      </c>
      <c r="BD607" s="448" t="str">
        <f>_xlfn.IFNA(VLOOKUP($AP607,Programma!$F$3:$T$1101,15,0),"")</f>
        <v/>
      </c>
      <c r="BE607" s="448" t="str">
        <f>_xlfn.IFNA(VLOOKUP($AP607,Programma!$F$3:$U$1101,16,0),"")</f>
        <v/>
      </c>
      <c r="BF607" s="448" t="str">
        <f>_xlfn.IFNA(VLOOKUP($AP607,Programma!$F$3:$V$1101,17,0),"")</f>
        <v/>
      </c>
      <c r="BG607" s="448" t="str">
        <f>_xlfn.IFNA(VLOOKUP($AP607,Programma!$F$3:$W$1101,18,0),"")</f>
        <v/>
      </c>
      <c r="BH607" s="448" t="str">
        <f>_xlfn.IFNA(VLOOKUP($AP607,Programma!$F$3:$X$1101,19,0),"")</f>
        <v/>
      </c>
      <c r="BI607" s="448" t="str">
        <f>_xlfn.IFNA(VLOOKUP($AP607,Programma!$F$3:$Y$1101,20,0),"")</f>
        <v/>
      </c>
      <c r="BJ607" s="449"/>
      <c r="BK607" s="446" t="str">
        <f>IF(Ruimtestaat[[#This Row],[Frequentie weekend]]="","",_xlfn.CONCAT(Ruimtestaat[[#This Row],[Ruimte code]],"-",Ruimtestaat[[#This Row],[Frequentie weekend]]," ",Ruimtestaat[[#This Row],[Vloer code]]))</f>
        <v/>
      </c>
      <c r="BL607" s="448" t="str">
        <f>_xlfn.IFNA(VLOOKUP($BK607,Programma!$F$3:$G$1101,2,0),"")</f>
        <v/>
      </c>
      <c r="BM607" s="448" t="str">
        <f>_xlfn.IFNA(VLOOKUP($BK607,Programma!$F$3:$H$1101,3,0),"")</f>
        <v/>
      </c>
      <c r="BN607" s="448" t="str">
        <f>_xlfn.IFNA(VLOOKUP($BK607,Programma!$F$3:$I$1101,4,0),"")</f>
        <v/>
      </c>
      <c r="BO607" s="448" t="str">
        <f>_xlfn.IFNA(VLOOKUP($BK607,Programma!$F$3:$J$1101,5,0),"")</f>
        <v/>
      </c>
      <c r="BP607" s="448" t="str">
        <f>_xlfn.IFNA(VLOOKUP($BK607,Programma!$F$3:$K$1101,6,0),"")</f>
        <v/>
      </c>
      <c r="BQ607" s="448" t="str">
        <f>_xlfn.IFNA(VLOOKUP($BK607,Programma!$F$3:$L$1101,7,0),"")</f>
        <v/>
      </c>
      <c r="BR607" s="448" t="str">
        <f>_xlfn.IFNA(VLOOKUP($BK607,Programma!$F$3:$M$1101,8,0),"")</f>
        <v/>
      </c>
      <c r="BS607" s="448" t="str">
        <f>_xlfn.IFNA(VLOOKUP($BK607,Programma!$F$3:$N$1101,9,0),"")</f>
        <v/>
      </c>
      <c r="BT607" s="448" t="str">
        <f>_xlfn.IFNA(VLOOKUP($BK607,Programma!$F$3:$O$1101,10,0),"")</f>
        <v/>
      </c>
      <c r="BU607" s="448" t="str">
        <f>_xlfn.IFNA(VLOOKUP($BK607,Programma!$F$3:$P$1101,11,0),"")</f>
        <v/>
      </c>
      <c r="BV607" s="448" t="str">
        <f>_xlfn.IFNA(VLOOKUP($BK607,Programma!$F$3:$Q$1101,12,0),"")</f>
        <v/>
      </c>
      <c r="BW607" s="448" t="str">
        <f>_xlfn.IFNA(VLOOKUP($BK607,Programma!$F$3:$R$1101,13,0),"")</f>
        <v/>
      </c>
      <c r="BX607" s="448" t="str">
        <f>_xlfn.IFNA(VLOOKUP($BK607,Programma!$F$3:$S$1101,14,0),"")</f>
        <v/>
      </c>
      <c r="BY607" s="448" t="str">
        <f>_xlfn.IFNA(VLOOKUP($BK607,Programma!$F$3:$T$1101,15,0),"")</f>
        <v/>
      </c>
      <c r="BZ607" s="448" t="str">
        <f>_xlfn.IFNA(VLOOKUP($BK607,Programma!$F$3:$U$1101,16,0),"")</f>
        <v/>
      </c>
      <c r="CA607" s="448" t="str">
        <f>_xlfn.IFNA(VLOOKUP($BK607,Programma!$F$3:$V$1101,17,0),"")</f>
        <v/>
      </c>
      <c r="CB607" s="448" t="str">
        <f>_xlfn.IFNA(VLOOKUP($BK607,Programma!$F$3:$W$1101,18,0),"")</f>
        <v/>
      </c>
      <c r="CC607" s="448" t="str">
        <f>_xlfn.IFNA(VLOOKUP($BK607,Programma!$F$3:$X$1101,19,0),"")</f>
        <v/>
      </c>
      <c r="CD607" s="448" t="str">
        <f>_xlfn.IFNA(VLOOKUP($BK607,Programma!$F$3:$Y$1101,20,0),"")</f>
        <v/>
      </c>
    </row>
    <row r="608" spans="1:82" ht="15" customHeight="1">
      <c r="A608" s="327">
        <v>21</v>
      </c>
      <c r="B608" s="435" t="str">
        <f>VLOOKUP(Ruimtestaat[[#This Row],[Code]],Locaties[[Code]:[Locatie]],2,FALSE)</f>
        <v>IKC De  Leerplaneet (bijgebouw)</v>
      </c>
      <c r="C608" s="435" t="str">
        <f>VLOOKUP(Ruimtestaat[[#This Row],[Code]],Locaties[[#All],[Code]:[Adres]],4,FALSE)</f>
        <v>Nesciohove 105-107</v>
      </c>
      <c r="D608" s="435" t="str">
        <f>VLOOKUP(Ruimtestaat[[#This Row],[Code]],Locaties[[#All],[Code]:[Postcode]],5,FALSE)</f>
        <v>2716 BL</v>
      </c>
      <c r="E608" s="435" t="str">
        <f>VLOOKUP(Ruimtestaat[[#This Row],[Code]],Locaties[#All],6,FALSE)</f>
        <v>Zoetermeer</v>
      </c>
      <c r="F608" s="450"/>
      <c r="H608" s="330" t="s">
        <v>1764</v>
      </c>
      <c r="I608" s="450" t="s">
        <v>1720</v>
      </c>
      <c r="J608" s="330">
        <v>20</v>
      </c>
      <c r="K608" s="450" t="str">
        <f>VLOOKUP(Ruimtestaat[[#This Row],[Ruimte code]],Ruimtegroepen[[#All],[Code]:[Ruimte omschrijving]],2,FALSE)</f>
        <v>Niet in Onderhoud</v>
      </c>
      <c r="L608" s="330" t="s">
        <v>101</v>
      </c>
      <c r="M608" s="437" t="s">
        <v>119</v>
      </c>
      <c r="N608" s="439"/>
      <c r="O608" s="439">
        <v>7</v>
      </c>
      <c r="P608" s="439"/>
      <c r="Q608" s="439"/>
      <c r="R608" s="440">
        <f>VLOOKUP(Ruimtestaat[[#This Row],[Ruimte code]],Ruimtegroepen[],4,FALSE)</f>
        <v>0</v>
      </c>
      <c r="S608" s="434"/>
      <c r="T608" s="434"/>
      <c r="U608" s="453">
        <f>IF(S608&gt;0,IF(RIGHT(Ruimtestaat[[#This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08" s="434">
        <f>IF(U608&gt;0,VLOOKUP($J608,Ruimtegroepen[],3,FALSE)*VLOOKUP($L608,Vloersoorten[],3,FALSE)*VLOOKUP($T608,Frequenties[],3,FALSE)*VLOOKUP($A608,Locaties[],3,FALSE),0)</f>
        <v>0</v>
      </c>
      <c r="W608" s="434">
        <f>Ruimtestaat[[#This Row],[Uitvoeringen werkdagen]]*Ruimtestaat[[#This Row],[Oppervlak (netto)]]</f>
        <v>0</v>
      </c>
      <c r="X608" s="441">
        <f>IF(V608&gt;0,Ruimtestaat[[#This Row],[Prest. (m2 /jaar) werkdagen]]/Ruimtestaat[[#This Row],[Norm (m2/uur) werkdagen]],0)</f>
        <v>0</v>
      </c>
      <c r="Y608" s="442">
        <f>Ruimtestaat[[#This Row],[Uitvoeringen werkdagen]]*Ruimtestaat[[#This Row],[Gedeeltelijk]]</f>
        <v>0</v>
      </c>
      <c r="Z608" s="443">
        <f>IF(U608&gt;0,Ruimtestaat[[#This Row],[Prest. (m2 / jaar) werkdagen gedeeld]]/Ruimtestaat[[#This Row],[Norm (m2/uur) werkdagen]],0)</f>
        <v>0</v>
      </c>
      <c r="AA608" s="441">
        <f>Ruimtestaat[[#This Row],[uren / jaar werkdagen gedeeld]]*Tariefsopbouw!$E$35</f>
        <v>0</v>
      </c>
      <c r="AB608" s="441">
        <f>Ruimtestaat[[#This Row],[Uitvoeringen werkdagen]]*Ruimtestaat[[#This Row],[BSO]]</f>
        <v>0</v>
      </c>
      <c r="AC608" s="443">
        <f>IF(U608&gt;0,Ruimtestaat[[#This Row],[Prest. (m2 / jaar) werkdagen BSO]]/Ruimtestaat[[#This Row],[Norm (m2/uur) werkdagen]],0)</f>
        <v>0</v>
      </c>
      <c r="AD608" s="443">
        <f>Ruimtestaat[[#This Row],[uren / jaar werkdagen BSO]]*Tariefsopbouw!$E$35</f>
        <v>0</v>
      </c>
      <c r="AE608" s="444">
        <f>Ruimtestaat[[#This Row],[uren / jaar werkdagen]]*Tariefsopbouw!$E$35</f>
        <v>0</v>
      </c>
      <c r="AF608" s="454"/>
      <c r="AG608" s="455">
        <f>IF(Ruimtestaat[[#This Row],[Frequentie weekend]]&gt;0,VALUE(LEFT(AF608,1))*S608,0)</f>
        <v>0</v>
      </c>
      <c r="AH608" s="455">
        <f>IF($AG608&gt;0,VLOOKUP($J608,Ruimtegroepen[],3,FALSE)*VLOOKUP($L608,Vloersoorten[],3,FALSE)*VLOOKUP($AF608,Frequenties[],3,FALSE)*VLOOKUP(#REF!,Locaties[],3,FALSE),0)</f>
        <v>0</v>
      </c>
      <c r="AI608" s="434">
        <f>Ruimtestaat[[#This Row],[Uitvoeringen weekend]]*Ruimtestaat[[#This Row],[Oppervlak (netto)]]</f>
        <v>0</v>
      </c>
      <c r="AJ608" s="434">
        <f>IF(AH608&gt;0,Ruimtestaat[[#This Row],[Prest. (m2 /jaar) weekend]]/Ruimtestaat[[#This Row],[Norm (m2/uur) weekend]],0)</f>
        <v>0</v>
      </c>
      <c r="AK608" s="444">
        <f>Ruimtestaat[[#This Row],[uren / jaar weekend]]*Tariefsopbouw!$D$40</f>
        <v>0</v>
      </c>
      <c r="AL608" s="441">
        <f>Ruimtestaat[[#This Row],[Prest. (m2 /jaar) weekend]]+Ruimtestaat[[#This Row],[Prest. (m2 /jaar) werkdagen]]</f>
        <v>0</v>
      </c>
      <c r="AM608" s="441">
        <f>Ruimtestaat[[#This Row],[uren / jaar weekend]]+Ruimtestaat[[#This Row],[uren / jaar werkdagen]]</f>
        <v>0</v>
      </c>
      <c r="AN608" s="446">
        <f>Ruimtestaat[[#This Row],[kosten / jaar weekend]]+Ruimtestaat[[#This Row],[kosten / jaar werkdagen]]</f>
        <v>0</v>
      </c>
      <c r="AO608" s="446"/>
      <c r="AP608" s="446" t="str">
        <f>IF(Ruimtestaat[[#This Row],[Frequentie werkdagen]]="","",_xlfn.CONCAT(Ruimtestaat[[#This Row],[Ruimte code]],"-",Ruimtestaat[[#This Row],[Frequentie werkdagen]]," ",Ruimtestaat[[#This Row],[Vloer code]]))</f>
        <v/>
      </c>
      <c r="AQ608" s="448" t="str">
        <f>_xlfn.IFNA(VLOOKUP($AP608,Programma!$F$3:$G$1101,2,0),"")</f>
        <v/>
      </c>
      <c r="AR608" s="448" t="str">
        <f>_xlfn.IFNA(VLOOKUP($AP608,Programma!$F$3:$H$1101,3,0),"")</f>
        <v/>
      </c>
      <c r="AS608" s="448" t="str">
        <f>_xlfn.IFNA(VLOOKUP($AP608,Programma!$F$3:$I$1101,4,0),"")</f>
        <v/>
      </c>
      <c r="AT608" s="448" t="str">
        <f>_xlfn.IFNA(VLOOKUP($AP608,Programma!$F$3:$J$1101,5,0),"")</f>
        <v/>
      </c>
      <c r="AU608" s="448" t="str">
        <f>_xlfn.IFNA(VLOOKUP($AP608,Programma!$F$3:$K$1101,6,0),"")</f>
        <v/>
      </c>
      <c r="AV608" s="448" t="str">
        <f>_xlfn.IFNA(VLOOKUP($AP608,Programma!$F$3:$L$1101,7,0),"")</f>
        <v/>
      </c>
      <c r="AW608" s="448" t="str">
        <f>_xlfn.IFNA(VLOOKUP($AP608,Programma!$F$3:$M$1101,8,0),"")</f>
        <v/>
      </c>
      <c r="AX608" s="448" t="str">
        <f>_xlfn.IFNA(VLOOKUP($AP608,Programma!$F$3:$N$1101,9,0),"")</f>
        <v/>
      </c>
      <c r="AY608" s="448" t="str">
        <f>_xlfn.IFNA(VLOOKUP($AP608,Programma!$F$3:$O$1101,10,0),"")</f>
        <v/>
      </c>
      <c r="AZ608" s="448" t="str">
        <f>_xlfn.IFNA(VLOOKUP($AP608,Programma!$F$3:$P$1101,11,0),"")</f>
        <v/>
      </c>
      <c r="BA608" s="448" t="str">
        <f>_xlfn.IFNA(VLOOKUP($AP608,Programma!$F$3:$Q$1101,12,0),"")</f>
        <v/>
      </c>
      <c r="BB608" s="448" t="str">
        <f>_xlfn.IFNA(VLOOKUP($AP608,Programma!$F$3:$R$1101,13,0),"")</f>
        <v/>
      </c>
      <c r="BC608" s="448" t="str">
        <f>_xlfn.IFNA(VLOOKUP($AP608,Programma!$F$3:$S$1101,14,0),"")</f>
        <v/>
      </c>
      <c r="BD608" s="448" t="str">
        <f>_xlfn.IFNA(VLOOKUP($AP608,Programma!$F$3:$T$1101,15,0),"")</f>
        <v/>
      </c>
      <c r="BE608" s="448" t="str">
        <f>_xlfn.IFNA(VLOOKUP($AP608,Programma!$F$3:$U$1101,16,0),"")</f>
        <v/>
      </c>
      <c r="BF608" s="448" t="str">
        <f>_xlfn.IFNA(VLOOKUP($AP608,Programma!$F$3:$V$1101,17,0),"")</f>
        <v/>
      </c>
      <c r="BG608" s="448" t="str">
        <f>_xlfn.IFNA(VLOOKUP($AP608,Programma!$F$3:$W$1101,18,0),"")</f>
        <v/>
      </c>
      <c r="BH608" s="448" t="str">
        <f>_xlfn.IFNA(VLOOKUP($AP608,Programma!$F$3:$X$1101,19,0),"")</f>
        <v/>
      </c>
      <c r="BI608" s="448" t="str">
        <f>_xlfn.IFNA(VLOOKUP($AP608,Programma!$F$3:$Y$1101,20,0),"")</f>
        <v/>
      </c>
      <c r="BJ608" s="449"/>
      <c r="BK608" s="446" t="str">
        <f>IF(Ruimtestaat[[#This Row],[Frequentie weekend]]="","",_xlfn.CONCAT(Ruimtestaat[[#This Row],[Ruimte code]],"-",Ruimtestaat[[#This Row],[Frequentie weekend]]," ",Ruimtestaat[[#This Row],[Vloer code]]))</f>
        <v/>
      </c>
      <c r="BL608" s="448" t="str">
        <f>_xlfn.IFNA(VLOOKUP($BK608,Programma!$F$3:$G$1101,2,0),"")</f>
        <v/>
      </c>
      <c r="BM608" s="448" t="str">
        <f>_xlfn.IFNA(VLOOKUP($BK608,Programma!$F$3:$H$1101,3,0),"")</f>
        <v/>
      </c>
      <c r="BN608" s="448" t="str">
        <f>_xlfn.IFNA(VLOOKUP($BK608,Programma!$F$3:$I$1101,4,0),"")</f>
        <v/>
      </c>
      <c r="BO608" s="448" t="str">
        <f>_xlfn.IFNA(VLOOKUP($BK608,Programma!$F$3:$J$1101,5,0),"")</f>
        <v/>
      </c>
      <c r="BP608" s="448" t="str">
        <f>_xlfn.IFNA(VLOOKUP($BK608,Programma!$F$3:$K$1101,6,0),"")</f>
        <v/>
      </c>
      <c r="BQ608" s="448" t="str">
        <f>_xlfn.IFNA(VLOOKUP($BK608,Programma!$F$3:$L$1101,7,0),"")</f>
        <v/>
      </c>
      <c r="BR608" s="448" t="str">
        <f>_xlfn.IFNA(VLOOKUP($BK608,Programma!$F$3:$M$1101,8,0),"")</f>
        <v/>
      </c>
      <c r="BS608" s="448" t="str">
        <f>_xlfn.IFNA(VLOOKUP($BK608,Programma!$F$3:$N$1101,9,0),"")</f>
        <v/>
      </c>
      <c r="BT608" s="448" t="str">
        <f>_xlfn.IFNA(VLOOKUP($BK608,Programma!$F$3:$O$1101,10,0),"")</f>
        <v/>
      </c>
      <c r="BU608" s="448" t="str">
        <f>_xlfn.IFNA(VLOOKUP($BK608,Programma!$F$3:$P$1101,11,0),"")</f>
        <v/>
      </c>
      <c r="BV608" s="448" t="str">
        <f>_xlfn.IFNA(VLOOKUP($BK608,Programma!$F$3:$Q$1101,12,0),"")</f>
        <v/>
      </c>
      <c r="BW608" s="448" t="str">
        <f>_xlfn.IFNA(VLOOKUP($BK608,Programma!$F$3:$R$1101,13,0),"")</f>
        <v/>
      </c>
      <c r="BX608" s="448" t="str">
        <f>_xlfn.IFNA(VLOOKUP($BK608,Programma!$F$3:$S$1101,14,0),"")</f>
        <v/>
      </c>
      <c r="BY608" s="448" t="str">
        <f>_xlfn.IFNA(VLOOKUP($BK608,Programma!$F$3:$T$1101,15,0),"")</f>
        <v/>
      </c>
      <c r="BZ608" s="448" t="str">
        <f>_xlfn.IFNA(VLOOKUP($BK608,Programma!$F$3:$U$1101,16,0),"")</f>
        <v/>
      </c>
      <c r="CA608" s="448" t="str">
        <f>_xlfn.IFNA(VLOOKUP($BK608,Programma!$F$3:$V$1101,17,0),"")</f>
        <v/>
      </c>
      <c r="CB608" s="448" t="str">
        <f>_xlfn.IFNA(VLOOKUP($BK608,Programma!$F$3:$W$1101,18,0),"")</f>
        <v/>
      </c>
      <c r="CC608" s="448" t="str">
        <f>_xlfn.IFNA(VLOOKUP($BK608,Programma!$F$3:$X$1101,19,0),"")</f>
        <v/>
      </c>
      <c r="CD608" s="448" t="str">
        <f>_xlfn.IFNA(VLOOKUP($BK608,Programma!$F$3:$Y$1101,20,0),"")</f>
        <v/>
      </c>
    </row>
    <row r="609" spans="1:82" ht="15" customHeight="1">
      <c r="A609" s="327">
        <v>21</v>
      </c>
      <c r="B609" s="435" t="str">
        <f>VLOOKUP(Ruimtestaat[[#This Row],[Code]],Locaties[[Code]:[Locatie]],2,FALSE)</f>
        <v>IKC De  Leerplaneet (bijgebouw)</v>
      </c>
      <c r="C609" s="435" t="str">
        <f>VLOOKUP(Ruimtestaat[[#This Row],[Code]],Locaties[[#All],[Code]:[Adres]],4,FALSE)</f>
        <v>Nesciohove 105-107</v>
      </c>
      <c r="D609" s="435" t="str">
        <f>VLOOKUP(Ruimtestaat[[#This Row],[Code]],Locaties[[#All],[Code]:[Postcode]],5,FALSE)</f>
        <v>2716 BL</v>
      </c>
      <c r="E609" s="435" t="str">
        <f>VLOOKUP(Ruimtestaat[[#This Row],[Code]],Locaties[#All],6,FALSE)</f>
        <v>Zoetermeer</v>
      </c>
      <c r="F609" s="450"/>
      <c r="H609" s="330" t="s">
        <v>1827</v>
      </c>
      <c r="I609" s="450" t="s">
        <v>1720</v>
      </c>
      <c r="J609" s="330">
        <v>20</v>
      </c>
      <c r="K609" s="450" t="str">
        <f>VLOOKUP(Ruimtestaat[[#This Row],[Ruimte code]],Ruimtegroepen[[#All],[Code]:[Ruimte omschrijving]],2,FALSE)</f>
        <v>Niet in Onderhoud</v>
      </c>
      <c r="L609" s="330" t="s">
        <v>101</v>
      </c>
      <c r="M609" s="437" t="s">
        <v>119</v>
      </c>
      <c r="N609" s="439"/>
      <c r="O609" s="439">
        <v>7</v>
      </c>
      <c r="P609" s="439"/>
      <c r="Q609" s="439"/>
      <c r="R609" s="440">
        <f>VLOOKUP(Ruimtestaat[[#This Row],[Ruimte code]],Ruimtegroepen[],4,FALSE)</f>
        <v>0</v>
      </c>
      <c r="S609" s="434"/>
      <c r="T609" s="434"/>
      <c r="U609" s="453">
        <f>IF(S609&gt;0,IF(RIGHT(Ruimtestaat[[#This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09" s="434">
        <f>IF(U609&gt;0,VLOOKUP($J609,Ruimtegroepen[],3,FALSE)*VLOOKUP($L609,Vloersoorten[],3,FALSE)*VLOOKUP($T609,Frequenties[],3,FALSE)*VLOOKUP($A609,Locaties[],3,FALSE),0)</f>
        <v>0</v>
      </c>
      <c r="W609" s="434">
        <f>Ruimtestaat[[#This Row],[Uitvoeringen werkdagen]]*Ruimtestaat[[#This Row],[Oppervlak (netto)]]</f>
        <v>0</v>
      </c>
      <c r="X609" s="441">
        <f>IF(V609&gt;0,Ruimtestaat[[#This Row],[Prest. (m2 /jaar) werkdagen]]/Ruimtestaat[[#This Row],[Norm (m2/uur) werkdagen]],0)</f>
        <v>0</v>
      </c>
      <c r="Y609" s="442">
        <f>Ruimtestaat[[#This Row],[Uitvoeringen werkdagen]]*Ruimtestaat[[#This Row],[Gedeeltelijk]]</f>
        <v>0</v>
      </c>
      <c r="Z609" s="443">
        <f>IF(U609&gt;0,Ruimtestaat[[#This Row],[Prest. (m2 / jaar) werkdagen gedeeld]]/Ruimtestaat[[#This Row],[Norm (m2/uur) werkdagen]],0)</f>
        <v>0</v>
      </c>
      <c r="AA609" s="441">
        <f>Ruimtestaat[[#This Row],[uren / jaar werkdagen gedeeld]]*Tariefsopbouw!$E$35</f>
        <v>0</v>
      </c>
      <c r="AB609" s="441">
        <f>Ruimtestaat[[#This Row],[Uitvoeringen werkdagen]]*Ruimtestaat[[#This Row],[BSO]]</f>
        <v>0</v>
      </c>
      <c r="AC609" s="443">
        <f>IF(U609&gt;0,Ruimtestaat[[#This Row],[Prest. (m2 / jaar) werkdagen BSO]]/Ruimtestaat[[#This Row],[Norm (m2/uur) werkdagen]],0)</f>
        <v>0</v>
      </c>
      <c r="AD609" s="443">
        <f>Ruimtestaat[[#This Row],[uren / jaar werkdagen BSO]]*Tariefsopbouw!$E$35</f>
        <v>0</v>
      </c>
      <c r="AE609" s="444">
        <f>Ruimtestaat[[#This Row],[uren / jaar werkdagen]]*Tariefsopbouw!$E$35</f>
        <v>0</v>
      </c>
      <c r="AF609" s="454"/>
      <c r="AG609" s="455">
        <f>IF(Ruimtestaat[[#This Row],[Frequentie weekend]]&gt;0,VALUE(LEFT(AF609,1))*S609,0)</f>
        <v>0</v>
      </c>
      <c r="AH609" s="455">
        <f>IF($AG609&gt;0,VLOOKUP($J609,Ruimtegroepen[],3,FALSE)*VLOOKUP($L609,Vloersoorten[],3,FALSE)*VLOOKUP($AF609,Frequenties[],3,FALSE)*VLOOKUP(#REF!,Locaties[],3,FALSE),0)</f>
        <v>0</v>
      </c>
      <c r="AI609" s="434">
        <f>Ruimtestaat[[#This Row],[Uitvoeringen weekend]]*Ruimtestaat[[#This Row],[Oppervlak (netto)]]</f>
        <v>0</v>
      </c>
      <c r="AJ609" s="434">
        <f>IF(AH609&gt;0,Ruimtestaat[[#This Row],[Prest. (m2 /jaar) weekend]]/Ruimtestaat[[#This Row],[Norm (m2/uur) weekend]],0)</f>
        <v>0</v>
      </c>
      <c r="AK609" s="444">
        <f>Ruimtestaat[[#This Row],[uren / jaar weekend]]*Tariefsopbouw!$D$40</f>
        <v>0</v>
      </c>
      <c r="AL609" s="441">
        <f>Ruimtestaat[[#This Row],[Prest. (m2 /jaar) weekend]]+Ruimtestaat[[#This Row],[Prest. (m2 /jaar) werkdagen]]</f>
        <v>0</v>
      </c>
      <c r="AM609" s="441">
        <f>Ruimtestaat[[#This Row],[uren / jaar weekend]]+Ruimtestaat[[#This Row],[uren / jaar werkdagen]]</f>
        <v>0</v>
      </c>
      <c r="AN609" s="446">
        <f>Ruimtestaat[[#This Row],[kosten / jaar weekend]]+Ruimtestaat[[#This Row],[kosten / jaar werkdagen]]</f>
        <v>0</v>
      </c>
      <c r="AO609" s="446"/>
      <c r="AP609" s="446" t="str">
        <f>IF(Ruimtestaat[[#This Row],[Frequentie werkdagen]]="","",_xlfn.CONCAT(Ruimtestaat[[#This Row],[Ruimte code]],"-",Ruimtestaat[[#This Row],[Frequentie werkdagen]]," ",Ruimtestaat[[#This Row],[Vloer code]]))</f>
        <v/>
      </c>
      <c r="AQ609" s="448" t="str">
        <f>_xlfn.IFNA(VLOOKUP($AP609,Programma!$F$3:$G$1101,2,0),"")</f>
        <v/>
      </c>
      <c r="AR609" s="448" t="str">
        <f>_xlfn.IFNA(VLOOKUP($AP609,Programma!$F$3:$H$1101,3,0),"")</f>
        <v/>
      </c>
      <c r="AS609" s="448" t="str">
        <f>_xlfn.IFNA(VLOOKUP($AP609,Programma!$F$3:$I$1101,4,0),"")</f>
        <v/>
      </c>
      <c r="AT609" s="448" t="str">
        <f>_xlfn.IFNA(VLOOKUP($AP609,Programma!$F$3:$J$1101,5,0),"")</f>
        <v/>
      </c>
      <c r="AU609" s="448" t="str">
        <f>_xlfn.IFNA(VLOOKUP($AP609,Programma!$F$3:$K$1101,6,0),"")</f>
        <v/>
      </c>
      <c r="AV609" s="448" t="str">
        <f>_xlfn.IFNA(VLOOKUP($AP609,Programma!$F$3:$L$1101,7,0),"")</f>
        <v/>
      </c>
      <c r="AW609" s="448" t="str">
        <f>_xlfn.IFNA(VLOOKUP($AP609,Programma!$F$3:$M$1101,8,0),"")</f>
        <v/>
      </c>
      <c r="AX609" s="448" t="str">
        <f>_xlfn.IFNA(VLOOKUP($AP609,Programma!$F$3:$N$1101,9,0),"")</f>
        <v/>
      </c>
      <c r="AY609" s="448" t="str">
        <f>_xlfn.IFNA(VLOOKUP($AP609,Programma!$F$3:$O$1101,10,0),"")</f>
        <v/>
      </c>
      <c r="AZ609" s="448" t="str">
        <f>_xlfn.IFNA(VLOOKUP($AP609,Programma!$F$3:$P$1101,11,0),"")</f>
        <v/>
      </c>
      <c r="BA609" s="448" t="str">
        <f>_xlfn.IFNA(VLOOKUP($AP609,Programma!$F$3:$Q$1101,12,0),"")</f>
        <v/>
      </c>
      <c r="BB609" s="448" t="str">
        <f>_xlfn.IFNA(VLOOKUP($AP609,Programma!$F$3:$R$1101,13,0),"")</f>
        <v/>
      </c>
      <c r="BC609" s="448" t="str">
        <f>_xlfn.IFNA(VLOOKUP($AP609,Programma!$F$3:$S$1101,14,0),"")</f>
        <v/>
      </c>
      <c r="BD609" s="448" t="str">
        <f>_xlfn.IFNA(VLOOKUP($AP609,Programma!$F$3:$T$1101,15,0),"")</f>
        <v/>
      </c>
      <c r="BE609" s="448" t="str">
        <f>_xlfn.IFNA(VLOOKUP($AP609,Programma!$F$3:$U$1101,16,0),"")</f>
        <v/>
      </c>
      <c r="BF609" s="448" t="str">
        <f>_xlfn.IFNA(VLOOKUP($AP609,Programma!$F$3:$V$1101,17,0),"")</f>
        <v/>
      </c>
      <c r="BG609" s="448" t="str">
        <f>_xlfn.IFNA(VLOOKUP($AP609,Programma!$F$3:$W$1101,18,0),"")</f>
        <v/>
      </c>
      <c r="BH609" s="448" t="str">
        <f>_xlfn.IFNA(VLOOKUP($AP609,Programma!$F$3:$X$1101,19,0),"")</f>
        <v/>
      </c>
      <c r="BI609" s="448" t="str">
        <f>_xlfn.IFNA(VLOOKUP($AP609,Programma!$F$3:$Y$1101,20,0),"")</f>
        <v/>
      </c>
      <c r="BJ609" s="449"/>
      <c r="BK609" s="446" t="str">
        <f>IF(Ruimtestaat[[#This Row],[Frequentie weekend]]="","",_xlfn.CONCAT(Ruimtestaat[[#This Row],[Ruimte code]],"-",Ruimtestaat[[#This Row],[Frequentie weekend]]," ",Ruimtestaat[[#This Row],[Vloer code]]))</f>
        <v/>
      </c>
      <c r="BL609" s="448" t="str">
        <f>_xlfn.IFNA(VLOOKUP($BK609,Programma!$F$3:$G$1101,2,0),"")</f>
        <v/>
      </c>
      <c r="BM609" s="448" t="str">
        <f>_xlfn.IFNA(VLOOKUP($BK609,Programma!$F$3:$H$1101,3,0),"")</f>
        <v/>
      </c>
      <c r="BN609" s="448" t="str">
        <f>_xlfn.IFNA(VLOOKUP($BK609,Programma!$F$3:$I$1101,4,0),"")</f>
        <v/>
      </c>
      <c r="BO609" s="448" t="str">
        <f>_xlfn.IFNA(VLOOKUP($BK609,Programma!$F$3:$J$1101,5,0),"")</f>
        <v/>
      </c>
      <c r="BP609" s="448" t="str">
        <f>_xlfn.IFNA(VLOOKUP($BK609,Programma!$F$3:$K$1101,6,0),"")</f>
        <v/>
      </c>
      <c r="BQ609" s="448" t="str">
        <f>_xlfn.IFNA(VLOOKUP($BK609,Programma!$F$3:$L$1101,7,0),"")</f>
        <v/>
      </c>
      <c r="BR609" s="448" t="str">
        <f>_xlfn.IFNA(VLOOKUP($BK609,Programma!$F$3:$M$1101,8,0),"")</f>
        <v/>
      </c>
      <c r="BS609" s="448" t="str">
        <f>_xlfn.IFNA(VLOOKUP($BK609,Programma!$F$3:$N$1101,9,0),"")</f>
        <v/>
      </c>
      <c r="BT609" s="448" t="str">
        <f>_xlfn.IFNA(VLOOKUP($BK609,Programma!$F$3:$O$1101,10,0),"")</f>
        <v/>
      </c>
      <c r="BU609" s="448" t="str">
        <f>_xlfn.IFNA(VLOOKUP($BK609,Programma!$F$3:$P$1101,11,0),"")</f>
        <v/>
      </c>
      <c r="BV609" s="448" t="str">
        <f>_xlfn.IFNA(VLOOKUP($BK609,Programma!$F$3:$Q$1101,12,0),"")</f>
        <v/>
      </c>
      <c r="BW609" s="448" t="str">
        <f>_xlfn.IFNA(VLOOKUP($BK609,Programma!$F$3:$R$1101,13,0),"")</f>
        <v/>
      </c>
      <c r="BX609" s="448" t="str">
        <f>_xlfn.IFNA(VLOOKUP($BK609,Programma!$F$3:$S$1101,14,0),"")</f>
        <v/>
      </c>
      <c r="BY609" s="448" t="str">
        <f>_xlfn.IFNA(VLOOKUP($BK609,Programma!$F$3:$T$1101,15,0),"")</f>
        <v/>
      </c>
      <c r="BZ609" s="448" t="str">
        <f>_xlfn.IFNA(VLOOKUP($BK609,Programma!$F$3:$U$1101,16,0),"")</f>
        <v/>
      </c>
      <c r="CA609" s="448" t="str">
        <f>_xlfn.IFNA(VLOOKUP($BK609,Programma!$F$3:$V$1101,17,0),"")</f>
        <v/>
      </c>
      <c r="CB609" s="448" t="str">
        <f>_xlfn.IFNA(VLOOKUP($BK609,Programma!$F$3:$W$1101,18,0),"")</f>
        <v/>
      </c>
      <c r="CC609" s="448" t="str">
        <f>_xlfn.IFNA(VLOOKUP($BK609,Programma!$F$3:$X$1101,19,0),"")</f>
        <v/>
      </c>
      <c r="CD609" s="448" t="str">
        <f>_xlfn.IFNA(VLOOKUP($BK609,Programma!$F$3:$Y$1101,20,0),"")</f>
        <v/>
      </c>
    </row>
    <row r="610" spans="1:82" ht="15" customHeight="1">
      <c r="A610" s="327">
        <v>21</v>
      </c>
      <c r="B610" s="435" t="str">
        <f>VLOOKUP(Ruimtestaat[[#This Row],[Code]],Locaties[[Code]:[Locatie]],2,FALSE)</f>
        <v>IKC De  Leerplaneet (bijgebouw)</v>
      </c>
      <c r="C610" s="435" t="str">
        <f>VLOOKUP(Ruimtestaat[[#This Row],[Code]],Locaties[[#All],[Code]:[Adres]],4,FALSE)</f>
        <v>Nesciohove 105-107</v>
      </c>
      <c r="D610" s="435" t="str">
        <f>VLOOKUP(Ruimtestaat[[#This Row],[Code]],Locaties[[#All],[Code]:[Postcode]],5,FALSE)</f>
        <v>2716 BL</v>
      </c>
      <c r="E610" s="435" t="str">
        <f>VLOOKUP(Ruimtestaat[[#This Row],[Code]],Locaties[#All],6,FALSE)</f>
        <v>Zoetermeer</v>
      </c>
      <c r="F610" s="450"/>
      <c r="H610" s="330" t="s">
        <v>1828</v>
      </c>
      <c r="I610" s="450" t="s">
        <v>1724</v>
      </c>
      <c r="J610" s="330">
        <v>1</v>
      </c>
      <c r="K610" s="450" t="str">
        <f>VLOOKUP(Ruimtestaat[[#This Row],[Ruimte code]],Ruimtegroepen[[#All],[Code]:[Ruimte omschrijving]],2,FALSE)</f>
        <v>Magazijnen/bergingen</v>
      </c>
      <c r="L610" s="434" t="s">
        <v>100</v>
      </c>
      <c r="M610" s="437" t="s">
        <v>1759</v>
      </c>
      <c r="N610" s="439">
        <v>9</v>
      </c>
      <c r="O610" s="439"/>
      <c r="P610" s="439"/>
      <c r="Q610" s="439"/>
      <c r="R610" s="440" t="str">
        <f>VLOOKUP(Ruimtestaat[[#This Row],[Ruimte code]],Ruimtegroepen[],4,FALSE)</f>
        <v>Ve</v>
      </c>
      <c r="S610" s="434">
        <v>40</v>
      </c>
      <c r="T610" s="434" t="s">
        <v>16</v>
      </c>
      <c r="U610" s="453">
        <f>IF(S610&gt;0,IF(RIGHT(Ruimtestaat[[#This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610" s="434">
        <f>IF(U610&gt;0,VLOOKUP($J610,Ruimtegroepen[],3,FALSE)*VLOOKUP($L610,Vloersoorten[],3,FALSE)*VLOOKUP($T610,Frequenties[],3,FALSE)*VLOOKUP($A610,Locaties[],3,FALSE),0)</f>
        <v>0</v>
      </c>
      <c r="W610" s="434">
        <f>Ruimtestaat[[#This Row],[Uitvoeringen werkdagen]]*Ruimtestaat[[#This Row],[Oppervlak (netto)]]</f>
        <v>108</v>
      </c>
      <c r="X610" s="441">
        <f>IF(V610&gt;0,Ruimtestaat[[#This Row],[Prest. (m2 /jaar) werkdagen]]/Ruimtestaat[[#This Row],[Norm (m2/uur) werkdagen]],0)</f>
        <v>0</v>
      </c>
      <c r="Y610" s="442">
        <f>Ruimtestaat[[#This Row],[Uitvoeringen werkdagen]]*Ruimtestaat[[#This Row],[Gedeeltelijk]]</f>
        <v>0</v>
      </c>
      <c r="Z610" s="443" t="e">
        <f>IF(U610&gt;0,Ruimtestaat[[#This Row],[Prest. (m2 / jaar) werkdagen gedeeld]]/Ruimtestaat[[#This Row],[Norm (m2/uur) werkdagen]],0)</f>
        <v>#DIV/0!</v>
      </c>
      <c r="AA610" s="441" t="e">
        <f>Ruimtestaat[[#This Row],[uren / jaar werkdagen gedeeld]]*Tariefsopbouw!$E$35</f>
        <v>#DIV/0!</v>
      </c>
      <c r="AB610" s="441">
        <f>Ruimtestaat[[#This Row],[Uitvoeringen werkdagen]]*Ruimtestaat[[#This Row],[BSO]]</f>
        <v>0</v>
      </c>
      <c r="AC610" s="443" t="e">
        <f>IF(U610&gt;0,Ruimtestaat[[#This Row],[Prest. (m2 / jaar) werkdagen BSO]]/Ruimtestaat[[#This Row],[Norm (m2/uur) werkdagen]],0)</f>
        <v>#DIV/0!</v>
      </c>
      <c r="AD610" s="443" t="e">
        <f>Ruimtestaat[[#This Row],[uren / jaar werkdagen BSO]]*Tariefsopbouw!$E$35</f>
        <v>#DIV/0!</v>
      </c>
      <c r="AE610" s="444">
        <f>Ruimtestaat[[#This Row],[uren / jaar werkdagen]]*Tariefsopbouw!$E$35</f>
        <v>0</v>
      </c>
      <c r="AF610" s="454"/>
      <c r="AG610" s="455">
        <f>IF(Ruimtestaat[[#This Row],[Frequentie weekend]]&gt;0,VALUE(LEFT(AF610,1))*S610,0)</f>
        <v>0</v>
      </c>
      <c r="AH610" s="455">
        <f>IF($AG610&gt;0,VLOOKUP($J610,Ruimtegroepen[],3,FALSE)*VLOOKUP($L610,Vloersoorten[],3,FALSE)*VLOOKUP($AF610,Frequenties[],3,FALSE)*VLOOKUP(#REF!,Locaties[],3,FALSE),0)</f>
        <v>0</v>
      </c>
      <c r="AI610" s="434">
        <f>Ruimtestaat[[#This Row],[Uitvoeringen weekend]]*Ruimtestaat[[#This Row],[Oppervlak (netto)]]</f>
        <v>0</v>
      </c>
      <c r="AJ610" s="434">
        <f>IF(AH610&gt;0,Ruimtestaat[[#This Row],[Prest. (m2 /jaar) weekend]]/Ruimtestaat[[#This Row],[Norm (m2/uur) weekend]],0)</f>
        <v>0</v>
      </c>
      <c r="AK610" s="444">
        <f>Ruimtestaat[[#This Row],[uren / jaar weekend]]*Tariefsopbouw!$D$40</f>
        <v>0</v>
      </c>
      <c r="AL610" s="441">
        <f>Ruimtestaat[[#This Row],[Prest. (m2 /jaar) weekend]]+Ruimtestaat[[#This Row],[Prest. (m2 /jaar) werkdagen]]</f>
        <v>108</v>
      </c>
      <c r="AM610" s="441">
        <f>Ruimtestaat[[#This Row],[uren / jaar weekend]]+Ruimtestaat[[#This Row],[uren / jaar werkdagen]]</f>
        <v>0</v>
      </c>
      <c r="AN610" s="446">
        <f>Ruimtestaat[[#This Row],[kosten / jaar weekend]]+Ruimtestaat[[#This Row],[kosten / jaar werkdagen]]</f>
        <v>0</v>
      </c>
      <c r="AO610" s="446"/>
      <c r="AP610" s="446" t="str">
        <f>IF(Ruimtestaat[[#This Row],[Frequentie werkdagen]]="","",_xlfn.CONCAT(Ruimtestaat[[#This Row],[Ruimte code]],"-",Ruimtestaat[[#This Row],[Frequentie werkdagen]]," ",Ruimtestaat[[#This Row],[Vloer code]]))</f>
        <v>1-1m L</v>
      </c>
      <c r="AQ610" s="448" t="str">
        <f>_xlfn.IFNA(VLOOKUP($AP610,Programma!$F$3:$G$1101,2,0),"")</f>
        <v>_</v>
      </c>
      <c r="AR610" s="448" t="str">
        <f>_xlfn.IFNA(VLOOKUP($AP610,Programma!$F$3:$H$1101,3,0),"")</f>
        <v>_</v>
      </c>
      <c r="AS610" s="448" t="str">
        <f>_xlfn.IFNA(VLOOKUP($AP610,Programma!$F$3:$I$1101,4,0),"")</f>
        <v>1m</v>
      </c>
      <c r="AT610" s="448" t="str">
        <f>_xlfn.IFNA(VLOOKUP($AP610,Programma!$F$3:$J$1101,5,0),"")</f>
        <v>1m</v>
      </c>
      <c r="AU610" s="448" t="str">
        <f>_xlfn.IFNA(VLOOKUP($AP610,Programma!$F$3:$K$1101,6,0),"")</f>
        <v>_</v>
      </c>
      <c r="AV610" s="448" t="str">
        <f>_xlfn.IFNA(VLOOKUP($AP610,Programma!$F$3:$L$1101,7,0),"")</f>
        <v>_</v>
      </c>
      <c r="AW610" s="448" t="str">
        <f>_xlfn.IFNA(VLOOKUP($AP610,Programma!$F$3:$M$1101,8,0),"")</f>
        <v>_</v>
      </c>
      <c r="AX610" s="448" t="str">
        <f>_xlfn.IFNA(VLOOKUP($AP610,Programma!$F$3:$N$1101,9,0),"")</f>
        <v>_</v>
      </c>
      <c r="AY610" s="448" t="str">
        <f>_xlfn.IFNA(VLOOKUP($AP610,Programma!$F$3:$O$1101,10,0),"")</f>
        <v>_</v>
      </c>
      <c r="AZ610" s="448" t="str">
        <f>_xlfn.IFNA(VLOOKUP($AP610,Programma!$F$3:$P$1101,11,0),"")</f>
        <v>_</v>
      </c>
      <c r="BA610" s="448" t="str">
        <f>_xlfn.IFNA(VLOOKUP($AP610,Programma!$F$3:$Q$1101,12,0),"")</f>
        <v>_</v>
      </c>
      <c r="BB610" s="448" t="str">
        <f>_xlfn.IFNA(VLOOKUP($AP610,Programma!$F$3:$R$1101,13,0),"")</f>
        <v>_</v>
      </c>
      <c r="BC610" s="448" t="str">
        <f>_xlfn.IFNA(VLOOKUP($AP610,Programma!$F$3:$S$1101,14,0),"")</f>
        <v>1m</v>
      </c>
      <c r="BD610" s="448" t="str">
        <f>_xlfn.IFNA(VLOOKUP($AP610,Programma!$F$3:$T$1101,15,0),"")</f>
        <v>4j</v>
      </c>
      <c r="BE610" s="448" t="str">
        <f>_xlfn.IFNA(VLOOKUP($AP610,Programma!$F$3:$U$1101,16,0),"")</f>
        <v>4j</v>
      </c>
      <c r="BF610" s="448" t="str">
        <f>_xlfn.IFNA(VLOOKUP($AP610,Programma!$F$3:$V$1101,17,0),"")</f>
        <v>_</v>
      </c>
      <c r="BG610" s="448" t="str">
        <f>_xlfn.IFNA(VLOOKUP($AP610,Programma!$F$3:$W$1101,18,0),"")</f>
        <v>_</v>
      </c>
      <c r="BH610" s="448" t="str">
        <f>_xlfn.IFNA(VLOOKUP($AP610,Programma!$F$3:$X$1101,19,0),"")</f>
        <v>_</v>
      </c>
      <c r="BI610" s="448" t="str">
        <f>_xlfn.IFNA(VLOOKUP($AP610,Programma!$F$3:$Y$1101,20,0),"")</f>
        <v>_</v>
      </c>
      <c r="BJ610" s="449"/>
      <c r="BK610" s="446" t="str">
        <f>IF(Ruimtestaat[[#This Row],[Frequentie weekend]]="","",_xlfn.CONCAT(Ruimtestaat[[#This Row],[Ruimte code]],"-",Ruimtestaat[[#This Row],[Frequentie weekend]]," ",Ruimtestaat[[#This Row],[Vloer code]]))</f>
        <v/>
      </c>
      <c r="BL610" s="448" t="str">
        <f>_xlfn.IFNA(VLOOKUP($BK610,Programma!$F$3:$G$1101,2,0),"")</f>
        <v/>
      </c>
      <c r="BM610" s="448" t="str">
        <f>_xlfn.IFNA(VLOOKUP($BK610,Programma!$F$3:$H$1101,3,0),"")</f>
        <v/>
      </c>
      <c r="BN610" s="448" t="str">
        <f>_xlfn.IFNA(VLOOKUP($BK610,Programma!$F$3:$I$1101,4,0),"")</f>
        <v/>
      </c>
      <c r="BO610" s="448" t="str">
        <f>_xlfn.IFNA(VLOOKUP($BK610,Programma!$F$3:$J$1101,5,0),"")</f>
        <v/>
      </c>
      <c r="BP610" s="448" t="str">
        <f>_xlfn.IFNA(VLOOKUP($BK610,Programma!$F$3:$K$1101,6,0),"")</f>
        <v/>
      </c>
      <c r="BQ610" s="448" t="str">
        <f>_xlfn.IFNA(VLOOKUP($BK610,Programma!$F$3:$L$1101,7,0),"")</f>
        <v/>
      </c>
      <c r="BR610" s="448" t="str">
        <f>_xlfn.IFNA(VLOOKUP($BK610,Programma!$F$3:$M$1101,8,0),"")</f>
        <v/>
      </c>
      <c r="BS610" s="448" t="str">
        <f>_xlfn.IFNA(VLOOKUP($BK610,Programma!$F$3:$N$1101,9,0),"")</f>
        <v/>
      </c>
      <c r="BT610" s="448" t="str">
        <f>_xlfn.IFNA(VLOOKUP($BK610,Programma!$F$3:$O$1101,10,0),"")</f>
        <v/>
      </c>
      <c r="BU610" s="448" t="str">
        <f>_xlfn.IFNA(VLOOKUP($BK610,Programma!$F$3:$P$1101,11,0),"")</f>
        <v/>
      </c>
      <c r="BV610" s="448" t="str">
        <f>_xlfn.IFNA(VLOOKUP($BK610,Programma!$F$3:$Q$1101,12,0),"")</f>
        <v/>
      </c>
      <c r="BW610" s="448" t="str">
        <f>_xlfn.IFNA(VLOOKUP($BK610,Programma!$F$3:$R$1101,13,0),"")</f>
        <v/>
      </c>
      <c r="BX610" s="448" t="str">
        <f>_xlfn.IFNA(VLOOKUP($BK610,Programma!$F$3:$S$1101,14,0),"")</f>
        <v/>
      </c>
      <c r="BY610" s="448" t="str">
        <f>_xlfn.IFNA(VLOOKUP($BK610,Programma!$F$3:$T$1101,15,0),"")</f>
        <v/>
      </c>
      <c r="BZ610" s="448" t="str">
        <f>_xlfn.IFNA(VLOOKUP($BK610,Programma!$F$3:$U$1101,16,0),"")</f>
        <v/>
      </c>
      <c r="CA610" s="448" t="str">
        <f>_xlfn.IFNA(VLOOKUP($BK610,Programma!$F$3:$V$1101,17,0),"")</f>
        <v/>
      </c>
      <c r="CB610" s="448" t="str">
        <f>_xlfn.IFNA(VLOOKUP($BK610,Programma!$F$3:$W$1101,18,0),"")</f>
        <v/>
      </c>
      <c r="CC610" s="448" t="str">
        <f>_xlfn.IFNA(VLOOKUP($BK610,Programma!$F$3:$X$1101,19,0),"")</f>
        <v/>
      </c>
      <c r="CD610" s="448" t="str">
        <f>_xlfn.IFNA(VLOOKUP($BK610,Programma!$F$3:$Y$1101,20,0),"")</f>
        <v/>
      </c>
    </row>
    <row r="611" spans="1:82" ht="15" customHeight="1">
      <c r="A611" s="327">
        <v>21</v>
      </c>
      <c r="B611" s="435" t="str">
        <f>VLOOKUP(Ruimtestaat[[#This Row],[Code]],Locaties[[Code]:[Locatie]],2,FALSE)</f>
        <v>IKC De  Leerplaneet (bijgebouw)</v>
      </c>
      <c r="C611" s="435" t="str">
        <f>VLOOKUP(Ruimtestaat[[#This Row],[Code]],Locaties[[#All],[Code]:[Adres]],4,FALSE)</f>
        <v>Nesciohove 105-107</v>
      </c>
      <c r="D611" s="435" t="str">
        <f>VLOOKUP(Ruimtestaat[[#This Row],[Code]],Locaties[[#All],[Code]:[Postcode]],5,FALSE)</f>
        <v>2716 BL</v>
      </c>
      <c r="E611" s="435" t="str">
        <f>VLOOKUP(Ruimtestaat[[#This Row],[Code]],Locaties[#All],6,FALSE)</f>
        <v>Zoetermeer</v>
      </c>
      <c r="F611" s="450"/>
      <c r="H611" s="330" t="s">
        <v>1829</v>
      </c>
      <c r="I611" s="450" t="s">
        <v>1724</v>
      </c>
      <c r="J611" s="330">
        <v>1</v>
      </c>
      <c r="K611" s="450" t="str">
        <f>VLOOKUP(Ruimtestaat[[#This Row],[Ruimte code]],Ruimtegroepen[[#All],[Code]:[Ruimte omschrijving]],2,FALSE)</f>
        <v>Magazijnen/bergingen</v>
      </c>
      <c r="L611" s="434" t="s">
        <v>100</v>
      </c>
      <c r="M611" s="437" t="s">
        <v>1759</v>
      </c>
      <c r="N611" s="439">
        <v>9</v>
      </c>
      <c r="O611" s="439"/>
      <c r="P611" s="439"/>
      <c r="Q611" s="439"/>
      <c r="R611" s="440" t="str">
        <f>VLOOKUP(Ruimtestaat[[#This Row],[Ruimte code]],Ruimtegroepen[],4,FALSE)</f>
        <v>Ve</v>
      </c>
      <c r="S611" s="434">
        <v>40</v>
      </c>
      <c r="T611" s="434" t="s">
        <v>16</v>
      </c>
      <c r="U611" s="453">
        <f>IF(S611&gt;0,IF(RIGHT(Ruimtestaat[[#This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611" s="434">
        <f>IF(U611&gt;0,VLOOKUP($J611,Ruimtegroepen[],3,FALSE)*VLOOKUP($L611,Vloersoorten[],3,FALSE)*VLOOKUP($T611,Frequenties[],3,FALSE)*VLOOKUP($A611,Locaties[],3,FALSE),0)</f>
        <v>0</v>
      </c>
      <c r="W611" s="434">
        <f>Ruimtestaat[[#This Row],[Uitvoeringen werkdagen]]*Ruimtestaat[[#This Row],[Oppervlak (netto)]]</f>
        <v>108</v>
      </c>
      <c r="X611" s="441">
        <f>IF(V611&gt;0,Ruimtestaat[[#This Row],[Prest. (m2 /jaar) werkdagen]]/Ruimtestaat[[#This Row],[Norm (m2/uur) werkdagen]],0)</f>
        <v>0</v>
      </c>
      <c r="Y611" s="442">
        <f>Ruimtestaat[[#This Row],[Uitvoeringen werkdagen]]*Ruimtestaat[[#This Row],[Gedeeltelijk]]</f>
        <v>0</v>
      </c>
      <c r="Z611" s="443" t="e">
        <f>IF(U611&gt;0,Ruimtestaat[[#This Row],[Prest. (m2 / jaar) werkdagen gedeeld]]/Ruimtestaat[[#This Row],[Norm (m2/uur) werkdagen]],0)</f>
        <v>#DIV/0!</v>
      </c>
      <c r="AA611" s="441" t="e">
        <f>Ruimtestaat[[#This Row],[uren / jaar werkdagen gedeeld]]*Tariefsopbouw!$E$35</f>
        <v>#DIV/0!</v>
      </c>
      <c r="AB611" s="441">
        <f>Ruimtestaat[[#This Row],[Uitvoeringen werkdagen]]*Ruimtestaat[[#This Row],[BSO]]</f>
        <v>0</v>
      </c>
      <c r="AC611" s="443" t="e">
        <f>IF(U611&gt;0,Ruimtestaat[[#This Row],[Prest. (m2 / jaar) werkdagen BSO]]/Ruimtestaat[[#This Row],[Norm (m2/uur) werkdagen]],0)</f>
        <v>#DIV/0!</v>
      </c>
      <c r="AD611" s="443" t="e">
        <f>Ruimtestaat[[#This Row],[uren / jaar werkdagen BSO]]*Tariefsopbouw!$E$35</f>
        <v>#DIV/0!</v>
      </c>
      <c r="AE611" s="444">
        <f>Ruimtestaat[[#This Row],[uren / jaar werkdagen]]*Tariefsopbouw!$E$35</f>
        <v>0</v>
      </c>
      <c r="AF611" s="454"/>
      <c r="AG611" s="455">
        <f>IF(Ruimtestaat[[#This Row],[Frequentie weekend]]&gt;0,VALUE(LEFT(AF611,1))*S611,0)</f>
        <v>0</v>
      </c>
      <c r="AH611" s="455">
        <f>IF($AG611&gt;0,VLOOKUP($J611,Ruimtegroepen[],3,FALSE)*VLOOKUP($L611,Vloersoorten[],3,FALSE)*VLOOKUP($AF611,Frequenties[],3,FALSE)*VLOOKUP(#REF!,Locaties[],3,FALSE),0)</f>
        <v>0</v>
      </c>
      <c r="AI611" s="434">
        <f>Ruimtestaat[[#This Row],[Uitvoeringen weekend]]*Ruimtestaat[[#This Row],[Oppervlak (netto)]]</f>
        <v>0</v>
      </c>
      <c r="AJ611" s="434">
        <f>IF(AH611&gt;0,Ruimtestaat[[#This Row],[Prest. (m2 /jaar) weekend]]/Ruimtestaat[[#This Row],[Norm (m2/uur) weekend]],0)</f>
        <v>0</v>
      </c>
      <c r="AK611" s="444">
        <f>Ruimtestaat[[#This Row],[uren / jaar weekend]]*Tariefsopbouw!$D$40</f>
        <v>0</v>
      </c>
      <c r="AL611" s="441">
        <f>Ruimtestaat[[#This Row],[Prest. (m2 /jaar) weekend]]+Ruimtestaat[[#This Row],[Prest. (m2 /jaar) werkdagen]]</f>
        <v>108</v>
      </c>
      <c r="AM611" s="441">
        <f>Ruimtestaat[[#This Row],[uren / jaar weekend]]+Ruimtestaat[[#This Row],[uren / jaar werkdagen]]</f>
        <v>0</v>
      </c>
      <c r="AN611" s="446">
        <f>Ruimtestaat[[#This Row],[kosten / jaar weekend]]+Ruimtestaat[[#This Row],[kosten / jaar werkdagen]]</f>
        <v>0</v>
      </c>
      <c r="AO611" s="446"/>
      <c r="AP611" s="446" t="str">
        <f>IF(Ruimtestaat[[#This Row],[Frequentie werkdagen]]="","",_xlfn.CONCAT(Ruimtestaat[[#This Row],[Ruimte code]],"-",Ruimtestaat[[#This Row],[Frequentie werkdagen]]," ",Ruimtestaat[[#This Row],[Vloer code]]))</f>
        <v>1-1m L</v>
      </c>
      <c r="AQ611" s="448" t="str">
        <f>_xlfn.IFNA(VLOOKUP($AP611,Programma!$F$3:$G$1101,2,0),"")</f>
        <v>_</v>
      </c>
      <c r="AR611" s="448" t="str">
        <f>_xlfn.IFNA(VLOOKUP($AP611,Programma!$F$3:$H$1101,3,0),"")</f>
        <v>_</v>
      </c>
      <c r="AS611" s="448" t="str">
        <f>_xlfn.IFNA(VLOOKUP($AP611,Programma!$F$3:$I$1101,4,0),"")</f>
        <v>1m</v>
      </c>
      <c r="AT611" s="448" t="str">
        <f>_xlfn.IFNA(VLOOKUP($AP611,Programma!$F$3:$J$1101,5,0),"")</f>
        <v>1m</v>
      </c>
      <c r="AU611" s="448" t="str">
        <f>_xlfn.IFNA(VLOOKUP($AP611,Programma!$F$3:$K$1101,6,0),"")</f>
        <v>_</v>
      </c>
      <c r="AV611" s="448" t="str">
        <f>_xlfn.IFNA(VLOOKUP($AP611,Programma!$F$3:$L$1101,7,0),"")</f>
        <v>_</v>
      </c>
      <c r="AW611" s="448" t="str">
        <f>_xlfn.IFNA(VLOOKUP($AP611,Programma!$F$3:$M$1101,8,0),"")</f>
        <v>_</v>
      </c>
      <c r="AX611" s="448" t="str">
        <f>_xlfn.IFNA(VLOOKUP($AP611,Programma!$F$3:$N$1101,9,0),"")</f>
        <v>_</v>
      </c>
      <c r="AY611" s="448" t="str">
        <f>_xlfn.IFNA(VLOOKUP($AP611,Programma!$F$3:$O$1101,10,0),"")</f>
        <v>_</v>
      </c>
      <c r="AZ611" s="448" t="str">
        <f>_xlfn.IFNA(VLOOKUP($AP611,Programma!$F$3:$P$1101,11,0),"")</f>
        <v>_</v>
      </c>
      <c r="BA611" s="448" t="str">
        <f>_xlfn.IFNA(VLOOKUP($AP611,Programma!$F$3:$Q$1101,12,0),"")</f>
        <v>_</v>
      </c>
      <c r="BB611" s="448" t="str">
        <f>_xlfn.IFNA(VLOOKUP($AP611,Programma!$F$3:$R$1101,13,0),"")</f>
        <v>_</v>
      </c>
      <c r="BC611" s="448" t="str">
        <f>_xlfn.IFNA(VLOOKUP($AP611,Programma!$F$3:$S$1101,14,0),"")</f>
        <v>1m</v>
      </c>
      <c r="BD611" s="448" t="str">
        <f>_xlfn.IFNA(VLOOKUP($AP611,Programma!$F$3:$T$1101,15,0),"")</f>
        <v>4j</v>
      </c>
      <c r="BE611" s="448" t="str">
        <f>_xlfn.IFNA(VLOOKUP($AP611,Programma!$F$3:$U$1101,16,0),"")</f>
        <v>4j</v>
      </c>
      <c r="BF611" s="448" t="str">
        <f>_xlfn.IFNA(VLOOKUP($AP611,Programma!$F$3:$V$1101,17,0),"")</f>
        <v>_</v>
      </c>
      <c r="BG611" s="448" t="str">
        <f>_xlfn.IFNA(VLOOKUP($AP611,Programma!$F$3:$W$1101,18,0),"")</f>
        <v>_</v>
      </c>
      <c r="BH611" s="448" t="str">
        <f>_xlfn.IFNA(VLOOKUP($AP611,Programma!$F$3:$X$1101,19,0),"")</f>
        <v>_</v>
      </c>
      <c r="BI611" s="448" t="str">
        <f>_xlfn.IFNA(VLOOKUP($AP611,Programma!$F$3:$Y$1101,20,0),"")</f>
        <v>_</v>
      </c>
      <c r="BJ611" s="449"/>
      <c r="BK611" s="446" t="str">
        <f>IF(Ruimtestaat[[#This Row],[Frequentie weekend]]="","",_xlfn.CONCAT(Ruimtestaat[[#This Row],[Ruimte code]],"-",Ruimtestaat[[#This Row],[Frequentie weekend]]," ",Ruimtestaat[[#This Row],[Vloer code]]))</f>
        <v/>
      </c>
      <c r="BL611" s="448" t="str">
        <f>_xlfn.IFNA(VLOOKUP($BK611,Programma!$F$3:$G$1101,2,0),"")</f>
        <v/>
      </c>
      <c r="BM611" s="448" t="str">
        <f>_xlfn.IFNA(VLOOKUP($BK611,Programma!$F$3:$H$1101,3,0),"")</f>
        <v/>
      </c>
      <c r="BN611" s="448" t="str">
        <f>_xlfn.IFNA(VLOOKUP($BK611,Programma!$F$3:$I$1101,4,0),"")</f>
        <v/>
      </c>
      <c r="BO611" s="448" t="str">
        <f>_xlfn.IFNA(VLOOKUP($BK611,Programma!$F$3:$J$1101,5,0),"")</f>
        <v/>
      </c>
      <c r="BP611" s="448" t="str">
        <f>_xlfn.IFNA(VLOOKUP($BK611,Programma!$F$3:$K$1101,6,0),"")</f>
        <v/>
      </c>
      <c r="BQ611" s="448" t="str">
        <f>_xlfn.IFNA(VLOOKUP($BK611,Programma!$F$3:$L$1101,7,0),"")</f>
        <v/>
      </c>
      <c r="BR611" s="448" t="str">
        <f>_xlfn.IFNA(VLOOKUP($BK611,Programma!$F$3:$M$1101,8,0),"")</f>
        <v/>
      </c>
      <c r="BS611" s="448" t="str">
        <f>_xlfn.IFNA(VLOOKUP($BK611,Programma!$F$3:$N$1101,9,0),"")</f>
        <v/>
      </c>
      <c r="BT611" s="448" t="str">
        <f>_xlfn.IFNA(VLOOKUP($BK611,Programma!$F$3:$O$1101,10,0),"")</f>
        <v/>
      </c>
      <c r="BU611" s="448" t="str">
        <f>_xlfn.IFNA(VLOOKUP($BK611,Programma!$F$3:$P$1101,11,0),"")</f>
        <v/>
      </c>
      <c r="BV611" s="448" t="str">
        <f>_xlfn.IFNA(VLOOKUP($BK611,Programma!$F$3:$Q$1101,12,0),"")</f>
        <v/>
      </c>
      <c r="BW611" s="448" t="str">
        <f>_xlfn.IFNA(VLOOKUP($BK611,Programma!$F$3:$R$1101,13,0),"")</f>
        <v/>
      </c>
      <c r="BX611" s="448" t="str">
        <f>_xlfn.IFNA(VLOOKUP($BK611,Programma!$F$3:$S$1101,14,0),"")</f>
        <v/>
      </c>
      <c r="BY611" s="448" t="str">
        <f>_xlfn.IFNA(VLOOKUP($BK611,Programma!$F$3:$T$1101,15,0),"")</f>
        <v/>
      </c>
      <c r="BZ611" s="448" t="str">
        <f>_xlfn.IFNA(VLOOKUP($BK611,Programma!$F$3:$U$1101,16,0),"")</f>
        <v/>
      </c>
      <c r="CA611" s="448" t="str">
        <f>_xlfn.IFNA(VLOOKUP($BK611,Programma!$F$3:$V$1101,17,0),"")</f>
        <v/>
      </c>
      <c r="CB611" s="448" t="str">
        <f>_xlfn.IFNA(VLOOKUP($BK611,Programma!$F$3:$W$1101,18,0),"")</f>
        <v/>
      </c>
      <c r="CC611" s="448" t="str">
        <f>_xlfn.IFNA(VLOOKUP($BK611,Programma!$F$3:$X$1101,19,0),"")</f>
        <v/>
      </c>
      <c r="CD611" s="448" t="str">
        <f>_xlfn.IFNA(VLOOKUP($BK611,Programma!$F$3:$Y$1101,20,0),"")</f>
        <v/>
      </c>
    </row>
    <row r="612" spans="1:82" ht="15" customHeight="1">
      <c r="A612" s="327">
        <v>21</v>
      </c>
      <c r="B612" s="435" t="str">
        <f>VLOOKUP(Ruimtestaat[[#This Row],[Code]],Locaties[[Code]:[Locatie]],2,FALSE)</f>
        <v>IKC De  Leerplaneet (bijgebouw)</v>
      </c>
      <c r="C612" s="435" t="str">
        <f>VLOOKUP(Ruimtestaat[[#This Row],[Code]],Locaties[[#All],[Code]:[Adres]],4,FALSE)</f>
        <v>Nesciohove 105-107</v>
      </c>
      <c r="D612" s="435" t="str">
        <f>VLOOKUP(Ruimtestaat[[#This Row],[Code]],Locaties[[#All],[Code]:[Postcode]],5,FALSE)</f>
        <v>2716 BL</v>
      </c>
      <c r="E612" s="435" t="str">
        <f>VLOOKUP(Ruimtestaat[[#This Row],[Code]],Locaties[#All],6,FALSE)</f>
        <v>Zoetermeer</v>
      </c>
      <c r="F612" s="450"/>
      <c r="H612" s="330" t="s">
        <v>1830</v>
      </c>
      <c r="I612" s="450" t="s">
        <v>1724</v>
      </c>
      <c r="J612" s="330">
        <v>1</v>
      </c>
      <c r="K612" s="450" t="str">
        <f>VLOOKUP(Ruimtestaat[[#This Row],[Ruimte code]],Ruimtegroepen[[#All],[Code]:[Ruimte omschrijving]],2,FALSE)</f>
        <v>Magazijnen/bergingen</v>
      </c>
      <c r="L612" s="434" t="s">
        <v>100</v>
      </c>
      <c r="M612" s="437" t="s">
        <v>1759</v>
      </c>
      <c r="N612" s="439">
        <v>6</v>
      </c>
      <c r="O612" s="439"/>
      <c r="P612" s="439"/>
      <c r="Q612" s="439"/>
      <c r="R612" s="440" t="str">
        <f>VLOOKUP(Ruimtestaat[[#This Row],[Ruimte code]],Ruimtegroepen[],4,FALSE)</f>
        <v>Ve</v>
      </c>
      <c r="S612" s="434">
        <v>40</v>
      </c>
      <c r="T612" s="434" t="s">
        <v>16</v>
      </c>
      <c r="U612" s="453">
        <f>IF(S612&gt;0,IF(RIGHT(Ruimtestaat[[#This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612" s="434">
        <f>IF(U612&gt;0,VLOOKUP($J612,Ruimtegroepen[],3,FALSE)*VLOOKUP($L612,Vloersoorten[],3,FALSE)*VLOOKUP($T612,Frequenties[],3,FALSE)*VLOOKUP($A612,Locaties[],3,FALSE),0)</f>
        <v>0</v>
      </c>
      <c r="W612" s="434">
        <f>Ruimtestaat[[#This Row],[Uitvoeringen werkdagen]]*Ruimtestaat[[#This Row],[Oppervlak (netto)]]</f>
        <v>72</v>
      </c>
      <c r="X612" s="441">
        <f>IF(V612&gt;0,Ruimtestaat[[#This Row],[Prest. (m2 /jaar) werkdagen]]/Ruimtestaat[[#This Row],[Norm (m2/uur) werkdagen]],0)</f>
        <v>0</v>
      </c>
      <c r="Y612" s="442">
        <f>Ruimtestaat[[#This Row],[Uitvoeringen werkdagen]]*Ruimtestaat[[#This Row],[Gedeeltelijk]]</f>
        <v>0</v>
      </c>
      <c r="Z612" s="443" t="e">
        <f>IF(U612&gt;0,Ruimtestaat[[#This Row],[Prest. (m2 / jaar) werkdagen gedeeld]]/Ruimtestaat[[#This Row],[Norm (m2/uur) werkdagen]],0)</f>
        <v>#DIV/0!</v>
      </c>
      <c r="AA612" s="441" t="e">
        <f>Ruimtestaat[[#This Row],[uren / jaar werkdagen gedeeld]]*Tariefsopbouw!$E$35</f>
        <v>#DIV/0!</v>
      </c>
      <c r="AB612" s="441">
        <f>Ruimtestaat[[#This Row],[Uitvoeringen werkdagen]]*Ruimtestaat[[#This Row],[BSO]]</f>
        <v>0</v>
      </c>
      <c r="AC612" s="443" t="e">
        <f>IF(U612&gt;0,Ruimtestaat[[#This Row],[Prest. (m2 / jaar) werkdagen BSO]]/Ruimtestaat[[#This Row],[Norm (m2/uur) werkdagen]],0)</f>
        <v>#DIV/0!</v>
      </c>
      <c r="AD612" s="443" t="e">
        <f>Ruimtestaat[[#This Row],[uren / jaar werkdagen BSO]]*Tariefsopbouw!$E$35</f>
        <v>#DIV/0!</v>
      </c>
      <c r="AE612" s="444">
        <f>Ruimtestaat[[#This Row],[uren / jaar werkdagen]]*Tariefsopbouw!$E$35</f>
        <v>0</v>
      </c>
      <c r="AF612" s="454"/>
      <c r="AG612" s="455">
        <f>IF(Ruimtestaat[[#This Row],[Frequentie weekend]]&gt;0,VALUE(LEFT(AF612,1))*S612,0)</f>
        <v>0</v>
      </c>
      <c r="AH612" s="455">
        <f>IF($AG612&gt;0,VLOOKUP($J612,Ruimtegroepen[],3,FALSE)*VLOOKUP($L612,Vloersoorten[],3,FALSE)*VLOOKUP($AF612,Frequenties[],3,FALSE)*VLOOKUP(#REF!,Locaties[],3,FALSE),0)</f>
        <v>0</v>
      </c>
      <c r="AI612" s="434">
        <f>Ruimtestaat[[#This Row],[Uitvoeringen weekend]]*Ruimtestaat[[#This Row],[Oppervlak (netto)]]</f>
        <v>0</v>
      </c>
      <c r="AJ612" s="434">
        <f>IF(AH612&gt;0,Ruimtestaat[[#This Row],[Prest. (m2 /jaar) weekend]]/Ruimtestaat[[#This Row],[Norm (m2/uur) weekend]],0)</f>
        <v>0</v>
      </c>
      <c r="AK612" s="444">
        <f>Ruimtestaat[[#This Row],[uren / jaar weekend]]*Tariefsopbouw!$D$40</f>
        <v>0</v>
      </c>
      <c r="AL612" s="441">
        <f>Ruimtestaat[[#This Row],[Prest. (m2 /jaar) weekend]]+Ruimtestaat[[#This Row],[Prest. (m2 /jaar) werkdagen]]</f>
        <v>72</v>
      </c>
      <c r="AM612" s="441">
        <f>Ruimtestaat[[#This Row],[uren / jaar weekend]]+Ruimtestaat[[#This Row],[uren / jaar werkdagen]]</f>
        <v>0</v>
      </c>
      <c r="AN612" s="446">
        <f>Ruimtestaat[[#This Row],[kosten / jaar weekend]]+Ruimtestaat[[#This Row],[kosten / jaar werkdagen]]</f>
        <v>0</v>
      </c>
      <c r="AO612" s="446"/>
      <c r="AP612" s="446" t="str">
        <f>IF(Ruimtestaat[[#This Row],[Frequentie werkdagen]]="","",_xlfn.CONCAT(Ruimtestaat[[#This Row],[Ruimte code]],"-",Ruimtestaat[[#This Row],[Frequentie werkdagen]]," ",Ruimtestaat[[#This Row],[Vloer code]]))</f>
        <v>1-1m L</v>
      </c>
      <c r="AQ612" s="448" t="str">
        <f>_xlfn.IFNA(VLOOKUP($AP612,Programma!$F$3:$G$1101,2,0),"")</f>
        <v>_</v>
      </c>
      <c r="AR612" s="448" t="str">
        <f>_xlfn.IFNA(VLOOKUP($AP612,Programma!$F$3:$H$1101,3,0),"")</f>
        <v>_</v>
      </c>
      <c r="AS612" s="448" t="str">
        <f>_xlfn.IFNA(VLOOKUP($AP612,Programma!$F$3:$I$1101,4,0),"")</f>
        <v>1m</v>
      </c>
      <c r="AT612" s="448" t="str">
        <f>_xlfn.IFNA(VLOOKUP($AP612,Programma!$F$3:$J$1101,5,0),"")</f>
        <v>1m</v>
      </c>
      <c r="AU612" s="448" t="str">
        <f>_xlfn.IFNA(VLOOKUP($AP612,Programma!$F$3:$K$1101,6,0),"")</f>
        <v>_</v>
      </c>
      <c r="AV612" s="448" t="str">
        <f>_xlfn.IFNA(VLOOKUP($AP612,Programma!$F$3:$L$1101,7,0),"")</f>
        <v>_</v>
      </c>
      <c r="AW612" s="448" t="str">
        <f>_xlfn.IFNA(VLOOKUP($AP612,Programma!$F$3:$M$1101,8,0),"")</f>
        <v>_</v>
      </c>
      <c r="AX612" s="448" t="str">
        <f>_xlfn.IFNA(VLOOKUP($AP612,Programma!$F$3:$N$1101,9,0),"")</f>
        <v>_</v>
      </c>
      <c r="AY612" s="448" t="str">
        <f>_xlfn.IFNA(VLOOKUP($AP612,Programma!$F$3:$O$1101,10,0),"")</f>
        <v>_</v>
      </c>
      <c r="AZ612" s="448" t="str">
        <f>_xlfn.IFNA(VLOOKUP($AP612,Programma!$F$3:$P$1101,11,0),"")</f>
        <v>_</v>
      </c>
      <c r="BA612" s="448" t="str">
        <f>_xlfn.IFNA(VLOOKUP($AP612,Programma!$F$3:$Q$1101,12,0),"")</f>
        <v>_</v>
      </c>
      <c r="BB612" s="448" t="str">
        <f>_xlfn.IFNA(VLOOKUP($AP612,Programma!$F$3:$R$1101,13,0),"")</f>
        <v>_</v>
      </c>
      <c r="BC612" s="448" t="str">
        <f>_xlfn.IFNA(VLOOKUP($AP612,Programma!$F$3:$S$1101,14,0),"")</f>
        <v>1m</v>
      </c>
      <c r="BD612" s="448" t="str">
        <f>_xlfn.IFNA(VLOOKUP($AP612,Programma!$F$3:$T$1101,15,0),"")</f>
        <v>4j</v>
      </c>
      <c r="BE612" s="448" t="str">
        <f>_xlfn.IFNA(VLOOKUP($AP612,Programma!$F$3:$U$1101,16,0),"")</f>
        <v>4j</v>
      </c>
      <c r="BF612" s="448" t="str">
        <f>_xlfn.IFNA(VLOOKUP($AP612,Programma!$F$3:$V$1101,17,0),"")</f>
        <v>_</v>
      </c>
      <c r="BG612" s="448" t="str">
        <f>_xlfn.IFNA(VLOOKUP($AP612,Programma!$F$3:$W$1101,18,0),"")</f>
        <v>_</v>
      </c>
      <c r="BH612" s="448" t="str">
        <f>_xlfn.IFNA(VLOOKUP($AP612,Programma!$F$3:$X$1101,19,0),"")</f>
        <v>_</v>
      </c>
      <c r="BI612" s="448" t="str">
        <f>_xlfn.IFNA(VLOOKUP($AP612,Programma!$F$3:$Y$1101,20,0),"")</f>
        <v>_</v>
      </c>
      <c r="BJ612" s="449"/>
      <c r="BK612" s="446" t="str">
        <f>IF(Ruimtestaat[[#This Row],[Frequentie weekend]]="","",_xlfn.CONCAT(Ruimtestaat[[#This Row],[Ruimte code]],"-",Ruimtestaat[[#This Row],[Frequentie weekend]]," ",Ruimtestaat[[#This Row],[Vloer code]]))</f>
        <v/>
      </c>
      <c r="BL612" s="448" t="str">
        <f>_xlfn.IFNA(VLOOKUP($BK612,Programma!$F$3:$G$1101,2,0),"")</f>
        <v/>
      </c>
      <c r="BM612" s="448" t="str">
        <f>_xlfn.IFNA(VLOOKUP($BK612,Programma!$F$3:$H$1101,3,0),"")</f>
        <v/>
      </c>
      <c r="BN612" s="448" t="str">
        <f>_xlfn.IFNA(VLOOKUP($BK612,Programma!$F$3:$I$1101,4,0),"")</f>
        <v/>
      </c>
      <c r="BO612" s="448" t="str">
        <f>_xlfn.IFNA(VLOOKUP($BK612,Programma!$F$3:$J$1101,5,0),"")</f>
        <v/>
      </c>
      <c r="BP612" s="448" t="str">
        <f>_xlfn.IFNA(VLOOKUP($BK612,Programma!$F$3:$K$1101,6,0),"")</f>
        <v/>
      </c>
      <c r="BQ612" s="448" t="str">
        <f>_xlfn.IFNA(VLOOKUP($BK612,Programma!$F$3:$L$1101,7,0),"")</f>
        <v/>
      </c>
      <c r="BR612" s="448" t="str">
        <f>_xlfn.IFNA(VLOOKUP($BK612,Programma!$F$3:$M$1101,8,0),"")</f>
        <v/>
      </c>
      <c r="BS612" s="448" t="str">
        <f>_xlfn.IFNA(VLOOKUP($BK612,Programma!$F$3:$N$1101,9,0),"")</f>
        <v/>
      </c>
      <c r="BT612" s="448" t="str">
        <f>_xlfn.IFNA(VLOOKUP($BK612,Programma!$F$3:$O$1101,10,0),"")</f>
        <v/>
      </c>
      <c r="BU612" s="448" t="str">
        <f>_xlfn.IFNA(VLOOKUP($BK612,Programma!$F$3:$P$1101,11,0),"")</f>
        <v/>
      </c>
      <c r="BV612" s="448" t="str">
        <f>_xlfn.IFNA(VLOOKUP($BK612,Programma!$F$3:$Q$1101,12,0),"")</f>
        <v/>
      </c>
      <c r="BW612" s="448" t="str">
        <f>_xlfn.IFNA(VLOOKUP($BK612,Programma!$F$3:$R$1101,13,0),"")</f>
        <v/>
      </c>
      <c r="BX612" s="448" t="str">
        <f>_xlfn.IFNA(VLOOKUP($BK612,Programma!$F$3:$S$1101,14,0),"")</f>
        <v/>
      </c>
      <c r="BY612" s="448" t="str">
        <f>_xlfn.IFNA(VLOOKUP($BK612,Programma!$F$3:$T$1101,15,0),"")</f>
        <v/>
      </c>
      <c r="BZ612" s="448" t="str">
        <f>_xlfn.IFNA(VLOOKUP($BK612,Programma!$F$3:$U$1101,16,0),"")</f>
        <v/>
      </c>
      <c r="CA612" s="448" t="str">
        <f>_xlfn.IFNA(VLOOKUP($BK612,Programma!$F$3:$V$1101,17,0),"")</f>
        <v/>
      </c>
      <c r="CB612" s="448" t="str">
        <f>_xlfn.IFNA(VLOOKUP($BK612,Programma!$F$3:$W$1101,18,0),"")</f>
        <v/>
      </c>
      <c r="CC612" s="448" t="str">
        <f>_xlfn.IFNA(VLOOKUP($BK612,Programma!$F$3:$X$1101,19,0),"")</f>
        <v/>
      </c>
      <c r="CD612" s="448" t="str">
        <f>_xlfn.IFNA(VLOOKUP($BK612,Programma!$F$3:$Y$1101,20,0),"")</f>
        <v/>
      </c>
    </row>
    <row r="613" spans="1:82" ht="15" customHeight="1">
      <c r="A613" s="327">
        <v>21</v>
      </c>
      <c r="B613" s="435" t="str">
        <f>VLOOKUP(Ruimtestaat[[#This Row],[Code]],Locaties[[Code]:[Locatie]],2,FALSE)</f>
        <v>IKC De  Leerplaneet (bijgebouw)</v>
      </c>
      <c r="C613" s="435" t="str">
        <f>VLOOKUP(Ruimtestaat[[#This Row],[Code]],Locaties[[#All],[Code]:[Adres]],4,FALSE)</f>
        <v>Nesciohove 105-107</v>
      </c>
      <c r="D613" s="435" t="str">
        <f>VLOOKUP(Ruimtestaat[[#This Row],[Code]],Locaties[[#All],[Code]:[Postcode]],5,FALSE)</f>
        <v>2716 BL</v>
      </c>
      <c r="E613" s="435" t="str">
        <f>VLOOKUP(Ruimtestaat[[#This Row],[Code]],Locaties[#All],6,FALSE)</f>
        <v>Zoetermeer</v>
      </c>
      <c r="F613" s="450"/>
      <c r="H613" s="330" t="s">
        <v>1831</v>
      </c>
      <c r="I613" s="450" t="s">
        <v>1724</v>
      </c>
      <c r="J613" s="330">
        <v>20</v>
      </c>
      <c r="K613" s="450" t="str">
        <f>VLOOKUP(Ruimtestaat[[#This Row],[Ruimte code]],Ruimtegroepen[[#All],[Code]:[Ruimte omschrijving]],2,FALSE)</f>
        <v>Niet in Onderhoud</v>
      </c>
      <c r="L613" s="434" t="s">
        <v>100</v>
      </c>
      <c r="M613" s="437" t="s">
        <v>1759</v>
      </c>
      <c r="N613" s="439"/>
      <c r="O613" s="439">
        <v>6</v>
      </c>
      <c r="P613" s="439"/>
      <c r="Q613" s="439"/>
      <c r="R613" s="440">
        <f>VLOOKUP(Ruimtestaat[[#This Row],[Ruimte code]],Ruimtegroepen[],4,FALSE)</f>
        <v>0</v>
      </c>
      <c r="S613" s="434"/>
      <c r="T613" s="434"/>
      <c r="U613" s="453">
        <f>IF(S613&gt;0,IF(RIGHT(Ruimtestaat[[#This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13" s="434">
        <f>IF(U613&gt;0,VLOOKUP($J613,Ruimtegroepen[],3,FALSE)*VLOOKUP($L613,Vloersoorten[],3,FALSE)*VLOOKUP($T613,Frequenties[],3,FALSE)*VLOOKUP($A613,Locaties[],3,FALSE),0)</f>
        <v>0</v>
      </c>
      <c r="W613" s="434">
        <f>Ruimtestaat[[#This Row],[Uitvoeringen werkdagen]]*Ruimtestaat[[#This Row],[Oppervlak (netto)]]</f>
        <v>0</v>
      </c>
      <c r="X613" s="441">
        <f>IF(V613&gt;0,Ruimtestaat[[#This Row],[Prest. (m2 /jaar) werkdagen]]/Ruimtestaat[[#This Row],[Norm (m2/uur) werkdagen]],0)</f>
        <v>0</v>
      </c>
      <c r="Y613" s="442">
        <f>Ruimtestaat[[#This Row],[Uitvoeringen werkdagen]]*Ruimtestaat[[#This Row],[Gedeeltelijk]]</f>
        <v>0</v>
      </c>
      <c r="Z613" s="443">
        <f>IF(U613&gt;0,Ruimtestaat[[#This Row],[Prest. (m2 / jaar) werkdagen gedeeld]]/Ruimtestaat[[#This Row],[Norm (m2/uur) werkdagen]],0)</f>
        <v>0</v>
      </c>
      <c r="AA613" s="441">
        <f>Ruimtestaat[[#This Row],[uren / jaar werkdagen gedeeld]]*Tariefsopbouw!$E$35</f>
        <v>0</v>
      </c>
      <c r="AB613" s="441">
        <f>Ruimtestaat[[#This Row],[Uitvoeringen werkdagen]]*Ruimtestaat[[#This Row],[BSO]]</f>
        <v>0</v>
      </c>
      <c r="AC613" s="443">
        <f>IF(U613&gt;0,Ruimtestaat[[#This Row],[Prest. (m2 / jaar) werkdagen BSO]]/Ruimtestaat[[#This Row],[Norm (m2/uur) werkdagen]],0)</f>
        <v>0</v>
      </c>
      <c r="AD613" s="443">
        <f>Ruimtestaat[[#This Row],[uren / jaar werkdagen BSO]]*Tariefsopbouw!$E$35</f>
        <v>0</v>
      </c>
      <c r="AE613" s="444">
        <f>Ruimtestaat[[#This Row],[uren / jaar werkdagen]]*Tariefsopbouw!$E$35</f>
        <v>0</v>
      </c>
      <c r="AF613" s="454"/>
      <c r="AG613" s="455">
        <f>IF(Ruimtestaat[[#This Row],[Frequentie weekend]]&gt;0,VALUE(LEFT(AF613,1))*S613,0)</f>
        <v>0</v>
      </c>
      <c r="AH613" s="455">
        <f>IF($AG613&gt;0,VLOOKUP($J613,Ruimtegroepen[],3,FALSE)*VLOOKUP($L613,Vloersoorten[],3,FALSE)*VLOOKUP($AF613,Frequenties[],3,FALSE)*VLOOKUP(#REF!,Locaties[],3,FALSE),0)</f>
        <v>0</v>
      </c>
      <c r="AI613" s="434">
        <f>Ruimtestaat[[#This Row],[Uitvoeringen weekend]]*Ruimtestaat[[#This Row],[Oppervlak (netto)]]</f>
        <v>0</v>
      </c>
      <c r="AJ613" s="434">
        <f>IF(AH613&gt;0,Ruimtestaat[[#This Row],[Prest. (m2 /jaar) weekend]]/Ruimtestaat[[#This Row],[Norm (m2/uur) weekend]],0)</f>
        <v>0</v>
      </c>
      <c r="AK613" s="444">
        <f>Ruimtestaat[[#This Row],[uren / jaar weekend]]*Tariefsopbouw!$D$40</f>
        <v>0</v>
      </c>
      <c r="AL613" s="441">
        <f>Ruimtestaat[[#This Row],[Prest. (m2 /jaar) weekend]]+Ruimtestaat[[#This Row],[Prest. (m2 /jaar) werkdagen]]</f>
        <v>0</v>
      </c>
      <c r="AM613" s="441">
        <f>Ruimtestaat[[#This Row],[uren / jaar weekend]]+Ruimtestaat[[#This Row],[uren / jaar werkdagen]]</f>
        <v>0</v>
      </c>
      <c r="AN613" s="446">
        <f>Ruimtestaat[[#This Row],[kosten / jaar weekend]]+Ruimtestaat[[#This Row],[kosten / jaar werkdagen]]</f>
        <v>0</v>
      </c>
      <c r="AO613" s="446"/>
      <c r="AP613" s="446" t="str">
        <f>IF(Ruimtestaat[[#This Row],[Frequentie werkdagen]]="","",_xlfn.CONCAT(Ruimtestaat[[#This Row],[Ruimte code]],"-",Ruimtestaat[[#This Row],[Frequentie werkdagen]]," ",Ruimtestaat[[#This Row],[Vloer code]]))</f>
        <v/>
      </c>
      <c r="AQ613" s="448" t="str">
        <f>_xlfn.IFNA(VLOOKUP($AP613,Programma!$F$3:$G$1101,2,0),"")</f>
        <v/>
      </c>
      <c r="AR613" s="448" t="str">
        <f>_xlfn.IFNA(VLOOKUP($AP613,Programma!$F$3:$H$1101,3,0),"")</f>
        <v/>
      </c>
      <c r="AS613" s="448" t="str">
        <f>_xlfn.IFNA(VLOOKUP($AP613,Programma!$F$3:$I$1101,4,0),"")</f>
        <v/>
      </c>
      <c r="AT613" s="448" t="str">
        <f>_xlfn.IFNA(VLOOKUP($AP613,Programma!$F$3:$J$1101,5,0),"")</f>
        <v/>
      </c>
      <c r="AU613" s="448" t="str">
        <f>_xlfn.IFNA(VLOOKUP($AP613,Programma!$F$3:$K$1101,6,0),"")</f>
        <v/>
      </c>
      <c r="AV613" s="448" t="str">
        <f>_xlfn.IFNA(VLOOKUP($AP613,Programma!$F$3:$L$1101,7,0),"")</f>
        <v/>
      </c>
      <c r="AW613" s="448" t="str">
        <f>_xlfn.IFNA(VLOOKUP($AP613,Programma!$F$3:$M$1101,8,0),"")</f>
        <v/>
      </c>
      <c r="AX613" s="448" t="str">
        <f>_xlfn.IFNA(VLOOKUP($AP613,Programma!$F$3:$N$1101,9,0),"")</f>
        <v/>
      </c>
      <c r="AY613" s="448" t="str">
        <f>_xlfn.IFNA(VLOOKUP($AP613,Programma!$F$3:$O$1101,10,0),"")</f>
        <v/>
      </c>
      <c r="AZ613" s="448" t="str">
        <f>_xlfn.IFNA(VLOOKUP($AP613,Programma!$F$3:$P$1101,11,0),"")</f>
        <v/>
      </c>
      <c r="BA613" s="448" t="str">
        <f>_xlfn.IFNA(VLOOKUP($AP613,Programma!$F$3:$Q$1101,12,0),"")</f>
        <v/>
      </c>
      <c r="BB613" s="448" t="str">
        <f>_xlfn.IFNA(VLOOKUP($AP613,Programma!$F$3:$R$1101,13,0),"")</f>
        <v/>
      </c>
      <c r="BC613" s="448" t="str">
        <f>_xlfn.IFNA(VLOOKUP($AP613,Programma!$F$3:$S$1101,14,0),"")</f>
        <v/>
      </c>
      <c r="BD613" s="448" t="str">
        <f>_xlfn.IFNA(VLOOKUP($AP613,Programma!$F$3:$T$1101,15,0),"")</f>
        <v/>
      </c>
      <c r="BE613" s="448" t="str">
        <f>_xlfn.IFNA(VLOOKUP($AP613,Programma!$F$3:$U$1101,16,0),"")</f>
        <v/>
      </c>
      <c r="BF613" s="448" t="str">
        <f>_xlfn.IFNA(VLOOKUP($AP613,Programma!$F$3:$V$1101,17,0),"")</f>
        <v/>
      </c>
      <c r="BG613" s="448" t="str">
        <f>_xlfn.IFNA(VLOOKUP($AP613,Programma!$F$3:$W$1101,18,0),"")</f>
        <v/>
      </c>
      <c r="BH613" s="448" t="str">
        <f>_xlfn.IFNA(VLOOKUP($AP613,Programma!$F$3:$X$1101,19,0),"")</f>
        <v/>
      </c>
      <c r="BI613" s="448" t="str">
        <f>_xlfn.IFNA(VLOOKUP($AP613,Programma!$F$3:$Y$1101,20,0),"")</f>
        <v/>
      </c>
      <c r="BJ613" s="449"/>
      <c r="BK613" s="446" t="str">
        <f>IF(Ruimtestaat[[#This Row],[Frequentie weekend]]="","",_xlfn.CONCAT(Ruimtestaat[[#This Row],[Ruimte code]],"-",Ruimtestaat[[#This Row],[Frequentie weekend]]," ",Ruimtestaat[[#This Row],[Vloer code]]))</f>
        <v/>
      </c>
      <c r="BL613" s="448" t="str">
        <f>_xlfn.IFNA(VLOOKUP($BK613,Programma!$F$3:$G$1101,2,0),"")</f>
        <v/>
      </c>
      <c r="BM613" s="448" t="str">
        <f>_xlfn.IFNA(VLOOKUP($BK613,Programma!$F$3:$H$1101,3,0),"")</f>
        <v/>
      </c>
      <c r="BN613" s="448" t="str">
        <f>_xlfn.IFNA(VLOOKUP($BK613,Programma!$F$3:$I$1101,4,0),"")</f>
        <v/>
      </c>
      <c r="BO613" s="448" t="str">
        <f>_xlfn.IFNA(VLOOKUP($BK613,Programma!$F$3:$J$1101,5,0),"")</f>
        <v/>
      </c>
      <c r="BP613" s="448" t="str">
        <f>_xlfn.IFNA(VLOOKUP($BK613,Programma!$F$3:$K$1101,6,0),"")</f>
        <v/>
      </c>
      <c r="BQ613" s="448" t="str">
        <f>_xlfn.IFNA(VLOOKUP($BK613,Programma!$F$3:$L$1101,7,0),"")</f>
        <v/>
      </c>
      <c r="BR613" s="448" t="str">
        <f>_xlfn.IFNA(VLOOKUP($BK613,Programma!$F$3:$M$1101,8,0),"")</f>
        <v/>
      </c>
      <c r="BS613" s="448" t="str">
        <f>_xlfn.IFNA(VLOOKUP($BK613,Programma!$F$3:$N$1101,9,0),"")</f>
        <v/>
      </c>
      <c r="BT613" s="448" t="str">
        <f>_xlfn.IFNA(VLOOKUP($BK613,Programma!$F$3:$O$1101,10,0),"")</f>
        <v/>
      </c>
      <c r="BU613" s="448" t="str">
        <f>_xlfn.IFNA(VLOOKUP($BK613,Programma!$F$3:$P$1101,11,0),"")</f>
        <v/>
      </c>
      <c r="BV613" s="448" t="str">
        <f>_xlfn.IFNA(VLOOKUP($BK613,Programma!$F$3:$Q$1101,12,0),"")</f>
        <v/>
      </c>
      <c r="BW613" s="448" t="str">
        <f>_xlfn.IFNA(VLOOKUP($BK613,Programma!$F$3:$R$1101,13,0),"")</f>
        <v/>
      </c>
      <c r="BX613" s="448" t="str">
        <f>_xlfn.IFNA(VLOOKUP($BK613,Programma!$F$3:$S$1101,14,0),"")</f>
        <v/>
      </c>
      <c r="BY613" s="448" t="str">
        <f>_xlfn.IFNA(VLOOKUP($BK613,Programma!$F$3:$T$1101,15,0),"")</f>
        <v/>
      </c>
      <c r="BZ613" s="448" t="str">
        <f>_xlfn.IFNA(VLOOKUP($BK613,Programma!$F$3:$U$1101,16,0),"")</f>
        <v/>
      </c>
      <c r="CA613" s="448" t="str">
        <f>_xlfn.IFNA(VLOOKUP($BK613,Programma!$F$3:$V$1101,17,0),"")</f>
        <v/>
      </c>
      <c r="CB613" s="448" t="str">
        <f>_xlfn.IFNA(VLOOKUP($BK613,Programma!$F$3:$W$1101,18,0),"")</f>
        <v/>
      </c>
      <c r="CC613" s="448" t="str">
        <f>_xlfn.IFNA(VLOOKUP($BK613,Programma!$F$3:$X$1101,19,0),"")</f>
        <v/>
      </c>
      <c r="CD613" s="448" t="str">
        <f>_xlfn.IFNA(VLOOKUP($BK613,Programma!$F$3:$Y$1101,20,0),"")</f>
        <v/>
      </c>
    </row>
    <row r="614" spans="1:82" ht="15" customHeight="1">
      <c r="A614" s="327">
        <v>21</v>
      </c>
      <c r="B614" s="435" t="str">
        <f>VLOOKUP(Ruimtestaat[[#This Row],[Code]],Locaties[[Code]:[Locatie]],2,FALSE)</f>
        <v>IKC De  Leerplaneet (bijgebouw)</v>
      </c>
      <c r="C614" s="435" t="str">
        <f>VLOOKUP(Ruimtestaat[[#This Row],[Code]],Locaties[[#All],[Code]:[Adres]],4,FALSE)</f>
        <v>Nesciohove 105-107</v>
      </c>
      <c r="D614" s="435" t="str">
        <f>VLOOKUP(Ruimtestaat[[#This Row],[Code]],Locaties[[#All],[Code]:[Postcode]],5,FALSE)</f>
        <v>2716 BL</v>
      </c>
      <c r="E614" s="435" t="str">
        <f>VLOOKUP(Ruimtestaat[[#This Row],[Code]],Locaties[#All],6,FALSE)</f>
        <v>Zoetermeer</v>
      </c>
      <c r="F614" s="450"/>
      <c r="H614" s="330" t="s">
        <v>1904</v>
      </c>
      <c r="I614" s="450" t="s">
        <v>1720</v>
      </c>
      <c r="J614" s="330">
        <v>5</v>
      </c>
      <c r="K614" s="450" t="str">
        <f>VLOOKUP(Ruimtestaat[[#This Row],[Ruimte code]],Ruimtegroepen[[#All],[Code]:[Ruimte omschrijving]],2,FALSE)</f>
        <v>Sanitair</v>
      </c>
      <c r="L614" s="330" t="s">
        <v>101</v>
      </c>
      <c r="M614" s="437" t="s">
        <v>119</v>
      </c>
      <c r="N614" s="439">
        <v>7</v>
      </c>
      <c r="O614" s="439"/>
      <c r="P614" s="439"/>
      <c r="Q614" s="439"/>
      <c r="R614" s="440" t="str">
        <f>VLOOKUP(Ruimtestaat[[#This Row],[Ruimte code]],Ruimtegroepen[],4,FALSE)</f>
        <v>Sa</v>
      </c>
      <c r="S614" s="434">
        <v>41</v>
      </c>
      <c r="T614" s="434" t="s">
        <v>2</v>
      </c>
      <c r="U614" s="453">
        <f>IF(S614&gt;0,IF(RIGHT(Ruimtestaat[[#This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14" s="434">
        <f>IF(U614&gt;0,VLOOKUP($J614,Ruimtegroepen[],3,FALSE)*VLOOKUP($L614,Vloersoorten[],3,FALSE)*VLOOKUP($T614,Frequenties[],3,FALSE)*VLOOKUP($A614,Locaties[],3,FALSE),0)</f>
        <v>0</v>
      </c>
      <c r="W614" s="434">
        <f>Ruimtestaat[[#This Row],[Uitvoeringen werkdagen]]*Ruimtestaat[[#This Row],[Oppervlak (netto)]]</f>
        <v>1435</v>
      </c>
      <c r="X614" s="441">
        <f>IF(V614&gt;0,Ruimtestaat[[#This Row],[Prest. (m2 /jaar) werkdagen]]/Ruimtestaat[[#This Row],[Norm (m2/uur) werkdagen]],0)</f>
        <v>0</v>
      </c>
      <c r="Y614" s="442">
        <f>Ruimtestaat[[#This Row],[Uitvoeringen werkdagen]]*Ruimtestaat[[#This Row],[Gedeeltelijk]]</f>
        <v>0</v>
      </c>
      <c r="Z614" s="443" t="e">
        <f>IF(U614&gt;0,Ruimtestaat[[#This Row],[Prest. (m2 / jaar) werkdagen gedeeld]]/Ruimtestaat[[#This Row],[Norm (m2/uur) werkdagen]],0)</f>
        <v>#DIV/0!</v>
      </c>
      <c r="AA614" s="441" t="e">
        <f>Ruimtestaat[[#This Row],[uren / jaar werkdagen gedeeld]]*Tariefsopbouw!$E$35</f>
        <v>#DIV/0!</v>
      </c>
      <c r="AB614" s="441">
        <f>Ruimtestaat[[#This Row],[Uitvoeringen werkdagen]]*Ruimtestaat[[#This Row],[BSO]]</f>
        <v>0</v>
      </c>
      <c r="AC614" s="443" t="e">
        <f>IF(U614&gt;0,Ruimtestaat[[#This Row],[Prest. (m2 / jaar) werkdagen BSO]]/Ruimtestaat[[#This Row],[Norm (m2/uur) werkdagen]],0)</f>
        <v>#DIV/0!</v>
      </c>
      <c r="AD614" s="443" t="e">
        <f>Ruimtestaat[[#This Row],[uren / jaar werkdagen BSO]]*Tariefsopbouw!$E$35</f>
        <v>#DIV/0!</v>
      </c>
      <c r="AE614" s="444">
        <f>Ruimtestaat[[#This Row],[uren / jaar werkdagen]]*Tariefsopbouw!$E$35</f>
        <v>0</v>
      </c>
      <c r="AF614" s="454"/>
      <c r="AG614" s="455">
        <f>IF(Ruimtestaat[[#This Row],[Frequentie weekend]]&gt;0,VALUE(LEFT(AF614,1))*S614,0)</f>
        <v>0</v>
      </c>
      <c r="AH614" s="455">
        <f>IF($AG614&gt;0,VLOOKUP($J614,Ruimtegroepen[],3,FALSE)*VLOOKUP($L614,Vloersoorten[],3,FALSE)*VLOOKUP($AF614,Frequenties[],3,FALSE)*VLOOKUP(#REF!,Locaties[],3,FALSE),0)</f>
        <v>0</v>
      </c>
      <c r="AI614" s="434">
        <f>Ruimtestaat[[#This Row],[Uitvoeringen weekend]]*Ruimtestaat[[#This Row],[Oppervlak (netto)]]</f>
        <v>0</v>
      </c>
      <c r="AJ614" s="434">
        <f>IF(AH614&gt;0,Ruimtestaat[[#This Row],[Prest. (m2 /jaar) weekend]]/Ruimtestaat[[#This Row],[Norm (m2/uur) weekend]],0)</f>
        <v>0</v>
      </c>
      <c r="AK614" s="444">
        <f>Ruimtestaat[[#This Row],[uren / jaar weekend]]*Tariefsopbouw!$D$40</f>
        <v>0</v>
      </c>
      <c r="AL614" s="441">
        <f>Ruimtestaat[[#This Row],[Prest. (m2 /jaar) weekend]]+Ruimtestaat[[#This Row],[Prest. (m2 /jaar) werkdagen]]</f>
        <v>1435</v>
      </c>
      <c r="AM614" s="441">
        <f>Ruimtestaat[[#This Row],[uren / jaar weekend]]+Ruimtestaat[[#This Row],[uren / jaar werkdagen]]</f>
        <v>0</v>
      </c>
      <c r="AN614" s="446">
        <f>Ruimtestaat[[#This Row],[kosten / jaar weekend]]+Ruimtestaat[[#This Row],[kosten / jaar werkdagen]]</f>
        <v>0</v>
      </c>
      <c r="AO614" s="446"/>
      <c r="AP614" s="446" t="str">
        <f>IF(Ruimtestaat[[#This Row],[Frequentie werkdagen]]="","",_xlfn.CONCAT(Ruimtestaat[[#This Row],[Ruimte code]],"-",Ruimtestaat[[#This Row],[Frequentie werkdagen]]," ",Ruimtestaat[[#This Row],[Vloer code]]))</f>
        <v>5-5w S</v>
      </c>
      <c r="AQ614" s="448" t="str">
        <f>_xlfn.IFNA(VLOOKUP($AP614,Programma!$F$3:$G$1101,2,0),"")</f>
        <v>_</v>
      </c>
      <c r="AR614" s="448" t="str">
        <f>_xlfn.IFNA(VLOOKUP($AP614,Programma!$F$3:$H$1101,3,0),"")</f>
        <v>_</v>
      </c>
      <c r="AS614" s="448" t="str">
        <f>_xlfn.IFNA(VLOOKUP($AP614,Programma!$F$3:$I$1101,4,0),"")</f>
        <v>_</v>
      </c>
      <c r="AT614" s="448" t="str">
        <f>_xlfn.IFNA(VLOOKUP($AP614,Programma!$F$3:$J$1101,5,0),"")</f>
        <v>4w</v>
      </c>
      <c r="AU614" s="448" t="str">
        <f>_xlfn.IFNA(VLOOKUP($AP614,Programma!$F$3:$K$1101,6,0),"")</f>
        <v>1w</v>
      </c>
      <c r="AV614" s="448" t="str">
        <f>_xlfn.IFNA(VLOOKUP($AP614,Programma!$F$3:$L$1101,7,0),"")</f>
        <v>_</v>
      </c>
      <c r="AW614" s="448" t="str">
        <f>_xlfn.IFNA(VLOOKUP($AP614,Programma!$F$3:$M$1101,8,0),"")</f>
        <v>_</v>
      </c>
      <c r="AX614" s="448" t="str">
        <f>_xlfn.IFNA(VLOOKUP($AP614,Programma!$F$3:$N$1101,9,0),"")</f>
        <v>_</v>
      </c>
      <c r="AY614" s="448" t="str">
        <f>_xlfn.IFNA(VLOOKUP($AP614,Programma!$F$3:$O$1101,10,0),"")</f>
        <v>_</v>
      </c>
      <c r="AZ614" s="448" t="str">
        <f>_xlfn.IFNA(VLOOKUP($AP614,Programma!$F$3:$P$1101,11,0),"")</f>
        <v>_</v>
      </c>
      <c r="BA614" s="448" t="str">
        <f>_xlfn.IFNA(VLOOKUP($AP614,Programma!$F$3:$Q$1101,12,0),"")</f>
        <v>_</v>
      </c>
      <c r="BB614" s="448" t="str">
        <f>_xlfn.IFNA(VLOOKUP($AP614,Programma!$F$3:$R$1101,13,0),"")</f>
        <v>_</v>
      </c>
      <c r="BC614" s="448" t="str">
        <f>_xlfn.IFNA(VLOOKUP($AP614,Programma!$F$3:$S$1101,14,0),"")</f>
        <v>_</v>
      </c>
      <c r="BD614" s="448" t="str">
        <f>_xlfn.IFNA(VLOOKUP($AP614,Programma!$F$3:$T$1101,15,0),"")</f>
        <v>_</v>
      </c>
      <c r="BE614" s="448" t="str">
        <f>_xlfn.IFNA(VLOOKUP($AP614,Programma!$F$3:$U$1101,16,0),"")</f>
        <v>_</v>
      </c>
      <c r="BF614" s="448" t="str">
        <f>_xlfn.IFNA(VLOOKUP($AP614,Programma!$F$3:$V$1101,17,0),"")</f>
        <v>_</v>
      </c>
      <c r="BG614" s="448" t="str">
        <f>_xlfn.IFNA(VLOOKUP($AP614,Programma!$F$3:$W$1101,18,0),"")</f>
        <v>4w</v>
      </c>
      <c r="BH614" s="448" t="str">
        <f>_xlfn.IFNA(VLOOKUP($AP614,Programma!$F$3:$X$1101,19,0),"")</f>
        <v>1w</v>
      </c>
      <c r="BI614" s="448" t="str">
        <f>_xlfn.IFNA(VLOOKUP($AP614,Programma!$F$3:$Y$1101,20,0),"")</f>
        <v>_</v>
      </c>
      <c r="BJ614" s="449"/>
      <c r="BK614" s="446" t="str">
        <f>IF(Ruimtestaat[[#This Row],[Frequentie weekend]]="","",_xlfn.CONCAT(Ruimtestaat[[#This Row],[Ruimte code]],"-",Ruimtestaat[[#This Row],[Frequentie weekend]]," ",Ruimtestaat[[#This Row],[Vloer code]]))</f>
        <v/>
      </c>
      <c r="BL614" s="448" t="str">
        <f>_xlfn.IFNA(VLOOKUP($BK614,Programma!$F$3:$G$1101,2,0),"")</f>
        <v/>
      </c>
      <c r="BM614" s="448" t="str">
        <f>_xlfn.IFNA(VLOOKUP($BK614,Programma!$F$3:$H$1101,3,0),"")</f>
        <v/>
      </c>
      <c r="BN614" s="448" t="str">
        <f>_xlfn.IFNA(VLOOKUP($BK614,Programma!$F$3:$I$1101,4,0),"")</f>
        <v/>
      </c>
      <c r="BO614" s="448" t="str">
        <f>_xlfn.IFNA(VLOOKUP($BK614,Programma!$F$3:$J$1101,5,0),"")</f>
        <v/>
      </c>
      <c r="BP614" s="448" t="str">
        <f>_xlfn.IFNA(VLOOKUP($BK614,Programma!$F$3:$K$1101,6,0),"")</f>
        <v/>
      </c>
      <c r="BQ614" s="448" t="str">
        <f>_xlfn.IFNA(VLOOKUP($BK614,Programma!$F$3:$L$1101,7,0),"")</f>
        <v/>
      </c>
      <c r="BR614" s="448" t="str">
        <f>_xlfn.IFNA(VLOOKUP($BK614,Programma!$F$3:$M$1101,8,0),"")</f>
        <v/>
      </c>
      <c r="BS614" s="448" t="str">
        <f>_xlfn.IFNA(VLOOKUP($BK614,Programma!$F$3:$N$1101,9,0),"")</f>
        <v/>
      </c>
      <c r="BT614" s="448" t="str">
        <f>_xlfn.IFNA(VLOOKUP($BK614,Programma!$F$3:$O$1101,10,0),"")</f>
        <v/>
      </c>
      <c r="BU614" s="448" t="str">
        <f>_xlfn.IFNA(VLOOKUP($BK614,Programma!$F$3:$P$1101,11,0),"")</f>
        <v/>
      </c>
      <c r="BV614" s="448" t="str">
        <f>_xlfn.IFNA(VLOOKUP($BK614,Programma!$F$3:$Q$1101,12,0),"")</f>
        <v/>
      </c>
      <c r="BW614" s="448" t="str">
        <f>_xlfn.IFNA(VLOOKUP($BK614,Programma!$F$3:$R$1101,13,0),"")</f>
        <v/>
      </c>
      <c r="BX614" s="448" t="str">
        <f>_xlfn.IFNA(VLOOKUP($BK614,Programma!$F$3:$S$1101,14,0),"")</f>
        <v/>
      </c>
      <c r="BY614" s="448" t="str">
        <f>_xlfn.IFNA(VLOOKUP($BK614,Programma!$F$3:$T$1101,15,0),"")</f>
        <v/>
      </c>
      <c r="BZ614" s="448" t="str">
        <f>_xlfn.IFNA(VLOOKUP($BK614,Programma!$F$3:$U$1101,16,0),"")</f>
        <v/>
      </c>
      <c r="CA614" s="448" t="str">
        <f>_xlfn.IFNA(VLOOKUP($BK614,Programma!$F$3:$V$1101,17,0),"")</f>
        <v/>
      </c>
      <c r="CB614" s="448" t="str">
        <f>_xlfn.IFNA(VLOOKUP($BK614,Programma!$F$3:$W$1101,18,0),"")</f>
        <v/>
      </c>
      <c r="CC614" s="448" t="str">
        <f>_xlfn.IFNA(VLOOKUP($BK614,Programma!$F$3:$X$1101,19,0),"")</f>
        <v/>
      </c>
      <c r="CD614" s="448" t="str">
        <f>_xlfn.IFNA(VLOOKUP($BK614,Programma!$F$3:$Y$1101,20,0),"")</f>
        <v/>
      </c>
    </row>
    <row r="615" spans="1:82" ht="15" customHeight="1">
      <c r="A615" s="327">
        <v>21</v>
      </c>
      <c r="B615" s="435" t="str">
        <f>VLOOKUP(Ruimtestaat[[#This Row],[Code]],Locaties[[Code]:[Locatie]],2,FALSE)</f>
        <v>IKC De  Leerplaneet (bijgebouw)</v>
      </c>
      <c r="C615" s="435" t="str">
        <f>VLOOKUP(Ruimtestaat[[#This Row],[Code]],Locaties[[#All],[Code]:[Adres]],4,FALSE)</f>
        <v>Nesciohove 105-107</v>
      </c>
      <c r="D615" s="435" t="str">
        <f>VLOOKUP(Ruimtestaat[[#This Row],[Code]],Locaties[[#All],[Code]:[Postcode]],5,FALSE)</f>
        <v>2716 BL</v>
      </c>
      <c r="E615" s="435" t="str">
        <f>VLOOKUP(Ruimtestaat[[#This Row],[Code]],Locaties[#All],6,FALSE)</f>
        <v>Zoetermeer</v>
      </c>
      <c r="F615" s="450"/>
      <c r="H615" s="330" t="s">
        <v>1905</v>
      </c>
      <c r="I615" s="450" t="s">
        <v>1745</v>
      </c>
      <c r="J615" s="330">
        <v>20</v>
      </c>
      <c r="K615" s="450" t="str">
        <f>VLOOKUP(Ruimtestaat[[#This Row],[Ruimte code]],Ruimtegroepen[[#All],[Code]:[Ruimte omschrijving]],2,FALSE)</f>
        <v>Niet in Onderhoud</v>
      </c>
      <c r="L615" s="434" t="s">
        <v>100</v>
      </c>
      <c r="M615" s="437" t="s">
        <v>1759</v>
      </c>
      <c r="N615" s="439"/>
      <c r="O615" s="439">
        <v>193</v>
      </c>
      <c r="P615" s="439"/>
      <c r="Q615" s="439"/>
      <c r="R615" s="440">
        <f>VLOOKUP(Ruimtestaat[[#This Row],[Ruimte code]],Ruimtegroepen[],4,FALSE)</f>
        <v>0</v>
      </c>
      <c r="S615" s="434"/>
      <c r="T615" s="434"/>
      <c r="U615" s="453">
        <f>IF(S615&gt;0,IF(RIGHT(Ruimtestaat[[#This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15" s="434">
        <f>IF(U615&gt;0,VLOOKUP($J615,Ruimtegroepen[],3,FALSE)*VLOOKUP($L615,Vloersoorten[],3,FALSE)*VLOOKUP($T615,Frequenties[],3,FALSE)*VLOOKUP($A615,Locaties[],3,FALSE),0)</f>
        <v>0</v>
      </c>
      <c r="W615" s="434">
        <f>Ruimtestaat[[#This Row],[Uitvoeringen werkdagen]]*Ruimtestaat[[#This Row],[Oppervlak (netto)]]</f>
        <v>0</v>
      </c>
      <c r="X615" s="441">
        <f>IF(V615&gt;0,Ruimtestaat[[#This Row],[Prest. (m2 /jaar) werkdagen]]/Ruimtestaat[[#This Row],[Norm (m2/uur) werkdagen]],0)</f>
        <v>0</v>
      </c>
      <c r="Y615" s="442">
        <f>Ruimtestaat[[#This Row],[Uitvoeringen werkdagen]]*Ruimtestaat[[#This Row],[Gedeeltelijk]]</f>
        <v>0</v>
      </c>
      <c r="Z615" s="443">
        <f>IF(U615&gt;0,Ruimtestaat[[#This Row],[Prest. (m2 / jaar) werkdagen gedeeld]]/Ruimtestaat[[#This Row],[Norm (m2/uur) werkdagen]],0)</f>
        <v>0</v>
      </c>
      <c r="AA615" s="441">
        <f>Ruimtestaat[[#This Row],[uren / jaar werkdagen gedeeld]]*Tariefsopbouw!$E$35</f>
        <v>0</v>
      </c>
      <c r="AB615" s="441">
        <f>Ruimtestaat[[#This Row],[Uitvoeringen werkdagen]]*Ruimtestaat[[#This Row],[BSO]]</f>
        <v>0</v>
      </c>
      <c r="AC615" s="443">
        <f>IF(U615&gt;0,Ruimtestaat[[#This Row],[Prest. (m2 / jaar) werkdagen BSO]]/Ruimtestaat[[#This Row],[Norm (m2/uur) werkdagen]],0)</f>
        <v>0</v>
      </c>
      <c r="AD615" s="443">
        <f>Ruimtestaat[[#This Row],[uren / jaar werkdagen BSO]]*Tariefsopbouw!$E$35</f>
        <v>0</v>
      </c>
      <c r="AE615" s="444">
        <f>Ruimtestaat[[#This Row],[uren / jaar werkdagen]]*Tariefsopbouw!$E$35</f>
        <v>0</v>
      </c>
      <c r="AF615" s="454"/>
      <c r="AG615" s="455">
        <f>IF(Ruimtestaat[[#This Row],[Frequentie weekend]]&gt;0,VALUE(LEFT(AF615,1))*S615,0)</f>
        <v>0</v>
      </c>
      <c r="AH615" s="455">
        <f>IF($AG615&gt;0,VLOOKUP($J615,Ruimtegroepen[],3,FALSE)*VLOOKUP($L615,Vloersoorten[],3,FALSE)*VLOOKUP($AF615,Frequenties[],3,FALSE)*VLOOKUP(#REF!,Locaties[],3,FALSE),0)</f>
        <v>0</v>
      </c>
      <c r="AI615" s="434">
        <f>Ruimtestaat[[#This Row],[Uitvoeringen weekend]]*Ruimtestaat[[#This Row],[Oppervlak (netto)]]</f>
        <v>0</v>
      </c>
      <c r="AJ615" s="434">
        <f>IF(AH615&gt;0,Ruimtestaat[[#This Row],[Prest. (m2 /jaar) weekend]]/Ruimtestaat[[#This Row],[Norm (m2/uur) weekend]],0)</f>
        <v>0</v>
      </c>
      <c r="AK615" s="444">
        <f>Ruimtestaat[[#This Row],[uren / jaar weekend]]*Tariefsopbouw!$D$40</f>
        <v>0</v>
      </c>
      <c r="AL615" s="441">
        <f>Ruimtestaat[[#This Row],[Prest. (m2 /jaar) weekend]]+Ruimtestaat[[#This Row],[Prest. (m2 /jaar) werkdagen]]</f>
        <v>0</v>
      </c>
      <c r="AM615" s="441">
        <f>Ruimtestaat[[#This Row],[uren / jaar weekend]]+Ruimtestaat[[#This Row],[uren / jaar werkdagen]]</f>
        <v>0</v>
      </c>
      <c r="AN615" s="446">
        <f>Ruimtestaat[[#This Row],[kosten / jaar weekend]]+Ruimtestaat[[#This Row],[kosten / jaar werkdagen]]</f>
        <v>0</v>
      </c>
      <c r="AO615" s="446"/>
      <c r="AP615" s="446" t="str">
        <f>IF(Ruimtestaat[[#This Row],[Frequentie werkdagen]]="","",_xlfn.CONCAT(Ruimtestaat[[#This Row],[Ruimte code]],"-",Ruimtestaat[[#This Row],[Frequentie werkdagen]]," ",Ruimtestaat[[#This Row],[Vloer code]]))</f>
        <v/>
      </c>
      <c r="AQ615" s="448" t="str">
        <f>_xlfn.IFNA(VLOOKUP($AP615,Programma!$F$3:$G$1101,2,0),"")</f>
        <v/>
      </c>
      <c r="AR615" s="448" t="str">
        <f>_xlfn.IFNA(VLOOKUP($AP615,Programma!$F$3:$H$1101,3,0),"")</f>
        <v/>
      </c>
      <c r="AS615" s="448" t="str">
        <f>_xlfn.IFNA(VLOOKUP($AP615,Programma!$F$3:$I$1101,4,0),"")</f>
        <v/>
      </c>
      <c r="AT615" s="448" t="str">
        <f>_xlfn.IFNA(VLOOKUP($AP615,Programma!$F$3:$J$1101,5,0),"")</f>
        <v/>
      </c>
      <c r="AU615" s="448" t="str">
        <f>_xlfn.IFNA(VLOOKUP($AP615,Programma!$F$3:$K$1101,6,0),"")</f>
        <v/>
      </c>
      <c r="AV615" s="448" t="str">
        <f>_xlfn.IFNA(VLOOKUP($AP615,Programma!$F$3:$L$1101,7,0),"")</f>
        <v/>
      </c>
      <c r="AW615" s="448" t="str">
        <f>_xlfn.IFNA(VLOOKUP($AP615,Programma!$F$3:$M$1101,8,0),"")</f>
        <v/>
      </c>
      <c r="AX615" s="448" t="str">
        <f>_xlfn.IFNA(VLOOKUP($AP615,Programma!$F$3:$N$1101,9,0),"")</f>
        <v/>
      </c>
      <c r="AY615" s="448" t="str">
        <f>_xlfn.IFNA(VLOOKUP($AP615,Programma!$F$3:$O$1101,10,0),"")</f>
        <v/>
      </c>
      <c r="AZ615" s="448" t="str">
        <f>_xlfn.IFNA(VLOOKUP($AP615,Programma!$F$3:$P$1101,11,0),"")</f>
        <v/>
      </c>
      <c r="BA615" s="448" t="str">
        <f>_xlfn.IFNA(VLOOKUP($AP615,Programma!$F$3:$Q$1101,12,0),"")</f>
        <v/>
      </c>
      <c r="BB615" s="448" t="str">
        <f>_xlfn.IFNA(VLOOKUP($AP615,Programma!$F$3:$R$1101,13,0),"")</f>
        <v/>
      </c>
      <c r="BC615" s="448" t="str">
        <f>_xlfn.IFNA(VLOOKUP($AP615,Programma!$F$3:$S$1101,14,0),"")</f>
        <v/>
      </c>
      <c r="BD615" s="448" t="str">
        <f>_xlfn.IFNA(VLOOKUP($AP615,Programma!$F$3:$T$1101,15,0),"")</f>
        <v/>
      </c>
      <c r="BE615" s="448" t="str">
        <f>_xlfn.IFNA(VLOOKUP($AP615,Programma!$F$3:$U$1101,16,0),"")</f>
        <v/>
      </c>
      <c r="BF615" s="448" t="str">
        <f>_xlfn.IFNA(VLOOKUP($AP615,Programma!$F$3:$V$1101,17,0),"")</f>
        <v/>
      </c>
      <c r="BG615" s="448" t="str">
        <f>_xlfn.IFNA(VLOOKUP($AP615,Programma!$F$3:$W$1101,18,0),"")</f>
        <v/>
      </c>
      <c r="BH615" s="448" t="str">
        <f>_xlfn.IFNA(VLOOKUP($AP615,Programma!$F$3:$X$1101,19,0),"")</f>
        <v/>
      </c>
      <c r="BI615" s="448" t="str">
        <f>_xlfn.IFNA(VLOOKUP($AP615,Programma!$F$3:$Y$1101,20,0),"")</f>
        <v/>
      </c>
      <c r="BJ615" s="449"/>
      <c r="BK615" s="446" t="str">
        <f>IF(Ruimtestaat[[#This Row],[Frequentie weekend]]="","",_xlfn.CONCAT(Ruimtestaat[[#This Row],[Ruimte code]],"-",Ruimtestaat[[#This Row],[Frequentie weekend]]," ",Ruimtestaat[[#This Row],[Vloer code]]))</f>
        <v/>
      </c>
      <c r="BL615" s="448" t="str">
        <f>_xlfn.IFNA(VLOOKUP($BK615,Programma!$F$3:$G$1101,2,0),"")</f>
        <v/>
      </c>
      <c r="BM615" s="448" t="str">
        <f>_xlfn.IFNA(VLOOKUP($BK615,Programma!$F$3:$H$1101,3,0),"")</f>
        <v/>
      </c>
      <c r="BN615" s="448" t="str">
        <f>_xlfn.IFNA(VLOOKUP($BK615,Programma!$F$3:$I$1101,4,0),"")</f>
        <v/>
      </c>
      <c r="BO615" s="448" t="str">
        <f>_xlfn.IFNA(VLOOKUP($BK615,Programma!$F$3:$J$1101,5,0),"")</f>
        <v/>
      </c>
      <c r="BP615" s="448" t="str">
        <f>_xlfn.IFNA(VLOOKUP($BK615,Programma!$F$3:$K$1101,6,0),"")</f>
        <v/>
      </c>
      <c r="BQ615" s="448" t="str">
        <f>_xlfn.IFNA(VLOOKUP($BK615,Programma!$F$3:$L$1101,7,0),"")</f>
        <v/>
      </c>
      <c r="BR615" s="448" t="str">
        <f>_xlfn.IFNA(VLOOKUP($BK615,Programma!$F$3:$M$1101,8,0),"")</f>
        <v/>
      </c>
      <c r="BS615" s="448" t="str">
        <f>_xlfn.IFNA(VLOOKUP($BK615,Programma!$F$3:$N$1101,9,0),"")</f>
        <v/>
      </c>
      <c r="BT615" s="448" t="str">
        <f>_xlfn.IFNA(VLOOKUP($BK615,Programma!$F$3:$O$1101,10,0),"")</f>
        <v/>
      </c>
      <c r="BU615" s="448" t="str">
        <f>_xlfn.IFNA(VLOOKUP($BK615,Programma!$F$3:$P$1101,11,0),"")</f>
        <v/>
      </c>
      <c r="BV615" s="448" t="str">
        <f>_xlfn.IFNA(VLOOKUP($BK615,Programma!$F$3:$Q$1101,12,0),"")</f>
        <v/>
      </c>
      <c r="BW615" s="448" t="str">
        <f>_xlfn.IFNA(VLOOKUP($BK615,Programma!$F$3:$R$1101,13,0),"")</f>
        <v/>
      </c>
      <c r="BX615" s="448" t="str">
        <f>_xlfn.IFNA(VLOOKUP($BK615,Programma!$F$3:$S$1101,14,0),"")</f>
        <v/>
      </c>
      <c r="BY615" s="448" t="str">
        <f>_xlfn.IFNA(VLOOKUP($BK615,Programma!$F$3:$T$1101,15,0),"")</f>
        <v/>
      </c>
      <c r="BZ615" s="448" t="str">
        <f>_xlfn.IFNA(VLOOKUP($BK615,Programma!$F$3:$U$1101,16,0),"")</f>
        <v/>
      </c>
      <c r="CA615" s="448" t="str">
        <f>_xlfn.IFNA(VLOOKUP($BK615,Programma!$F$3:$V$1101,17,0),"")</f>
        <v/>
      </c>
      <c r="CB615" s="448" t="str">
        <f>_xlfn.IFNA(VLOOKUP($BK615,Programma!$F$3:$W$1101,18,0),"")</f>
        <v/>
      </c>
      <c r="CC615" s="448" t="str">
        <f>_xlfn.IFNA(VLOOKUP($BK615,Programma!$F$3:$X$1101,19,0),"")</f>
        <v/>
      </c>
      <c r="CD615" s="448" t="str">
        <f>_xlfn.IFNA(VLOOKUP($BK615,Programma!$F$3:$Y$1101,20,0),"")</f>
        <v/>
      </c>
    </row>
    <row r="616" spans="1:82" ht="15" customHeight="1">
      <c r="A616" s="327">
        <v>21</v>
      </c>
      <c r="B616" s="435" t="str">
        <f>VLOOKUP(Ruimtestaat[[#This Row],[Code]],Locaties[[Code]:[Locatie]],2,FALSE)</f>
        <v>IKC De  Leerplaneet (bijgebouw)</v>
      </c>
      <c r="C616" s="435" t="str">
        <f>VLOOKUP(Ruimtestaat[[#This Row],[Code]],Locaties[[#All],[Code]:[Adres]],4,FALSE)</f>
        <v>Nesciohove 105-107</v>
      </c>
      <c r="D616" s="435" t="str">
        <f>VLOOKUP(Ruimtestaat[[#This Row],[Code]],Locaties[[#All],[Code]:[Postcode]],5,FALSE)</f>
        <v>2716 BL</v>
      </c>
      <c r="E616" s="435" t="str">
        <f>VLOOKUP(Ruimtestaat[[#This Row],[Code]],Locaties[#All],6,FALSE)</f>
        <v>Zoetermeer</v>
      </c>
      <c r="F616" s="450"/>
      <c r="H616" s="330" t="s">
        <v>1907</v>
      </c>
      <c r="I616" s="450" t="s">
        <v>121</v>
      </c>
      <c r="J616" s="330">
        <v>20</v>
      </c>
      <c r="K616" s="450" t="str">
        <f>VLOOKUP(Ruimtestaat[[#This Row],[Ruimte code]],Ruimtegroepen[[#All],[Code]:[Ruimte omschrijving]],2,FALSE)</f>
        <v>Niet in Onderhoud</v>
      </c>
      <c r="L616" s="434" t="s">
        <v>100</v>
      </c>
      <c r="M616" s="437" t="s">
        <v>1759</v>
      </c>
      <c r="N616" s="439"/>
      <c r="O616" s="439">
        <v>3</v>
      </c>
      <c r="P616" s="439"/>
      <c r="Q616" s="439"/>
      <c r="R616" s="440">
        <f>VLOOKUP(Ruimtestaat[[#This Row],[Ruimte code]],Ruimtegroepen[],4,FALSE)</f>
        <v>0</v>
      </c>
      <c r="S616" s="434"/>
      <c r="T616" s="434"/>
      <c r="U616" s="453">
        <f>IF(S616&gt;0,IF(RIGHT(Ruimtestaat[[#This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16" s="434">
        <f>IF(U616&gt;0,VLOOKUP($J616,Ruimtegroepen[],3,FALSE)*VLOOKUP($L616,Vloersoorten[],3,FALSE)*VLOOKUP($T616,Frequenties[],3,FALSE)*VLOOKUP($A616,Locaties[],3,FALSE),0)</f>
        <v>0</v>
      </c>
      <c r="W616" s="434">
        <f>Ruimtestaat[[#This Row],[Uitvoeringen werkdagen]]*Ruimtestaat[[#This Row],[Oppervlak (netto)]]</f>
        <v>0</v>
      </c>
      <c r="X616" s="441">
        <f>IF(V616&gt;0,Ruimtestaat[[#This Row],[Prest. (m2 /jaar) werkdagen]]/Ruimtestaat[[#This Row],[Norm (m2/uur) werkdagen]],0)</f>
        <v>0</v>
      </c>
      <c r="Y616" s="442">
        <f>Ruimtestaat[[#This Row],[Uitvoeringen werkdagen]]*Ruimtestaat[[#This Row],[Gedeeltelijk]]</f>
        <v>0</v>
      </c>
      <c r="Z616" s="443">
        <f>IF(U616&gt;0,Ruimtestaat[[#This Row],[Prest. (m2 / jaar) werkdagen gedeeld]]/Ruimtestaat[[#This Row],[Norm (m2/uur) werkdagen]],0)</f>
        <v>0</v>
      </c>
      <c r="AA616" s="441">
        <f>Ruimtestaat[[#This Row],[uren / jaar werkdagen gedeeld]]*Tariefsopbouw!$E$35</f>
        <v>0</v>
      </c>
      <c r="AB616" s="441">
        <f>Ruimtestaat[[#This Row],[Uitvoeringen werkdagen]]*Ruimtestaat[[#This Row],[BSO]]</f>
        <v>0</v>
      </c>
      <c r="AC616" s="443">
        <f>IF(U616&gt;0,Ruimtestaat[[#This Row],[Prest. (m2 / jaar) werkdagen BSO]]/Ruimtestaat[[#This Row],[Norm (m2/uur) werkdagen]],0)</f>
        <v>0</v>
      </c>
      <c r="AD616" s="443">
        <f>Ruimtestaat[[#This Row],[uren / jaar werkdagen BSO]]*Tariefsopbouw!$E$35</f>
        <v>0</v>
      </c>
      <c r="AE616" s="444">
        <f>Ruimtestaat[[#This Row],[uren / jaar werkdagen]]*Tariefsopbouw!$E$35</f>
        <v>0</v>
      </c>
      <c r="AF616" s="454"/>
      <c r="AG616" s="455">
        <f>IF(Ruimtestaat[[#This Row],[Frequentie weekend]]&gt;0,VALUE(LEFT(AF616,1))*S616,0)</f>
        <v>0</v>
      </c>
      <c r="AH616" s="455">
        <f>IF($AG616&gt;0,VLOOKUP($J616,Ruimtegroepen[],3,FALSE)*VLOOKUP($L616,Vloersoorten[],3,FALSE)*VLOOKUP($AF616,Frequenties[],3,FALSE)*VLOOKUP(#REF!,Locaties[],3,FALSE),0)</f>
        <v>0</v>
      </c>
      <c r="AI616" s="434">
        <f>Ruimtestaat[[#This Row],[Uitvoeringen weekend]]*Ruimtestaat[[#This Row],[Oppervlak (netto)]]</f>
        <v>0</v>
      </c>
      <c r="AJ616" s="434">
        <f>IF(AH616&gt;0,Ruimtestaat[[#This Row],[Prest. (m2 /jaar) weekend]]/Ruimtestaat[[#This Row],[Norm (m2/uur) weekend]],0)</f>
        <v>0</v>
      </c>
      <c r="AK616" s="444">
        <f>Ruimtestaat[[#This Row],[uren / jaar weekend]]*Tariefsopbouw!$D$40</f>
        <v>0</v>
      </c>
      <c r="AL616" s="441">
        <f>Ruimtestaat[[#This Row],[Prest. (m2 /jaar) weekend]]+Ruimtestaat[[#This Row],[Prest. (m2 /jaar) werkdagen]]</f>
        <v>0</v>
      </c>
      <c r="AM616" s="441">
        <f>Ruimtestaat[[#This Row],[uren / jaar weekend]]+Ruimtestaat[[#This Row],[uren / jaar werkdagen]]</f>
        <v>0</v>
      </c>
      <c r="AN616" s="446">
        <f>Ruimtestaat[[#This Row],[kosten / jaar weekend]]+Ruimtestaat[[#This Row],[kosten / jaar werkdagen]]</f>
        <v>0</v>
      </c>
      <c r="AO616" s="446"/>
      <c r="AP616" s="446" t="str">
        <f>IF(Ruimtestaat[[#This Row],[Frequentie werkdagen]]="","",_xlfn.CONCAT(Ruimtestaat[[#This Row],[Ruimte code]],"-",Ruimtestaat[[#This Row],[Frequentie werkdagen]]," ",Ruimtestaat[[#This Row],[Vloer code]]))</f>
        <v/>
      </c>
      <c r="AQ616" s="448" t="str">
        <f>_xlfn.IFNA(VLOOKUP($AP616,Programma!$F$3:$G$1101,2,0),"")</f>
        <v/>
      </c>
      <c r="AR616" s="448" t="str">
        <f>_xlfn.IFNA(VLOOKUP($AP616,Programma!$F$3:$H$1101,3,0),"")</f>
        <v/>
      </c>
      <c r="AS616" s="448" t="str">
        <f>_xlfn.IFNA(VLOOKUP($AP616,Programma!$F$3:$I$1101,4,0),"")</f>
        <v/>
      </c>
      <c r="AT616" s="448" t="str">
        <f>_xlfn.IFNA(VLOOKUP($AP616,Programma!$F$3:$J$1101,5,0),"")</f>
        <v/>
      </c>
      <c r="AU616" s="448" t="str">
        <f>_xlfn.IFNA(VLOOKUP($AP616,Programma!$F$3:$K$1101,6,0),"")</f>
        <v/>
      </c>
      <c r="AV616" s="448" t="str">
        <f>_xlfn.IFNA(VLOOKUP($AP616,Programma!$F$3:$L$1101,7,0),"")</f>
        <v/>
      </c>
      <c r="AW616" s="448" t="str">
        <f>_xlfn.IFNA(VLOOKUP($AP616,Programma!$F$3:$M$1101,8,0),"")</f>
        <v/>
      </c>
      <c r="AX616" s="448" t="str">
        <f>_xlfn.IFNA(VLOOKUP($AP616,Programma!$F$3:$N$1101,9,0),"")</f>
        <v/>
      </c>
      <c r="AY616" s="448" t="str">
        <f>_xlfn.IFNA(VLOOKUP($AP616,Programma!$F$3:$O$1101,10,0),"")</f>
        <v/>
      </c>
      <c r="AZ616" s="448" t="str">
        <f>_xlfn.IFNA(VLOOKUP($AP616,Programma!$F$3:$P$1101,11,0),"")</f>
        <v/>
      </c>
      <c r="BA616" s="448" t="str">
        <f>_xlfn.IFNA(VLOOKUP($AP616,Programma!$F$3:$Q$1101,12,0),"")</f>
        <v/>
      </c>
      <c r="BB616" s="448" t="str">
        <f>_xlfn.IFNA(VLOOKUP($AP616,Programma!$F$3:$R$1101,13,0),"")</f>
        <v/>
      </c>
      <c r="BC616" s="448" t="str">
        <f>_xlfn.IFNA(VLOOKUP($AP616,Programma!$F$3:$S$1101,14,0),"")</f>
        <v/>
      </c>
      <c r="BD616" s="448" t="str">
        <f>_xlfn.IFNA(VLOOKUP($AP616,Programma!$F$3:$T$1101,15,0),"")</f>
        <v/>
      </c>
      <c r="BE616" s="448" t="str">
        <f>_xlfn.IFNA(VLOOKUP($AP616,Programma!$F$3:$U$1101,16,0),"")</f>
        <v/>
      </c>
      <c r="BF616" s="448" t="str">
        <f>_xlfn.IFNA(VLOOKUP($AP616,Programma!$F$3:$V$1101,17,0),"")</f>
        <v/>
      </c>
      <c r="BG616" s="448" t="str">
        <f>_xlfn.IFNA(VLOOKUP($AP616,Programma!$F$3:$W$1101,18,0),"")</f>
        <v/>
      </c>
      <c r="BH616" s="448" t="str">
        <f>_xlfn.IFNA(VLOOKUP($AP616,Programma!$F$3:$X$1101,19,0),"")</f>
        <v/>
      </c>
      <c r="BI616" s="448" t="str">
        <f>_xlfn.IFNA(VLOOKUP($AP616,Programma!$F$3:$Y$1101,20,0),"")</f>
        <v/>
      </c>
      <c r="BJ616" s="449"/>
      <c r="BK616" s="446" t="str">
        <f>IF(Ruimtestaat[[#This Row],[Frequentie weekend]]="","",_xlfn.CONCAT(Ruimtestaat[[#This Row],[Ruimte code]],"-",Ruimtestaat[[#This Row],[Frequentie weekend]]," ",Ruimtestaat[[#This Row],[Vloer code]]))</f>
        <v/>
      </c>
      <c r="BL616" s="448" t="str">
        <f>_xlfn.IFNA(VLOOKUP($BK616,Programma!$F$3:$G$1101,2,0),"")</f>
        <v/>
      </c>
      <c r="BM616" s="448" t="str">
        <f>_xlfn.IFNA(VLOOKUP($BK616,Programma!$F$3:$H$1101,3,0),"")</f>
        <v/>
      </c>
      <c r="BN616" s="448" t="str">
        <f>_xlfn.IFNA(VLOOKUP($BK616,Programma!$F$3:$I$1101,4,0),"")</f>
        <v/>
      </c>
      <c r="BO616" s="448" t="str">
        <f>_xlfn.IFNA(VLOOKUP($BK616,Programma!$F$3:$J$1101,5,0),"")</f>
        <v/>
      </c>
      <c r="BP616" s="448" t="str">
        <f>_xlfn.IFNA(VLOOKUP($BK616,Programma!$F$3:$K$1101,6,0),"")</f>
        <v/>
      </c>
      <c r="BQ616" s="448" t="str">
        <f>_xlfn.IFNA(VLOOKUP($BK616,Programma!$F$3:$L$1101,7,0),"")</f>
        <v/>
      </c>
      <c r="BR616" s="448" t="str">
        <f>_xlfn.IFNA(VLOOKUP($BK616,Programma!$F$3:$M$1101,8,0),"")</f>
        <v/>
      </c>
      <c r="BS616" s="448" t="str">
        <f>_xlfn.IFNA(VLOOKUP($BK616,Programma!$F$3:$N$1101,9,0),"")</f>
        <v/>
      </c>
      <c r="BT616" s="448" t="str">
        <f>_xlfn.IFNA(VLOOKUP($BK616,Programma!$F$3:$O$1101,10,0),"")</f>
        <v/>
      </c>
      <c r="BU616" s="448" t="str">
        <f>_xlfn.IFNA(VLOOKUP($BK616,Programma!$F$3:$P$1101,11,0),"")</f>
        <v/>
      </c>
      <c r="BV616" s="448" t="str">
        <f>_xlfn.IFNA(VLOOKUP($BK616,Programma!$F$3:$Q$1101,12,0),"")</f>
        <v/>
      </c>
      <c r="BW616" s="448" t="str">
        <f>_xlfn.IFNA(VLOOKUP($BK616,Programma!$F$3:$R$1101,13,0),"")</f>
        <v/>
      </c>
      <c r="BX616" s="448" t="str">
        <f>_xlfn.IFNA(VLOOKUP($BK616,Programma!$F$3:$S$1101,14,0),"")</f>
        <v/>
      </c>
      <c r="BY616" s="448" t="str">
        <f>_xlfn.IFNA(VLOOKUP($BK616,Programma!$F$3:$T$1101,15,0),"")</f>
        <v/>
      </c>
      <c r="BZ616" s="448" t="str">
        <f>_xlfn.IFNA(VLOOKUP($BK616,Programma!$F$3:$U$1101,16,0),"")</f>
        <v/>
      </c>
      <c r="CA616" s="448" t="str">
        <f>_xlfn.IFNA(VLOOKUP($BK616,Programma!$F$3:$V$1101,17,0),"")</f>
        <v/>
      </c>
      <c r="CB616" s="448" t="str">
        <f>_xlfn.IFNA(VLOOKUP($BK616,Programma!$F$3:$W$1101,18,0),"")</f>
        <v/>
      </c>
      <c r="CC616" s="448" t="str">
        <f>_xlfn.IFNA(VLOOKUP($BK616,Programma!$F$3:$X$1101,19,0),"")</f>
        <v/>
      </c>
      <c r="CD616" s="448" t="str">
        <f>_xlfn.IFNA(VLOOKUP($BK616,Programma!$F$3:$Y$1101,20,0),"")</f>
        <v/>
      </c>
    </row>
    <row r="617" spans="1:82" ht="15" customHeight="1">
      <c r="A617" s="327">
        <v>21</v>
      </c>
      <c r="B617" s="435" t="str">
        <f>VLOOKUP(Ruimtestaat[[#This Row],[Code]],Locaties[[Code]:[Locatie]],2,FALSE)</f>
        <v>IKC De  Leerplaneet (bijgebouw)</v>
      </c>
      <c r="C617" s="435" t="str">
        <f>VLOOKUP(Ruimtestaat[[#This Row],[Code]],Locaties[[#All],[Code]:[Adres]],4,FALSE)</f>
        <v>Nesciohove 105-107</v>
      </c>
      <c r="D617" s="435" t="str">
        <f>VLOOKUP(Ruimtestaat[[#This Row],[Code]],Locaties[[#All],[Code]:[Postcode]],5,FALSE)</f>
        <v>2716 BL</v>
      </c>
      <c r="E617" s="435" t="str">
        <f>VLOOKUP(Ruimtestaat[[#This Row],[Code]],Locaties[#All],6,FALSE)</f>
        <v>Zoetermeer</v>
      </c>
      <c r="F617" s="450"/>
      <c r="H617" s="330" t="s">
        <v>1909</v>
      </c>
      <c r="I617" s="450" t="s">
        <v>1956</v>
      </c>
      <c r="J617" s="330">
        <v>20</v>
      </c>
      <c r="K617" s="450" t="str">
        <f>VLOOKUP(Ruimtestaat[[#This Row],[Ruimte code]],Ruimtegroepen[[#All],[Code]:[Ruimte omschrijving]],2,FALSE)</f>
        <v>Niet in Onderhoud</v>
      </c>
      <c r="L617" s="434" t="s">
        <v>100</v>
      </c>
      <c r="M617" s="437" t="s">
        <v>1759</v>
      </c>
      <c r="N617" s="439"/>
      <c r="O617" s="439">
        <v>36</v>
      </c>
      <c r="P617" s="439"/>
      <c r="Q617" s="439"/>
      <c r="R617" s="440">
        <f>VLOOKUP(Ruimtestaat[[#This Row],[Ruimte code]],Ruimtegroepen[],4,FALSE)</f>
        <v>0</v>
      </c>
      <c r="S617" s="434"/>
      <c r="T617" s="434"/>
      <c r="U617" s="453">
        <f>IF(S617&gt;0,IF(RIGHT(Ruimtestaat[[#This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17" s="434">
        <f>IF(U617&gt;0,VLOOKUP($J617,Ruimtegroepen[],3,FALSE)*VLOOKUP($L617,Vloersoorten[],3,FALSE)*VLOOKUP($T617,Frequenties[],3,FALSE)*VLOOKUP($A617,Locaties[],3,FALSE),0)</f>
        <v>0</v>
      </c>
      <c r="W617" s="434">
        <f>Ruimtestaat[[#This Row],[Uitvoeringen werkdagen]]*Ruimtestaat[[#This Row],[Oppervlak (netto)]]</f>
        <v>0</v>
      </c>
      <c r="X617" s="441">
        <f>IF(V617&gt;0,Ruimtestaat[[#This Row],[Prest. (m2 /jaar) werkdagen]]/Ruimtestaat[[#This Row],[Norm (m2/uur) werkdagen]],0)</f>
        <v>0</v>
      </c>
      <c r="Y617" s="442">
        <f>Ruimtestaat[[#This Row],[Uitvoeringen werkdagen]]*Ruimtestaat[[#This Row],[Gedeeltelijk]]</f>
        <v>0</v>
      </c>
      <c r="Z617" s="443">
        <f>IF(U617&gt;0,Ruimtestaat[[#This Row],[Prest. (m2 / jaar) werkdagen gedeeld]]/Ruimtestaat[[#This Row],[Norm (m2/uur) werkdagen]],0)</f>
        <v>0</v>
      </c>
      <c r="AA617" s="441">
        <f>Ruimtestaat[[#This Row],[uren / jaar werkdagen gedeeld]]*Tariefsopbouw!$E$35</f>
        <v>0</v>
      </c>
      <c r="AB617" s="441">
        <f>Ruimtestaat[[#This Row],[Uitvoeringen werkdagen]]*Ruimtestaat[[#This Row],[BSO]]</f>
        <v>0</v>
      </c>
      <c r="AC617" s="443">
        <f>IF(U617&gt;0,Ruimtestaat[[#This Row],[Prest. (m2 / jaar) werkdagen BSO]]/Ruimtestaat[[#This Row],[Norm (m2/uur) werkdagen]],0)</f>
        <v>0</v>
      </c>
      <c r="AD617" s="443">
        <f>Ruimtestaat[[#This Row],[uren / jaar werkdagen BSO]]*Tariefsopbouw!$E$35</f>
        <v>0</v>
      </c>
      <c r="AE617" s="444">
        <f>Ruimtestaat[[#This Row],[uren / jaar werkdagen]]*Tariefsopbouw!$E$35</f>
        <v>0</v>
      </c>
      <c r="AF617" s="454"/>
      <c r="AG617" s="455">
        <f>IF(Ruimtestaat[[#This Row],[Frequentie weekend]]&gt;0,VALUE(LEFT(AF617,1))*S617,0)</f>
        <v>0</v>
      </c>
      <c r="AH617" s="455">
        <f>IF($AG617&gt;0,VLOOKUP($J617,Ruimtegroepen[],3,FALSE)*VLOOKUP($L617,Vloersoorten[],3,FALSE)*VLOOKUP($AF617,Frequenties[],3,FALSE)*VLOOKUP(#REF!,Locaties[],3,FALSE),0)</f>
        <v>0</v>
      </c>
      <c r="AI617" s="434">
        <f>Ruimtestaat[[#This Row],[Uitvoeringen weekend]]*Ruimtestaat[[#This Row],[Oppervlak (netto)]]</f>
        <v>0</v>
      </c>
      <c r="AJ617" s="434">
        <f>IF(AH617&gt;0,Ruimtestaat[[#This Row],[Prest. (m2 /jaar) weekend]]/Ruimtestaat[[#This Row],[Norm (m2/uur) weekend]],0)</f>
        <v>0</v>
      </c>
      <c r="AK617" s="444">
        <f>Ruimtestaat[[#This Row],[uren / jaar weekend]]*Tariefsopbouw!$D$40</f>
        <v>0</v>
      </c>
      <c r="AL617" s="441">
        <f>Ruimtestaat[[#This Row],[Prest. (m2 /jaar) weekend]]+Ruimtestaat[[#This Row],[Prest. (m2 /jaar) werkdagen]]</f>
        <v>0</v>
      </c>
      <c r="AM617" s="441">
        <f>Ruimtestaat[[#This Row],[uren / jaar weekend]]+Ruimtestaat[[#This Row],[uren / jaar werkdagen]]</f>
        <v>0</v>
      </c>
      <c r="AN617" s="446">
        <f>Ruimtestaat[[#This Row],[kosten / jaar weekend]]+Ruimtestaat[[#This Row],[kosten / jaar werkdagen]]</f>
        <v>0</v>
      </c>
      <c r="AO617" s="446"/>
      <c r="AP617" s="446" t="str">
        <f>IF(Ruimtestaat[[#This Row],[Frequentie werkdagen]]="","",_xlfn.CONCAT(Ruimtestaat[[#This Row],[Ruimte code]],"-",Ruimtestaat[[#This Row],[Frequentie werkdagen]]," ",Ruimtestaat[[#This Row],[Vloer code]]))</f>
        <v/>
      </c>
      <c r="AQ617" s="448" t="str">
        <f>_xlfn.IFNA(VLOOKUP($AP617,Programma!$F$3:$G$1101,2,0),"")</f>
        <v/>
      </c>
      <c r="AR617" s="448" t="str">
        <f>_xlfn.IFNA(VLOOKUP($AP617,Programma!$F$3:$H$1101,3,0),"")</f>
        <v/>
      </c>
      <c r="AS617" s="448" t="str">
        <f>_xlfn.IFNA(VLOOKUP($AP617,Programma!$F$3:$I$1101,4,0),"")</f>
        <v/>
      </c>
      <c r="AT617" s="448" t="str">
        <f>_xlfn.IFNA(VLOOKUP($AP617,Programma!$F$3:$J$1101,5,0),"")</f>
        <v/>
      </c>
      <c r="AU617" s="448" t="str">
        <f>_xlfn.IFNA(VLOOKUP($AP617,Programma!$F$3:$K$1101,6,0),"")</f>
        <v/>
      </c>
      <c r="AV617" s="448" t="str">
        <f>_xlfn.IFNA(VLOOKUP($AP617,Programma!$F$3:$L$1101,7,0),"")</f>
        <v/>
      </c>
      <c r="AW617" s="448" t="str">
        <f>_xlfn.IFNA(VLOOKUP($AP617,Programma!$F$3:$M$1101,8,0),"")</f>
        <v/>
      </c>
      <c r="AX617" s="448" t="str">
        <f>_xlfn.IFNA(VLOOKUP($AP617,Programma!$F$3:$N$1101,9,0),"")</f>
        <v/>
      </c>
      <c r="AY617" s="448" t="str">
        <f>_xlfn.IFNA(VLOOKUP($AP617,Programma!$F$3:$O$1101,10,0),"")</f>
        <v/>
      </c>
      <c r="AZ617" s="448" t="str">
        <f>_xlfn.IFNA(VLOOKUP($AP617,Programma!$F$3:$P$1101,11,0),"")</f>
        <v/>
      </c>
      <c r="BA617" s="448" t="str">
        <f>_xlfn.IFNA(VLOOKUP($AP617,Programma!$F$3:$Q$1101,12,0),"")</f>
        <v/>
      </c>
      <c r="BB617" s="448" t="str">
        <f>_xlfn.IFNA(VLOOKUP($AP617,Programma!$F$3:$R$1101,13,0),"")</f>
        <v/>
      </c>
      <c r="BC617" s="448" t="str">
        <f>_xlfn.IFNA(VLOOKUP($AP617,Programma!$F$3:$S$1101,14,0),"")</f>
        <v/>
      </c>
      <c r="BD617" s="448" t="str">
        <f>_xlfn.IFNA(VLOOKUP($AP617,Programma!$F$3:$T$1101,15,0),"")</f>
        <v/>
      </c>
      <c r="BE617" s="448" t="str">
        <f>_xlfn.IFNA(VLOOKUP($AP617,Programma!$F$3:$U$1101,16,0),"")</f>
        <v/>
      </c>
      <c r="BF617" s="448" t="str">
        <f>_xlfn.IFNA(VLOOKUP($AP617,Programma!$F$3:$V$1101,17,0),"")</f>
        <v/>
      </c>
      <c r="BG617" s="448" t="str">
        <f>_xlfn.IFNA(VLOOKUP($AP617,Programma!$F$3:$W$1101,18,0),"")</f>
        <v/>
      </c>
      <c r="BH617" s="448" t="str">
        <f>_xlfn.IFNA(VLOOKUP($AP617,Programma!$F$3:$X$1101,19,0),"")</f>
        <v/>
      </c>
      <c r="BI617" s="448" t="str">
        <f>_xlfn.IFNA(VLOOKUP($AP617,Programma!$F$3:$Y$1101,20,0),"")</f>
        <v/>
      </c>
      <c r="BJ617" s="449"/>
      <c r="BK617" s="446" t="str">
        <f>IF(Ruimtestaat[[#This Row],[Frequentie weekend]]="","",_xlfn.CONCAT(Ruimtestaat[[#This Row],[Ruimte code]],"-",Ruimtestaat[[#This Row],[Frequentie weekend]]," ",Ruimtestaat[[#This Row],[Vloer code]]))</f>
        <v/>
      </c>
      <c r="BL617" s="448" t="str">
        <f>_xlfn.IFNA(VLOOKUP($BK617,Programma!$F$3:$G$1101,2,0),"")</f>
        <v/>
      </c>
      <c r="BM617" s="448" t="str">
        <f>_xlfn.IFNA(VLOOKUP($BK617,Programma!$F$3:$H$1101,3,0),"")</f>
        <v/>
      </c>
      <c r="BN617" s="448" t="str">
        <f>_xlfn.IFNA(VLOOKUP($BK617,Programma!$F$3:$I$1101,4,0),"")</f>
        <v/>
      </c>
      <c r="BO617" s="448" t="str">
        <f>_xlfn.IFNA(VLOOKUP($BK617,Programma!$F$3:$J$1101,5,0),"")</f>
        <v/>
      </c>
      <c r="BP617" s="448" t="str">
        <f>_xlfn.IFNA(VLOOKUP($BK617,Programma!$F$3:$K$1101,6,0),"")</f>
        <v/>
      </c>
      <c r="BQ617" s="448" t="str">
        <f>_xlfn.IFNA(VLOOKUP($BK617,Programma!$F$3:$L$1101,7,0),"")</f>
        <v/>
      </c>
      <c r="BR617" s="448" t="str">
        <f>_xlfn.IFNA(VLOOKUP($BK617,Programma!$F$3:$M$1101,8,0),"")</f>
        <v/>
      </c>
      <c r="BS617" s="448" t="str">
        <f>_xlfn.IFNA(VLOOKUP($BK617,Programma!$F$3:$N$1101,9,0),"")</f>
        <v/>
      </c>
      <c r="BT617" s="448" t="str">
        <f>_xlfn.IFNA(VLOOKUP($BK617,Programma!$F$3:$O$1101,10,0),"")</f>
        <v/>
      </c>
      <c r="BU617" s="448" t="str">
        <f>_xlfn.IFNA(VLOOKUP($BK617,Programma!$F$3:$P$1101,11,0),"")</f>
        <v/>
      </c>
      <c r="BV617" s="448" t="str">
        <f>_xlfn.IFNA(VLOOKUP($BK617,Programma!$F$3:$Q$1101,12,0),"")</f>
        <v/>
      </c>
      <c r="BW617" s="448" t="str">
        <f>_xlfn.IFNA(VLOOKUP($BK617,Programma!$F$3:$R$1101,13,0),"")</f>
        <v/>
      </c>
      <c r="BX617" s="448" t="str">
        <f>_xlfn.IFNA(VLOOKUP($BK617,Programma!$F$3:$S$1101,14,0),"")</f>
        <v/>
      </c>
      <c r="BY617" s="448" t="str">
        <f>_xlfn.IFNA(VLOOKUP($BK617,Programma!$F$3:$T$1101,15,0),"")</f>
        <v/>
      </c>
      <c r="BZ617" s="448" t="str">
        <f>_xlfn.IFNA(VLOOKUP($BK617,Programma!$F$3:$U$1101,16,0),"")</f>
        <v/>
      </c>
      <c r="CA617" s="448" t="str">
        <f>_xlfn.IFNA(VLOOKUP($BK617,Programma!$F$3:$V$1101,17,0),"")</f>
        <v/>
      </c>
      <c r="CB617" s="448" t="str">
        <f>_xlfn.IFNA(VLOOKUP($BK617,Programma!$F$3:$W$1101,18,0),"")</f>
        <v/>
      </c>
      <c r="CC617" s="448" t="str">
        <f>_xlfn.IFNA(VLOOKUP($BK617,Programma!$F$3:$X$1101,19,0),"")</f>
        <v/>
      </c>
      <c r="CD617" s="448" t="str">
        <f>_xlfn.IFNA(VLOOKUP($BK617,Programma!$F$3:$Y$1101,20,0),"")</f>
        <v/>
      </c>
    </row>
    <row r="618" spans="1:82" ht="15" customHeight="1">
      <c r="A618" s="327">
        <v>21</v>
      </c>
      <c r="B618" s="435" t="str">
        <f>VLOOKUP(Ruimtestaat[[#This Row],[Code]],Locaties[[Code]:[Locatie]],2,FALSE)</f>
        <v>IKC De  Leerplaneet (bijgebouw)</v>
      </c>
      <c r="C618" s="435" t="str">
        <f>VLOOKUP(Ruimtestaat[[#This Row],[Code]],Locaties[[#All],[Code]:[Adres]],4,FALSE)</f>
        <v>Nesciohove 105-107</v>
      </c>
      <c r="D618" s="435" t="str">
        <f>VLOOKUP(Ruimtestaat[[#This Row],[Code]],Locaties[[#All],[Code]:[Postcode]],5,FALSE)</f>
        <v>2716 BL</v>
      </c>
      <c r="E618" s="435" t="str">
        <f>VLOOKUP(Ruimtestaat[[#This Row],[Code]],Locaties[#All],6,FALSE)</f>
        <v>Zoetermeer</v>
      </c>
      <c r="F618" s="450"/>
      <c r="H618" s="330" t="s">
        <v>1910</v>
      </c>
      <c r="I618" s="450" t="s">
        <v>1673</v>
      </c>
      <c r="J618" s="330">
        <v>20</v>
      </c>
      <c r="K618" s="450" t="str">
        <f>VLOOKUP(Ruimtestaat[[#This Row],[Ruimte code]],Ruimtegroepen[[#All],[Code]:[Ruimte omschrijving]],2,FALSE)</f>
        <v>Niet in Onderhoud</v>
      </c>
      <c r="L618" s="330" t="s">
        <v>101</v>
      </c>
      <c r="M618" s="437" t="s">
        <v>1947</v>
      </c>
      <c r="N618" s="439"/>
      <c r="O618" s="439">
        <v>1</v>
      </c>
      <c r="P618" s="439"/>
      <c r="Q618" s="439"/>
      <c r="R618" s="440">
        <f>VLOOKUP(Ruimtestaat[[#This Row],[Ruimte code]],Ruimtegroepen[],4,FALSE)</f>
        <v>0</v>
      </c>
      <c r="S618" s="434"/>
      <c r="T618" s="434"/>
      <c r="U618" s="453">
        <f>IF(S618&gt;0,IF(RIGHT(Ruimtestaat[[#This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18" s="434">
        <f>IF(U618&gt;0,VLOOKUP($J618,Ruimtegroepen[],3,FALSE)*VLOOKUP($L618,Vloersoorten[],3,FALSE)*VLOOKUP($T618,Frequenties[],3,FALSE)*VLOOKUP($A618,Locaties[],3,FALSE),0)</f>
        <v>0</v>
      </c>
      <c r="W618" s="434">
        <f>Ruimtestaat[[#This Row],[Uitvoeringen werkdagen]]*Ruimtestaat[[#This Row],[Oppervlak (netto)]]</f>
        <v>0</v>
      </c>
      <c r="X618" s="441">
        <f>IF(V618&gt;0,Ruimtestaat[[#This Row],[Prest. (m2 /jaar) werkdagen]]/Ruimtestaat[[#This Row],[Norm (m2/uur) werkdagen]],0)</f>
        <v>0</v>
      </c>
      <c r="Y618" s="442">
        <f>Ruimtestaat[[#This Row],[Uitvoeringen werkdagen]]*Ruimtestaat[[#This Row],[Gedeeltelijk]]</f>
        <v>0</v>
      </c>
      <c r="Z618" s="443">
        <f>IF(U618&gt;0,Ruimtestaat[[#This Row],[Prest. (m2 / jaar) werkdagen gedeeld]]/Ruimtestaat[[#This Row],[Norm (m2/uur) werkdagen]],0)</f>
        <v>0</v>
      </c>
      <c r="AA618" s="441">
        <f>Ruimtestaat[[#This Row],[uren / jaar werkdagen gedeeld]]*Tariefsopbouw!$E$35</f>
        <v>0</v>
      </c>
      <c r="AB618" s="441">
        <f>Ruimtestaat[[#This Row],[Uitvoeringen werkdagen]]*Ruimtestaat[[#This Row],[BSO]]</f>
        <v>0</v>
      </c>
      <c r="AC618" s="443">
        <f>IF(U618&gt;0,Ruimtestaat[[#This Row],[Prest. (m2 / jaar) werkdagen BSO]]/Ruimtestaat[[#This Row],[Norm (m2/uur) werkdagen]],0)</f>
        <v>0</v>
      </c>
      <c r="AD618" s="443">
        <f>Ruimtestaat[[#This Row],[uren / jaar werkdagen BSO]]*Tariefsopbouw!$E$35</f>
        <v>0</v>
      </c>
      <c r="AE618" s="444">
        <f>Ruimtestaat[[#This Row],[uren / jaar werkdagen]]*Tariefsopbouw!$E$35</f>
        <v>0</v>
      </c>
      <c r="AF618" s="454"/>
      <c r="AG618" s="455">
        <f>IF(Ruimtestaat[[#This Row],[Frequentie weekend]]&gt;0,VALUE(LEFT(AF618,1))*S618,0)</f>
        <v>0</v>
      </c>
      <c r="AH618" s="455">
        <f>IF($AG618&gt;0,VLOOKUP($J618,Ruimtegroepen[],3,FALSE)*VLOOKUP($L618,Vloersoorten[],3,FALSE)*VLOOKUP($AF618,Frequenties[],3,FALSE)*VLOOKUP(#REF!,Locaties[],3,FALSE),0)</f>
        <v>0</v>
      </c>
      <c r="AI618" s="434">
        <f>Ruimtestaat[[#This Row],[Uitvoeringen weekend]]*Ruimtestaat[[#This Row],[Oppervlak (netto)]]</f>
        <v>0</v>
      </c>
      <c r="AJ618" s="434">
        <f>IF(AH618&gt;0,Ruimtestaat[[#This Row],[Prest. (m2 /jaar) weekend]]/Ruimtestaat[[#This Row],[Norm (m2/uur) weekend]],0)</f>
        <v>0</v>
      </c>
      <c r="AK618" s="444">
        <f>Ruimtestaat[[#This Row],[uren / jaar weekend]]*Tariefsopbouw!$D$40</f>
        <v>0</v>
      </c>
      <c r="AL618" s="441">
        <f>Ruimtestaat[[#This Row],[Prest. (m2 /jaar) weekend]]+Ruimtestaat[[#This Row],[Prest. (m2 /jaar) werkdagen]]</f>
        <v>0</v>
      </c>
      <c r="AM618" s="441">
        <f>Ruimtestaat[[#This Row],[uren / jaar weekend]]+Ruimtestaat[[#This Row],[uren / jaar werkdagen]]</f>
        <v>0</v>
      </c>
      <c r="AN618" s="446">
        <f>Ruimtestaat[[#This Row],[kosten / jaar weekend]]+Ruimtestaat[[#This Row],[kosten / jaar werkdagen]]</f>
        <v>0</v>
      </c>
      <c r="AO618" s="446"/>
      <c r="AP618" s="446" t="str">
        <f>IF(Ruimtestaat[[#This Row],[Frequentie werkdagen]]="","",_xlfn.CONCAT(Ruimtestaat[[#This Row],[Ruimte code]],"-",Ruimtestaat[[#This Row],[Frequentie werkdagen]]," ",Ruimtestaat[[#This Row],[Vloer code]]))</f>
        <v/>
      </c>
      <c r="AQ618" s="448" t="str">
        <f>_xlfn.IFNA(VLOOKUP($AP618,Programma!$F$3:$G$1101,2,0),"")</f>
        <v/>
      </c>
      <c r="AR618" s="448" t="str">
        <f>_xlfn.IFNA(VLOOKUP($AP618,Programma!$F$3:$H$1101,3,0),"")</f>
        <v/>
      </c>
      <c r="AS618" s="448" t="str">
        <f>_xlfn.IFNA(VLOOKUP($AP618,Programma!$F$3:$I$1101,4,0),"")</f>
        <v/>
      </c>
      <c r="AT618" s="448" t="str">
        <f>_xlfn.IFNA(VLOOKUP($AP618,Programma!$F$3:$J$1101,5,0),"")</f>
        <v/>
      </c>
      <c r="AU618" s="448" t="str">
        <f>_xlfn.IFNA(VLOOKUP($AP618,Programma!$F$3:$K$1101,6,0),"")</f>
        <v/>
      </c>
      <c r="AV618" s="448" t="str">
        <f>_xlfn.IFNA(VLOOKUP($AP618,Programma!$F$3:$L$1101,7,0),"")</f>
        <v/>
      </c>
      <c r="AW618" s="448" t="str">
        <f>_xlfn.IFNA(VLOOKUP($AP618,Programma!$F$3:$M$1101,8,0),"")</f>
        <v/>
      </c>
      <c r="AX618" s="448" t="str">
        <f>_xlfn.IFNA(VLOOKUP($AP618,Programma!$F$3:$N$1101,9,0),"")</f>
        <v/>
      </c>
      <c r="AY618" s="448" t="str">
        <f>_xlfn.IFNA(VLOOKUP($AP618,Programma!$F$3:$O$1101,10,0),"")</f>
        <v/>
      </c>
      <c r="AZ618" s="448" t="str">
        <f>_xlfn.IFNA(VLOOKUP($AP618,Programma!$F$3:$P$1101,11,0),"")</f>
        <v/>
      </c>
      <c r="BA618" s="448" t="str">
        <f>_xlfn.IFNA(VLOOKUP($AP618,Programma!$F$3:$Q$1101,12,0),"")</f>
        <v/>
      </c>
      <c r="BB618" s="448" t="str">
        <f>_xlfn.IFNA(VLOOKUP($AP618,Programma!$F$3:$R$1101,13,0),"")</f>
        <v/>
      </c>
      <c r="BC618" s="448" t="str">
        <f>_xlfn.IFNA(VLOOKUP($AP618,Programma!$F$3:$S$1101,14,0),"")</f>
        <v/>
      </c>
      <c r="BD618" s="448" t="str">
        <f>_xlfn.IFNA(VLOOKUP($AP618,Programma!$F$3:$T$1101,15,0),"")</f>
        <v/>
      </c>
      <c r="BE618" s="448" t="str">
        <f>_xlfn.IFNA(VLOOKUP($AP618,Programma!$F$3:$U$1101,16,0),"")</f>
        <v/>
      </c>
      <c r="BF618" s="448" t="str">
        <f>_xlfn.IFNA(VLOOKUP($AP618,Programma!$F$3:$V$1101,17,0),"")</f>
        <v/>
      </c>
      <c r="BG618" s="448" t="str">
        <f>_xlfn.IFNA(VLOOKUP($AP618,Programma!$F$3:$W$1101,18,0),"")</f>
        <v/>
      </c>
      <c r="BH618" s="448" t="str">
        <f>_xlfn.IFNA(VLOOKUP($AP618,Programma!$F$3:$X$1101,19,0),"")</f>
        <v/>
      </c>
      <c r="BI618" s="448" t="str">
        <f>_xlfn.IFNA(VLOOKUP($AP618,Programma!$F$3:$Y$1101,20,0),"")</f>
        <v/>
      </c>
      <c r="BJ618" s="449"/>
      <c r="BK618" s="446" t="str">
        <f>IF(Ruimtestaat[[#This Row],[Frequentie weekend]]="","",_xlfn.CONCAT(Ruimtestaat[[#This Row],[Ruimte code]],"-",Ruimtestaat[[#This Row],[Frequentie weekend]]," ",Ruimtestaat[[#This Row],[Vloer code]]))</f>
        <v/>
      </c>
      <c r="BL618" s="448" t="str">
        <f>_xlfn.IFNA(VLOOKUP($BK618,Programma!$F$3:$G$1101,2,0),"")</f>
        <v/>
      </c>
      <c r="BM618" s="448" t="str">
        <f>_xlfn.IFNA(VLOOKUP($BK618,Programma!$F$3:$H$1101,3,0),"")</f>
        <v/>
      </c>
      <c r="BN618" s="448" t="str">
        <f>_xlfn.IFNA(VLOOKUP($BK618,Programma!$F$3:$I$1101,4,0),"")</f>
        <v/>
      </c>
      <c r="BO618" s="448" t="str">
        <f>_xlfn.IFNA(VLOOKUP($BK618,Programma!$F$3:$J$1101,5,0),"")</f>
        <v/>
      </c>
      <c r="BP618" s="448" t="str">
        <f>_xlfn.IFNA(VLOOKUP($BK618,Programma!$F$3:$K$1101,6,0),"")</f>
        <v/>
      </c>
      <c r="BQ618" s="448" t="str">
        <f>_xlfn.IFNA(VLOOKUP($BK618,Programma!$F$3:$L$1101,7,0),"")</f>
        <v/>
      </c>
      <c r="BR618" s="448" t="str">
        <f>_xlfn.IFNA(VLOOKUP($BK618,Programma!$F$3:$M$1101,8,0),"")</f>
        <v/>
      </c>
      <c r="BS618" s="448" t="str">
        <f>_xlfn.IFNA(VLOOKUP($BK618,Programma!$F$3:$N$1101,9,0),"")</f>
        <v/>
      </c>
      <c r="BT618" s="448" t="str">
        <f>_xlfn.IFNA(VLOOKUP($BK618,Programma!$F$3:$O$1101,10,0),"")</f>
        <v/>
      </c>
      <c r="BU618" s="448" t="str">
        <f>_xlfn.IFNA(VLOOKUP($BK618,Programma!$F$3:$P$1101,11,0),"")</f>
        <v/>
      </c>
      <c r="BV618" s="448" t="str">
        <f>_xlfn.IFNA(VLOOKUP($BK618,Programma!$F$3:$Q$1101,12,0),"")</f>
        <v/>
      </c>
      <c r="BW618" s="448" t="str">
        <f>_xlfn.IFNA(VLOOKUP($BK618,Programma!$F$3:$R$1101,13,0),"")</f>
        <v/>
      </c>
      <c r="BX618" s="448" t="str">
        <f>_xlfn.IFNA(VLOOKUP($BK618,Programma!$F$3:$S$1101,14,0),"")</f>
        <v/>
      </c>
      <c r="BY618" s="448" t="str">
        <f>_xlfn.IFNA(VLOOKUP($BK618,Programma!$F$3:$T$1101,15,0),"")</f>
        <v/>
      </c>
      <c r="BZ618" s="448" t="str">
        <f>_xlfn.IFNA(VLOOKUP($BK618,Programma!$F$3:$U$1101,16,0),"")</f>
        <v/>
      </c>
      <c r="CA618" s="448" t="str">
        <f>_xlfn.IFNA(VLOOKUP($BK618,Programma!$F$3:$V$1101,17,0),"")</f>
        <v/>
      </c>
      <c r="CB618" s="448" t="str">
        <f>_xlfn.IFNA(VLOOKUP($BK618,Programma!$F$3:$W$1101,18,0),"")</f>
        <v/>
      </c>
      <c r="CC618" s="448" t="str">
        <f>_xlfn.IFNA(VLOOKUP($BK618,Programma!$F$3:$X$1101,19,0),"")</f>
        <v/>
      </c>
      <c r="CD618" s="448" t="str">
        <f>_xlfn.IFNA(VLOOKUP($BK618,Programma!$F$3:$Y$1101,20,0),"")</f>
        <v/>
      </c>
    </row>
    <row r="619" spans="1:82" ht="15" customHeight="1">
      <c r="A619" s="327">
        <v>21</v>
      </c>
      <c r="B619" s="435" t="str">
        <f>VLOOKUP(Ruimtestaat[[#This Row],[Code]],Locaties[[Code]:[Locatie]],2,FALSE)</f>
        <v>IKC De  Leerplaneet (bijgebouw)</v>
      </c>
      <c r="C619" s="435" t="str">
        <f>VLOOKUP(Ruimtestaat[[#This Row],[Code]],Locaties[[#All],[Code]:[Adres]],4,FALSE)</f>
        <v>Nesciohove 105-107</v>
      </c>
      <c r="D619" s="435" t="str">
        <f>VLOOKUP(Ruimtestaat[[#This Row],[Code]],Locaties[[#All],[Code]:[Postcode]],5,FALSE)</f>
        <v>2716 BL</v>
      </c>
      <c r="E619" s="435" t="str">
        <f>VLOOKUP(Ruimtestaat[[#This Row],[Code]],Locaties[#All],6,FALSE)</f>
        <v>Zoetermeer</v>
      </c>
      <c r="F619" s="450"/>
      <c r="H619" s="330" t="s">
        <v>1912</v>
      </c>
      <c r="I619" s="450" t="s">
        <v>1673</v>
      </c>
      <c r="J619" s="330">
        <v>20</v>
      </c>
      <c r="K619" s="450" t="str">
        <f>VLOOKUP(Ruimtestaat[[#This Row],[Ruimte code]],Ruimtegroepen[[#All],[Code]:[Ruimte omschrijving]],2,FALSE)</f>
        <v>Niet in Onderhoud</v>
      </c>
      <c r="L619" s="330" t="s">
        <v>101</v>
      </c>
      <c r="M619" s="437" t="s">
        <v>1947</v>
      </c>
      <c r="N619" s="439"/>
      <c r="O619" s="439">
        <v>5</v>
      </c>
      <c r="P619" s="439"/>
      <c r="Q619" s="439"/>
      <c r="R619" s="440">
        <f>VLOOKUP(Ruimtestaat[[#This Row],[Ruimte code]],Ruimtegroepen[],4,FALSE)</f>
        <v>0</v>
      </c>
      <c r="S619" s="434"/>
      <c r="T619" s="434"/>
      <c r="U619" s="453">
        <f>IF(S619&gt;0,IF(RIGHT(Ruimtestaat[[#This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19" s="434">
        <f>IF(U619&gt;0,VLOOKUP($J619,Ruimtegroepen[],3,FALSE)*VLOOKUP($L619,Vloersoorten[],3,FALSE)*VLOOKUP($T619,Frequenties[],3,FALSE)*VLOOKUP($A619,Locaties[],3,FALSE),0)</f>
        <v>0</v>
      </c>
      <c r="W619" s="434">
        <f>Ruimtestaat[[#This Row],[Uitvoeringen werkdagen]]*Ruimtestaat[[#This Row],[Oppervlak (netto)]]</f>
        <v>0</v>
      </c>
      <c r="X619" s="441">
        <f>IF(V619&gt;0,Ruimtestaat[[#This Row],[Prest. (m2 /jaar) werkdagen]]/Ruimtestaat[[#This Row],[Norm (m2/uur) werkdagen]],0)</f>
        <v>0</v>
      </c>
      <c r="Y619" s="442">
        <f>Ruimtestaat[[#This Row],[Uitvoeringen werkdagen]]*Ruimtestaat[[#This Row],[Gedeeltelijk]]</f>
        <v>0</v>
      </c>
      <c r="Z619" s="443">
        <f>IF(U619&gt;0,Ruimtestaat[[#This Row],[Prest. (m2 / jaar) werkdagen gedeeld]]/Ruimtestaat[[#This Row],[Norm (m2/uur) werkdagen]],0)</f>
        <v>0</v>
      </c>
      <c r="AA619" s="441">
        <f>Ruimtestaat[[#This Row],[uren / jaar werkdagen gedeeld]]*Tariefsopbouw!$E$35</f>
        <v>0</v>
      </c>
      <c r="AB619" s="441">
        <f>Ruimtestaat[[#This Row],[Uitvoeringen werkdagen]]*Ruimtestaat[[#This Row],[BSO]]</f>
        <v>0</v>
      </c>
      <c r="AC619" s="443">
        <f>IF(U619&gt;0,Ruimtestaat[[#This Row],[Prest. (m2 / jaar) werkdagen BSO]]/Ruimtestaat[[#This Row],[Norm (m2/uur) werkdagen]],0)</f>
        <v>0</v>
      </c>
      <c r="AD619" s="443">
        <f>Ruimtestaat[[#This Row],[uren / jaar werkdagen BSO]]*Tariefsopbouw!$E$35</f>
        <v>0</v>
      </c>
      <c r="AE619" s="444">
        <f>Ruimtestaat[[#This Row],[uren / jaar werkdagen]]*Tariefsopbouw!$E$35</f>
        <v>0</v>
      </c>
      <c r="AF619" s="454"/>
      <c r="AG619" s="455">
        <f>IF(Ruimtestaat[[#This Row],[Frequentie weekend]]&gt;0,VALUE(LEFT(AF619,1))*S619,0)</f>
        <v>0</v>
      </c>
      <c r="AH619" s="455">
        <f>IF($AG619&gt;0,VLOOKUP($J619,Ruimtegroepen[],3,FALSE)*VLOOKUP($L619,Vloersoorten[],3,FALSE)*VLOOKUP($AF619,Frequenties[],3,FALSE)*VLOOKUP(#REF!,Locaties[],3,FALSE),0)</f>
        <v>0</v>
      </c>
      <c r="AI619" s="434">
        <f>Ruimtestaat[[#This Row],[Uitvoeringen weekend]]*Ruimtestaat[[#This Row],[Oppervlak (netto)]]</f>
        <v>0</v>
      </c>
      <c r="AJ619" s="434">
        <f>IF(AH619&gt;0,Ruimtestaat[[#This Row],[Prest. (m2 /jaar) weekend]]/Ruimtestaat[[#This Row],[Norm (m2/uur) weekend]],0)</f>
        <v>0</v>
      </c>
      <c r="AK619" s="444">
        <f>Ruimtestaat[[#This Row],[uren / jaar weekend]]*Tariefsopbouw!$D$40</f>
        <v>0</v>
      </c>
      <c r="AL619" s="441">
        <f>Ruimtestaat[[#This Row],[Prest. (m2 /jaar) weekend]]+Ruimtestaat[[#This Row],[Prest. (m2 /jaar) werkdagen]]</f>
        <v>0</v>
      </c>
      <c r="AM619" s="441">
        <f>Ruimtestaat[[#This Row],[uren / jaar weekend]]+Ruimtestaat[[#This Row],[uren / jaar werkdagen]]</f>
        <v>0</v>
      </c>
      <c r="AN619" s="446">
        <f>Ruimtestaat[[#This Row],[kosten / jaar weekend]]+Ruimtestaat[[#This Row],[kosten / jaar werkdagen]]</f>
        <v>0</v>
      </c>
      <c r="AO619" s="446"/>
      <c r="AP619" s="446" t="str">
        <f>IF(Ruimtestaat[[#This Row],[Frequentie werkdagen]]="","",_xlfn.CONCAT(Ruimtestaat[[#This Row],[Ruimte code]],"-",Ruimtestaat[[#This Row],[Frequentie werkdagen]]," ",Ruimtestaat[[#This Row],[Vloer code]]))</f>
        <v/>
      </c>
      <c r="AQ619" s="448" t="str">
        <f>_xlfn.IFNA(VLOOKUP($AP619,Programma!$F$3:$G$1101,2,0),"")</f>
        <v/>
      </c>
      <c r="AR619" s="448" t="str">
        <f>_xlfn.IFNA(VLOOKUP($AP619,Programma!$F$3:$H$1101,3,0),"")</f>
        <v/>
      </c>
      <c r="AS619" s="448" t="str">
        <f>_xlfn.IFNA(VLOOKUP($AP619,Programma!$F$3:$I$1101,4,0),"")</f>
        <v/>
      </c>
      <c r="AT619" s="448" t="str">
        <f>_xlfn.IFNA(VLOOKUP($AP619,Programma!$F$3:$J$1101,5,0),"")</f>
        <v/>
      </c>
      <c r="AU619" s="448" t="str">
        <f>_xlfn.IFNA(VLOOKUP($AP619,Programma!$F$3:$K$1101,6,0),"")</f>
        <v/>
      </c>
      <c r="AV619" s="448" t="str">
        <f>_xlfn.IFNA(VLOOKUP($AP619,Programma!$F$3:$L$1101,7,0),"")</f>
        <v/>
      </c>
      <c r="AW619" s="448" t="str">
        <f>_xlfn.IFNA(VLOOKUP($AP619,Programma!$F$3:$M$1101,8,0),"")</f>
        <v/>
      </c>
      <c r="AX619" s="448" t="str">
        <f>_xlfn.IFNA(VLOOKUP($AP619,Programma!$F$3:$N$1101,9,0),"")</f>
        <v/>
      </c>
      <c r="AY619" s="448" t="str">
        <f>_xlfn.IFNA(VLOOKUP($AP619,Programma!$F$3:$O$1101,10,0),"")</f>
        <v/>
      </c>
      <c r="AZ619" s="448" t="str">
        <f>_xlfn.IFNA(VLOOKUP($AP619,Programma!$F$3:$P$1101,11,0),"")</f>
        <v/>
      </c>
      <c r="BA619" s="448" t="str">
        <f>_xlfn.IFNA(VLOOKUP($AP619,Programma!$F$3:$Q$1101,12,0),"")</f>
        <v/>
      </c>
      <c r="BB619" s="448" t="str">
        <f>_xlfn.IFNA(VLOOKUP($AP619,Programma!$F$3:$R$1101,13,0),"")</f>
        <v/>
      </c>
      <c r="BC619" s="448" t="str">
        <f>_xlfn.IFNA(VLOOKUP($AP619,Programma!$F$3:$S$1101,14,0),"")</f>
        <v/>
      </c>
      <c r="BD619" s="448" t="str">
        <f>_xlfn.IFNA(VLOOKUP($AP619,Programma!$F$3:$T$1101,15,0),"")</f>
        <v/>
      </c>
      <c r="BE619" s="448" t="str">
        <f>_xlfn.IFNA(VLOOKUP($AP619,Programma!$F$3:$U$1101,16,0),"")</f>
        <v/>
      </c>
      <c r="BF619" s="448" t="str">
        <f>_xlfn.IFNA(VLOOKUP($AP619,Programma!$F$3:$V$1101,17,0),"")</f>
        <v/>
      </c>
      <c r="BG619" s="448" t="str">
        <f>_xlfn.IFNA(VLOOKUP($AP619,Programma!$F$3:$W$1101,18,0),"")</f>
        <v/>
      </c>
      <c r="BH619" s="448" t="str">
        <f>_xlfn.IFNA(VLOOKUP($AP619,Programma!$F$3:$X$1101,19,0),"")</f>
        <v/>
      </c>
      <c r="BI619" s="448" t="str">
        <f>_xlfn.IFNA(VLOOKUP($AP619,Programma!$F$3:$Y$1101,20,0),"")</f>
        <v/>
      </c>
      <c r="BJ619" s="449"/>
      <c r="BK619" s="446" t="str">
        <f>IF(Ruimtestaat[[#This Row],[Frequentie weekend]]="","",_xlfn.CONCAT(Ruimtestaat[[#This Row],[Ruimte code]],"-",Ruimtestaat[[#This Row],[Frequentie weekend]]," ",Ruimtestaat[[#This Row],[Vloer code]]))</f>
        <v/>
      </c>
      <c r="BL619" s="448" t="str">
        <f>_xlfn.IFNA(VLOOKUP($BK619,Programma!$F$3:$G$1101,2,0),"")</f>
        <v/>
      </c>
      <c r="BM619" s="448" t="str">
        <f>_xlfn.IFNA(VLOOKUP($BK619,Programma!$F$3:$H$1101,3,0),"")</f>
        <v/>
      </c>
      <c r="BN619" s="448" t="str">
        <f>_xlfn.IFNA(VLOOKUP($BK619,Programma!$F$3:$I$1101,4,0),"")</f>
        <v/>
      </c>
      <c r="BO619" s="448" t="str">
        <f>_xlfn.IFNA(VLOOKUP($BK619,Programma!$F$3:$J$1101,5,0),"")</f>
        <v/>
      </c>
      <c r="BP619" s="448" t="str">
        <f>_xlfn.IFNA(VLOOKUP($BK619,Programma!$F$3:$K$1101,6,0),"")</f>
        <v/>
      </c>
      <c r="BQ619" s="448" t="str">
        <f>_xlfn.IFNA(VLOOKUP($BK619,Programma!$F$3:$L$1101,7,0),"")</f>
        <v/>
      </c>
      <c r="BR619" s="448" t="str">
        <f>_xlfn.IFNA(VLOOKUP($BK619,Programma!$F$3:$M$1101,8,0),"")</f>
        <v/>
      </c>
      <c r="BS619" s="448" t="str">
        <f>_xlfn.IFNA(VLOOKUP($BK619,Programma!$F$3:$N$1101,9,0),"")</f>
        <v/>
      </c>
      <c r="BT619" s="448" t="str">
        <f>_xlfn.IFNA(VLOOKUP($BK619,Programma!$F$3:$O$1101,10,0),"")</f>
        <v/>
      </c>
      <c r="BU619" s="448" t="str">
        <f>_xlfn.IFNA(VLOOKUP($BK619,Programma!$F$3:$P$1101,11,0),"")</f>
        <v/>
      </c>
      <c r="BV619" s="448" t="str">
        <f>_xlfn.IFNA(VLOOKUP($BK619,Programma!$F$3:$Q$1101,12,0),"")</f>
        <v/>
      </c>
      <c r="BW619" s="448" t="str">
        <f>_xlfn.IFNA(VLOOKUP($BK619,Programma!$F$3:$R$1101,13,0),"")</f>
        <v/>
      </c>
      <c r="BX619" s="448" t="str">
        <f>_xlfn.IFNA(VLOOKUP($BK619,Programma!$F$3:$S$1101,14,0),"")</f>
        <v/>
      </c>
      <c r="BY619" s="448" t="str">
        <f>_xlfn.IFNA(VLOOKUP($BK619,Programma!$F$3:$T$1101,15,0),"")</f>
        <v/>
      </c>
      <c r="BZ619" s="448" t="str">
        <f>_xlfn.IFNA(VLOOKUP($BK619,Programma!$F$3:$U$1101,16,0),"")</f>
        <v/>
      </c>
      <c r="CA619" s="448" t="str">
        <f>_xlfn.IFNA(VLOOKUP($BK619,Programma!$F$3:$V$1101,17,0),"")</f>
        <v/>
      </c>
      <c r="CB619" s="448" t="str">
        <f>_xlfn.IFNA(VLOOKUP($BK619,Programma!$F$3:$W$1101,18,0),"")</f>
        <v/>
      </c>
      <c r="CC619" s="448" t="str">
        <f>_xlfn.IFNA(VLOOKUP($BK619,Programma!$F$3:$X$1101,19,0),"")</f>
        <v/>
      </c>
      <c r="CD619" s="448" t="str">
        <f>_xlfn.IFNA(VLOOKUP($BK619,Programma!$F$3:$Y$1101,20,0),"")</f>
        <v/>
      </c>
    </row>
    <row r="620" spans="1:82" ht="15" customHeight="1">
      <c r="A620" s="327">
        <v>21</v>
      </c>
      <c r="B620" s="435" t="str">
        <f>VLOOKUP(Ruimtestaat[[#This Row],[Code]],Locaties[[Code]:[Locatie]],2,FALSE)</f>
        <v>IKC De  Leerplaneet (bijgebouw)</v>
      </c>
      <c r="C620" s="435" t="str">
        <f>VLOOKUP(Ruimtestaat[[#This Row],[Code]],Locaties[[#All],[Code]:[Adres]],4,FALSE)</f>
        <v>Nesciohove 105-107</v>
      </c>
      <c r="D620" s="435" t="str">
        <f>VLOOKUP(Ruimtestaat[[#This Row],[Code]],Locaties[[#All],[Code]:[Postcode]],5,FALSE)</f>
        <v>2716 BL</v>
      </c>
      <c r="E620" s="435" t="str">
        <f>VLOOKUP(Ruimtestaat[[#This Row],[Code]],Locaties[#All],6,FALSE)</f>
        <v>Zoetermeer</v>
      </c>
      <c r="F620" s="450"/>
      <c r="H620" s="330" t="s">
        <v>1915</v>
      </c>
      <c r="I620" s="450" t="s">
        <v>1673</v>
      </c>
      <c r="J620" s="330">
        <v>20</v>
      </c>
      <c r="K620" s="450" t="str">
        <f>VLOOKUP(Ruimtestaat[[#This Row],[Ruimte code]],Ruimtegroepen[[#All],[Code]:[Ruimte omschrijving]],2,FALSE)</f>
        <v>Niet in Onderhoud</v>
      </c>
      <c r="L620" s="330" t="s">
        <v>101</v>
      </c>
      <c r="M620" s="437" t="s">
        <v>1947</v>
      </c>
      <c r="N620" s="439"/>
      <c r="O620" s="439">
        <v>5</v>
      </c>
      <c r="P620" s="439"/>
      <c r="Q620" s="439"/>
      <c r="R620" s="440">
        <f>VLOOKUP(Ruimtestaat[[#This Row],[Ruimte code]],Ruimtegroepen[],4,FALSE)</f>
        <v>0</v>
      </c>
      <c r="S620" s="434"/>
      <c r="T620" s="434"/>
      <c r="U620" s="453">
        <f>IF(S620&gt;0,IF(RIGHT(Ruimtestaat[[#This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20" s="434">
        <f>IF(U620&gt;0,VLOOKUP($J620,Ruimtegroepen[],3,FALSE)*VLOOKUP($L620,Vloersoorten[],3,FALSE)*VLOOKUP($T620,Frequenties[],3,FALSE)*VLOOKUP($A620,Locaties[],3,FALSE),0)</f>
        <v>0</v>
      </c>
      <c r="W620" s="434">
        <f>Ruimtestaat[[#This Row],[Uitvoeringen werkdagen]]*Ruimtestaat[[#This Row],[Oppervlak (netto)]]</f>
        <v>0</v>
      </c>
      <c r="X620" s="441">
        <f>IF(V620&gt;0,Ruimtestaat[[#This Row],[Prest. (m2 /jaar) werkdagen]]/Ruimtestaat[[#This Row],[Norm (m2/uur) werkdagen]],0)</f>
        <v>0</v>
      </c>
      <c r="Y620" s="442">
        <f>Ruimtestaat[[#This Row],[Uitvoeringen werkdagen]]*Ruimtestaat[[#This Row],[Gedeeltelijk]]</f>
        <v>0</v>
      </c>
      <c r="Z620" s="443">
        <f>IF(U620&gt;0,Ruimtestaat[[#This Row],[Prest. (m2 / jaar) werkdagen gedeeld]]/Ruimtestaat[[#This Row],[Norm (m2/uur) werkdagen]],0)</f>
        <v>0</v>
      </c>
      <c r="AA620" s="441">
        <f>Ruimtestaat[[#This Row],[uren / jaar werkdagen gedeeld]]*Tariefsopbouw!$E$35</f>
        <v>0</v>
      </c>
      <c r="AB620" s="441">
        <f>Ruimtestaat[[#This Row],[Uitvoeringen werkdagen]]*Ruimtestaat[[#This Row],[BSO]]</f>
        <v>0</v>
      </c>
      <c r="AC620" s="443">
        <f>IF(U620&gt;0,Ruimtestaat[[#This Row],[Prest. (m2 / jaar) werkdagen BSO]]/Ruimtestaat[[#This Row],[Norm (m2/uur) werkdagen]],0)</f>
        <v>0</v>
      </c>
      <c r="AD620" s="443">
        <f>Ruimtestaat[[#This Row],[uren / jaar werkdagen BSO]]*Tariefsopbouw!$E$35</f>
        <v>0</v>
      </c>
      <c r="AE620" s="444">
        <f>Ruimtestaat[[#This Row],[uren / jaar werkdagen]]*Tariefsopbouw!$E$35</f>
        <v>0</v>
      </c>
      <c r="AF620" s="454"/>
      <c r="AG620" s="455">
        <f>IF(Ruimtestaat[[#This Row],[Frequentie weekend]]&gt;0,VALUE(LEFT(AF620,1))*S620,0)</f>
        <v>0</v>
      </c>
      <c r="AH620" s="455">
        <f>IF($AG620&gt;0,VLOOKUP($J620,Ruimtegroepen[],3,FALSE)*VLOOKUP($L620,Vloersoorten[],3,FALSE)*VLOOKUP($AF620,Frequenties[],3,FALSE)*VLOOKUP(#REF!,Locaties[],3,FALSE),0)</f>
        <v>0</v>
      </c>
      <c r="AI620" s="434">
        <f>Ruimtestaat[[#This Row],[Uitvoeringen weekend]]*Ruimtestaat[[#This Row],[Oppervlak (netto)]]</f>
        <v>0</v>
      </c>
      <c r="AJ620" s="434">
        <f>IF(AH620&gt;0,Ruimtestaat[[#This Row],[Prest. (m2 /jaar) weekend]]/Ruimtestaat[[#This Row],[Norm (m2/uur) weekend]],0)</f>
        <v>0</v>
      </c>
      <c r="AK620" s="444">
        <f>Ruimtestaat[[#This Row],[uren / jaar weekend]]*Tariefsopbouw!$D$40</f>
        <v>0</v>
      </c>
      <c r="AL620" s="441">
        <f>Ruimtestaat[[#This Row],[Prest. (m2 /jaar) weekend]]+Ruimtestaat[[#This Row],[Prest. (m2 /jaar) werkdagen]]</f>
        <v>0</v>
      </c>
      <c r="AM620" s="441">
        <f>Ruimtestaat[[#This Row],[uren / jaar weekend]]+Ruimtestaat[[#This Row],[uren / jaar werkdagen]]</f>
        <v>0</v>
      </c>
      <c r="AN620" s="446">
        <f>Ruimtestaat[[#This Row],[kosten / jaar weekend]]+Ruimtestaat[[#This Row],[kosten / jaar werkdagen]]</f>
        <v>0</v>
      </c>
      <c r="AO620" s="446"/>
      <c r="AP620" s="446" t="str">
        <f>IF(Ruimtestaat[[#This Row],[Frequentie werkdagen]]="","",_xlfn.CONCAT(Ruimtestaat[[#This Row],[Ruimte code]],"-",Ruimtestaat[[#This Row],[Frequentie werkdagen]]," ",Ruimtestaat[[#This Row],[Vloer code]]))</f>
        <v/>
      </c>
      <c r="AQ620" s="448" t="str">
        <f>_xlfn.IFNA(VLOOKUP($AP620,Programma!$F$3:$G$1101,2,0),"")</f>
        <v/>
      </c>
      <c r="AR620" s="448" t="str">
        <f>_xlfn.IFNA(VLOOKUP($AP620,Programma!$F$3:$H$1101,3,0),"")</f>
        <v/>
      </c>
      <c r="AS620" s="448" t="str">
        <f>_xlfn.IFNA(VLOOKUP($AP620,Programma!$F$3:$I$1101,4,0),"")</f>
        <v/>
      </c>
      <c r="AT620" s="448" t="str">
        <f>_xlfn.IFNA(VLOOKUP($AP620,Programma!$F$3:$J$1101,5,0),"")</f>
        <v/>
      </c>
      <c r="AU620" s="448" t="str">
        <f>_xlfn.IFNA(VLOOKUP($AP620,Programma!$F$3:$K$1101,6,0),"")</f>
        <v/>
      </c>
      <c r="AV620" s="448" t="str">
        <f>_xlfn.IFNA(VLOOKUP($AP620,Programma!$F$3:$L$1101,7,0),"")</f>
        <v/>
      </c>
      <c r="AW620" s="448" t="str">
        <f>_xlfn.IFNA(VLOOKUP($AP620,Programma!$F$3:$M$1101,8,0),"")</f>
        <v/>
      </c>
      <c r="AX620" s="448" t="str">
        <f>_xlfn.IFNA(VLOOKUP($AP620,Programma!$F$3:$N$1101,9,0),"")</f>
        <v/>
      </c>
      <c r="AY620" s="448" t="str">
        <f>_xlfn.IFNA(VLOOKUP($AP620,Programma!$F$3:$O$1101,10,0),"")</f>
        <v/>
      </c>
      <c r="AZ620" s="448" t="str">
        <f>_xlfn.IFNA(VLOOKUP($AP620,Programma!$F$3:$P$1101,11,0),"")</f>
        <v/>
      </c>
      <c r="BA620" s="448" t="str">
        <f>_xlfn.IFNA(VLOOKUP($AP620,Programma!$F$3:$Q$1101,12,0),"")</f>
        <v/>
      </c>
      <c r="BB620" s="448" t="str">
        <f>_xlfn.IFNA(VLOOKUP($AP620,Programma!$F$3:$R$1101,13,0),"")</f>
        <v/>
      </c>
      <c r="BC620" s="448" t="str">
        <f>_xlfn.IFNA(VLOOKUP($AP620,Programma!$F$3:$S$1101,14,0),"")</f>
        <v/>
      </c>
      <c r="BD620" s="448" t="str">
        <f>_xlfn.IFNA(VLOOKUP($AP620,Programma!$F$3:$T$1101,15,0),"")</f>
        <v/>
      </c>
      <c r="BE620" s="448" t="str">
        <f>_xlfn.IFNA(VLOOKUP($AP620,Programma!$F$3:$U$1101,16,0),"")</f>
        <v/>
      </c>
      <c r="BF620" s="448" t="str">
        <f>_xlfn.IFNA(VLOOKUP($AP620,Programma!$F$3:$V$1101,17,0),"")</f>
        <v/>
      </c>
      <c r="BG620" s="448" t="str">
        <f>_xlfn.IFNA(VLOOKUP($AP620,Programma!$F$3:$W$1101,18,0),"")</f>
        <v/>
      </c>
      <c r="BH620" s="448" t="str">
        <f>_xlfn.IFNA(VLOOKUP($AP620,Programma!$F$3:$X$1101,19,0),"")</f>
        <v/>
      </c>
      <c r="BI620" s="448" t="str">
        <f>_xlfn.IFNA(VLOOKUP($AP620,Programma!$F$3:$Y$1101,20,0),"")</f>
        <v/>
      </c>
      <c r="BJ620" s="449"/>
      <c r="BK620" s="446" t="str">
        <f>IF(Ruimtestaat[[#This Row],[Frequentie weekend]]="","",_xlfn.CONCAT(Ruimtestaat[[#This Row],[Ruimte code]],"-",Ruimtestaat[[#This Row],[Frequentie weekend]]," ",Ruimtestaat[[#This Row],[Vloer code]]))</f>
        <v/>
      </c>
      <c r="BL620" s="448" t="str">
        <f>_xlfn.IFNA(VLOOKUP($BK620,Programma!$F$3:$G$1101,2,0),"")</f>
        <v/>
      </c>
      <c r="BM620" s="448" t="str">
        <f>_xlfn.IFNA(VLOOKUP($BK620,Programma!$F$3:$H$1101,3,0),"")</f>
        <v/>
      </c>
      <c r="BN620" s="448" t="str">
        <f>_xlfn.IFNA(VLOOKUP($BK620,Programma!$F$3:$I$1101,4,0),"")</f>
        <v/>
      </c>
      <c r="BO620" s="448" t="str">
        <f>_xlfn.IFNA(VLOOKUP($BK620,Programma!$F$3:$J$1101,5,0),"")</f>
        <v/>
      </c>
      <c r="BP620" s="448" t="str">
        <f>_xlfn.IFNA(VLOOKUP($BK620,Programma!$F$3:$K$1101,6,0),"")</f>
        <v/>
      </c>
      <c r="BQ620" s="448" t="str">
        <f>_xlfn.IFNA(VLOOKUP($BK620,Programma!$F$3:$L$1101,7,0),"")</f>
        <v/>
      </c>
      <c r="BR620" s="448" t="str">
        <f>_xlfn.IFNA(VLOOKUP($BK620,Programma!$F$3:$M$1101,8,0),"")</f>
        <v/>
      </c>
      <c r="BS620" s="448" t="str">
        <f>_xlfn.IFNA(VLOOKUP($BK620,Programma!$F$3:$N$1101,9,0),"")</f>
        <v/>
      </c>
      <c r="BT620" s="448" t="str">
        <f>_xlfn.IFNA(VLOOKUP($BK620,Programma!$F$3:$O$1101,10,0),"")</f>
        <v/>
      </c>
      <c r="BU620" s="448" t="str">
        <f>_xlfn.IFNA(VLOOKUP($BK620,Programma!$F$3:$P$1101,11,0),"")</f>
        <v/>
      </c>
      <c r="BV620" s="448" t="str">
        <f>_xlfn.IFNA(VLOOKUP($BK620,Programma!$F$3:$Q$1101,12,0),"")</f>
        <v/>
      </c>
      <c r="BW620" s="448" t="str">
        <f>_xlfn.IFNA(VLOOKUP($BK620,Programma!$F$3:$R$1101,13,0),"")</f>
        <v/>
      </c>
      <c r="BX620" s="448" t="str">
        <f>_xlfn.IFNA(VLOOKUP($BK620,Programma!$F$3:$S$1101,14,0),"")</f>
        <v/>
      </c>
      <c r="BY620" s="448" t="str">
        <f>_xlfn.IFNA(VLOOKUP($BK620,Programma!$F$3:$T$1101,15,0),"")</f>
        <v/>
      </c>
      <c r="BZ620" s="448" t="str">
        <f>_xlfn.IFNA(VLOOKUP($BK620,Programma!$F$3:$U$1101,16,0),"")</f>
        <v/>
      </c>
      <c r="CA620" s="448" t="str">
        <f>_xlfn.IFNA(VLOOKUP($BK620,Programma!$F$3:$V$1101,17,0),"")</f>
        <v/>
      </c>
      <c r="CB620" s="448" t="str">
        <f>_xlfn.IFNA(VLOOKUP($BK620,Programma!$F$3:$W$1101,18,0),"")</f>
        <v/>
      </c>
      <c r="CC620" s="448" t="str">
        <f>_xlfn.IFNA(VLOOKUP($BK620,Programma!$F$3:$X$1101,19,0),"")</f>
        <v/>
      </c>
      <c r="CD620" s="448" t="str">
        <f>_xlfn.IFNA(VLOOKUP($BK620,Programma!$F$3:$Y$1101,20,0),"")</f>
        <v/>
      </c>
    </row>
    <row r="621" spans="1:82" ht="15" customHeight="1">
      <c r="A621" s="327">
        <v>21</v>
      </c>
      <c r="B621" s="435" t="str">
        <f>VLOOKUP(Ruimtestaat[[#This Row],[Code]],Locaties[[Code]:[Locatie]],2,FALSE)</f>
        <v>IKC De  Leerplaneet (bijgebouw)</v>
      </c>
      <c r="C621" s="435" t="str">
        <f>VLOOKUP(Ruimtestaat[[#This Row],[Code]],Locaties[[#All],[Code]:[Adres]],4,FALSE)</f>
        <v>Nesciohove 105-107</v>
      </c>
      <c r="D621" s="435" t="str">
        <f>VLOOKUP(Ruimtestaat[[#This Row],[Code]],Locaties[[#All],[Code]:[Postcode]],5,FALSE)</f>
        <v>2716 BL</v>
      </c>
      <c r="E621" s="435" t="str">
        <f>VLOOKUP(Ruimtestaat[[#This Row],[Code]],Locaties[#All],6,FALSE)</f>
        <v>Zoetermeer</v>
      </c>
      <c r="F621" s="450"/>
      <c r="H621" s="330" t="s">
        <v>1917</v>
      </c>
      <c r="I621" s="450" t="s">
        <v>1957</v>
      </c>
      <c r="J621" s="330">
        <v>20</v>
      </c>
      <c r="K621" s="450" t="str">
        <f>VLOOKUP(Ruimtestaat[[#This Row],[Ruimte code]],Ruimtegroepen[[#All],[Code]:[Ruimte omschrijving]],2,FALSE)</f>
        <v>Niet in Onderhoud</v>
      </c>
      <c r="L621" s="434" t="s">
        <v>100</v>
      </c>
      <c r="M621" s="437" t="s">
        <v>1759</v>
      </c>
      <c r="N621" s="439"/>
      <c r="O621" s="439">
        <v>75</v>
      </c>
      <c r="P621" s="439"/>
      <c r="Q621" s="439"/>
      <c r="R621" s="440">
        <f>VLOOKUP(Ruimtestaat[[#This Row],[Ruimte code]],Ruimtegroepen[],4,FALSE)</f>
        <v>0</v>
      </c>
      <c r="S621" s="434"/>
      <c r="T621" s="434"/>
      <c r="U621" s="453">
        <f>IF(S621&gt;0,IF(RIGHT(Ruimtestaat[[#This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21" s="434">
        <f>IF(U621&gt;0,VLOOKUP($J621,Ruimtegroepen[],3,FALSE)*VLOOKUP($L621,Vloersoorten[],3,FALSE)*VLOOKUP($T621,Frequenties[],3,FALSE)*VLOOKUP($A621,Locaties[],3,FALSE),0)</f>
        <v>0</v>
      </c>
      <c r="W621" s="434">
        <f>Ruimtestaat[[#This Row],[Uitvoeringen werkdagen]]*Ruimtestaat[[#This Row],[Oppervlak (netto)]]</f>
        <v>0</v>
      </c>
      <c r="X621" s="441">
        <f>IF(V621&gt;0,Ruimtestaat[[#This Row],[Prest. (m2 /jaar) werkdagen]]/Ruimtestaat[[#This Row],[Norm (m2/uur) werkdagen]],0)</f>
        <v>0</v>
      </c>
      <c r="Y621" s="442">
        <f>Ruimtestaat[[#This Row],[Uitvoeringen werkdagen]]*Ruimtestaat[[#This Row],[Gedeeltelijk]]</f>
        <v>0</v>
      </c>
      <c r="Z621" s="443">
        <f>IF(U621&gt;0,Ruimtestaat[[#This Row],[Prest. (m2 / jaar) werkdagen gedeeld]]/Ruimtestaat[[#This Row],[Norm (m2/uur) werkdagen]],0)</f>
        <v>0</v>
      </c>
      <c r="AA621" s="441">
        <f>Ruimtestaat[[#This Row],[uren / jaar werkdagen gedeeld]]*Tariefsopbouw!$E$35</f>
        <v>0</v>
      </c>
      <c r="AB621" s="441">
        <f>Ruimtestaat[[#This Row],[Uitvoeringen werkdagen]]*Ruimtestaat[[#This Row],[BSO]]</f>
        <v>0</v>
      </c>
      <c r="AC621" s="443">
        <f>IF(U621&gt;0,Ruimtestaat[[#This Row],[Prest. (m2 / jaar) werkdagen BSO]]/Ruimtestaat[[#This Row],[Norm (m2/uur) werkdagen]],0)</f>
        <v>0</v>
      </c>
      <c r="AD621" s="443">
        <f>Ruimtestaat[[#This Row],[uren / jaar werkdagen BSO]]*Tariefsopbouw!$E$35</f>
        <v>0</v>
      </c>
      <c r="AE621" s="444">
        <f>Ruimtestaat[[#This Row],[uren / jaar werkdagen]]*Tariefsopbouw!$E$35</f>
        <v>0</v>
      </c>
      <c r="AF621" s="454"/>
      <c r="AG621" s="455">
        <f>IF(Ruimtestaat[[#This Row],[Frequentie weekend]]&gt;0,VALUE(LEFT(AF621,1))*S621,0)</f>
        <v>0</v>
      </c>
      <c r="AH621" s="455">
        <f>IF($AG621&gt;0,VLOOKUP($J621,Ruimtegroepen[],3,FALSE)*VLOOKUP($L621,Vloersoorten[],3,FALSE)*VLOOKUP($AF621,Frequenties[],3,FALSE)*VLOOKUP(#REF!,Locaties[],3,FALSE),0)</f>
        <v>0</v>
      </c>
      <c r="AI621" s="434">
        <f>Ruimtestaat[[#This Row],[Uitvoeringen weekend]]*Ruimtestaat[[#This Row],[Oppervlak (netto)]]</f>
        <v>0</v>
      </c>
      <c r="AJ621" s="434">
        <f>IF(AH621&gt;0,Ruimtestaat[[#This Row],[Prest. (m2 /jaar) weekend]]/Ruimtestaat[[#This Row],[Norm (m2/uur) weekend]],0)</f>
        <v>0</v>
      </c>
      <c r="AK621" s="444">
        <f>Ruimtestaat[[#This Row],[uren / jaar weekend]]*Tariefsopbouw!$D$40</f>
        <v>0</v>
      </c>
      <c r="AL621" s="441">
        <f>Ruimtestaat[[#This Row],[Prest. (m2 /jaar) weekend]]+Ruimtestaat[[#This Row],[Prest. (m2 /jaar) werkdagen]]</f>
        <v>0</v>
      </c>
      <c r="AM621" s="441">
        <f>Ruimtestaat[[#This Row],[uren / jaar weekend]]+Ruimtestaat[[#This Row],[uren / jaar werkdagen]]</f>
        <v>0</v>
      </c>
      <c r="AN621" s="446">
        <f>Ruimtestaat[[#This Row],[kosten / jaar weekend]]+Ruimtestaat[[#This Row],[kosten / jaar werkdagen]]</f>
        <v>0</v>
      </c>
      <c r="AO621" s="446"/>
      <c r="AP621" s="446" t="str">
        <f>IF(Ruimtestaat[[#This Row],[Frequentie werkdagen]]="","",_xlfn.CONCAT(Ruimtestaat[[#This Row],[Ruimte code]],"-",Ruimtestaat[[#This Row],[Frequentie werkdagen]]," ",Ruimtestaat[[#This Row],[Vloer code]]))</f>
        <v/>
      </c>
      <c r="AQ621" s="448" t="str">
        <f>_xlfn.IFNA(VLOOKUP($AP621,Programma!$F$3:$G$1101,2,0),"")</f>
        <v/>
      </c>
      <c r="AR621" s="448" t="str">
        <f>_xlfn.IFNA(VLOOKUP($AP621,Programma!$F$3:$H$1101,3,0),"")</f>
        <v/>
      </c>
      <c r="AS621" s="448" t="str">
        <f>_xlfn.IFNA(VLOOKUP($AP621,Programma!$F$3:$I$1101,4,0),"")</f>
        <v/>
      </c>
      <c r="AT621" s="448" t="str">
        <f>_xlfn.IFNA(VLOOKUP($AP621,Programma!$F$3:$J$1101,5,0),"")</f>
        <v/>
      </c>
      <c r="AU621" s="448" t="str">
        <f>_xlfn.IFNA(VLOOKUP($AP621,Programma!$F$3:$K$1101,6,0),"")</f>
        <v/>
      </c>
      <c r="AV621" s="448" t="str">
        <f>_xlfn.IFNA(VLOOKUP($AP621,Programma!$F$3:$L$1101,7,0),"")</f>
        <v/>
      </c>
      <c r="AW621" s="448" t="str">
        <f>_xlfn.IFNA(VLOOKUP($AP621,Programma!$F$3:$M$1101,8,0),"")</f>
        <v/>
      </c>
      <c r="AX621" s="448" t="str">
        <f>_xlfn.IFNA(VLOOKUP($AP621,Programma!$F$3:$N$1101,9,0),"")</f>
        <v/>
      </c>
      <c r="AY621" s="448" t="str">
        <f>_xlfn.IFNA(VLOOKUP($AP621,Programma!$F$3:$O$1101,10,0),"")</f>
        <v/>
      </c>
      <c r="AZ621" s="448" t="str">
        <f>_xlfn.IFNA(VLOOKUP($AP621,Programma!$F$3:$P$1101,11,0),"")</f>
        <v/>
      </c>
      <c r="BA621" s="448" t="str">
        <f>_xlfn.IFNA(VLOOKUP($AP621,Programma!$F$3:$Q$1101,12,0),"")</f>
        <v/>
      </c>
      <c r="BB621" s="448" t="str">
        <f>_xlfn.IFNA(VLOOKUP($AP621,Programma!$F$3:$R$1101,13,0),"")</f>
        <v/>
      </c>
      <c r="BC621" s="448" t="str">
        <f>_xlfn.IFNA(VLOOKUP($AP621,Programma!$F$3:$S$1101,14,0),"")</f>
        <v/>
      </c>
      <c r="BD621" s="448" t="str">
        <f>_xlfn.IFNA(VLOOKUP($AP621,Programma!$F$3:$T$1101,15,0),"")</f>
        <v/>
      </c>
      <c r="BE621" s="448" t="str">
        <f>_xlfn.IFNA(VLOOKUP($AP621,Programma!$F$3:$U$1101,16,0),"")</f>
        <v/>
      </c>
      <c r="BF621" s="448" t="str">
        <f>_xlfn.IFNA(VLOOKUP($AP621,Programma!$F$3:$V$1101,17,0),"")</f>
        <v/>
      </c>
      <c r="BG621" s="448" t="str">
        <f>_xlfn.IFNA(VLOOKUP($AP621,Programma!$F$3:$W$1101,18,0),"")</f>
        <v/>
      </c>
      <c r="BH621" s="448" t="str">
        <f>_xlfn.IFNA(VLOOKUP($AP621,Programma!$F$3:$X$1101,19,0),"")</f>
        <v/>
      </c>
      <c r="BI621" s="448" t="str">
        <f>_xlfn.IFNA(VLOOKUP($AP621,Programma!$F$3:$Y$1101,20,0),"")</f>
        <v/>
      </c>
      <c r="BJ621" s="449"/>
      <c r="BK621" s="446" t="str">
        <f>IF(Ruimtestaat[[#This Row],[Frequentie weekend]]="","",_xlfn.CONCAT(Ruimtestaat[[#This Row],[Ruimte code]],"-",Ruimtestaat[[#This Row],[Frequentie weekend]]," ",Ruimtestaat[[#This Row],[Vloer code]]))</f>
        <v/>
      </c>
      <c r="BL621" s="448" t="str">
        <f>_xlfn.IFNA(VLOOKUP($BK621,Programma!$F$3:$G$1101,2,0),"")</f>
        <v/>
      </c>
      <c r="BM621" s="448" t="str">
        <f>_xlfn.IFNA(VLOOKUP($BK621,Programma!$F$3:$H$1101,3,0),"")</f>
        <v/>
      </c>
      <c r="BN621" s="448" t="str">
        <f>_xlfn.IFNA(VLOOKUP($BK621,Programma!$F$3:$I$1101,4,0),"")</f>
        <v/>
      </c>
      <c r="BO621" s="448" t="str">
        <f>_xlfn.IFNA(VLOOKUP($BK621,Programma!$F$3:$J$1101,5,0),"")</f>
        <v/>
      </c>
      <c r="BP621" s="448" t="str">
        <f>_xlfn.IFNA(VLOOKUP($BK621,Programma!$F$3:$K$1101,6,0),"")</f>
        <v/>
      </c>
      <c r="BQ621" s="448" t="str">
        <f>_xlfn.IFNA(VLOOKUP($BK621,Programma!$F$3:$L$1101,7,0),"")</f>
        <v/>
      </c>
      <c r="BR621" s="448" t="str">
        <f>_xlfn.IFNA(VLOOKUP($BK621,Programma!$F$3:$M$1101,8,0),"")</f>
        <v/>
      </c>
      <c r="BS621" s="448" t="str">
        <f>_xlfn.IFNA(VLOOKUP($BK621,Programma!$F$3:$N$1101,9,0),"")</f>
        <v/>
      </c>
      <c r="BT621" s="448" t="str">
        <f>_xlfn.IFNA(VLOOKUP($BK621,Programma!$F$3:$O$1101,10,0),"")</f>
        <v/>
      </c>
      <c r="BU621" s="448" t="str">
        <f>_xlfn.IFNA(VLOOKUP($BK621,Programma!$F$3:$P$1101,11,0),"")</f>
        <v/>
      </c>
      <c r="BV621" s="448" t="str">
        <f>_xlfn.IFNA(VLOOKUP($BK621,Programma!$F$3:$Q$1101,12,0),"")</f>
        <v/>
      </c>
      <c r="BW621" s="448" t="str">
        <f>_xlfn.IFNA(VLOOKUP($BK621,Programma!$F$3:$R$1101,13,0),"")</f>
        <v/>
      </c>
      <c r="BX621" s="448" t="str">
        <f>_xlfn.IFNA(VLOOKUP($BK621,Programma!$F$3:$S$1101,14,0),"")</f>
        <v/>
      </c>
      <c r="BY621" s="448" t="str">
        <f>_xlfn.IFNA(VLOOKUP($BK621,Programma!$F$3:$T$1101,15,0),"")</f>
        <v/>
      </c>
      <c r="BZ621" s="448" t="str">
        <f>_xlfn.IFNA(VLOOKUP($BK621,Programma!$F$3:$U$1101,16,0),"")</f>
        <v/>
      </c>
      <c r="CA621" s="448" t="str">
        <f>_xlfn.IFNA(VLOOKUP($BK621,Programma!$F$3:$V$1101,17,0),"")</f>
        <v/>
      </c>
      <c r="CB621" s="448" t="str">
        <f>_xlfn.IFNA(VLOOKUP($BK621,Programma!$F$3:$W$1101,18,0),"")</f>
        <v/>
      </c>
      <c r="CC621" s="448" t="str">
        <f>_xlfn.IFNA(VLOOKUP($BK621,Programma!$F$3:$X$1101,19,0),"")</f>
        <v/>
      </c>
      <c r="CD621" s="448" t="str">
        <f>_xlfn.IFNA(VLOOKUP($BK621,Programma!$F$3:$Y$1101,20,0),"")</f>
        <v/>
      </c>
    </row>
    <row r="622" spans="1:82" ht="15" customHeight="1">
      <c r="A622" s="327">
        <v>21</v>
      </c>
      <c r="B622" s="435" t="str">
        <f>VLOOKUP(Ruimtestaat[[#This Row],[Code]],Locaties[[Code]:[Locatie]],2,FALSE)</f>
        <v>IKC De  Leerplaneet (bijgebouw)</v>
      </c>
      <c r="C622" s="435" t="str">
        <f>VLOOKUP(Ruimtestaat[[#This Row],[Code]],Locaties[[#All],[Code]:[Adres]],4,FALSE)</f>
        <v>Nesciohove 105-107</v>
      </c>
      <c r="D622" s="435" t="str">
        <f>VLOOKUP(Ruimtestaat[[#This Row],[Code]],Locaties[[#All],[Code]:[Postcode]],5,FALSE)</f>
        <v>2716 BL</v>
      </c>
      <c r="E622" s="435" t="str">
        <f>VLOOKUP(Ruimtestaat[[#This Row],[Code]],Locaties[#All],6,FALSE)</f>
        <v>Zoetermeer</v>
      </c>
      <c r="F622" s="450"/>
      <c r="H622" s="330" t="s">
        <v>1918</v>
      </c>
      <c r="I622" s="450" t="s">
        <v>1958</v>
      </c>
      <c r="J622" s="330">
        <v>20</v>
      </c>
      <c r="K622" s="450" t="str">
        <f>VLOOKUP(Ruimtestaat[[#This Row],[Ruimte code]],Ruimtegroepen[[#All],[Code]:[Ruimte omschrijving]],2,FALSE)</f>
        <v>Niet in Onderhoud</v>
      </c>
      <c r="L622" s="434" t="s">
        <v>100</v>
      </c>
      <c r="M622" s="437" t="s">
        <v>1759</v>
      </c>
      <c r="N622" s="439"/>
      <c r="O622" s="439">
        <v>75</v>
      </c>
      <c r="P622" s="439"/>
      <c r="Q622" s="439"/>
      <c r="R622" s="440">
        <f>VLOOKUP(Ruimtestaat[[#This Row],[Ruimte code]],Ruimtegroepen[],4,FALSE)</f>
        <v>0</v>
      </c>
      <c r="S622" s="434"/>
      <c r="T622" s="434"/>
      <c r="U622" s="453">
        <f>IF(S622&gt;0,IF(RIGHT(Ruimtestaat[[#This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22" s="434">
        <f>IF(U622&gt;0,VLOOKUP($J622,Ruimtegroepen[],3,FALSE)*VLOOKUP($L622,Vloersoorten[],3,FALSE)*VLOOKUP($T622,Frequenties[],3,FALSE)*VLOOKUP($A622,Locaties[],3,FALSE),0)</f>
        <v>0</v>
      </c>
      <c r="W622" s="434">
        <f>Ruimtestaat[[#This Row],[Uitvoeringen werkdagen]]*Ruimtestaat[[#This Row],[Oppervlak (netto)]]</f>
        <v>0</v>
      </c>
      <c r="X622" s="441">
        <f>IF(V622&gt;0,Ruimtestaat[[#This Row],[Prest. (m2 /jaar) werkdagen]]/Ruimtestaat[[#This Row],[Norm (m2/uur) werkdagen]],0)</f>
        <v>0</v>
      </c>
      <c r="Y622" s="442">
        <f>Ruimtestaat[[#This Row],[Uitvoeringen werkdagen]]*Ruimtestaat[[#This Row],[Gedeeltelijk]]</f>
        <v>0</v>
      </c>
      <c r="Z622" s="443">
        <f>IF(U622&gt;0,Ruimtestaat[[#This Row],[Prest. (m2 / jaar) werkdagen gedeeld]]/Ruimtestaat[[#This Row],[Norm (m2/uur) werkdagen]],0)</f>
        <v>0</v>
      </c>
      <c r="AA622" s="441">
        <f>Ruimtestaat[[#This Row],[uren / jaar werkdagen gedeeld]]*Tariefsopbouw!$E$35</f>
        <v>0</v>
      </c>
      <c r="AB622" s="441">
        <f>Ruimtestaat[[#This Row],[Uitvoeringen werkdagen]]*Ruimtestaat[[#This Row],[BSO]]</f>
        <v>0</v>
      </c>
      <c r="AC622" s="443">
        <f>IF(U622&gt;0,Ruimtestaat[[#This Row],[Prest. (m2 / jaar) werkdagen BSO]]/Ruimtestaat[[#This Row],[Norm (m2/uur) werkdagen]],0)</f>
        <v>0</v>
      </c>
      <c r="AD622" s="443">
        <f>Ruimtestaat[[#This Row],[uren / jaar werkdagen BSO]]*Tariefsopbouw!$E$35</f>
        <v>0</v>
      </c>
      <c r="AE622" s="444">
        <f>Ruimtestaat[[#This Row],[uren / jaar werkdagen]]*Tariefsopbouw!$E$35</f>
        <v>0</v>
      </c>
      <c r="AF622" s="454"/>
      <c r="AG622" s="455">
        <f>IF(Ruimtestaat[[#This Row],[Frequentie weekend]]&gt;0,VALUE(LEFT(AF622,1))*S622,0)</f>
        <v>0</v>
      </c>
      <c r="AH622" s="455">
        <f>IF($AG622&gt;0,VLOOKUP($J622,Ruimtegroepen[],3,FALSE)*VLOOKUP($L622,Vloersoorten[],3,FALSE)*VLOOKUP($AF622,Frequenties[],3,FALSE)*VLOOKUP(#REF!,Locaties[],3,FALSE),0)</f>
        <v>0</v>
      </c>
      <c r="AI622" s="434">
        <f>Ruimtestaat[[#This Row],[Uitvoeringen weekend]]*Ruimtestaat[[#This Row],[Oppervlak (netto)]]</f>
        <v>0</v>
      </c>
      <c r="AJ622" s="434">
        <f>IF(AH622&gt;0,Ruimtestaat[[#This Row],[Prest. (m2 /jaar) weekend]]/Ruimtestaat[[#This Row],[Norm (m2/uur) weekend]],0)</f>
        <v>0</v>
      </c>
      <c r="AK622" s="444">
        <f>Ruimtestaat[[#This Row],[uren / jaar weekend]]*Tariefsopbouw!$D$40</f>
        <v>0</v>
      </c>
      <c r="AL622" s="441">
        <f>Ruimtestaat[[#This Row],[Prest. (m2 /jaar) weekend]]+Ruimtestaat[[#This Row],[Prest. (m2 /jaar) werkdagen]]</f>
        <v>0</v>
      </c>
      <c r="AM622" s="441">
        <f>Ruimtestaat[[#This Row],[uren / jaar weekend]]+Ruimtestaat[[#This Row],[uren / jaar werkdagen]]</f>
        <v>0</v>
      </c>
      <c r="AN622" s="446">
        <f>Ruimtestaat[[#This Row],[kosten / jaar weekend]]+Ruimtestaat[[#This Row],[kosten / jaar werkdagen]]</f>
        <v>0</v>
      </c>
      <c r="AO622" s="446"/>
      <c r="AP622" s="446" t="str">
        <f>IF(Ruimtestaat[[#This Row],[Frequentie werkdagen]]="","",_xlfn.CONCAT(Ruimtestaat[[#This Row],[Ruimte code]],"-",Ruimtestaat[[#This Row],[Frequentie werkdagen]]," ",Ruimtestaat[[#This Row],[Vloer code]]))</f>
        <v/>
      </c>
      <c r="AQ622" s="448" t="str">
        <f>_xlfn.IFNA(VLOOKUP($AP622,Programma!$F$3:$G$1101,2,0),"")</f>
        <v/>
      </c>
      <c r="AR622" s="448" t="str">
        <f>_xlfn.IFNA(VLOOKUP($AP622,Programma!$F$3:$H$1101,3,0),"")</f>
        <v/>
      </c>
      <c r="AS622" s="448" t="str">
        <f>_xlfn.IFNA(VLOOKUP($AP622,Programma!$F$3:$I$1101,4,0),"")</f>
        <v/>
      </c>
      <c r="AT622" s="448" t="str">
        <f>_xlfn.IFNA(VLOOKUP($AP622,Programma!$F$3:$J$1101,5,0),"")</f>
        <v/>
      </c>
      <c r="AU622" s="448" t="str">
        <f>_xlfn.IFNA(VLOOKUP($AP622,Programma!$F$3:$K$1101,6,0),"")</f>
        <v/>
      </c>
      <c r="AV622" s="448" t="str">
        <f>_xlfn.IFNA(VLOOKUP($AP622,Programma!$F$3:$L$1101,7,0),"")</f>
        <v/>
      </c>
      <c r="AW622" s="448" t="str">
        <f>_xlfn.IFNA(VLOOKUP($AP622,Programma!$F$3:$M$1101,8,0),"")</f>
        <v/>
      </c>
      <c r="AX622" s="448" t="str">
        <f>_xlfn.IFNA(VLOOKUP($AP622,Programma!$F$3:$N$1101,9,0),"")</f>
        <v/>
      </c>
      <c r="AY622" s="448" t="str">
        <f>_xlfn.IFNA(VLOOKUP($AP622,Programma!$F$3:$O$1101,10,0),"")</f>
        <v/>
      </c>
      <c r="AZ622" s="448" t="str">
        <f>_xlfn.IFNA(VLOOKUP($AP622,Programma!$F$3:$P$1101,11,0),"")</f>
        <v/>
      </c>
      <c r="BA622" s="448" t="str">
        <f>_xlfn.IFNA(VLOOKUP($AP622,Programma!$F$3:$Q$1101,12,0),"")</f>
        <v/>
      </c>
      <c r="BB622" s="448" t="str">
        <f>_xlfn.IFNA(VLOOKUP($AP622,Programma!$F$3:$R$1101,13,0),"")</f>
        <v/>
      </c>
      <c r="BC622" s="448" t="str">
        <f>_xlfn.IFNA(VLOOKUP($AP622,Programma!$F$3:$S$1101,14,0),"")</f>
        <v/>
      </c>
      <c r="BD622" s="448" t="str">
        <f>_xlfn.IFNA(VLOOKUP($AP622,Programma!$F$3:$T$1101,15,0),"")</f>
        <v/>
      </c>
      <c r="BE622" s="448" t="str">
        <f>_xlfn.IFNA(VLOOKUP($AP622,Programma!$F$3:$U$1101,16,0),"")</f>
        <v/>
      </c>
      <c r="BF622" s="448" t="str">
        <f>_xlfn.IFNA(VLOOKUP($AP622,Programma!$F$3:$V$1101,17,0),"")</f>
        <v/>
      </c>
      <c r="BG622" s="448" t="str">
        <f>_xlfn.IFNA(VLOOKUP($AP622,Programma!$F$3:$W$1101,18,0),"")</f>
        <v/>
      </c>
      <c r="BH622" s="448" t="str">
        <f>_xlfn.IFNA(VLOOKUP($AP622,Programma!$F$3:$X$1101,19,0),"")</f>
        <v/>
      </c>
      <c r="BI622" s="448" t="str">
        <f>_xlfn.IFNA(VLOOKUP($AP622,Programma!$F$3:$Y$1101,20,0),"")</f>
        <v/>
      </c>
      <c r="BJ622" s="449"/>
      <c r="BK622" s="446" t="str">
        <f>IF(Ruimtestaat[[#This Row],[Frequentie weekend]]="","",_xlfn.CONCAT(Ruimtestaat[[#This Row],[Ruimte code]],"-",Ruimtestaat[[#This Row],[Frequentie weekend]]," ",Ruimtestaat[[#This Row],[Vloer code]]))</f>
        <v/>
      </c>
      <c r="BL622" s="448" t="str">
        <f>_xlfn.IFNA(VLOOKUP($BK622,Programma!$F$3:$G$1101,2,0),"")</f>
        <v/>
      </c>
      <c r="BM622" s="448" t="str">
        <f>_xlfn.IFNA(VLOOKUP($BK622,Programma!$F$3:$H$1101,3,0),"")</f>
        <v/>
      </c>
      <c r="BN622" s="448" t="str">
        <f>_xlfn.IFNA(VLOOKUP($BK622,Programma!$F$3:$I$1101,4,0),"")</f>
        <v/>
      </c>
      <c r="BO622" s="448" t="str">
        <f>_xlfn.IFNA(VLOOKUP($BK622,Programma!$F$3:$J$1101,5,0),"")</f>
        <v/>
      </c>
      <c r="BP622" s="448" t="str">
        <f>_xlfn.IFNA(VLOOKUP($BK622,Programma!$F$3:$K$1101,6,0),"")</f>
        <v/>
      </c>
      <c r="BQ622" s="448" t="str">
        <f>_xlfn.IFNA(VLOOKUP($BK622,Programma!$F$3:$L$1101,7,0),"")</f>
        <v/>
      </c>
      <c r="BR622" s="448" t="str">
        <f>_xlfn.IFNA(VLOOKUP($BK622,Programma!$F$3:$M$1101,8,0),"")</f>
        <v/>
      </c>
      <c r="BS622" s="448" t="str">
        <f>_xlfn.IFNA(VLOOKUP($BK622,Programma!$F$3:$N$1101,9,0),"")</f>
        <v/>
      </c>
      <c r="BT622" s="448" t="str">
        <f>_xlfn.IFNA(VLOOKUP($BK622,Programma!$F$3:$O$1101,10,0),"")</f>
        <v/>
      </c>
      <c r="BU622" s="448" t="str">
        <f>_xlfn.IFNA(VLOOKUP($BK622,Programma!$F$3:$P$1101,11,0),"")</f>
        <v/>
      </c>
      <c r="BV622" s="448" t="str">
        <f>_xlfn.IFNA(VLOOKUP($BK622,Programma!$F$3:$Q$1101,12,0),"")</f>
        <v/>
      </c>
      <c r="BW622" s="448" t="str">
        <f>_xlfn.IFNA(VLOOKUP($BK622,Programma!$F$3:$R$1101,13,0),"")</f>
        <v/>
      </c>
      <c r="BX622" s="448" t="str">
        <f>_xlfn.IFNA(VLOOKUP($BK622,Programma!$F$3:$S$1101,14,0),"")</f>
        <v/>
      </c>
      <c r="BY622" s="448" t="str">
        <f>_xlfn.IFNA(VLOOKUP($BK622,Programma!$F$3:$T$1101,15,0),"")</f>
        <v/>
      </c>
      <c r="BZ622" s="448" t="str">
        <f>_xlfn.IFNA(VLOOKUP($BK622,Programma!$F$3:$U$1101,16,0),"")</f>
        <v/>
      </c>
      <c r="CA622" s="448" t="str">
        <f>_xlfn.IFNA(VLOOKUP($BK622,Programma!$F$3:$V$1101,17,0),"")</f>
        <v/>
      </c>
      <c r="CB622" s="448" t="str">
        <f>_xlfn.IFNA(VLOOKUP($BK622,Programma!$F$3:$W$1101,18,0),"")</f>
        <v/>
      </c>
      <c r="CC622" s="448" t="str">
        <f>_xlfn.IFNA(VLOOKUP($BK622,Programma!$F$3:$X$1101,19,0),"")</f>
        <v/>
      </c>
      <c r="CD622" s="448" t="str">
        <f>_xlfn.IFNA(VLOOKUP($BK622,Programma!$F$3:$Y$1101,20,0),"")</f>
        <v/>
      </c>
    </row>
    <row r="623" spans="1:82" ht="15" customHeight="1">
      <c r="A623" s="327">
        <v>21</v>
      </c>
      <c r="B623" s="435" t="str">
        <f>VLOOKUP(Ruimtestaat[[#This Row],[Code]],Locaties[[Code]:[Locatie]],2,FALSE)</f>
        <v>IKC De  Leerplaneet (bijgebouw)</v>
      </c>
      <c r="C623" s="435" t="str">
        <f>VLOOKUP(Ruimtestaat[[#This Row],[Code]],Locaties[[#All],[Code]:[Adres]],4,FALSE)</f>
        <v>Nesciohove 105-107</v>
      </c>
      <c r="D623" s="435" t="str">
        <f>VLOOKUP(Ruimtestaat[[#This Row],[Code]],Locaties[[#All],[Code]:[Postcode]],5,FALSE)</f>
        <v>2716 BL</v>
      </c>
      <c r="E623" s="435" t="str">
        <f>VLOOKUP(Ruimtestaat[[#This Row],[Code]],Locaties[#All],6,FALSE)</f>
        <v>Zoetermeer</v>
      </c>
      <c r="F623" s="450"/>
      <c r="H623" s="330" t="s">
        <v>1920</v>
      </c>
      <c r="I623" s="450" t="s">
        <v>1673</v>
      </c>
      <c r="J623" s="330">
        <v>5</v>
      </c>
      <c r="K623" s="450" t="str">
        <f>VLOOKUP(Ruimtestaat[[#This Row],[Ruimte code]],Ruimtegroepen[[#All],[Code]:[Ruimte omschrijving]],2,FALSE)</f>
        <v>Sanitair</v>
      </c>
      <c r="L623" s="330" t="s">
        <v>101</v>
      </c>
      <c r="M623" s="437" t="s">
        <v>1947</v>
      </c>
      <c r="N623" s="439">
        <v>5</v>
      </c>
      <c r="O623" s="439"/>
      <c r="P623" s="439"/>
      <c r="Q623" s="439"/>
      <c r="R623" s="440" t="str">
        <f>VLOOKUP(Ruimtestaat[[#This Row],[Ruimte code]],Ruimtegroepen[],4,FALSE)</f>
        <v>Sa</v>
      </c>
      <c r="S623" s="434">
        <v>41</v>
      </c>
      <c r="T623" s="434" t="s">
        <v>2</v>
      </c>
      <c r="U623" s="453">
        <f>IF(S623&gt;0,IF(RIGHT(Ruimtestaat[[#This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23" s="434">
        <f>IF(U623&gt;0,VLOOKUP($J623,Ruimtegroepen[],3,FALSE)*VLOOKUP($L623,Vloersoorten[],3,FALSE)*VLOOKUP($T623,Frequenties[],3,FALSE)*VLOOKUP($A623,Locaties[],3,FALSE),0)</f>
        <v>0</v>
      </c>
      <c r="W623" s="434">
        <f>Ruimtestaat[[#This Row],[Uitvoeringen werkdagen]]*Ruimtestaat[[#This Row],[Oppervlak (netto)]]</f>
        <v>1025</v>
      </c>
      <c r="X623" s="441">
        <f>IF(V623&gt;0,Ruimtestaat[[#This Row],[Prest. (m2 /jaar) werkdagen]]/Ruimtestaat[[#This Row],[Norm (m2/uur) werkdagen]],0)</f>
        <v>0</v>
      </c>
      <c r="Y623" s="442">
        <f>Ruimtestaat[[#This Row],[Uitvoeringen werkdagen]]*Ruimtestaat[[#This Row],[Gedeeltelijk]]</f>
        <v>0</v>
      </c>
      <c r="Z623" s="443" t="e">
        <f>IF(U623&gt;0,Ruimtestaat[[#This Row],[Prest. (m2 / jaar) werkdagen gedeeld]]/Ruimtestaat[[#This Row],[Norm (m2/uur) werkdagen]],0)</f>
        <v>#DIV/0!</v>
      </c>
      <c r="AA623" s="441" t="e">
        <f>Ruimtestaat[[#This Row],[uren / jaar werkdagen gedeeld]]*Tariefsopbouw!$E$35</f>
        <v>#DIV/0!</v>
      </c>
      <c r="AB623" s="441">
        <f>Ruimtestaat[[#This Row],[Uitvoeringen werkdagen]]*Ruimtestaat[[#This Row],[BSO]]</f>
        <v>0</v>
      </c>
      <c r="AC623" s="443" t="e">
        <f>IF(U623&gt;0,Ruimtestaat[[#This Row],[Prest. (m2 / jaar) werkdagen BSO]]/Ruimtestaat[[#This Row],[Norm (m2/uur) werkdagen]],0)</f>
        <v>#DIV/0!</v>
      </c>
      <c r="AD623" s="443" t="e">
        <f>Ruimtestaat[[#This Row],[uren / jaar werkdagen BSO]]*Tariefsopbouw!$E$35</f>
        <v>#DIV/0!</v>
      </c>
      <c r="AE623" s="444">
        <f>Ruimtestaat[[#This Row],[uren / jaar werkdagen]]*Tariefsopbouw!$E$35</f>
        <v>0</v>
      </c>
      <c r="AF623" s="454"/>
      <c r="AG623" s="455">
        <f>IF(Ruimtestaat[[#This Row],[Frequentie weekend]]&gt;0,VALUE(LEFT(AF623,1))*S623,0)</f>
        <v>0</v>
      </c>
      <c r="AH623" s="455">
        <f>IF($AG623&gt;0,VLOOKUP($J623,Ruimtegroepen[],3,FALSE)*VLOOKUP($L623,Vloersoorten[],3,FALSE)*VLOOKUP($AF623,Frequenties[],3,FALSE)*VLOOKUP(#REF!,Locaties[],3,FALSE),0)</f>
        <v>0</v>
      </c>
      <c r="AI623" s="434">
        <f>Ruimtestaat[[#This Row],[Uitvoeringen weekend]]*Ruimtestaat[[#This Row],[Oppervlak (netto)]]</f>
        <v>0</v>
      </c>
      <c r="AJ623" s="434">
        <f>IF(AH623&gt;0,Ruimtestaat[[#This Row],[Prest. (m2 /jaar) weekend]]/Ruimtestaat[[#This Row],[Norm (m2/uur) weekend]],0)</f>
        <v>0</v>
      </c>
      <c r="AK623" s="444">
        <f>Ruimtestaat[[#This Row],[uren / jaar weekend]]*Tariefsopbouw!$D$40</f>
        <v>0</v>
      </c>
      <c r="AL623" s="441">
        <f>Ruimtestaat[[#This Row],[Prest. (m2 /jaar) weekend]]+Ruimtestaat[[#This Row],[Prest. (m2 /jaar) werkdagen]]</f>
        <v>1025</v>
      </c>
      <c r="AM623" s="441">
        <f>Ruimtestaat[[#This Row],[uren / jaar weekend]]+Ruimtestaat[[#This Row],[uren / jaar werkdagen]]</f>
        <v>0</v>
      </c>
      <c r="AN623" s="446">
        <f>Ruimtestaat[[#This Row],[kosten / jaar weekend]]+Ruimtestaat[[#This Row],[kosten / jaar werkdagen]]</f>
        <v>0</v>
      </c>
      <c r="AO623" s="446"/>
      <c r="AP623" s="446" t="str">
        <f>IF(Ruimtestaat[[#This Row],[Frequentie werkdagen]]="","",_xlfn.CONCAT(Ruimtestaat[[#This Row],[Ruimte code]],"-",Ruimtestaat[[#This Row],[Frequentie werkdagen]]," ",Ruimtestaat[[#This Row],[Vloer code]]))</f>
        <v>5-5w S</v>
      </c>
      <c r="AQ623" s="448" t="str">
        <f>_xlfn.IFNA(VLOOKUP($AP623,Programma!$F$3:$G$1101,2,0),"")</f>
        <v>_</v>
      </c>
      <c r="AR623" s="448" t="str">
        <f>_xlfn.IFNA(VLOOKUP($AP623,Programma!$F$3:$H$1101,3,0),"")</f>
        <v>_</v>
      </c>
      <c r="AS623" s="448" t="str">
        <f>_xlfn.IFNA(VLOOKUP($AP623,Programma!$F$3:$I$1101,4,0),"")</f>
        <v>_</v>
      </c>
      <c r="AT623" s="448" t="str">
        <f>_xlfn.IFNA(VLOOKUP($AP623,Programma!$F$3:$J$1101,5,0),"")</f>
        <v>4w</v>
      </c>
      <c r="AU623" s="448" t="str">
        <f>_xlfn.IFNA(VLOOKUP($AP623,Programma!$F$3:$K$1101,6,0),"")</f>
        <v>1w</v>
      </c>
      <c r="AV623" s="448" t="str">
        <f>_xlfn.IFNA(VLOOKUP($AP623,Programma!$F$3:$L$1101,7,0),"")</f>
        <v>_</v>
      </c>
      <c r="AW623" s="448" t="str">
        <f>_xlfn.IFNA(VLOOKUP($AP623,Programma!$F$3:$M$1101,8,0),"")</f>
        <v>_</v>
      </c>
      <c r="AX623" s="448" t="str">
        <f>_xlfn.IFNA(VLOOKUP($AP623,Programma!$F$3:$N$1101,9,0),"")</f>
        <v>_</v>
      </c>
      <c r="AY623" s="448" t="str">
        <f>_xlfn.IFNA(VLOOKUP($AP623,Programma!$F$3:$O$1101,10,0),"")</f>
        <v>_</v>
      </c>
      <c r="AZ623" s="448" t="str">
        <f>_xlfn.IFNA(VLOOKUP($AP623,Programma!$F$3:$P$1101,11,0),"")</f>
        <v>_</v>
      </c>
      <c r="BA623" s="448" t="str">
        <f>_xlfn.IFNA(VLOOKUP($AP623,Programma!$F$3:$Q$1101,12,0),"")</f>
        <v>_</v>
      </c>
      <c r="BB623" s="448" t="str">
        <f>_xlfn.IFNA(VLOOKUP($AP623,Programma!$F$3:$R$1101,13,0),"")</f>
        <v>_</v>
      </c>
      <c r="BC623" s="448" t="str">
        <f>_xlfn.IFNA(VLOOKUP($AP623,Programma!$F$3:$S$1101,14,0),"")</f>
        <v>_</v>
      </c>
      <c r="BD623" s="448" t="str">
        <f>_xlfn.IFNA(VLOOKUP($AP623,Programma!$F$3:$T$1101,15,0),"")</f>
        <v>_</v>
      </c>
      <c r="BE623" s="448" t="str">
        <f>_xlfn.IFNA(VLOOKUP($AP623,Programma!$F$3:$U$1101,16,0),"")</f>
        <v>_</v>
      </c>
      <c r="BF623" s="448" t="str">
        <f>_xlfn.IFNA(VLOOKUP($AP623,Programma!$F$3:$V$1101,17,0),"")</f>
        <v>_</v>
      </c>
      <c r="BG623" s="448" t="str">
        <f>_xlfn.IFNA(VLOOKUP($AP623,Programma!$F$3:$W$1101,18,0),"")</f>
        <v>4w</v>
      </c>
      <c r="BH623" s="448" t="str">
        <f>_xlfn.IFNA(VLOOKUP($AP623,Programma!$F$3:$X$1101,19,0),"")</f>
        <v>1w</v>
      </c>
      <c r="BI623" s="448" t="str">
        <f>_xlfn.IFNA(VLOOKUP($AP623,Programma!$F$3:$Y$1101,20,0),"")</f>
        <v>_</v>
      </c>
      <c r="BJ623" s="449"/>
      <c r="BK623" s="446" t="str">
        <f>IF(Ruimtestaat[[#This Row],[Frequentie weekend]]="","",_xlfn.CONCAT(Ruimtestaat[[#This Row],[Ruimte code]],"-",Ruimtestaat[[#This Row],[Frequentie weekend]]," ",Ruimtestaat[[#This Row],[Vloer code]]))</f>
        <v/>
      </c>
      <c r="BL623" s="448" t="str">
        <f>_xlfn.IFNA(VLOOKUP($BK623,Programma!$F$3:$G$1101,2,0),"")</f>
        <v/>
      </c>
      <c r="BM623" s="448" t="str">
        <f>_xlfn.IFNA(VLOOKUP($BK623,Programma!$F$3:$H$1101,3,0),"")</f>
        <v/>
      </c>
      <c r="BN623" s="448" t="str">
        <f>_xlfn.IFNA(VLOOKUP($BK623,Programma!$F$3:$I$1101,4,0),"")</f>
        <v/>
      </c>
      <c r="BO623" s="448" t="str">
        <f>_xlfn.IFNA(VLOOKUP($BK623,Programma!$F$3:$J$1101,5,0),"")</f>
        <v/>
      </c>
      <c r="BP623" s="448" t="str">
        <f>_xlfn.IFNA(VLOOKUP($BK623,Programma!$F$3:$K$1101,6,0),"")</f>
        <v/>
      </c>
      <c r="BQ623" s="448" t="str">
        <f>_xlfn.IFNA(VLOOKUP($BK623,Programma!$F$3:$L$1101,7,0),"")</f>
        <v/>
      </c>
      <c r="BR623" s="448" t="str">
        <f>_xlfn.IFNA(VLOOKUP($BK623,Programma!$F$3:$M$1101,8,0),"")</f>
        <v/>
      </c>
      <c r="BS623" s="448" t="str">
        <f>_xlfn.IFNA(VLOOKUP($BK623,Programma!$F$3:$N$1101,9,0),"")</f>
        <v/>
      </c>
      <c r="BT623" s="448" t="str">
        <f>_xlfn.IFNA(VLOOKUP($BK623,Programma!$F$3:$O$1101,10,0),"")</f>
        <v/>
      </c>
      <c r="BU623" s="448" t="str">
        <f>_xlfn.IFNA(VLOOKUP($BK623,Programma!$F$3:$P$1101,11,0),"")</f>
        <v/>
      </c>
      <c r="BV623" s="448" t="str">
        <f>_xlfn.IFNA(VLOOKUP($BK623,Programma!$F$3:$Q$1101,12,0),"")</f>
        <v/>
      </c>
      <c r="BW623" s="448" t="str">
        <f>_xlfn.IFNA(VLOOKUP($BK623,Programma!$F$3:$R$1101,13,0),"")</f>
        <v/>
      </c>
      <c r="BX623" s="448" t="str">
        <f>_xlfn.IFNA(VLOOKUP($BK623,Programma!$F$3:$S$1101,14,0),"")</f>
        <v/>
      </c>
      <c r="BY623" s="448" t="str">
        <f>_xlfn.IFNA(VLOOKUP($BK623,Programma!$F$3:$T$1101,15,0),"")</f>
        <v/>
      </c>
      <c r="BZ623" s="448" t="str">
        <f>_xlfn.IFNA(VLOOKUP($BK623,Programma!$F$3:$U$1101,16,0),"")</f>
        <v/>
      </c>
      <c r="CA623" s="448" t="str">
        <f>_xlfn.IFNA(VLOOKUP($BK623,Programma!$F$3:$V$1101,17,0),"")</f>
        <v/>
      </c>
      <c r="CB623" s="448" t="str">
        <f>_xlfn.IFNA(VLOOKUP($BK623,Programma!$F$3:$W$1101,18,0),"")</f>
        <v/>
      </c>
      <c r="CC623" s="448" t="str">
        <f>_xlfn.IFNA(VLOOKUP($BK623,Programma!$F$3:$X$1101,19,0),"")</f>
        <v/>
      </c>
      <c r="CD623" s="448" t="str">
        <f>_xlfn.IFNA(VLOOKUP($BK623,Programma!$F$3:$Y$1101,20,0),"")</f>
        <v/>
      </c>
    </row>
    <row r="624" spans="1:82" ht="15" customHeight="1">
      <c r="A624" s="327">
        <v>21</v>
      </c>
      <c r="B624" s="435" t="str">
        <f>VLOOKUP(Ruimtestaat[[#This Row],[Code]],Locaties[[Code]:[Locatie]],2,FALSE)</f>
        <v>IKC De  Leerplaneet (bijgebouw)</v>
      </c>
      <c r="C624" s="435" t="str">
        <f>VLOOKUP(Ruimtestaat[[#This Row],[Code]],Locaties[[#All],[Code]:[Adres]],4,FALSE)</f>
        <v>Nesciohove 105-107</v>
      </c>
      <c r="D624" s="435" t="str">
        <f>VLOOKUP(Ruimtestaat[[#This Row],[Code]],Locaties[[#All],[Code]:[Postcode]],5,FALSE)</f>
        <v>2716 BL</v>
      </c>
      <c r="E624" s="435" t="str">
        <f>VLOOKUP(Ruimtestaat[[#This Row],[Code]],Locaties[#All],6,FALSE)</f>
        <v>Zoetermeer</v>
      </c>
      <c r="F624" s="450"/>
      <c r="H624" s="330" t="s">
        <v>1921</v>
      </c>
      <c r="I624" s="450" t="s">
        <v>1679</v>
      </c>
      <c r="J624" s="330">
        <v>20</v>
      </c>
      <c r="K624" s="450" t="str">
        <f>VLOOKUP(Ruimtestaat[[#This Row],[Ruimte code]],Ruimtegroepen[[#All],[Code]:[Ruimte omschrijving]],2,FALSE)</f>
        <v>Niet in Onderhoud</v>
      </c>
      <c r="L624" s="434" t="s">
        <v>100</v>
      </c>
      <c r="M624" s="437" t="s">
        <v>1759</v>
      </c>
      <c r="N624" s="439"/>
      <c r="O624" s="439">
        <v>56</v>
      </c>
      <c r="P624" s="439"/>
      <c r="Q624" s="439"/>
      <c r="R624" s="440">
        <f>VLOOKUP(Ruimtestaat[[#This Row],[Ruimte code]],Ruimtegroepen[],4,FALSE)</f>
        <v>0</v>
      </c>
      <c r="S624" s="434"/>
      <c r="T624" s="434"/>
      <c r="U624" s="453">
        <f>IF(S624&gt;0,IF(RIGHT(Ruimtestaat[[#This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24" s="434">
        <f>IF(U624&gt;0,VLOOKUP($J624,Ruimtegroepen[],3,FALSE)*VLOOKUP($L624,Vloersoorten[],3,FALSE)*VLOOKUP($T624,Frequenties[],3,FALSE)*VLOOKUP($A624,Locaties[],3,FALSE),0)</f>
        <v>0</v>
      </c>
      <c r="W624" s="434">
        <f>Ruimtestaat[[#This Row],[Uitvoeringen werkdagen]]*Ruimtestaat[[#This Row],[Oppervlak (netto)]]</f>
        <v>0</v>
      </c>
      <c r="X624" s="441">
        <f>IF(V624&gt;0,Ruimtestaat[[#This Row],[Prest. (m2 /jaar) werkdagen]]/Ruimtestaat[[#This Row],[Norm (m2/uur) werkdagen]],0)</f>
        <v>0</v>
      </c>
      <c r="Y624" s="442">
        <f>Ruimtestaat[[#This Row],[Uitvoeringen werkdagen]]*Ruimtestaat[[#This Row],[Gedeeltelijk]]</f>
        <v>0</v>
      </c>
      <c r="Z624" s="443">
        <f>IF(U624&gt;0,Ruimtestaat[[#This Row],[Prest. (m2 / jaar) werkdagen gedeeld]]/Ruimtestaat[[#This Row],[Norm (m2/uur) werkdagen]],0)</f>
        <v>0</v>
      </c>
      <c r="AA624" s="441">
        <f>Ruimtestaat[[#This Row],[uren / jaar werkdagen gedeeld]]*Tariefsopbouw!$E$35</f>
        <v>0</v>
      </c>
      <c r="AB624" s="441">
        <f>Ruimtestaat[[#This Row],[Uitvoeringen werkdagen]]*Ruimtestaat[[#This Row],[BSO]]</f>
        <v>0</v>
      </c>
      <c r="AC624" s="443">
        <f>IF(U624&gt;0,Ruimtestaat[[#This Row],[Prest. (m2 / jaar) werkdagen BSO]]/Ruimtestaat[[#This Row],[Norm (m2/uur) werkdagen]],0)</f>
        <v>0</v>
      </c>
      <c r="AD624" s="443">
        <f>Ruimtestaat[[#This Row],[uren / jaar werkdagen BSO]]*Tariefsopbouw!$E$35</f>
        <v>0</v>
      </c>
      <c r="AE624" s="444">
        <f>Ruimtestaat[[#This Row],[uren / jaar werkdagen]]*Tariefsopbouw!$E$35</f>
        <v>0</v>
      </c>
      <c r="AF624" s="454"/>
      <c r="AG624" s="455">
        <f>IF(Ruimtestaat[[#This Row],[Frequentie weekend]]&gt;0,VALUE(LEFT(AF624,1))*S624,0)</f>
        <v>0</v>
      </c>
      <c r="AH624" s="455">
        <f>IF($AG624&gt;0,VLOOKUP($J624,Ruimtegroepen[],3,FALSE)*VLOOKUP($L624,Vloersoorten[],3,FALSE)*VLOOKUP($AF624,Frequenties[],3,FALSE)*VLOOKUP(#REF!,Locaties[],3,FALSE),0)</f>
        <v>0</v>
      </c>
      <c r="AI624" s="434">
        <f>Ruimtestaat[[#This Row],[Uitvoeringen weekend]]*Ruimtestaat[[#This Row],[Oppervlak (netto)]]</f>
        <v>0</v>
      </c>
      <c r="AJ624" s="434">
        <f>IF(AH624&gt;0,Ruimtestaat[[#This Row],[Prest. (m2 /jaar) weekend]]/Ruimtestaat[[#This Row],[Norm (m2/uur) weekend]],0)</f>
        <v>0</v>
      </c>
      <c r="AK624" s="444">
        <f>Ruimtestaat[[#This Row],[uren / jaar weekend]]*Tariefsopbouw!$D$40</f>
        <v>0</v>
      </c>
      <c r="AL624" s="441">
        <f>Ruimtestaat[[#This Row],[Prest. (m2 /jaar) weekend]]+Ruimtestaat[[#This Row],[Prest. (m2 /jaar) werkdagen]]</f>
        <v>0</v>
      </c>
      <c r="AM624" s="441">
        <f>Ruimtestaat[[#This Row],[uren / jaar weekend]]+Ruimtestaat[[#This Row],[uren / jaar werkdagen]]</f>
        <v>0</v>
      </c>
      <c r="AN624" s="446">
        <f>Ruimtestaat[[#This Row],[kosten / jaar weekend]]+Ruimtestaat[[#This Row],[kosten / jaar werkdagen]]</f>
        <v>0</v>
      </c>
      <c r="AO624" s="446"/>
      <c r="AP624" s="446" t="str">
        <f>IF(Ruimtestaat[[#This Row],[Frequentie werkdagen]]="","",_xlfn.CONCAT(Ruimtestaat[[#This Row],[Ruimte code]],"-",Ruimtestaat[[#This Row],[Frequentie werkdagen]]," ",Ruimtestaat[[#This Row],[Vloer code]]))</f>
        <v/>
      </c>
      <c r="AQ624" s="448" t="str">
        <f>_xlfn.IFNA(VLOOKUP($AP624,Programma!$F$3:$G$1101,2,0),"")</f>
        <v/>
      </c>
      <c r="AR624" s="448" t="str">
        <f>_xlfn.IFNA(VLOOKUP($AP624,Programma!$F$3:$H$1101,3,0),"")</f>
        <v/>
      </c>
      <c r="AS624" s="448" t="str">
        <f>_xlfn.IFNA(VLOOKUP($AP624,Programma!$F$3:$I$1101,4,0),"")</f>
        <v/>
      </c>
      <c r="AT624" s="448" t="str">
        <f>_xlfn.IFNA(VLOOKUP($AP624,Programma!$F$3:$J$1101,5,0),"")</f>
        <v/>
      </c>
      <c r="AU624" s="448" t="str">
        <f>_xlfn.IFNA(VLOOKUP($AP624,Programma!$F$3:$K$1101,6,0),"")</f>
        <v/>
      </c>
      <c r="AV624" s="448" t="str">
        <f>_xlfn.IFNA(VLOOKUP($AP624,Programma!$F$3:$L$1101,7,0),"")</f>
        <v/>
      </c>
      <c r="AW624" s="448" t="str">
        <f>_xlfn.IFNA(VLOOKUP($AP624,Programma!$F$3:$M$1101,8,0),"")</f>
        <v/>
      </c>
      <c r="AX624" s="448" t="str">
        <f>_xlfn.IFNA(VLOOKUP($AP624,Programma!$F$3:$N$1101,9,0),"")</f>
        <v/>
      </c>
      <c r="AY624" s="448" t="str">
        <f>_xlfn.IFNA(VLOOKUP($AP624,Programma!$F$3:$O$1101,10,0),"")</f>
        <v/>
      </c>
      <c r="AZ624" s="448" t="str">
        <f>_xlfn.IFNA(VLOOKUP($AP624,Programma!$F$3:$P$1101,11,0),"")</f>
        <v/>
      </c>
      <c r="BA624" s="448" t="str">
        <f>_xlfn.IFNA(VLOOKUP($AP624,Programma!$F$3:$Q$1101,12,0),"")</f>
        <v/>
      </c>
      <c r="BB624" s="448" t="str">
        <f>_xlfn.IFNA(VLOOKUP($AP624,Programma!$F$3:$R$1101,13,0),"")</f>
        <v/>
      </c>
      <c r="BC624" s="448" t="str">
        <f>_xlfn.IFNA(VLOOKUP($AP624,Programma!$F$3:$S$1101,14,0),"")</f>
        <v/>
      </c>
      <c r="BD624" s="448" t="str">
        <f>_xlfn.IFNA(VLOOKUP($AP624,Programma!$F$3:$T$1101,15,0),"")</f>
        <v/>
      </c>
      <c r="BE624" s="448" t="str">
        <f>_xlfn.IFNA(VLOOKUP($AP624,Programma!$F$3:$U$1101,16,0),"")</f>
        <v/>
      </c>
      <c r="BF624" s="448" t="str">
        <f>_xlfn.IFNA(VLOOKUP($AP624,Programma!$F$3:$V$1101,17,0),"")</f>
        <v/>
      </c>
      <c r="BG624" s="448" t="str">
        <f>_xlfn.IFNA(VLOOKUP($AP624,Programma!$F$3:$W$1101,18,0),"")</f>
        <v/>
      </c>
      <c r="BH624" s="448" t="str">
        <f>_xlfn.IFNA(VLOOKUP($AP624,Programma!$F$3:$X$1101,19,0),"")</f>
        <v/>
      </c>
      <c r="BI624" s="448" t="str">
        <f>_xlfn.IFNA(VLOOKUP($AP624,Programma!$F$3:$Y$1101,20,0),"")</f>
        <v/>
      </c>
      <c r="BJ624" s="449"/>
      <c r="BK624" s="446" t="str">
        <f>IF(Ruimtestaat[[#This Row],[Frequentie weekend]]="","",_xlfn.CONCAT(Ruimtestaat[[#This Row],[Ruimte code]],"-",Ruimtestaat[[#This Row],[Frequentie weekend]]," ",Ruimtestaat[[#This Row],[Vloer code]]))</f>
        <v/>
      </c>
      <c r="BL624" s="448" t="str">
        <f>_xlfn.IFNA(VLOOKUP($BK624,Programma!$F$3:$G$1101,2,0),"")</f>
        <v/>
      </c>
      <c r="BM624" s="448" t="str">
        <f>_xlfn.IFNA(VLOOKUP($BK624,Programma!$F$3:$H$1101,3,0),"")</f>
        <v/>
      </c>
      <c r="BN624" s="448" t="str">
        <f>_xlfn.IFNA(VLOOKUP($BK624,Programma!$F$3:$I$1101,4,0),"")</f>
        <v/>
      </c>
      <c r="BO624" s="448" t="str">
        <f>_xlfn.IFNA(VLOOKUP($BK624,Programma!$F$3:$J$1101,5,0),"")</f>
        <v/>
      </c>
      <c r="BP624" s="448" t="str">
        <f>_xlfn.IFNA(VLOOKUP($BK624,Programma!$F$3:$K$1101,6,0),"")</f>
        <v/>
      </c>
      <c r="BQ624" s="448" t="str">
        <f>_xlfn.IFNA(VLOOKUP($BK624,Programma!$F$3:$L$1101,7,0),"")</f>
        <v/>
      </c>
      <c r="BR624" s="448" t="str">
        <f>_xlfn.IFNA(VLOOKUP($BK624,Programma!$F$3:$M$1101,8,0),"")</f>
        <v/>
      </c>
      <c r="BS624" s="448" t="str">
        <f>_xlfn.IFNA(VLOOKUP($BK624,Programma!$F$3:$N$1101,9,0),"")</f>
        <v/>
      </c>
      <c r="BT624" s="448" t="str">
        <f>_xlfn.IFNA(VLOOKUP($BK624,Programma!$F$3:$O$1101,10,0),"")</f>
        <v/>
      </c>
      <c r="BU624" s="448" t="str">
        <f>_xlfn.IFNA(VLOOKUP($BK624,Programma!$F$3:$P$1101,11,0),"")</f>
        <v/>
      </c>
      <c r="BV624" s="448" t="str">
        <f>_xlfn.IFNA(VLOOKUP($BK624,Programma!$F$3:$Q$1101,12,0),"")</f>
        <v/>
      </c>
      <c r="BW624" s="448" t="str">
        <f>_xlfn.IFNA(VLOOKUP($BK624,Programma!$F$3:$R$1101,13,0),"")</f>
        <v/>
      </c>
      <c r="BX624" s="448" t="str">
        <f>_xlfn.IFNA(VLOOKUP($BK624,Programma!$F$3:$S$1101,14,0),"")</f>
        <v/>
      </c>
      <c r="BY624" s="448" t="str">
        <f>_xlfn.IFNA(VLOOKUP($BK624,Programma!$F$3:$T$1101,15,0),"")</f>
        <v/>
      </c>
      <c r="BZ624" s="448" t="str">
        <f>_xlfn.IFNA(VLOOKUP($BK624,Programma!$F$3:$U$1101,16,0),"")</f>
        <v/>
      </c>
      <c r="CA624" s="448" t="str">
        <f>_xlfn.IFNA(VLOOKUP($BK624,Programma!$F$3:$V$1101,17,0),"")</f>
        <v/>
      </c>
      <c r="CB624" s="448" t="str">
        <f>_xlfn.IFNA(VLOOKUP($BK624,Programma!$F$3:$W$1101,18,0),"")</f>
        <v/>
      </c>
      <c r="CC624" s="448" t="str">
        <f>_xlfn.IFNA(VLOOKUP($BK624,Programma!$F$3:$X$1101,19,0),"")</f>
        <v/>
      </c>
      <c r="CD624" s="448" t="str">
        <f>_xlfn.IFNA(VLOOKUP($BK624,Programma!$F$3:$Y$1101,20,0),"")</f>
        <v/>
      </c>
    </row>
    <row r="625" spans="1:82" ht="15" customHeight="1">
      <c r="A625" s="327">
        <v>21</v>
      </c>
      <c r="B625" s="435" t="str">
        <f>VLOOKUP(Ruimtestaat[[#This Row],[Code]],Locaties[[Code]:[Locatie]],2,FALSE)</f>
        <v>IKC De  Leerplaneet (bijgebouw)</v>
      </c>
      <c r="C625" s="435" t="str">
        <f>VLOOKUP(Ruimtestaat[[#This Row],[Code]],Locaties[[#All],[Code]:[Adres]],4,FALSE)</f>
        <v>Nesciohove 105-107</v>
      </c>
      <c r="D625" s="435" t="str">
        <f>VLOOKUP(Ruimtestaat[[#This Row],[Code]],Locaties[[#All],[Code]:[Postcode]],5,FALSE)</f>
        <v>2716 BL</v>
      </c>
      <c r="E625" s="435" t="str">
        <f>VLOOKUP(Ruimtestaat[[#This Row],[Code]],Locaties[#All],6,FALSE)</f>
        <v>Zoetermeer</v>
      </c>
      <c r="F625" s="450"/>
      <c r="H625" s="330" t="s">
        <v>1922</v>
      </c>
      <c r="I625" s="450" t="s">
        <v>1679</v>
      </c>
      <c r="J625" s="330">
        <v>20</v>
      </c>
      <c r="K625" s="450" t="str">
        <f>VLOOKUP(Ruimtestaat[[#This Row],[Ruimte code]],Ruimtegroepen[[#All],[Code]:[Ruimte omschrijving]],2,FALSE)</f>
        <v>Niet in Onderhoud</v>
      </c>
      <c r="L625" s="434" t="s">
        <v>100</v>
      </c>
      <c r="M625" s="437" t="s">
        <v>1759</v>
      </c>
      <c r="N625" s="439"/>
      <c r="O625" s="439">
        <v>80</v>
      </c>
      <c r="P625" s="439"/>
      <c r="Q625" s="439"/>
      <c r="R625" s="440">
        <f>VLOOKUP(Ruimtestaat[[#This Row],[Ruimte code]],Ruimtegroepen[],4,FALSE)</f>
        <v>0</v>
      </c>
      <c r="S625" s="434"/>
      <c r="T625" s="434"/>
      <c r="U625" s="453">
        <f>IF(S625&gt;0,IF(RIGHT(Ruimtestaat[[#This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25" s="434">
        <f>IF(U625&gt;0,VLOOKUP($J625,Ruimtegroepen[],3,FALSE)*VLOOKUP($L625,Vloersoorten[],3,FALSE)*VLOOKUP($T625,Frequenties[],3,FALSE)*VLOOKUP($A625,Locaties[],3,FALSE),0)</f>
        <v>0</v>
      </c>
      <c r="W625" s="434">
        <f>Ruimtestaat[[#This Row],[Uitvoeringen werkdagen]]*Ruimtestaat[[#This Row],[Oppervlak (netto)]]</f>
        <v>0</v>
      </c>
      <c r="X625" s="441">
        <f>IF(V625&gt;0,Ruimtestaat[[#This Row],[Prest. (m2 /jaar) werkdagen]]/Ruimtestaat[[#This Row],[Norm (m2/uur) werkdagen]],0)</f>
        <v>0</v>
      </c>
      <c r="Y625" s="442">
        <f>Ruimtestaat[[#This Row],[Uitvoeringen werkdagen]]*Ruimtestaat[[#This Row],[Gedeeltelijk]]</f>
        <v>0</v>
      </c>
      <c r="Z625" s="443">
        <f>IF(U625&gt;0,Ruimtestaat[[#This Row],[Prest. (m2 / jaar) werkdagen gedeeld]]/Ruimtestaat[[#This Row],[Norm (m2/uur) werkdagen]],0)</f>
        <v>0</v>
      </c>
      <c r="AA625" s="441">
        <f>Ruimtestaat[[#This Row],[uren / jaar werkdagen gedeeld]]*Tariefsopbouw!$E$35</f>
        <v>0</v>
      </c>
      <c r="AB625" s="441">
        <f>Ruimtestaat[[#This Row],[Uitvoeringen werkdagen]]*Ruimtestaat[[#This Row],[BSO]]</f>
        <v>0</v>
      </c>
      <c r="AC625" s="443">
        <f>IF(U625&gt;0,Ruimtestaat[[#This Row],[Prest. (m2 / jaar) werkdagen BSO]]/Ruimtestaat[[#This Row],[Norm (m2/uur) werkdagen]],0)</f>
        <v>0</v>
      </c>
      <c r="AD625" s="443">
        <f>Ruimtestaat[[#This Row],[uren / jaar werkdagen BSO]]*Tariefsopbouw!$E$35</f>
        <v>0</v>
      </c>
      <c r="AE625" s="444">
        <f>Ruimtestaat[[#This Row],[uren / jaar werkdagen]]*Tariefsopbouw!$E$35</f>
        <v>0</v>
      </c>
      <c r="AF625" s="454"/>
      <c r="AG625" s="455">
        <f>IF(Ruimtestaat[[#This Row],[Frequentie weekend]]&gt;0,VALUE(LEFT(AF625,1))*S625,0)</f>
        <v>0</v>
      </c>
      <c r="AH625" s="455">
        <f>IF($AG625&gt;0,VLOOKUP($J625,Ruimtegroepen[],3,FALSE)*VLOOKUP($L625,Vloersoorten[],3,FALSE)*VLOOKUP($AF625,Frequenties[],3,FALSE)*VLOOKUP(#REF!,Locaties[],3,FALSE),0)</f>
        <v>0</v>
      </c>
      <c r="AI625" s="434">
        <f>Ruimtestaat[[#This Row],[Uitvoeringen weekend]]*Ruimtestaat[[#This Row],[Oppervlak (netto)]]</f>
        <v>0</v>
      </c>
      <c r="AJ625" s="434">
        <f>IF(AH625&gt;0,Ruimtestaat[[#This Row],[Prest. (m2 /jaar) weekend]]/Ruimtestaat[[#This Row],[Norm (m2/uur) weekend]],0)</f>
        <v>0</v>
      </c>
      <c r="AK625" s="444">
        <f>Ruimtestaat[[#This Row],[uren / jaar weekend]]*Tariefsopbouw!$D$40</f>
        <v>0</v>
      </c>
      <c r="AL625" s="441">
        <f>Ruimtestaat[[#This Row],[Prest. (m2 /jaar) weekend]]+Ruimtestaat[[#This Row],[Prest. (m2 /jaar) werkdagen]]</f>
        <v>0</v>
      </c>
      <c r="AM625" s="441">
        <f>Ruimtestaat[[#This Row],[uren / jaar weekend]]+Ruimtestaat[[#This Row],[uren / jaar werkdagen]]</f>
        <v>0</v>
      </c>
      <c r="AN625" s="446">
        <f>Ruimtestaat[[#This Row],[kosten / jaar weekend]]+Ruimtestaat[[#This Row],[kosten / jaar werkdagen]]</f>
        <v>0</v>
      </c>
      <c r="AO625" s="446"/>
      <c r="AP625" s="446" t="str">
        <f>IF(Ruimtestaat[[#This Row],[Frequentie werkdagen]]="","",_xlfn.CONCAT(Ruimtestaat[[#This Row],[Ruimte code]],"-",Ruimtestaat[[#This Row],[Frequentie werkdagen]]," ",Ruimtestaat[[#This Row],[Vloer code]]))</f>
        <v/>
      </c>
      <c r="AQ625" s="448" t="str">
        <f>_xlfn.IFNA(VLOOKUP($AP625,Programma!$F$3:$G$1101,2,0),"")</f>
        <v/>
      </c>
      <c r="AR625" s="448" t="str">
        <f>_xlfn.IFNA(VLOOKUP($AP625,Programma!$F$3:$H$1101,3,0),"")</f>
        <v/>
      </c>
      <c r="AS625" s="448" t="str">
        <f>_xlfn.IFNA(VLOOKUP($AP625,Programma!$F$3:$I$1101,4,0),"")</f>
        <v/>
      </c>
      <c r="AT625" s="448" t="str">
        <f>_xlfn.IFNA(VLOOKUP($AP625,Programma!$F$3:$J$1101,5,0),"")</f>
        <v/>
      </c>
      <c r="AU625" s="448" t="str">
        <f>_xlfn.IFNA(VLOOKUP($AP625,Programma!$F$3:$K$1101,6,0),"")</f>
        <v/>
      </c>
      <c r="AV625" s="448" t="str">
        <f>_xlfn.IFNA(VLOOKUP($AP625,Programma!$F$3:$L$1101,7,0),"")</f>
        <v/>
      </c>
      <c r="AW625" s="448" t="str">
        <f>_xlfn.IFNA(VLOOKUP($AP625,Programma!$F$3:$M$1101,8,0),"")</f>
        <v/>
      </c>
      <c r="AX625" s="448" t="str">
        <f>_xlfn.IFNA(VLOOKUP($AP625,Programma!$F$3:$N$1101,9,0),"")</f>
        <v/>
      </c>
      <c r="AY625" s="448" t="str">
        <f>_xlfn.IFNA(VLOOKUP($AP625,Programma!$F$3:$O$1101,10,0),"")</f>
        <v/>
      </c>
      <c r="AZ625" s="448" t="str">
        <f>_xlfn.IFNA(VLOOKUP($AP625,Programma!$F$3:$P$1101,11,0),"")</f>
        <v/>
      </c>
      <c r="BA625" s="448" t="str">
        <f>_xlfn.IFNA(VLOOKUP($AP625,Programma!$F$3:$Q$1101,12,0),"")</f>
        <v/>
      </c>
      <c r="BB625" s="448" t="str">
        <f>_xlfn.IFNA(VLOOKUP($AP625,Programma!$F$3:$R$1101,13,0),"")</f>
        <v/>
      </c>
      <c r="BC625" s="448" t="str">
        <f>_xlfn.IFNA(VLOOKUP($AP625,Programma!$F$3:$S$1101,14,0),"")</f>
        <v/>
      </c>
      <c r="BD625" s="448" t="str">
        <f>_xlfn.IFNA(VLOOKUP($AP625,Programma!$F$3:$T$1101,15,0),"")</f>
        <v/>
      </c>
      <c r="BE625" s="448" t="str">
        <f>_xlfn.IFNA(VLOOKUP($AP625,Programma!$F$3:$U$1101,16,0),"")</f>
        <v/>
      </c>
      <c r="BF625" s="448" t="str">
        <f>_xlfn.IFNA(VLOOKUP($AP625,Programma!$F$3:$V$1101,17,0),"")</f>
        <v/>
      </c>
      <c r="BG625" s="448" t="str">
        <f>_xlfn.IFNA(VLOOKUP($AP625,Programma!$F$3:$W$1101,18,0),"")</f>
        <v/>
      </c>
      <c r="BH625" s="448" t="str">
        <f>_xlfn.IFNA(VLOOKUP($AP625,Programma!$F$3:$X$1101,19,0),"")</f>
        <v/>
      </c>
      <c r="BI625" s="448" t="str">
        <f>_xlfn.IFNA(VLOOKUP($AP625,Programma!$F$3:$Y$1101,20,0),"")</f>
        <v/>
      </c>
      <c r="BJ625" s="449"/>
      <c r="BK625" s="446" t="str">
        <f>IF(Ruimtestaat[[#This Row],[Frequentie weekend]]="","",_xlfn.CONCAT(Ruimtestaat[[#This Row],[Ruimte code]],"-",Ruimtestaat[[#This Row],[Frequentie weekend]]," ",Ruimtestaat[[#This Row],[Vloer code]]))</f>
        <v/>
      </c>
      <c r="BL625" s="448" t="str">
        <f>_xlfn.IFNA(VLOOKUP($BK625,Programma!$F$3:$G$1101,2,0),"")</f>
        <v/>
      </c>
      <c r="BM625" s="448" t="str">
        <f>_xlfn.IFNA(VLOOKUP($BK625,Programma!$F$3:$H$1101,3,0),"")</f>
        <v/>
      </c>
      <c r="BN625" s="448" t="str">
        <f>_xlfn.IFNA(VLOOKUP($BK625,Programma!$F$3:$I$1101,4,0),"")</f>
        <v/>
      </c>
      <c r="BO625" s="448" t="str">
        <f>_xlfn.IFNA(VLOOKUP($BK625,Programma!$F$3:$J$1101,5,0),"")</f>
        <v/>
      </c>
      <c r="BP625" s="448" t="str">
        <f>_xlfn.IFNA(VLOOKUP($BK625,Programma!$F$3:$K$1101,6,0),"")</f>
        <v/>
      </c>
      <c r="BQ625" s="448" t="str">
        <f>_xlfn.IFNA(VLOOKUP($BK625,Programma!$F$3:$L$1101,7,0),"")</f>
        <v/>
      </c>
      <c r="BR625" s="448" t="str">
        <f>_xlfn.IFNA(VLOOKUP($BK625,Programma!$F$3:$M$1101,8,0),"")</f>
        <v/>
      </c>
      <c r="BS625" s="448" t="str">
        <f>_xlfn.IFNA(VLOOKUP($BK625,Programma!$F$3:$N$1101,9,0),"")</f>
        <v/>
      </c>
      <c r="BT625" s="448" t="str">
        <f>_xlfn.IFNA(VLOOKUP($BK625,Programma!$F$3:$O$1101,10,0),"")</f>
        <v/>
      </c>
      <c r="BU625" s="448" t="str">
        <f>_xlfn.IFNA(VLOOKUP($BK625,Programma!$F$3:$P$1101,11,0),"")</f>
        <v/>
      </c>
      <c r="BV625" s="448" t="str">
        <f>_xlfn.IFNA(VLOOKUP($BK625,Programma!$F$3:$Q$1101,12,0),"")</f>
        <v/>
      </c>
      <c r="BW625" s="448" t="str">
        <f>_xlfn.IFNA(VLOOKUP($BK625,Programma!$F$3:$R$1101,13,0),"")</f>
        <v/>
      </c>
      <c r="BX625" s="448" t="str">
        <f>_xlfn.IFNA(VLOOKUP($BK625,Programma!$F$3:$S$1101,14,0),"")</f>
        <v/>
      </c>
      <c r="BY625" s="448" t="str">
        <f>_xlfn.IFNA(VLOOKUP($BK625,Programma!$F$3:$T$1101,15,0),"")</f>
        <v/>
      </c>
      <c r="BZ625" s="448" t="str">
        <f>_xlfn.IFNA(VLOOKUP($BK625,Programma!$F$3:$U$1101,16,0),"")</f>
        <v/>
      </c>
      <c r="CA625" s="448" t="str">
        <f>_xlfn.IFNA(VLOOKUP($BK625,Programma!$F$3:$V$1101,17,0),"")</f>
        <v/>
      </c>
      <c r="CB625" s="448" t="str">
        <f>_xlfn.IFNA(VLOOKUP($BK625,Programma!$F$3:$W$1101,18,0),"")</f>
        <v/>
      </c>
      <c r="CC625" s="448" t="str">
        <f>_xlfn.IFNA(VLOOKUP($BK625,Programma!$F$3:$X$1101,19,0),"")</f>
        <v/>
      </c>
      <c r="CD625" s="448" t="str">
        <f>_xlfn.IFNA(VLOOKUP($BK625,Programma!$F$3:$Y$1101,20,0),"")</f>
        <v/>
      </c>
    </row>
    <row r="626" spans="1:82" ht="15" customHeight="1">
      <c r="A626" s="327">
        <v>21</v>
      </c>
      <c r="B626" s="435" t="str">
        <f>VLOOKUP(Ruimtestaat[[#This Row],[Code]],Locaties[[Code]:[Locatie]],2,FALSE)</f>
        <v>IKC De  Leerplaneet (bijgebouw)</v>
      </c>
      <c r="C626" s="435" t="str">
        <f>VLOOKUP(Ruimtestaat[[#This Row],[Code]],Locaties[[#All],[Code]:[Adres]],4,FALSE)</f>
        <v>Nesciohove 105-107</v>
      </c>
      <c r="D626" s="435" t="str">
        <f>VLOOKUP(Ruimtestaat[[#This Row],[Code]],Locaties[[#All],[Code]:[Postcode]],5,FALSE)</f>
        <v>2716 BL</v>
      </c>
      <c r="E626" s="435" t="str">
        <f>VLOOKUP(Ruimtestaat[[#This Row],[Code]],Locaties[#All],6,FALSE)</f>
        <v>Zoetermeer</v>
      </c>
      <c r="F626" s="450"/>
      <c r="H626" s="330" t="s">
        <v>1959</v>
      </c>
      <c r="I626" s="450" t="s">
        <v>1679</v>
      </c>
      <c r="J626" s="330">
        <v>20</v>
      </c>
      <c r="K626" s="450" t="str">
        <f>VLOOKUP(Ruimtestaat[[#This Row],[Ruimte code]],Ruimtegroepen[[#All],[Code]:[Ruimte omschrijving]],2,FALSE)</f>
        <v>Niet in Onderhoud</v>
      </c>
      <c r="L626" s="434" t="s">
        <v>100</v>
      </c>
      <c r="M626" s="437" t="s">
        <v>1759</v>
      </c>
      <c r="N626" s="439"/>
      <c r="O626" s="439">
        <v>56</v>
      </c>
      <c r="P626" s="439"/>
      <c r="Q626" s="439"/>
      <c r="R626" s="440">
        <f>VLOOKUP(Ruimtestaat[[#This Row],[Ruimte code]],Ruimtegroepen[],4,FALSE)</f>
        <v>0</v>
      </c>
      <c r="S626" s="434"/>
      <c r="T626" s="434"/>
      <c r="U626" s="453">
        <f>IF(S626&gt;0,IF(RIGHT(Ruimtestaat[[#This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26" s="434">
        <f>IF(U626&gt;0,VLOOKUP($J626,Ruimtegroepen[],3,FALSE)*VLOOKUP($L626,Vloersoorten[],3,FALSE)*VLOOKUP($T626,Frequenties[],3,FALSE)*VLOOKUP($A626,Locaties[],3,FALSE),0)</f>
        <v>0</v>
      </c>
      <c r="W626" s="434">
        <f>Ruimtestaat[[#This Row],[Uitvoeringen werkdagen]]*Ruimtestaat[[#This Row],[Oppervlak (netto)]]</f>
        <v>0</v>
      </c>
      <c r="X626" s="441">
        <f>IF(V626&gt;0,Ruimtestaat[[#This Row],[Prest. (m2 /jaar) werkdagen]]/Ruimtestaat[[#This Row],[Norm (m2/uur) werkdagen]],0)</f>
        <v>0</v>
      </c>
      <c r="Y626" s="442">
        <f>Ruimtestaat[[#This Row],[Uitvoeringen werkdagen]]*Ruimtestaat[[#This Row],[Gedeeltelijk]]</f>
        <v>0</v>
      </c>
      <c r="Z626" s="443">
        <f>IF(U626&gt;0,Ruimtestaat[[#This Row],[Prest. (m2 / jaar) werkdagen gedeeld]]/Ruimtestaat[[#This Row],[Norm (m2/uur) werkdagen]],0)</f>
        <v>0</v>
      </c>
      <c r="AA626" s="441">
        <f>Ruimtestaat[[#This Row],[uren / jaar werkdagen gedeeld]]*Tariefsopbouw!$E$35</f>
        <v>0</v>
      </c>
      <c r="AB626" s="441">
        <f>Ruimtestaat[[#This Row],[Uitvoeringen werkdagen]]*Ruimtestaat[[#This Row],[BSO]]</f>
        <v>0</v>
      </c>
      <c r="AC626" s="443">
        <f>IF(U626&gt;0,Ruimtestaat[[#This Row],[Prest. (m2 / jaar) werkdagen BSO]]/Ruimtestaat[[#This Row],[Norm (m2/uur) werkdagen]],0)</f>
        <v>0</v>
      </c>
      <c r="AD626" s="443">
        <f>Ruimtestaat[[#This Row],[uren / jaar werkdagen BSO]]*Tariefsopbouw!$E$35</f>
        <v>0</v>
      </c>
      <c r="AE626" s="444">
        <f>Ruimtestaat[[#This Row],[uren / jaar werkdagen]]*Tariefsopbouw!$E$35</f>
        <v>0</v>
      </c>
      <c r="AF626" s="454"/>
      <c r="AG626" s="455">
        <f>IF(Ruimtestaat[[#This Row],[Frequentie weekend]]&gt;0,VALUE(LEFT(AF626,1))*S626,0)</f>
        <v>0</v>
      </c>
      <c r="AH626" s="455">
        <f>IF($AG626&gt;0,VLOOKUP($J626,Ruimtegroepen[],3,FALSE)*VLOOKUP($L626,Vloersoorten[],3,FALSE)*VLOOKUP($AF626,Frequenties[],3,FALSE)*VLOOKUP(#REF!,Locaties[],3,FALSE),0)</f>
        <v>0</v>
      </c>
      <c r="AI626" s="434">
        <f>Ruimtestaat[[#This Row],[Uitvoeringen weekend]]*Ruimtestaat[[#This Row],[Oppervlak (netto)]]</f>
        <v>0</v>
      </c>
      <c r="AJ626" s="434">
        <f>IF(AH626&gt;0,Ruimtestaat[[#This Row],[Prest. (m2 /jaar) weekend]]/Ruimtestaat[[#This Row],[Norm (m2/uur) weekend]],0)</f>
        <v>0</v>
      </c>
      <c r="AK626" s="444">
        <f>Ruimtestaat[[#This Row],[uren / jaar weekend]]*Tariefsopbouw!$D$40</f>
        <v>0</v>
      </c>
      <c r="AL626" s="441">
        <f>Ruimtestaat[[#This Row],[Prest. (m2 /jaar) weekend]]+Ruimtestaat[[#This Row],[Prest. (m2 /jaar) werkdagen]]</f>
        <v>0</v>
      </c>
      <c r="AM626" s="441">
        <f>Ruimtestaat[[#This Row],[uren / jaar weekend]]+Ruimtestaat[[#This Row],[uren / jaar werkdagen]]</f>
        <v>0</v>
      </c>
      <c r="AN626" s="446">
        <f>Ruimtestaat[[#This Row],[kosten / jaar weekend]]+Ruimtestaat[[#This Row],[kosten / jaar werkdagen]]</f>
        <v>0</v>
      </c>
      <c r="AO626" s="446"/>
      <c r="AP626" s="446" t="str">
        <f>IF(Ruimtestaat[[#This Row],[Frequentie werkdagen]]="","",_xlfn.CONCAT(Ruimtestaat[[#This Row],[Ruimte code]],"-",Ruimtestaat[[#This Row],[Frequentie werkdagen]]," ",Ruimtestaat[[#This Row],[Vloer code]]))</f>
        <v/>
      </c>
      <c r="AQ626" s="448" t="str">
        <f>_xlfn.IFNA(VLOOKUP($AP626,Programma!$F$3:$G$1101,2,0),"")</f>
        <v/>
      </c>
      <c r="AR626" s="448" t="str">
        <f>_xlfn.IFNA(VLOOKUP($AP626,Programma!$F$3:$H$1101,3,0),"")</f>
        <v/>
      </c>
      <c r="AS626" s="448" t="str">
        <f>_xlfn.IFNA(VLOOKUP($AP626,Programma!$F$3:$I$1101,4,0),"")</f>
        <v/>
      </c>
      <c r="AT626" s="448" t="str">
        <f>_xlfn.IFNA(VLOOKUP($AP626,Programma!$F$3:$J$1101,5,0),"")</f>
        <v/>
      </c>
      <c r="AU626" s="448" t="str">
        <f>_xlfn.IFNA(VLOOKUP($AP626,Programma!$F$3:$K$1101,6,0),"")</f>
        <v/>
      </c>
      <c r="AV626" s="448" t="str">
        <f>_xlfn.IFNA(VLOOKUP($AP626,Programma!$F$3:$L$1101,7,0),"")</f>
        <v/>
      </c>
      <c r="AW626" s="448" t="str">
        <f>_xlfn.IFNA(VLOOKUP($AP626,Programma!$F$3:$M$1101,8,0),"")</f>
        <v/>
      </c>
      <c r="AX626" s="448" t="str">
        <f>_xlfn.IFNA(VLOOKUP($AP626,Programma!$F$3:$N$1101,9,0),"")</f>
        <v/>
      </c>
      <c r="AY626" s="448" t="str">
        <f>_xlfn.IFNA(VLOOKUP($AP626,Programma!$F$3:$O$1101,10,0),"")</f>
        <v/>
      </c>
      <c r="AZ626" s="448" t="str">
        <f>_xlfn.IFNA(VLOOKUP($AP626,Programma!$F$3:$P$1101,11,0),"")</f>
        <v/>
      </c>
      <c r="BA626" s="448" t="str">
        <f>_xlfn.IFNA(VLOOKUP($AP626,Programma!$F$3:$Q$1101,12,0),"")</f>
        <v/>
      </c>
      <c r="BB626" s="448" t="str">
        <f>_xlfn.IFNA(VLOOKUP($AP626,Programma!$F$3:$R$1101,13,0),"")</f>
        <v/>
      </c>
      <c r="BC626" s="448" t="str">
        <f>_xlfn.IFNA(VLOOKUP($AP626,Programma!$F$3:$S$1101,14,0),"")</f>
        <v/>
      </c>
      <c r="BD626" s="448" t="str">
        <f>_xlfn.IFNA(VLOOKUP($AP626,Programma!$F$3:$T$1101,15,0),"")</f>
        <v/>
      </c>
      <c r="BE626" s="448" t="str">
        <f>_xlfn.IFNA(VLOOKUP($AP626,Programma!$F$3:$U$1101,16,0),"")</f>
        <v/>
      </c>
      <c r="BF626" s="448" t="str">
        <f>_xlfn.IFNA(VLOOKUP($AP626,Programma!$F$3:$V$1101,17,0),"")</f>
        <v/>
      </c>
      <c r="BG626" s="448" t="str">
        <f>_xlfn.IFNA(VLOOKUP($AP626,Programma!$F$3:$W$1101,18,0),"")</f>
        <v/>
      </c>
      <c r="BH626" s="448" t="str">
        <f>_xlfn.IFNA(VLOOKUP($AP626,Programma!$F$3:$X$1101,19,0),"")</f>
        <v/>
      </c>
      <c r="BI626" s="448" t="str">
        <f>_xlfn.IFNA(VLOOKUP($AP626,Programma!$F$3:$Y$1101,20,0),"")</f>
        <v/>
      </c>
      <c r="BJ626" s="449"/>
      <c r="BK626" s="446" t="str">
        <f>IF(Ruimtestaat[[#This Row],[Frequentie weekend]]="","",_xlfn.CONCAT(Ruimtestaat[[#This Row],[Ruimte code]],"-",Ruimtestaat[[#This Row],[Frequentie weekend]]," ",Ruimtestaat[[#This Row],[Vloer code]]))</f>
        <v/>
      </c>
      <c r="BL626" s="448" t="str">
        <f>_xlfn.IFNA(VLOOKUP($BK626,Programma!$F$3:$G$1101,2,0),"")</f>
        <v/>
      </c>
      <c r="BM626" s="448" t="str">
        <f>_xlfn.IFNA(VLOOKUP($BK626,Programma!$F$3:$H$1101,3,0),"")</f>
        <v/>
      </c>
      <c r="BN626" s="448" t="str">
        <f>_xlfn.IFNA(VLOOKUP($BK626,Programma!$F$3:$I$1101,4,0),"")</f>
        <v/>
      </c>
      <c r="BO626" s="448" t="str">
        <f>_xlfn.IFNA(VLOOKUP($BK626,Programma!$F$3:$J$1101,5,0),"")</f>
        <v/>
      </c>
      <c r="BP626" s="448" t="str">
        <f>_xlfn.IFNA(VLOOKUP($BK626,Programma!$F$3:$K$1101,6,0),"")</f>
        <v/>
      </c>
      <c r="BQ626" s="448" t="str">
        <f>_xlfn.IFNA(VLOOKUP($BK626,Programma!$F$3:$L$1101,7,0),"")</f>
        <v/>
      </c>
      <c r="BR626" s="448" t="str">
        <f>_xlfn.IFNA(VLOOKUP($BK626,Programma!$F$3:$M$1101,8,0),"")</f>
        <v/>
      </c>
      <c r="BS626" s="448" t="str">
        <f>_xlfn.IFNA(VLOOKUP($BK626,Programma!$F$3:$N$1101,9,0),"")</f>
        <v/>
      </c>
      <c r="BT626" s="448" t="str">
        <f>_xlfn.IFNA(VLOOKUP($BK626,Programma!$F$3:$O$1101,10,0),"")</f>
        <v/>
      </c>
      <c r="BU626" s="448" t="str">
        <f>_xlfn.IFNA(VLOOKUP($BK626,Programma!$F$3:$P$1101,11,0),"")</f>
        <v/>
      </c>
      <c r="BV626" s="448" t="str">
        <f>_xlfn.IFNA(VLOOKUP($BK626,Programma!$F$3:$Q$1101,12,0),"")</f>
        <v/>
      </c>
      <c r="BW626" s="448" t="str">
        <f>_xlfn.IFNA(VLOOKUP($BK626,Programma!$F$3:$R$1101,13,0),"")</f>
        <v/>
      </c>
      <c r="BX626" s="448" t="str">
        <f>_xlfn.IFNA(VLOOKUP($BK626,Programma!$F$3:$S$1101,14,0),"")</f>
        <v/>
      </c>
      <c r="BY626" s="448" t="str">
        <f>_xlfn.IFNA(VLOOKUP($BK626,Programma!$F$3:$T$1101,15,0),"")</f>
        <v/>
      </c>
      <c r="BZ626" s="448" t="str">
        <f>_xlfn.IFNA(VLOOKUP($BK626,Programma!$F$3:$U$1101,16,0),"")</f>
        <v/>
      </c>
      <c r="CA626" s="448" t="str">
        <f>_xlfn.IFNA(VLOOKUP($BK626,Programma!$F$3:$V$1101,17,0),"")</f>
        <v/>
      </c>
      <c r="CB626" s="448" t="str">
        <f>_xlfn.IFNA(VLOOKUP($BK626,Programma!$F$3:$W$1101,18,0),"")</f>
        <v/>
      </c>
      <c r="CC626" s="448" t="str">
        <f>_xlfn.IFNA(VLOOKUP($BK626,Programma!$F$3:$X$1101,19,0),"")</f>
        <v/>
      </c>
      <c r="CD626" s="448" t="str">
        <f>_xlfn.IFNA(VLOOKUP($BK626,Programma!$F$3:$Y$1101,20,0),"")</f>
        <v/>
      </c>
    </row>
    <row r="627" spans="1:82" ht="15" customHeight="1">
      <c r="A627" s="327">
        <v>22</v>
      </c>
      <c r="B627" s="435" t="str">
        <f>VLOOKUP(Ruimtestaat[[#This Row],[Code]],Locaties[[Code]:[Locatie]],2,FALSE)</f>
        <v>IKC Da Vinci</v>
      </c>
      <c r="C627" s="435" t="str">
        <f>VLOOKUP(Ruimtestaat[[#This Row],[Code]],Locaties[[#All],[Code]:[Adres]],4,FALSE)</f>
        <v>Spitsbergen 23</v>
      </c>
      <c r="D627" s="435" t="str">
        <f>VLOOKUP(Ruimtestaat[[#This Row],[Code]],Locaties[[#All],[Code]:[Postcode]],5,FALSE)</f>
        <v>2721 GP</v>
      </c>
      <c r="E627" s="435" t="str">
        <f>VLOOKUP(Ruimtestaat[[#This Row],[Code]],Locaties[#All],6,FALSE)</f>
        <v>Zoetermeer</v>
      </c>
      <c r="F627" s="450"/>
      <c r="H627" s="330" t="s">
        <v>1662</v>
      </c>
      <c r="I627" s="450" t="s">
        <v>1961</v>
      </c>
      <c r="J627" s="330">
        <v>7</v>
      </c>
      <c r="K627" s="450" t="str">
        <f>VLOOKUP(Ruimtestaat[[#This Row],[Ruimte code]],Ruimtegroepen[[#All],[Code]:[Ruimte omschrijving]],2,FALSE)</f>
        <v>Entree</v>
      </c>
      <c r="L627" s="434" t="s">
        <v>100</v>
      </c>
      <c r="M627" s="437" t="s">
        <v>1759</v>
      </c>
      <c r="N627" s="439">
        <v>9</v>
      </c>
      <c r="O627" s="439"/>
      <c r="P627" s="439"/>
      <c r="Q627" s="439"/>
      <c r="R627" s="440" t="str">
        <f>VLOOKUP(Ruimtestaat[[#This Row],[Ruimte code]],Ruimtegroepen[],4,FALSE)</f>
        <v>Ve</v>
      </c>
      <c r="S627" s="434">
        <v>41</v>
      </c>
      <c r="T627" s="434" t="s">
        <v>2</v>
      </c>
      <c r="U627" s="453">
        <f>IF(S627&gt;0,IF(RIGHT(Ruimtestaat[[#This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27" s="434">
        <f>IF(U627&gt;0,VLOOKUP($J627,Ruimtegroepen[],3,FALSE)*VLOOKUP($L627,Vloersoorten[],3,FALSE)*VLOOKUP($T627,Frequenties[],3,FALSE)*VLOOKUP($A627,Locaties[],3,FALSE),0)</f>
        <v>0</v>
      </c>
      <c r="W627" s="434">
        <f>Ruimtestaat[[#This Row],[Uitvoeringen werkdagen]]*Ruimtestaat[[#This Row],[Oppervlak (netto)]]</f>
        <v>1845</v>
      </c>
      <c r="X627" s="441">
        <f>IF(V627&gt;0,Ruimtestaat[[#This Row],[Prest. (m2 /jaar) werkdagen]]/Ruimtestaat[[#This Row],[Norm (m2/uur) werkdagen]],0)</f>
        <v>0</v>
      </c>
      <c r="Y627" s="442">
        <f>Ruimtestaat[[#This Row],[Uitvoeringen werkdagen]]*Ruimtestaat[[#This Row],[Gedeeltelijk]]</f>
        <v>0</v>
      </c>
      <c r="Z627" s="443" t="e">
        <f>IF(U627&gt;0,Ruimtestaat[[#This Row],[Prest. (m2 / jaar) werkdagen gedeeld]]/Ruimtestaat[[#This Row],[Norm (m2/uur) werkdagen]],0)</f>
        <v>#DIV/0!</v>
      </c>
      <c r="AA627" s="441" t="e">
        <f>Ruimtestaat[[#This Row],[uren / jaar werkdagen gedeeld]]*Tariefsopbouw!$E$35</f>
        <v>#DIV/0!</v>
      </c>
      <c r="AB627" s="441">
        <f>Ruimtestaat[[#This Row],[Uitvoeringen werkdagen]]*Ruimtestaat[[#This Row],[BSO]]</f>
        <v>0</v>
      </c>
      <c r="AC627" s="443" t="e">
        <f>IF(U627&gt;0,Ruimtestaat[[#This Row],[Prest. (m2 / jaar) werkdagen BSO]]/Ruimtestaat[[#This Row],[Norm (m2/uur) werkdagen]],0)</f>
        <v>#DIV/0!</v>
      </c>
      <c r="AD627" s="443" t="e">
        <f>Ruimtestaat[[#This Row],[uren / jaar werkdagen BSO]]*Tariefsopbouw!$E$35</f>
        <v>#DIV/0!</v>
      </c>
      <c r="AE627" s="444">
        <f>Ruimtestaat[[#This Row],[uren / jaar werkdagen]]*Tariefsopbouw!$E$35</f>
        <v>0</v>
      </c>
      <c r="AF627" s="454"/>
      <c r="AG627" s="455">
        <f>IF(Ruimtestaat[[#This Row],[Frequentie weekend]]&gt;0,VALUE(LEFT(AF627,1))*S627,0)</f>
        <v>0</v>
      </c>
      <c r="AH627" s="455">
        <f>IF($AG627&gt;0,VLOOKUP($J627,Ruimtegroepen[],3,FALSE)*VLOOKUP($L627,Vloersoorten[],3,FALSE)*VLOOKUP($AF627,Frequenties[],3,FALSE)*VLOOKUP(#REF!,Locaties[],3,FALSE),0)</f>
        <v>0</v>
      </c>
      <c r="AI627" s="434">
        <f>Ruimtestaat[[#This Row],[Uitvoeringen weekend]]*Ruimtestaat[[#This Row],[Oppervlak (netto)]]</f>
        <v>0</v>
      </c>
      <c r="AJ627" s="434">
        <f>IF(AH627&gt;0,Ruimtestaat[[#This Row],[Prest. (m2 /jaar) weekend]]/Ruimtestaat[[#This Row],[Norm (m2/uur) weekend]],0)</f>
        <v>0</v>
      </c>
      <c r="AK627" s="444">
        <f>Ruimtestaat[[#This Row],[uren / jaar weekend]]*Tariefsopbouw!$D$40</f>
        <v>0</v>
      </c>
      <c r="AL627" s="441">
        <f>Ruimtestaat[[#This Row],[Prest. (m2 /jaar) weekend]]+Ruimtestaat[[#This Row],[Prest. (m2 /jaar) werkdagen]]</f>
        <v>1845</v>
      </c>
      <c r="AM627" s="441">
        <f>Ruimtestaat[[#This Row],[uren / jaar weekend]]+Ruimtestaat[[#This Row],[uren / jaar werkdagen]]</f>
        <v>0</v>
      </c>
      <c r="AN627" s="446">
        <f>Ruimtestaat[[#This Row],[kosten / jaar weekend]]+Ruimtestaat[[#This Row],[kosten / jaar werkdagen]]</f>
        <v>0</v>
      </c>
      <c r="AO627" s="446"/>
      <c r="AP627" s="446" t="str">
        <f>IF(Ruimtestaat[[#This Row],[Frequentie werkdagen]]="","",_xlfn.CONCAT(Ruimtestaat[[#This Row],[Ruimte code]],"-",Ruimtestaat[[#This Row],[Frequentie werkdagen]]," ",Ruimtestaat[[#This Row],[Vloer code]]))</f>
        <v>7-5w L</v>
      </c>
      <c r="AQ627" s="448" t="str">
        <f>_xlfn.IFNA(VLOOKUP($AP627,Programma!$F$3:$G$1101,2,0),"")</f>
        <v>_</v>
      </c>
      <c r="AR627" s="448" t="str">
        <f>_xlfn.IFNA(VLOOKUP($AP627,Programma!$F$3:$H$1101,3,0),"")</f>
        <v>_</v>
      </c>
      <c r="AS627" s="448" t="str">
        <f>_xlfn.IFNA(VLOOKUP($AP627,Programma!$F$3:$I$1101,4,0),"")</f>
        <v>_</v>
      </c>
      <c r="AT627" s="448" t="str">
        <f>_xlfn.IFNA(VLOOKUP($AP627,Programma!$F$3:$J$1101,5,0),"")</f>
        <v>5w</v>
      </c>
      <c r="AU627" s="448" t="str">
        <f>_xlfn.IFNA(VLOOKUP($AP627,Programma!$F$3:$K$1101,6,0),"")</f>
        <v>_</v>
      </c>
      <c r="AV627" s="448" t="str">
        <f>_xlfn.IFNA(VLOOKUP($AP627,Programma!$F$3:$L$1101,7,0),"")</f>
        <v>_</v>
      </c>
      <c r="AW627" s="448" t="str">
        <f>_xlfn.IFNA(VLOOKUP($AP627,Programma!$F$3:$M$1101,8,0),"")</f>
        <v>_</v>
      </c>
      <c r="AX627" s="448" t="str">
        <f>_xlfn.IFNA(VLOOKUP($AP627,Programma!$F$3:$N$1101,9,0),"")</f>
        <v>_</v>
      </c>
      <c r="AY627" s="448" t="str">
        <f>_xlfn.IFNA(VLOOKUP($AP627,Programma!$F$3:$O$1101,10,0),"")</f>
        <v>5w</v>
      </c>
      <c r="AZ627" s="448" t="str">
        <f>_xlfn.IFNA(VLOOKUP($AP627,Programma!$F$3:$P$1101,11,0),"")</f>
        <v>5w</v>
      </c>
      <c r="BA627" s="448" t="str">
        <f>_xlfn.IFNA(VLOOKUP($AP627,Programma!$F$3:$Q$1101,12,0),"")</f>
        <v>1w</v>
      </c>
      <c r="BB627" s="448" t="str">
        <f>_xlfn.IFNA(VLOOKUP($AP627,Programma!$F$3:$R$1101,13,0),"")</f>
        <v>1w</v>
      </c>
      <c r="BC627" s="448" t="str">
        <f>_xlfn.IFNA(VLOOKUP($AP627,Programma!$F$3:$S$1101,14,0),"")</f>
        <v>1m</v>
      </c>
      <c r="BD627" s="448" t="str">
        <f>_xlfn.IFNA(VLOOKUP($AP627,Programma!$F$3:$T$1101,15,0),"")</f>
        <v>2j</v>
      </c>
      <c r="BE627" s="448" t="str">
        <f>_xlfn.IFNA(VLOOKUP($AP627,Programma!$F$3:$U$1101,16,0),"")</f>
        <v>1j</v>
      </c>
      <c r="BF627" s="448" t="str">
        <f>_xlfn.IFNA(VLOOKUP($AP627,Programma!$F$3:$V$1101,17,0),"")</f>
        <v>_</v>
      </c>
      <c r="BG627" s="448" t="str">
        <f>_xlfn.IFNA(VLOOKUP($AP627,Programma!$F$3:$W$1101,18,0),"")</f>
        <v>_</v>
      </c>
      <c r="BH627" s="448" t="str">
        <f>_xlfn.IFNA(VLOOKUP($AP627,Programma!$F$3:$X$1101,19,0),"")</f>
        <v>_</v>
      </c>
      <c r="BI627" s="448" t="str">
        <f>_xlfn.IFNA(VLOOKUP($AP627,Programma!$F$3:$Y$1101,20,0),"")</f>
        <v>_</v>
      </c>
      <c r="BJ627" s="449"/>
      <c r="BK627" s="446" t="str">
        <f>IF(Ruimtestaat[[#This Row],[Frequentie weekend]]="","",_xlfn.CONCAT(Ruimtestaat[[#This Row],[Ruimte code]],"-",Ruimtestaat[[#This Row],[Frequentie weekend]]," ",Ruimtestaat[[#This Row],[Vloer code]]))</f>
        <v/>
      </c>
      <c r="BL627" s="448" t="str">
        <f>_xlfn.IFNA(VLOOKUP($BK627,Programma!$F$3:$G$1101,2,0),"")</f>
        <v/>
      </c>
      <c r="BM627" s="448" t="str">
        <f>_xlfn.IFNA(VLOOKUP($BK627,Programma!$F$3:$H$1101,3,0),"")</f>
        <v/>
      </c>
      <c r="BN627" s="448" t="str">
        <f>_xlfn.IFNA(VLOOKUP($BK627,Programma!$F$3:$I$1101,4,0),"")</f>
        <v/>
      </c>
      <c r="BO627" s="448" t="str">
        <f>_xlfn.IFNA(VLOOKUP($BK627,Programma!$F$3:$J$1101,5,0),"")</f>
        <v/>
      </c>
      <c r="BP627" s="448" t="str">
        <f>_xlfn.IFNA(VLOOKUP($BK627,Programma!$F$3:$K$1101,6,0),"")</f>
        <v/>
      </c>
      <c r="BQ627" s="448" t="str">
        <f>_xlfn.IFNA(VLOOKUP($BK627,Programma!$F$3:$L$1101,7,0),"")</f>
        <v/>
      </c>
      <c r="BR627" s="448" t="str">
        <f>_xlfn.IFNA(VLOOKUP($BK627,Programma!$F$3:$M$1101,8,0),"")</f>
        <v/>
      </c>
      <c r="BS627" s="448" t="str">
        <f>_xlfn.IFNA(VLOOKUP($BK627,Programma!$F$3:$N$1101,9,0),"")</f>
        <v/>
      </c>
      <c r="BT627" s="448" t="str">
        <f>_xlfn.IFNA(VLOOKUP($BK627,Programma!$F$3:$O$1101,10,0),"")</f>
        <v/>
      </c>
      <c r="BU627" s="448" t="str">
        <f>_xlfn.IFNA(VLOOKUP($BK627,Programma!$F$3:$P$1101,11,0),"")</f>
        <v/>
      </c>
      <c r="BV627" s="448" t="str">
        <f>_xlfn.IFNA(VLOOKUP($BK627,Programma!$F$3:$Q$1101,12,0),"")</f>
        <v/>
      </c>
      <c r="BW627" s="448" t="str">
        <f>_xlfn.IFNA(VLOOKUP($BK627,Programma!$F$3:$R$1101,13,0),"")</f>
        <v/>
      </c>
      <c r="BX627" s="448" t="str">
        <f>_xlfn.IFNA(VLOOKUP($BK627,Programma!$F$3:$S$1101,14,0),"")</f>
        <v/>
      </c>
      <c r="BY627" s="448" t="str">
        <f>_xlfn.IFNA(VLOOKUP($BK627,Programma!$F$3:$T$1101,15,0),"")</f>
        <v/>
      </c>
      <c r="BZ627" s="448" t="str">
        <f>_xlfn.IFNA(VLOOKUP($BK627,Programma!$F$3:$U$1101,16,0),"")</f>
        <v/>
      </c>
      <c r="CA627" s="448" t="str">
        <f>_xlfn.IFNA(VLOOKUP($BK627,Programma!$F$3:$V$1101,17,0),"")</f>
        <v/>
      </c>
      <c r="CB627" s="448" t="str">
        <f>_xlfn.IFNA(VLOOKUP($BK627,Programma!$F$3:$W$1101,18,0),"")</f>
        <v/>
      </c>
      <c r="CC627" s="448" t="str">
        <f>_xlfn.IFNA(VLOOKUP($BK627,Programma!$F$3:$X$1101,19,0),"")</f>
        <v/>
      </c>
      <c r="CD627" s="448" t="str">
        <f>_xlfn.IFNA(VLOOKUP($BK627,Programma!$F$3:$Y$1101,20,0),"")</f>
        <v/>
      </c>
    </row>
    <row r="628" spans="1:82" ht="15" customHeight="1">
      <c r="A628" s="327">
        <v>22</v>
      </c>
      <c r="B628" s="435" t="str">
        <f>VLOOKUP(Ruimtestaat[[#This Row],[Code]],Locaties[[Code]:[Locatie]],2,FALSE)</f>
        <v>IKC Da Vinci</v>
      </c>
      <c r="C628" s="435" t="str">
        <f>VLOOKUP(Ruimtestaat[[#This Row],[Code]],Locaties[[#All],[Code]:[Adres]],4,FALSE)</f>
        <v>Spitsbergen 23</v>
      </c>
      <c r="D628" s="435" t="str">
        <f>VLOOKUP(Ruimtestaat[[#This Row],[Code]],Locaties[[#All],[Code]:[Postcode]],5,FALSE)</f>
        <v>2721 GP</v>
      </c>
      <c r="E628" s="435" t="str">
        <f>VLOOKUP(Ruimtestaat[[#This Row],[Code]],Locaties[#All],6,FALSE)</f>
        <v>Zoetermeer</v>
      </c>
      <c r="F628" s="450"/>
      <c r="H628" s="330" t="s">
        <v>1665</v>
      </c>
      <c r="I628" s="450" t="s">
        <v>1962</v>
      </c>
      <c r="J628" s="330">
        <v>6</v>
      </c>
      <c r="K628" s="450" t="str">
        <f>VLOOKUP(Ruimtestaat[[#This Row],[Ruimte code]],Ruimtegroepen[[#All],[Code]:[Ruimte omschrijving]],2,FALSE)</f>
        <v>Gangen/hallen</v>
      </c>
      <c r="L628" s="434" t="s">
        <v>100</v>
      </c>
      <c r="M628" s="437" t="s">
        <v>1759</v>
      </c>
      <c r="N628" s="439">
        <v>55</v>
      </c>
      <c r="O628" s="439"/>
      <c r="P628" s="439"/>
      <c r="Q628" s="439"/>
      <c r="R628" s="440" t="str">
        <f>VLOOKUP(Ruimtestaat[[#This Row],[Ruimte code]],Ruimtegroepen[],4,FALSE)</f>
        <v>Ve</v>
      </c>
      <c r="S628" s="434">
        <v>41</v>
      </c>
      <c r="T628" s="434" t="s">
        <v>2</v>
      </c>
      <c r="U628" s="453">
        <f>IF(S628&gt;0,IF(RIGHT(Ruimtestaat[[#This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28" s="434">
        <f>IF(U628&gt;0,VLOOKUP($J628,Ruimtegroepen[],3,FALSE)*VLOOKUP($L628,Vloersoorten[],3,FALSE)*VLOOKUP($T628,Frequenties[],3,FALSE)*VLOOKUP($A628,Locaties[],3,FALSE),0)</f>
        <v>0</v>
      </c>
      <c r="W628" s="434">
        <f>Ruimtestaat[[#This Row],[Uitvoeringen werkdagen]]*Ruimtestaat[[#This Row],[Oppervlak (netto)]]</f>
        <v>11275</v>
      </c>
      <c r="X628" s="441">
        <f>IF(V628&gt;0,Ruimtestaat[[#This Row],[Prest. (m2 /jaar) werkdagen]]/Ruimtestaat[[#This Row],[Norm (m2/uur) werkdagen]],0)</f>
        <v>0</v>
      </c>
      <c r="Y628" s="442">
        <f>Ruimtestaat[[#This Row],[Uitvoeringen werkdagen]]*Ruimtestaat[[#This Row],[Gedeeltelijk]]</f>
        <v>0</v>
      </c>
      <c r="Z628" s="443" t="e">
        <f>IF(U628&gt;0,Ruimtestaat[[#This Row],[Prest. (m2 / jaar) werkdagen gedeeld]]/Ruimtestaat[[#This Row],[Norm (m2/uur) werkdagen]],0)</f>
        <v>#DIV/0!</v>
      </c>
      <c r="AA628" s="441" t="e">
        <f>Ruimtestaat[[#This Row],[uren / jaar werkdagen gedeeld]]*Tariefsopbouw!$E$35</f>
        <v>#DIV/0!</v>
      </c>
      <c r="AB628" s="441">
        <f>Ruimtestaat[[#This Row],[Uitvoeringen werkdagen]]*Ruimtestaat[[#This Row],[BSO]]</f>
        <v>0</v>
      </c>
      <c r="AC628" s="443" t="e">
        <f>IF(U628&gt;0,Ruimtestaat[[#This Row],[Prest. (m2 / jaar) werkdagen BSO]]/Ruimtestaat[[#This Row],[Norm (m2/uur) werkdagen]],0)</f>
        <v>#DIV/0!</v>
      </c>
      <c r="AD628" s="443" t="e">
        <f>Ruimtestaat[[#This Row],[uren / jaar werkdagen BSO]]*Tariefsopbouw!$E$35</f>
        <v>#DIV/0!</v>
      </c>
      <c r="AE628" s="444">
        <f>Ruimtestaat[[#This Row],[uren / jaar werkdagen]]*Tariefsopbouw!$E$35</f>
        <v>0</v>
      </c>
      <c r="AF628" s="454"/>
      <c r="AG628" s="455">
        <f>IF(Ruimtestaat[[#This Row],[Frequentie weekend]]&gt;0,VALUE(LEFT(AF628,1))*S628,0)</f>
        <v>0</v>
      </c>
      <c r="AH628" s="455">
        <f>IF($AG628&gt;0,VLOOKUP($J628,Ruimtegroepen[],3,FALSE)*VLOOKUP($L628,Vloersoorten[],3,FALSE)*VLOOKUP($AF628,Frequenties[],3,FALSE)*VLOOKUP(#REF!,Locaties[],3,FALSE),0)</f>
        <v>0</v>
      </c>
      <c r="AI628" s="434">
        <f>Ruimtestaat[[#This Row],[Uitvoeringen weekend]]*Ruimtestaat[[#This Row],[Oppervlak (netto)]]</f>
        <v>0</v>
      </c>
      <c r="AJ628" s="434">
        <f>IF(AH628&gt;0,Ruimtestaat[[#This Row],[Prest. (m2 /jaar) weekend]]/Ruimtestaat[[#This Row],[Norm (m2/uur) weekend]],0)</f>
        <v>0</v>
      </c>
      <c r="AK628" s="444">
        <f>Ruimtestaat[[#This Row],[uren / jaar weekend]]*Tariefsopbouw!$D$40</f>
        <v>0</v>
      </c>
      <c r="AL628" s="441">
        <f>Ruimtestaat[[#This Row],[Prest. (m2 /jaar) weekend]]+Ruimtestaat[[#This Row],[Prest. (m2 /jaar) werkdagen]]</f>
        <v>11275</v>
      </c>
      <c r="AM628" s="441">
        <f>Ruimtestaat[[#This Row],[uren / jaar weekend]]+Ruimtestaat[[#This Row],[uren / jaar werkdagen]]</f>
        <v>0</v>
      </c>
      <c r="AN628" s="446">
        <f>Ruimtestaat[[#This Row],[kosten / jaar weekend]]+Ruimtestaat[[#This Row],[kosten / jaar werkdagen]]</f>
        <v>0</v>
      </c>
      <c r="AO628" s="446"/>
      <c r="AP628" s="446" t="str">
        <f>IF(Ruimtestaat[[#This Row],[Frequentie werkdagen]]="","",_xlfn.CONCAT(Ruimtestaat[[#This Row],[Ruimte code]],"-",Ruimtestaat[[#This Row],[Frequentie werkdagen]]," ",Ruimtestaat[[#This Row],[Vloer code]]))</f>
        <v>6-5w L</v>
      </c>
      <c r="AQ628" s="448" t="str">
        <f>_xlfn.IFNA(VLOOKUP($AP628,Programma!$F$3:$G$1101,2,0),"")</f>
        <v>_</v>
      </c>
      <c r="AR628" s="448" t="str">
        <f>_xlfn.IFNA(VLOOKUP($AP628,Programma!$F$3:$H$1101,3,0),"")</f>
        <v>_</v>
      </c>
      <c r="AS628" s="448" t="str">
        <f>_xlfn.IFNA(VLOOKUP($AP628,Programma!$F$3:$I$1101,4,0),"")</f>
        <v>_</v>
      </c>
      <c r="AT628" s="448" t="str">
        <f>_xlfn.IFNA(VLOOKUP($AP628,Programma!$F$3:$J$1101,5,0),"")</f>
        <v>5w</v>
      </c>
      <c r="AU628" s="448" t="str">
        <f>_xlfn.IFNA(VLOOKUP($AP628,Programma!$F$3:$K$1101,6,0),"")</f>
        <v>_</v>
      </c>
      <c r="AV628" s="448" t="str">
        <f>_xlfn.IFNA(VLOOKUP($AP628,Programma!$F$3:$L$1101,7,0),"")</f>
        <v>_</v>
      </c>
      <c r="AW628" s="448" t="str">
        <f>_xlfn.IFNA(VLOOKUP($AP628,Programma!$F$3:$M$1101,8,0),"")</f>
        <v>_</v>
      </c>
      <c r="AX628" s="448" t="str">
        <f>_xlfn.IFNA(VLOOKUP($AP628,Programma!$F$3:$N$1101,9,0),"")</f>
        <v>_</v>
      </c>
      <c r="AY628" s="448" t="str">
        <f>_xlfn.IFNA(VLOOKUP($AP628,Programma!$F$3:$O$1101,10,0),"")</f>
        <v>5w</v>
      </c>
      <c r="AZ628" s="448" t="str">
        <f>_xlfn.IFNA(VLOOKUP($AP628,Programma!$F$3:$P$1101,11,0),"")</f>
        <v>5w</v>
      </c>
      <c r="BA628" s="448" t="str">
        <f>_xlfn.IFNA(VLOOKUP($AP628,Programma!$F$3:$Q$1101,12,0),"")</f>
        <v>1w</v>
      </c>
      <c r="BB628" s="448" t="str">
        <f>_xlfn.IFNA(VLOOKUP($AP628,Programma!$F$3:$R$1101,13,0),"")</f>
        <v>1w</v>
      </c>
      <c r="BC628" s="448" t="str">
        <f>_xlfn.IFNA(VLOOKUP($AP628,Programma!$F$3:$S$1101,14,0),"")</f>
        <v>1m</v>
      </c>
      <c r="BD628" s="448" t="str">
        <f>_xlfn.IFNA(VLOOKUP($AP628,Programma!$F$3:$T$1101,15,0),"")</f>
        <v>2j</v>
      </c>
      <c r="BE628" s="448" t="str">
        <f>_xlfn.IFNA(VLOOKUP($AP628,Programma!$F$3:$U$1101,16,0),"")</f>
        <v>1j</v>
      </c>
      <c r="BF628" s="448" t="str">
        <f>_xlfn.IFNA(VLOOKUP($AP628,Programma!$F$3:$V$1101,17,0),"")</f>
        <v>_</v>
      </c>
      <c r="BG628" s="448" t="str">
        <f>_xlfn.IFNA(VLOOKUP($AP628,Programma!$F$3:$W$1101,18,0),"")</f>
        <v>_</v>
      </c>
      <c r="BH628" s="448" t="str">
        <f>_xlfn.IFNA(VLOOKUP($AP628,Programma!$F$3:$X$1101,19,0),"")</f>
        <v>_</v>
      </c>
      <c r="BI628" s="448" t="str">
        <f>_xlfn.IFNA(VLOOKUP($AP628,Programma!$F$3:$Y$1101,20,0),"")</f>
        <v>_</v>
      </c>
      <c r="BJ628" s="449"/>
      <c r="BK628" s="446" t="str">
        <f>IF(Ruimtestaat[[#This Row],[Frequentie weekend]]="","",_xlfn.CONCAT(Ruimtestaat[[#This Row],[Ruimte code]],"-",Ruimtestaat[[#This Row],[Frequentie weekend]]," ",Ruimtestaat[[#This Row],[Vloer code]]))</f>
        <v/>
      </c>
      <c r="BL628" s="448" t="str">
        <f>_xlfn.IFNA(VLOOKUP($BK628,Programma!$F$3:$G$1101,2,0),"")</f>
        <v/>
      </c>
      <c r="BM628" s="448" t="str">
        <f>_xlfn.IFNA(VLOOKUP($BK628,Programma!$F$3:$H$1101,3,0),"")</f>
        <v/>
      </c>
      <c r="BN628" s="448" t="str">
        <f>_xlfn.IFNA(VLOOKUP($BK628,Programma!$F$3:$I$1101,4,0),"")</f>
        <v/>
      </c>
      <c r="BO628" s="448" t="str">
        <f>_xlfn.IFNA(VLOOKUP($BK628,Programma!$F$3:$J$1101,5,0),"")</f>
        <v/>
      </c>
      <c r="BP628" s="448" t="str">
        <f>_xlfn.IFNA(VLOOKUP($BK628,Programma!$F$3:$K$1101,6,0),"")</f>
        <v/>
      </c>
      <c r="BQ628" s="448" t="str">
        <f>_xlfn.IFNA(VLOOKUP($BK628,Programma!$F$3:$L$1101,7,0),"")</f>
        <v/>
      </c>
      <c r="BR628" s="448" t="str">
        <f>_xlfn.IFNA(VLOOKUP($BK628,Programma!$F$3:$M$1101,8,0),"")</f>
        <v/>
      </c>
      <c r="BS628" s="448" t="str">
        <f>_xlfn.IFNA(VLOOKUP($BK628,Programma!$F$3:$N$1101,9,0),"")</f>
        <v/>
      </c>
      <c r="BT628" s="448" t="str">
        <f>_xlfn.IFNA(VLOOKUP($BK628,Programma!$F$3:$O$1101,10,0),"")</f>
        <v/>
      </c>
      <c r="BU628" s="448" t="str">
        <f>_xlfn.IFNA(VLOOKUP($BK628,Programma!$F$3:$P$1101,11,0),"")</f>
        <v/>
      </c>
      <c r="BV628" s="448" t="str">
        <f>_xlfn.IFNA(VLOOKUP($BK628,Programma!$F$3:$Q$1101,12,0),"")</f>
        <v/>
      </c>
      <c r="BW628" s="448" t="str">
        <f>_xlfn.IFNA(VLOOKUP($BK628,Programma!$F$3:$R$1101,13,0),"")</f>
        <v/>
      </c>
      <c r="BX628" s="448" t="str">
        <f>_xlfn.IFNA(VLOOKUP($BK628,Programma!$F$3:$S$1101,14,0),"")</f>
        <v/>
      </c>
      <c r="BY628" s="448" t="str">
        <f>_xlfn.IFNA(VLOOKUP($BK628,Programma!$F$3:$T$1101,15,0),"")</f>
        <v/>
      </c>
      <c r="BZ628" s="448" t="str">
        <f>_xlfn.IFNA(VLOOKUP($BK628,Programma!$F$3:$U$1101,16,0),"")</f>
        <v/>
      </c>
      <c r="CA628" s="448" t="str">
        <f>_xlfn.IFNA(VLOOKUP($BK628,Programma!$F$3:$V$1101,17,0),"")</f>
        <v/>
      </c>
      <c r="CB628" s="448" t="str">
        <f>_xlfn.IFNA(VLOOKUP($BK628,Programma!$F$3:$W$1101,18,0),"")</f>
        <v/>
      </c>
      <c r="CC628" s="448" t="str">
        <f>_xlfn.IFNA(VLOOKUP($BK628,Programma!$F$3:$X$1101,19,0),"")</f>
        <v/>
      </c>
      <c r="CD628" s="448" t="str">
        <f>_xlfn.IFNA(VLOOKUP($BK628,Programma!$F$3:$Y$1101,20,0),"")</f>
        <v/>
      </c>
    </row>
    <row r="629" spans="1:82" ht="15" customHeight="1">
      <c r="A629" s="327">
        <v>22</v>
      </c>
      <c r="B629" s="435" t="str">
        <f>VLOOKUP(Ruimtestaat[[#This Row],[Code]],Locaties[[Code]:[Locatie]],2,FALSE)</f>
        <v>IKC Da Vinci</v>
      </c>
      <c r="C629" s="435" t="str">
        <f>VLOOKUP(Ruimtestaat[[#This Row],[Code]],Locaties[[#All],[Code]:[Adres]],4,FALSE)</f>
        <v>Spitsbergen 23</v>
      </c>
      <c r="D629" s="435" t="str">
        <f>VLOOKUP(Ruimtestaat[[#This Row],[Code]],Locaties[[#All],[Code]:[Postcode]],5,FALSE)</f>
        <v>2721 GP</v>
      </c>
      <c r="E629" s="435" t="str">
        <f>VLOOKUP(Ruimtestaat[[#This Row],[Code]],Locaties[#All],6,FALSE)</f>
        <v>Zoetermeer</v>
      </c>
      <c r="F629" s="450"/>
      <c r="H629" s="330" t="s">
        <v>1667</v>
      </c>
      <c r="I629" s="450" t="s">
        <v>1789</v>
      </c>
      <c r="J629" s="330">
        <v>2</v>
      </c>
      <c r="K629" s="450" t="str">
        <f>VLOOKUP(Ruimtestaat[[#This Row],[Ruimte code]],Ruimtegroepen[[#All],[Code]:[Ruimte omschrijving]],2,FALSE)</f>
        <v>Kantoren</v>
      </c>
      <c r="L629" s="434" t="s">
        <v>100</v>
      </c>
      <c r="M629" s="437" t="s">
        <v>1759</v>
      </c>
      <c r="N629" s="439">
        <v>18</v>
      </c>
      <c r="O629" s="439"/>
      <c r="P629" s="439"/>
      <c r="Q629" s="439"/>
      <c r="R629" s="440" t="str">
        <f>VLOOKUP(Ruimtestaat[[#This Row],[Ruimte code]],Ruimtegroepen[],4,FALSE)</f>
        <v>Bu</v>
      </c>
      <c r="S629" s="434">
        <v>41</v>
      </c>
      <c r="T629" s="434" t="s">
        <v>17</v>
      </c>
      <c r="U629" s="453">
        <f>IF(S629&gt;0,IF(RIGHT(Ruimtestaat[[#This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629" s="434">
        <f>IF(U629&gt;0,VLOOKUP($J629,Ruimtegroepen[],3,FALSE)*VLOOKUP($L629,Vloersoorten[],3,FALSE)*VLOOKUP($T629,Frequenties[],3,FALSE)*VLOOKUP($A629,Locaties[],3,FALSE),0)</f>
        <v>0</v>
      </c>
      <c r="W629" s="434">
        <f>Ruimtestaat[[#This Row],[Uitvoeringen werkdagen]]*Ruimtestaat[[#This Row],[Oppervlak (netto)]]</f>
        <v>1476</v>
      </c>
      <c r="X629" s="441">
        <f>IF(V629&gt;0,Ruimtestaat[[#This Row],[Prest. (m2 /jaar) werkdagen]]/Ruimtestaat[[#This Row],[Norm (m2/uur) werkdagen]],0)</f>
        <v>0</v>
      </c>
      <c r="Y629" s="442">
        <f>Ruimtestaat[[#This Row],[Uitvoeringen werkdagen]]*Ruimtestaat[[#This Row],[Gedeeltelijk]]</f>
        <v>0</v>
      </c>
      <c r="Z629" s="443" t="e">
        <f>IF(U629&gt;0,Ruimtestaat[[#This Row],[Prest. (m2 / jaar) werkdagen gedeeld]]/Ruimtestaat[[#This Row],[Norm (m2/uur) werkdagen]],0)</f>
        <v>#DIV/0!</v>
      </c>
      <c r="AA629" s="441" t="e">
        <f>Ruimtestaat[[#This Row],[uren / jaar werkdagen gedeeld]]*Tariefsopbouw!$E$35</f>
        <v>#DIV/0!</v>
      </c>
      <c r="AB629" s="441">
        <f>Ruimtestaat[[#This Row],[Uitvoeringen werkdagen]]*Ruimtestaat[[#This Row],[BSO]]</f>
        <v>0</v>
      </c>
      <c r="AC629" s="443" t="e">
        <f>IF(U629&gt;0,Ruimtestaat[[#This Row],[Prest. (m2 / jaar) werkdagen BSO]]/Ruimtestaat[[#This Row],[Norm (m2/uur) werkdagen]],0)</f>
        <v>#DIV/0!</v>
      </c>
      <c r="AD629" s="443" t="e">
        <f>Ruimtestaat[[#This Row],[uren / jaar werkdagen BSO]]*Tariefsopbouw!$E$35</f>
        <v>#DIV/0!</v>
      </c>
      <c r="AE629" s="444">
        <f>Ruimtestaat[[#This Row],[uren / jaar werkdagen]]*Tariefsopbouw!$E$35</f>
        <v>0</v>
      </c>
      <c r="AF629" s="454"/>
      <c r="AG629" s="455">
        <f>IF(Ruimtestaat[[#This Row],[Frequentie weekend]]&gt;0,VALUE(LEFT(AF629,1))*S629,0)</f>
        <v>0</v>
      </c>
      <c r="AH629" s="455">
        <f>IF($AG629&gt;0,VLOOKUP($J629,Ruimtegroepen[],3,FALSE)*VLOOKUP($L629,Vloersoorten[],3,FALSE)*VLOOKUP($AF629,Frequenties[],3,FALSE)*VLOOKUP(#REF!,Locaties[],3,FALSE),0)</f>
        <v>0</v>
      </c>
      <c r="AI629" s="434">
        <f>Ruimtestaat[[#This Row],[Uitvoeringen weekend]]*Ruimtestaat[[#This Row],[Oppervlak (netto)]]</f>
        <v>0</v>
      </c>
      <c r="AJ629" s="434">
        <f>IF(AH629&gt;0,Ruimtestaat[[#This Row],[Prest. (m2 /jaar) weekend]]/Ruimtestaat[[#This Row],[Norm (m2/uur) weekend]],0)</f>
        <v>0</v>
      </c>
      <c r="AK629" s="444">
        <f>Ruimtestaat[[#This Row],[uren / jaar weekend]]*Tariefsopbouw!$D$40</f>
        <v>0</v>
      </c>
      <c r="AL629" s="441">
        <f>Ruimtestaat[[#This Row],[Prest. (m2 /jaar) weekend]]+Ruimtestaat[[#This Row],[Prest. (m2 /jaar) werkdagen]]</f>
        <v>1476</v>
      </c>
      <c r="AM629" s="441">
        <f>Ruimtestaat[[#This Row],[uren / jaar weekend]]+Ruimtestaat[[#This Row],[uren / jaar werkdagen]]</f>
        <v>0</v>
      </c>
      <c r="AN629" s="446">
        <f>Ruimtestaat[[#This Row],[kosten / jaar weekend]]+Ruimtestaat[[#This Row],[kosten / jaar werkdagen]]</f>
        <v>0</v>
      </c>
      <c r="AO629" s="446"/>
      <c r="AP629" s="446" t="str">
        <f>IF(Ruimtestaat[[#This Row],[Frequentie werkdagen]]="","",_xlfn.CONCAT(Ruimtestaat[[#This Row],[Ruimte code]],"-",Ruimtestaat[[#This Row],[Frequentie werkdagen]]," ",Ruimtestaat[[#This Row],[Vloer code]]))</f>
        <v>2-2w L</v>
      </c>
      <c r="AQ629" s="448" t="str">
        <f>_xlfn.IFNA(VLOOKUP($AP629,Programma!$F$3:$G$1101,2,0),"")</f>
        <v>_</v>
      </c>
      <c r="AR629" s="448" t="str">
        <f>_xlfn.IFNA(VLOOKUP($AP629,Programma!$F$3:$H$1101,3,0),"")</f>
        <v>_</v>
      </c>
      <c r="AS629" s="448" t="str">
        <f>_xlfn.IFNA(VLOOKUP($AP629,Programma!$F$3:$I$1101,4,0),"")</f>
        <v>1w</v>
      </c>
      <c r="AT629" s="448" t="str">
        <f>_xlfn.IFNA(VLOOKUP($AP629,Programma!$F$3:$J$1101,5,0),"")</f>
        <v>1w</v>
      </c>
      <c r="AU629" s="448" t="str">
        <f>_xlfn.IFNA(VLOOKUP($AP629,Programma!$F$3:$K$1101,6,0),"")</f>
        <v>_</v>
      </c>
      <c r="AV629" s="448" t="str">
        <f>_xlfn.IFNA(VLOOKUP($AP629,Programma!$F$3:$L$1101,7,0),"")</f>
        <v>_</v>
      </c>
      <c r="AW629" s="448" t="str">
        <f>_xlfn.IFNA(VLOOKUP($AP629,Programma!$F$3:$M$1101,8,0),"")</f>
        <v>_</v>
      </c>
      <c r="AX629" s="448" t="str">
        <f>_xlfn.IFNA(VLOOKUP($AP629,Programma!$F$3:$N$1101,9,0),"")</f>
        <v>_</v>
      </c>
      <c r="AY629" s="448" t="str">
        <f>_xlfn.IFNA(VLOOKUP($AP629,Programma!$F$3:$O$1101,10,0),"")</f>
        <v>2w</v>
      </c>
      <c r="AZ629" s="448" t="str">
        <f>_xlfn.IFNA(VLOOKUP($AP629,Programma!$F$3:$P$1101,11,0),"")</f>
        <v>2w</v>
      </c>
      <c r="BA629" s="448" t="str">
        <f>_xlfn.IFNA(VLOOKUP($AP629,Programma!$F$3:$Q$1101,12,0),"")</f>
        <v>1w</v>
      </c>
      <c r="BB629" s="448" t="str">
        <f>_xlfn.IFNA(VLOOKUP($AP629,Programma!$F$3:$R$1101,13,0),"")</f>
        <v>1w</v>
      </c>
      <c r="BC629" s="448" t="str">
        <f>_xlfn.IFNA(VLOOKUP($AP629,Programma!$F$3:$S$1101,14,0),"")</f>
        <v>1m</v>
      </c>
      <c r="BD629" s="448" t="str">
        <f>_xlfn.IFNA(VLOOKUP($AP629,Programma!$F$3:$T$1101,15,0),"")</f>
        <v>2j</v>
      </c>
      <c r="BE629" s="448" t="str">
        <f>_xlfn.IFNA(VLOOKUP($AP629,Programma!$F$3:$U$1101,16,0),"")</f>
        <v>1j</v>
      </c>
      <c r="BF629" s="448" t="str">
        <f>_xlfn.IFNA(VLOOKUP($AP629,Programma!$F$3:$V$1101,17,0),"")</f>
        <v>_</v>
      </c>
      <c r="BG629" s="448" t="str">
        <f>_xlfn.IFNA(VLOOKUP($AP629,Programma!$F$3:$W$1101,18,0),"")</f>
        <v>_</v>
      </c>
      <c r="BH629" s="448" t="str">
        <f>_xlfn.IFNA(VLOOKUP($AP629,Programma!$F$3:$X$1101,19,0),"")</f>
        <v>_</v>
      </c>
      <c r="BI629" s="448" t="str">
        <f>_xlfn.IFNA(VLOOKUP($AP629,Programma!$F$3:$Y$1101,20,0),"")</f>
        <v>_</v>
      </c>
      <c r="BJ629" s="449"/>
      <c r="BK629" s="446" t="str">
        <f>IF(Ruimtestaat[[#This Row],[Frequentie weekend]]="","",_xlfn.CONCAT(Ruimtestaat[[#This Row],[Ruimte code]],"-",Ruimtestaat[[#This Row],[Frequentie weekend]]," ",Ruimtestaat[[#This Row],[Vloer code]]))</f>
        <v/>
      </c>
      <c r="BL629" s="448" t="str">
        <f>_xlfn.IFNA(VLOOKUP($BK629,Programma!$F$3:$G$1101,2,0),"")</f>
        <v/>
      </c>
      <c r="BM629" s="448" t="str">
        <f>_xlfn.IFNA(VLOOKUP($BK629,Programma!$F$3:$H$1101,3,0),"")</f>
        <v/>
      </c>
      <c r="BN629" s="448" t="str">
        <f>_xlfn.IFNA(VLOOKUP($BK629,Programma!$F$3:$I$1101,4,0),"")</f>
        <v/>
      </c>
      <c r="BO629" s="448" t="str">
        <f>_xlfn.IFNA(VLOOKUP($BK629,Programma!$F$3:$J$1101,5,0),"")</f>
        <v/>
      </c>
      <c r="BP629" s="448" t="str">
        <f>_xlfn.IFNA(VLOOKUP($BK629,Programma!$F$3:$K$1101,6,0),"")</f>
        <v/>
      </c>
      <c r="BQ629" s="448" t="str">
        <f>_xlfn.IFNA(VLOOKUP($BK629,Programma!$F$3:$L$1101,7,0),"")</f>
        <v/>
      </c>
      <c r="BR629" s="448" t="str">
        <f>_xlfn.IFNA(VLOOKUP($BK629,Programma!$F$3:$M$1101,8,0),"")</f>
        <v/>
      </c>
      <c r="BS629" s="448" t="str">
        <f>_xlfn.IFNA(VLOOKUP($BK629,Programma!$F$3:$N$1101,9,0),"")</f>
        <v/>
      </c>
      <c r="BT629" s="448" t="str">
        <f>_xlfn.IFNA(VLOOKUP($BK629,Programma!$F$3:$O$1101,10,0),"")</f>
        <v/>
      </c>
      <c r="BU629" s="448" t="str">
        <f>_xlfn.IFNA(VLOOKUP($BK629,Programma!$F$3:$P$1101,11,0),"")</f>
        <v/>
      </c>
      <c r="BV629" s="448" t="str">
        <f>_xlfn.IFNA(VLOOKUP($BK629,Programma!$F$3:$Q$1101,12,0),"")</f>
        <v/>
      </c>
      <c r="BW629" s="448" t="str">
        <f>_xlfn.IFNA(VLOOKUP($BK629,Programma!$F$3:$R$1101,13,0),"")</f>
        <v/>
      </c>
      <c r="BX629" s="448" t="str">
        <f>_xlfn.IFNA(VLOOKUP($BK629,Programma!$F$3:$S$1101,14,0),"")</f>
        <v/>
      </c>
      <c r="BY629" s="448" t="str">
        <f>_xlfn.IFNA(VLOOKUP($BK629,Programma!$F$3:$T$1101,15,0),"")</f>
        <v/>
      </c>
      <c r="BZ629" s="448" t="str">
        <f>_xlfn.IFNA(VLOOKUP($BK629,Programma!$F$3:$U$1101,16,0),"")</f>
        <v/>
      </c>
      <c r="CA629" s="448" t="str">
        <f>_xlfn.IFNA(VLOOKUP($BK629,Programma!$F$3:$V$1101,17,0),"")</f>
        <v/>
      </c>
      <c r="CB629" s="448" t="str">
        <f>_xlfn.IFNA(VLOOKUP($BK629,Programma!$F$3:$W$1101,18,0),"")</f>
        <v/>
      </c>
      <c r="CC629" s="448" t="str">
        <f>_xlfn.IFNA(VLOOKUP($BK629,Programma!$F$3:$X$1101,19,0),"")</f>
        <v/>
      </c>
      <c r="CD629" s="448" t="str">
        <f>_xlfn.IFNA(VLOOKUP($BK629,Programma!$F$3:$Y$1101,20,0),"")</f>
        <v/>
      </c>
    </row>
    <row r="630" spans="1:82" ht="15" customHeight="1">
      <c r="A630" s="327">
        <v>22</v>
      </c>
      <c r="B630" s="435" t="str">
        <f>VLOOKUP(Ruimtestaat[[#This Row],[Code]],Locaties[[Code]:[Locatie]],2,FALSE)</f>
        <v>IKC Da Vinci</v>
      </c>
      <c r="C630" s="435" t="str">
        <f>VLOOKUP(Ruimtestaat[[#This Row],[Code]],Locaties[[#All],[Code]:[Adres]],4,FALSE)</f>
        <v>Spitsbergen 23</v>
      </c>
      <c r="D630" s="435" t="str">
        <f>VLOOKUP(Ruimtestaat[[#This Row],[Code]],Locaties[[#All],[Code]:[Postcode]],5,FALSE)</f>
        <v>2721 GP</v>
      </c>
      <c r="E630" s="435" t="str">
        <f>VLOOKUP(Ruimtestaat[[#This Row],[Code]],Locaties[#All],6,FALSE)</f>
        <v>Zoetermeer</v>
      </c>
      <c r="F630" s="450"/>
      <c r="H630" s="330" t="s">
        <v>1668</v>
      </c>
      <c r="I630" s="450" t="s">
        <v>1679</v>
      </c>
      <c r="J630" s="330">
        <v>16</v>
      </c>
      <c r="K630" s="450" t="str">
        <f>VLOOKUP(Ruimtestaat[[#This Row],[Ruimte code]],Ruimtegroepen[[#All],[Code]:[Ruimte omschrijving]],2,FALSE)</f>
        <v>Leslokalen</v>
      </c>
      <c r="L630" s="434" t="s">
        <v>100</v>
      </c>
      <c r="M630" s="437" t="s">
        <v>1759</v>
      </c>
      <c r="N630" s="439">
        <v>55</v>
      </c>
      <c r="O630" s="439"/>
      <c r="P630" s="439"/>
      <c r="Q630" s="439"/>
      <c r="R630" s="440" t="str">
        <f>VLOOKUP(Ruimtestaat[[#This Row],[Ruimte code]],Ruimtegroepen[],4,FALSE)</f>
        <v>Le</v>
      </c>
      <c r="S630" s="434">
        <v>40</v>
      </c>
      <c r="T630" s="434" t="s">
        <v>2</v>
      </c>
      <c r="U630" s="453">
        <f>IF(S630&gt;0,IF(RIGHT(Ruimtestaat[[#This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0" s="434">
        <f>IF(U630&gt;0,VLOOKUP($J630,Ruimtegroepen[],3,FALSE)*VLOOKUP($L630,Vloersoorten[],3,FALSE)*VLOOKUP($T630,Frequenties[],3,FALSE)*VLOOKUP($A630,Locaties[],3,FALSE),0)</f>
        <v>0</v>
      </c>
      <c r="W630" s="434">
        <f>Ruimtestaat[[#This Row],[Uitvoeringen werkdagen]]*Ruimtestaat[[#This Row],[Oppervlak (netto)]]</f>
        <v>11000</v>
      </c>
      <c r="X630" s="441">
        <f>IF(V630&gt;0,Ruimtestaat[[#This Row],[Prest. (m2 /jaar) werkdagen]]/Ruimtestaat[[#This Row],[Norm (m2/uur) werkdagen]],0)</f>
        <v>0</v>
      </c>
      <c r="Y630" s="442">
        <f>Ruimtestaat[[#This Row],[Uitvoeringen werkdagen]]*Ruimtestaat[[#This Row],[Gedeeltelijk]]</f>
        <v>0</v>
      </c>
      <c r="Z630" s="443" t="e">
        <f>IF(U630&gt;0,Ruimtestaat[[#This Row],[Prest. (m2 / jaar) werkdagen gedeeld]]/Ruimtestaat[[#This Row],[Norm (m2/uur) werkdagen]],0)</f>
        <v>#DIV/0!</v>
      </c>
      <c r="AA630" s="441" t="e">
        <f>Ruimtestaat[[#This Row],[uren / jaar werkdagen gedeeld]]*Tariefsopbouw!$E$35</f>
        <v>#DIV/0!</v>
      </c>
      <c r="AB630" s="441">
        <f>Ruimtestaat[[#This Row],[Uitvoeringen werkdagen]]*Ruimtestaat[[#This Row],[BSO]]</f>
        <v>0</v>
      </c>
      <c r="AC630" s="443" t="e">
        <f>IF(U630&gt;0,Ruimtestaat[[#This Row],[Prest. (m2 / jaar) werkdagen BSO]]/Ruimtestaat[[#This Row],[Norm (m2/uur) werkdagen]],0)</f>
        <v>#DIV/0!</v>
      </c>
      <c r="AD630" s="443" t="e">
        <f>Ruimtestaat[[#This Row],[uren / jaar werkdagen BSO]]*Tariefsopbouw!$E$35</f>
        <v>#DIV/0!</v>
      </c>
      <c r="AE630" s="444">
        <f>Ruimtestaat[[#This Row],[uren / jaar werkdagen]]*Tariefsopbouw!$E$35</f>
        <v>0</v>
      </c>
      <c r="AF630" s="454"/>
      <c r="AG630" s="455">
        <f>IF(Ruimtestaat[[#This Row],[Frequentie weekend]]&gt;0,VALUE(LEFT(AF630,1))*S630,0)</f>
        <v>0</v>
      </c>
      <c r="AH630" s="455">
        <f>IF($AG630&gt;0,VLOOKUP($J630,Ruimtegroepen[],3,FALSE)*VLOOKUP($L630,Vloersoorten[],3,FALSE)*VLOOKUP($AF630,Frequenties[],3,FALSE)*VLOOKUP(#REF!,Locaties[],3,FALSE),0)</f>
        <v>0</v>
      </c>
      <c r="AI630" s="434">
        <f>Ruimtestaat[[#This Row],[Uitvoeringen weekend]]*Ruimtestaat[[#This Row],[Oppervlak (netto)]]</f>
        <v>0</v>
      </c>
      <c r="AJ630" s="434">
        <f>IF(AH630&gt;0,Ruimtestaat[[#This Row],[Prest. (m2 /jaar) weekend]]/Ruimtestaat[[#This Row],[Norm (m2/uur) weekend]],0)</f>
        <v>0</v>
      </c>
      <c r="AK630" s="444">
        <f>Ruimtestaat[[#This Row],[uren / jaar weekend]]*Tariefsopbouw!$D$40</f>
        <v>0</v>
      </c>
      <c r="AL630" s="441">
        <f>Ruimtestaat[[#This Row],[Prest. (m2 /jaar) weekend]]+Ruimtestaat[[#This Row],[Prest. (m2 /jaar) werkdagen]]</f>
        <v>11000</v>
      </c>
      <c r="AM630" s="441">
        <f>Ruimtestaat[[#This Row],[uren / jaar weekend]]+Ruimtestaat[[#This Row],[uren / jaar werkdagen]]</f>
        <v>0</v>
      </c>
      <c r="AN630" s="446">
        <f>Ruimtestaat[[#This Row],[kosten / jaar weekend]]+Ruimtestaat[[#This Row],[kosten / jaar werkdagen]]</f>
        <v>0</v>
      </c>
      <c r="AO630" s="446"/>
      <c r="AP630" s="446" t="str">
        <f>IF(Ruimtestaat[[#This Row],[Frequentie werkdagen]]="","",_xlfn.CONCAT(Ruimtestaat[[#This Row],[Ruimte code]],"-",Ruimtestaat[[#This Row],[Frequentie werkdagen]]," ",Ruimtestaat[[#This Row],[Vloer code]]))</f>
        <v>16-5w L</v>
      </c>
      <c r="AQ630" s="448" t="str">
        <f>_xlfn.IFNA(VLOOKUP($AP630,Programma!$F$3:$G$1101,2,0),"")</f>
        <v>_</v>
      </c>
      <c r="AR630" s="448" t="str">
        <f>_xlfn.IFNA(VLOOKUP($AP630,Programma!$F$3:$H$1101,3,0),"")</f>
        <v>_</v>
      </c>
      <c r="AS630" s="448" t="str">
        <f>_xlfn.IFNA(VLOOKUP($AP630,Programma!$F$3:$I$1101,4,0),"")</f>
        <v>4w</v>
      </c>
      <c r="AT630" s="448" t="str">
        <f>_xlfn.IFNA(VLOOKUP($AP630,Programma!$F$3:$J$1101,5,0),"")</f>
        <v>1w</v>
      </c>
      <c r="AU630" s="448" t="str">
        <f>_xlfn.IFNA(VLOOKUP($AP630,Programma!$F$3:$K$1101,6,0),"")</f>
        <v>_</v>
      </c>
      <c r="AV630" s="448" t="str">
        <f>_xlfn.IFNA(VLOOKUP($AP630,Programma!$F$3:$L$1101,7,0),"")</f>
        <v>_</v>
      </c>
      <c r="AW630" s="448" t="str">
        <f>_xlfn.IFNA(VLOOKUP($AP630,Programma!$F$3:$M$1101,8,0),"")</f>
        <v>_</v>
      </c>
      <c r="AX630" s="448" t="str">
        <f>_xlfn.IFNA(VLOOKUP($AP630,Programma!$F$3:$N$1101,9,0),"")</f>
        <v>_</v>
      </c>
      <c r="AY630" s="448" t="str">
        <f>_xlfn.IFNA(VLOOKUP($AP630,Programma!$F$3:$O$1101,10,0),"")</f>
        <v>5w</v>
      </c>
      <c r="AZ630" s="448" t="str">
        <f>_xlfn.IFNA(VLOOKUP($AP630,Programma!$F$3:$P$1101,11,0),"")</f>
        <v>5w</v>
      </c>
      <c r="BA630" s="448" t="str">
        <f>_xlfn.IFNA(VLOOKUP($AP630,Programma!$F$3:$Q$1101,12,0),"")</f>
        <v>1w</v>
      </c>
      <c r="BB630" s="448" t="str">
        <f>_xlfn.IFNA(VLOOKUP($AP630,Programma!$F$3:$R$1101,13,0),"")</f>
        <v>1w</v>
      </c>
      <c r="BC630" s="448" t="str">
        <f>_xlfn.IFNA(VLOOKUP($AP630,Programma!$F$3:$S$1101,14,0),"")</f>
        <v>1m</v>
      </c>
      <c r="BD630" s="448" t="str">
        <f>_xlfn.IFNA(VLOOKUP($AP630,Programma!$F$3:$T$1101,15,0),"")</f>
        <v>2j</v>
      </c>
      <c r="BE630" s="448" t="str">
        <f>_xlfn.IFNA(VLOOKUP($AP630,Programma!$F$3:$U$1101,16,0),"")</f>
        <v>1j</v>
      </c>
      <c r="BF630" s="448" t="str">
        <f>_xlfn.IFNA(VLOOKUP($AP630,Programma!$F$3:$V$1101,17,0),"")</f>
        <v>_</v>
      </c>
      <c r="BG630" s="448" t="str">
        <f>_xlfn.IFNA(VLOOKUP($AP630,Programma!$F$3:$W$1101,18,0),"")</f>
        <v>_</v>
      </c>
      <c r="BH630" s="448" t="str">
        <f>_xlfn.IFNA(VLOOKUP($AP630,Programma!$F$3:$X$1101,19,0),"")</f>
        <v>_</v>
      </c>
      <c r="BI630" s="448" t="str">
        <f>_xlfn.IFNA(VLOOKUP($AP630,Programma!$F$3:$Y$1101,20,0),"")</f>
        <v>_</v>
      </c>
      <c r="BJ630" s="449"/>
      <c r="BK630" s="446" t="str">
        <f>IF(Ruimtestaat[[#This Row],[Frequentie weekend]]="","",_xlfn.CONCAT(Ruimtestaat[[#This Row],[Ruimte code]],"-",Ruimtestaat[[#This Row],[Frequentie weekend]]," ",Ruimtestaat[[#This Row],[Vloer code]]))</f>
        <v/>
      </c>
      <c r="BL630" s="448" t="str">
        <f>_xlfn.IFNA(VLOOKUP($BK630,Programma!$F$3:$G$1101,2,0),"")</f>
        <v/>
      </c>
      <c r="BM630" s="448" t="str">
        <f>_xlfn.IFNA(VLOOKUP($BK630,Programma!$F$3:$H$1101,3,0),"")</f>
        <v/>
      </c>
      <c r="BN630" s="448" t="str">
        <f>_xlfn.IFNA(VLOOKUP($BK630,Programma!$F$3:$I$1101,4,0),"")</f>
        <v/>
      </c>
      <c r="BO630" s="448" t="str">
        <f>_xlfn.IFNA(VLOOKUP($BK630,Programma!$F$3:$J$1101,5,0),"")</f>
        <v/>
      </c>
      <c r="BP630" s="448" t="str">
        <f>_xlfn.IFNA(VLOOKUP($BK630,Programma!$F$3:$K$1101,6,0),"")</f>
        <v/>
      </c>
      <c r="BQ630" s="448" t="str">
        <f>_xlfn.IFNA(VLOOKUP($BK630,Programma!$F$3:$L$1101,7,0),"")</f>
        <v/>
      </c>
      <c r="BR630" s="448" t="str">
        <f>_xlfn.IFNA(VLOOKUP($BK630,Programma!$F$3:$M$1101,8,0),"")</f>
        <v/>
      </c>
      <c r="BS630" s="448" t="str">
        <f>_xlfn.IFNA(VLOOKUP($BK630,Programma!$F$3:$N$1101,9,0),"")</f>
        <v/>
      </c>
      <c r="BT630" s="448" t="str">
        <f>_xlfn.IFNA(VLOOKUP($BK630,Programma!$F$3:$O$1101,10,0),"")</f>
        <v/>
      </c>
      <c r="BU630" s="448" t="str">
        <f>_xlfn.IFNA(VLOOKUP($BK630,Programma!$F$3:$P$1101,11,0),"")</f>
        <v/>
      </c>
      <c r="BV630" s="448" t="str">
        <f>_xlfn.IFNA(VLOOKUP($BK630,Programma!$F$3:$Q$1101,12,0),"")</f>
        <v/>
      </c>
      <c r="BW630" s="448" t="str">
        <f>_xlfn.IFNA(VLOOKUP($BK630,Programma!$F$3:$R$1101,13,0),"")</f>
        <v/>
      </c>
      <c r="BX630" s="448" t="str">
        <f>_xlfn.IFNA(VLOOKUP($BK630,Programma!$F$3:$S$1101,14,0),"")</f>
        <v/>
      </c>
      <c r="BY630" s="448" t="str">
        <f>_xlfn.IFNA(VLOOKUP($BK630,Programma!$F$3:$T$1101,15,0),"")</f>
        <v/>
      </c>
      <c r="BZ630" s="448" t="str">
        <f>_xlfn.IFNA(VLOOKUP($BK630,Programma!$F$3:$U$1101,16,0),"")</f>
        <v/>
      </c>
      <c r="CA630" s="448" t="str">
        <f>_xlfn.IFNA(VLOOKUP($BK630,Programma!$F$3:$V$1101,17,0),"")</f>
        <v/>
      </c>
      <c r="CB630" s="448" t="str">
        <f>_xlfn.IFNA(VLOOKUP($BK630,Programma!$F$3:$W$1101,18,0),"")</f>
        <v/>
      </c>
      <c r="CC630" s="448" t="str">
        <f>_xlfn.IFNA(VLOOKUP($BK630,Programma!$F$3:$X$1101,19,0),"")</f>
        <v/>
      </c>
      <c r="CD630" s="448" t="str">
        <f>_xlfn.IFNA(VLOOKUP($BK630,Programma!$F$3:$Y$1101,20,0),"")</f>
        <v/>
      </c>
    </row>
    <row r="631" spans="1:82" ht="15" customHeight="1">
      <c r="A631" s="327">
        <v>22</v>
      </c>
      <c r="B631" s="435" t="str">
        <f>VLOOKUP(Ruimtestaat[[#This Row],[Code]],Locaties[[Code]:[Locatie]],2,FALSE)</f>
        <v>IKC Da Vinci</v>
      </c>
      <c r="C631" s="435" t="str">
        <f>VLOOKUP(Ruimtestaat[[#This Row],[Code]],Locaties[[#All],[Code]:[Adres]],4,FALSE)</f>
        <v>Spitsbergen 23</v>
      </c>
      <c r="D631" s="435" t="str">
        <f>VLOOKUP(Ruimtestaat[[#This Row],[Code]],Locaties[[#All],[Code]:[Postcode]],5,FALSE)</f>
        <v>2721 GP</v>
      </c>
      <c r="E631" s="435" t="str">
        <f>VLOOKUP(Ruimtestaat[[#This Row],[Code]],Locaties[#All],6,FALSE)</f>
        <v>Zoetermeer</v>
      </c>
      <c r="F631" s="450"/>
      <c r="H631" s="330" t="s">
        <v>1669</v>
      </c>
      <c r="I631" s="450" t="s">
        <v>1963</v>
      </c>
      <c r="J631" s="330">
        <v>16</v>
      </c>
      <c r="K631" s="450" t="str">
        <f>VLOOKUP(Ruimtestaat[[#This Row],[Ruimte code]],Ruimtegroepen[[#All],[Code]:[Ruimte omschrijving]],2,FALSE)</f>
        <v>Leslokalen</v>
      </c>
      <c r="L631" s="434" t="s">
        <v>100</v>
      </c>
      <c r="M631" s="437" t="s">
        <v>1759</v>
      </c>
      <c r="N631" s="439">
        <v>55</v>
      </c>
      <c r="O631" s="439"/>
      <c r="P631" s="439"/>
      <c r="Q631" s="439"/>
      <c r="R631" s="440" t="str">
        <f>VLOOKUP(Ruimtestaat[[#This Row],[Ruimte code]],Ruimtegroepen[],4,FALSE)</f>
        <v>Le</v>
      </c>
      <c r="S631" s="434">
        <v>40</v>
      </c>
      <c r="T631" s="434" t="s">
        <v>2</v>
      </c>
      <c r="U631" s="453">
        <f>IF(S631&gt;0,IF(RIGHT(Ruimtestaat[[#This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1" s="434">
        <f>IF(U631&gt;0,VLOOKUP($J631,Ruimtegroepen[],3,FALSE)*VLOOKUP($L631,Vloersoorten[],3,FALSE)*VLOOKUP($T631,Frequenties[],3,FALSE)*VLOOKUP($A631,Locaties[],3,FALSE),0)</f>
        <v>0</v>
      </c>
      <c r="W631" s="434">
        <f>Ruimtestaat[[#This Row],[Uitvoeringen werkdagen]]*Ruimtestaat[[#This Row],[Oppervlak (netto)]]</f>
        <v>11000</v>
      </c>
      <c r="X631" s="441">
        <f>IF(V631&gt;0,Ruimtestaat[[#This Row],[Prest. (m2 /jaar) werkdagen]]/Ruimtestaat[[#This Row],[Norm (m2/uur) werkdagen]],0)</f>
        <v>0</v>
      </c>
      <c r="Y631" s="442">
        <f>Ruimtestaat[[#This Row],[Uitvoeringen werkdagen]]*Ruimtestaat[[#This Row],[Gedeeltelijk]]</f>
        <v>0</v>
      </c>
      <c r="Z631" s="443" t="e">
        <f>IF(U631&gt;0,Ruimtestaat[[#This Row],[Prest. (m2 / jaar) werkdagen gedeeld]]/Ruimtestaat[[#This Row],[Norm (m2/uur) werkdagen]],0)</f>
        <v>#DIV/0!</v>
      </c>
      <c r="AA631" s="441" t="e">
        <f>Ruimtestaat[[#This Row],[uren / jaar werkdagen gedeeld]]*Tariefsopbouw!$E$35</f>
        <v>#DIV/0!</v>
      </c>
      <c r="AB631" s="441">
        <f>Ruimtestaat[[#This Row],[Uitvoeringen werkdagen]]*Ruimtestaat[[#This Row],[BSO]]</f>
        <v>0</v>
      </c>
      <c r="AC631" s="443" t="e">
        <f>IF(U631&gt;0,Ruimtestaat[[#This Row],[Prest. (m2 / jaar) werkdagen BSO]]/Ruimtestaat[[#This Row],[Norm (m2/uur) werkdagen]],0)</f>
        <v>#DIV/0!</v>
      </c>
      <c r="AD631" s="443" t="e">
        <f>Ruimtestaat[[#This Row],[uren / jaar werkdagen BSO]]*Tariefsopbouw!$E$35</f>
        <v>#DIV/0!</v>
      </c>
      <c r="AE631" s="444">
        <f>Ruimtestaat[[#This Row],[uren / jaar werkdagen]]*Tariefsopbouw!$E$35</f>
        <v>0</v>
      </c>
      <c r="AF631" s="454"/>
      <c r="AG631" s="455">
        <f>IF(Ruimtestaat[[#This Row],[Frequentie weekend]]&gt;0,VALUE(LEFT(AF631,1))*S631,0)</f>
        <v>0</v>
      </c>
      <c r="AH631" s="455">
        <f>IF($AG631&gt;0,VLOOKUP($J631,Ruimtegroepen[],3,FALSE)*VLOOKUP($L631,Vloersoorten[],3,FALSE)*VLOOKUP($AF631,Frequenties[],3,FALSE)*VLOOKUP(#REF!,Locaties[],3,FALSE),0)</f>
        <v>0</v>
      </c>
      <c r="AI631" s="434">
        <f>Ruimtestaat[[#This Row],[Uitvoeringen weekend]]*Ruimtestaat[[#This Row],[Oppervlak (netto)]]</f>
        <v>0</v>
      </c>
      <c r="AJ631" s="434">
        <f>IF(AH631&gt;0,Ruimtestaat[[#This Row],[Prest. (m2 /jaar) weekend]]/Ruimtestaat[[#This Row],[Norm (m2/uur) weekend]],0)</f>
        <v>0</v>
      </c>
      <c r="AK631" s="444">
        <f>Ruimtestaat[[#This Row],[uren / jaar weekend]]*Tariefsopbouw!$D$40</f>
        <v>0</v>
      </c>
      <c r="AL631" s="441">
        <f>Ruimtestaat[[#This Row],[Prest. (m2 /jaar) weekend]]+Ruimtestaat[[#This Row],[Prest. (m2 /jaar) werkdagen]]</f>
        <v>11000</v>
      </c>
      <c r="AM631" s="441">
        <f>Ruimtestaat[[#This Row],[uren / jaar weekend]]+Ruimtestaat[[#This Row],[uren / jaar werkdagen]]</f>
        <v>0</v>
      </c>
      <c r="AN631" s="446">
        <f>Ruimtestaat[[#This Row],[kosten / jaar weekend]]+Ruimtestaat[[#This Row],[kosten / jaar werkdagen]]</f>
        <v>0</v>
      </c>
      <c r="AO631" s="446"/>
      <c r="AP631" s="446" t="str">
        <f>IF(Ruimtestaat[[#This Row],[Frequentie werkdagen]]="","",_xlfn.CONCAT(Ruimtestaat[[#This Row],[Ruimte code]],"-",Ruimtestaat[[#This Row],[Frequentie werkdagen]]," ",Ruimtestaat[[#This Row],[Vloer code]]))</f>
        <v>16-5w L</v>
      </c>
      <c r="AQ631" s="448" t="str">
        <f>_xlfn.IFNA(VLOOKUP($AP631,Programma!$F$3:$G$1101,2,0),"")</f>
        <v>_</v>
      </c>
      <c r="AR631" s="448" t="str">
        <f>_xlfn.IFNA(VLOOKUP($AP631,Programma!$F$3:$H$1101,3,0),"")</f>
        <v>_</v>
      </c>
      <c r="AS631" s="448" t="str">
        <f>_xlfn.IFNA(VLOOKUP($AP631,Programma!$F$3:$I$1101,4,0),"")</f>
        <v>4w</v>
      </c>
      <c r="AT631" s="448" t="str">
        <f>_xlfn.IFNA(VLOOKUP($AP631,Programma!$F$3:$J$1101,5,0),"")</f>
        <v>1w</v>
      </c>
      <c r="AU631" s="448" t="str">
        <f>_xlfn.IFNA(VLOOKUP($AP631,Programma!$F$3:$K$1101,6,0),"")</f>
        <v>_</v>
      </c>
      <c r="AV631" s="448" t="str">
        <f>_xlfn.IFNA(VLOOKUP($AP631,Programma!$F$3:$L$1101,7,0),"")</f>
        <v>_</v>
      </c>
      <c r="AW631" s="448" t="str">
        <f>_xlfn.IFNA(VLOOKUP($AP631,Programma!$F$3:$M$1101,8,0),"")</f>
        <v>_</v>
      </c>
      <c r="AX631" s="448" t="str">
        <f>_xlfn.IFNA(VLOOKUP($AP631,Programma!$F$3:$N$1101,9,0),"")</f>
        <v>_</v>
      </c>
      <c r="AY631" s="448" t="str">
        <f>_xlfn.IFNA(VLOOKUP($AP631,Programma!$F$3:$O$1101,10,0),"")</f>
        <v>5w</v>
      </c>
      <c r="AZ631" s="448" t="str">
        <f>_xlfn.IFNA(VLOOKUP($AP631,Programma!$F$3:$P$1101,11,0),"")</f>
        <v>5w</v>
      </c>
      <c r="BA631" s="448" t="str">
        <f>_xlfn.IFNA(VLOOKUP($AP631,Programma!$F$3:$Q$1101,12,0),"")</f>
        <v>1w</v>
      </c>
      <c r="BB631" s="448" t="str">
        <f>_xlfn.IFNA(VLOOKUP($AP631,Programma!$F$3:$R$1101,13,0),"")</f>
        <v>1w</v>
      </c>
      <c r="BC631" s="448" t="str">
        <f>_xlfn.IFNA(VLOOKUP($AP631,Programma!$F$3:$S$1101,14,0),"")</f>
        <v>1m</v>
      </c>
      <c r="BD631" s="448" t="str">
        <f>_xlfn.IFNA(VLOOKUP($AP631,Programma!$F$3:$T$1101,15,0),"")</f>
        <v>2j</v>
      </c>
      <c r="BE631" s="448" t="str">
        <f>_xlfn.IFNA(VLOOKUP($AP631,Programma!$F$3:$U$1101,16,0),"")</f>
        <v>1j</v>
      </c>
      <c r="BF631" s="448" t="str">
        <f>_xlfn.IFNA(VLOOKUP($AP631,Programma!$F$3:$V$1101,17,0),"")</f>
        <v>_</v>
      </c>
      <c r="BG631" s="448" t="str">
        <f>_xlfn.IFNA(VLOOKUP($AP631,Programma!$F$3:$W$1101,18,0),"")</f>
        <v>_</v>
      </c>
      <c r="BH631" s="448" t="str">
        <f>_xlfn.IFNA(VLOOKUP($AP631,Programma!$F$3:$X$1101,19,0),"")</f>
        <v>_</v>
      </c>
      <c r="BI631" s="448" t="str">
        <f>_xlfn.IFNA(VLOOKUP($AP631,Programma!$F$3:$Y$1101,20,0),"")</f>
        <v>_</v>
      </c>
      <c r="BJ631" s="449"/>
      <c r="BK631" s="446" t="str">
        <f>IF(Ruimtestaat[[#This Row],[Frequentie weekend]]="","",_xlfn.CONCAT(Ruimtestaat[[#This Row],[Ruimte code]],"-",Ruimtestaat[[#This Row],[Frequentie weekend]]," ",Ruimtestaat[[#This Row],[Vloer code]]))</f>
        <v/>
      </c>
      <c r="BL631" s="448" t="str">
        <f>_xlfn.IFNA(VLOOKUP($BK631,Programma!$F$3:$G$1101,2,0),"")</f>
        <v/>
      </c>
      <c r="BM631" s="448" t="str">
        <f>_xlfn.IFNA(VLOOKUP($BK631,Programma!$F$3:$H$1101,3,0),"")</f>
        <v/>
      </c>
      <c r="BN631" s="448" t="str">
        <f>_xlfn.IFNA(VLOOKUP($BK631,Programma!$F$3:$I$1101,4,0),"")</f>
        <v/>
      </c>
      <c r="BO631" s="448" t="str">
        <f>_xlfn.IFNA(VLOOKUP($BK631,Programma!$F$3:$J$1101,5,0),"")</f>
        <v/>
      </c>
      <c r="BP631" s="448" t="str">
        <f>_xlfn.IFNA(VLOOKUP($BK631,Programma!$F$3:$K$1101,6,0),"")</f>
        <v/>
      </c>
      <c r="BQ631" s="448" t="str">
        <f>_xlfn.IFNA(VLOOKUP($BK631,Programma!$F$3:$L$1101,7,0),"")</f>
        <v/>
      </c>
      <c r="BR631" s="448" t="str">
        <f>_xlfn.IFNA(VLOOKUP($BK631,Programma!$F$3:$M$1101,8,0),"")</f>
        <v/>
      </c>
      <c r="BS631" s="448" t="str">
        <f>_xlfn.IFNA(VLOOKUP($BK631,Programma!$F$3:$N$1101,9,0),"")</f>
        <v/>
      </c>
      <c r="BT631" s="448" t="str">
        <f>_xlfn.IFNA(VLOOKUP($BK631,Programma!$F$3:$O$1101,10,0),"")</f>
        <v/>
      </c>
      <c r="BU631" s="448" t="str">
        <f>_xlfn.IFNA(VLOOKUP($BK631,Programma!$F$3:$P$1101,11,0),"")</f>
        <v/>
      </c>
      <c r="BV631" s="448" t="str">
        <f>_xlfn.IFNA(VLOOKUP($BK631,Programma!$F$3:$Q$1101,12,0),"")</f>
        <v/>
      </c>
      <c r="BW631" s="448" t="str">
        <f>_xlfn.IFNA(VLOOKUP($BK631,Programma!$F$3:$R$1101,13,0),"")</f>
        <v/>
      </c>
      <c r="BX631" s="448" t="str">
        <f>_xlfn.IFNA(VLOOKUP($BK631,Programma!$F$3:$S$1101,14,0),"")</f>
        <v/>
      </c>
      <c r="BY631" s="448" t="str">
        <f>_xlfn.IFNA(VLOOKUP($BK631,Programma!$F$3:$T$1101,15,0),"")</f>
        <v/>
      </c>
      <c r="BZ631" s="448" t="str">
        <f>_xlfn.IFNA(VLOOKUP($BK631,Programma!$F$3:$U$1101,16,0),"")</f>
        <v/>
      </c>
      <c r="CA631" s="448" t="str">
        <f>_xlfn.IFNA(VLOOKUP($BK631,Programma!$F$3:$V$1101,17,0),"")</f>
        <v/>
      </c>
      <c r="CB631" s="448" t="str">
        <f>_xlfn.IFNA(VLOOKUP($BK631,Programma!$F$3:$W$1101,18,0),"")</f>
        <v/>
      </c>
      <c r="CC631" s="448" t="str">
        <f>_xlfn.IFNA(VLOOKUP($BK631,Programma!$F$3:$X$1101,19,0),"")</f>
        <v/>
      </c>
      <c r="CD631" s="448" t="str">
        <f>_xlfn.IFNA(VLOOKUP($BK631,Programma!$F$3:$Y$1101,20,0),"")</f>
        <v/>
      </c>
    </row>
    <row r="632" spans="1:82" ht="15" customHeight="1">
      <c r="A632" s="327">
        <v>22</v>
      </c>
      <c r="B632" s="435" t="str">
        <f>VLOOKUP(Ruimtestaat[[#This Row],[Code]],Locaties[[Code]:[Locatie]],2,FALSE)</f>
        <v>IKC Da Vinci</v>
      </c>
      <c r="C632" s="435" t="str">
        <f>VLOOKUP(Ruimtestaat[[#This Row],[Code]],Locaties[[#All],[Code]:[Adres]],4,FALSE)</f>
        <v>Spitsbergen 23</v>
      </c>
      <c r="D632" s="435" t="str">
        <f>VLOOKUP(Ruimtestaat[[#This Row],[Code]],Locaties[[#All],[Code]:[Postcode]],5,FALSE)</f>
        <v>2721 GP</v>
      </c>
      <c r="E632" s="435" t="str">
        <f>VLOOKUP(Ruimtestaat[[#This Row],[Code]],Locaties[#All],6,FALSE)</f>
        <v>Zoetermeer</v>
      </c>
      <c r="F632" s="450"/>
      <c r="H632" s="330" t="s">
        <v>1670</v>
      </c>
      <c r="I632" s="450" t="s">
        <v>1964</v>
      </c>
      <c r="J632" s="330">
        <v>16</v>
      </c>
      <c r="K632" s="450" t="str">
        <f>VLOOKUP(Ruimtestaat[[#This Row],[Ruimte code]],Ruimtegroepen[[#All],[Code]:[Ruimte omschrijving]],2,FALSE)</f>
        <v>Leslokalen</v>
      </c>
      <c r="L632" s="434" t="s">
        <v>100</v>
      </c>
      <c r="M632" s="437" t="s">
        <v>1759</v>
      </c>
      <c r="N632" s="439">
        <v>55</v>
      </c>
      <c r="O632" s="439"/>
      <c r="P632" s="439"/>
      <c r="Q632" s="439"/>
      <c r="R632" s="440" t="str">
        <f>VLOOKUP(Ruimtestaat[[#This Row],[Ruimte code]],Ruimtegroepen[],4,FALSE)</f>
        <v>Le</v>
      </c>
      <c r="S632" s="434">
        <v>40</v>
      </c>
      <c r="T632" s="434" t="s">
        <v>2</v>
      </c>
      <c r="U632" s="453">
        <f>IF(S632&gt;0,IF(RIGHT(Ruimtestaat[[#This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2" s="434">
        <f>IF(U632&gt;0,VLOOKUP($J632,Ruimtegroepen[],3,FALSE)*VLOOKUP($L632,Vloersoorten[],3,FALSE)*VLOOKUP($T632,Frequenties[],3,FALSE)*VLOOKUP($A632,Locaties[],3,FALSE),0)</f>
        <v>0</v>
      </c>
      <c r="W632" s="434">
        <f>Ruimtestaat[[#This Row],[Uitvoeringen werkdagen]]*Ruimtestaat[[#This Row],[Oppervlak (netto)]]</f>
        <v>11000</v>
      </c>
      <c r="X632" s="441">
        <f>IF(V632&gt;0,Ruimtestaat[[#This Row],[Prest. (m2 /jaar) werkdagen]]/Ruimtestaat[[#This Row],[Norm (m2/uur) werkdagen]],0)</f>
        <v>0</v>
      </c>
      <c r="Y632" s="442">
        <f>Ruimtestaat[[#This Row],[Uitvoeringen werkdagen]]*Ruimtestaat[[#This Row],[Gedeeltelijk]]</f>
        <v>0</v>
      </c>
      <c r="Z632" s="443" t="e">
        <f>IF(U632&gt;0,Ruimtestaat[[#This Row],[Prest. (m2 / jaar) werkdagen gedeeld]]/Ruimtestaat[[#This Row],[Norm (m2/uur) werkdagen]],0)</f>
        <v>#DIV/0!</v>
      </c>
      <c r="AA632" s="441" t="e">
        <f>Ruimtestaat[[#This Row],[uren / jaar werkdagen gedeeld]]*Tariefsopbouw!$E$35</f>
        <v>#DIV/0!</v>
      </c>
      <c r="AB632" s="441">
        <f>Ruimtestaat[[#This Row],[Uitvoeringen werkdagen]]*Ruimtestaat[[#This Row],[BSO]]</f>
        <v>0</v>
      </c>
      <c r="AC632" s="443" t="e">
        <f>IF(U632&gt;0,Ruimtestaat[[#This Row],[Prest. (m2 / jaar) werkdagen BSO]]/Ruimtestaat[[#This Row],[Norm (m2/uur) werkdagen]],0)</f>
        <v>#DIV/0!</v>
      </c>
      <c r="AD632" s="443" t="e">
        <f>Ruimtestaat[[#This Row],[uren / jaar werkdagen BSO]]*Tariefsopbouw!$E$35</f>
        <v>#DIV/0!</v>
      </c>
      <c r="AE632" s="444">
        <f>Ruimtestaat[[#This Row],[uren / jaar werkdagen]]*Tariefsopbouw!$E$35</f>
        <v>0</v>
      </c>
      <c r="AF632" s="454"/>
      <c r="AG632" s="455">
        <f>IF(Ruimtestaat[[#This Row],[Frequentie weekend]]&gt;0,VALUE(LEFT(AF632,1))*S632,0)</f>
        <v>0</v>
      </c>
      <c r="AH632" s="455">
        <f>IF($AG632&gt;0,VLOOKUP($J632,Ruimtegroepen[],3,FALSE)*VLOOKUP($L632,Vloersoorten[],3,FALSE)*VLOOKUP($AF632,Frequenties[],3,FALSE)*VLOOKUP(#REF!,Locaties[],3,FALSE),0)</f>
        <v>0</v>
      </c>
      <c r="AI632" s="434">
        <f>Ruimtestaat[[#This Row],[Uitvoeringen weekend]]*Ruimtestaat[[#This Row],[Oppervlak (netto)]]</f>
        <v>0</v>
      </c>
      <c r="AJ632" s="434">
        <f>IF(AH632&gt;0,Ruimtestaat[[#This Row],[Prest. (m2 /jaar) weekend]]/Ruimtestaat[[#This Row],[Norm (m2/uur) weekend]],0)</f>
        <v>0</v>
      </c>
      <c r="AK632" s="444">
        <f>Ruimtestaat[[#This Row],[uren / jaar weekend]]*Tariefsopbouw!$D$40</f>
        <v>0</v>
      </c>
      <c r="AL632" s="441">
        <f>Ruimtestaat[[#This Row],[Prest. (m2 /jaar) weekend]]+Ruimtestaat[[#This Row],[Prest. (m2 /jaar) werkdagen]]</f>
        <v>11000</v>
      </c>
      <c r="AM632" s="441">
        <f>Ruimtestaat[[#This Row],[uren / jaar weekend]]+Ruimtestaat[[#This Row],[uren / jaar werkdagen]]</f>
        <v>0</v>
      </c>
      <c r="AN632" s="446">
        <f>Ruimtestaat[[#This Row],[kosten / jaar weekend]]+Ruimtestaat[[#This Row],[kosten / jaar werkdagen]]</f>
        <v>0</v>
      </c>
      <c r="AO632" s="446"/>
      <c r="AP632" s="446" t="str">
        <f>IF(Ruimtestaat[[#This Row],[Frequentie werkdagen]]="","",_xlfn.CONCAT(Ruimtestaat[[#This Row],[Ruimte code]],"-",Ruimtestaat[[#This Row],[Frequentie werkdagen]]," ",Ruimtestaat[[#This Row],[Vloer code]]))</f>
        <v>16-5w L</v>
      </c>
      <c r="AQ632" s="448" t="str">
        <f>_xlfn.IFNA(VLOOKUP($AP632,Programma!$F$3:$G$1101,2,0),"")</f>
        <v>_</v>
      </c>
      <c r="AR632" s="448" t="str">
        <f>_xlfn.IFNA(VLOOKUP($AP632,Programma!$F$3:$H$1101,3,0),"")</f>
        <v>_</v>
      </c>
      <c r="AS632" s="448" t="str">
        <f>_xlfn.IFNA(VLOOKUP($AP632,Programma!$F$3:$I$1101,4,0),"")</f>
        <v>4w</v>
      </c>
      <c r="AT632" s="448" t="str">
        <f>_xlfn.IFNA(VLOOKUP($AP632,Programma!$F$3:$J$1101,5,0),"")</f>
        <v>1w</v>
      </c>
      <c r="AU632" s="448" t="str">
        <f>_xlfn.IFNA(VLOOKUP($AP632,Programma!$F$3:$K$1101,6,0),"")</f>
        <v>_</v>
      </c>
      <c r="AV632" s="448" t="str">
        <f>_xlfn.IFNA(VLOOKUP($AP632,Programma!$F$3:$L$1101,7,0),"")</f>
        <v>_</v>
      </c>
      <c r="AW632" s="448" t="str">
        <f>_xlfn.IFNA(VLOOKUP($AP632,Programma!$F$3:$M$1101,8,0),"")</f>
        <v>_</v>
      </c>
      <c r="AX632" s="448" t="str">
        <f>_xlfn.IFNA(VLOOKUP($AP632,Programma!$F$3:$N$1101,9,0),"")</f>
        <v>_</v>
      </c>
      <c r="AY632" s="448" t="str">
        <f>_xlfn.IFNA(VLOOKUP($AP632,Programma!$F$3:$O$1101,10,0),"")</f>
        <v>5w</v>
      </c>
      <c r="AZ632" s="448" t="str">
        <f>_xlfn.IFNA(VLOOKUP($AP632,Programma!$F$3:$P$1101,11,0),"")</f>
        <v>5w</v>
      </c>
      <c r="BA632" s="448" t="str">
        <f>_xlfn.IFNA(VLOOKUP($AP632,Programma!$F$3:$Q$1101,12,0),"")</f>
        <v>1w</v>
      </c>
      <c r="BB632" s="448" t="str">
        <f>_xlfn.IFNA(VLOOKUP($AP632,Programma!$F$3:$R$1101,13,0),"")</f>
        <v>1w</v>
      </c>
      <c r="BC632" s="448" t="str">
        <f>_xlfn.IFNA(VLOOKUP($AP632,Programma!$F$3:$S$1101,14,0),"")</f>
        <v>1m</v>
      </c>
      <c r="BD632" s="448" t="str">
        <f>_xlfn.IFNA(VLOOKUP($AP632,Programma!$F$3:$T$1101,15,0),"")</f>
        <v>2j</v>
      </c>
      <c r="BE632" s="448" t="str">
        <f>_xlfn.IFNA(VLOOKUP($AP632,Programma!$F$3:$U$1101,16,0),"")</f>
        <v>1j</v>
      </c>
      <c r="BF632" s="448" t="str">
        <f>_xlfn.IFNA(VLOOKUP($AP632,Programma!$F$3:$V$1101,17,0),"")</f>
        <v>_</v>
      </c>
      <c r="BG632" s="448" t="str">
        <f>_xlfn.IFNA(VLOOKUP($AP632,Programma!$F$3:$W$1101,18,0),"")</f>
        <v>_</v>
      </c>
      <c r="BH632" s="448" t="str">
        <f>_xlfn.IFNA(VLOOKUP($AP632,Programma!$F$3:$X$1101,19,0),"")</f>
        <v>_</v>
      </c>
      <c r="BI632" s="448" t="str">
        <f>_xlfn.IFNA(VLOOKUP($AP632,Programma!$F$3:$Y$1101,20,0),"")</f>
        <v>_</v>
      </c>
      <c r="BJ632" s="449"/>
      <c r="BK632" s="446" t="str">
        <f>IF(Ruimtestaat[[#This Row],[Frequentie weekend]]="","",_xlfn.CONCAT(Ruimtestaat[[#This Row],[Ruimte code]],"-",Ruimtestaat[[#This Row],[Frequentie weekend]]," ",Ruimtestaat[[#This Row],[Vloer code]]))</f>
        <v/>
      </c>
      <c r="BL632" s="448" t="str">
        <f>_xlfn.IFNA(VLOOKUP($BK632,Programma!$F$3:$G$1101,2,0),"")</f>
        <v/>
      </c>
      <c r="BM632" s="448" t="str">
        <f>_xlfn.IFNA(VLOOKUP($BK632,Programma!$F$3:$H$1101,3,0),"")</f>
        <v/>
      </c>
      <c r="BN632" s="448" t="str">
        <f>_xlfn.IFNA(VLOOKUP($BK632,Programma!$F$3:$I$1101,4,0),"")</f>
        <v/>
      </c>
      <c r="BO632" s="448" t="str">
        <f>_xlfn.IFNA(VLOOKUP($BK632,Programma!$F$3:$J$1101,5,0),"")</f>
        <v/>
      </c>
      <c r="BP632" s="448" t="str">
        <f>_xlfn.IFNA(VLOOKUP($BK632,Programma!$F$3:$K$1101,6,0),"")</f>
        <v/>
      </c>
      <c r="BQ632" s="448" t="str">
        <f>_xlfn.IFNA(VLOOKUP($BK632,Programma!$F$3:$L$1101,7,0),"")</f>
        <v/>
      </c>
      <c r="BR632" s="448" t="str">
        <f>_xlfn.IFNA(VLOOKUP($BK632,Programma!$F$3:$M$1101,8,0),"")</f>
        <v/>
      </c>
      <c r="BS632" s="448" t="str">
        <f>_xlfn.IFNA(VLOOKUP($BK632,Programma!$F$3:$N$1101,9,0),"")</f>
        <v/>
      </c>
      <c r="BT632" s="448" t="str">
        <f>_xlfn.IFNA(VLOOKUP($BK632,Programma!$F$3:$O$1101,10,0),"")</f>
        <v/>
      </c>
      <c r="BU632" s="448" t="str">
        <f>_xlfn.IFNA(VLOOKUP($BK632,Programma!$F$3:$P$1101,11,0),"")</f>
        <v/>
      </c>
      <c r="BV632" s="448" t="str">
        <f>_xlfn.IFNA(VLOOKUP($BK632,Programma!$F$3:$Q$1101,12,0),"")</f>
        <v/>
      </c>
      <c r="BW632" s="448" t="str">
        <f>_xlfn.IFNA(VLOOKUP($BK632,Programma!$F$3:$R$1101,13,0),"")</f>
        <v/>
      </c>
      <c r="BX632" s="448" t="str">
        <f>_xlfn.IFNA(VLOOKUP($BK632,Programma!$F$3:$S$1101,14,0),"")</f>
        <v/>
      </c>
      <c r="BY632" s="448" t="str">
        <f>_xlfn.IFNA(VLOOKUP($BK632,Programma!$F$3:$T$1101,15,0),"")</f>
        <v/>
      </c>
      <c r="BZ632" s="448" t="str">
        <f>_xlfn.IFNA(VLOOKUP($BK632,Programma!$F$3:$U$1101,16,0),"")</f>
        <v/>
      </c>
      <c r="CA632" s="448" t="str">
        <f>_xlfn.IFNA(VLOOKUP($BK632,Programma!$F$3:$V$1101,17,0),"")</f>
        <v/>
      </c>
      <c r="CB632" s="448" t="str">
        <f>_xlfn.IFNA(VLOOKUP($BK632,Programma!$F$3:$W$1101,18,0),"")</f>
        <v/>
      </c>
      <c r="CC632" s="448" t="str">
        <f>_xlfn.IFNA(VLOOKUP($BK632,Programma!$F$3:$X$1101,19,0),"")</f>
        <v/>
      </c>
      <c r="CD632" s="448" t="str">
        <f>_xlfn.IFNA(VLOOKUP($BK632,Programma!$F$3:$Y$1101,20,0),"")</f>
        <v/>
      </c>
    </row>
    <row r="633" spans="1:82" ht="15" customHeight="1">
      <c r="A633" s="327">
        <v>22</v>
      </c>
      <c r="B633" s="435" t="str">
        <f>VLOOKUP(Ruimtestaat[[#This Row],[Code]],Locaties[[Code]:[Locatie]],2,FALSE)</f>
        <v>IKC Da Vinci</v>
      </c>
      <c r="C633" s="435" t="str">
        <f>VLOOKUP(Ruimtestaat[[#This Row],[Code]],Locaties[[#All],[Code]:[Adres]],4,FALSE)</f>
        <v>Spitsbergen 23</v>
      </c>
      <c r="D633" s="435" t="str">
        <f>VLOOKUP(Ruimtestaat[[#This Row],[Code]],Locaties[[#All],[Code]:[Postcode]],5,FALSE)</f>
        <v>2721 GP</v>
      </c>
      <c r="E633" s="435" t="str">
        <f>VLOOKUP(Ruimtestaat[[#This Row],[Code]],Locaties[#All],6,FALSE)</f>
        <v>Zoetermeer</v>
      </c>
      <c r="F633" s="450"/>
      <c r="H633" s="330" t="s">
        <v>1672</v>
      </c>
      <c r="I633" s="450" t="s">
        <v>1965</v>
      </c>
      <c r="J633" s="330">
        <v>16</v>
      </c>
      <c r="K633" s="450" t="str">
        <f>VLOOKUP(Ruimtestaat[[#This Row],[Ruimte code]],Ruimtegroepen[[#All],[Code]:[Ruimte omschrijving]],2,FALSE)</f>
        <v>Leslokalen</v>
      </c>
      <c r="L633" s="434" t="s">
        <v>100</v>
      </c>
      <c r="M633" s="437" t="s">
        <v>1759</v>
      </c>
      <c r="N633" s="439">
        <v>55</v>
      </c>
      <c r="O633" s="439"/>
      <c r="P633" s="439"/>
      <c r="Q633" s="439"/>
      <c r="R633" s="440" t="str">
        <f>VLOOKUP(Ruimtestaat[[#This Row],[Ruimte code]],Ruimtegroepen[],4,FALSE)</f>
        <v>Le</v>
      </c>
      <c r="S633" s="434">
        <v>40</v>
      </c>
      <c r="T633" s="434" t="s">
        <v>2</v>
      </c>
      <c r="U633" s="453">
        <f>IF(S633&gt;0,IF(RIGHT(Ruimtestaat[[#This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3" s="434">
        <f>IF(U633&gt;0,VLOOKUP($J633,Ruimtegroepen[],3,FALSE)*VLOOKUP($L633,Vloersoorten[],3,FALSE)*VLOOKUP($T633,Frequenties[],3,FALSE)*VLOOKUP($A633,Locaties[],3,FALSE),0)</f>
        <v>0</v>
      </c>
      <c r="W633" s="434">
        <f>Ruimtestaat[[#This Row],[Uitvoeringen werkdagen]]*Ruimtestaat[[#This Row],[Oppervlak (netto)]]</f>
        <v>11000</v>
      </c>
      <c r="X633" s="441">
        <f>IF(V633&gt;0,Ruimtestaat[[#This Row],[Prest. (m2 /jaar) werkdagen]]/Ruimtestaat[[#This Row],[Norm (m2/uur) werkdagen]],0)</f>
        <v>0</v>
      </c>
      <c r="Y633" s="442">
        <f>Ruimtestaat[[#This Row],[Uitvoeringen werkdagen]]*Ruimtestaat[[#This Row],[Gedeeltelijk]]</f>
        <v>0</v>
      </c>
      <c r="Z633" s="443" t="e">
        <f>IF(U633&gt;0,Ruimtestaat[[#This Row],[Prest. (m2 / jaar) werkdagen gedeeld]]/Ruimtestaat[[#This Row],[Norm (m2/uur) werkdagen]],0)</f>
        <v>#DIV/0!</v>
      </c>
      <c r="AA633" s="441" t="e">
        <f>Ruimtestaat[[#This Row],[uren / jaar werkdagen gedeeld]]*Tariefsopbouw!$E$35</f>
        <v>#DIV/0!</v>
      </c>
      <c r="AB633" s="441">
        <f>Ruimtestaat[[#This Row],[Uitvoeringen werkdagen]]*Ruimtestaat[[#This Row],[BSO]]</f>
        <v>0</v>
      </c>
      <c r="AC633" s="443" t="e">
        <f>IF(U633&gt;0,Ruimtestaat[[#This Row],[Prest. (m2 / jaar) werkdagen BSO]]/Ruimtestaat[[#This Row],[Norm (m2/uur) werkdagen]],0)</f>
        <v>#DIV/0!</v>
      </c>
      <c r="AD633" s="443" t="e">
        <f>Ruimtestaat[[#This Row],[uren / jaar werkdagen BSO]]*Tariefsopbouw!$E$35</f>
        <v>#DIV/0!</v>
      </c>
      <c r="AE633" s="444">
        <f>Ruimtestaat[[#This Row],[uren / jaar werkdagen]]*Tariefsopbouw!$E$35</f>
        <v>0</v>
      </c>
      <c r="AF633" s="454"/>
      <c r="AG633" s="455">
        <f>IF(Ruimtestaat[[#This Row],[Frequentie weekend]]&gt;0,VALUE(LEFT(AF633,1))*S633,0)</f>
        <v>0</v>
      </c>
      <c r="AH633" s="455">
        <f>IF($AG633&gt;0,VLOOKUP($J633,Ruimtegroepen[],3,FALSE)*VLOOKUP($L633,Vloersoorten[],3,FALSE)*VLOOKUP($AF633,Frequenties[],3,FALSE)*VLOOKUP(#REF!,Locaties[],3,FALSE),0)</f>
        <v>0</v>
      </c>
      <c r="AI633" s="434">
        <f>Ruimtestaat[[#This Row],[Uitvoeringen weekend]]*Ruimtestaat[[#This Row],[Oppervlak (netto)]]</f>
        <v>0</v>
      </c>
      <c r="AJ633" s="434">
        <f>IF(AH633&gt;0,Ruimtestaat[[#This Row],[Prest. (m2 /jaar) weekend]]/Ruimtestaat[[#This Row],[Norm (m2/uur) weekend]],0)</f>
        <v>0</v>
      </c>
      <c r="AK633" s="444">
        <f>Ruimtestaat[[#This Row],[uren / jaar weekend]]*Tariefsopbouw!$D$40</f>
        <v>0</v>
      </c>
      <c r="AL633" s="441">
        <f>Ruimtestaat[[#This Row],[Prest. (m2 /jaar) weekend]]+Ruimtestaat[[#This Row],[Prest. (m2 /jaar) werkdagen]]</f>
        <v>11000</v>
      </c>
      <c r="AM633" s="441">
        <f>Ruimtestaat[[#This Row],[uren / jaar weekend]]+Ruimtestaat[[#This Row],[uren / jaar werkdagen]]</f>
        <v>0</v>
      </c>
      <c r="AN633" s="446">
        <f>Ruimtestaat[[#This Row],[kosten / jaar weekend]]+Ruimtestaat[[#This Row],[kosten / jaar werkdagen]]</f>
        <v>0</v>
      </c>
      <c r="AO633" s="446"/>
      <c r="AP633" s="446" t="str">
        <f>IF(Ruimtestaat[[#This Row],[Frequentie werkdagen]]="","",_xlfn.CONCAT(Ruimtestaat[[#This Row],[Ruimte code]],"-",Ruimtestaat[[#This Row],[Frequentie werkdagen]]," ",Ruimtestaat[[#This Row],[Vloer code]]))</f>
        <v>16-5w L</v>
      </c>
      <c r="AQ633" s="448" t="str">
        <f>_xlfn.IFNA(VLOOKUP($AP633,Programma!$F$3:$G$1101,2,0),"")</f>
        <v>_</v>
      </c>
      <c r="AR633" s="448" t="str">
        <f>_xlfn.IFNA(VLOOKUP($AP633,Programma!$F$3:$H$1101,3,0),"")</f>
        <v>_</v>
      </c>
      <c r="AS633" s="448" t="str">
        <f>_xlfn.IFNA(VLOOKUP($AP633,Programma!$F$3:$I$1101,4,0),"")</f>
        <v>4w</v>
      </c>
      <c r="AT633" s="448" t="str">
        <f>_xlfn.IFNA(VLOOKUP($AP633,Programma!$F$3:$J$1101,5,0),"")</f>
        <v>1w</v>
      </c>
      <c r="AU633" s="448" t="str">
        <f>_xlfn.IFNA(VLOOKUP($AP633,Programma!$F$3:$K$1101,6,0),"")</f>
        <v>_</v>
      </c>
      <c r="AV633" s="448" t="str">
        <f>_xlfn.IFNA(VLOOKUP($AP633,Programma!$F$3:$L$1101,7,0),"")</f>
        <v>_</v>
      </c>
      <c r="AW633" s="448" t="str">
        <f>_xlfn.IFNA(VLOOKUP($AP633,Programma!$F$3:$M$1101,8,0),"")</f>
        <v>_</v>
      </c>
      <c r="AX633" s="448" t="str">
        <f>_xlfn.IFNA(VLOOKUP($AP633,Programma!$F$3:$N$1101,9,0),"")</f>
        <v>_</v>
      </c>
      <c r="AY633" s="448" t="str">
        <f>_xlfn.IFNA(VLOOKUP($AP633,Programma!$F$3:$O$1101,10,0),"")</f>
        <v>5w</v>
      </c>
      <c r="AZ633" s="448" t="str">
        <f>_xlfn.IFNA(VLOOKUP($AP633,Programma!$F$3:$P$1101,11,0),"")</f>
        <v>5w</v>
      </c>
      <c r="BA633" s="448" t="str">
        <f>_xlfn.IFNA(VLOOKUP($AP633,Programma!$F$3:$Q$1101,12,0),"")</f>
        <v>1w</v>
      </c>
      <c r="BB633" s="448" t="str">
        <f>_xlfn.IFNA(VLOOKUP($AP633,Programma!$F$3:$R$1101,13,0),"")</f>
        <v>1w</v>
      </c>
      <c r="BC633" s="448" t="str">
        <f>_xlfn.IFNA(VLOOKUP($AP633,Programma!$F$3:$S$1101,14,0),"")</f>
        <v>1m</v>
      </c>
      <c r="BD633" s="448" t="str">
        <f>_xlfn.IFNA(VLOOKUP($AP633,Programma!$F$3:$T$1101,15,0),"")</f>
        <v>2j</v>
      </c>
      <c r="BE633" s="448" t="str">
        <f>_xlfn.IFNA(VLOOKUP($AP633,Programma!$F$3:$U$1101,16,0),"")</f>
        <v>1j</v>
      </c>
      <c r="BF633" s="448" t="str">
        <f>_xlfn.IFNA(VLOOKUP($AP633,Programma!$F$3:$V$1101,17,0),"")</f>
        <v>_</v>
      </c>
      <c r="BG633" s="448" t="str">
        <f>_xlfn.IFNA(VLOOKUP($AP633,Programma!$F$3:$W$1101,18,0),"")</f>
        <v>_</v>
      </c>
      <c r="BH633" s="448" t="str">
        <f>_xlfn.IFNA(VLOOKUP($AP633,Programma!$F$3:$X$1101,19,0),"")</f>
        <v>_</v>
      </c>
      <c r="BI633" s="448" t="str">
        <f>_xlfn.IFNA(VLOOKUP($AP633,Programma!$F$3:$Y$1101,20,0),"")</f>
        <v>_</v>
      </c>
      <c r="BJ633" s="449"/>
      <c r="BK633" s="446" t="str">
        <f>IF(Ruimtestaat[[#This Row],[Frequentie weekend]]="","",_xlfn.CONCAT(Ruimtestaat[[#This Row],[Ruimte code]],"-",Ruimtestaat[[#This Row],[Frequentie weekend]]," ",Ruimtestaat[[#This Row],[Vloer code]]))</f>
        <v/>
      </c>
      <c r="BL633" s="448" t="str">
        <f>_xlfn.IFNA(VLOOKUP($BK633,Programma!$F$3:$G$1101,2,0),"")</f>
        <v/>
      </c>
      <c r="BM633" s="448" t="str">
        <f>_xlfn.IFNA(VLOOKUP($BK633,Programma!$F$3:$H$1101,3,0),"")</f>
        <v/>
      </c>
      <c r="BN633" s="448" t="str">
        <f>_xlfn.IFNA(VLOOKUP($BK633,Programma!$F$3:$I$1101,4,0),"")</f>
        <v/>
      </c>
      <c r="BO633" s="448" t="str">
        <f>_xlfn.IFNA(VLOOKUP($BK633,Programma!$F$3:$J$1101,5,0),"")</f>
        <v/>
      </c>
      <c r="BP633" s="448" t="str">
        <f>_xlfn.IFNA(VLOOKUP($BK633,Programma!$F$3:$K$1101,6,0),"")</f>
        <v/>
      </c>
      <c r="BQ633" s="448" t="str">
        <f>_xlfn.IFNA(VLOOKUP($BK633,Programma!$F$3:$L$1101,7,0),"")</f>
        <v/>
      </c>
      <c r="BR633" s="448" t="str">
        <f>_xlfn.IFNA(VLOOKUP($BK633,Programma!$F$3:$M$1101,8,0),"")</f>
        <v/>
      </c>
      <c r="BS633" s="448" t="str">
        <f>_xlfn.IFNA(VLOOKUP($BK633,Programma!$F$3:$N$1101,9,0),"")</f>
        <v/>
      </c>
      <c r="BT633" s="448" t="str">
        <f>_xlfn.IFNA(VLOOKUP($BK633,Programma!$F$3:$O$1101,10,0),"")</f>
        <v/>
      </c>
      <c r="BU633" s="448" t="str">
        <f>_xlfn.IFNA(VLOOKUP($BK633,Programma!$F$3:$P$1101,11,0),"")</f>
        <v/>
      </c>
      <c r="BV633" s="448" t="str">
        <f>_xlfn.IFNA(VLOOKUP($BK633,Programma!$F$3:$Q$1101,12,0),"")</f>
        <v/>
      </c>
      <c r="BW633" s="448" t="str">
        <f>_xlfn.IFNA(VLOOKUP($BK633,Programma!$F$3:$R$1101,13,0),"")</f>
        <v/>
      </c>
      <c r="BX633" s="448" t="str">
        <f>_xlfn.IFNA(VLOOKUP($BK633,Programma!$F$3:$S$1101,14,0),"")</f>
        <v/>
      </c>
      <c r="BY633" s="448" t="str">
        <f>_xlfn.IFNA(VLOOKUP($BK633,Programma!$F$3:$T$1101,15,0),"")</f>
        <v/>
      </c>
      <c r="BZ633" s="448" t="str">
        <f>_xlfn.IFNA(VLOOKUP($BK633,Programma!$F$3:$U$1101,16,0),"")</f>
        <v/>
      </c>
      <c r="CA633" s="448" t="str">
        <f>_xlfn.IFNA(VLOOKUP($BK633,Programma!$F$3:$V$1101,17,0),"")</f>
        <v/>
      </c>
      <c r="CB633" s="448" t="str">
        <f>_xlfn.IFNA(VLOOKUP($BK633,Programma!$F$3:$W$1101,18,0),"")</f>
        <v/>
      </c>
      <c r="CC633" s="448" t="str">
        <f>_xlfn.IFNA(VLOOKUP($BK633,Programma!$F$3:$X$1101,19,0),"")</f>
        <v/>
      </c>
      <c r="CD633" s="448" t="str">
        <f>_xlfn.IFNA(VLOOKUP($BK633,Programma!$F$3:$Y$1101,20,0),"")</f>
        <v/>
      </c>
    </row>
    <row r="634" spans="1:82" ht="15" customHeight="1">
      <c r="A634" s="327">
        <v>22</v>
      </c>
      <c r="B634" s="435" t="str">
        <f>VLOOKUP(Ruimtestaat[[#This Row],[Code]],Locaties[[Code]:[Locatie]],2,FALSE)</f>
        <v>IKC Da Vinci</v>
      </c>
      <c r="C634" s="435" t="str">
        <f>VLOOKUP(Ruimtestaat[[#This Row],[Code]],Locaties[[#All],[Code]:[Adres]],4,FALSE)</f>
        <v>Spitsbergen 23</v>
      </c>
      <c r="D634" s="435" t="str">
        <f>VLOOKUP(Ruimtestaat[[#This Row],[Code]],Locaties[[#All],[Code]:[Postcode]],5,FALSE)</f>
        <v>2721 GP</v>
      </c>
      <c r="E634" s="435" t="str">
        <f>VLOOKUP(Ruimtestaat[[#This Row],[Code]],Locaties[#All],6,FALSE)</f>
        <v>Zoetermeer</v>
      </c>
      <c r="F634" s="450"/>
      <c r="H634" s="330" t="s">
        <v>1674</v>
      </c>
      <c r="I634" s="450" t="s">
        <v>1966</v>
      </c>
      <c r="J634" s="330">
        <v>13</v>
      </c>
      <c r="K634" s="450" t="str">
        <f>VLOOKUP(Ruimtestaat[[#This Row],[Ruimte code]],Ruimtegroepen[[#All],[Code]:[Ruimte omschrijving]],2,FALSE)</f>
        <v>Personeelskamer</v>
      </c>
      <c r="L634" s="434" t="s">
        <v>100</v>
      </c>
      <c r="M634" s="437" t="s">
        <v>1759</v>
      </c>
      <c r="N634" s="439">
        <v>18</v>
      </c>
      <c r="O634" s="439"/>
      <c r="P634" s="439"/>
      <c r="Q634" s="439"/>
      <c r="R634" s="440" t="str">
        <f>VLOOKUP(Ruimtestaat[[#This Row],[Ruimte code]],Ruimtegroepen[],4,FALSE)</f>
        <v>Ve</v>
      </c>
      <c r="S634" s="434">
        <v>41</v>
      </c>
      <c r="T634" s="434" t="s">
        <v>2</v>
      </c>
      <c r="U634" s="453">
        <f>IF(S634&gt;0,IF(RIGHT(Ruimtestaat[[#This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34" s="434">
        <f>IF(U634&gt;0,VLOOKUP($J634,Ruimtegroepen[],3,FALSE)*VLOOKUP($L634,Vloersoorten[],3,FALSE)*VLOOKUP($T634,Frequenties[],3,FALSE)*VLOOKUP($A634,Locaties[],3,FALSE),0)</f>
        <v>0</v>
      </c>
      <c r="W634" s="434">
        <f>Ruimtestaat[[#This Row],[Uitvoeringen werkdagen]]*Ruimtestaat[[#This Row],[Oppervlak (netto)]]</f>
        <v>3690</v>
      </c>
      <c r="X634" s="441">
        <f>IF(V634&gt;0,Ruimtestaat[[#This Row],[Prest. (m2 /jaar) werkdagen]]/Ruimtestaat[[#This Row],[Norm (m2/uur) werkdagen]],0)</f>
        <v>0</v>
      </c>
      <c r="Y634" s="442">
        <f>Ruimtestaat[[#This Row],[Uitvoeringen werkdagen]]*Ruimtestaat[[#This Row],[Gedeeltelijk]]</f>
        <v>0</v>
      </c>
      <c r="Z634" s="443" t="e">
        <f>IF(U634&gt;0,Ruimtestaat[[#This Row],[Prest. (m2 / jaar) werkdagen gedeeld]]/Ruimtestaat[[#This Row],[Norm (m2/uur) werkdagen]],0)</f>
        <v>#DIV/0!</v>
      </c>
      <c r="AA634" s="441" t="e">
        <f>Ruimtestaat[[#This Row],[uren / jaar werkdagen gedeeld]]*Tariefsopbouw!$E$35</f>
        <v>#DIV/0!</v>
      </c>
      <c r="AB634" s="441">
        <f>Ruimtestaat[[#This Row],[Uitvoeringen werkdagen]]*Ruimtestaat[[#This Row],[BSO]]</f>
        <v>0</v>
      </c>
      <c r="AC634" s="443" t="e">
        <f>IF(U634&gt;0,Ruimtestaat[[#This Row],[Prest. (m2 / jaar) werkdagen BSO]]/Ruimtestaat[[#This Row],[Norm (m2/uur) werkdagen]],0)</f>
        <v>#DIV/0!</v>
      </c>
      <c r="AD634" s="443" t="e">
        <f>Ruimtestaat[[#This Row],[uren / jaar werkdagen BSO]]*Tariefsopbouw!$E$35</f>
        <v>#DIV/0!</v>
      </c>
      <c r="AE634" s="444">
        <f>Ruimtestaat[[#This Row],[uren / jaar werkdagen]]*Tariefsopbouw!$E$35</f>
        <v>0</v>
      </c>
      <c r="AF634" s="454"/>
      <c r="AG634" s="455">
        <f>IF(Ruimtestaat[[#This Row],[Frequentie weekend]]&gt;0,VALUE(LEFT(AF634,1))*S634,0)</f>
        <v>0</v>
      </c>
      <c r="AH634" s="455">
        <f>IF($AG634&gt;0,VLOOKUP($J634,Ruimtegroepen[],3,FALSE)*VLOOKUP($L634,Vloersoorten[],3,FALSE)*VLOOKUP($AF634,Frequenties[],3,FALSE)*VLOOKUP(#REF!,Locaties[],3,FALSE),0)</f>
        <v>0</v>
      </c>
      <c r="AI634" s="434">
        <f>Ruimtestaat[[#This Row],[Uitvoeringen weekend]]*Ruimtestaat[[#This Row],[Oppervlak (netto)]]</f>
        <v>0</v>
      </c>
      <c r="AJ634" s="434">
        <f>IF(AH634&gt;0,Ruimtestaat[[#This Row],[Prest. (m2 /jaar) weekend]]/Ruimtestaat[[#This Row],[Norm (m2/uur) weekend]],0)</f>
        <v>0</v>
      </c>
      <c r="AK634" s="444">
        <f>Ruimtestaat[[#This Row],[uren / jaar weekend]]*Tariefsopbouw!$D$40</f>
        <v>0</v>
      </c>
      <c r="AL634" s="441">
        <f>Ruimtestaat[[#This Row],[Prest. (m2 /jaar) weekend]]+Ruimtestaat[[#This Row],[Prest. (m2 /jaar) werkdagen]]</f>
        <v>3690</v>
      </c>
      <c r="AM634" s="441">
        <f>Ruimtestaat[[#This Row],[uren / jaar weekend]]+Ruimtestaat[[#This Row],[uren / jaar werkdagen]]</f>
        <v>0</v>
      </c>
      <c r="AN634" s="446">
        <f>Ruimtestaat[[#This Row],[kosten / jaar weekend]]+Ruimtestaat[[#This Row],[kosten / jaar werkdagen]]</f>
        <v>0</v>
      </c>
      <c r="AO634" s="446"/>
      <c r="AP634" s="446" t="str">
        <f>IF(Ruimtestaat[[#This Row],[Frequentie werkdagen]]="","",_xlfn.CONCAT(Ruimtestaat[[#This Row],[Ruimte code]],"-",Ruimtestaat[[#This Row],[Frequentie werkdagen]]," ",Ruimtestaat[[#This Row],[Vloer code]]))</f>
        <v>13-5w L</v>
      </c>
      <c r="AQ634" s="448" t="str">
        <f>_xlfn.IFNA(VLOOKUP($AP634,Programma!$F$3:$G$1101,2,0),"")</f>
        <v>_</v>
      </c>
      <c r="AR634" s="448" t="str">
        <f>_xlfn.IFNA(VLOOKUP($AP634,Programma!$F$3:$H$1101,3,0),"")</f>
        <v>_</v>
      </c>
      <c r="AS634" s="448" t="str">
        <f>_xlfn.IFNA(VLOOKUP($AP634,Programma!$F$3:$I$1101,4,0),"")</f>
        <v>4w</v>
      </c>
      <c r="AT634" s="448" t="str">
        <f>_xlfn.IFNA(VLOOKUP($AP634,Programma!$F$3:$J$1101,5,0),"")</f>
        <v>1w</v>
      </c>
      <c r="AU634" s="448" t="str">
        <f>_xlfn.IFNA(VLOOKUP($AP634,Programma!$F$3:$K$1101,6,0),"")</f>
        <v>_</v>
      </c>
      <c r="AV634" s="448" t="str">
        <f>_xlfn.IFNA(VLOOKUP($AP634,Programma!$F$3:$L$1101,7,0),"")</f>
        <v>_</v>
      </c>
      <c r="AW634" s="448" t="str">
        <f>_xlfn.IFNA(VLOOKUP($AP634,Programma!$F$3:$M$1101,8,0),"")</f>
        <v>_</v>
      </c>
      <c r="AX634" s="448" t="str">
        <f>_xlfn.IFNA(VLOOKUP($AP634,Programma!$F$3:$N$1101,9,0),"")</f>
        <v>_</v>
      </c>
      <c r="AY634" s="448" t="str">
        <f>_xlfn.IFNA(VLOOKUP($AP634,Programma!$F$3:$O$1101,10,0),"")</f>
        <v>5w</v>
      </c>
      <c r="AZ634" s="448" t="str">
        <f>_xlfn.IFNA(VLOOKUP($AP634,Programma!$F$3:$P$1101,11,0),"")</f>
        <v>5w</v>
      </c>
      <c r="BA634" s="448" t="str">
        <f>_xlfn.IFNA(VLOOKUP($AP634,Programma!$F$3:$Q$1101,12,0),"")</f>
        <v>1w</v>
      </c>
      <c r="BB634" s="448" t="str">
        <f>_xlfn.IFNA(VLOOKUP($AP634,Programma!$F$3:$R$1101,13,0),"")</f>
        <v>1w</v>
      </c>
      <c r="BC634" s="448" t="str">
        <f>_xlfn.IFNA(VLOOKUP($AP634,Programma!$F$3:$S$1101,14,0),"")</f>
        <v>1m</v>
      </c>
      <c r="BD634" s="448" t="str">
        <f>_xlfn.IFNA(VLOOKUP($AP634,Programma!$F$3:$T$1101,15,0),"")</f>
        <v>2j</v>
      </c>
      <c r="BE634" s="448" t="str">
        <f>_xlfn.IFNA(VLOOKUP($AP634,Programma!$F$3:$U$1101,16,0),"")</f>
        <v>1j</v>
      </c>
      <c r="BF634" s="448" t="str">
        <f>_xlfn.IFNA(VLOOKUP($AP634,Programma!$F$3:$V$1101,17,0),"")</f>
        <v>_</v>
      </c>
      <c r="BG634" s="448" t="str">
        <f>_xlfn.IFNA(VLOOKUP($AP634,Programma!$F$3:$W$1101,18,0),"")</f>
        <v>_</v>
      </c>
      <c r="BH634" s="448" t="str">
        <f>_xlfn.IFNA(VLOOKUP($AP634,Programma!$F$3:$X$1101,19,0),"")</f>
        <v>_</v>
      </c>
      <c r="BI634" s="448" t="str">
        <f>_xlfn.IFNA(VLOOKUP($AP634,Programma!$F$3:$Y$1101,20,0),"")</f>
        <v>_</v>
      </c>
      <c r="BJ634" s="449"/>
      <c r="BK634" s="446" t="str">
        <f>IF(Ruimtestaat[[#This Row],[Frequentie weekend]]="","",_xlfn.CONCAT(Ruimtestaat[[#This Row],[Ruimte code]],"-",Ruimtestaat[[#This Row],[Frequentie weekend]]," ",Ruimtestaat[[#This Row],[Vloer code]]))</f>
        <v/>
      </c>
      <c r="BL634" s="448" t="str">
        <f>_xlfn.IFNA(VLOOKUP($BK634,Programma!$F$3:$G$1101,2,0),"")</f>
        <v/>
      </c>
      <c r="BM634" s="448" t="str">
        <f>_xlfn.IFNA(VLOOKUP($BK634,Programma!$F$3:$H$1101,3,0),"")</f>
        <v/>
      </c>
      <c r="BN634" s="448" t="str">
        <f>_xlfn.IFNA(VLOOKUP($BK634,Programma!$F$3:$I$1101,4,0),"")</f>
        <v/>
      </c>
      <c r="BO634" s="448" t="str">
        <f>_xlfn.IFNA(VLOOKUP($BK634,Programma!$F$3:$J$1101,5,0),"")</f>
        <v/>
      </c>
      <c r="BP634" s="448" t="str">
        <f>_xlfn.IFNA(VLOOKUP($BK634,Programma!$F$3:$K$1101,6,0),"")</f>
        <v/>
      </c>
      <c r="BQ634" s="448" t="str">
        <f>_xlfn.IFNA(VLOOKUP($BK634,Programma!$F$3:$L$1101,7,0),"")</f>
        <v/>
      </c>
      <c r="BR634" s="448" t="str">
        <f>_xlfn.IFNA(VLOOKUP($BK634,Programma!$F$3:$M$1101,8,0),"")</f>
        <v/>
      </c>
      <c r="BS634" s="448" t="str">
        <f>_xlfn.IFNA(VLOOKUP($BK634,Programma!$F$3:$N$1101,9,0),"")</f>
        <v/>
      </c>
      <c r="BT634" s="448" t="str">
        <f>_xlfn.IFNA(VLOOKUP($BK634,Programma!$F$3:$O$1101,10,0),"")</f>
        <v/>
      </c>
      <c r="BU634" s="448" t="str">
        <f>_xlfn.IFNA(VLOOKUP($BK634,Programma!$F$3:$P$1101,11,0),"")</f>
        <v/>
      </c>
      <c r="BV634" s="448" t="str">
        <f>_xlfn.IFNA(VLOOKUP($BK634,Programma!$F$3:$Q$1101,12,0),"")</f>
        <v/>
      </c>
      <c r="BW634" s="448" t="str">
        <f>_xlfn.IFNA(VLOOKUP($BK634,Programma!$F$3:$R$1101,13,0),"")</f>
        <v/>
      </c>
      <c r="BX634" s="448" t="str">
        <f>_xlfn.IFNA(VLOOKUP($BK634,Programma!$F$3:$S$1101,14,0),"")</f>
        <v/>
      </c>
      <c r="BY634" s="448" t="str">
        <f>_xlfn.IFNA(VLOOKUP($BK634,Programma!$F$3:$T$1101,15,0),"")</f>
        <v/>
      </c>
      <c r="BZ634" s="448" t="str">
        <f>_xlfn.IFNA(VLOOKUP($BK634,Programma!$F$3:$U$1101,16,0),"")</f>
        <v/>
      </c>
      <c r="CA634" s="448" t="str">
        <f>_xlfn.IFNA(VLOOKUP($BK634,Programma!$F$3:$V$1101,17,0),"")</f>
        <v/>
      </c>
      <c r="CB634" s="448" t="str">
        <f>_xlfn.IFNA(VLOOKUP($BK634,Programma!$F$3:$W$1101,18,0),"")</f>
        <v/>
      </c>
      <c r="CC634" s="448" t="str">
        <f>_xlfn.IFNA(VLOOKUP($BK634,Programma!$F$3:$X$1101,19,0),"")</f>
        <v/>
      </c>
      <c r="CD634" s="448" t="str">
        <f>_xlfn.IFNA(VLOOKUP($BK634,Programma!$F$3:$Y$1101,20,0),"")</f>
        <v/>
      </c>
    </row>
    <row r="635" spans="1:82" ht="15" customHeight="1">
      <c r="A635" s="327">
        <v>22</v>
      </c>
      <c r="B635" s="435" t="str">
        <f>VLOOKUP(Ruimtestaat[[#This Row],[Code]],Locaties[[Code]:[Locatie]],2,FALSE)</f>
        <v>IKC Da Vinci</v>
      </c>
      <c r="C635" s="435" t="str">
        <f>VLOOKUP(Ruimtestaat[[#This Row],[Code]],Locaties[[#All],[Code]:[Adres]],4,FALSE)</f>
        <v>Spitsbergen 23</v>
      </c>
      <c r="D635" s="435" t="str">
        <f>VLOOKUP(Ruimtestaat[[#This Row],[Code]],Locaties[[#All],[Code]:[Postcode]],5,FALSE)</f>
        <v>2721 GP</v>
      </c>
      <c r="E635" s="435" t="str">
        <f>VLOOKUP(Ruimtestaat[[#This Row],[Code]],Locaties[#All],6,FALSE)</f>
        <v>Zoetermeer</v>
      </c>
      <c r="F635" s="450"/>
      <c r="H635" s="330" t="s">
        <v>1680</v>
      </c>
      <c r="I635" s="450" t="s">
        <v>1967</v>
      </c>
      <c r="J635" s="330">
        <v>5</v>
      </c>
      <c r="K635" s="450" t="str">
        <f>VLOOKUP(Ruimtestaat[[#This Row],[Ruimte code]],Ruimtegroepen[[#All],[Code]:[Ruimte omschrijving]],2,FALSE)</f>
        <v>Sanitair</v>
      </c>
      <c r="L635" s="330" t="s">
        <v>101</v>
      </c>
      <c r="M635" s="437" t="s">
        <v>119</v>
      </c>
      <c r="N635" s="439">
        <v>19</v>
      </c>
      <c r="O635" s="439"/>
      <c r="P635" s="439"/>
      <c r="Q635" s="439"/>
      <c r="R635" s="440" t="str">
        <f>VLOOKUP(Ruimtestaat[[#This Row],[Ruimte code]],Ruimtegroepen[],4,FALSE)</f>
        <v>Sa</v>
      </c>
      <c r="S635" s="434">
        <v>41</v>
      </c>
      <c r="T635" s="434" t="s">
        <v>2</v>
      </c>
      <c r="U635" s="453">
        <f>IF(S635&gt;0,IF(RIGHT(Ruimtestaat[[#This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35" s="434">
        <f>IF(U635&gt;0,VLOOKUP($J635,Ruimtegroepen[],3,FALSE)*VLOOKUP($L635,Vloersoorten[],3,FALSE)*VLOOKUP($T635,Frequenties[],3,FALSE)*VLOOKUP($A635,Locaties[],3,FALSE),0)</f>
        <v>0</v>
      </c>
      <c r="W635" s="434">
        <f>Ruimtestaat[[#This Row],[Uitvoeringen werkdagen]]*Ruimtestaat[[#This Row],[Oppervlak (netto)]]</f>
        <v>3895</v>
      </c>
      <c r="X635" s="441">
        <f>IF(V635&gt;0,Ruimtestaat[[#This Row],[Prest. (m2 /jaar) werkdagen]]/Ruimtestaat[[#This Row],[Norm (m2/uur) werkdagen]],0)</f>
        <v>0</v>
      </c>
      <c r="Y635" s="442">
        <f>Ruimtestaat[[#This Row],[Uitvoeringen werkdagen]]*Ruimtestaat[[#This Row],[Gedeeltelijk]]</f>
        <v>0</v>
      </c>
      <c r="Z635" s="443" t="e">
        <f>IF(U635&gt;0,Ruimtestaat[[#This Row],[Prest. (m2 / jaar) werkdagen gedeeld]]/Ruimtestaat[[#This Row],[Norm (m2/uur) werkdagen]],0)</f>
        <v>#DIV/0!</v>
      </c>
      <c r="AA635" s="441" t="e">
        <f>Ruimtestaat[[#This Row],[uren / jaar werkdagen gedeeld]]*Tariefsopbouw!$E$35</f>
        <v>#DIV/0!</v>
      </c>
      <c r="AB635" s="441">
        <f>Ruimtestaat[[#This Row],[Uitvoeringen werkdagen]]*Ruimtestaat[[#This Row],[BSO]]</f>
        <v>0</v>
      </c>
      <c r="AC635" s="443" t="e">
        <f>IF(U635&gt;0,Ruimtestaat[[#This Row],[Prest. (m2 / jaar) werkdagen BSO]]/Ruimtestaat[[#This Row],[Norm (m2/uur) werkdagen]],0)</f>
        <v>#DIV/0!</v>
      </c>
      <c r="AD635" s="443" t="e">
        <f>Ruimtestaat[[#This Row],[uren / jaar werkdagen BSO]]*Tariefsopbouw!$E$35</f>
        <v>#DIV/0!</v>
      </c>
      <c r="AE635" s="444">
        <f>Ruimtestaat[[#This Row],[uren / jaar werkdagen]]*Tariefsopbouw!$E$35</f>
        <v>0</v>
      </c>
      <c r="AF635" s="454"/>
      <c r="AG635" s="455">
        <f>IF(Ruimtestaat[[#This Row],[Frequentie weekend]]&gt;0,VALUE(LEFT(AF635,1))*S635,0)</f>
        <v>0</v>
      </c>
      <c r="AH635" s="455">
        <f>IF($AG635&gt;0,VLOOKUP($J635,Ruimtegroepen[],3,FALSE)*VLOOKUP($L635,Vloersoorten[],3,FALSE)*VLOOKUP($AF635,Frequenties[],3,FALSE)*VLOOKUP(#REF!,Locaties[],3,FALSE),0)</f>
        <v>0</v>
      </c>
      <c r="AI635" s="434">
        <f>Ruimtestaat[[#This Row],[Uitvoeringen weekend]]*Ruimtestaat[[#This Row],[Oppervlak (netto)]]</f>
        <v>0</v>
      </c>
      <c r="AJ635" s="434">
        <f>IF(AH635&gt;0,Ruimtestaat[[#This Row],[Prest. (m2 /jaar) weekend]]/Ruimtestaat[[#This Row],[Norm (m2/uur) weekend]],0)</f>
        <v>0</v>
      </c>
      <c r="AK635" s="444">
        <f>Ruimtestaat[[#This Row],[uren / jaar weekend]]*Tariefsopbouw!$D$40</f>
        <v>0</v>
      </c>
      <c r="AL635" s="441">
        <f>Ruimtestaat[[#This Row],[Prest. (m2 /jaar) weekend]]+Ruimtestaat[[#This Row],[Prest. (m2 /jaar) werkdagen]]</f>
        <v>3895</v>
      </c>
      <c r="AM635" s="441">
        <f>Ruimtestaat[[#This Row],[uren / jaar weekend]]+Ruimtestaat[[#This Row],[uren / jaar werkdagen]]</f>
        <v>0</v>
      </c>
      <c r="AN635" s="446">
        <f>Ruimtestaat[[#This Row],[kosten / jaar weekend]]+Ruimtestaat[[#This Row],[kosten / jaar werkdagen]]</f>
        <v>0</v>
      </c>
      <c r="AO635" s="446"/>
      <c r="AP635" s="446" t="str">
        <f>IF(Ruimtestaat[[#This Row],[Frequentie werkdagen]]="","",_xlfn.CONCAT(Ruimtestaat[[#This Row],[Ruimte code]],"-",Ruimtestaat[[#This Row],[Frequentie werkdagen]]," ",Ruimtestaat[[#This Row],[Vloer code]]))</f>
        <v>5-5w S</v>
      </c>
      <c r="AQ635" s="448" t="str">
        <f>_xlfn.IFNA(VLOOKUP($AP635,Programma!$F$3:$G$1101,2,0),"")</f>
        <v>_</v>
      </c>
      <c r="AR635" s="448" t="str">
        <f>_xlfn.IFNA(VLOOKUP($AP635,Programma!$F$3:$H$1101,3,0),"")</f>
        <v>_</v>
      </c>
      <c r="AS635" s="448" t="str">
        <f>_xlfn.IFNA(VLOOKUP($AP635,Programma!$F$3:$I$1101,4,0),"")</f>
        <v>_</v>
      </c>
      <c r="AT635" s="448" t="str">
        <f>_xlfn.IFNA(VLOOKUP($AP635,Programma!$F$3:$J$1101,5,0),"")</f>
        <v>4w</v>
      </c>
      <c r="AU635" s="448" t="str">
        <f>_xlfn.IFNA(VLOOKUP($AP635,Programma!$F$3:$K$1101,6,0),"")</f>
        <v>1w</v>
      </c>
      <c r="AV635" s="448" t="str">
        <f>_xlfn.IFNA(VLOOKUP($AP635,Programma!$F$3:$L$1101,7,0),"")</f>
        <v>_</v>
      </c>
      <c r="AW635" s="448" t="str">
        <f>_xlfn.IFNA(VLOOKUP($AP635,Programma!$F$3:$M$1101,8,0),"")</f>
        <v>_</v>
      </c>
      <c r="AX635" s="448" t="str">
        <f>_xlfn.IFNA(VLOOKUP($AP635,Programma!$F$3:$N$1101,9,0),"")</f>
        <v>_</v>
      </c>
      <c r="AY635" s="448" t="str">
        <f>_xlfn.IFNA(VLOOKUP($AP635,Programma!$F$3:$O$1101,10,0),"")</f>
        <v>_</v>
      </c>
      <c r="AZ635" s="448" t="str">
        <f>_xlfn.IFNA(VLOOKUP($AP635,Programma!$F$3:$P$1101,11,0),"")</f>
        <v>_</v>
      </c>
      <c r="BA635" s="448" t="str">
        <f>_xlfn.IFNA(VLOOKUP($AP635,Programma!$F$3:$Q$1101,12,0),"")</f>
        <v>_</v>
      </c>
      <c r="BB635" s="448" t="str">
        <f>_xlfn.IFNA(VLOOKUP($AP635,Programma!$F$3:$R$1101,13,0),"")</f>
        <v>_</v>
      </c>
      <c r="BC635" s="448" t="str">
        <f>_xlfn.IFNA(VLOOKUP($AP635,Programma!$F$3:$S$1101,14,0),"")</f>
        <v>_</v>
      </c>
      <c r="BD635" s="448" t="str">
        <f>_xlfn.IFNA(VLOOKUP($AP635,Programma!$F$3:$T$1101,15,0),"")</f>
        <v>_</v>
      </c>
      <c r="BE635" s="448" t="str">
        <f>_xlfn.IFNA(VLOOKUP($AP635,Programma!$F$3:$U$1101,16,0),"")</f>
        <v>_</v>
      </c>
      <c r="BF635" s="448" t="str">
        <f>_xlfn.IFNA(VLOOKUP($AP635,Programma!$F$3:$V$1101,17,0),"")</f>
        <v>_</v>
      </c>
      <c r="BG635" s="448" t="str">
        <f>_xlfn.IFNA(VLOOKUP($AP635,Programma!$F$3:$W$1101,18,0),"")</f>
        <v>4w</v>
      </c>
      <c r="BH635" s="448" t="str">
        <f>_xlfn.IFNA(VLOOKUP($AP635,Programma!$F$3:$X$1101,19,0),"")</f>
        <v>1w</v>
      </c>
      <c r="BI635" s="448" t="str">
        <f>_xlfn.IFNA(VLOOKUP($AP635,Programma!$F$3:$Y$1101,20,0),"")</f>
        <v>_</v>
      </c>
      <c r="BJ635" s="449"/>
      <c r="BK635" s="446" t="str">
        <f>IF(Ruimtestaat[[#This Row],[Frequentie weekend]]="","",_xlfn.CONCAT(Ruimtestaat[[#This Row],[Ruimte code]],"-",Ruimtestaat[[#This Row],[Frequentie weekend]]," ",Ruimtestaat[[#This Row],[Vloer code]]))</f>
        <v/>
      </c>
      <c r="BL635" s="448" t="str">
        <f>_xlfn.IFNA(VLOOKUP($BK635,Programma!$F$3:$G$1101,2,0),"")</f>
        <v/>
      </c>
      <c r="BM635" s="448" t="str">
        <f>_xlfn.IFNA(VLOOKUP($BK635,Programma!$F$3:$H$1101,3,0),"")</f>
        <v/>
      </c>
      <c r="BN635" s="448" t="str">
        <f>_xlfn.IFNA(VLOOKUP($BK635,Programma!$F$3:$I$1101,4,0),"")</f>
        <v/>
      </c>
      <c r="BO635" s="448" t="str">
        <f>_xlfn.IFNA(VLOOKUP($BK635,Programma!$F$3:$J$1101,5,0),"")</f>
        <v/>
      </c>
      <c r="BP635" s="448" t="str">
        <f>_xlfn.IFNA(VLOOKUP($BK635,Programma!$F$3:$K$1101,6,0),"")</f>
        <v/>
      </c>
      <c r="BQ635" s="448" t="str">
        <f>_xlfn.IFNA(VLOOKUP($BK635,Programma!$F$3:$L$1101,7,0),"")</f>
        <v/>
      </c>
      <c r="BR635" s="448" t="str">
        <f>_xlfn.IFNA(VLOOKUP($BK635,Programma!$F$3:$M$1101,8,0),"")</f>
        <v/>
      </c>
      <c r="BS635" s="448" t="str">
        <f>_xlfn.IFNA(VLOOKUP($BK635,Programma!$F$3:$N$1101,9,0),"")</f>
        <v/>
      </c>
      <c r="BT635" s="448" t="str">
        <f>_xlfn.IFNA(VLOOKUP($BK635,Programma!$F$3:$O$1101,10,0),"")</f>
        <v/>
      </c>
      <c r="BU635" s="448" t="str">
        <f>_xlfn.IFNA(VLOOKUP($BK635,Programma!$F$3:$P$1101,11,0),"")</f>
        <v/>
      </c>
      <c r="BV635" s="448" t="str">
        <f>_xlfn.IFNA(VLOOKUP($BK635,Programma!$F$3:$Q$1101,12,0),"")</f>
        <v/>
      </c>
      <c r="BW635" s="448" t="str">
        <f>_xlfn.IFNA(VLOOKUP($BK635,Programma!$F$3:$R$1101,13,0),"")</f>
        <v/>
      </c>
      <c r="BX635" s="448" t="str">
        <f>_xlfn.IFNA(VLOOKUP($BK635,Programma!$F$3:$S$1101,14,0),"")</f>
        <v/>
      </c>
      <c r="BY635" s="448" t="str">
        <f>_xlfn.IFNA(VLOOKUP($BK635,Programma!$F$3:$T$1101,15,0),"")</f>
        <v/>
      </c>
      <c r="BZ635" s="448" t="str">
        <f>_xlfn.IFNA(VLOOKUP($BK635,Programma!$F$3:$U$1101,16,0),"")</f>
        <v/>
      </c>
      <c r="CA635" s="448" t="str">
        <f>_xlfn.IFNA(VLOOKUP($BK635,Programma!$F$3:$V$1101,17,0),"")</f>
        <v/>
      </c>
      <c r="CB635" s="448" t="str">
        <f>_xlfn.IFNA(VLOOKUP($BK635,Programma!$F$3:$W$1101,18,0),"")</f>
        <v/>
      </c>
      <c r="CC635" s="448" t="str">
        <f>_xlfn.IFNA(VLOOKUP($BK635,Programma!$F$3:$X$1101,19,0),"")</f>
        <v/>
      </c>
      <c r="CD635" s="448" t="str">
        <f>_xlfn.IFNA(VLOOKUP($BK635,Programma!$F$3:$Y$1101,20,0),"")</f>
        <v/>
      </c>
    </row>
    <row r="636" spans="1:82" ht="15" customHeight="1">
      <c r="A636" s="327">
        <v>22</v>
      </c>
      <c r="B636" s="435" t="str">
        <f>VLOOKUP(Ruimtestaat[[#This Row],[Code]],Locaties[[Code]:[Locatie]],2,FALSE)</f>
        <v>IKC Da Vinci</v>
      </c>
      <c r="C636" s="435" t="str">
        <f>VLOOKUP(Ruimtestaat[[#This Row],[Code]],Locaties[[#All],[Code]:[Adres]],4,FALSE)</f>
        <v>Spitsbergen 23</v>
      </c>
      <c r="D636" s="435" t="str">
        <f>VLOOKUP(Ruimtestaat[[#This Row],[Code]],Locaties[[#All],[Code]:[Postcode]],5,FALSE)</f>
        <v>2721 GP</v>
      </c>
      <c r="E636" s="435" t="str">
        <f>VLOOKUP(Ruimtestaat[[#This Row],[Code]],Locaties[#All],6,FALSE)</f>
        <v>Zoetermeer</v>
      </c>
      <c r="F636" s="450"/>
      <c r="H636" s="330" t="s">
        <v>1681</v>
      </c>
      <c r="I636" s="450" t="s">
        <v>1968</v>
      </c>
      <c r="J636" s="330">
        <v>5</v>
      </c>
      <c r="K636" s="450" t="str">
        <f>VLOOKUP(Ruimtestaat[[#This Row],[Ruimte code]],Ruimtegroepen[[#All],[Code]:[Ruimte omschrijving]],2,FALSE)</f>
        <v>Sanitair</v>
      </c>
      <c r="L636" s="330" t="s">
        <v>101</v>
      </c>
      <c r="M636" s="437" t="s">
        <v>119</v>
      </c>
      <c r="N636" s="439">
        <v>19</v>
      </c>
      <c r="O636" s="439"/>
      <c r="P636" s="439"/>
      <c r="Q636" s="439"/>
      <c r="R636" s="440" t="str">
        <f>VLOOKUP(Ruimtestaat[[#This Row],[Ruimte code]],Ruimtegroepen[],4,FALSE)</f>
        <v>Sa</v>
      </c>
      <c r="S636" s="434">
        <v>41</v>
      </c>
      <c r="T636" s="434" t="s">
        <v>2</v>
      </c>
      <c r="U636" s="453">
        <f>IF(S636&gt;0,IF(RIGHT(Ruimtestaat[[#This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36" s="434">
        <f>IF(U636&gt;0,VLOOKUP($J636,Ruimtegroepen[],3,FALSE)*VLOOKUP($L636,Vloersoorten[],3,FALSE)*VLOOKUP($T636,Frequenties[],3,FALSE)*VLOOKUP($A636,Locaties[],3,FALSE),0)</f>
        <v>0</v>
      </c>
      <c r="W636" s="434">
        <f>Ruimtestaat[[#This Row],[Uitvoeringen werkdagen]]*Ruimtestaat[[#This Row],[Oppervlak (netto)]]</f>
        <v>3895</v>
      </c>
      <c r="X636" s="441">
        <f>IF(V636&gt;0,Ruimtestaat[[#This Row],[Prest. (m2 /jaar) werkdagen]]/Ruimtestaat[[#This Row],[Norm (m2/uur) werkdagen]],0)</f>
        <v>0</v>
      </c>
      <c r="Y636" s="442">
        <f>Ruimtestaat[[#This Row],[Uitvoeringen werkdagen]]*Ruimtestaat[[#This Row],[Gedeeltelijk]]</f>
        <v>0</v>
      </c>
      <c r="Z636" s="443" t="e">
        <f>IF(U636&gt;0,Ruimtestaat[[#This Row],[Prest. (m2 / jaar) werkdagen gedeeld]]/Ruimtestaat[[#This Row],[Norm (m2/uur) werkdagen]],0)</f>
        <v>#DIV/0!</v>
      </c>
      <c r="AA636" s="441" t="e">
        <f>Ruimtestaat[[#This Row],[uren / jaar werkdagen gedeeld]]*Tariefsopbouw!$E$35</f>
        <v>#DIV/0!</v>
      </c>
      <c r="AB636" s="441">
        <f>Ruimtestaat[[#This Row],[Uitvoeringen werkdagen]]*Ruimtestaat[[#This Row],[BSO]]</f>
        <v>0</v>
      </c>
      <c r="AC636" s="443" t="e">
        <f>IF(U636&gt;0,Ruimtestaat[[#This Row],[Prest. (m2 / jaar) werkdagen BSO]]/Ruimtestaat[[#This Row],[Norm (m2/uur) werkdagen]],0)</f>
        <v>#DIV/0!</v>
      </c>
      <c r="AD636" s="443" t="e">
        <f>Ruimtestaat[[#This Row],[uren / jaar werkdagen BSO]]*Tariefsopbouw!$E$35</f>
        <v>#DIV/0!</v>
      </c>
      <c r="AE636" s="444">
        <f>Ruimtestaat[[#This Row],[uren / jaar werkdagen]]*Tariefsopbouw!$E$35</f>
        <v>0</v>
      </c>
      <c r="AF636" s="454"/>
      <c r="AG636" s="455">
        <f>IF(Ruimtestaat[[#This Row],[Frequentie weekend]]&gt;0,VALUE(LEFT(AF636,1))*S636,0)</f>
        <v>0</v>
      </c>
      <c r="AH636" s="455">
        <f>IF($AG636&gt;0,VLOOKUP($J636,Ruimtegroepen[],3,FALSE)*VLOOKUP($L636,Vloersoorten[],3,FALSE)*VLOOKUP($AF636,Frequenties[],3,FALSE)*VLOOKUP(#REF!,Locaties[],3,FALSE),0)</f>
        <v>0</v>
      </c>
      <c r="AI636" s="434">
        <f>Ruimtestaat[[#This Row],[Uitvoeringen weekend]]*Ruimtestaat[[#This Row],[Oppervlak (netto)]]</f>
        <v>0</v>
      </c>
      <c r="AJ636" s="434">
        <f>IF(AH636&gt;0,Ruimtestaat[[#This Row],[Prest. (m2 /jaar) weekend]]/Ruimtestaat[[#This Row],[Norm (m2/uur) weekend]],0)</f>
        <v>0</v>
      </c>
      <c r="AK636" s="444">
        <f>Ruimtestaat[[#This Row],[uren / jaar weekend]]*Tariefsopbouw!$D$40</f>
        <v>0</v>
      </c>
      <c r="AL636" s="441">
        <f>Ruimtestaat[[#This Row],[Prest. (m2 /jaar) weekend]]+Ruimtestaat[[#This Row],[Prest. (m2 /jaar) werkdagen]]</f>
        <v>3895</v>
      </c>
      <c r="AM636" s="441">
        <f>Ruimtestaat[[#This Row],[uren / jaar weekend]]+Ruimtestaat[[#This Row],[uren / jaar werkdagen]]</f>
        <v>0</v>
      </c>
      <c r="AN636" s="446">
        <f>Ruimtestaat[[#This Row],[kosten / jaar weekend]]+Ruimtestaat[[#This Row],[kosten / jaar werkdagen]]</f>
        <v>0</v>
      </c>
      <c r="AO636" s="446"/>
      <c r="AP636" s="446" t="str">
        <f>IF(Ruimtestaat[[#This Row],[Frequentie werkdagen]]="","",_xlfn.CONCAT(Ruimtestaat[[#This Row],[Ruimte code]],"-",Ruimtestaat[[#This Row],[Frequentie werkdagen]]," ",Ruimtestaat[[#This Row],[Vloer code]]))</f>
        <v>5-5w S</v>
      </c>
      <c r="AQ636" s="448" t="str">
        <f>_xlfn.IFNA(VLOOKUP($AP636,Programma!$F$3:$G$1101,2,0),"")</f>
        <v>_</v>
      </c>
      <c r="AR636" s="448" t="str">
        <f>_xlfn.IFNA(VLOOKUP($AP636,Programma!$F$3:$H$1101,3,0),"")</f>
        <v>_</v>
      </c>
      <c r="AS636" s="448" t="str">
        <f>_xlfn.IFNA(VLOOKUP($AP636,Programma!$F$3:$I$1101,4,0),"")</f>
        <v>_</v>
      </c>
      <c r="AT636" s="448" t="str">
        <f>_xlfn.IFNA(VLOOKUP($AP636,Programma!$F$3:$J$1101,5,0),"")</f>
        <v>4w</v>
      </c>
      <c r="AU636" s="448" t="str">
        <f>_xlfn.IFNA(VLOOKUP($AP636,Programma!$F$3:$K$1101,6,0),"")</f>
        <v>1w</v>
      </c>
      <c r="AV636" s="448" t="str">
        <f>_xlfn.IFNA(VLOOKUP($AP636,Programma!$F$3:$L$1101,7,0),"")</f>
        <v>_</v>
      </c>
      <c r="AW636" s="448" t="str">
        <f>_xlfn.IFNA(VLOOKUP($AP636,Programma!$F$3:$M$1101,8,0),"")</f>
        <v>_</v>
      </c>
      <c r="AX636" s="448" t="str">
        <f>_xlfn.IFNA(VLOOKUP($AP636,Programma!$F$3:$N$1101,9,0),"")</f>
        <v>_</v>
      </c>
      <c r="AY636" s="448" t="str">
        <f>_xlfn.IFNA(VLOOKUP($AP636,Programma!$F$3:$O$1101,10,0),"")</f>
        <v>_</v>
      </c>
      <c r="AZ636" s="448" t="str">
        <f>_xlfn.IFNA(VLOOKUP($AP636,Programma!$F$3:$P$1101,11,0),"")</f>
        <v>_</v>
      </c>
      <c r="BA636" s="448" t="str">
        <f>_xlfn.IFNA(VLOOKUP($AP636,Programma!$F$3:$Q$1101,12,0),"")</f>
        <v>_</v>
      </c>
      <c r="BB636" s="448" t="str">
        <f>_xlfn.IFNA(VLOOKUP($AP636,Programma!$F$3:$R$1101,13,0),"")</f>
        <v>_</v>
      </c>
      <c r="BC636" s="448" t="str">
        <f>_xlfn.IFNA(VLOOKUP($AP636,Programma!$F$3:$S$1101,14,0),"")</f>
        <v>_</v>
      </c>
      <c r="BD636" s="448" t="str">
        <f>_xlfn.IFNA(VLOOKUP($AP636,Programma!$F$3:$T$1101,15,0),"")</f>
        <v>_</v>
      </c>
      <c r="BE636" s="448" t="str">
        <f>_xlfn.IFNA(VLOOKUP($AP636,Programma!$F$3:$U$1101,16,0),"")</f>
        <v>_</v>
      </c>
      <c r="BF636" s="448" t="str">
        <f>_xlfn.IFNA(VLOOKUP($AP636,Programma!$F$3:$V$1101,17,0),"")</f>
        <v>_</v>
      </c>
      <c r="BG636" s="448" t="str">
        <f>_xlfn.IFNA(VLOOKUP($AP636,Programma!$F$3:$W$1101,18,0),"")</f>
        <v>4w</v>
      </c>
      <c r="BH636" s="448" t="str">
        <f>_xlfn.IFNA(VLOOKUP($AP636,Programma!$F$3:$X$1101,19,0),"")</f>
        <v>1w</v>
      </c>
      <c r="BI636" s="448" t="str">
        <f>_xlfn.IFNA(VLOOKUP($AP636,Programma!$F$3:$Y$1101,20,0),"")</f>
        <v>_</v>
      </c>
      <c r="BJ636" s="449"/>
      <c r="BK636" s="446" t="str">
        <f>IF(Ruimtestaat[[#This Row],[Frequentie weekend]]="","",_xlfn.CONCAT(Ruimtestaat[[#This Row],[Ruimte code]],"-",Ruimtestaat[[#This Row],[Frequentie weekend]]," ",Ruimtestaat[[#This Row],[Vloer code]]))</f>
        <v/>
      </c>
      <c r="BL636" s="448" t="str">
        <f>_xlfn.IFNA(VLOOKUP($BK636,Programma!$F$3:$G$1101,2,0),"")</f>
        <v/>
      </c>
      <c r="BM636" s="448" t="str">
        <f>_xlfn.IFNA(VLOOKUP($BK636,Programma!$F$3:$H$1101,3,0),"")</f>
        <v/>
      </c>
      <c r="BN636" s="448" t="str">
        <f>_xlfn.IFNA(VLOOKUP($BK636,Programma!$F$3:$I$1101,4,0),"")</f>
        <v/>
      </c>
      <c r="BO636" s="448" t="str">
        <f>_xlfn.IFNA(VLOOKUP($BK636,Programma!$F$3:$J$1101,5,0),"")</f>
        <v/>
      </c>
      <c r="BP636" s="448" t="str">
        <f>_xlfn.IFNA(VLOOKUP($BK636,Programma!$F$3:$K$1101,6,0),"")</f>
        <v/>
      </c>
      <c r="BQ636" s="448" t="str">
        <f>_xlfn.IFNA(VLOOKUP($BK636,Programma!$F$3:$L$1101,7,0),"")</f>
        <v/>
      </c>
      <c r="BR636" s="448" t="str">
        <f>_xlfn.IFNA(VLOOKUP($BK636,Programma!$F$3:$M$1101,8,0),"")</f>
        <v/>
      </c>
      <c r="BS636" s="448" t="str">
        <f>_xlfn.IFNA(VLOOKUP($BK636,Programma!$F$3:$N$1101,9,0),"")</f>
        <v/>
      </c>
      <c r="BT636" s="448" t="str">
        <f>_xlfn.IFNA(VLOOKUP($BK636,Programma!$F$3:$O$1101,10,0),"")</f>
        <v/>
      </c>
      <c r="BU636" s="448" t="str">
        <f>_xlfn.IFNA(VLOOKUP($BK636,Programma!$F$3:$P$1101,11,0),"")</f>
        <v/>
      </c>
      <c r="BV636" s="448" t="str">
        <f>_xlfn.IFNA(VLOOKUP($BK636,Programma!$F$3:$Q$1101,12,0),"")</f>
        <v/>
      </c>
      <c r="BW636" s="448" t="str">
        <f>_xlfn.IFNA(VLOOKUP($BK636,Programma!$F$3:$R$1101,13,0),"")</f>
        <v/>
      </c>
      <c r="BX636" s="448" t="str">
        <f>_xlfn.IFNA(VLOOKUP($BK636,Programma!$F$3:$S$1101,14,0),"")</f>
        <v/>
      </c>
      <c r="BY636" s="448" t="str">
        <f>_xlfn.IFNA(VLOOKUP($BK636,Programma!$F$3:$T$1101,15,0),"")</f>
        <v/>
      </c>
      <c r="BZ636" s="448" t="str">
        <f>_xlfn.IFNA(VLOOKUP($BK636,Programma!$F$3:$U$1101,16,0),"")</f>
        <v/>
      </c>
      <c r="CA636" s="448" t="str">
        <f>_xlfn.IFNA(VLOOKUP($BK636,Programma!$F$3:$V$1101,17,0),"")</f>
        <v/>
      </c>
      <c r="CB636" s="448" t="str">
        <f>_xlfn.IFNA(VLOOKUP($BK636,Programma!$F$3:$W$1101,18,0),"")</f>
        <v/>
      </c>
      <c r="CC636" s="448" t="str">
        <f>_xlfn.IFNA(VLOOKUP($BK636,Programma!$F$3:$X$1101,19,0),"")</f>
        <v/>
      </c>
      <c r="CD636" s="448" t="str">
        <f>_xlfn.IFNA(VLOOKUP($BK636,Programma!$F$3:$Y$1101,20,0),"")</f>
        <v/>
      </c>
    </row>
    <row r="637" spans="1:82" ht="15" customHeight="1">
      <c r="A637" s="327">
        <v>15</v>
      </c>
      <c r="B637" s="435" t="str">
        <f>VLOOKUP(Ruimtestaat[[#This Row],[Code]],Locaties[[Code]:[Locatie]],2,FALSE)</f>
        <v>IKC  Da Vinci</v>
      </c>
      <c r="C637" s="435" t="str">
        <f>VLOOKUP(Ruimtestaat[[#This Row],[Code]],Locaties[[#All],[Code]:[Adres]],4,FALSE)</f>
        <v>Spitsbergen 17</v>
      </c>
      <c r="D637" s="435" t="str">
        <f>VLOOKUP(Ruimtestaat[[#This Row],[Code]],Locaties[[#All],[Code]:[Postcode]],5,FALSE)</f>
        <v>2721 GP</v>
      </c>
      <c r="E637" s="435" t="str">
        <f>VLOOKUP(Ruimtestaat[[#This Row],[Code]],Locaties[#All],6,FALSE)</f>
        <v>Zoetermeer</v>
      </c>
      <c r="F637" s="330" t="s">
        <v>2154</v>
      </c>
      <c r="I637" s="450" t="s">
        <v>1886</v>
      </c>
      <c r="J637" s="330">
        <v>20</v>
      </c>
      <c r="K637" s="450" t="str">
        <f>VLOOKUP(Ruimtestaat[[#This Row],[Ruimte code]],Ruimtegroepen[[#All],[Code]:[Ruimte omschrijving]],2,FALSE)</f>
        <v>Niet in Onderhoud</v>
      </c>
      <c r="M637" s="330"/>
      <c r="N637" s="439"/>
      <c r="O637" s="439">
        <v>12</v>
      </c>
      <c r="P637" s="439"/>
      <c r="Q637" s="439"/>
      <c r="R637" s="440">
        <f>VLOOKUP(Ruimtestaat[[#This Row],[Ruimte code]],Ruimtegroepen[],4,FALSE)</f>
        <v>0</v>
      </c>
      <c r="S637" s="434"/>
      <c r="T637" s="434"/>
      <c r="U637" s="453">
        <f>IF(S637&gt;0,IF(RIGHT(Ruimtestaat[[#This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37" s="434">
        <f>IF(U637&gt;0,VLOOKUP($J637,Ruimtegroepen[],3,FALSE)*VLOOKUP($L637,Vloersoorten[],3,FALSE)*VLOOKUP($T637,Frequenties[],3,FALSE)*VLOOKUP($A637,Locaties[],3,FALSE),0)</f>
        <v>0</v>
      </c>
      <c r="W637" s="434">
        <f>Ruimtestaat[[#This Row],[Uitvoeringen werkdagen]]*Ruimtestaat[[#This Row],[Oppervlak (netto)]]</f>
        <v>0</v>
      </c>
      <c r="X637" s="441">
        <f>IF(V637&gt;0,Ruimtestaat[[#This Row],[Prest. (m2 /jaar) werkdagen]]/Ruimtestaat[[#This Row],[Norm (m2/uur) werkdagen]],0)</f>
        <v>0</v>
      </c>
      <c r="Y637" s="442">
        <f>Ruimtestaat[[#This Row],[Uitvoeringen werkdagen]]*Ruimtestaat[[#This Row],[Gedeeltelijk]]</f>
        <v>0</v>
      </c>
      <c r="Z637" s="443">
        <f>IF(U637&gt;0,Ruimtestaat[[#This Row],[Prest. (m2 / jaar) werkdagen gedeeld]]/Ruimtestaat[[#This Row],[Norm (m2/uur) werkdagen]],0)</f>
        <v>0</v>
      </c>
      <c r="AA637" s="441">
        <f>Ruimtestaat[[#This Row],[uren / jaar werkdagen gedeeld]]*Tariefsopbouw!$E$35</f>
        <v>0</v>
      </c>
      <c r="AB637" s="441">
        <f>Ruimtestaat[[#This Row],[Uitvoeringen werkdagen]]*Ruimtestaat[[#This Row],[BSO]]</f>
        <v>0</v>
      </c>
      <c r="AC637" s="443">
        <f>IF(U637&gt;0,Ruimtestaat[[#This Row],[Prest. (m2 / jaar) werkdagen BSO]]/Ruimtestaat[[#This Row],[Norm (m2/uur) werkdagen]],0)</f>
        <v>0</v>
      </c>
      <c r="AD637" s="443">
        <f>Ruimtestaat[[#This Row],[uren / jaar werkdagen BSO]]*Tariefsopbouw!$E$35</f>
        <v>0</v>
      </c>
      <c r="AE637" s="444">
        <f>Ruimtestaat[[#This Row],[uren / jaar werkdagen]]*Tariefsopbouw!$E$35</f>
        <v>0</v>
      </c>
      <c r="AF637" s="454"/>
      <c r="AG637" s="455">
        <f>IF(Ruimtestaat[[#This Row],[Frequentie weekend]]&gt;0,VALUE(LEFT(AF637,1))*S637,0)</f>
        <v>0</v>
      </c>
      <c r="AH637" s="455">
        <f>IF($AG637&gt;0,VLOOKUP($J637,Ruimtegroepen[],3,FALSE)*VLOOKUP($L637,Vloersoorten[],3,FALSE)*VLOOKUP($AF637,Frequenties[],3,FALSE)*VLOOKUP(#REF!,Locaties[],3,FALSE),0)</f>
        <v>0</v>
      </c>
      <c r="AI637" s="434">
        <f>Ruimtestaat[[#This Row],[Uitvoeringen weekend]]*Ruimtestaat[[#This Row],[Oppervlak (netto)]]</f>
        <v>0</v>
      </c>
      <c r="AJ637" s="434">
        <f>IF(AH637&gt;0,Ruimtestaat[[#This Row],[Prest. (m2 /jaar) weekend]]/Ruimtestaat[[#This Row],[Norm (m2/uur) weekend]],0)</f>
        <v>0</v>
      </c>
      <c r="AK637" s="444">
        <f>Ruimtestaat[[#This Row],[uren / jaar weekend]]*Tariefsopbouw!$D$40</f>
        <v>0</v>
      </c>
      <c r="AL637" s="441">
        <f>Ruimtestaat[[#This Row],[Prest. (m2 /jaar) weekend]]+Ruimtestaat[[#This Row],[Prest. (m2 /jaar) werkdagen]]</f>
        <v>0</v>
      </c>
      <c r="AM637" s="441">
        <f>Ruimtestaat[[#This Row],[uren / jaar weekend]]+Ruimtestaat[[#This Row],[uren / jaar werkdagen]]</f>
        <v>0</v>
      </c>
      <c r="AN637" s="446">
        <f>Ruimtestaat[[#This Row],[kosten / jaar weekend]]+Ruimtestaat[[#This Row],[kosten / jaar werkdagen]]</f>
        <v>0</v>
      </c>
      <c r="AO637" s="446"/>
      <c r="AP637" s="446" t="str">
        <f>IF(Ruimtestaat[[#This Row],[Frequentie werkdagen]]="","",_xlfn.CONCAT(Ruimtestaat[[#This Row],[Ruimte code]],"-",Ruimtestaat[[#This Row],[Frequentie werkdagen]]," ",Ruimtestaat[[#This Row],[Vloer code]]))</f>
        <v/>
      </c>
      <c r="AQ637" s="448" t="str">
        <f>_xlfn.IFNA(VLOOKUP($AP637,Programma!$F$3:$G$1101,2,0),"")</f>
        <v/>
      </c>
      <c r="AR637" s="448" t="str">
        <f>_xlfn.IFNA(VLOOKUP($AP637,Programma!$F$3:$H$1101,3,0),"")</f>
        <v/>
      </c>
      <c r="AS637" s="448" t="str">
        <f>_xlfn.IFNA(VLOOKUP($AP637,Programma!$F$3:$I$1101,4,0),"")</f>
        <v/>
      </c>
      <c r="AT637" s="448" t="str">
        <f>_xlfn.IFNA(VLOOKUP($AP637,Programma!$F$3:$J$1101,5,0),"")</f>
        <v/>
      </c>
      <c r="AU637" s="448" t="str">
        <f>_xlfn.IFNA(VLOOKUP($AP637,Programma!$F$3:$K$1101,6,0),"")</f>
        <v/>
      </c>
      <c r="AV637" s="448" t="str">
        <f>_xlfn.IFNA(VLOOKUP($AP637,Programma!$F$3:$L$1101,7,0),"")</f>
        <v/>
      </c>
      <c r="AW637" s="448" t="str">
        <f>_xlfn.IFNA(VLOOKUP($AP637,Programma!$F$3:$M$1101,8,0),"")</f>
        <v/>
      </c>
      <c r="AX637" s="448" t="str">
        <f>_xlfn.IFNA(VLOOKUP($AP637,Programma!$F$3:$N$1101,9,0),"")</f>
        <v/>
      </c>
      <c r="AY637" s="448" t="str">
        <f>_xlfn.IFNA(VLOOKUP($AP637,Programma!$F$3:$O$1101,10,0),"")</f>
        <v/>
      </c>
      <c r="AZ637" s="448" t="str">
        <f>_xlfn.IFNA(VLOOKUP($AP637,Programma!$F$3:$P$1101,11,0),"")</f>
        <v/>
      </c>
      <c r="BA637" s="448" t="str">
        <f>_xlfn.IFNA(VLOOKUP($AP637,Programma!$F$3:$Q$1101,12,0),"")</f>
        <v/>
      </c>
      <c r="BB637" s="448" t="str">
        <f>_xlfn.IFNA(VLOOKUP($AP637,Programma!$F$3:$R$1101,13,0),"")</f>
        <v/>
      </c>
      <c r="BC637" s="448" t="str">
        <f>_xlfn.IFNA(VLOOKUP($AP637,Programma!$F$3:$S$1101,14,0),"")</f>
        <v/>
      </c>
      <c r="BD637" s="448" t="str">
        <f>_xlfn.IFNA(VLOOKUP($AP637,Programma!$F$3:$T$1101,15,0),"")</f>
        <v/>
      </c>
      <c r="BE637" s="448" t="str">
        <f>_xlfn.IFNA(VLOOKUP($AP637,Programma!$F$3:$U$1101,16,0),"")</f>
        <v/>
      </c>
      <c r="BF637" s="448" t="str">
        <f>_xlfn.IFNA(VLOOKUP($AP637,Programma!$F$3:$V$1101,17,0),"")</f>
        <v/>
      </c>
      <c r="BG637" s="448" t="str">
        <f>_xlfn.IFNA(VLOOKUP($AP637,Programma!$F$3:$W$1101,18,0),"")</f>
        <v/>
      </c>
      <c r="BH637" s="448" t="str">
        <f>_xlfn.IFNA(VLOOKUP($AP637,Programma!$F$3:$X$1101,19,0),"")</f>
        <v/>
      </c>
      <c r="BI637" s="448" t="str">
        <f>_xlfn.IFNA(VLOOKUP($AP637,Programma!$F$3:$Y$1101,20,0),"")</f>
        <v/>
      </c>
      <c r="BJ637" s="449"/>
      <c r="BK637" s="446" t="str">
        <f>IF(Ruimtestaat[[#This Row],[Frequentie weekend]]="","",_xlfn.CONCAT(Ruimtestaat[[#This Row],[Ruimte code]],"-",Ruimtestaat[[#This Row],[Frequentie weekend]]," ",Ruimtestaat[[#This Row],[Vloer code]]))</f>
        <v/>
      </c>
      <c r="BL637" s="448" t="str">
        <f>_xlfn.IFNA(VLOOKUP($BK637,Programma!$F$3:$G$1101,2,0),"")</f>
        <v/>
      </c>
      <c r="BM637" s="448" t="str">
        <f>_xlfn.IFNA(VLOOKUP($BK637,Programma!$F$3:$H$1101,3,0),"")</f>
        <v/>
      </c>
      <c r="BN637" s="448" t="str">
        <f>_xlfn.IFNA(VLOOKUP($BK637,Programma!$F$3:$I$1101,4,0),"")</f>
        <v/>
      </c>
      <c r="BO637" s="448" t="str">
        <f>_xlfn.IFNA(VLOOKUP($BK637,Programma!$F$3:$J$1101,5,0),"")</f>
        <v/>
      </c>
      <c r="BP637" s="448" t="str">
        <f>_xlfn.IFNA(VLOOKUP($BK637,Programma!$F$3:$K$1101,6,0),"")</f>
        <v/>
      </c>
      <c r="BQ637" s="448" t="str">
        <f>_xlfn.IFNA(VLOOKUP($BK637,Programma!$F$3:$L$1101,7,0),"")</f>
        <v/>
      </c>
      <c r="BR637" s="448" t="str">
        <f>_xlfn.IFNA(VLOOKUP($BK637,Programma!$F$3:$M$1101,8,0),"")</f>
        <v/>
      </c>
      <c r="BS637" s="448" t="str">
        <f>_xlfn.IFNA(VLOOKUP($BK637,Programma!$F$3:$N$1101,9,0),"")</f>
        <v/>
      </c>
      <c r="BT637" s="448" t="str">
        <f>_xlfn.IFNA(VLOOKUP($BK637,Programma!$F$3:$O$1101,10,0),"")</f>
        <v/>
      </c>
      <c r="BU637" s="448" t="str">
        <f>_xlfn.IFNA(VLOOKUP($BK637,Programma!$F$3:$P$1101,11,0),"")</f>
        <v/>
      </c>
      <c r="BV637" s="448" t="str">
        <f>_xlfn.IFNA(VLOOKUP($BK637,Programma!$F$3:$Q$1101,12,0),"")</f>
        <v/>
      </c>
      <c r="BW637" s="448" t="str">
        <f>_xlfn.IFNA(VLOOKUP($BK637,Programma!$F$3:$R$1101,13,0),"")</f>
        <v/>
      </c>
      <c r="BX637" s="448" t="str">
        <f>_xlfn.IFNA(VLOOKUP($BK637,Programma!$F$3:$S$1101,14,0),"")</f>
        <v/>
      </c>
      <c r="BY637" s="448" t="str">
        <f>_xlfn.IFNA(VLOOKUP($BK637,Programma!$F$3:$T$1101,15,0),"")</f>
        <v/>
      </c>
      <c r="BZ637" s="448" t="str">
        <f>_xlfn.IFNA(VLOOKUP($BK637,Programma!$F$3:$U$1101,16,0),"")</f>
        <v/>
      </c>
      <c r="CA637" s="448" t="str">
        <f>_xlfn.IFNA(VLOOKUP($BK637,Programma!$F$3:$V$1101,17,0),"")</f>
        <v/>
      </c>
      <c r="CB637" s="448" t="str">
        <f>_xlfn.IFNA(VLOOKUP($BK637,Programma!$F$3:$W$1101,18,0),"")</f>
        <v/>
      </c>
      <c r="CC637" s="448" t="str">
        <f>_xlfn.IFNA(VLOOKUP($BK637,Programma!$F$3:$X$1101,19,0),"")</f>
        <v/>
      </c>
      <c r="CD637" s="448" t="str">
        <f>_xlfn.IFNA(VLOOKUP($BK637,Programma!$F$3:$Y$1101,20,0),"")</f>
        <v/>
      </c>
    </row>
    <row r="638" spans="1:82" ht="15" customHeight="1">
      <c r="A638" s="327">
        <v>15</v>
      </c>
      <c r="B638" s="435" t="str">
        <f>VLOOKUP(Ruimtestaat[[#This Row],[Code]],Locaties[[Code]:[Locatie]],2,FALSE)</f>
        <v>IKC  Da Vinci</v>
      </c>
      <c r="C638" s="435" t="str">
        <f>VLOOKUP(Ruimtestaat[[#This Row],[Code]],Locaties[[#All],[Code]:[Adres]],4,FALSE)</f>
        <v>Spitsbergen 17</v>
      </c>
      <c r="D638" s="435" t="str">
        <f>VLOOKUP(Ruimtestaat[[#This Row],[Code]],Locaties[[#All],[Code]:[Postcode]],5,FALSE)</f>
        <v>2721 GP</v>
      </c>
      <c r="E638" s="435" t="str">
        <f>VLOOKUP(Ruimtestaat[[#This Row],[Code]],Locaties[#All],6,FALSE)</f>
        <v>Zoetermeer</v>
      </c>
      <c r="F638" s="330" t="s">
        <v>2154</v>
      </c>
      <c r="I638" s="450" t="s">
        <v>1886</v>
      </c>
      <c r="J638" s="330">
        <v>20</v>
      </c>
      <c r="K638" s="450" t="str">
        <f>VLOOKUP(Ruimtestaat[[#This Row],[Ruimte code]],Ruimtegroepen[[#All],[Code]:[Ruimte omschrijving]],2,FALSE)</f>
        <v>Niet in Onderhoud</v>
      </c>
      <c r="M638" s="330"/>
      <c r="N638" s="439"/>
      <c r="O638" s="439">
        <v>17</v>
      </c>
      <c r="P638" s="439"/>
      <c r="Q638" s="439"/>
      <c r="R638" s="440">
        <f>VLOOKUP(Ruimtestaat[[#This Row],[Ruimte code]],Ruimtegroepen[],4,FALSE)</f>
        <v>0</v>
      </c>
      <c r="S638" s="434"/>
      <c r="T638" s="434"/>
      <c r="U638" s="453">
        <f>IF(S638&gt;0,IF(RIGHT(Ruimtestaat[[#This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38" s="434">
        <f>IF(U638&gt;0,VLOOKUP($J638,Ruimtegroepen[],3,FALSE)*VLOOKUP($L638,Vloersoorten[],3,FALSE)*VLOOKUP($T638,Frequenties[],3,FALSE)*VLOOKUP($A638,Locaties[],3,FALSE),0)</f>
        <v>0</v>
      </c>
      <c r="W638" s="434">
        <f>Ruimtestaat[[#This Row],[Uitvoeringen werkdagen]]*Ruimtestaat[[#This Row],[Oppervlak (netto)]]</f>
        <v>0</v>
      </c>
      <c r="X638" s="441">
        <f>IF(V638&gt;0,Ruimtestaat[[#This Row],[Prest. (m2 /jaar) werkdagen]]/Ruimtestaat[[#This Row],[Norm (m2/uur) werkdagen]],0)</f>
        <v>0</v>
      </c>
      <c r="Y638" s="442">
        <f>Ruimtestaat[[#This Row],[Uitvoeringen werkdagen]]*Ruimtestaat[[#This Row],[Gedeeltelijk]]</f>
        <v>0</v>
      </c>
      <c r="Z638" s="443">
        <f>IF(U638&gt;0,Ruimtestaat[[#This Row],[Prest. (m2 / jaar) werkdagen gedeeld]]/Ruimtestaat[[#This Row],[Norm (m2/uur) werkdagen]],0)</f>
        <v>0</v>
      </c>
      <c r="AA638" s="441">
        <f>Ruimtestaat[[#This Row],[uren / jaar werkdagen gedeeld]]*Tariefsopbouw!$E$35</f>
        <v>0</v>
      </c>
      <c r="AB638" s="441">
        <f>Ruimtestaat[[#This Row],[Uitvoeringen werkdagen]]*Ruimtestaat[[#This Row],[BSO]]</f>
        <v>0</v>
      </c>
      <c r="AC638" s="443">
        <f>IF(U638&gt;0,Ruimtestaat[[#This Row],[Prest. (m2 / jaar) werkdagen BSO]]/Ruimtestaat[[#This Row],[Norm (m2/uur) werkdagen]],0)</f>
        <v>0</v>
      </c>
      <c r="AD638" s="443">
        <f>Ruimtestaat[[#This Row],[uren / jaar werkdagen BSO]]*Tariefsopbouw!$E$35</f>
        <v>0</v>
      </c>
      <c r="AE638" s="444">
        <f>Ruimtestaat[[#This Row],[uren / jaar werkdagen]]*Tariefsopbouw!$E$35</f>
        <v>0</v>
      </c>
      <c r="AF638" s="454"/>
      <c r="AG638" s="455">
        <f>IF(Ruimtestaat[[#This Row],[Frequentie weekend]]&gt;0,VALUE(LEFT(AF638,1))*S638,0)</f>
        <v>0</v>
      </c>
      <c r="AH638" s="455">
        <f>IF($AG638&gt;0,VLOOKUP($J638,Ruimtegroepen[],3,FALSE)*VLOOKUP($L638,Vloersoorten[],3,FALSE)*VLOOKUP($AF638,Frequenties[],3,FALSE)*VLOOKUP(#REF!,Locaties[],3,FALSE),0)</f>
        <v>0</v>
      </c>
      <c r="AI638" s="434">
        <f>Ruimtestaat[[#This Row],[Uitvoeringen weekend]]*Ruimtestaat[[#This Row],[Oppervlak (netto)]]</f>
        <v>0</v>
      </c>
      <c r="AJ638" s="434">
        <f>IF(AH638&gt;0,Ruimtestaat[[#This Row],[Prest. (m2 /jaar) weekend]]/Ruimtestaat[[#This Row],[Norm (m2/uur) weekend]],0)</f>
        <v>0</v>
      </c>
      <c r="AK638" s="444">
        <f>Ruimtestaat[[#This Row],[uren / jaar weekend]]*Tariefsopbouw!$D$40</f>
        <v>0</v>
      </c>
      <c r="AL638" s="441">
        <f>Ruimtestaat[[#This Row],[Prest. (m2 /jaar) weekend]]+Ruimtestaat[[#This Row],[Prest. (m2 /jaar) werkdagen]]</f>
        <v>0</v>
      </c>
      <c r="AM638" s="441">
        <f>Ruimtestaat[[#This Row],[uren / jaar weekend]]+Ruimtestaat[[#This Row],[uren / jaar werkdagen]]</f>
        <v>0</v>
      </c>
      <c r="AN638" s="446">
        <f>Ruimtestaat[[#This Row],[kosten / jaar weekend]]+Ruimtestaat[[#This Row],[kosten / jaar werkdagen]]</f>
        <v>0</v>
      </c>
      <c r="AO638" s="446"/>
      <c r="AP638" s="446" t="str">
        <f>IF(Ruimtestaat[[#This Row],[Frequentie werkdagen]]="","",_xlfn.CONCAT(Ruimtestaat[[#This Row],[Ruimte code]],"-",Ruimtestaat[[#This Row],[Frequentie werkdagen]]," ",Ruimtestaat[[#This Row],[Vloer code]]))</f>
        <v/>
      </c>
      <c r="AQ638" s="448" t="str">
        <f>_xlfn.IFNA(VLOOKUP($AP638,Programma!$F$3:$G$1101,2,0),"")</f>
        <v/>
      </c>
      <c r="AR638" s="448" t="str">
        <f>_xlfn.IFNA(VLOOKUP($AP638,Programma!$F$3:$H$1101,3,0),"")</f>
        <v/>
      </c>
      <c r="AS638" s="448" t="str">
        <f>_xlfn.IFNA(VLOOKUP($AP638,Programma!$F$3:$I$1101,4,0),"")</f>
        <v/>
      </c>
      <c r="AT638" s="448" t="str">
        <f>_xlfn.IFNA(VLOOKUP($AP638,Programma!$F$3:$J$1101,5,0),"")</f>
        <v/>
      </c>
      <c r="AU638" s="448" t="str">
        <f>_xlfn.IFNA(VLOOKUP($AP638,Programma!$F$3:$K$1101,6,0),"")</f>
        <v/>
      </c>
      <c r="AV638" s="448" t="str">
        <f>_xlfn.IFNA(VLOOKUP($AP638,Programma!$F$3:$L$1101,7,0),"")</f>
        <v/>
      </c>
      <c r="AW638" s="448" t="str">
        <f>_xlfn.IFNA(VLOOKUP($AP638,Programma!$F$3:$M$1101,8,0),"")</f>
        <v/>
      </c>
      <c r="AX638" s="448" t="str">
        <f>_xlfn.IFNA(VLOOKUP($AP638,Programma!$F$3:$N$1101,9,0),"")</f>
        <v/>
      </c>
      <c r="AY638" s="448" t="str">
        <f>_xlfn.IFNA(VLOOKUP($AP638,Programma!$F$3:$O$1101,10,0),"")</f>
        <v/>
      </c>
      <c r="AZ638" s="448" t="str">
        <f>_xlfn.IFNA(VLOOKUP($AP638,Programma!$F$3:$P$1101,11,0),"")</f>
        <v/>
      </c>
      <c r="BA638" s="448" t="str">
        <f>_xlfn.IFNA(VLOOKUP($AP638,Programma!$F$3:$Q$1101,12,0),"")</f>
        <v/>
      </c>
      <c r="BB638" s="448" t="str">
        <f>_xlfn.IFNA(VLOOKUP($AP638,Programma!$F$3:$R$1101,13,0),"")</f>
        <v/>
      </c>
      <c r="BC638" s="448" t="str">
        <f>_xlfn.IFNA(VLOOKUP($AP638,Programma!$F$3:$S$1101,14,0),"")</f>
        <v/>
      </c>
      <c r="BD638" s="448" t="str">
        <f>_xlfn.IFNA(VLOOKUP($AP638,Programma!$F$3:$T$1101,15,0),"")</f>
        <v/>
      </c>
      <c r="BE638" s="448" t="str">
        <f>_xlfn.IFNA(VLOOKUP($AP638,Programma!$F$3:$U$1101,16,0),"")</f>
        <v/>
      </c>
      <c r="BF638" s="448" t="str">
        <f>_xlfn.IFNA(VLOOKUP($AP638,Programma!$F$3:$V$1101,17,0),"")</f>
        <v/>
      </c>
      <c r="BG638" s="448" t="str">
        <f>_xlfn.IFNA(VLOOKUP($AP638,Programma!$F$3:$W$1101,18,0),"")</f>
        <v/>
      </c>
      <c r="BH638" s="448" t="str">
        <f>_xlfn.IFNA(VLOOKUP($AP638,Programma!$F$3:$X$1101,19,0),"")</f>
        <v/>
      </c>
      <c r="BI638" s="448" t="str">
        <f>_xlfn.IFNA(VLOOKUP($AP638,Programma!$F$3:$Y$1101,20,0),"")</f>
        <v/>
      </c>
      <c r="BJ638" s="449"/>
      <c r="BK638" s="446" t="str">
        <f>IF(Ruimtestaat[[#This Row],[Frequentie weekend]]="","",_xlfn.CONCAT(Ruimtestaat[[#This Row],[Ruimte code]],"-",Ruimtestaat[[#This Row],[Frequentie weekend]]," ",Ruimtestaat[[#This Row],[Vloer code]]))</f>
        <v/>
      </c>
      <c r="BL638" s="448" t="str">
        <f>_xlfn.IFNA(VLOOKUP($BK638,Programma!$F$3:$G$1101,2,0),"")</f>
        <v/>
      </c>
      <c r="BM638" s="448" t="str">
        <f>_xlfn.IFNA(VLOOKUP($BK638,Programma!$F$3:$H$1101,3,0),"")</f>
        <v/>
      </c>
      <c r="BN638" s="448" t="str">
        <f>_xlfn.IFNA(VLOOKUP($BK638,Programma!$F$3:$I$1101,4,0),"")</f>
        <v/>
      </c>
      <c r="BO638" s="448" t="str">
        <f>_xlfn.IFNA(VLOOKUP($BK638,Programma!$F$3:$J$1101,5,0),"")</f>
        <v/>
      </c>
      <c r="BP638" s="448" t="str">
        <f>_xlfn.IFNA(VLOOKUP($BK638,Programma!$F$3:$K$1101,6,0),"")</f>
        <v/>
      </c>
      <c r="BQ638" s="448" t="str">
        <f>_xlfn.IFNA(VLOOKUP($BK638,Programma!$F$3:$L$1101,7,0),"")</f>
        <v/>
      </c>
      <c r="BR638" s="448" t="str">
        <f>_xlfn.IFNA(VLOOKUP($BK638,Programma!$F$3:$M$1101,8,0),"")</f>
        <v/>
      </c>
      <c r="BS638" s="448" t="str">
        <f>_xlfn.IFNA(VLOOKUP($BK638,Programma!$F$3:$N$1101,9,0),"")</f>
        <v/>
      </c>
      <c r="BT638" s="448" t="str">
        <f>_xlfn.IFNA(VLOOKUP($BK638,Programma!$F$3:$O$1101,10,0),"")</f>
        <v/>
      </c>
      <c r="BU638" s="448" t="str">
        <f>_xlfn.IFNA(VLOOKUP($BK638,Programma!$F$3:$P$1101,11,0),"")</f>
        <v/>
      </c>
      <c r="BV638" s="448" t="str">
        <f>_xlfn.IFNA(VLOOKUP($BK638,Programma!$F$3:$Q$1101,12,0),"")</f>
        <v/>
      </c>
      <c r="BW638" s="448" t="str">
        <f>_xlfn.IFNA(VLOOKUP($BK638,Programma!$F$3:$R$1101,13,0),"")</f>
        <v/>
      </c>
      <c r="BX638" s="448" t="str">
        <f>_xlfn.IFNA(VLOOKUP($BK638,Programma!$F$3:$S$1101,14,0),"")</f>
        <v/>
      </c>
      <c r="BY638" s="448" t="str">
        <f>_xlfn.IFNA(VLOOKUP($BK638,Programma!$F$3:$T$1101,15,0),"")</f>
        <v/>
      </c>
      <c r="BZ638" s="448" t="str">
        <f>_xlfn.IFNA(VLOOKUP($BK638,Programma!$F$3:$U$1101,16,0),"")</f>
        <v/>
      </c>
      <c r="CA638" s="448" t="str">
        <f>_xlfn.IFNA(VLOOKUP($BK638,Programma!$F$3:$V$1101,17,0),"")</f>
        <v/>
      </c>
      <c r="CB638" s="448" t="str">
        <f>_xlfn.IFNA(VLOOKUP($BK638,Programma!$F$3:$W$1101,18,0),"")</f>
        <v/>
      </c>
      <c r="CC638" s="448" t="str">
        <f>_xlfn.IFNA(VLOOKUP($BK638,Programma!$F$3:$X$1101,19,0),"")</f>
        <v/>
      </c>
      <c r="CD638" s="448" t="str">
        <f>_xlfn.IFNA(VLOOKUP($BK638,Programma!$F$3:$Y$1101,20,0),"")</f>
        <v/>
      </c>
    </row>
    <row r="639" spans="1:82" ht="15" customHeight="1">
      <c r="A639" s="327">
        <v>15</v>
      </c>
      <c r="B639" s="435" t="str">
        <f>VLOOKUP(Ruimtestaat[[#This Row],[Code]],Locaties[[Code]:[Locatie]],2,FALSE)</f>
        <v>IKC  Da Vinci</v>
      </c>
      <c r="C639" s="435" t="str">
        <f>VLOOKUP(Ruimtestaat[[#This Row],[Code]],Locaties[[#All],[Code]:[Adres]],4,FALSE)</f>
        <v>Spitsbergen 17</v>
      </c>
      <c r="D639" s="435" t="str">
        <f>VLOOKUP(Ruimtestaat[[#This Row],[Code]],Locaties[[#All],[Code]:[Postcode]],5,FALSE)</f>
        <v>2721 GP</v>
      </c>
      <c r="E639" s="435" t="str">
        <f>VLOOKUP(Ruimtestaat[[#This Row],[Code]],Locaties[#All],6,FALSE)</f>
        <v>Zoetermeer</v>
      </c>
      <c r="F639" s="330" t="s">
        <v>2154</v>
      </c>
      <c r="I639" s="450" t="s">
        <v>1745</v>
      </c>
      <c r="J639" s="330">
        <v>20</v>
      </c>
      <c r="K639" s="450" t="str">
        <f>VLOOKUP(Ruimtestaat[[#This Row],[Ruimte code]],Ruimtegroepen[[#All],[Code]:[Ruimte omschrijving]],2,FALSE)</f>
        <v>Niet in Onderhoud</v>
      </c>
      <c r="M639" s="330"/>
      <c r="N639" s="439"/>
      <c r="O639" s="439">
        <v>94</v>
      </c>
      <c r="P639" s="439"/>
      <c r="Q639" s="439"/>
      <c r="R639" s="440">
        <f>VLOOKUP(Ruimtestaat[[#This Row],[Ruimte code]],Ruimtegroepen[],4,FALSE)</f>
        <v>0</v>
      </c>
      <c r="S639" s="434"/>
      <c r="T639" s="434"/>
      <c r="U639" s="453">
        <f>IF(S639&gt;0,IF(RIGHT(Ruimtestaat[[#This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39" s="434">
        <f>IF(U639&gt;0,VLOOKUP($J639,Ruimtegroepen[],3,FALSE)*VLOOKUP($L639,Vloersoorten[],3,FALSE)*VLOOKUP($T639,Frequenties[],3,FALSE)*VLOOKUP($A639,Locaties[],3,FALSE),0)</f>
        <v>0</v>
      </c>
      <c r="W639" s="434">
        <f>Ruimtestaat[[#This Row],[Uitvoeringen werkdagen]]*Ruimtestaat[[#This Row],[Oppervlak (netto)]]</f>
        <v>0</v>
      </c>
      <c r="X639" s="441">
        <f>IF(V639&gt;0,Ruimtestaat[[#This Row],[Prest. (m2 /jaar) werkdagen]]/Ruimtestaat[[#This Row],[Norm (m2/uur) werkdagen]],0)</f>
        <v>0</v>
      </c>
      <c r="Y639" s="442">
        <f>Ruimtestaat[[#This Row],[Uitvoeringen werkdagen]]*Ruimtestaat[[#This Row],[Gedeeltelijk]]</f>
        <v>0</v>
      </c>
      <c r="Z639" s="443">
        <f>IF(U639&gt;0,Ruimtestaat[[#This Row],[Prest. (m2 / jaar) werkdagen gedeeld]]/Ruimtestaat[[#This Row],[Norm (m2/uur) werkdagen]],0)</f>
        <v>0</v>
      </c>
      <c r="AA639" s="441">
        <f>Ruimtestaat[[#This Row],[uren / jaar werkdagen gedeeld]]*Tariefsopbouw!$E$35</f>
        <v>0</v>
      </c>
      <c r="AB639" s="441">
        <f>Ruimtestaat[[#This Row],[Uitvoeringen werkdagen]]*Ruimtestaat[[#This Row],[BSO]]</f>
        <v>0</v>
      </c>
      <c r="AC639" s="443">
        <f>IF(U639&gt;0,Ruimtestaat[[#This Row],[Prest. (m2 / jaar) werkdagen BSO]]/Ruimtestaat[[#This Row],[Norm (m2/uur) werkdagen]],0)</f>
        <v>0</v>
      </c>
      <c r="AD639" s="443">
        <f>Ruimtestaat[[#This Row],[uren / jaar werkdagen BSO]]*Tariefsopbouw!$E$35</f>
        <v>0</v>
      </c>
      <c r="AE639" s="444">
        <f>Ruimtestaat[[#This Row],[uren / jaar werkdagen]]*Tariefsopbouw!$E$35</f>
        <v>0</v>
      </c>
      <c r="AF639" s="454"/>
      <c r="AG639" s="455">
        <f>IF(Ruimtestaat[[#This Row],[Frequentie weekend]]&gt;0,VALUE(LEFT(AF639,1))*S639,0)</f>
        <v>0</v>
      </c>
      <c r="AH639" s="455">
        <f>IF($AG639&gt;0,VLOOKUP($J639,Ruimtegroepen[],3,FALSE)*VLOOKUP($L639,Vloersoorten[],3,FALSE)*VLOOKUP($AF639,Frequenties[],3,FALSE)*VLOOKUP(#REF!,Locaties[],3,FALSE),0)</f>
        <v>0</v>
      </c>
      <c r="AI639" s="434">
        <f>Ruimtestaat[[#This Row],[Uitvoeringen weekend]]*Ruimtestaat[[#This Row],[Oppervlak (netto)]]</f>
        <v>0</v>
      </c>
      <c r="AJ639" s="434">
        <f>IF(AH639&gt;0,Ruimtestaat[[#This Row],[Prest. (m2 /jaar) weekend]]/Ruimtestaat[[#This Row],[Norm (m2/uur) weekend]],0)</f>
        <v>0</v>
      </c>
      <c r="AK639" s="444">
        <f>Ruimtestaat[[#This Row],[uren / jaar weekend]]*Tariefsopbouw!$D$40</f>
        <v>0</v>
      </c>
      <c r="AL639" s="441">
        <f>Ruimtestaat[[#This Row],[Prest. (m2 /jaar) weekend]]+Ruimtestaat[[#This Row],[Prest. (m2 /jaar) werkdagen]]</f>
        <v>0</v>
      </c>
      <c r="AM639" s="441">
        <f>Ruimtestaat[[#This Row],[uren / jaar weekend]]+Ruimtestaat[[#This Row],[uren / jaar werkdagen]]</f>
        <v>0</v>
      </c>
      <c r="AN639" s="446">
        <f>Ruimtestaat[[#This Row],[kosten / jaar weekend]]+Ruimtestaat[[#This Row],[kosten / jaar werkdagen]]</f>
        <v>0</v>
      </c>
      <c r="AO639" s="446"/>
      <c r="AP639" s="446" t="str">
        <f>IF(Ruimtestaat[[#This Row],[Frequentie werkdagen]]="","",_xlfn.CONCAT(Ruimtestaat[[#This Row],[Ruimte code]],"-",Ruimtestaat[[#This Row],[Frequentie werkdagen]]," ",Ruimtestaat[[#This Row],[Vloer code]]))</f>
        <v/>
      </c>
      <c r="AQ639" s="448" t="str">
        <f>_xlfn.IFNA(VLOOKUP($AP639,Programma!$F$3:$G$1101,2,0),"")</f>
        <v/>
      </c>
      <c r="AR639" s="448" t="str">
        <f>_xlfn.IFNA(VLOOKUP($AP639,Programma!$F$3:$H$1101,3,0),"")</f>
        <v/>
      </c>
      <c r="AS639" s="448" t="str">
        <f>_xlfn.IFNA(VLOOKUP($AP639,Programma!$F$3:$I$1101,4,0),"")</f>
        <v/>
      </c>
      <c r="AT639" s="448" t="str">
        <f>_xlfn.IFNA(VLOOKUP($AP639,Programma!$F$3:$J$1101,5,0),"")</f>
        <v/>
      </c>
      <c r="AU639" s="448" t="str">
        <f>_xlfn.IFNA(VLOOKUP($AP639,Programma!$F$3:$K$1101,6,0),"")</f>
        <v/>
      </c>
      <c r="AV639" s="448" t="str">
        <f>_xlfn.IFNA(VLOOKUP($AP639,Programma!$F$3:$L$1101,7,0),"")</f>
        <v/>
      </c>
      <c r="AW639" s="448" t="str">
        <f>_xlfn.IFNA(VLOOKUP($AP639,Programma!$F$3:$M$1101,8,0),"")</f>
        <v/>
      </c>
      <c r="AX639" s="448" t="str">
        <f>_xlfn.IFNA(VLOOKUP($AP639,Programma!$F$3:$N$1101,9,0),"")</f>
        <v/>
      </c>
      <c r="AY639" s="448" t="str">
        <f>_xlfn.IFNA(VLOOKUP($AP639,Programma!$F$3:$O$1101,10,0),"")</f>
        <v/>
      </c>
      <c r="AZ639" s="448" t="str">
        <f>_xlfn.IFNA(VLOOKUP($AP639,Programma!$F$3:$P$1101,11,0),"")</f>
        <v/>
      </c>
      <c r="BA639" s="448" t="str">
        <f>_xlfn.IFNA(VLOOKUP($AP639,Programma!$F$3:$Q$1101,12,0),"")</f>
        <v/>
      </c>
      <c r="BB639" s="448" t="str">
        <f>_xlfn.IFNA(VLOOKUP($AP639,Programma!$F$3:$R$1101,13,0),"")</f>
        <v/>
      </c>
      <c r="BC639" s="448" t="str">
        <f>_xlfn.IFNA(VLOOKUP($AP639,Programma!$F$3:$S$1101,14,0),"")</f>
        <v/>
      </c>
      <c r="BD639" s="448" t="str">
        <f>_xlfn.IFNA(VLOOKUP($AP639,Programma!$F$3:$T$1101,15,0),"")</f>
        <v/>
      </c>
      <c r="BE639" s="448" t="str">
        <f>_xlfn.IFNA(VLOOKUP($AP639,Programma!$F$3:$U$1101,16,0),"")</f>
        <v/>
      </c>
      <c r="BF639" s="448" t="str">
        <f>_xlfn.IFNA(VLOOKUP($AP639,Programma!$F$3:$V$1101,17,0),"")</f>
        <v/>
      </c>
      <c r="BG639" s="448" t="str">
        <f>_xlfn.IFNA(VLOOKUP($AP639,Programma!$F$3:$W$1101,18,0),"")</f>
        <v/>
      </c>
      <c r="BH639" s="448" t="str">
        <f>_xlfn.IFNA(VLOOKUP($AP639,Programma!$F$3:$X$1101,19,0),"")</f>
        <v/>
      </c>
      <c r="BI639" s="448" t="str">
        <f>_xlfn.IFNA(VLOOKUP($AP639,Programma!$F$3:$Y$1101,20,0),"")</f>
        <v/>
      </c>
      <c r="BJ639" s="449"/>
      <c r="BK639" s="446" t="str">
        <f>IF(Ruimtestaat[[#This Row],[Frequentie weekend]]="","",_xlfn.CONCAT(Ruimtestaat[[#This Row],[Ruimte code]],"-",Ruimtestaat[[#This Row],[Frequentie weekend]]," ",Ruimtestaat[[#This Row],[Vloer code]]))</f>
        <v/>
      </c>
      <c r="BL639" s="448" t="str">
        <f>_xlfn.IFNA(VLOOKUP($BK639,Programma!$F$3:$G$1101,2,0),"")</f>
        <v/>
      </c>
      <c r="BM639" s="448" t="str">
        <f>_xlfn.IFNA(VLOOKUP($BK639,Programma!$F$3:$H$1101,3,0),"")</f>
        <v/>
      </c>
      <c r="BN639" s="448" t="str">
        <f>_xlfn.IFNA(VLOOKUP($BK639,Programma!$F$3:$I$1101,4,0),"")</f>
        <v/>
      </c>
      <c r="BO639" s="448" t="str">
        <f>_xlfn.IFNA(VLOOKUP($BK639,Programma!$F$3:$J$1101,5,0),"")</f>
        <v/>
      </c>
      <c r="BP639" s="448" t="str">
        <f>_xlfn.IFNA(VLOOKUP($BK639,Programma!$F$3:$K$1101,6,0),"")</f>
        <v/>
      </c>
      <c r="BQ639" s="448" t="str">
        <f>_xlfn.IFNA(VLOOKUP($BK639,Programma!$F$3:$L$1101,7,0),"")</f>
        <v/>
      </c>
      <c r="BR639" s="448" t="str">
        <f>_xlfn.IFNA(VLOOKUP($BK639,Programma!$F$3:$M$1101,8,0),"")</f>
        <v/>
      </c>
      <c r="BS639" s="448" t="str">
        <f>_xlfn.IFNA(VLOOKUP($BK639,Programma!$F$3:$N$1101,9,0),"")</f>
        <v/>
      </c>
      <c r="BT639" s="448" t="str">
        <f>_xlfn.IFNA(VLOOKUP($BK639,Programma!$F$3:$O$1101,10,0),"")</f>
        <v/>
      </c>
      <c r="BU639" s="448" t="str">
        <f>_xlfn.IFNA(VLOOKUP($BK639,Programma!$F$3:$P$1101,11,0),"")</f>
        <v/>
      </c>
      <c r="BV639" s="448" t="str">
        <f>_xlfn.IFNA(VLOOKUP($BK639,Programma!$F$3:$Q$1101,12,0),"")</f>
        <v/>
      </c>
      <c r="BW639" s="448" t="str">
        <f>_xlfn.IFNA(VLOOKUP($BK639,Programma!$F$3:$R$1101,13,0),"")</f>
        <v/>
      </c>
      <c r="BX639" s="448" t="str">
        <f>_xlfn.IFNA(VLOOKUP($BK639,Programma!$F$3:$S$1101,14,0),"")</f>
        <v/>
      </c>
      <c r="BY639" s="448" t="str">
        <f>_xlfn.IFNA(VLOOKUP($BK639,Programma!$F$3:$T$1101,15,0),"")</f>
        <v/>
      </c>
      <c r="BZ639" s="448" t="str">
        <f>_xlfn.IFNA(VLOOKUP($BK639,Programma!$F$3:$U$1101,16,0),"")</f>
        <v/>
      </c>
      <c r="CA639" s="448" t="str">
        <f>_xlfn.IFNA(VLOOKUP($BK639,Programma!$F$3:$V$1101,17,0),"")</f>
        <v/>
      </c>
      <c r="CB639" s="448" t="str">
        <f>_xlfn.IFNA(VLOOKUP($BK639,Programma!$F$3:$W$1101,18,0),"")</f>
        <v/>
      </c>
      <c r="CC639" s="448" t="str">
        <f>_xlfn.IFNA(VLOOKUP($BK639,Programma!$F$3:$X$1101,19,0),"")</f>
        <v/>
      </c>
      <c r="CD639" s="448" t="str">
        <f>_xlfn.IFNA(VLOOKUP($BK639,Programma!$F$3:$Y$1101,20,0),"")</f>
        <v/>
      </c>
    </row>
    <row r="640" spans="1:82" ht="15" customHeight="1">
      <c r="A640" s="327">
        <v>15</v>
      </c>
      <c r="B640" s="435" t="str">
        <f>VLOOKUP(Ruimtestaat[[#This Row],[Code]],Locaties[[Code]:[Locatie]],2,FALSE)</f>
        <v>IKC  Da Vinci</v>
      </c>
      <c r="C640" s="435" t="str">
        <f>VLOOKUP(Ruimtestaat[[#This Row],[Code]],Locaties[[#All],[Code]:[Adres]],4,FALSE)</f>
        <v>Spitsbergen 17</v>
      </c>
      <c r="D640" s="435" t="str">
        <f>VLOOKUP(Ruimtestaat[[#This Row],[Code]],Locaties[[#All],[Code]:[Postcode]],5,FALSE)</f>
        <v>2721 GP</v>
      </c>
      <c r="E640" s="435" t="str">
        <f>VLOOKUP(Ruimtestaat[[#This Row],[Code]],Locaties[#All],6,FALSE)</f>
        <v>Zoetermeer</v>
      </c>
      <c r="F640" s="330" t="s">
        <v>2154</v>
      </c>
      <c r="I640" s="450" t="s">
        <v>1745</v>
      </c>
      <c r="J640" s="330">
        <v>20</v>
      </c>
      <c r="K640" s="450" t="str">
        <f>VLOOKUP(Ruimtestaat[[#This Row],[Ruimte code]],Ruimtegroepen[[#All],[Code]:[Ruimte omschrijving]],2,FALSE)</f>
        <v>Niet in Onderhoud</v>
      </c>
      <c r="M640" s="330"/>
      <c r="N640" s="439"/>
      <c r="O640" s="439">
        <v>149</v>
      </c>
      <c r="P640" s="439"/>
      <c r="Q640" s="439"/>
      <c r="R640" s="440">
        <f>VLOOKUP(Ruimtestaat[[#This Row],[Ruimte code]],Ruimtegroepen[],4,FALSE)</f>
        <v>0</v>
      </c>
      <c r="S640" s="434"/>
      <c r="T640" s="434"/>
      <c r="U640" s="453">
        <f>IF(S640&gt;0,IF(RIGHT(Ruimtestaat[[#This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0" s="434">
        <f>IF(U640&gt;0,VLOOKUP($J640,Ruimtegroepen[],3,FALSE)*VLOOKUP($L640,Vloersoorten[],3,FALSE)*VLOOKUP($T640,Frequenties[],3,FALSE)*VLOOKUP($A640,Locaties[],3,FALSE),0)</f>
        <v>0</v>
      </c>
      <c r="W640" s="434">
        <f>Ruimtestaat[[#This Row],[Uitvoeringen werkdagen]]*Ruimtestaat[[#This Row],[Oppervlak (netto)]]</f>
        <v>0</v>
      </c>
      <c r="X640" s="441">
        <f>IF(V640&gt;0,Ruimtestaat[[#This Row],[Prest. (m2 /jaar) werkdagen]]/Ruimtestaat[[#This Row],[Norm (m2/uur) werkdagen]],0)</f>
        <v>0</v>
      </c>
      <c r="Y640" s="442">
        <f>Ruimtestaat[[#This Row],[Uitvoeringen werkdagen]]*Ruimtestaat[[#This Row],[Gedeeltelijk]]</f>
        <v>0</v>
      </c>
      <c r="Z640" s="443">
        <f>IF(U640&gt;0,Ruimtestaat[[#This Row],[Prest. (m2 / jaar) werkdagen gedeeld]]/Ruimtestaat[[#This Row],[Norm (m2/uur) werkdagen]],0)</f>
        <v>0</v>
      </c>
      <c r="AA640" s="441">
        <f>Ruimtestaat[[#This Row],[uren / jaar werkdagen gedeeld]]*Tariefsopbouw!$E$35</f>
        <v>0</v>
      </c>
      <c r="AB640" s="441">
        <f>Ruimtestaat[[#This Row],[Uitvoeringen werkdagen]]*Ruimtestaat[[#This Row],[BSO]]</f>
        <v>0</v>
      </c>
      <c r="AC640" s="443">
        <f>IF(U640&gt;0,Ruimtestaat[[#This Row],[Prest. (m2 / jaar) werkdagen BSO]]/Ruimtestaat[[#This Row],[Norm (m2/uur) werkdagen]],0)</f>
        <v>0</v>
      </c>
      <c r="AD640" s="443">
        <f>Ruimtestaat[[#This Row],[uren / jaar werkdagen BSO]]*Tariefsopbouw!$E$35</f>
        <v>0</v>
      </c>
      <c r="AE640" s="444">
        <f>Ruimtestaat[[#This Row],[uren / jaar werkdagen]]*Tariefsopbouw!$E$35</f>
        <v>0</v>
      </c>
      <c r="AF640" s="454"/>
      <c r="AG640" s="455">
        <f>IF(Ruimtestaat[[#This Row],[Frequentie weekend]]&gt;0,VALUE(LEFT(AF640,1))*S640,0)</f>
        <v>0</v>
      </c>
      <c r="AH640" s="455">
        <f>IF($AG640&gt;0,VLOOKUP($J640,Ruimtegroepen[],3,FALSE)*VLOOKUP($L640,Vloersoorten[],3,FALSE)*VLOOKUP($AF640,Frequenties[],3,FALSE)*VLOOKUP(#REF!,Locaties[],3,FALSE),0)</f>
        <v>0</v>
      </c>
      <c r="AI640" s="434">
        <f>Ruimtestaat[[#This Row],[Uitvoeringen weekend]]*Ruimtestaat[[#This Row],[Oppervlak (netto)]]</f>
        <v>0</v>
      </c>
      <c r="AJ640" s="434">
        <f>IF(AH640&gt;0,Ruimtestaat[[#This Row],[Prest. (m2 /jaar) weekend]]/Ruimtestaat[[#This Row],[Norm (m2/uur) weekend]],0)</f>
        <v>0</v>
      </c>
      <c r="AK640" s="444">
        <f>Ruimtestaat[[#This Row],[uren / jaar weekend]]*Tariefsopbouw!$D$40</f>
        <v>0</v>
      </c>
      <c r="AL640" s="441">
        <f>Ruimtestaat[[#This Row],[Prest. (m2 /jaar) weekend]]+Ruimtestaat[[#This Row],[Prest. (m2 /jaar) werkdagen]]</f>
        <v>0</v>
      </c>
      <c r="AM640" s="441">
        <f>Ruimtestaat[[#This Row],[uren / jaar weekend]]+Ruimtestaat[[#This Row],[uren / jaar werkdagen]]</f>
        <v>0</v>
      </c>
      <c r="AN640" s="446">
        <f>Ruimtestaat[[#This Row],[kosten / jaar weekend]]+Ruimtestaat[[#This Row],[kosten / jaar werkdagen]]</f>
        <v>0</v>
      </c>
      <c r="AO640" s="446"/>
      <c r="AP640" s="446" t="str">
        <f>IF(Ruimtestaat[[#This Row],[Frequentie werkdagen]]="","",_xlfn.CONCAT(Ruimtestaat[[#This Row],[Ruimte code]],"-",Ruimtestaat[[#This Row],[Frequentie werkdagen]]," ",Ruimtestaat[[#This Row],[Vloer code]]))</f>
        <v/>
      </c>
      <c r="AQ640" s="448" t="str">
        <f>_xlfn.IFNA(VLOOKUP($AP640,Programma!$F$3:$G$1101,2,0),"")</f>
        <v/>
      </c>
      <c r="AR640" s="448" t="str">
        <f>_xlfn.IFNA(VLOOKUP($AP640,Programma!$F$3:$H$1101,3,0),"")</f>
        <v/>
      </c>
      <c r="AS640" s="448" t="str">
        <f>_xlfn.IFNA(VLOOKUP($AP640,Programma!$F$3:$I$1101,4,0),"")</f>
        <v/>
      </c>
      <c r="AT640" s="448" t="str">
        <f>_xlfn.IFNA(VLOOKUP($AP640,Programma!$F$3:$J$1101,5,0),"")</f>
        <v/>
      </c>
      <c r="AU640" s="448" t="str">
        <f>_xlfn.IFNA(VLOOKUP($AP640,Programma!$F$3:$K$1101,6,0),"")</f>
        <v/>
      </c>
      <c r="AV640" s="448" t="str">
        <f>_xlfn.IFNA(VLOOKUP($AP640,Programma!$F$3:$L$1101,7,0),"")</f>
        <v/>
      </c>
      <c r="AW640" s="448" t="str">
        <f>_xlfn.IFNA(VLOOKUP($AP640,Programma!$F$3:$M$1101,8,0),"")</f>
        <v/>
      </c>
      <c r="AX640" s="448" t="str">
        <f>_xlfn.IFNA(VLOOKUP($AP640,Programma!$F$3:$N$1101,9,0),"")</f>
        <v/>
      </c>
      <c r="AY640" s="448" t="str">
        <f>_xlfn.IFNA(VLOOKUP($AP640,Programma!$F$3:$O$1101,10,0),"")</f>
        <v/>
      </c>
      <c r="AZ640" s="448" t="str">
        <f>_xlfn.IFNA(VLOOKUP($AP640,Programma!$F$3:$P$1101,11,0),"")</f>
        <v/>
      </c>
      <c r="BA640" s="448" t="str">
        <f>_xlfn.IFNA(VLOOKUP($AP640,Programma!$F$3:$Q$1101,12,0),"")</f>
        <v/>
      </c>
      <c r="BB640" s="448" t="str">
        <f>_xlfn.IFNA(VLOOKUP($AP640,Programma!$F$3:$R$1101,13,0),"")</f>
        <v/>
      </c>
      <c r="BC640" s="448" t="str">
        <f>_xlfn.IFNA(VLOOKUP($AP640,Programma!$F$3:$S$1101,14,0),"")</f>
        <v/>
      </c>
      <c r="BD640" s="448" t="str">
        <f>_xlfn.IFNA(VLOOKUP($AP640,Programma!$F$3:$T$1101,15,0),"")</f>
        <v/>
      </c>
      <c r="BE640" s="448" t="str">
        <f>_xlfn.IFNA(VLOOKUP($AP640,Programma!$F$3:$U$1101,16,0),"")</f>
        <v/>
      </c>
      <c r="BF640" s="448" t="str">
        <f>_xlfn.IFNA(VLOOKUP($AP640,Programma!$F$3:$V$1101,17,0),"")</f>
        <v/>
      </c>
      <c r="BG640" s="448" t="str">
        <f>_xlfn.IFNA(VLOOKUP($AP640,Programma!$F$3:$W$1101,18,0),"")</f>
        <v/>
      </c>
      <c r="BH640" s="448" t="str">
        <f>_xlfn.IFNA(VLOOKUP($AP640,Programma!$F$3:$X$1101,19,0),"")</f>
        <v/>
      </c>
      <c r="BI640" s="448" t="str">
        <f>_xlfn.IFNA(VLOOKUP($AP640,Programma!$F$3:$Y$1101,20,0),"")</f>
        <v/>
      </c>
      <c r="BJ640" s="449"/>
      <c r="BK640" s="446" t="str">
        <f>IF(Ruimtestaat[[#This Row],[Frequentie weekend]]="","",_xlfn.CONCAT(Ruimtestaat[[#This Row],[Ruimte code]],"-",Ruimtestaat[[#This Row],[Frequentie weekend]]," ",Ruimtestaat[[#This Row],[Vloer code]]))</f>
        <v/>
      </c>
      <c r="BL640" s="448" t="str">
        <f>_xlfn.IFNA(VLOOKUP($BK640,Programma!$F$3:$G$1101,2,0),"")</f>
        <v/>
      </c>
      <c r="BM640" s="448" t="str">
        <f>_xlfn.IFNA(VLOOKUP($BK640,Programma!$F$3:$H$1101,3,0),"")</f>
        <v/>
      </c>
      <c r="BN640" s="448" t="str">
        <f>_xlfn.IFNA(VLOOKUP($BK640,Programma!$F$3:$I$1101,4,0),"")</f>
        <v/>
      </c>
      <c r="BO640" s="448" t="str">
        <f>_xlfn.IFNA(VLOOKUP($BK640,Programma!$F$3:$J$1101,5,0),"")</f>
        <v/>
      </c>
      <c r="BP640" s="448" t="str">
        <f>_xlfn.IFNA(VLOOKUP($BK640,Programma!$F$3:$K$1101,6,0),"")</f>
        <v/>
      </c>
      <c r="BQ640" s="448" t="str">
        <f>_xlfn.IFNA(VLOOKUP($BK640,Programma!$F$3:$L$1101,7,0),"")</f>
        <v/>
      </c>
      <c r="BR640" s="448" t="str">
        <f>_xlfn.IFNA(VLOOKUP($BK640,Programma!$F$3:$M$1101,8,0),"")</f>
        <v/>
      </c>
      <c r="BS640" s="448" t="str">
        <f>_xlfn.IFNA(VLOOKUP($BK640,Programma!$F$3:$N$1101,9,0),"")</f>
        <v/>
      </c>
      <c r="BT640" s="448" t="str">
        <f>_xlfn.IFNA(VLOOKUP($BK640,Programma!$F$3:$O$1101,10,0),"")</f>
        <v/>
      </c>
      <c r="BU640" s="448" t="str">
        <f>_xlfn.IFNA(VLOOKUP($BK640,Programma!$F$3:$P$1101,11,0),"")</f>
        <v/>
      </c>
      <c r="BV640" s="448" t="str">
        <f>_xlfn.IFNA(VLOOKUP($BK640,Programma!$F$3:$Q$1101,12,0),"")</f>
        <v/>
      </c>
      <c r="BW640" s="448" t="str">
        <f>_xlfn.IFNA(VLOOKUP($BK640,Programma!$F$3:$R$1101,13,0),"")</f>
        <v/>
      </c>
      <c r="BX640" s="448" t="str">
        <f>_xlfn.IFNA(VLOOKUP($BK640,Programma!$F$3:$S$1101,14,0),"")</f>
        <v/>
      </c>
      <c r="BY640" s="448" t="str">
        <f>_xlfn.IFNA(VLOOKUP($BK640,Programma!$F$3:$T$1101,15,0),"")</f>
        <v/>
      </c>
      <c r="BZ640" s="448" t="str">
        <f>_xlfn.IFNA(VLOOKUP($BK640,Programma!$F$3:$U$1101,16,0),"")</f>
        <v/>
      </c>
      <c r="CA640" s="448" t="str">
        <f>_xlfn.IFNA(VLOOKUP($BK640,Programma!$F$3:$V$1101,17,0),"")</f>
        <v/>
      </c>
      <c r="CB640" s="448" t="str">
        <f>_xlfn.IFNA(VLOOKUP($BK640,Programma!$F$3:$W$1101,18,0),"")</f>
        <v/>
      </c>
      <c r="CC640" s="448" t="str">
        <f>_xlfn.IFNA(VLOOKUP($BK640,Programma!$F$3:$X$1101,19,0),"")</f>
        <v/>
      </c>
      <c r="CD640" s="448" t="str">
        <f>_xlfn.IFNA(VLOOKUP($BK640,Programma!$F$3:$Y$1101,20,0),"")</f>
        <v/>
      </c>
    </row>
    <row r="641" spans="1:82" ht="15" customHeight="1">
      <c r="A641" s="327">
        <v>15</v>
      </c>
      <c r="B641" s="435" t="str">
        <f>VLOOKUP(Ruimtestaat[[#This Row],[Code]],Locaties[[Code]:[Locatie]],2,FALSE)</f>
        <v>IKC  Da Vinci</v>
      </c>
      <c r="C641" s="435" t="str">
        <f>VLOOKUP(Ruimtestaat[[#This Row],[Code]],Locaties[[#All],[Code]:[Adres]],4,FALSE)</f>
        <v>Spitsbergen 17</v>
      </c>
      <c r="D641" s="435" t="str">
        <f>VLOOKUP(Ruimtestaat[[#This Row],[Code]],Locaties[[#All],[Code]:[Postcode]],5,FALSE)</f>
        <v>2721 GP</v>
      </c>
      <c r="E641" s="435" t="str">
        <f>VLOOKUP(Ruimtestaat[[#This Row],[Code]],Locaties[#All],6,FALSE)</f>
        <v>Zoetermeer</v>
      </c>
      <c r="F641" s="330" t="s">
        <v>2154</v>
      </c>
      <c r="I641" s="450" t="s">
        <v>1969</v>
      </c>
      <c r="J641" s="330">
        <v>20</v>
      </c>
      <c r="K641" s="450" t="str">
        <f>VLOOKUP(Ruimtestaat[[#This Row],[Ruimte code]],Ruimtegroepen[[#All],[Code]:[Ruimte omschrijving]],2,FALSE)</f>
        <v>Niet in Onderhoud</v>
      </c>
      <c r="M641" s="330"/>
      <c r="N641" s="439"/>
      <c r="O641" s="439">
        <v>44</v>
      </c>
      <c r="P641" s="439"/>
      <c r="Q641" s="439"/>
      <c r="R641" s="440">
        <f>VLOOKUP(Ruimtestaat[[#This Row],[Ruimte code]],Ruimtegroepen[],4,FALSE)</f>
        <v>0</v>
      </c>
      <c r="S641" s="434"/>
      <c r="T641" s="434"/>
      <c r="U641" s="453">
        <f>IF(S641&gt;0,IF(RIGHT(Ruimtestaat[[#This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1" s="434">
        <f>IF(U641&gt;0,VLOOKUP($J641,Ruimtegroepen[],3,FALSE)*VLOOKUP($L641,Vloersoorten[],3,FALSE)*VLOOKUP($T641,Frequenties[],3,FALSE)*VLOOKUP($A641,Locaties[],3,FALSE),0)</f>
        <v>0</v>
      </c>
      <c r="W641" s="434">
        <f>Ruimtestaat[[#This Row],[Uitvoeringen werkdagen]]*Ruimtestaat[[#This Row],[Oppervlak (netto)]]</f>
        <v>0</v>
      </c>
      <c r="X641" s="441">
        <f>IF(V641&gt;0,Ruimtestaat[[#This Row],[Prest. (m2 /jaar) werkdagen]]/Ruimtestaat[[#This Row],[Norm (m2/uur) werkdagen]],0)</f>
        <v>0</v>
      </c>
      <c r="Y641" s="442">
        <f>Ruimtestaat[[#This Row],[Uitvoeringen werkdagen]]*Ruimtestaat[[#This Row],[Gedeeltelijk]]</f>
        <v>0</v>
      </c>
      <c r="Z641" s="443">
        <f>IF(U641&gt;0,Ruimtestaat[[#This Row],[Prest. (m2 / jaar) werkdagen gedeeld]]/Ruimtestaat[[#This Row],[Norm (m2/uur) werkdagen]],0)</f>
        <v>0</v>
      </c>
      <c r="AA641" s="441">
        <f>Ruimtestaat[[#This Row],[uren / jaar werkdagen gedeeld]]*Tariefsopbouw!$E$35</f>
        <v>0</v>
      </c>
      <c r="AB641" s="441">
        <f>Ruimtestaat[[#This Row],[Uitvoeringen werkdagen]]*Ruimtestaat[[#This Row],[BSO]]</f>
        <v>0</v>
      </c>
      <c r="AC641" s="443">
        <f>IF(U641&gt;0,Ruimtestaat[[#This Row],[Prest. (m2 / jaar) werkdagen BSO]]/Ruimtestaat[[#This Row],[Norm (m2/uur) werkdagen]],0)</f>
        <v>0</v>
      </c>
      <c r="AD641" s="443">
        <f>Ruimtestaat[[#This Row],[uren / jaar werkdagen BSO]]*Tariefsopbouw!$E$35</f>
        <v>0</v>
      </c>
      <c r="AE641" s="444">
        <f>Ruimtestaat[[#This Row],[uren / jaar werkdagen]]*Tariefsopbouw!$E$35</f>
        <v>0</v>
      </c>
      <c r="AF641" s="454"/>
      <c r="AG641" s="455">
        <f>IF(Ruimtestaat[[#This Row],[Frequentie weekend]]&gt;0,VALUE(LEFT(AF641,1))*S641,0)</f>
        <v>0</v>
      </c>
      <c r="AH641" s="455">
        <f>IF($AG641&gt;0,VLOOKUP($J641,Ruimtegroepen[],3,FALSE)*VLOOKUP($L641,Vloersoorten[],3,FALSE)*VLOOKUP($AF641,Frequenties[],3,FALSE)*VLOOKUP(#REF!,Locaties[],3,FALSE),0)</f>
        <v>0</v>
      </c>
      <c r="AI641" s="434">
        <f>Ruimtestaat[[#This Row],[Uitvoeringen weekend]]*Ruimtestaat[[#This Row],[Oppervlak (netto)]]</f>
        <v>0</v>
      </c>
      <c r="AJ641" s="434">
        <f>IF(AH641&gt;0,Ruimtestaat[[#This Row],[Prest. (m2 /jaar) weekend]]/Ruimtestaat[[#This Row],[Norm (m2/uur) weekend]],0)</f>
        <v>0</v>
      </c>
      <c r="AK641" s="444">
        <f>Ruimtestaat[[#This Row],[uren / jaar weekend]]*Tariefsopbouw!$D$40</f>
        <v>0</v>
      </c>
      <c r="AL641" s="441">
        <f>Ruimtestaat[[#This Row],[Prest. (m2 /jaar) weekend]]+Ruimtestaat[[#This Row],[Prest. (m2 /jaar) werkdagen]]</f>
        <v>0</v>
      </c>
      <c r="AM641" s="441">
        <f>Ruimtestaat[[#This Row],[uren / jaar weekend]]+Ruimtestaat[[#This Row],[uren / jaar werkdagen]]</f>
        <v>0</v>
      </c>
      <c r="AN641" s="446">
        <f>Ruimtestaat[[#This Row],[kosten / jaar weekend]]+Ruimtestaat[[#This Row],[kosten / jaar werkdagen]]</f>
        <v>0</v>
      </c>
      <c r="AO641" s="446"/>
      <c r="AP641" s="446" t="str">
        <f>IF(Ruimtestaat[[#This Row],[Frequentie werkdagen]]="","",_xlfn.CONCAT(Ruimtestaat[[#This Row],[Ruimte code]],"-",Ruimtestaat[[#This Row],[Frequentie werkdagen]]," ",Ruimtestaat[[#This Row],[Vloer code]]))</f>
        <v/>
      </c>
      <c r="AQ641" s="448" t="str">
        <f>_xlfn.IFNA(VLOOKUP($AP641,Programma!$F$3:$G$1101,2,0),"")</f>
        <v/>
      </c>
      <c r="AR641" s="448" t="str">
        <f>_xlfn.IFNA(VLOOKUP($AP641,Programma!$F$3:$H$1101,3,0),"")</f>
        <v/>
      </c>
      <c r="AS641" s="448" t="str">
        <f>_xlfn.IFNA(VLOOKUP($AP641,Programma!$F$3:$I$1101,4,0),"")</f>
        <v/>
      </c>
      <c r="AT641" s="448" t="str">
        <f>_xlfn.IFNA(VLOOKUP($AP641,Programma!$F$3:$J$1101,5,0),"")</f>
        <v/>
      </c>
      <c r="AU641" s="448" t="str">
        <f>_xlfn.IFNA(VLOOKUP($AP641,Programma!$F$3:$K$1101,6,0),"")</f>
        <v/>
      </c>
      <c r="AV641" s="448" t="str">
        <f>_xlfn.IFNA(VLOOKUP($AP641,Programma!$F$3:$L$1101,7,0),"")</f>
        <v/>
      </c>
      <c r="AW641" s="448" t="str">
        <f>_xlfn.IFNA(VLOOKUP($AP641,Programma!$F$3:$M$1101,8,0),"")</f>
        <v/>
      </c>
      <c r="AX641" s="448" t="str">
        <f>_xlfn.IFNA(VLOOKUP($AP641,Programma!$F$3:$N$1101,9,0),"")</f>
        <v/>
      </c>
      <c r="AY641" s="448" t="str">
        <f>_xlfn.IFNA(VLOOKUP($AP641,Programma!$F$3:$O$1101,10,0),"")</f>
        <v/>
      </c>
      <c r="AZ641" s="448" t="str">
        <f>_xlfn.IFNA(VLOOKUP($AP641,Programma!$F$3:$P$1101,11,0),"")</f>
        <v/>
      </c>
      <c r="BA641" s="448" t="str">
        <f>_xlfn.IFNA(VLOOKUP($AP641,Programma!$F$3:$Q$1101,12,0),"")</f>
        <v/>
      </c>
      <c r="BB641" s="448" t="str">
        <f>_xlfn.IFNA(VLOOKUP($AP641,Programma!$F$3:$R$1101,13,0),"")</f>
        <v/>
      </c>
      <c r="BC641" s="448" t="str">
        <f>_xlfn.IFNA(VLOOKUP($AP641,Programma!$F$3:$S$1101,14,0),"")</f>
        <v/>
      </c>
      <c r="BD641" s="448" t="str">
        <f>_xlfn.IFNA(VLOOKUP($AP641,Programma!$F$3:$T$1101,15,0),"")</f>
        <v/>
      </c>
      <c r="BE641" s="448" t="str">
        <f>_xlfn.IFNA(VLOOKUP($AP641,Programma!$F$3:$U$1101,16,0),"")</f>
        <v/>
      </c>
      <c r="BF641" s="448" t="str">
        <f>_xlfn.IFNA(VLOOKUP($AP641,Programma!$F$3:$V$1101,17,0),"")</f>
        <v/>
      </c>
      <c r="BG641" s="448" t="str">
        <f>_xlfn.IFNA(VLOOKUP($AP641,Programma!$F$3:$W$1101,18,0),"")</f>
        <v/>
      </c>
      <c r="BH641" s="448" t="str">
        <f>_xlfn.IFNA(VLOOKUP($AP641,Programma!$F$3:$X$1101,19,0),"")</f>
        <v/>
      </c>
      <c r="BI641" s="448" t="str">
        <f>_xlfn.IFNA(VLOOKUP($AP641,Programma!$F$3:$Y$1101,20,0),"")</f>
        <v/>
      </c>
      <c r="BJ641" s="449"/>
      <c r="BK641" s="446" t="str">
        <f>IF(Ruimtestaat[[#This Row],[Frequentie weekend]]="","",_xlfn.CONCAT(Ruimtestaat[[#This Row],[Ruimte code]],"-",Ruimtestaat[[#This Row],[Frequentie weekend]]," ",Ruimtestaat[[#This Row],[Vloer code]]))</f>
        <v/>
      </c>
      <c r="BL641" s="448" t="str">
        <f>_xlfn.IFNA(VLOOKUP($BK641,Programma!$F$3:$G$1101,2,0),"")</f>
        <v/>
      </c>
      <c r="BM641" s="448" t="str">
        <f>_xlfn.IFNA(VLOOKUP($BK641,Programma!$F$3:$H$1101,3,0),"")</f>
        <v/>
      </c>
      <c r="BN641" s="448" t="str">
        <f>_xlfn.IFNA(VLOOKUP($BK641,Programma!$F$3:$I$1101,4,0),"")</f>
        <v/>
      </c>
      <c r="BO641" s="448" t="str">
        <f>_xlfn.IFNA(VLOOKUP($BK641,Programma!$F$3:$J$1101,5,0),"")</f>
        <v/>
      </c>
      <c r="BP641" s="448" t="str">
        <f>_xlfn.IFNA(VLOOKUP($BK641,Programma!$F$3:$K$1101,6,0),"")</f>
        <v/>
      </c>
      <c r="BQ641" s="448" t="str">
        <f>_xlfn.IFNA(VLOOKUP($BK641,Programma!$F$3:$L$1101,7,0),"")</f>
        <v/>
      </c>
      <c r="BR641" s="448" t="str">
        <f>_xlfn.IFNA(VLOOKUP($BK641,Programma!$F$3:$M$1101,8,0),"")</f>
        <v/>
      </c>
      <c r="BS641" s="448" t="str">
        <f>_xlfn.IFNA(VLOOKUP($BK641,Programma!$F$3:$N$1101,9,0),"")</f>
        <v/>
      </c>
      <c r="BT641" s="448" t="str">
        <f>_xlfn.IFNA(VLOOKUP($BK641,Programma!$F$3:$O$1101,10,0),"")</f>
        <v/>
      </c>
      <c r="BU641" s="448" t="str">
        <f>_xlfn.IFNA(VLOOKUP($BK641,Programma!$F$3:$P$1101,11,0),"")</f>
        <v/>
      </c>
      <c r="BV641" s="448" t="str">
        <f>_xlfn.IFNA(VLOOKUP($BK641,Programma!$F$3:$Q$1101,12,0),"")</f>
        <v/>
      </c>
      <c r="BW641" s="448" t="str">
        <f>_xlfn.IFNA(VLOOKUP($BK641,Programma!$F$3:$R$1101,13,0),"")</f>
        <v/>
      </c>
      <c r="BX641" s="448" t="str">
        <f>_xlfn.IFNA(VLOOKUP($BK641,Programma!$F$3:$S$1101,14,0),"")</f>
        <v/>
      </c>
      <c r="BY641" s="448" t="str">
        <f>_xlfn.IFNA(VLOOKUP($BK641,Programma!$F$3:$T$1101,15,0),"")</f>
        <v/>
      </c>
      <c r="BZ641" s="448" t="str">
        <f>_xlfn.IFNA(VLOOKUP($BK641,Programma!$F$3:$U$1101,16,0),"")</f>
        <v/>
      </c>
      <c r="CA641" s="448" t="str">
        <f>_xlfn.IFNA(VLOOKUP($BK641,Programma!$F$3:$V$1101,17,0),"")</f>
        <v/>
      </c>
      <c r="CB641" s="448" t="str">
        <f>_xlfn.IFNA(VLOOKUP($BK641,Programma!$F$3:$W$1101,18,0),"")</f>
        <v/>
      </c>
      <c r="CC641" s="448" t="str">
        <f>_xlfn.IFNA(VLOOKUP($BK641,Programma!$F$3:$X$1101,19,0),"")</f>
        <v/>
      </c>
      <c r="CD641" s="448" t="str">
        <f>_xlfn.IFNA(VLOOKUP($BK641,Programma!$F$3:$Y$1101,20,0),"")</f>
        <v/>
      </c>
    </row>
    <row r="642" spans="1:82" ht="15" customHeight="1">
      <c r="A642" s="327">
        <v>15</v>
      </c>
      <c r="B642" s="435" t="str">
        <f>VLOOKUP(Ruimtestaat[[#This Row],[Code]],Locaties[[Code]:[Locatie]],2,FALSE)</f>
        <v>IKC  Da Vinci</v>
      </c>
      <c r="C642" s="435" t="str">
        <f>VLOOKUP(Ruimtestaat[[#This Row],[Code]],Locaties[[#All],[Code]:[Adres]],4,FALSE)</f>
        <v>Spitsbergen 17</v>
      </c>
      <c r="D642" s="435" t="str">
        <f>VLOOKUP(Ruimtestaat[[#This Row],[Code]],Locaties[[#All],[Code]:[Postcode]],5,FALSE)</f>
        <v>2721 GP</v>
      </c>
      <c r="E642" s="435" t="str">
        <f>VLOOKUP(Ruimtestaat[[#This Row],[Code]],Locaties[#All],6,FALSE)</f>
        <v>Zoetermeer</v>
      </c>
      <c r="F642" s="330" t="s">
        <v>2154</v>
      </c>
      <c r="I642" s="450" t="s">
        <v>1969</v>
      </c>
      <c r="J642" s="330">
        <v>20</v>
      </c>
      <c r="K642" s="450" t="str">
        <f>VLOOKUP(Ruimtestaat[[#This Row],[Ruimte code]],Ruimtegroepen[[#All],[Code]:[Ruimte omschrijving]],2,FALSE)</f>
        <v>Niet in Onderhoud</v>
      </c>
      <c r="M642" s="330"/>
      <c r="N642" s="439"/>
      <c r="O642" s="439">
        <v>44</v>
      </c>
      <c r="P642" s="439"/>
      <c r="Q642" s="439"/>
      <c r="R642" s="440">
        <f>VLOOKUP(Ruimtestaat[[#This Row],[Ruimte code]],Ruimtegroepen[],4,FALSE)</f>
        <v>0</v>
      </c>
      <c r="S642" s="434"/>
      <c r="T642" s="434"/>
      <c r="U642" s="453">
        <f>IF(S642&gt;0,IF(RIGHT(Ruimtestaat[[#This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2" s="434">
        <f>IF(U642&gt;0,VLOOKUP($J642,Ruimtegroepen[],3,FALSE)*VLOOKUP($L642,Vloersoorten[],3,FALSE)*VLOOKUP($T642,Frequenties[],3,FALSE)*VLOOKUP($A642,Locaties[],3,FALSE),0)</f>
        <v>0</v>
      </c>
      <c r="W642" s="434">
        <f>Ruimtestaat[[#This Row],[Uitvoeringen werkdagen]]*Ruimtestaat[[#This Row],[Oppervlak (netto)]]</f>
        <v>0</v>
      </c>
      <c r="X642" s="441">
        <f>IF(V642&gt;0,Ruimtestaat[[#This Row],[Prest. (m2 /jaar) werkdagen]]/Ruimtestaat[[#This Row],[Norm (m2/uur) werkdagen]],0)</f>
        <v>0</v>
      </c>
      <c r="Y642" s="442">
        <f>Ruimtestaat[[#This Row],[Uitvoeringen werkdagen]]*Ruimtestaat[[#This Row],[Gedeeltelijk]]</f>
        <v>0</v>
      </c>
      <c r="Z642" s="443">
        <f>IF(U642&gt;0,Ruimtestaat[[#This Row],[Prest. (m2 / jaar) werkdagen gedeeld]]/Ruimtestaat[[#This Row],[Norm (m2/uur) werkdagen]],0)</f>
        <v>0</v>
      </c>
      <c r="AA642" s="441">
        <f>Ruimtestaat[[#This Row],[uren / jaar werkdagen gedeeld]]*Tariefsopbouw!$E$35</f>
        <v>0</v>
      </c>
      <c r="AB642" s="441">
        <f>Ruimtestaat[[#This Row],[Uitvoeringen werkdagen]]*Ruimtestaat[[#This Row],[BSO]]</f>
        <v>0</v>
      </c>
      <c r="AC642" s="443">
        <f>IF(U642&gt;0,Ruimtestaat[[#This Row],[Prest. (m2 / jaar) werkdagen BSO]]/Ruimtestaat[[#This Row],[Norm (m2/uur) werkdagen]],0)</f>
        <v>0</v>
      </c>
      <c r="AD642" s="443">
        <f>Ruimtestaat[[#This Row],[uren / jaar werkdagen BSO]]*Tariefsopbouw!$E$35</f>
        <v>0</v>
      </c>
      <c r="AE642" s="444">
        <f>Ruimtestaat[[#This Row],[uren / jaar werkdagen]]*Tariefsopbouw!$E$35</f>
        <v>0</v>
      </c>
      <c r="AF642" s="454"/>
      <c r="AG642" s="455">
        <f>IF(Ruimtestaat[[#This Row],[Frequentie weekend]]&gt;0,VALUE(LEFT(AF642,1))*S642,0)</f>
        <v>0</v>
      </c>
      <c r="AH642" s="455">
        <f>IF($AG642&gt;0,VLOOKUP($J642,Ruimtegroepen[],3,FALSE)*VLOOKUP($L642,Vloersoorten[],3,FALSE)*VLOOKUP($AF642,Frequenties[],3,FALSE)*VLOOKUP(#REF!,Locaties[],3,FALSE),0)</f>
        <v>0</v>
      </c>
      <c r="AI642" s="434">
        <f>Ruimtestaat[[#This Row],[Uitvoeringen weekend]]*Ruimtestaat[[#This Row],[Oppervlak (netto)]]</f>
        <v>0</v>
      </c>
      <c r="AJ642" s="434">
        <f>IF(AH642&gt;0,Ruimtestaat[[#This Row],[Prest. (m2 /jaar) weekend]]/Ruimtestaat[[#This Row],[Norm (m2/uur) weekend]],0)</f>
        <v>0</v>
      </c>
      <c r="AK642" s="444">
        <f>Ruimtestaat[[#This Row],[uren / jaar weekend]]*Tariefsopbouw!$D$40</f>
        <v>0</v>
      </c>
      <c r="AL642" s="441">
        <f>Ruimtestaat[[#This Row],[Prest. (m2 /jaar) weekend]]+Ruimtestaat[[#This Row],[Prest. (m2 /jaar) werkdagen]]</f>
        <v>0</v>
      </c>
      <c r="AM642" s="441">
        <f>Ruimtestaat[[#This Row],[uren / jaar weekend]]+Ruimtestaat[[#This Row],[uren / jaar werkdagen]]</f>
        <v>0</v>
      </c>
      <c r="AN642" s="446">
        <f>Ruimtestaat[[#This Row],[kosten / jaar weekend]]+Ruimtestaat[[#This Row],[kosten / jaar werkdagen]]</f>
        <v>0</v>
      </c>
      <c r="AO642" s="446"/>
      <c r="AP642" s="446" t="str">
        <f>IF(Ruimtestaat[[#This Row],[Frequentie werkdagen]]="","",_xlfn.CONCAT(Ruimtestaat[[#This Row],[Ruimte code]],"-",Ruimtestaat[[#This Row],[Frequentie werkdagen]]," ",Ruimtestaat[[#This Row],[Vloer code]]))</f>
        <v/>
      </c>
      <c r="AQ642" s="448" t="str">
        <f>_xlfn.IFNA(VLOOKUP($AP642,Programma!$F$3:$G$1101,2,0),"")</f>
        <v/>
      </c>
      <c r="AR642" s="448" t="str">
        <f>_xlfn.IFNA(VLOOKUP($AP642,Programma!$F$3:$H$1101,3,0),"")</f>
        <v/>
      </c>
      <c r="AS642" s="448" t="str">
        <f>_xlfn.IFNA(VLOOKUP($AP642,Programma!$F$3:$I$1101,4,0),"")</f>
        <v/>
      </c>
      <c r="AT642" s="448" t="str">
        <f>_xlfn.IFNA(VLOOKUP($AP642,Programma!$F$3:$J$1101,5,0),"")</f>
        <v/>
      </c>
      <c r="AU642" s="448" t="str">
        <f>_xlfn.IFNA(VLOOKUP($AP642,Programma!$F$3:$K$1101,6,0),"")</f>
        <v/>
      </c>
      <c r="AV642" s="448" t="str">
        <f>_xlfn.IFNA(VLOOKUP($AP642,Programma!$F$3:$L$1101,7,0),"")</f>
        <v/>
      </c>
      <c r="AW642" s="448" t="str">
        <f>_xlfn.IFNA(VLOOKUP($AP642,Programma!$F$3:$M$1101,8,0),"")</f>
        <v/>
      </c>
      <c r="AX642" s="448" t="str">
        <f>_xlfn.IFNA(VLOOKUP($AP642,Programma!$F$3:$N$1101,9,0),"")</f>
        <v/>
      </c>
      <c r="AY642" s="448" t="str">
        <f>_xlfn.IFNA(VLOOKUP($AP642,Programma!$F$3:$O$1101,10,0),"")</f>
        <v/>
      </c>
      <c r="AZ642" s="448" t="str">
        <f>_xlfn.IFNA(VLOOKUP($AP642,Programma!$F$3:$P$1101,11,0),"")</f>
        <v/>
      </c>
      <c r="BA642" s="448" t="str">
        <f>_xlfn.IFNA(VLOOKUP($AP642,Programma!$F$3:$Q$1101,12,0),"")</f>
        <v/>
      </c>
      <c r="BB642" s="448" t="str">
        <f>_xlfn.IFNA(VLOOKUP($AP642,Programma!$F$3:$R$1101,13,0),"")</f>
        <v/>
      </c>
      <c r="BC642" s="448" t="str">
        <f>_xlfn.IFNA(VLOOKUP($AP642,Programma!$F$3:$S$1101,14,0),"")</f>
        <v/>
      </c>
      <c r="BD642" s="448" t="str">
        <f>_xlfn.IFNA(VLOOKUP($AP642,Programma!$F$3:$T$1101,15,0),"")</f>
        <v/>
      </c>
      <c r="BE642" s="448" t="str">
        <f>_xlfn.IFNA(VLOOKUP($AP642,Programma!$F$3:$U$1101,16,0),"")</f>
        <v/>
      </c>
      <c r="BF642" s="448" t="str">
        <f>_xlfn.IFNA(VLOOKUP($AP642,Programma!$F$3:$V$1101,17,0),"")</f>
        <v/>
      </c>
      <c r="BG642" s="448" t="str">
        <f>_xlfn.IFNA(VLOOKUP($AP642,Programma!$F$3:$W$1101,18,0),"")</f>
        <v/>
      </c>
      <c r="BH642" s="448" t="str">
        <f>_xlfn.IFNA(VLOOKUP($AP642,Programma!$F$3:$X$1101,19,0),"")</f>
        <v/>
      </c>
      <c r="BI642" s="448" t="str">
        <f>_xlfn.IFNA(VLOOKUP($AP642,Programma!$F$3:$Y$1101,20,0),"")</f>
        <v/>
      </c>
      <c r="BJ642" s="449"/>
      <c r="BK642" s="446" t="str">
        <f>IF(Ruimtestaat[[#This Row],[Frequentie weekend]]="","",_xlfn.CONCAT(Ruimtestaat[[#This Row],[Ruimte code]],"-",Ruimtestaat[[#This Row],[Frequentie weekend]]," ",Ruimtestaat[[#This Row],[Vloer code]]))</f>
        <v/>
      </c>
      <c r="BL642" s="448" t="str">
        <f>_xlfn.IFNA(VLOOKUP($BK642,Programma!$F$3:$G$1101,2,0),"")</f>
        <v/>
      </c>
      <c r="BM642" s="448" t="str">
        <f>_xlfn.IFNA(VLOOKUP($BK642,Programma!$F$3:$H$1101,3,0),"")</f>
        <v/>
      </c>
      <c r="BN642" s="448" t="str">
        <f>_xlfn.IFNA(VLOOKUP($BK642,Programma!$F$3:$I$1101,4,0),"")</f>
        <v/>
      </c>
      <c r="BO642" s="448" t="str">
        <f>_xlfn.IFNA(VLOOKUP($BK642,Programma!$F$3:$J$1101,5,0),"")</f>
        <v/>
      </c>
      <c r="BP642" s="448" t="str">
        <f>_xlfn.IFNA(VLOOKUP($BK642,Programma!$F$3:$K$1101,6,0),"")</f>
        <v/>
      </c>
      <c r="BQ642" s="448" t="str">
        <f>_xlfn.IFNA(VLOOKUP($BK642,Programma!$F$3:$L$1101,7,0),"")</f>
        <v/>
      </c>
      <c r="BR642" s="448" t="str">
        <f>_xlfn.IFNA(VLOOKUP($BK642,Programma!$F$3:$M$1101,8,0),"")</f>
        <v/>
      </c>
      <c r="BS642" s="448" t="str">
        <f>_xlfn.IFNA(VLOOKUP($BK642,Programma!$F$3:$N$1101,9,0),"")</f>
        <v/>
      </c>
      <c r="BT642" s="448" t="str">
        <f>_xlfn.IFNA(VLOOKUP($BK642,Programma!$F$3:$O$1101,10,0),"")</f>
        <v/>
      </c>
      <c r="BU642" s="448" t="str">
        <f>_xlfn.IFNA(VLOOKUP($BK642,Programma!$F$3:$P$1101,11,0),"")</f>
        <v/>
      </c>
      <c r="BV642" s="448" t="str">
        <f>_xlfn.IFNA(VLOOKUP($BK642,Programma!$F$3:$Q$1101,12,0),"")</f>
        <v/>
      </c>
      <c r="BW642" s="448" t="str">
        <f>_xlfn.IFNA(VLOOKUP($BK642,Programma!$F$3:$R$1101,13,0),"")</f>
        <v/>
      </c>
      <c r="BX642" s="448" t="str">
        <f>_xlfn.IFNA(VLOOKUP($BK642,Programma!$F$3:$S$1101,14,0),"")</f>
        <v/>
      </c>
      <c r="BY642" s="448" t="str">
        <f>_xlfn.IFNA(VLOOKUP($BK642,Programma!$F$3:$T$1101,15,0),"")</f>
        <v/>
      </c>
      <c r="BZ642" s="448" t="str">
        <f>_xlfn.IFNA(VLOOKUP($BK642,Programma!$F$3:$U$1101,16,0),"")</f>
        <v/>
      </c>
      <c r="CA642" s="448" t="str">
        <f>_xlfn.IFNA(VLOOKUP($BK642,Programma!$F$3:$V$1101,17,0),"")</f>
        <v/>
      </c>
      <c r="CB642" s="448" t="str">
        <f>_xlfn.IFNA(VLOOKUP($BK642,Programma!$F$3:$W$1101,18,0),"")</f>
        <v/>
      </c>
      <c r="CC642" s="448" t="str">
        <f>_xlfn.IFNA(VLOOKUP($BK642,Programma!$F$3:$X$1101,19,0),"")</f>
        <v/>
      </c>
      <c r="CD642" s="448" t="str">
        <f>_xlfn.IFNA(VLOOKUP($BK642,Programma!$F$3:$Y$1101,20,0),"")</f>
        <v/>
      </c>
    </row>
    <row r="643" spans="1:82" ht="15" customHeight="1">
      <c r="A643" s="327">
        <v>15</v>
      </c>
      <c r="B643" s="435" t="str">
        <f>VLOOKUP(Ruimtestaat[[#This Row],[Code]],Locaties[[Code]:[Locatie]],2,FALSE)</f>
        <v>IKC  Da Vinci</v>
      </c>
      <c r="C643" s="435" t="str">
        <f>VLOOKUP(Ruimtestaat[[#This Row],[Code]],Locaties[[#All],[Code]:[Adres]],4,FALSE)</f>
        <v>Spitsbergen 17</v>
      </c>
      <c r="D643" s="435" t="str">
        <f>VLOOKUP(Ruimtestaat[[#This Row],[Code]],Locaties[[#All],[Code]:[Postcode]],5,FALSE)</f>
        <v>2721 GP</v>
      </c>
      <c r="E643" s="435" t="str">
        <f>VLOOKUP(Ruimtestaat[[#This Row],[Code]],Locaties[#All],6,FALSE)</f>
        <v>Zoetermeer</v>
      </c>
      <c r="F643" s="330" t="s">
        <v>2154</v>
      </c>
      <c r="I643" s="450" t="s">
        <v>1724</v>
      </c>
      <c r="J643" s="330">
        <v>20</v>
      </c>
      <c r="K643" s="450" t="str">
        <f>VLOOKUP(Ruimtestaat[[#This Row],[Ruimte code]],Ruimtegroepen[[#All],[Code]:[Ruimte omschrijving]],2,FALSE)</f>
        <v>Niet in Onderhoud</v>
      </c>
      <c r="M643" s="330"/>
      <c r="N643" s="439"/>
      <c r="O643" s="439">
        <v>22</v>
      </c>
      <c r="P643" s="439"/>
      <c r="Q643" s="439"/>
      <c r="R643" s="440">
        <f>VLOOKUP(Ruimtestaat[[#This Row],[Ruimte code]],Ruimtegroepen[],4,FALSE)</f>
        <v>0</v>
      </c>
      <c r="S643" s="434"/>
      <c r="T643" s="434"/>
      <c r="U643" s="453">
        <f>IF(S643&gt;0,IF(RIGHT(Ruimtestaat[[#This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3" s="434">
        <f>IF(U643&gt;0,VLOOKUP($J643,Ruimtegroepen[],3,FALSE)*VLOOKUP($L643,Vloersoorten[],3,FALSE)*VLOOKUP($T643,Frequenties[],3,FALSE)*VLOOKUP($A643,Locaties[],3,FALSE),0)</f>
        <v>0</v>
      </c>
      <c r="W643" s="434">
        <f>Ruimtestaat[[#This Row],[Uitvoeringen werkdagen]]*Ruimtestaat[[#This Row],[Oppervlak (netto)]]</f>
        <v>0</v>
      </c>
      <c r="X643" s="441">
        <f>IF(V643&gt;0,Ruimtestaat[[#This Row],[Prest. (m2 /jaar) werkdagen]]/Ruimtestaat[[#This Row],[Norm (m2/uur) werkdagen]],0)</f>
        <v>0</v>
      </c>
      <c r="Y643" s="442">
        <f>Ruimtestaat[[#This Row],[Uitvoeringen werkdagen]]*Ruimtestaat[[#This Row],[Gedeeltelijk]]</f>
        <v>0</v>
      </c>
      <c r="Z643" s="443">
        <f>IF(U643&gt;0,Ruimtestaat[[#This Row],[Prest. (m2 / jaar) werkdagen gedeeld]]/Ruimtestaat[[#This Row],[Norm (m2/uur) werkdagen]],0)</f>
        <v>0</v>
      </c>
      <c r="AA643" s="441">
        <f>Ruimtestaat[[#This Row],[uren / jaar werkdagen gedeeld]]*Tariefsopbouw!$E$35</f>
        <v>0</v>
      </c>
      <c r="AB643" s="441">
        <f>Ruimtestaat[[#This Row],[Uitvoeringen werkdagen]]*Ruimtestaat[[#This Row],[BSO]]</f>
        <v>0</v>
      </c>
      <c r="AC643" s="443">
        <f>IF(U643&gt;0,Ruimtestaat[[#This Row],[Prest. (m2 / jaar) werkdagen BSO]]/Ruimtestaat[[#This Row],[Norm (m2/uur) werkdagen]],0)</f>
        <v>0</v>
      </c>
      <c r="AD643" s="443">
        <f>Ruimtestaat[[#This Row],[uren / jaar werkdagen BSO]]*Tariefsopbouw!$E$35</f>
        <v>0</v>
      </c>
      <c r="AE643" s="444">
        <f>Ruimtestaat[[#This Row],[uren / jaar werkdagen]]*Tariefsopbouw!$E$35</f>
        <v>0</v>
      </c>
      <c r="AF643" s="454"/>
      <c r="AG643" s="455">
        <f>IF(Ruimtestaat[[#This Row],[Frequentie weekend]]&gt;0,VALUE(LEFT(AF643,1))*S643,0)</f>
        <v>0</v>
      </c>
      <c r="AH643" s="455">
        <f>IF($AG643&gt;0,VLOOKUP($J643,Ruimtegroepen[],3,FALSE)*VLOOKUP($L643,Vloersoorten[],3,FALSE)*VLOOKUP($AF643,Frequenties[],3,FALSE)*VLOOKUP(#REF!,Locaties[],3,FALSE),0)</f>
        <v>0</v>
      </c>
      <c r="AI643" s="434">
        <f>Ruimtestaat[[#This Row],[Uitvoeringen weekend]]*Ruimtestaat[[#This Row],[Oppervlak (netto)]]</f>
        <v>0</v>
      </c>
      <c r="AJ643" s="434">
        <f>IF(AH643&gt;0,Ruimtestaat[[#This Row],[Prest. (m2 /jaar) weekend]]/Ruimtestaat[[#This Row],[Norm (m2/uur) weekend]],0)</f>
        <v>0</v>
      </c>
      <c r="AK643" s="444">
        <f>Ruimtestaat[[#This Row],[uren / jaar weekend]]*Tariefsopbouw!$D$40</f>
        <v>0</v>
      </c>
      <c r="AL643" s="441">
        <f>Ruimtestaat[[#This Row],[Prest. (m2 /jaar) weekend]]+Ruimtestaat[[#This Row],[Prest. (m2 /jaar) werkdagen]]</f>
        <v>0</v>
      </c>
      <c r="AM643" s="441">
        <f>Ruimtestaat[[#This Row],[uren / jaar weekend]]+Ruimtestaat[[#This Row],[uren / jaar werkdagen]]</f>
        <v>0</v>
      </c>
      <c r="AN643" s="446">
        <f>Ruimtestaat[[#This Row],[kosten / jaar weekend]]+Ruimtestaat[[#This Row],[kosten / jaar werkdagen]]</f>
        <v>0</v>
      </c>
      <c r="AO643" s="446"/>
      <c r="AP643" s="446" t="str">
        <f>IF(Ruimtestaat[[#This Row],[Frequentie werkdagen]]="","",_xlfn.CONCAT(Ruimtestaat[[#This Row],[Ruimte code]],"-",Ruimtestaat[[#This Row],[Frequentie werkdagen]]," ",Ruimtestaat[[#This Row],[Vloer code]]))</f>
        <v/>
      </c>
      <c r="AQ643" s="448" t="str">
        <f>_xlfn.IFNA(VLOOKUP($AP643,Programma!$F$3:$G$1101,2,0),"")</f>
        <v/>
      </c>
      <c r="AR643" s="448" t="str">
        <f>_xlfn.IFNA(VLOOKUP($AP643,Programma!$F$3:$H$1101,3,0),"")</f>
        <v/>
      </c>
      <c r="AS643" s="448" t="str">
        <f>_xlfn.IFNA(VLOOKUP($AP643,Programma!$F$3:$I$1101,4,0),"")</f>
        <v/>
      </c>
      <c r="AT643" s="448" t="str">
        <f>_xlfn.IFNA(VLOOKUP($AP643,Programma!$F$3:$J$1101,5,0),"")</f>
        <v/>
      </c>
      <c r="AU643" s="448" t="str">
        <f>_xlfn.IFNA(VLOOKUP($AP643,Programma!$F$3:$K$1101,6,0),"")</f>
        <v/>
      </c>
      <c r="AV643" s="448" t="str">
        <f>_xlfn.IFNA(VLOOKUP($AP643,Programma!$F$3:$L$1101,7,0),"")</f>
        <v/>
      </c>
      <c r="AW643" s="448" t="str">
        <f>_xlfn.IFNA(VLOOKUP($AP643,Programma!$F$3:$M$1101,8,0),"")</f>
        <v/>
      </c>
      <c r="AX643" s="448" t="str">
        <f>_xlfn.IFNA(VLOOKUP($AP643,Programma!$F$3:$N$1101,9,0),"")</f>
        <v/>
      </c>
      <c r="AY643" s="448" t="str">
        <f>_xlfn.IFNA(VLOOKUP($AP643,Programma!$F$3:$O$1101,10,0),"")</f>
        <v/>
      </c>
      <c r="AZ643" s="448" t="str">
        <f>_xlfn.IFNA(VLOOKUP($AP643,Programma!$F$3:$P$1101,11,0),"")</f>
        <v/>
      </c>
      <c r="BA643" s="448" t="str">
        <f>_xlfn.IFNA(VLOOKUP($AP643,Programma!$F$3:$Q$1101,12,0),"")</f>
        <v/>
      </c>
      <c r="BB643" s="448" t="str">
        <f>_xlfn.IFNA(VLOOKUP($AP643,Programma!$F$3:$R$1101,13,0),"")</f>
        <v/>
      </c>
      <c r="BC643" s="448" t="str">
        <f>_xlfn.IFNA(VLOOKUP($AP643,Programma!$F$3:$S$1101,14,0),"")</f>
        <v/>
      </c>
      <c r="BD643" s="448" t="str">
        <f>_xlfn.IFNA(VLOOKUP($AP643,Programma!$F$3:$T$1101,15,0),"")</f>
        <v/>
      </c>
      <c r="BE643" s="448" t="str">
        <f>_xlfn.IFNA(VLOOKUP($AP643,Programma!$F$3:$U$1101,16,0),"")</f>
        <v/>
      </c>
      <c r="BF643" s="448" t="str">
        <f>_xlfn.IFNA(VLOOKUP($AP643,Programma!$F$3:$V$1101,17,0),"")</f>
        <v/>
      </c>
      <c r="BG643" s="448" t="str">
        <f>_xlfn.IFNA(VLOOKUP($AP643,Programma!$F$3:$W$1101,18,0),"")</f>
        <v/>
      </c>
      <c r="BH643" s="448" t="str">
        <f>_xlfn.IFNA(VLOOKUP($AP643,Programma!$F$3:$X$1101,19,0),"")</f>
        <v/>
      </c>
      <c r="BI643" s="448" t="str">
        <f>_xlfn.IFNA(VLOOKUP($AP643,Programma!$F$3:$Y$1101,20,0),"")</f>
        <v/>
      </c>
      <c r="BJ643" s="449"/>
      <c r="BK643" s="446" t="str">
        <f>IF(Ruimtestaat[[#This Row],[Frequentie weekend]]="","",_xlfn.CONCAT(Ruimtestaat[[#This Row],[Ruimte code]],"-",Ruimtestaat[[#This Row],[Frequentie weekend]]," ",Ruimtestaat[[#This Row],[Vloer code]]))</f>
        <v/>
      </c>
      <c r="BL643" s="448" t="str">
        <f>_xlfn.IFNA(VLOOKUP($BK643,Programma!$F$3:$G$1101,2,0),"")</f>
        <v/>
      </c>
      <c r="BM643" s="448" t="str">
        <f>_xlfn.IFNA(VLOOKUP($BK643,Programma!$F$3:$H$1101,3,0),"")</f>
        <v/>
      </c>
      <c r="BN643" s="448" t="str">
        <f>_xlfn.IFNA(VLOOKUP($BK643,Programma!$F$3:$I$1101,4,0),"")</f>
        <v/>
      </c>
      <c r="BO643" s="448" t="str">
        <f>_xlfn.IFNA(VLOOKUP($BK643,Programma!$F$3:$J$1101,5,0),"")</f>
        <v/>
      </c>
      <c r="BP643" s="448" t="str">
        <f>_xlfn.IFNA(VLOOKUP($BK643,Programma!$F$3:$K$1101,6,0),"")</f>
        <v/>
      </c>
      <c r="BQ643" s="448" t="str">
        <f>_xlfn.IFNA(VLOOKUP($BK643,Programma!$F$3:$L$1101,7,0),"")</f>
        <v/>
      </c>
      <c r="BR643" s="448" t="str">
        <f>_xlfn.IFNA(VLOOKUP($BK643,Programma!$F$3:$M$1101,8,0),"")</f>
        <v/>
      </c>
      <c r="BS643" s="448" t="str">
        <f>_xlfn.IFNA(VLOOKUP($BK643,Programma!$F$3:$N$1101,9,0),"")</f>
        <v/>
      </c>
      <c r="BT643" s="448" t="str">
        <f>_xlfn.IFNA(VLOOKUP($BK643,Programma!$F$3:$O$1101,10,0),"")</f>
        <v/>
      </c>
      <c r="BU643" s="448" t="str">
        <f>_xlfn.IFNA(VLOOKUP($BK643,Programma!$F$3:$P$1101,11,0),"")</f>
        <v/>
      </c>
      <c r="BV643" s="448" t="str">
        <f>_xlfn.IFNA(VLOOKUP($BK643,Programma!$F$3:$Q$1101,12,0),"")</f>
        <v/>
      </c>
      <c r="BW643" s="448" t="str">
        <f>_xlfn.IFNA(VLOOKUP($BK643,Programma!$F$3:$R$1101,13,0),"")</f>
        <v/>
      </c>
      <c r="BX643" s="448" t="str">
        <f>_xlfn.IFNA(VLOOKUP($BK643,Programma!$F$3:$S$1101,14,0),"")</f>
        <v/>
      </c>
      <c r="BY643" s="448" t="str">
        <f>_xlfn.IFNA(VLOOKUP($BK643,Programma!$F$3:$T$1101,15,0),"")</f>
        <v/>
      </c>
      <c r="BZ643" s="448" t="str">
        <f>_xlfn.IFNA(VLOOKUP($BK643,Programma!$F$3:$U$1101,16,0),"")</f>
        <v/>
      </c>
      <c r="CA643" s="448" t="str">
        <f>_xlfn.IFNA(VLOOKUP($BK643,Programma!$F$3:$V$1101,17,0),"")</f>
        <v/>
      </c>
      <c r="CB643" s="448" t="str">
        <f>_xlfn.IFNA(VLOOKUP($BK643,Programma!$F$3:$W$1101,18,0),"")</f>
        <v/>
      </c>
      <c r="CC643" s="448" t="str">
        <f>_xlfn.IFNA(VLOOKUP($BK643,Programma!$F$3:$X$1101,19,0),"")</f>
        <v/>
      </c>
      <c r="CD643" s="448" t="str">
        <f>_xlfn.IFNA(VLOOKUP($BK643,Programma!$F$3:$Y$1101,20,0),"")</f>
        <v/>
      </c>
    </row>
    <row r="644" spans="1:82" ht="15" customHeight="1">
      <c r="A644" s="327">
        <v>15</v>
      </c>
      <c r="B644" s="435" t="str">
        <f>VLOOKUP(Ruimtestaat[[#This Row],[Code]],Locaties[[Code]:[Locatie]],2,FALSE)</f>
        <v>IKC  Da Vinci</v>
      </c>
      <c r="C644" s="435" t="str">
        <f>VLOOKUP(Ruimtestaat[[#This Row],[Code]],Locaties[[#All],[Code]:[Adres]],4,FALSE)</f>
        <v>Spitsbergen 17</v>
      </c>
      <c r="D644" s="435" t="str">
        <f>VLOOKUP(Ruimtestaat[[#This Row],[Code]],Locaties[[#All],[Code]:[Postcode]],5,FALSE)</f>
        <v>2721 GP</v>
      </c>
      <c r="E644" s="435" t="str">
        <f>VLOOKUP(Ruimtestaat[[#This Row],[Code]],Locaties[#All],6,FALSE)</f>
        <v>Zoetermeer</v>
      </c>
      <c r="F644" s="330" t="s">
        <v>2154</v>
      </c>
      <c r="I644" s="450" t="s">
        <v>1724</v>
      </c>
      <c r="J644" s="330">
        <v>20</v>
      </c>
      <c r="K644" s="450" t="str">
        <f>VLOOKUP(Ruimtestaat[[#This Row],[Ruimte code]],Ruimtegroepen[[#All],[Code]:[Ruimte omschrijving]],2,FALSE)</f>
        <v>Niet in Onderhoud</v>
      </c>
      <c r="M644" s="330"/>
      <c r="N644" s="439"/>
      <c r="O644" s="439">
        <v>7</v>
      </c>
      <c r="P644" s="439"/>
      <c r="Q644" s="439"/>
      <c r="R644" s="440">
        <f>VLOOKUP(Ruimtestaat[[#This Row],[Ruimte code]],Ruimtegroepen[],4,FALSE)</f>
        <v>0</v>
      </c>
      <c r="S644" s="434"/>
      <c r="T644" s="434"/>
      <c r="U644" s="453">
        <f>IF(S644&gt;0,IF(RIGHT(Ruimtestaat[[#This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4" s="434">
        <f>IF(U644&gt;0,VLOOKUP($J644,Ruimtegroepen[],3,FALSE)*VLOOKUP($L644,Vloersoorten[],3,FALSE)*VLOOKUP($T644,Frequenties[],3,FALSE)*VLOOKUP($A644,Locaties[],3,FALSE),0)</f>
        <v>0</v>
      </c>
      <c r="W644" s="434">
        <f>Ruimtestaat[[#This Row],[Uitvoeringen werkdagen]]*Ruimtestaat[[#This Row],[Oppervlak (netto)]]</f>
        <v>0</v>
      </c>
      <c r="X644" s="441">
        <f>IF(V644&gt;0,Ruimtestaat[[#This Row],[Prest. (m2 /jaar) werkdagen]]/Ruimtestaat[[#This Row],[Norm (m2/uur) werkdagen]],0)</f>
        <v>0</v>
      </c>
      <c r="Y644" s="442">
        <f>Ruimtestaat[[#This Row],[Uitvoeringen werkdagen]]*Ruimtestaat[[#This Row],[Gedeeltelijk]]</f>
        <v>0</v>
      </c>
      <c r="Z644" s="443">
        <f>IF(U644&gt;0,Ruimtestaat[[#This Row],[Prest. (m2 / jaar) werkdagen gedeeld]]/Ruimtestaat[[#This Row],[Norm (m2/uur) werkdagen]],0)</f>
        <v>0</v>
      </c>
      <c r="AA644" s="441">
        <f>Ruimtestaat[[#This Row],[uren / jaar werkdagen gedeeld]]*Tariefsopbouw!$E$35</f>
        <v>0</v>
      </c>
      <c r="AB644" s="441">
        <f>Ruimtestaat[[#This Row],[Uitvoeringen werkdagen]]*Ruimtestaat[[#This Row],[BSO]]</f>
        <v>0</v>
      </c>
      <c r="AC644" s="443">
        <f>IF(U644&gt;0,Ruimtestaat[[#This Row],[Prest. (m2 / jaar) werkdagen BSO]]/Ruimtestaat[[#This Row],[Norm (m2/uur) werkdagen]],0)</f>
        <v>0</v>
      </c>
      <c r="AD644" s="443">
        <f>Ruimtestaat[[#This Row],[uren / jaar werkdagen BSO]]*Tariefsopbouw!$E$35</f>
        <v>0</v>
      </c>
      <c r="AE644" s="444">
        <f>Ruimtestaat[[#This Row],[uren / jaar werkdagen]]*Tariefsopbouw!$E$35</f>
        <v>0</v>
      </c>
      <c r="AF644" s="454"/>
      <c r="AG644" s="455">
        <f>IF(Ruimtestaat[[#This Row],[Frequentie weekend]]&gt;0,VALUE(LEFT(AF644,1))*S644,0)</f>
        <v>0</v>
      </c>
      <c r="AH644" s="455">
        <f>IF($AG644&gt;0,VLOOKUP($J644,Ruimtegroepen[],3,FALSE)*VLOOKUP($L644,Vloersoorten[],3,FALSE)*VLOOKUP($AF644,Frequenties[],3,FALSE)*VLOOKUP(#REF!,Locaties[],3,FALSE),0)</f>
        <v>0</v>
      </c>
      <c r="AI644" s="434">
        <f>Ruimtestaat[[#This Row],[Uitvoeringen weekend]]*Ruimtestaat[[#This Row],[Oppervlak (netto)]]</f>
        <v>0</v>
      </c>
      <c r="AJ644" s="434">
        <f>IF(AH644&gt;0,Ruimtestaat[[#This Row],[Prest. (m2 /jaar) weekend]]/Ruimtestaat[[#This Row],[Norm (m2/uur) weekend]],0)</f>
        <v>0</v>
      </c>
      <c r="AK644" s="444">
        <f>Ruimtestaat[[#This Row],[uren / jaar weekend]]*Tariefsopbouw!$D$40</f>
        <v>0</v>
      </c>
      <c r="AL644" s="441">
        <f>Ruimtestaat[[#This Row],[Prest. (m2 /jaar) weekend]]+Ruimtestaat[[#This Row],[Prest. (m2 /jaar) werkdagen]]</f>
        <v>0</v>
      </c>
      <c r="AM644" s="441">
        <f>Ruimtestaat[[#This Row],[uren / jaar weekend]]+Ruimtestaat[[#This Row],[uren / jaar werkdagen]]</f>
        <v>0</v>
      </c>
      <c r="AN644" s="446">
        <f>Ruimtestaat[[#This Row],[kosten / jaar weekend]]+Ruimtestaat[[#This Row],[kosten / jaar werkdagen]]</f>
        <v>0</v>
      </c>
      <c r="AO644" s="446"/>
      <c r="AP644" s="446" t="str">
        <f>IF(Ruimtestaat[[#This Row],[Frequentie werkdagen]]="","",_xlfn.CONCAT(Ruimtestaat[[#This Row],[Ruimte code]],"-",Ruimtestaat[[#This Row],[Frequentie werkdagen]]," ",Ruimtestaat[[#This Row],[Vloer code]]))</f>
        <v/>
      </c>
      <c r="AQ644" s="448" t="str">
        <f>_xlfn.IFNA(VLOOKUP($AP644,Programma!$F$3:$G$1101,2,0),"")</f>
        <v/>
      </c>
      <c r="AR644" s="448" t="str">
        <f>_xlfn.IFNA(VLOOKUP($AP644,Programma!$F$3:$H$1101,3,0),"")</f>
        <v/>
      </c>
      <c r="AS644" s="448" t="str">
        <f>_xlfn.IFNA(VLOOKUP($AP644,Programma!$F$3:$I$1101,4,0),"")</f>
        <v/>
      </c>
      <c r="AT644" s="448" t="str">
        <f>_xlfn.IFNA(VLOOKUP($AP644,Programma!$F$3:$J$1101,5,0),"")</f>
        <v/>
      </c>
      <c r="AU644" s="448" t="str">
        <f>_xlfn.IFNA(VLOOKUP($AP644,Programma!$F$3:$K$1101,6,0),"")</f>
        <v/>
      </c>
      <c r="AV644" s="448" t="str">
        <f>_xlfn.IFNA(VLOOKUP($AP644,Programma!$F$3:$L$1101,7,0),"")</f>
        <v/>
      </c>
      <c r="AW644" s="448" t="str">
        <f>_xlfn.IFNA(VLOOKUP($AP644,Programma!$F$3:$M$1101,8,0),"")</f>
        <v/>
      </c>
      <c r="AX644" s="448" t="str">
        <f>_xlfn.IFNA(VLOOKUP($AP644,Programma!$F$3:$N$1101,9,0),"")</f>
        <v/>
      </c>
      <c r="AY644" s="448" t="str">
        <f>_xlfn.IFNA(VLOOKUP($AP644,Programma!$F$3:$O$1101,10,0),"")</f>
        <v/>
      </c>
      <c r="AZ644" s="448" t="str">
        <f>_xlfn.IFNA(VLOOKUP($AP644,Programma!$F$3:$P$1101,11,0),"")</f>
        <v/>
      </c>
      <c r="BA644" s="448" t="str">
        <f>_xlfn.IFNA(VLOOKUP($AP644,Programma!$F$3:$Q$1101,12,0),"")</f>
        <v/>
      </c>
      <c r="BB644" s="448" t="str">
        <f>_xlfn.IFNA(VLOOKUP($AP644,Programma!$F$3:$R$1101,13,0),"")</f>
        <v/>
      </c>
      <c r="BC644" s="448" t="str">
        <f>_xlfn.IFNA(VLOOKUP($AP644,Programma!$F$3:$S$1101,14,0),"")</f>
        <v/>
      </c>
      <c r="BD644" s="448" t="str">
        <f>_xlfn.IFNA(VLOOKUP($AP644,Programma!$F$3:$T$1101,15,0),"")</f>
        <v/>
      </c>
      <c r="BE644" s="448" t="str">
        <f>_xlfn.IFNA(VLOOKUP($AP644,Programma!$F$3:$U$1101,16,0),"")</f>
        <v/>
      </c>
      <c r="BF644" s="448" t="str">
        <f>_xlfn.IFNA(VLOOKUP($AP644,Programma!$F$3:$V$1101,17,0),"")</f>
        <v/>
      </c>
      <c r="BG644" s="448" t="str">
        <f>_xlfn.IFNA(VLOOKUP($AP644,Programma!$F$3:$W$1101,18,0),"")</f>
        <v/>
      </c>
      <c r="BH644" s="448" t="str">
        <f>_xlfn.IFNA(VLOOKUP($AP644,Programma!$F$3:$X$1101,19,0),"")</f>
        <v/>
      </c>
      <c r="BI644" s="448" t="str">
        <f>_xlfn.IFNA(VLOOKUP($AP644,Programma!$F$3:$Y$1101,20,0),"")</f>
        <v/>
      </c>
      <c r="BJ644" s="449"/>
      <c r="BK644" s="446" t="str">
        <f>IF(Ruimtestaat[[#This Row],[Frequentie weekend]]="","",_xlfn.CONCAT(Ruimtestaat[[#This Row],[Ruimte code]],"-",Ruimtestaat[[#This Row],[Frequentie weekend]]," ",Ruimtestaat[[#This Row],[Vloer code]]))</f>
        <v/>
      </c>
      <c r="BL644" s="448" t="str">
        <f>_xlfn.IFNA(VLOOKUP($BK644,Programma!$F$3:$G$1101,2,0),"")</f>
        <v/>
      </c>
      <c r="BM644" s="448" t="str">
        <f>_xlfn.IFNA(VLOOKUP($BK644,Programma!$F$3:$H$1101,3,0),"")</f>
        <v/>
      </c>
      <c r="BN644" s="448" t="str">
        <f>_xlfn.IFNA(VLOOKUP($BK644,Programma!$F$3:$I$1101,4,0),"")</f>
        <v/>
      </c>
      <c r="BO644" s="448" t="str">
        <f>_xlfn.IFNA(VLOOKUP($BK644,Programma!$F$3:$J$1101,5,0),"")</f>
        <v/>
      </c>
      <c r="BP644" s="448" t="str">
        <f>_xlfn.IFNA(VLOOKUP($BK644,Programma!$F$3:$K$1101,6,0),"")</f>
        <v/>
      </c>
      <c r="BQ644" s="448" t="str">
        <f>_xlfn.IFNA(VLOOKUP($BK644,Programma!$F$3:$L$1101,7,0),"")</f>
        <v/>
      </c>
      <c r="BR644" s="448" t="str">
        <f>_xlfn.IFNA(VLOOKUP($BK644,Programma!$F$3:$M$1101,8,0),"")</f>
        <v/>
      </c>
      <c r="BS644" s="448" t="str">
        <f>_xlfn.IFNA(VLOOKUP($BK644,Programma!$F$3:$N$1101,9,0),"")</f>
        <v/>
      </c>
      <c r="BT644" s="448" t="str">
        <f>_xlfn.IFNA(VLOOKUP($BK644,Programma!$F$3:$O$1101,10,0),"")</f>
        <v/>
      </c>
      <c r="BU644" s="448" t="str">
        <f>_xlfn.IFNA(VLOOKUP($BK644,Programma!$F$3:$P$1101,11,0),"")</f>
        <v/>
      </c>
      <c r="BV644" s="448" t="str">
        <f>_xlfn.IFNA(VLOOKUP($BK644,Programma!$F$3:$Q$1101,12,0),"")</f>
        <v/>
      </c>
      <c r="BW644" s="448" t="str">
        <f>_xlfn.IFNA(VLOOKUP($BK644,Programma!$F$3:$R$1101,13,0),"")</f>
        <v/>
      </c>
      <c r="BX644" s="448" t="str">
        <f>_xlfn.IFNA(VLOOKUP($BK644,Programma!$F$3:$S$1101,14,0),"")</f>
        <v/>
      </c>
      <c r="BY644" s="448" t="str">
        <f>_xlfn.IFNA(VLOOKUP($BK644,Programma!$F$3:$T$1101,15,0),"")</f>
        <v/>
      </c>
      <c r="BZ644" s="448" t="str">
        <f>_xlfn.IFNA(VLOOKUP($BK644,Programma!$F$3:$U$1101,16,0),"")</f>
        <v/>
      </c>
      <c r="CA644" s="448" t="str">
        <f>_xlfn.IFNA(VLOOKUP($BK644,Programma!$F$3:$V$1101,17,0),"")</f>
        <v/>
      </c>
      <c r="CB644" s="448" t="str">
        <f>_xlfn.IFNA(VLOOKUP($BK644,Programma!$F$3:$W$1101,18,0),"")</f>
        <v/>
      </c>
      <c r="CC644" s="448" t="str">
        <f>_xlfn.IFNA(VLOOKUP($BK644,Programma!$F$3:$X$1101,19,0),"")</f>
        <v/>
      </c>
      <c r="CD644" s="448" t="str">
        <f>_xlfn.IFNA(VLOOKUP($BK644,Programma!$F$3:$Y$1101,20,0),"")</f>
        <v/>
      </c>
    </row>
    <row r="645" spans="1:82" ht="15" customHeight="1">
      <c r="A645" s="327">
        <v>15</v>
      </c>
      <c r="B645" s="435" t="str">
        <f>VLOOKUP(Ruimtestaat[[#This Row],[Code]],Locaties[[Code]:[Locatie]],2,FALSE)</f>
        <v>IKC  Da Vinci</v>
      </c>
      <c r="C645" s="435" t="str">
        <f>VLOOKUP(Ruimtestaat[[#This Row],[Code]],Locaties[[#All],[Code]:[Adres]],4,FALSE)</f>
        <v>Spitsbergen 17</v>
      </c>
      <c r="D645" s="435" t="str">
        <f>VLOOKUP(Ruimtestaat[[#This Row],[Code]],Locaties[[#All],[Code]:[Postcode]],5,FALSE)</f>
        <v>2721 GP</v>
      </c>
      <c r="E645" s="435" t="str">
        <f>VLOOKUP(Ruimtestaat[[#This Row],[Code]],Locaties[#All],6,FALSE)</f>
        <v>Zoetermeer</v>
      </c>
      <c r="F645" s="330" t="s">
        <v>2154</v>
      </c>
      <c r="I645" s="450" t="s">
        <v>1724</v>
      </c>
      <c r="J645" s="330">
        <v>20</v>
      </c>
      <c r="K645" s="450" t="str">
        <f>VLOOKUP(Ruimtestaat[[#This Row],[Ruimte code]],Ruimtegroepen[[#All],[Code]:[Ruimte omschrijving]],2,FALSE)</f>
        <v>Niet in Onderhoud</v>
      </c>
      <c r="M645" s="330"/>
      <c r="N645" s="439"/>
      <c r="O645" s="439">
        <v>7</v>
      </c>
      <c r="P645" s="439"/>
      <c r="Q645" s="439"/>
      <c r="R645" s="440">
        <f>VLOOKUP(Ruimtestaat[[#This Row],[Ruimte code]],Ruimtegroepen[],4,FALSE)</f>
        <v>0</v>
      </c>
      <c r="S645" s="434"/>
      <c r="T645" s="434"/>
      <c r="U645" s="453">
        <f>IF(S645&gt;0,IF(RIGHT(Ruimtestaat[[#This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5" s="434">
        <f>IF(U645&gt;0,VLOOKUP($J645,Ruimtegroepen[],3,FALSE)*VLOOKUP($L645,Vloersoorten[],3,FALSE)*VLOOKUP($T645,Frequenties[],3,FALSE)*VLOOKUP($A645,Locaties[],3,FALSE),0)</f>
        <v>0</v>
      </c>
      <c r="W645" s="434">
        <f>Ruimtestaat[[#This Row],[Uitvoeringen werkdagen]]*Ruimtestaat[[#This Row],[Oppervlak (netto)]]</f>
        <v>0</v>
      </c>
      <c r="X645" s="441">
        <f>IF(V645&gt;0,Ruimtestaat[[#This Row],[Prest. (m2 /jaar) werkdagen]]/Ruimtestaat[[#This Row],[Norm (m2/uur) werkdagen]],0)</f>
        <v>0</v>
      </c>
      <c r="Y645" s="442">
        <f>Ruimtestaat[[#This Row],[Uitvoeringen werkdagen]]*Ruimtestaat[[#This Row],[Gedeeltelijk]]</f>
        <v>0</v>
      </c>
      <c r="Z645" s="443">
        <f>IF(U645&gt;0,Ruimtestaat[[#This Row],[Prest. (m2 / jaar) werkdagen gedeeld]]/Ruimtestaat[[#This Row],[Norm (m2/uur) werkdagen]],0)</f>
        <v>0</v>
      </c>
      <c r="AA645" s="441">
        <f>Ruimtestaat[[#This Row],[uren / jaar werkdagen gedeeld]]*Tariefsopbouw!$E$35</f>
        <v>0</v>
      </c>
      <c r="AB645" s="441">
        <f>Ruimtestaat[[#This Row],[Uitvoeringen werkdagen]]*Ruimtestaat[[#This Row],[BSO]]</f>
        <v>0</v>
      </c>
      <c r="AC645" s="443">
        <f>IF(U645&gt;0,Ruimtestaat[[#This Row],[Prest. (m2 / jaar) werkdagen BSO]]/Ruimtestaat[[#This Row],[Norm (m2/uur) werkdagen]],0)</f>
        <v>0</v>
      </c>
      <c r="AD645" s="443">
        <f>Ruimtestaat[[#This Row],[uren / jaar werkdagen BSO]]*Tariefsopbouw!$E$35</f>
        <v>0</v>
      </c>
      <c r="AE645" s="444">
        <f>Ruimtestaat[[#This Row],[uren / jaar werkdagen]]*Tariefsopbouw!$E$35</f>
        <v>0</v>
      </c>
      <c r="AF645" s="454"/>
      <c r="AG645" s="455">
        <f>IF(Ruimtestaat[[#This Row],[Frequentie weekend]]&gt;0,VALUE(LEFT(AF645,1))*S645,0)</f>
        <v>0</v>
      </c>
      <c r="AH645" s="455">
        <f>IF($AG645&gt;0,VLOOKUP($J645,Ruimtegroepen[],3,FALSE)*VLOOKUP($L645,Vloersoorten[],3,FALSE)*VLOOKUP($AF645,Frequenties[],3,FALSE)*VLOOKUP(#REF!,Locaties[],3,FALSE),0)</f>
        <v>0</v>
      </c>
      <c r="AI645" s="434">
        <f>Ruimtestaat[[#This Row],[Uitvoeringen weekend]]*Ruimtestaat[[#This Row],[Oppervlak (netto)]]</f>
        <v>0</v>
      </c>
      <c r="AJ645" s="434">
        <f>IF(AH645&gt;0,Ruimtestaat[[#This Row],[Prest. (m2 /jaar) weekend]]/Ruimtestaat[[#This Row],[Norm (m2/uur) weekend]],0)</f>
        <v>0</v>
      </c>
      <c r="AK645" s="444">
        <f>Ruimtestaat[[#This Row],[uren / jaar weekend]]*Tariefsopbouw!$D$40</f>
        <v>0</v>
      </c>
      <c r="AL645" s="441">
        <f>Ruimtestaat[[#This Row],[Prest. (m2 /jaar) weekend]]+Ruimtestaat[[#This Row],[Prest. (m2 /jaar) werkdagen]]</f>
        <v>0</v>
      </c>
      <c r="AM645" s="441">
        <f>Ruimtestaat[[#This Row],[uren / jaar weekend]]+Ruimtestaat[[#This Row],[uren / jaar werkdagen]]</f>
        <v>0</v>
      </c>
      <c r="AN645" s="446">
        <f>Ruimtestaat[[#This Row],[kosten / jaar weekend]]+Ruimtestaat[[#This Row],[kosten / jaar werkdagen]]</f>
        <v>0</v>
      </c>
      <c r="AO645" s="446"/>
      <c r="AP645" s="446" t="str">
        <f>IF(Ruimtestaat[[#This Row],[Frequentie werkdagen]]="","",_xlfn.CONCAT(Ruimtestaat[[#This Row],[Ruimte code]],"-",Ruimtestaat[[#This Row],[Frequentie werkdagen]]," ",Ruimtestaat[[#This Row],[Vloer code]]))</f>
        <v/>
      </c>
      <c r="AQ645" s="448" t="str">
        <f>_xlfn.IFNA(VLOOKUP($AP645,Programma!$F$3:$G$1101,2,0),"")</f>
        <v/>
      </c>
      <c r="AR645" s="448" t="str">
        <f>_xlfn.IFNA(VLOOKUP($AP645,Programma!$F$3:$H$1101,3,0),"")</f>
        <v/>
      </c>
      <c r="AS645" s="448" t="str">
        <f>_xlfn.IFNA(VLOOKUP($AP645,Programma!$F$3:$I$1101,4,0),"")</f>
        <v/>
      </c>
      <c r="AT645" s="448" t="str">
        <f>_xlfn.IFNA(VLOOKUP($AP645,Programma!$F$3:$J$1101,5,0),"")</f>
        <v/>
      </c>
      <c r="AU645" s="448" t="str">
        <f>_xlfn.IFNA(VLOOKUP($AP645,Programma!$F$3:$K$1101,6,0),"")</f>
        <v/>
      </c>
      <c r="AV645" s="448" t="str">
        <f>_xlfn.IFNA(VLOOKUP($AP645,Programma!$F$3:$L$1101,7,0),"")</f>
        <v/>
      </c>
      <c r="AW645" s="448" t="str">
        <f>_xlfn.IFNA(VLOOKUP($AP645,Programma!$F$3:$M$1101,8,0),"")</f>
        <v/>
      </c>
      <c r="AX645" s="448" t="str">
        <f>_xlfn.IFNA(VLOOKUP($AP645,Programma!$F$3:$N$1101,9,0),"")</f>
        <v/>
      </c>
      <c r="AY645" s="448" t="str">
        <f>_xlfn.IFNA(VLOOKUP($AP645,Programma!$F$3:$O$1101,10,0),"")</f>
        <v/>
      </c>
      <c r="AZ645" s="448" t="str">
        <f>_xlfn.IFNA(VLOOKUP($AP645,Programma!$F$3:$P$1101,11,0),"")</f>
        <v/>
      </c>
      <c r="BA645" s="448" t="str">
        <f>_xlfn.IFNA(VLOOKUP($AP645,Programma!$F$3:$Q$1101,12,0),"")</f>
        <v/>
      </c>
      <c r="BB645" s="448" t="str">
        <f>_xlfn.IFNA(VLOOKUP($AP645,Programma!$F$3:$R$1101,13,0),"")</f>
        <v/>
      </c>
      <c r="BC645" s="448" t="str">
        <f>_xlfn.IFNA(VLOOKUP($AP645,Programma!$F$3:$S$1101,14,0),"")</f>
        <v/>
      </c>
      <c r="BD645" s="448" t="str">
        <f>_xlfn.IFNA(VLOOKUP($AP645,Programma!$F$3:$T$1101,15,0),"")</f>
        <v/>
      </c>
      <c r="BE645" s="448" t="str">
        <f>_xlfn.IFNA(VLOOKUP($AP645,Programma!$F$3:$U$1101,16,0),"")</f>
        <v/>
      </c>
      <c r="BF645" s="448" t="str">
        <f>_xlfn.IFNA(VLOOKUP($AP645,Programma!$F$3:$V$1101,17,0),"")</f>
        <v/>
      </c>
      <c r="BG645" s="448" t="str">
        <f>_xlfn.IFNA(VLOOKUP($AP645,Programma!$F$3:$W$1101,18,0),"")</f>
        <v/>
      </c>
      <c r="BH645" s="448" t="str">
        <f>_xlfn.IFNA(VLOOKUP($AP645,Programma!$F$3:$X$1101,19,0),"")</f>
        <v/>
      </c>
      <c r="BI645" s="448" t="str">
        <f>_xlfn.IFNA(VLOOKUP($AP645,Programma!$F$3:$Y$1101,20,0),"")</f>
        <v/>
      </c>
      <c r="BJ645" s="449"/>
      <c r="BK645" s="446" t="str">
        <f>IF(Ruimtestaat[[#This Row],[Frequentie weekend]]="","",_xlfn.CONCAT(Ruimtestaat[[#This Row],[Ruimte code]],"-",Ruimtestaat[[#This Row],[Frequentie weekend]]," ",Ruimtestaat[[#This Row],[Vloer code]]))</f>
        <v/>
      </c>
      <c r="BL645" s="448" t="str">
        <f>_xlfn.IFNA(VLOOKUP($BK645,Programma!$F$3:$G$1101,2,0),"")</f>
        <v/>
      </c>
      <c r="BM645" s="448" t="str">
        <f>_xlfn.IFNA(VLOOKUP($BK645,Programma!$F$3:$H$1101,3,0),"")</f>
        <v/>
      </c>
      <c r="BN645" s="448" t="str">
        <f>_xlfn.IFNA(VLOOKUP($BK645,Programma!$F$3:$I$1101,4,0),"")</f>
        <v/>
      </c>
      <c r="BO645" s="448" t="str">
        <f>_xlfn.IFNA(VLOOKUP($BK645,Programma!$F$3:$J$1101,5,0),"")</f>
        <v/>
      </c>
      <c r="BP645" s="448" t="str">
        <f>_xlfn.IFNA(VLOOKUP($BK645,Programma!$F$3:$K$1101,6,0),"")</f>
        <v/>
      </c>
      <c r="BQ645" s="448" t="str">
        <f>_xlfn.IFNA(VLOOKUP($BK645,Programma!$F$3:$L$1101,7,0),"")</f>
        <v/>
      </c>
      <c r="BR645" s="448" t="str">
        <f>_xlfn.IFNA(VLOOKUP($BK645,Programma!$F$3:$M$1101,8,0),"")</f>
        <v/>
      </c>
      <c r="BS645" s="448" t="str">
        <f>_xlfn.IFNA(VLOOKUP($BK645,Programma!$F$3:$N$1101,9,0),"")</f>
        <v/>
      </c>
      <c r="BT645" s="448" t="str">
        <f>_xlfn.IFNA(VLOOKUP($BK645,Programma!$F$3:$O$1101,10,0),"")</f>
        <v/>
      </c>
      <c r="BU645" s="448" t="str">
        <f>_xlfn.IFNA(VLOOKUP($BK645,Programma!$F$3:$P$1101,11,0),"")</f>
        <v/>
      </c>
      <c r="BV645" s="448" t="str">
        <f>_xlfn.IFNA(VLOOKUP($BK645,Programma!$F$3:$Q$1101,12,0),"")</f>
        <v/>
      </c>
      <c r="BW645" s="448" t="str">
        <f>_xlfn.IFNA(VLOOKUP($BK645,Programma!$F$3:$R$1101,13,0),"")</f>
        <v/>
      </c>
      <c r="BX645" s="448" t="str">
        <f>_xlfn.IFNA(VLOOKUP($BK645,Programma!$F$3:$S$1101,14,0),"")</f>
        <v/>
      </c>
      <c r="BY645" s="448" t="str">
        <f>_xlfn.IFNA(VLOOKUP($BK645,Programma!$F$3:$T$1101,15,0),"")</f>
        <v/>
      </c>
      <c r="BZ645" s="448" t="str">
        <f>_xlfn.IFNA(VLOOKUP($BK645,Programma!$F$3:$U$1101,16,0),"")</f>
        <v/>
      </c>
      <c r="CA645" s="448" t="str">
        <f>_xlfn.IFNA(VLOOKUP($BK645,Programma!$F$3:$V$1101,17,0),"")</f>
        <v/>
      </c>
      <c r="CB645" s="448" t="str">
        <f>_xlfn.IFNA(VLOOKUP($BK645,Programma!$F$3:$W$1101,18,0),"")</f>
        <v/>
      </c>
      <c r="CC645" s="448" t="str">
        <f>_xlfn.IFNA(VLOOKUP($BK645,Programma!$F$3:$X$1101,19,0),"")</f>
        <v/>
      </c>
      <c r="CD645" s="448" t="str">
        <f>_xlfn.IFNA(VLOOKUP($BK645,Programma!$F$3:$Y$1101,20,0),"")</f>
        <v/>
      </c>
    </row>
    <row r="646" spans="1:82" ht="15" customHeight="1">
      <c r="A646" s="327">
        <v>15</v>
      </c>
      <c r="B646" s="435" t="str">
        <f>VLOOKUP(Ruimtestaat[[#This Row],[Code]],Locaties[[Code]:[Locatie]],2,FALSE)</f>
        <v>IKC  Da Vinci</v>
      </c>
      <c r="C646" s="435" t="str">
        <f>VLOOKUP(Ruimtestaat[[#This Row],[Code]],Locaties[[#All],[Code]:[Adres]],4,FALSE)</f>
        <v>Spitsbergen 17</v>
      </c>
      <c r="D646" s="435" t="str">
        <f>VLOOKUP(Ruimtestaat[[#This Row],[Code]],Locaties[[#All],[Code]:[Postcode]],5,FALSE)</f>
        <v>2721 GP</v>
      </c>
      <c r="E646" s="435" t="str">
        <f>VLOOKUP(Ruimtestaat[[#This Row],[Code]],Locaties[#All],6,FALSE)</f>
        <v>Zoetermeer</v>
      </c>
      <c r="F646" s="330" t="s">
        <v>2154</v>
      </c>
      <c r="I646" s="450" t="s">
        <v>1724</v>
      </c>
      <c r="J646" s="330">
        <v>20</v>
      </c>
      <c r="K646" s="450" t="str">
        <f>VLOOKUP(Ruimtestaat[[#This Row],[Ruimte code]],Ruimtegroepen[[#All],[Code]:[Ruimte omschrijving]],2,FALSE)</f>
        <v>Niet in Onderhoud</v>
      </c>
      <c r="M646" s="330"/>
      <c r="N646" s="439"/>
      <c r="O646" s="439">
        <v>7</v>
      </c>
      <c r="P646" s="439"/>
      <c r="Q646" s="439"/>
      <c r="R646" s="440">
        <f>VLOOKUP(Ruimtestaat[[#This Row],[Ruimte code]],Ruimtegroepen[],4,FALSE)</f>
        <v>0</v>
      </c>
      <c r="S646" s="434"/>
      <c r="T646" s="434"/>
      <c r="U646" s="453">
        <f>IF(S646&gt;0,IF(RIGHT(Ruimtestaat[[#This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6" s="434">
        <f>IF(U646&gt;0,VLOOKUP($J646,Ruimtegroepen[],3,FALSE)*VLOOKUP($L646,Vloersoorten[],3,FALSE)*VLOOKUP($T646,Frequenties[],3,FALSE)*VLOOKUP($A646,Locaties[],3,FALSE),0)</f>
        <v>0</v>
      </c>
      <c r="W646" s="434">
        <f>Ruimtestaat[[#This Row],[Uitvoeringen werkdagen]]*Ruimtestaat[[#This Row],[Oppervlak (netto)]]</f>
        <v>0</v>
      </c>
      <c r="X646" s="441">
        <f>IF(V646&gt;0,Ruimtestaat[[#This Row],[Prest. (m2 /jaar) werkdagen]]/Ruimtestaat[[#This Row],[Norm (m2/uur) werkdagen]],0)</f>
        <v>0</v>
      </c>
      <c r="Y646" s="442">
        <f>Ruimtestaat[[#This Row],[Uitvoeringen werkdagen]]*Ruimtestaat[[#This Row],[Gedeeltelijk]]</f>
        <v>0</v>
      </c>
      <c r="Z646" s="443">
        <f>IF(U646&gt;0,Ruimtestaat[[#This Row],[Prest. (m2 / jaar) werkdagen gedeeld]]/Ruimtestaat[[#This Row],[Norm (m2/uur) werkdagen]],0)</f>
        <v>0</v>
      </c>
      <c r="AA646" s="441">
        <f>Ruimtestaat[[#This Row],[uren / jaar werkdagen gedeeld]]*Tariefsopbouw!$E$35</f>
        <v>0</v>
      </c>
      <c r="AB646" s="441">
        <f>Ruimtestaat[[#This Row],[Uitvoeringen werkdagen]]*Ruimtestaat[[#This Row],[BSO]]</f>
        <v>0</v>
      </c>
      <c r="AC646" s="443">
        <f>IF(U646&gt;0,Ruimtestaat[[#This Row],[Prest. (m2 / jaar) werkdagen BSO]]/Ruimtestaat[[#This Row],[Norm (m2/uur) werkdagen]],0)</f>
        <v>0</v>
      </c>
      <c r="AD646" s="443">
        <f>Ruimtestaat[[#This Row],[uren / jaar werkdagen BSO]]*Tariefsopbouw!$E$35</f>
        <v>0</v>
      </c>
      <c r="AE646" s="444">
        <f>Ruimtestaat[[#This Row],[uren / jaar werkdagen]]*Tariefsopbouw!$E$35</f>
        <v>0</v>
      </c>
      <c r="AF646" s="454"/>
      <c r="AG646" s="455">
        <f>IF(Ruimtestaat[[#This Row],[Frequentie weekend]]&gt;0,VALUE(LEFT(AF646,1))*S646,0)</f>
        <v>0</v>
      </c>
      <c r="AH646" s="455">
        <f>IF($AG646&gt;0,VLOOKUP($J646,Ruimtegroepen[],3,FALSE)*VLOOKUP($L646,Vloersoorten[],3,FALSE)*VLOOKUP($AF646,Frequenties[],3,FALSE)*VLOOKUP(#REF!,Locaties[],3,FALSE),0)</f>
        <v>0</v>
      </c>
      <c r="AI646" s="434">
        <f>Ruimtestaat[[#This Row],[Uitvoeringen weekend]]*Ruimtestaat[[#This Row],[Oppervlak (netto)]]</f>
        <v>0</v>
      </c>
      <c r="AJ646" s="434">
        <f>IF(AH646&gt;0,Ruimtestaat[[#This Row],[Prest. (m2 /jaar) weekend]]/Ruimtestaat[[#This Row],[Norm (m2/uur) weekend]],0)</f>
        <v>0</v>
      </c>
      <c r="AK646" s="444">
        <f>Ruimtestaat[[#This Row],[uren / jaar weekend]]*Tariefsopbouw!$D$40</f>
        <v>0</v>
      </c>
      <c r="AL646" s="441">
        <f>Ruimtestaat[[#This Row],[Prest. (m2 /jaar) weekend]]+Ruimtestaat[[#This Row],[Prest. (m2 /jaar) werkdagen]]</f>
        <v>0</v>
      </c>
      <c r="AM646" s="441">
        <f>Ruimtestaat[[#This Row],[uren / jaar weekend]]+Ruimtestaat[[#This Row],[uren / jaar werkdagen]]</f>
        <v>0</v>
      </c>
      <c r="AN646" s="446">
        <f>Ruimtestaat[[#This Row],[kosten / jaar weekend]]+Ruimtestaat[[#This Row],[kosten / jaar werkdagen]]</f>
        <v>0</v>
      </c>
      <c r="AO646" s="446"/>
      <c r="AP646" s="446" t="str">
        <f>IF(Ruimtestaat[[#This Row],[Frequentie werkdagen]]="","",_xlfn.CONCAT(Ruimtestaat[[#This Row],[Ruimte code]],"-",Ruimtestaat[[#This Row],[Frequentie werkdagen]]," ",Ruimtestaat[[#This Row],[Vloer code]]))</f>
        <v/>
      </c>
      <c r="AQ646" s="448" t="str">
        <f>_xlfn.IFNA(VLOOKUP($AP646,Programma!$F$3:$G$1101,2,0),"")</f>
        <v/>
      </c>
      <c r="AR646" s="448" t="str">
        <f>_xlfn.IFNA(VLOOKUP($AP646,Programma!$F$3:$H$1101,3,0),"")</f>
        <v/>
      </c>
      <c r="AS646" s="448" t="str">
        <f>_xlfn.IFNA(VLOOKUP($AP646,Programma!$F$3:$I$1101,4,0),"")</f>
        <v/>
      </c>
      <c r="AT646" s="448" t="str">
        <f>_xlfn.IFNA(VLOOKUP($AP646,Programma!$F$3:$J$1101,5,0),"")</f>
        <v/>
      </c>
      <c r="AU646" s="448" t="str">
        <f>_xlfn.IFNA(VLOOKUP($AP646,Programma!$F$3:$K$1101,6,0),"")</f>
        <v/>
      </c>
      <c r="AV646" s="448" t="str">
        <f>_xlfn.IFNA(VLOOKUP($AP646,Programma!$F$3:$L$1101,7,0),"")</f>
        <v/>
      </c>
      <c r="AW646" s="448" t="str">
        <f>_xlfn.IFNA(VLOOKUP($AP646,Programma!$F$3:$M$1101,8,0),"")</f>
        <v/>
      </c>
      <c r="AX646" s="448" t="str">
        <f>_xlfn.IFNA(VLOOKUP($AP646,Programma!$F$3:$N$1101,9,0),"")</f>
        <v/>
      </c>
      <c r="AY646" s="448" t="str">
        <f>_xlfn.IFNA(VLOOKUP($AP646,Programma!$F$3:$O$1101,10,0),"")</f>
        <v/>
      </c>
      <c r="AZ646" s="448" t="str">
        <f>_xlfn.IFNA(VLOOKUP($AP646,Programma!$F$3:$P$1101,11,0),"")</f>
        <v/>
      </c>
      <c r="BA646" s="448" t="str">
        <f>_xlfn.IFNA(VLOOKUP($AP646,Programma!$F$3:$Q$1101,12,0),"")</f>
        <v/>
      </c>
      <c r="BB646" s="448" t="str">
        <f>_xlfn.IFNA(VLOOKUP($AP646,Programma!$F$3:$R$1101,13,0),"")</f>
        <v/>
      </c>
      <c r="BC646" s="448" t="str">
        <f>_xlfn.IFNA(VLOOKUP($AP646,Programma!$F$3:$S$1101,14,0),"")</f>
        <v/>
      </c>
      <c r="BD646" s="448" t="str">
        <f>_xlfn.IFNA(VLOOKUP($AP646,Programma!$F$3:$T$1101,15,0),"")</f>
        <v/>
      </c>
      <c r="BE646" s="448" t="str">
        <f>_xlfn.IFNA(VLOOKUP($AP646,Programma!$F$3:$U$1101,16,0),"")</f>
        <v/>
      </c>
      <c r="BF646" s="448" t="str">
        <f>_xlfn.IFNA(VLOOKUP($AP646,Programma!$F$3:$V$1101,17,0),"")</f>
        <v/>
      </c>
      <c r="BG646" s="448" t="str">
        <f>_xlfn.IFNA(VLOOKUP($AP646,Programma!$F$3:$W$1101,18,0),"")</f>
        <v/>
      </c>
      <c r="BH646" s="448" t="str">
        <f>_xlfn.IFNA(VLOOKUP($AP646,Programma!$F$3:$X$1101,19,0),"")</f>
        <v/>
      </c>
      <c r="BI646" s="448" t="str">
        <f>_xlfn.IFNA(VLOOKUP($AP646,Programma!$F$3:$Y$1101,20,0),"")</f>
        <v/>
      </c>
      <c r="BJ646" s="449"/>
      <c r="BK646" s="446" t="str">
        <f>IF(Ruimtestaat[[#This Row],[Frequentie weekend]]="","",_xlfn.CONCAT(Ruimtestaat[[#This Row],[Ruimte code]],"-",Ruimtestaat[[#This Row],[Frequentie weekend]]," ",Ruimtestaat[[#This Row],[Vloer code]]))</f>
        <v/>
      </c>
      <c r="BL646" s="448" t="str">
        <f>_xlfn.IFNA(VLOOKUP($BK646,Programma!$F$3:$G$1101,2,0),"")</f>
        <v/>
      </c>
      <c r="BM646" s="448" t="str">
        <f>_xlfn.IFNA(VLOOKUP($BK646,Programma!$F$3:$H$1101,3,0),"")</f>
        <v/>
      </c>
      <c r="BN646" s="448" t="str">
        <f>_xlfn.IFNA(VLOOKUP($BK646,Programma!$F$3:$I$1101,4,0),"")</f>
        <v/>
      </c>
      <c r="BO646" s="448" t="str">
        <f>_xlfn.IFNA(VLOOKUP($BK646,Programma!$F$3:$J$1101,5,0),"")</f>
        <v/>
      </c>
      <c r="BP646" s="448" t="str">
        <f>_xlfn.IFNA(VLOOKUP($BK646,Programma!$F$3:$K$1101,6,0),"")</f>
        <v/>
      </c>
      <c r="BQ646" s="448" t="str">
        <f>_xlfn.IFNA(VLOOKUP($BK646,Programma!$F$3:$L$1101,7,0),"")</f>
        <v/>
      </c>
      <c r="BR646" s="448" t="str">
        <f>_xlfn.IFNA(VLOOKUP($BK646,Programma!$F$3:$M$1101,8,0),"")</f>
        <v/>
      </c>
      <c r="BS646" s="448" t="str">
        <f>_xlfn.IFNA(VLOOKUP($BK646,Programma!$F$3:$N$1101,9,0),"")</f>
        <v/>
      </c>
      <c r="BT646" s="448" t="str">
        <f>_xlfn.IFNA(VLOOKUP($BK646,Programma!$F$3:$O$1101,10,0),"")</f>
        <v/>
      </c>
      <c r="BU646" s="448" t="str">
        <f>_xlfn.IFNA(VLOOKUP($BK646,Programma!$F$3:$P$1101,11,0),"")</f>
        <v/>
      </c>
      <c r="BV646" s="448" t="str">
        <f>_xlfn.IFNA(VLOOKUP($BK646,Programma!$F$3:$Q$1101,12,0),"")</f>
        <v/>
      </c>
      <c r="BW646" s="448" t="str">
        <f>_xlfn.IFNA(VLOOKUP($BK646,Programma!$F$3:$R$1101,13,0),"")</f>
        <v/>
      </c>
      <c r="BX646" s="448" t="str">
        <f>_xlfn.IFNA(VLOOKUP($BK646,Programma!$F$3:$S$1101,14,0),"")</f>
        <v/>
      </c>
      <c r="BY646" s="448" t="str">
        <f>_xlfn.IFNA(VLOOKUP($BK646,Programma!$F$3:$T$1101,15,0),"")</f>
        <v/>
      </c>
      <c r="BZ646" s="448" t="str">
        <f>_xlfn.IFNA(VLOOKUP($BK646,Programma!$F$3:$U$1101,16,0),"")</f>
        <v/>
      </c>
      <c r="CA646" s="448" t="str">
        <f>_xlfn.IFNA(VLOOKUP($BK646,Programma!$F$3:$V$1101,17,0),"")</f>
        <v/>
      </c>
      <c r="CB646" s="448" t="str">
        <f>_xlfn.IFNA(VLOOKUP($BK646,Programma!$F$3:$W$1101,18,0),"")</f>
        <v/>
      </c>
      <c r="CC646" s="448" t="str">
        <f>_xlfn.IFNA(VLOOKUP($BK646,Programma!$F$3:$X$1101,19,0),"")</f>
        <v/>
      </c>
      <c r="CD646" s="448" t="str">
        <f>_xlfn.IFNA(VLOOKUP($BK646,Programma!$F$3:$Y$1101,20,0),"")</f>
        <v/>
      </c>
    </row>
    <row r="647" spans="1:82" ht="15" customHeight="1">
      <c r="A647" s="327">
        <v>15</v>
      </c>
      <c r="B647" s="435" t="str">
        <f>VLOOKUP(Ruimtestaat[[#This Row],[Code]],Locaties[[Code]:[Locatie]],2,FALSE)</f>
        <v>IKC  Da Vinci</v>
      </c>
      <c r="C647" s="435" t="str">
        <f>VLOOKUP(Ruimtestaat[[#This Row],[Code]],Locaties[[#All],[Code]:[Adres]],4,FALSE)</f>
        <v>Spitsbergen 17</v>
      </c>
      <c r="D647" s="435" t="str">
        <f>VLOOKUP(Ruimtestaat[[#This Row],[Code]],Locaties[[#All],[Code]:[Postcode]],5,FALSE)</f>
        <v>2721 GP</v>
      </c>
      <c r="E647" s="435" t="str">
        <f>VLOOKUP(Ruimtestaat[[#This Row],[Code]],Locaties[#All],6,FALSE)</f>
        <v>Zoetermeer</v>
      </c>
      <c r="F647" s="330" t="s">
        <v>2154</v>
      </c>
      <c r="I647" s="450" t="s">
        <v>1970</v>
      </c>
      <c r="J647" s="330">
        <v>20</v>
      </c>
      <c r="K647" s="450" t="str">
        <f>VLOOKUP(Ruimtestaat[[#This Row],[Ruimte code]],Ruimtegroepen[[#All],[Code]:[Ruimte omschrijving]],2,FALSE)</f>
        <v>Niet in Onderhoud</v>
      </c>
      <c r="M647" s="330"/>
      <c r="N647" s="439"/>
      <c r="O647" s="439">
        <v>70</v>
      </c>
      <c r="P647" s="439"/>
      <c r="Q647" s="439"/>
      <c r="R647" s="440">
        <f>VLOOKUP(Ruimtestaat[[#This Row],[Ruimte code]],Ruimtegroepen[],4,FALSE)</f>
        <v>0</v>
      </c>
      <c r="S647" s="434"/>
      <c r="T647" s="434"/>
      <c r="U647" s="453">
        <f>IF(S647&gt;0,IF(RIGHT(Ruimtestaat[[#This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7" s="434">
        <f>IF(U647&gt;0,VLOOKUP($J647,Ruimtegroepen[],3,FALSE)*VLOOKUP($L647,Vloersoorten[],3,FALSE)*VLOOKUP($T647,Frequenties[],3,FALSE)*VLOOKUP($A647,Locaties[],3,FALSE),0)</f>
        <v>0</v>
      </c>
      <c r="W647" s="434">
        <f>Ruimtestaat[[#This Row],[Uitvoeringen werkdagen]]*Ruimtestaat[[#This Row],[Oppervlak (netto)]]</f>
        <v>0</v>
      </c>
      <c r="X647" s="441">
        <f>IF(V647&gt;0,Ruimtestaat[[#This Row],[Prest. (m2 /jaar) werkdagen]]/Ruimtestaat[[#This Row],[Norm (m2/uur) werkdagen]],0)</f>
        <v>0</v>
      </c>
      <c r="Y647" s="442">
        <f>Ruimtestaat[[#This Row],[Uitvoeringen werkdagen]]*Ruimtestaat[[#This Row],[Gedeeltelijk]]</f>
        <v>0</v>
      </c>
      <c r="Z647" s="443">
        <f>IF(U647&gt;0,Ruimtestaat[[#This Row],[Prest. (m2 / jaar) werkdagen gedeeld]]/Ruimtestaat[[#This Row],[Norm (m2/uur) werkdagen]],0)</f>
        <v>0</v>
      </c>
      <c r="AA647" s="441">
        <f>Ruimtestaat[[#This Row],[uren / jaar werkdagen gedeeld]]*Tariefsopbouw!$E$35</f>
        <v>0</v>
      </c>
      <c r="AB647" s="441">
        <f>Ruimtestaat[[#This Row],[Uitvoeringen werkdagen]]*Ruimtestaat[[#This Row],[BSO]]</f>
        <v>0</v>
      </c>
      <c r="AC647" s="443">
        <f>IF(U647&gt;0,Ruimtestaat[[#This Row],[Prest. (m2 / jaar) werkdagen BSO]]/Ruimtestaat[[#This Row],[Norm (m2/uur) werkdagen]],0)</f>
        <v>0</v>
      </c>
      <c r="AD647" s="443">
        <f>Ruimtestaat[[#This Row],[uren / jaar werkdagen BSO]]*Tariefsopbouw!$E$35</f>
        <v>0</v>
      </c>
      <c r="AE647" s="444">
        <f>Ruimtestaat[[#This Row],[uren / jaar werkdagen]]*Tariefsopbouw!$E$35</f>
        <v>0</v>
      </c>
      <c r="AF647" s="454"/>
      <c r="AG647" s="455">
        <f>IF(Ruimtestaat[[#This Row],[Frequentie weekend]]&gt;0,VALUE(LEFT(AF647,1))*S647,0)</f>
        <v>0</v>
      </c>
      <c r="AH647" s="455">
        <f>IF($AG647&gt;0,VLOOKUP($J647,Ruimtegroepen[],3,FALSE)*VLOOKUP($L647,Vloersoorten[],3,FALSE)*VLOOKUP($AF647,Frequenties[],3,FALSE)*VLOOKUP(#REF!,Locaties[],3,FALSE),0)</f>
        <v>0</v>
      </c>
      <c r="AI647" s="434">
        <f>Ruimtestaat[[#This Row],[Uitvoeringen weekend]]*Ruimtestaat[[#This Row],[Oppervlak (netto)]]</f>
        <v>0</v>
      </c>
      <c r="AJ647" s="434">
        <f>IF(AH647&gt;0,Ruimtestaat[[#This Row],[Prest. (m2 /jaar) weekend]]/Ruimtestaat[[#This Row],[Norm (m2/uur) weekend]],0)</f>
        <v>0</v>
      </c>
      <c r="AK647" s="444">
        <f>Ruimtestaat[[#This Row],[uren / jaar weekend]]*Tariefsopbouw!$D$40</f>
        <v>0</v>
      </c>
      <c r="AL647" s="441">
        <f>Ruimtestaat[[#This Row],[Prest. (m2 /jaar) weekend]]+Ruimtestaat[[#This Row],[Prest. (m2 /jaar) werkdagen]]</f>
        <v>0</v>
      </c>
      <c r="AM647" s="441">
        <f>Ruimtestaat[[#This Row],[uren / jaar weekend]]+Ruimtestaat[[#This Row],[uren / jaar werkdagen]]</f>
        <v>0</v>
      </c>
      <c r="AN647" s="446">
        <f>Ruimtestaat[[#This Row],[kosten / jaar weekend]]+Ruimtestaat[[#This Row],[kosten / jaar werkdagen]]</f>
        <v>0</v>
      </c>
      <c r="AO647" s="446"/>
      <c r="AP647" s="446" t="str">
        <f>IF(Ruimtestaat[[#This Row],[Frequentie werkdagen]]="","",_xlfn.CONCAT(Ruimtestaat[[#This Row],[Ruimte code]],"-",Ruimtestaat[[#This Row],[Frequentie werkdagen]]," ",Ruimtestaat[[#This Row],[Vloer code]]))</f>
        <v/>
      </c>
      <c r="AQ647" s="448" t="str">
        <f>_xlfn.IFNA(VLOOKUP($AP647,Programma!$F$3:$G$1101,2,0),"")</f>
        <v/>
      </c>
      <c r="AR647" s="448" t="str">
        <f>_xlfn.IFNA(VLOOKUP($AP647,Programma!$F$3:$H$1101,3,0),"")</f>
        <v/>
      </c>
      <c r="AS647" s="448" t="str">
        <f>_xlfn.IFNA(VLOOKUP($AP647,Programma!$F$3:$I$1101,4,0),"")</f>
        <v/>
      </c>
      <c r="AT647" s="448" t="str">
        <f>_xlfn.IFNA(VLOOKUP($AP647,Programma!$F$3:$J$1101,5,0),"")</f>
        <v/>
      </c>
      <c r="AU647" s="448" t="str">
        <f>_xlfn.IFNA(VLOOKUP($AP647,Programma!$F$3:$K$1101,6,0),"")</f>
        <v/>
      </c>
      <c r="AV647" s="448" t="str">
        <f>_xlfn.IFNA(VLOOKUP($AP647,Programma!$F$3:$L$1101,7,0),"")</f>
        <v/>
      </c>
      <c r="AW647" s="448" t="str">
        <f>_xlfn.IFNA(VLOOKUP($AP647,Programma!$F$3:$M$1101,8,0),"")</f>
        <v/>
      </c>
      <c r="AX647" s="448" t="str">
        <f>_xlfn.IFNA(VLOOKUP($AP647,Programma!$F$3:$N$1101,9,0),"")</f>
        <v/>
      </c>
      <c r="AY647" s="448" t="str">
        <f>_xlfn.IFNA(VLOOKUP($AP647,Programma!$F$3:$O$1101,10,0),"")</f>
        <v/>
      </c>
      <c r="AZ647" s="448" t="str">
        <f>_xlfn.IFNA(VLOOKUP($AP647,Programma!$F$3:$P$1101,11,0),"")</f>
        <v/>
      </c>
      <c r="BA647" s="448" t="str">
        <f>_xlfn.IFNA(VLOOKUP($AP647,Programma!$F$3:$Q$1101,12,0),"")</f>
        <v/>
      </c>
      <c r="BB647" s="448" t="str">
        <f>_xlfn.IFNA(VLOOKUP($AP647,Programma!$F$3:$R$1101,13,0),"")</f>
        <v/>
      </c>
      <c r="BC647" s="448" t="str">
        <f>_xlfn.IFNA(VLOOKUP($AP647,Programma!$F$3:$S$1101,14,0),"")</f>
        <v/>
      </c>
      <c r="BD647" s="448" t="str">
        <f>_xlfn.IFNA(VLOOKUP($AP647,Programma!$F$3:$T$1101,15,0),"")</f>
        <v/>
      </c>
      <c r="BE647" s="448" t="str">
        <f>_xlfn.IFNA(VLOOKUP($AP647,Programma!$F$3:$U$1101,16,0),"")</f>
        <v/>
      </c>
      <c r="BF647" s="448" t="str">
        <f>_xlfn.IFNA(VLOOKUP($AP647,Programma!$F$3:$V$1101,17,0),"")</f>
        <v/>
      </c>
      <c r="BG647" s="448" t="str">
        <f>_xlfn.IFNA(VLOOKUP($AP647,Programma!$F$3:$W$1101,18,0),"")</f>
        <v/>
      </c>
      <c r="BH647" s="448" t="str">
        <f>_xlfn.IFNA(VLOOKUP($AP647,Programma!$F$3:$X$1101,19,0),"")</f>
        <v/>
      </c>
      <c r="BI647" s="448" t="str">
        <f>_xlfn.IFNA(VLOOKUP($AP647,Programma!$F$3:$Y$1101,20,0),"")</f>
        <v/>
      </c>
      <c r="BJ647" s="449"/>
      <c r="BK647" s="446" t="str">
        <f>IF(Ruimtestaat[[#This Row],[Frequentie weekend]]="","",_xlfn.CONCAT(Ruimtestaat[[#This Row],[Ruimte code]],"-",Ruimtestaat[[#This Row],[Frequentie weekend]]," ",Ruimtestaat[[#This Row],[Vloer code]]))</f>
        <v/>
      </c>
      <c r="BL647" s="448" t="str">
        <f>_xlfn.IFNA(VLOOKUP($BK647,Programma!$F$3:$G$1101,2,0),"")</f>
        <v/>
      </c>
      <c r="BM647" s="448" t="str">
        <f>_xlfn.IFNA(VLOOKUP($BK647,Programma!$F$3:$H$1101,3,0),"")</f>
        <v/>
      </c>
      <c r="BN647" s="448" t="str">
        <f>_xlfn.IFNA(VLOOKUP($BK647,Programma!$F$3:$I$1101,4,0),"")</f>
        <v/>
      </c>
      <c r="BO647" s="448" t="str">
        <f>_xlfn.IFNA(VLOOKUP($BK647,Programma!$F$3:$J$1101,5,0),"")</f>
        <v/>
      </c>
      <c r="BP647" s="448" t="str">
        <f>_xlfn.IFNA(VLOOKUP($BK647,Programma!$F$3:$K$1101,6,0),"")</f>
        <v/>
      </c>
      <c r="BQ647" s="448" t="str">
        <f>_xlfn.IFNA(VLOOKUP($BK647,Programma!$F$3:$L$1101,7,0),"")</f>
        <v/>
      </c>
      <c r="BR647" s="448" t="str">
        <f>_xlfn.IFNA(VLOOKUP($BK647,Programma!$F$3:$M$1101,8,0),"")</f>
        <v/>
      </c>
      <c r="BS647" s="448" t="str">
        <f>_xlfn.IFNA(VLOOKUP($BK647,Programma!$F$3:$N$1101,9,0),"")</f>
        <v/>
      </c>
      <c r="BT647" s="448" t="str">
        <f>_xlfn.IFNA(VLOOKUP($BK647,Programma!$F$3:$O$1101,10,0),"")</f>
        <v/>
      </c>
      <c r="BU647" s="448" t="str">
        <f>_xlfn.IFNA(VLOOKUP($BK647,Programma!$F$3:$P$1101,11,0),"")</f>
        <v/>
      </c>
      <c r="BV647" s="448" t="str">
        <f>_xlfn.IFNA(VLOOKUP($BK647,Programma!$F$3:$Q$1101,12,0),"")</f>
        <v/>
      </c>
      <c r="BW647" s="448" t="str">
        <f>_xlfn.IFNA(VLOOKUP($BK647,Programma!$F$3:$R$1101,13,0),"")</f>
        <v/>
      </c>
      <c r="BX647" s="448" t="str">
        <f>_xlfn.IFNA(VLOOKUP($BK647,Programma!$F$3:$S$1101,14,0),"")</f>
        <v/>
      </c>
      <c r="BY647" s="448" t="str">
        <f>_xlfn.IFNA(VLOOKUP($BK647,Programma!$F$3:$T$1101,15,0),"")</f>
        <v/>
      </c>
      <c r="BZ647" s="448" t="str">
        <f>_xlfn.IFNA(VLOOKUP($BK647,Programma!$F$3:$U$1101,16,0),"")</f>
        <v/>
      </c>
      <c r="CA647" s="448" t="str">
        <f>_xlfn.IFNA(VLOOKUP($BK647,Programma!$F$3:$V$1101,17,0),"")</f>
        <v/>
      </c>
      <c r="CB647" s="448" t="str">
        <f>_xlfn.IFNA(VLOOKUP($BK647,Programma!$F$3:$W$1101,18,0),"")</f>
        <v/>
      </c>
      <c r="CC647" s="448" t="str">
        <f>_xlfn.IFNA(VLOOKUP($BK647,Programma!$F$3:$X$1101,19,0),"")</f>
        <v/>
      </c>
      <c r="CD647" s="448" t="str">
        <f>_xlfn.IFNA(VLOOKUP($BK647,Programma!$F$3:$Y$1101,20,0),"")</f>
        <v/>
      </c>
    </row>
    <row r="648" spans="1:82" ht="15" customHeight="1">
      <c r="A648" s="327">
        <v>15</v>
      </c>
      <c r="B648" s="435" t="str">
        <f>VLOOKUP(Ruimtestaat[[#This Row],[Code]],Locaties[[Code]:[Locatie]],2,FALSE)</f>
        <v>IKC  Da Vinci</v>
      </c>
      <c r="C648" s="435" t="str">
        <f>VLOOKUP(Ruimtestaat[[#This Row],[Code]],Locaties[[#All],[Code]:[Adres]],4,FALSE)</f>
        <v>Spitsbergen 17</v>
      </c>
      <c r="D648" s="435" t="str">
        <f>VLOOKUP(Ruimtestaat[[#This Row],[Code]],Locaties[[#All],[Code]:[Postcode]],5,FALSE)</f>
        <v>2721 GP</v>
      </c>
      <c r="E648" s="435" t="str">
        <f>VLOOKUP(Ruimtestaat[[#This Row],[Code]],Locaties[#All],6,FALSE)</f>
        <v>Zoetermeer</v>
      </c>
      <c r="F648" s="330" t="s">
        <v>2154</v>
      </c>
      <c r="I648" s="450" t="s">
        <v>1971</v>
      </c>
      <c r="J648" s="330">
        <v>20</v>
      </c>
      <c r="K648" s="450" t="str">
        <f>VLOOKUP(Ruimtestaat[[#This Row],[Ruimte code]],Ruimtegroepen[[#All],[Code]:[Ruimte omschrijving]],2,FALSE)</f>
        <v>Niet in Onderhoud</v>
      </c>
      <c r="M648" s="330"/>
      <c r="N648" s="439"/>
      <c r="O648" s="439">
        <v>8</v>
      </c>
      <c r="P648" s="439"/>
      <c r="Q648" s="439"/>
      <c r="R648" s="440">
        <f>VLOOKUP(Ruimtestaat[[#This Row],[Ruimte code]],Ruimtegroepen[],4,FALSE)</f>
        <v>0</v>
      </c>
      <c r="S648" s="434"/>
      <c r="T648" s="434"/>
      <c r="U648" s="453">
        <f>IF(S648&gt;0,IF(RIGHT(Ruimtestaat[[#This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8" s="434">
        <f>IF(U648&gt;0,VLOOKUP($J648,Ruimtegroepen[],3,FALSE)*VLOOKUP($L648,Vloersoorten[],3,FALSE)*VLOOKUP($T648,Frequenties[],3,FALSE)*VLOOKUP($A648,Locaties[],3,FALSE),0)</f>
        <v>0</v>
      </c>
      <c r="W648" s="434">
        <f>Ruimtestaat[[#This Row],[Uitvoeringen werkdagen]]*Ruimtestaat[[#This Row],[Oppervlak (netto)]]</f>
        <v>0</v>
      </c>
      <c r="X648" s="441">
        <f>IF(V648&gt;0,Ruimtestaat[[#This Row],[Prest. (m2 /jaar) werkdagen]]/Ruimtestaat[[#This Row],[Norm (m2/uur) werkdagen]],0)</f>
        <v>0</v>
      </c>
      <c r="Y648" s="442">
        <f>Ruimtestaat[[#This Row],[Uitvoeringen werkdagen]]*Ruimtestaat[[#This Row],[Gedeeltelijk]]</f>
        <v>0</v>
      </c>
      <c r="Z648" s="443">
        <f>IF(U648&gt;0,Ruimtestaat[[#This Row],[Prest. (m2 / jaar) werkdagen gedeeld]]/Ruimtestaat[[#This Row],[Norm (m2/uur) werkdagen]],0)</f>
        <v>0</v>
      </c>
      <c r="AA648" s="441">
        <f>Ruimtestaat[[#This Row],[uren / jaar werkdagen gedeeld]]*Tariefsopbouw!$E$35</f>
        <v>0</v>
      </c>
      <c r="AB648" s="441">
        <f>Ruimtestaat[[#This Row],[Uitvoeringen werkdagen]]*Ruimtestaat[[#This Row],[BSO]]</f>
        <v>0</v>
      </c>
      <c r="AC648" s="443">
        <f>IF(U648&gt;0,Ruimtestaat[[#This Row],[Prest. (m2 / jaar) werkdagen BSO]]/Ruimtestaat[[#This Row],[Norm (m2/uur) werkdagen]],0)</f>
        <v>0</v>
      </c>
      <c r="AD648" s="443">
        <f>Ruimtestaat[[#This Row],[uren / jaar werkdagen BSO]]*Tariefsopbouw!$E$35</f>
        <v>0</v>
      </c>
      <c r="AE648" s="444">
        <f>Ruimtestaat[[#This Row],[uren / jaar werkdagen]]*Tariefsopbouw!$E$35</f>
        <v>0</v>
      </c>
      <c r="AF648" s="454"/>
      <c r="AG648" s="455">
        <f>IF(Ruimtestaat[[#This Row],[Frequentie weekend]]&gt;0,VALUE(LEFT(AF648,1))*S648,0)</f>
        <v>0</v>
      </c>
      <c r="AH648" s="455">
        <f>IF($AG648&gt;0,VLOOKUP($J648,Ruimtegroepen[],3,FALSE)*VLOOKUP($L648,Vloersoorten[],3,FALSE)*VLOOKUP($AF648,Frequenties[],3,FALSE)*VLOOKUP(#REF!,Locaties[],3,FALSE),0)</f>
        <v>0</v>
      </c>
      <c r="AI648" s="434">
        <f>Ruimtestaat[[#This Row],[Uitvoeringen weekend]]*Ruimtestaat[[#This Row],[Oppervlak (netto)]]</f>
        <v>0</v>
      </c>
      <c r="AJ648" s="434">
        <f>IF(AH648&gt;0,Ruimtestaat[[#This Row],[Prest. (m2 /jaar) weekend]]/Ruimtestaat[[#This Row],[Norm (m2/uur) weekend]],0)</f>
        <v>0</v>
      </c>
      <c r="AK648" s="444">
        <f>Ruimtestaat[[#This Row],[uren / jaar weekend]]*Tariefsopbouw!$D$40</f>
        <v>0</v>
      </c>
      <c r="AL648" s="441">
        <f>Ruimtestaat[[#This Row],[Prest. (m2 /jaar) weekend]]+Ruimtestaat[[#This Row],[Prest. (m2 /jaar) werkdagen]]</f>
        <v>0</v>
      </c>
      <c r="AM648" s="441">
        <f>Ruimtestaat[[#This Row],[uren / jaar weekend]]+Ruimtestaat[[#This Row],[uren / jaar werkdagen]]</f>
        <v>0</v>
      </c>
      <c r="AN648" s="446">
        <f>Ruimtestaat[[#This Row],[kosten / jaar weekend]]+Ruimtestaat[[#This Row],[kosten / jaar werkdagen]]</f>
        <v>0</v>
      </c>
      <c r="AO648" s="446"/>
      <c r="AP648" s="446" t="str">
        <f>IF(Ruimtestaat[[#This Row],[Frequentie werkdagen]]="","",_xlfn.CONCAT(Ruimtestaat[[#This Row],[Ruimte code]],"-",Ruimtestaat[[#This Row],[Frequentie werkdagen]]," ",Ruimtestaat[[#This Row],[Vloer code]]))</f>
        <v/>
      </c>
      <c r="AQ648" s="448" t="str">
        <f>_xlfn.IFNA(VLOOKUP($AP648,Programma!$F$3:$G$1101,2,0),"")</f>
        <v/>
      </c>
      <c r="AR648" s="448" t="str">
        <f>_xlfn.IFNA(VLOOKUP($AP648,Programma!$F$3:$H$1101,3,0),"")</f>
        <v/>
      </c>
      <c r="AS648" s="448" t="str">
        <f>_xlfn.IFNA(VLOOKUP($AP648,Programma!$F$3:$I$1101,4,0),"")</f>
        <v/>
      </c>
      <c r="AT648" s="448" t="str">
        <f>_xlfn.IFNA(VLOOKUP($AP648,Programma!$F$3:$J$1101,5,0),"")</f>
        <v/>
      </c>
      <c r="AU648" s="448" t="str">
        <f>_xlfn.IFNA(VLOOKUP($AP648,Programma!$F$3:$K$1101,6,0),"")</f>
        <v/>
      </c>
      <c r="AV648" s="448" t="str">
        <f>_xlfn.IFNA(VLOOKUP($AP648,Programma!$F$3:$L$1101,7,0),"")</f>
        <v/>
      </c>
      <c r="AW648" s="448" t="str">
        <f>_xlfn.IFNA(VLOOKUP($AP648,Programma!$F$3:$M$1101,8,0),"")</f>
        <v/>
      </c>
      <c r="AX648" s="448" t="str">
        <f>_xlfn.IFNA(VLOOKUP($AP648,Programma!$F$3:$N$1101,9,0),"")</f>
        <v/>
      </c>
      <c r="AY648" s="448" t="str">
        <f>_xlfn.IFNA(VLOOKUP($AP648,Programma!$F$3:$O$1101,10,0),"")</f>
        <v/>
      </c>
      <c r="AZ648" s="448" t="str">
        <f>_xlfn.IFNA(VLOOKUP($AP648,Programma!$F$3:$P$1101,11,0),"")</f>
        <v/>
      </c>
      <c r="BA648" s="448" t="str">
        <f>_xlfn.IFNA(VLOOKUP($AP648,Programma!$F$3:$Q$1101,12,0),"")</f>
        <v/>
      </c>
      <c r="BB648" s="448" t="str">
        <f>_xlfn.IFNA(VLOOKUP($AP648,Programma!$F$3:$R$1101,13,0),"")</f>
        <v/>
      </c>
      <c r="BC648" s="448" t="str">
        <f>_xlfn.IFNA(VLOOKUP($AP648,Programma!$F$3:$S$1101,14,0),"")</f>
        <v/>
      </c>
      <c r="BD648" s="448" t="str">
        <f>_xlfn.IFNA(VLOOKUP($AP648,Programma!$F$3:$T$1101,15,0),"")</f>
        <v/>
      </c>
      <c r="BE648" s="448" t="str">
        <f>_xlfn.IFNA(VLOOKUP($AP648,Programma!$F$3:$U$1101,16,0),"")</f>
        <v/>
      </c>
      <c r="BF648" s="448" t="str">
        <f>_xlfn.IFNA(VLOOKUP($AP648,Programma!$F$3:$V$1101,17,0),"")</f>
        <v/>
      </c>
      <c r="BG648" s="448" t="str">
        <f>_xlfn.IFNA(VLOOKUP($AP648,Programma!$F$3:$W$1101,18,0),"")</f>
        <v/>
      </c>
      <c r="BH648" s="448" t="str">
        <f>_xlfn.IFNA(VLOOKUP($AP648,Programma!$F$3:$X$1101,19,0),"")</f>
        <v/>
      </c>
      <c r="BI648" s="448" t="str">
        <f>_xlfn.IFNA(VLOOKUP($AP648,Programma!$F$3:$Y$1101,20,0),"")</f>
        <v/>
      </c>
      <c r="BJ648" s="449"/>
      <c r="BK648" s="446" t="str">
        <f>IF(Ruimtestaat[[#This Row],[Frequentie weekend]]="","",_xlfn.CONCAT(Ruimtestaat[[#This Row],[Ruimte code]],"-",Ruimtestaat[[#This Row],[Frequentie weekend]]," ",Ruimtestaat[[#This Row],[Vloer code]]))</f>
        <v/>
      </c>
      <c r="BL648" s="448" t="str">
        <f>_xlfn.IFNA(VLOOKUP($BK648,Programma!$F$3:$G$1101,2,0),"")</f>
        <v/>
      </c>
      <c r="BM648" s="448" t="str">
        <f>_xlfn.IFNA(VLOOKUP($BK648,Programma!$F$3:$H$1101,3,0),"")</f>
        <v/>
      </c>
      <c r="BN648" s="448" t="str">
        <f>_xlfn.IFNA(VLOOKUP($BK648,Programma!$F$3:$I$1101,4,0),"")</f>
        <v/>
      </c>
      <c r="BO648" s="448" t="str">
        <f>_xlfn.IFNA(VLOOKUP($BK648,Programma!$F$3:$J$1101,5,0),"")</f>
        <v/>
      </c>
      <c r="BP648" s="448" t="str">
        <f>_xlfn.IFNA(VLOOKUP($BK648,Programma!$F$3:$K$1101,6,0),"")</f>
        <v/>
      </c>
      <c r="BQ648" s="448" t="str">
        <f>_xlfn.IFNA(VLOOKUP($BK648,Programma!$F$3:$L$1101,7,0),"")</f>
        <v/>
      </c>
      <c r="BR648" s="448" t="str">
        <f>_xlfn.IFNA(VLOOKUP($BK648,Programma!$F$3:$M$1101,8,0),"")</f>
        <v/>
      </c>
      <c r="BS648" s="448" t="str">
        <f>_xlfn.IFNA(VLOOKUP($BK648,Programma!$F$3:$N$1101,9,0),"")</f>
        <v/>
      </c>
      <c r="BT648" s="448" t="str">
        <f>_xlfn.IFNA(VLOOKUP($BK648,Programma!$F$3:$O$1101,10,0),"")</f>
        <v/>
      </c>
      <c r="BU648" s="448" t="str">
        <f>_xlfn.IFNA(VLOOKUP($BK648,Programma!$F$3:$P$1101,11,0),"")</f>
        <v/>
      </c>
      <c r="BV648" s="448" t="str">
        <f>_xlfn.IFNA(VLOOKUP($BK648,Programma!$F$3:$Q$1101,12,0),"")</f>
        <v/>
      </c>
      <c r="BW648" s="448" t="str">
        <f>_xlfn.IFNA(VLOOKUP($BK648,Programma!$F$3:$R$1101,13,0),"")</f>
        <v/>
      </c>
      <c r="BX648" s="448" t="str">
        <f>_xlfn.IFNA(VLOOKUP($BK648,Programma!$F$3:$S$1101,14,0),"")</f>
        <v/>
      </c>
      <c r="BY648" s="448" t="str">
        <f>_xlfn.IFNA(VLOOKUP($BK648,Programma!$F$3:$T$1101,15,0),"")</f>
        <v/>
      </c>
      <c r="BZ648" s="448" t="str">
        <f>_xlfn.IFNA(VLOOKUP($BK648,Programma!$F$3:$U$1101,16,0),"")</f>
        <v/>
      </c>
      <c r="CA648" s="448" t="str">
        <f>_xlfn.IFNA(VLOOKUP($BK648,Programma!$F$3:$V$1101,17,0),"")</f>
        <v/>
      </c>
      <c r="CB648" s="448" t="str">
        <f>_xlfn.IFNA(VLOOKUP($BK648,Programma!$F$3:$W$1101,18,0),"")</f>
        <v/>
      </c>
      <c r="CC648" s="448" t="str">
        <f>_xlfn.IFNA(VLOOKUP($BK648,Programma!$F$3:$X$1101,19,0),"")</f>
        <v/>
      </c>
      <c r="CD648" s="448" t="str">
        <f>_xlfn.IFNA(VLOOKUP($BK648,Programma!$F$3:$Y$1101,20,0),"")</f>
        <v/>
      </c>
    </row>
    <row r="649" spans="1:82" ht="15" customHeight="1">
      <c r="A649" s="327">
        <v>15</v>
      </c>
      <c r="B649" s="435" t="str">
        <f>VLOOKUP(Ruimtestaat[[#This Row],[Code]],Locaties[[Code]:[Locatie]],2,FALSE)</f>
        <v>IKC  Da Vinci</v>
      </c>
      <c r="C649" s="435" t="str">
        <f>VLOOKUP(Ruimtestaat[[#This Row],[Code]],Locaties[[#All],[Code]:[Adres]],4,FALSE)</f>
        <v>Spitsbergen 17</v>
      </c>
      <c r="D649" s="435" t="str">
        <f>VLOOKUP(Ruimtestaat[[#This Row],[Code]],Locaties[[#All],[Code]:[Postcode]],5,FALSE)</f>
        <v>2721 GP</v>
      </c>
      <c r="E649" s="435" t="str">
        <f>VLOOKUP(Ruimtestaat[[#This Row],[Code]],Locaties[#All],6,FALSE)</f>
        <v>Zoetermeer</v>
      </c>
      <c r="F649" s="330" t="s">
        <v>2154</v>
      </c>
      <c r="I649" s="450" t="s">
        <v>1972</v>
      </c>
      <c r="J649" s="330">
        <v>20</v>
      </c>
      <c r="K649" s="450" t="str">
        <f>VLOOKUP(Ruimtestaat[[#This Row],[Ruimte code]],Ruimtegroepen[[#All],[Code]:[Ruimte omschrijving]],2,FALSE)</f>
        <v>Niet in Onderhoud</v>
      </c>
      <c r="M649" s="330"/>
      <c r="N649" s="439"/>
      <c r="O649" s="439">
        <v>12</v>
      </c>
      <c r="P649" s="439"/>
      <c r="Q649" s="439"/>
      <c r="R649" s="440">
        <f>VLOOKUP(Ruimtestaat[[#This Row],[Ruimte code]],Ruimtegroepen[],4,FALSE)</f>
        <v>0</v>
      </c>
      <c r="S649" s="434"/>
      <c r="T649" s="434"/>
      <c r="U649" s="453">
        <f>IF(S649&gt;0,IF(RIGHT(Ruimtestaat[[#This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9" s="434">
        <f>IF(U649&gt;0,VLOOKUP($J649,Ruimtegroepen[],3,FALSE)*VLOOKUP($L649,Vloersoorten[],3,FALSE)*VLOOKUP($T649,Frequenties[],3,FALSE)*VLOOKUP($A649,Locaties[],3,FALSE),0)</f>
        <v>0</v>
      </c>
      <c r="W649" s="434">
        <f>Ruimtestaat[[#This Row],[Uitvoeringen werkdagen]]*Ruimtestaat[[#This Row],[Oppervlak (netto)]]</f>
        <v>0</v>
      </c>
      <c r="X649" s="441">
        <f>IF(V649&gt;0,Ruimtestaat[[#This Row],[Prest. (m2 /jaar) werkdagen]]/Ruimtestaat[[#This Row],[Norm (m2/uur) werkdagen]],0)</f>
        <v>0</v>
      </c>
      <c r="Y649" s="442">
        <f>Ruimtestaat[[#This Row],[Uitvoeringen werkdagen]]*Ruimtestaat[[#This Row],[Gedeeltelijk]]</f>
        <v>0</v>
      </c>
      <c r="Z649" s="443">
        <f>IF(U649&gt;0,Ruimtestaat[[#This Row],[Prest. (m2 / jaar) werkdagen gedeeld]]/Ruimtestaat[[#This Row],[Norm (m2/uur) werkdagen]],0)</f>
        <v>0</v>
      </c>
      <c r="AA649" s="441">
        <f>Ruimtestaat[[#This Row],[uren / jaar werkdagen gedeeld]]*Tariefsopbouw!$E$35</f>
        <v>0</v>
      </c>
      <c r="AB649" s="441">
        <f>Ruimtestaat[[#This Row],[Uitvoeringen werkdagen]]*Ruimtestaat[[#This Row],[BSO]]</f>
        <v>0</v>
      </c>
      <c r="AC649" s="443">
        <f>IF(U649&gt;0,Ruimtestaat[[#This Row],[Prest. (m2 / jaar) werkdagen BSO]]/Ruimtestaat[[#This Row],[Norm (m2/uur) werkdagen]],0)</f>
        <v>0</v>
      </c>
      <c r="AD649" s="443">
        <f>Ruimtestaat[[#This Row],[uren / jaar werkdagen BSO]]*Tariefsopbouw!$E$35</f>
        <v>0</v>
      </c>
      <c r="AE649" s="444">
        <f>Ruimtestaat[[#This Row],[uren / jaar werkdagen]]*Tariefsopbouw!$E$35</f>
        <v>0</v>
      </c>
      <c r="AF649" s="454"/>
      <c r="AG649" s="455">
        <f>IF(Ruimtestaat[[#This Row],[Frequentie weekend]]&gt;0,VALUE(LEFT(AF649,1))*S649,0)</f>
        <v>0</v>
      </c>
      <c r="AH649" s="455">
        <f>IF($AG649&gt;0,VLOOKUP($J649,Ruimtegroepen[],3,FALSE)*VLOOKUP($L649,Vloersoorten[],3,FALSE)*VLOOKUP($AF649,Frequenties[],3,FALSE)*VLOOKUP(#REF!,Locaties[],3,FALSE),0)</f>
        <v>0</v>
      </c>
      <c r="AI649" s="434">
        <f>Ruimtestaat[[#This Row],[Uitvoeringen weekend]]*Ruimtestaat[[#This Row],[Oppervlak (netto)]]</f>
        <v>0</v>
      </c>
      <c r="AJ649" s="434">
        <f>IF(AH649&gt;0,Ruimtestaat[[#This Row],[Prest. (m2 /jaar) weekend]]/Ruimtestaat[[#This Row],[Norm (m2/uur) weekend]],0)</f>
        <v>0</v>
      </c>
      <c r="AK649" s="444">
        <f>Ruimtestaat[[#This Row],[uren / jaar weekend]]*Tariefsopbouw!$D$40</f>
        <v>0</v>
      </c>
      <c r="AL649" s="441">
        <f>Ruimtestaat[[#This Row],[Prest. (m2 /jaar) weekend]]+Ruimtestaat[[#This Row],[Prest. (m2 /jaar) werkdagen]]</f>
        <v>0</v>
      </c>
      <c r="AM649" s="441">
        <f>Ruimtestaat[[#This Row],[uren / jaar weekend]]+Ruimtestaat[[#This Row],[uren / jaar werkdagen]]</f>
        <v>0</v>
      </c>
      <c r="AN649" s="446">
        <f>Ruimtestaat[[#This Row],[kosten / jaar weekend]]+Ruimtestaat[[#This Row],[kosten / jaar werkdagen]]</f>
        <v>0</v>
      </c>
      <c r="AO649" s="446"/>
      <c r="AP649" s="446" t="str">
        <f>IF(Ruimtestaat[[#This Row],[Frequentie werkdagen]]="","",_xlfn.CONCAT(Ruimtestaat[[#This Row],[Ruimte code]],"-",Ruimtestaat[[#This Row],[Frequentie werkdagen]]," ",Ruimtestaat[[#This Row],[Vloer code]]))</f>
        <v/>
      </c>
      <c r="AQ649" s="448" t="str">
        <f>_xlfn.IFNA(VLOOKUP($AP649,Programma!$F$3:$G$1101,2,0),"")</f>
        <v/>
      </c>
      <c r="AR649" s="448" t="str">
        <f>_xlfn.IFNA(VLOOKUP($AP649,Programma!$F$3:$H$1101,3,0),"")</f>
        <v/>
      </c>
      <c r="AS649" s="448" t="str">
        <f>_xlfn.IFNA(VLOOKUP($AP649,Programma!$F$3:$I$1101,4,0),"")</f>
        <v/>
      </c>
      <c r="AT649" s="448" t="str">
        <f>_xlfn.IFNA(VLOOKUP($AP649,Programma!$F$3:$J$1101,5,0),"")</f>
        <v/>
      </c>
      <c r="AU649" s="448" t="str">
        <f>_xlfn.IFNA(VLOOKUP($AP649,Programma!$F$3:$K$1101,6,0),"")</f>
        <v/>
      </c>
      <c r="AV649" s="448" t="str">
        <f>_xlfn.IFNA(VLOOKUP($AP649,Programma!$F$3:$L$1101,7,0),"")</f>
        <v/>
      </c>
      <c r="AW649" s="448" t="str">
        <f>_xlfn.IFNA(VLOOKUP($AP649,Programma!$F$3:$M$1101,8,0),"")</f>
        <v/>
      </c>
      <c r="AX649" s="448" t="str">
        <f>_xlfn.IFNA(VLOOKUP($AP649,Programma!$F$3:$N$1101,9,0),"")</f>
        <v/>
      </c>
      <c r="AY649" s="448" t="str">
        <f>_xlfn.IFNA(VLOOKUP($AP649,Programma!$F$3:$O$1101,10,0),"")</f>
        <v/>
      </c>
      <c r="AZ649" s="448" t="str">
        <f>_xlfn.IFNA(VLOOKUP($AP649,Programma!$F$3:$P$1101,11,0),"")</f>
        <v/>
      </c>
      <c r="BA649" s="448" t="str">
        <f>_xlfn.IFNA(VLOOKUP($AP649,Programma!$F$3:$Q$1101,12,0),"")</f>
        <v/>
      </c>
      <c r="BB649" s="448" t="str">
        <f>_xlfn.IFNA(VLOOKUP($AP649,Programma!$F$3:$R$1101,13,0),"")</f>
        <v/>
      </c>
      <c r="BC649" s="448" t="str">
        <f>_xlfn.IFNA(VLOOKUP($AP649,Programma!$F$3:$S$1101,14,0),"")</f>
        <v/>
      </c>
      <c r="BD649" s="448" t="str">
        <f>_xlfn.IFNA(VLOOKUP($AP649,Programma!$F$3:$T$1101,15,0),"")</f>
        <v/>
      </c>
      <c r="BE649" s="448" t="str">
        <f>_xlfn.IFNA(VLOOKUP($AP649,Programma!$F$3:$U$1101,16,0),"")</f>
        <v/>
      </c>
      <c r="BF649" s="448" t="str">
        <f>_xlfn.IFNA(VLOOKUP($AP649,Programma!$F$3:$V$1101,17,0),"")</f>
        <v/>
      </c>
      <c r="BG649" s="448" t="str">
        <f>_xlfn.IFNA(VLOOKUP($AP649,Programma!$F$3:$W$1101,18,0),"")</f>
        <v/>
      </c>
      <c r="BH649" s="448" t="str">
        <f>_xlfn.IFNA(VLOOKUP($AP649,Programma!$F$3:$X$1101,19,0),"")</f>
        <v/>
      </c>
      <c r="BI649" s="448" t="str">
        <f>_xlfn.IFNA(VLOOKUP($AP649,Programma!$F$3:$Y$1101,20,0),"")</f>
        <v/>
      </c>
      <c r="BJ649" s="449"/>
      <c r="BK649" s="446" t="str">
        <f>IF(Ruimtestaat[[#This Row],[Frequentie weekend]]="","",_xlfn.CONCAT(Ruimtestaat[[#This Row],[Ruimte code]],"-",Ruimtestaat[[#This Row],[Frequentie weekend]]," ",Ruimtestaat[[#This Row],[Vloer code]]))</f>
        <v/>
      </c>
      <c r="BL649" s="448" t="str">
        <f>_xlfn.IFNA(VLOOKUP($BK649,Programma!$F$3:$G$1101,2,0),"")</f>
        <v/>
      </c>
      <c r="BM649" s="448" t="str">
        <f>_xlfn.IFNA(VLOOKUP($BK649,Programma!$F$3:$H$1101,3,0),"")</f>
        <v/>
      </c>
      <c r="BN649" s="448" t="str">
        <f>_xlfn.IFNA(VLOOKUP($BK649,Programma!$F$3:$I$1101,4,0),"")</f>
        <v/>
      </c>
      <c r="BO649" s="448" t="str">
        <f>_xlfn.IFNA(VLOOKUP($BK649,Programma!$F$3:$J$1101,5,0),"")</f>
        <v/>
      </c>
      <c r="BP649" s="448" t="str">
        <f>_xlfn.IFNA(VLOOKUP($BK649,Programma!$F$3:$K$1101,6,0),"")</f>
        <v/>
      </c>
      <c r="BQ649" s="448" t="str">
        <f>_xlfn.IFNA(VLOOKUP($BK649,Programma!$F$3:$L$1101,7,0),"")</f>
        <v/>
      </c>
      <c r="BR649" s="448" t="str">
        <f>_xlfn.IFNA(VLOOKUP($BK649,Programma!$F$3:$M$1101,8,0),"")</f>
        <v/>
      </c>
      <c r="BS649" s="448" t="str">
        <f>_xlfn.IFNA(VLOOKUP($BK649,Programma!$F$3:$N$1101,9,0),"")</f>
        <v/>
      </c>
      <c r="BT649" s="448" t="str">
        <f>_xlfn.IFNA(VLOOKUP($BK649,Programma!$F$3:$O$1101,10,0),"")</f>
        <v/>
      </c>
      <c r="BU649" s="448" t="str">
        <f>_xlfn.IFNA(VLOOKUP($BK649,Programma!$F$3:$P$1101,11,0),"")</f>
        <v/>
      </c>
      <c r="BV649" s="448" t="str">
        <f>_xlfn.IFNA(VLOOKUP($BK649,Programma!$F$3:$Q$1101,12,0),"")</f>
        <v/>
      </c>
      <c r="BW649" s="448" t="str">
        <f>_xlfn.IFNA(VLOOKUP($BK649,Programma!$F$3:$R$1101,13,0),"")</f>
        <v/>
      </c>
      <c r="BX649" s="448" t="str">
        <f>_xlfn.IFNA(VLOOKUP($BK649,Programma!$F$3:$S$1101,14,0),"")</f>
        <v/>
      </c>
      <c r="BY649" s="448" t="str">
        <f>_xlfn.IFNA(VLOOKUP($BK649,Programma!$F$3:$T$1101,15,0),"")</f>
        <v/>
      </c>
      <c r="BZ649" s="448" t="str">
        <f>_xlfn.IFNA(VLOOKUP($BK649,Programma!$F$3:$U$1101,16,0),"")</f>
        <v/>
      </c>
      <c r="CA649" s="448" t="str">
        <f>_xlfn.IFNA(VLOOKUP($BK649,Programma!$F$3:$V$1101,17,0),"")</f>
        <v/>
      </c>
      <c r="CB649" s="448" t="str">
        <f>_xlfn.IFNA(VLOOKUP($BK649,Programma!$F$3:$W$1101,18,0),"")</f>
        <v/>
      </c>
      <c r="CC649" s="448" t="str">
        <f>_xlfn.IFNA(VLOOKUP($BK649,Programma!$F$3:$X$1101,19,0),"")</f>
        <v/>
      </c>
      <c r="CD649" s="448" t="str">
        <f>_xlfn.IFNA(VLOOKUP($BK649,Programma!$F$3:$Y$1101,20,0),"")</f>
        <v/>
      </c>
    </row>
    <row r="650" spans="1:82" ht="15" customHeight="1">
      <c r="A650" s="327">
        <v>15</v>
      </c>
      <c r="B650" s="435" t="str">
        <f>VLOOKUP(Ruimtestaat[[#This Row],[Code]],Locaties[[Code]:[Locatie]],2,FALSE)</f>
        <v>IKC  Da Vinci</v>
      </c>
      <c r="C650" s="435" t="str">
        <f>VLOOKUP(Ruimtestaat[[#This Row],[Code]],Locaties[[#All],[Code]:[Adres]],4,FALSE)</f>
        <v>Spitsbergen 17</v>
      </c>
      <c r="D650" s="435" t="str">
        <f>VLOOKUP(Ruimtestaat[[#This Row],[Code]],Locaties[[#All],[Code]:[Postcode]],5,FALSE)</f>
        <v>2721 GP</v>
      </c>
      <c r="E650" s="435" t="str">
        <f>VLOOKUP(Ruimtestaat[[#This Row],[Code]],Locaties[#All],6,FALSE)</f>
        <v>Zoetermeer</v>
      </c>
      <c r="F650" s="330" t="s">
        <v>2154</v>
      </c>
      <c r="I650" s="450" t="s">
        <v>1973</v>
      </c>
      <c r="J650" s="330">
        <v>16</v>
      </c>
      <c r="K650" s="450" t="str">
        <f>VLOOKUP(Ruimtestaat[[#This Row],[Ruimte code]],Ruimtegroepen[[#All],[Code]:[Ruimte omschrijving]],2,FALSE)</f>
        <v>Leslokalen</v>
      </c>
      <c r="L650" s="434" t="s">
        <v>100</v>
      </c>
      <c r="M650" s="437" t="s">
        <v>1759</v>
      </c>
      <c r="N650" s="439">
        <v>26</v>
      </c>
      <c r="O650" s="439"/>
      <c r="P650" s="439"/>
      <c r="Q650" s="439"/>
      <c r="R650" s="440" t="str">
        <f>VLOOKUP(Ruimtestaat[[#This Row],[Ruimte code]],Ruimtegroepen[],4,FALSE)</f>
        <v>Le</v>
      </c>
      <c r="S650" s="434">
        <v>40</v>
      </c>
      <c r="T650" s="434" t="s">
        <v>2</v>
      </c>
      <c r="U650" s="453">
        <f>IF(S650&gt;0,IF(RIGHT(Ruimtestaat[[#This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0" s="434">
        <f>IF(U650&gt;0,VLOOKUP($J650,Ruimtegroepen[],3,FALSE)*VLOOKUP($L650,Vloersoorten[],3,FALSE)*VLOOKUP($T650,Frequenties[],3,FALSE)*VLOOKUP($A650,Locaties[],3,FALSE),0)</f>
        <v>0</v>
      </c>
      <c r="W650" s="434">
        <f>Ruimtestaat[[#This Row],[Uitvoeringen werkdagen]]*Ruimtestaat[[#This Row],[Oppervlak (netto)]]</f>
        <v>5200</v>
      </c>
      <c r="X650" s="441">
        <f>IF(V650&gt;0,Ruimtestaat[[#This Row],[Prest. (m2 /jaar) werkdagen]]/Ruimtestaat[[#This Row],[Norm (m2/uur) werkdagen]],0)</f>
        <v>0</v>
      </c>
      <c r="Y650" s="442">
        <f>Ruimtestaat[[#This Row],[Uitvoeringen werkdagen]]*Ruimtestaat[[#This Row],[Gedeeltelijk]]</f>
        <v>0</v>
      </c>
      <c r="Z650" s="443" t="e">
        <f>IF(U650&gt;0,Ruimtestaat[[#This Row],[Prest. (m2 / jaar) werkdagen gedeeld]]/Ruimtestaat[[#This Row],[Norm (m2/uur) werkdagen]],0)</f>
        <v>#DIV/0!</v>
      </c>
      <c r="AA650" s="441" t="e">
        <f>Ruimtestaat[[#This Row],[uren / jaar werkdagen gedeeld]]*Tariefsopbouw!$E$35</f>
        <v>#DIV/0!</v>
      </c>
      <c r="AB650" s="441">
        <f>Ruimtestaat[[#This Row],[Uitvoeringen werkdagen]]*Ruimtestaat[[#This Row],[BSO]]</f>
        <v>0</v>
      </c>
      <c r="AC650" s="443" t="e">
        <f>IF(U650&gt;0,Ruimtestaat[[#This Row],[Prest. (m2 / jaar) werkdagen BSO]]/Ruimtestaat[[#This Row],[Norm (m2/uur) werkdagen]],0)</f>
        <v>#DIV/0!</v>
      </c>
      <c r="AD650" s="443" t="e">
        <f>Ruimtestaat[[#This Row],[uren / jaar werkdagen BSO]]*Tariefsopbouw!$E$35</f>
        <v>#DIV/0!</v>
      </c>
      <c r="AE650" s="444">
        <f>Ruimtestaat[[#This Row],[uren / jaar werkdagen]]*Tariefsopbouw!$E$35</f>
        <v>0</v>
      </c>
      <c r="AF650" s="454"/>
      <c r="AG650" s="455">
        <f>IF(Ruimtestaat[[#This Row],[Frequentie weekend]]&gt;0,VALUE(LEFT(AF650,1))*S650,0)</f>
        <v>0</v>
      </c>
      <c r="AH650" s="455">
        <f>IF($AG650&gt;0,VLOOKUP($J650,Ruimtegroepen[],3,FALSE)*VLOOKUP($L650,Vloersoorten[],3,FALSE)*VLOOKUP($AF650,Frequenties[],3,FALSE)*VLOOKUP(#REF!,Locaties[],3,FALSE),0)</f>
        <v>0</v>
      </c>
      <c r="AI650" s="434">
        <f>Ruimtestaat[[#This Row],[Uitvoeringen weekend]]*Ruimtestaat[[#This Row],[Oppervlak (netto)]]</f>
        <v>0</v>
      </c>
      <c r="AJ650" s="434">
        <f>IF(AH650&gt;0,Ruimtestaat[[#This Row],[Prest. (m2 /jaar) weekend]]/Ruimtestaat[[#This Row],[Norm (m2/uur) weekend]],0)</f>
        <v>0</v>
      </c>
      <c r="AK650" s="444">
        <f>Ruimtestaat[[#This Row],[uren / jaar weekend]]*Tariefsopbouw!$D$40</f>
        <v>0</v>
      </c>
      <c r="AL650" s="441">
        <f>Ruimtestaat[[#This Row],[Prest. (m2 /jaar) weekend]]+Ruimtestaat[[#This Row],[Prest. (m2 /jaar) werkdagen]]</f>
        <v>5200</v>
      </c>
      <c r="AM650" s="441">
        <f>Ruimtestaat[[#This Row],[uren / jaar weekend]]+Ruimtestaat[[#This Row],[uren / jaar werkdagen]]</f>
        <v>0</v>
      </c>
      <c r="AN650" s="446">
        <f>Ruimtestaat[[#This Row],[kosten / jaar weekend]]+Ruimtestaat[[#This Row],[kosten / jaar werkdagen]]</f>
        <v>0</v>
      </c>
      <c r="AO650" s="446"/>
      <c r="AP650" s="446" t="str">
        <f>IF(Ruimtestaat[[#This Row],[Frequentie werkdagen]]="","",_xlfn.CONCAT(Ruimtestaat[[#This Row],[Ruimte code]],"-",Ruimtestaat[[#This Row],[Frequentie werkdagen]]," ",Ruimtestaat[[#This Row],[Vloer code]]))</f>
        <v>16-5w L</v>
      </c>
      <c r="AQ650" s="448" t="str">
        <f>_xlfn.IFNA(VLOOKUP($AP650,Programma!$F$3:$G$1101,2,0),"")</f>
        <v>_</v>
      </c>
      <c r="AR650" s="448" t="str">
        <f>_xlfn.IFNA(VLOOKUP($AP650,Programma!$F$3:$H$1101,3,0),"")</f>
        <v>_</v>
      </c>
      <c r="AS650" s="448" t="str">
        <f>_xlfn.IFNA(VLOOKUP($AP650,Programma!$F$3:$I$1101,4,0),"")</f>
        <v>4w</v>
      </c>
      <c r="AT650" s="448" t="str">
        <f>_xlfn.IFNA(VLOOKUP($AP650,Programma!$F$3:$J$1101,5,0),"")</f>
        <v>1w</v>
      </c>
      <c r="AU650" s="448" t="str">
        <f>_xlfn.IFNA(VLOOKUP($AP650,Programma!$F$3:$K$1101,6,0),"")</f>
        <v>_</v>
      </c>
      <c r="AV650" s="448" t="str">
        <f>_xlfn.IFNA(VLOOKUP($AP650,Programma!$F$3:$L$1101,7,0),"")</f>
        <v>_</v>
      </c>
      <c r="AW650" s="448" t="str">
        <f>_xlfn.IFNA(VLOOKUP($AP650,Programma!$F$3:$M$1101,8,0),"")</f>
        <v>_</v>
      </c>
      <c r="AX650" s="448" t="str">
        <f>_xlfn.IFNA(VLOOKUP($AP650,Programma!$F$3:$N$1101,9,0),"")</f>
        <v>_</v>
      </c>
      <c r="AY650" s="448" t="str">
        <f>_xlfn.IFNA(VLOOKUP($AP650,Programma!$F$3:$O$1101,10,0),"")</f>
        <v>5w</v>
      </c>
      <c r="AZ650" s="448" t="str">
        <f>_xlfn.IFNA(VLOOKUP($AP650,Programma!$F$3:$P$1101,11,0),"")</f>
        <v>5w</v>
      </c>
      <c r="BA650" s="448" t="str">
        <f>_xlfn.IFNA(VLOOKUP($AP650,Programma!$F$3:$Q$1101,12,0),"")</f>
        <v>1w</v>
      </c>
      <c r="BB650" s="448" t="str">
        <f>_xlfn.IFNA(VLOOKUP($AP650,Programma!$F$3:$R$1101,13,0),"")</f>
        <v>1w</v>
      </c>
      <c r="BC650" s="448" t="str">
        <f>_xlfn.IFNA(VLOOKUP($AP650,Programma!$F$3:$S$1101,14,0),"")</f>
        <v>1m</v>
      </c>
      <c r="BD650" s="448" t="str">
        <f>_xlfn.IFNA(VLOOKUP($AP650,Programma!$F$3:$T$1101,15,0),"")</f>
        <v>2j</v>
      </c>
      <c r="BE650" s="448" t="str">
        <f>_xlfn.IFNA(VLOOKUP($AP650,Programma!$F$3:$U$1101,16,0),"")</f>
        <v>1j</v>
      </c>
      <c r="BF650" s="448" t="str">
        <f>_xlfn.IFNA(VLOOKUP($AP650,Programma!$F$3:$V$1101,17,0),"")</f>
        <v>_</v>
      </c>
      <c r="BG650" s="448" t="str">
        <f>_xlfn.IFNA(VLOOKUP($AP650,Programma!$F$3:$W$1101,18,0),"")</f>
        <v>_</v>
      </c>
      <c r="BH650" s="448" t="str">
        <f>_xlfn.IFNA(VLOOKUP($AP650,Programma!$F$3:$X$1101,19,0),"")</f>
        <v>_</v>
      </c>
      <c r="BI650" s="448" t="str">
        <f>_xlfn.IFNA(VLOOKUP($AP650,Programma!$F$3:$Y$1101,20,0),"")</f>
        <v>_</v>
      </c>
      <c r="BJ650" s="449"/>
      <c r="BK650" s="446" t="str">
        <f>IF(Ruimtestaat[[#This Row],[Frequentie weekend]]="","",_xlfn.CONCAT(Ruimtestaat[[#This Row],[Ruimte code]],"-",Ruimtestaat[[#This Row],[Frequentie weekend]]," ",Ruimtestaat[[#This Row],[Vloer code]]))</f>
        <v/>
      </c>
      <c r="BL650" s="448" t="str">
        <f>_xlfn.IFNA(VLOOKUP($BK650,Programma!$F$3:$G$1101,2,0),"")</f>
        <v/>
      </c>
      <c r="BM650" s="448" t="str">
        <f>_xlfn.IFNA(VLOOKUP($BK650,Programma!$F$3:$H$1101,3,0),"")</f>
        <v/>
      </c>
      <c r="BN650" s="448" t="str">
        <f>_xlfn.IFNA(VLOOKUP($BK650,Programma!$F$3:$I$1101,4,0),"")</f>
        <v/>
      </c>
      <c r="BO650" s="448" t="str">
        <f>_xlfn.IFNA(VLOOKUP($BK650,Programma!$F$3:$J$1101,5,0),"")</f>
        <v/>
      </c>
      <c r="BP650" s="448" t="str">
        <f>_xlfn.IFNA(VLOOKUP($BK650,Programma!$F$3:$K$1101,6,0),"")</f>
        <v/>
      </c>
      <c r="BQ650" s="448" t="str">
        <f>_xlfn.IFNA(VLOOKUP($BK650,Programma!$F$3:$L$1101,7,0),"")</f>
        <v/>
      </c>
      <c r="BR650" s="448" t="str">
        <f>_xlfn.IFNA(VLOOKUP($BK650,Programma!$F$3:$M$1101,8,0),"")</f>
        <v/>
      </c>
      <c r="BS650" s="448" t="str">
        <f>_xlfn.IFNA(VLOOKUP($BK650,Programma!$F$3:$N$1101,9,0),"")</f>
        <v/>
      </c>
      <c r="BT650" s="448" t="str">
        <f>_xlfn.IFNA(VLOOKUP($BK650,Programma!$F$3:$O$1101,10,0),"")</f>
        <v/>
      </c>
      <c r="BU650" s="448" t="str">
        <f>_xlfn.IFNA(VLOOKUP($BK650,Programma!$F$3:$P$1101,11,0),"")</f>
        <v/>
      </c>
      <c r="BV650" s="448" t="str">
        <f>_xlfn.IFNA(VLOOKUP($BK650,Programma!$F$3:$Q$1101,12,0),"")</f>
        <v/>
      </c>
      <c r="BW650" s="448" t="str">
        <f>_xlfn.IFNA(VLOOKUP($BK650,Programma!$F$3:$R$1101,13,0),"")</f>
        <v/>
      </c>
      <c r="BX650" s="448" t="str">
        <f>_xlfn.IFNA(VLOOKUP($BK650,Programma!$F$3:$S$1101,14,0),"")</f>
        <v/>
      </c>
      <c r="BY650" s="448" t="str">
        <f>_xlfn.IFNA(VLOOKUP($BK650,Programma!$F$3:$T$1101,15,0),"")</f>
        <v/>
      </c>
      <c r="BZ650" s="448" t="str">
        <f>_xlfn.IFNA(VLOOKUP($BK650,Programma!$F$3:$U$1101,16,0),"")</f>
        <v/>
      </c>
      <c r="CA650" s="448" t="str">
        <f>_xlfn.IFNA(VLOOKUP($BK650,Programma!$F$3:$V$1101,17,0),"")</f>
        <v/>
      </c>
      <c r="CB650" s="448" t="str">
        <f>_xlfn.IFNA(VLOOKUP($BK650,Programma!$F$3:$W$1101,18,0),"")</f>
        <v/>
      </c>
      <c r="CC650" s="448" t="str">
        <f>_xlfn.IFNA(VLOOKUP($BK650,Programma!$F$3:$X$1101,19,0),"")</f>
        <v/>
      </c>
      <c r="CD650" s="448" t="str">
        <f>_xlfn.IFNA(VLOOKUP($BK650,Programma!$F$3:$Y$1101,20,0),"")</f>
        <v/>
      </c>
    </row>
    <row r="651" spans="1:82" ht="15" customHeight="1">
      <c r="A651" s="327">
        <v>15</v>
      </c>
      <c r="B651" s="435" t="str">
        <f>VLOOKUP(Ruimtestaat[[#This Row],[Code]],Locaties[[Code]:[Locatie]],2,FALSE)</f>
        <v>IKC  Da Vinci</v>
      </c>
      <c r="C651" s="435" t="str">
        <f>VLOOKUP(Ruimtestaat[[#This Row],[Code]],Locaties[[#All],[Code]:[Adres]],4,FALSE)</f>
        <v>Spitsbergen 17</v>
      </c>
      <c r="D651" s="435" t="str">
        <f>VLOOKUP(Ruimtestaat[[#This Row],[Code]],Locaties[[#All],[Code]:[Postcode]],5,FALSE)</f>
        <v>2721 GP</v>
      </c>
      <c r="E651" s="435" t="str">
        <f>VLOOKUP(Ruimtestaat[[#This Row],[Code]],Locaties[#All],6,FALSE)</f>
        <v>Zoetermeer</v>
      </c>
      <c r="F651" s="330" t="s">
        <v>2154</v>
      </c>
      <c r="I651" s="450" t="s">
        <v>1973</v>
      </c>
      <c r="J651" s="330">
        <v>16</v>
      </c>
      <c r="K651" s="450" t="str">
        <f>VLOOKUP(Ruimtestaat[[#This Row],[Ruimte code]],Ruimtegroepen[[#All],[Code]:[Ruimte omschrijving]],2,FALSE)</f>
        <v>Leslokalen</v>
      </c>
      <c r="L651" s="434" t="s">
        <v>100</v>
      </c>
      <c r="M651" s="437" t="s">
        <v>1759</v>
      </c>
      <c r="N651" s="439">
        <v>57</v>
      </c>
      <c r="O651" s="439"/>
      <c r="P651" s="439"/>
      <c r="Q651" s="439"/>
      <c r="R651" s="440" t="str">
        <f>VLOOKUP(Ruimtestaat[[#This Row],[Ruimte code]],Ruimtegroepen[],4,FALSE)</f>
        <v>Le</v>
      </c>
      <c r="S651" s="434">
        <v>40</v>
      </c>
      <c r="T651" s="434" t="s">
        <v>2</v>
      </c>
      <c r="U651" s="453">
        <f>IF(S651&gt;0,IF(RIGHT(Ruimtestaat[[#This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1" s="434">
        <f>IF(U651&gt;0,VLOOKUP($J651,Ruimtegroepen[],3,FALSE)*VLOOKUP($L651,Vloersoorten[],3,FALSE)*VLOOKUP($T651,Frequenties[],3,FALSE)*VLOOKUP($A651,Locaties[],3,FALSE),0)</f>
        <v>0</v>
      </c>
      <c r="W651" s="434">
        <f>Ruimtestaat[[#This Row],[Uitvoeringen werkdagen]]*Ruimtestaat[[#This Row],[Oppervlak (netto)]]</f>
        <v>11400</v>
      </c>
      <c r="X651" s="441">
        <f>IF(V651&gt;0,Ruimtestaat[[#This Row],[Prest. (m2 /jaar) werkdagen]]/Ruimtestaat[[#This Row],[Norm (m2/uur) werkdagen]],0)</f>
        <v>0</v>
      </c>
      <c r="Y651" s="442">
        <f>Ruimtestaat[[#This Row],[Uitvoeringen werkdagen]]*Ruimtestaat[[#This Row],[Gedeeltelijk]]</f>
        <v>0</v>
      </c>
      <c r="Z651" s="443" t="e">
        <f>IF(U651&gt;0,Ruimtestaat[[#This Row],[Prest. (m2 / jaar) werkdagen gedeeld]]/Ruimtestaat[[#This Row],[Norm (m2/uur) werkdagen]],0)</f>
        <v>#DIV/0!</v>
      </c>
      <c r="AA651" s="441" t="e">
        <f>Ruimtestaat[[#This Row],[uren / jaar werkdagen gedeeld]]*Tariefsopbouw!$E$35</f>
        <v>#DIV/0!</v>
      </c>
      <c r="AB651" s="441">
        <f>Ruimtestaat[[#This Row],[Uitvoeringen werkdagen]]*Ruimtestaat[[#This Row],[BSO]]</f>
        <v>0</v>
      </c>
      <c r="AC651" s="443" t="e">
        <f>IF(U651&gt;0,Ruimtestaat[[#This Row],[Prest. (m2 / jaar) werkdagen BSO]]/Ruimtestaat[[#This Row],[Norm (m2/uur) werkdagen]],0)</f>
        <v>#DIV/0!</v>
      </c>
      <c r="AD651" s="443" t="e">
        <f>Ruimtestaat[[#This Row],[uren / jaar werkdagen BSO]]*Tariefsopbouw!$E$35</f>
        <v>#DIV/0!</v>
      </c>
      <c r="AE651" s="444">
        <f>Ruimtestaat[[#This Row],[uren / jaar werkdagen]]*Tariefsopbouw!$E$35</f>
        <v>0</v>
      </c>
      <c r="AF651" s="454"/>
      <c r="AG651" s="455">
        <f>IF(Ruimtestaat[[#This Row],[Frequentie weekend]]&gt;0,VALUE(LEFT(AF651,1))*S651,0)</f>
        <v>0</v>
      </c>
      <c r="AH651" s="455">
        <f>IF($AG651&gt;0,VLOOKUP($J651,Ruimtegroepen[],3,FALSE)*VLOOKUP($L651,Vloersoorten[],3,FALSE)*VLOOKUP($AF651,Frequenties[],3,FALSE)*VLOOKUP(#REF!,Locaties[],3,FALSE),0)</f>
        <v>0</v>
      </c>
      <c r="AI651" s="434">
        <f>Ruimtestaat[[#This Row],[Uitvoeringen weekend]]*Ruimtestaat[[#This Row],[Oppervlak (netto)]]</f>
        <v>0</v>
      </c>
      <c r="AJ651" s="434">
        <f>IF(AH651&gt;0,Ruimtestaat[[#This Row],[Prest. (m2 /jaar) weekend]]/Ruimtestaat[[#This Row],[Norm (m2/uur) weekend]],0)</f>
        <v>0</v>
      </c>
      <c r="AK651" s="444">
        <f>Ruimtestaat[[#This Row],[uren / jaar weekend]]*Tariefsopbouw!$D$40</f>
        <v>0</v>
      </c>
      <c r="AL651" s="441">
        <f>Ruimtestaat[[#This Row],[Prest. (m2 /jaar) weekend]]+Ruimtestaat[[#This Row],[Prest. (m2 /jaar) werkdagen]]</f>
        <v>11400</v>
      </c>
      <c r="AM651" s="441">
        <f>Ruimtestaat[[#This Row],[uren / jaar weekend]]+Ruimtestaat[[#This Row],[uren / jaar werkdagen]]</f>
        <v>0</v>
      </c>
      <c r="AN651" s="446">
        <f>Ruimtestaat[[#This Row],[kosten / jaar weekend]]+Ruimtestaat[[#This Row],[kosten / jaar werkdagen]]</f>
        <v>0</v>
      </c>
      <c r="AO651" s="446"/>
      <c r="AP651" s="446" t="str">
        <f>IF(Ruimtestaat[[#This Row],[Frequentie werkdagen]]="","",_xlfn.CONCAT(Ruimtestaat[[#This Row],[Ruimte code]],"-",Ruimtestaat[[#This Row],[Frequentie werkdagen]]," ",Ruimtestaat[[#This Row],[Vloer code]]))</f>
        <v>16-5w L</v>
      </c>
      <c r="AQ651" s="448" t="str">
        <f>_xlfn.IFNA(VLOOKUP($AP651,Programma!$F$3:$G$1101,2,0),"")</f>
        <v>_</v>
      </c>
      <c r="AR651" s="448" t="str">
        <f>_xlfn.IFNA(VLOOKUP($AP651,Programma!$F$3:$H$1101,3,0),"")</f>
        <v>_</v>
      </c>
      <c r="AS651" s="448" t="str">
        <f>_xlfn.IFNA(VLOOKUP($AP651,Programma!$F$3:$I$1101,4,0),"")</f>
        <v>4w</v>
      </c>
      <c r="AT651" s="448" t="str">
        <f>_xlfn.IFNA(VLOOKUP($AP651,Programma!$F$3:$J$1101,5,0),"")</f>
        <v>1w</v>
      </c>
      <c r="AU651" s="448" t="str">
        <f>_xlfn.IFNA(VLOOKUP($AP651,Programma!$F$3:$K$1101,6,0),"")</f>
        <v>_</v>
      </c>
      <c r="AV651" s="448" t="str">
        <f>_xlfn.IFNA(VLOOKUP($AP651,Programma!$F$3:$L$1101,7,0),"")</f>
        <v>_</v>
      </c>
      <c r="AW651" s="448" t="str">
        <f>_xlfn.IFNA(VLOOKUP($AP651,Programma!$F$3:$M$1101,8,0),"")</f>
        <v>_</v>
      </c>
      <c r="AX651" s="448" t="str">
        <f>_xlfn.IFNA(VLOOKUP($AP651,Programma!$F$3:$N$1101,9,0),"")</f>
        <v>_</v>
      </c>
      <c r="AY651" s="448" t="str">
        <f>_xlfn.IFNA(VLOOKUP($AP651,Programma!$F$3:$O$1101,10,0),"")</f>
        <v>5w</v>
      </c>
      <c r="AZ651" s="448" t="str">
        <f>_xlfn.IFNA(VLOOKUP($AP651,Programma!$F$3:$P$1101,11,0),"")</f>
        <v>5w</v>
      </c>
      <c r="BA651" s="448" t="str">
        <f>_xlfn.IFNA(VLOOKUP($AP651,Programma!$F$3:$Q$1101,12,0),"")</f>
        <v>1w</v>
      </c>
      <c r="BB651" s="448" t="str">
        <f>_xlfn.IFNA(VLOOKUP($AP651,Programma!$F$3:$R$1101,13,0),"")</f>
        <v>1w</v>
      </c>
      <c r="BC651" s="448" t="str">
        <f>_xlfn.IFNA(VLOOKUP($AP651,Programma!$F$3:$S$1101,14,0),"")</f>
        <v>1m</v>
      </c>
      <c r="BD651" s="448" t="str">
        <f>_xlfn.IFNA(VLOOKUP($AP651,Programma!$F$3:$T$1101,15,0),"")</f>
        <v>2j</v>
      </c>
      <c r="BE651" s="448" t="str">
        <f>_xlfn.IFNA(VLOOKUP($AP651,Programma!$F$3:$U$1101,16,0),"")</f>
        <v>1j</v>
      </c>
      <c r="BF651" s="448" t="str">
        <f>_xlfn.IFNA(VLOOKUP($AP651,Programma!$F$3:$V$1101,17,0),"")</f>
        <v>_</v>
      </c>
      <c r="BG651" s="448" t="str">
        <f>_xlfn.IFNA(VLOOKUP($AP651,Programma!$F$3:$W$1101,18,0),"")</f>
        <v>_</v>
      </c>
      <c r="BH651" s="448" t="str">
        <f>_xlfn.IFNA(VLOOKUP($AP651,Programma!$F$3:$X$1101,19,0),"")</f>
        <v>_</v>
      </c>
      <c r="BI651" s="448" t="str">
        <f>_xlfn.IFNA(VLOOKUP($AP651,Programma!$F$3:$Y$1101,20,0),"")</f>
        <v>_</v>
      </c>
      <c r="BJ651" s="449"/>
      <c r="BK651" s="446" t="str">
        <f>IF(Ruimtestaat[[#This Row],[Frequentie weekend]]="","",_xlfn.CONCAT(Ruimtestaat[[#This Row],[Ruimte code]],"-",Ruimtestaat[[#This Row],[Frequentie weekend]]," ",Ruimtestaat[[#This Row],[Vloer code]]))</f>
        <v/>
      </c>
      <c r="BL651" s="448" t="str">
        <f>_xlfn.IFNA(VLOOKUP($BK651,Programma!$F$3:$G$1101,2,0),"")</f>
        <v/>
      </c>
      <c r="BM651" s="448" t="str">
        <f>_xlfn.IFNA(VLOOKUP($BK651,Programma!$F$3:$H$1101,3,0),"")</f>
        <v/>
      </c>
      <c r="BN651" s="448" t="str">
        <f>_xlfn.IFNA(VLOOKUP($BK651,Programma!$F$3:$I$1101,4,0),"")</f>
        <v/>
      </c>
      <c r="BO651" s="448" t="str">
        <f>_xlfn.IFNA(VLOOKUP($BK651,Programma!$F$3:$J$1101,5,0),"")</f>
        <v/>
      </c>
      <c r="BP651" s="448" t="str">
        <f>_xlfn.IFNA(VLOOKUP($BK651,Programma!$F$3:$K$1101,6,0),"")</f>
        <v/>
      </c>
      <c r="BQ651" s="448" t="str">
        <f>_xlfn.IFNA(VLOOKUP($BK651,Programma!$F$3:$L$1101,7,0),"")</f>
        <v/>
      </c>
      <c r="BR651" s="448" t="str">
        <f>_xlfn.IFNA(VLOOKUP($BK651,Programma!$F$3:$M$1101,8,0),"")</f>
        <v/>
      </c>
      <c r="BS651" s="448" t="str">
        <f>_xlfn.IFNA(VLOOKUP($BK651,Programma!$F$3:$N$1101,9,0),"")</f>
        <v/>
      </c>
      <c r="BT651" s="448" t="str">
        <f>_xlfn.IFNA(VLOOKUP($BK651,Programma!$F$3:$O$1101,10,0),"")</f>
        <v/>
      </c>
      <c r="BU651" s="448" t="str">
        <f>_xlfn.IFNA(VLOOKUP($BK651,Programma!$F$3:$P$1101,11,0),"")</f>
        <v/>
      </c>
      <c r="BV651" s="448" t="str">
        <f>_xlfn.IFNA(VLOOKUP($BK651,Programma!$F$3:$Q$1101,12,0),"")</f>
        <v/>
      </c>
      <c r="BW651" s="448" t="str">
        <f>_xlfn.IFNA(VLOOKUP($BK651,Programma!$F$3:$R$1101,13,0),"")</f>
        <v/>
      </c>
      <c r="BX651" s="448" t="str">
        <f>_xlfn.IFNA(VLOOKUP($BK651,Programma!$F$3:$S$1101,14,0),"")</f>
        <v/>
      </c>
      <c r="BY651" s="448" t="str">
        <f>_xlfn.IFNA(VLOOKUP($BK651,Programma!$F$3:$T$1101,15,0),"")</f>
        <v/>
      </c>
      <c r="BZ651" s="448" t="str">
        <f>_xlfn.IFNA(VLOOKUP($BK651,Programma!$F$3:$U$1101,16,0),"")</f>
        <v/>
      </c>
      <c r="CA651" s="448" t="str">
        <f>_xlfn.IFNA(VLOOKUP($BK651,Programma!$F$3:$V$1101,17,0),"")</f>
        <v/>
      </c>
      <c r="CB651" s="448" t="str">
        <f>_xlfn.IFNA(VLOOKUP($BK651,Programma!$F$3:$W$1101,18,0),"")</f>
        <v/>
      </c>
      <c r="CC651" s="448" t="str">
        <f>_xlfn.IFNA(VLOOKUP($BK651,Programma!$F$3:$X$1101,19,0),"")</f>
        <v/>
      </c>
      <c r="CD651" s="448" t="str">
        <f>_xlfn.IFNA(VLOOKUP($BK651,Programma!$F$3:$Y$1101,20,0),"")</f>
        <v/>
      </c>
    </row>
    <row r="652" spans="1:82" ht="15" customHeight="1">
      <c r="A652" s="327">
        <v>15</v>
      </c>
      <c r="B652" s="435" t="str">
        <f>VLOOKUP(Ruimtestaat[[#This Row],[Code]],Locaties[[Code]:[Locatie]],2,FALSE)</f>
        <v>IKC  Da Vinci</v>
      </c>
      <c r="C652" s="435" t="str">
        <f>VLOOKUP(Ruimtestaat[[#This Row],[Code]],Locaties[[#All],[Code]:[Adres]],4,FALSE)</f>
        <v>Spitsbergen 17</v>
      </c>
      <c r="D652" s="435" t="str">
        <f>VLOOKUP(Ruimtestaat[[#This Row],[Code]],Locaties[[#All],[Code]:[Postcode]],5,FALSE)</f>
        <v>2721 GP</v>
      </c>
      <c r="E652" s="435" t="str">
        <f>VLOOKUP(Ruimtestaat[[#This Row],[Code]],Locaties[#All],6,FALSE)</f>
        <v>Zoetermeer</v>
      </c>
      <c r="F652" s="330" t="s">
        <v>2154</v>
      </c>
      <c r="I652" s="450" t="s">
        <v>1973</v>
      </c>
      <c r="J652" s="330">
        <v>16</v>
      </c>
      <c r="K652" s="450" t="str">
        <f>VLOOKUP(Ruimtestaat[[#This Row],[Ruimte code]],Ruimtegroepen[[#All],[Code]:[Ruimte omschrijving]],2,FALSE)</f>
        <v>Leslokalen</v>
      </c>
      <c r="L652" s="434" t="s">
        <v>100</v>
      </c>
      <c r="M652" s="437" t="s">
        <v>1759</v>
      </c>
      <c r="N652" s="439">
        <v>20</v>
      </c>
      <c r="O652" s="439"/>
      <c r="P652" s="439"/>
      <c r="Q652" s="439"/>
      <c r="R652" s="440" t="str">
        <f>VLOOKUP(Ruimtestaat[[#This Row],[Ruimte code]],Ruimtegroepen[],4,FALSE)</f>
        <v>Le</v>
      </c>
      <c r="S652" s="434">
        <v>40</v>
      </c>
      <c r="T652" s="434" t="s">
        <v>2</v>
      </c>
      <c r="U652" s="453">
        <f>IF(S652&gt;0,IF(RIGHT(Ruimtestaat[[#This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2" s="434">
        <f>IF(U652&gt;0,VLOOKUP($J652,Ruimtegroepen[],3,FALSE)*VLOOKUP($L652,Vloersoorten[],3,FALSE)*VLOOKUP($T652,Frequenties[],3,FALSE)*VLOOKUP($A652,Locaties[],3,FALSE),0)</f>
        <v>0</v>
      </c>
      <c r="W652" s="434">
        <f>Ruimtestaat[[#This Row],[Uitvoeringen werkdagen]]*Ruimtestaat[[#This Row],[Oppervlak (netto)]]</f>
        <v>4000</v>
      </c>
      <c r="X652" s="441">
        <f>IF(V652&gt;0,Ruimtestaat[[#This Row],[Prest. (m2 /jaar) werkdagen]]/Ruimtestaat[[#This Row],[Norm (m2/uur) werkdagen]],0)</f>
        <v>0</v>
      </c>
      <c r="Y652" s="442">
        <f>Ruimtestaat[[#This Row],[Uitvoeringen werkdagen]]*Ruimtestaat[[#This Row],[Gedeeltelijk]]</f>
        <v>0</v>
      </c>
      <c r="Z652" s="443" t="e">
        <f>IF(U652&gt;0,Ruimtestaat[[#This Row],[Prest. (m2 / jaar) werkdagen gedeeld]]/Ruimtestaat[[#This Row],[Norm (m2/uur) werkdagen]],0)</f>
        <v>#DIV/0!</v>
      </c>
      <c r="AA652" s="441" t="e">
        <f>Ruimtestaat[[#This Row],[uren / jaar werkdagen gedeeld]]*Tariefsopbouw!$E$35</f>
        <v>#DIV/0!</v>
      </c>
      <c r="AB652" s="441">
        <f>Ruimtestaat[[#This Row],[Uitvoeringen werkdagen]]*Ruimtestaat[[#This Row],[BSO]]</f>
        <v>0</v>
      </c>
      <c r="AC652" s="443" t="e">
        <f>IF(U652&gt;0,Ruimtestaat[[#This Row],[Prest. (m2 / jaar) werkdagen BSO]]/Ruimtestaat[[#This Row],[Norm (m2/uur) werkdagen]],0)</f>
        <v>#DIV/0!</v>
      </c>
      <c r="AD652" s="443" t="e">
        <f>Ruimtestaat[[#This Row],[uren / jaar werkdagen BSO]]*Tariefsopbouw!$E$35</f>
        <v>#DIV/0!</v>
      </c>
      <c r="AE652" s="444">
        <f>Ruimtestaat[[#This Row],[uren / jaar werkdagen]]*Tariefsopbouw!$E$35</f>
        <v>0</v>
      </c>
      <c r="AF652" s="454"/>
      <c r="AG652" s="455">
        <f>IF(Ruimtestaat[[#This Row],[Frequentie weekend]]&gt;0,VALUE(LEFT(AF652,1))*S652,0)</f>
        <v>0</v>
      </c>
      <c r="AH652" s="455">
        <f>IF($AG652&gt;0,VLOOKUP($J652,Ruimtegroepen[],3,FALSE)*VLOOKUP($L652,Vloersoorten[],3,FALSE)*VLOOKUP($AF652,Frequenties[],3,FALSE)*VLOOKUP(#REF!,Locaties[],3,FALSE),0)</f>
        <v>0</v>
      </c>
      <c r="AI652" s="434">
        <f>Ruimtestaat[[#This Row],[Uitvoeringen weekend]]*Ruimtestaat[[#This Row],[Oppervlak (netto)]]</f>
        <v>0</v>
      </c>
      <c r="AJ652" s="434">
        <f>IF(AH652&gt;0,Ruimtestaat[[#This Row],[Prest. (m2 /jaar) weekend]]/Ruimtestaat[[#This Row],[Norm (m2/uur) weekend]],0)</f>
        <v>0</v>
      </c>
      <c r="AK652" s="444">
        <f>Ruimtestaat[[#This Row],[uren / jaar weekend]]*Tariefsopbouw!$D$40</f>
        <v>0</v>
      </c>
      <c r="AL652" s="441">
        <f>Ruimtestaat[[#This Row],[Prest. (m2 /jaar) weekend]]+Ruimtestaat[[#This Row],[Prest. (m2 /jaar) werkdagen]]</f>
        <v>4000</v>
      </c>
      <c r="AM652" s="441">
        <f>Ruimtestaat[[#This Row],[uren / jaar weekend]]+Ruimtestaat[[#This Row],[uren / jaar werkdagen]]</f>
        <v>0</v>
      </c>
      <c r="AN652" s="446">
        <f>Ruimtestaat[[#This Row],[kosten / jaar weekend]]+Ruimtestaat[[#This Row],[kosten / jaar werkdagen]]</f>
        <v>0</v>
      </c>
      <c r="AO652" s="446"/>
      <c r="AP652" s="446" t="str">
        <f>IF(Ruimtestaat[[#This Row],[Frequentie werkdagen]]="","",_xlfn.CONCAT(Ruimtestaat[[#This Row],[Ruimte code]],"-",Ruimtestaat[[#This Row],[Frequentie werkdagen]]," ",Ruimtestaat[[#This Row],[Vloer code]]))</f>
        <v>16-5w L</v>
      </c>
      <c r="AQ652" s="448" t="str">
        <f>_xlfn.IFNA(VLOOKUP($AP652,Programma!$F$3:$G$1101,2,0),"")</f>
        <v>_</v>
      </c>
      <c r="AR652" s="448" t="str">
        <f>_xlfn.IFNA(VLOOKUP($AP652,Programma!$F$3:$H$1101,3,0),"")</f>
        <v>_</v>
      </c>
      <c r="AS652" s="448" t="str">
        <f>_xlfn.IFNA(VLOOKUP($AP652,Programma!$F$3:$I$1101,4,0),"")</f>
        <v>4w</v>
      </c>
      <c r="AT652" s="448" t="str">
        <f>_xlfn.IFNA(VLOOKUP($AP652,Programma!$F$3:$J$1101,5,0),"")</f>
        <v>1w</v>
      </c>
      <c r="AU652" s="448" t="str">
        <f>_xlfn.IFNA(VLOOKUP($AP652,Programma!$F$3:$K$1101,6,0),"")</f>
        <v>_</v>
      </c>
      <c r="AV652" s="448" t="str">
        <f>_xlfn.IFNA(VLOOKUP($AP652,Programma!$F$3:$L$1101,7,0),"")</f>
        <v>_</v>
      </c>
      <c r="AW652" s="448" t="str">
        <f>_xlfn.IFNA(VLOOKUP($AP652,Programma!$F$3:$M$1101,8,0),"")</f>
        <v>_</v>
      </c>
      <c r="AX652" s="448" t="str">
        <f>_xlfn.IFNA(VLOOKUP($AP652,Programma!$F$3:$N$1101,9,0),"")</f>
        <v>_</v>
      </c>
      <c r="AY652" s="448" t="str">
        <f>_xlfn.IFNA(VLOOKUP($AP652,Programma!$F$3:$O$1101,10,0),"")</f>
        <v>5w</v>
      </c>
      <c r="AZ652" s="448" t="str">
        <f>_xlfn.IFNA(VLOOKUP($AP652,Programma!$F$3:$P$1101,11,0),"")</f>
        <v>5w</v>
      </c>
      <c r="BA652" s="448" t="str">
        <f>_xlfn.IFNA(VLOOKUP($AP652,Programma!$F$3:$Q$1101,12,0),"")</f>
        <v>1w</v>
      </c>
      <c r="BB652" s="448" t="str">
        <f>_xlfn.IFNA(VLOOKUP($AP652,Programma!$F$3:$R$1101,13,0),"")</f>
        <v>1w</v>
      </c>
      <c r="BC652" s="448" t="str">
        <f>_xlfn.IFNA(VLOOKUP($AP652,Programma!$F$3:$S$1101,14,0),"")</f>
        <v>1m</v>
      </c>
      <c r="BD652" s="448" t="str">
        <f>_xlfn.IFNA(VLOOKUP($AP652,Programma!$F$3:$T$1101,15,0),"")</f>
        <v>2j</v>
      </c>
      <c r="BE652" s="448" t="str">
        <f>_xlfn.IFNA(VLOOKUP($AP652,Programma!$F$3:$U$1101,16,0),"")</f>
        <v>1j</v>
      </c>
      <c r="BF652" s="448" t="str">
        <f>_xlfn.IFNA(VLOOKUP($AP652,Programma!$F$3:$V$1101,17,0),"")</f>
        <v>_</v>
      </c>
      <c r="BG652" s="448" t="str">
        <f>_xlfn.IFNA(VLOOKUP($AP652,Programma!$F$3:$W$1101,18,0),"")</f>
        <v>_</v>
      </c>
      <c r="BH652" s="448" t="str">
        <f>_xlfn.IFNA(VLOOKUP($AP652,Programma!$F$3:$X$1101,19,0),"")</f>
        <v>_</v>
      </c>
      <c r="BI652" s="448" t="str">
        <f>_xlfn.IFNA(VLOOKUP($AP652,Programma!$F$3:$Y$1101,20,0),"")</f>
        <v>_</v>
      </c>
      <c r="BJ652" s="449"/>
      <c r="BK652" s="446" t="str">
        <f>IF(Ruimtestaat[[#This Row],[Frequentie weekend]]="","",_xlfn.CONCAT(Ruimtestaat[[#This Row],[Ruimte code]],"-",Ruimtestaat[[#This Row],[Frequentie weekend]]," ",Ruimtestaat[[#This Row],[Vloer code]]))</f>
        <v/>
      </c>
      <c r="BL652" s="448" t="str">
        <f>_xlfn.IFNA(VLOOKUP($BK652,Programma!$F$3:$G$1101,2,0),"")</f>
        <v/>
      </c>
      <c r="BM652" s="448" t="str">
        <f>_xlfn.IFNA(VLOOKUP($BK652,Programma!$F$3:$H$1101,3,0),"")</f>
        <v/>
      </c>
      <c r="BN652" s="448" t="str">
        <f>_xlfn.IFNA(VLOOKUP($BK652,Programma!$F$3:$I$1101,4,0),"")</f>
        <v/>
      </c>
      <c r="BO652" s="448" t="str">
        <f>_xlfn.IFNA(VLOOKUP($BK652,Programma!$F$3:$J$1101,5,0),"")</f>
        <v/>
      </c>
      <c r="BP652" s="448" t="str">
        <f>_xlfn.IFNA(VLOOKUP($BK652,Programma!$F$3:$K$1101,6,0),"")</f>
        <v/>
      </c>
      <c r="BQ652" s="448" t="str">
        <f>_xlfn.IFNA(VLOOKUP($BK652,Programma!$F$3:$L$1101,7,0),"")</f>
        <v/>
      </c>
      <c r="BR652" s="448" t="str">
        <f>_xlfn.IFNA(VLOOKUP($BK652,Programma!$F$3:$M$1101,8,0),"")</f>
        <v/>
      </c>
      <c r="BS652" s="448" t="str">
        <f>_xlfn.IFNA(VLOOKUP($BK652,Programma!$F$3:$N$1101,9,0),"")</f>
        <v/>
      </c>
      <c r="BT652" s="448" t="str">
        <f>_xlfn.IFNA(VLOOKUP($BK652,Programma!$F$3:$O$1101,10,0),"")</f>
        <v/>
      </c>
      <c r="BU652" s="448" t="str">
        <f>_xlfn.IFNA(VLOOKUP($BK652,Programma!$F$3:$P$1101,11,0),"")</f>
        <v/>
      </c>
      <c r="BV652" s="448" t="str">
        <f>_xlfn.IFNA(VLOOKUP($BK652,Programma!$F$3:$Q$1101,12,0),"")</f>
        <v/>
      </c>
      <c r="BW652" s="448" t="str">
        <f>_xlfn.IFNA(VLOOKUP($BK652,Programma!$F$3:$R$1101,13,0),"")</f>
        <v/>
      </c>
      <c r="BX652" s="448" t="str">
        <f>_xlfn.IFNA(VLOOKUP($BK652,Programma!$F$3:$S$1101,14,0),"")</f>
        <v/>
      </c>
      <c r="BY652" s="448" t="str">
        <f>_xlfn.IFNA(VLOOKUP($BK652,Programma!$F$3:$T$1101,15,0),"")</f>
        <v/>
      </c>
      <c r="BZ652" s="448" t="str">
        <f>_xlfn.IFNA(VLOOKUP($BK652,Programma!$F$3:$U$1101,16,0),"")</f>
        <v/>
      </c>
      <c r="CA652" s="448" t="str">
        <f>_xlfn.IFNA(VLOOKUP($BK652,Programma!$F$3:$V$1101,17,0),"")</f>
        <v/>
      </c>
      <c r="CB652" s="448" t="str">
        <f>_xlfn.IFNA(VLOOKUP($BK652,Programma!$F$3:$W$1101,18,0),"")</f>
        <v/>
      </c>
      <c r="CC652" s="448" t="str">
        <f>_xlfn.IFNA(VLOOKUP($BK652,Programma!$F$3:$X$1101,19,0),"")</f>
        <v/>
      </c>
      <c r="CD652" s="448" t="str">
        <f>_xlfn.IFNA(VLOOKUP($BK652,Programma!$F$3:$Y$1101,20,0),"")</f>
        <v/>
      </c>
    </row>
    <row r="653" spans="1:82" ht="15" customHeight="1">
      <c r="A653" s="327">
        <v>15</v>
      </c>
      <c r="B653" s="435" t="str">
        <f>VLOOKUP(Ruimtestaat[[#This Row],[Code]],Locaties[[Code]:[Locatie]],2,FALSE)</f>
        <v>IKC  Da Vinci</v>
      </c>
      <c r="C653" s="435" t="str">
        <f>VLOOKUP(Ruimtestaat[[#This Row],[Code]],Locaties[[#All],[Code]:[Adres]],4,FALSE)</f>
        <v>Spitsbergen 17</v>
      </c>
      <c r="D653" s="435" t="str">
        <f>VLOOKUP(Ruimtestaat[[#This Row],[Code]],Locaties[[#All],[Code]:[Postcode]],5,FALSE)</f>
        <v>2721 GP</v>
      </c>
      <c r="E653" s="435" t="str">
        <f>VLOOKUP(Ruimtestaat[[#This Row],[Code]],Locaties[#All],6,FALSE)</f>
        <v>Zoetermeer</v>
      </c>
      <c r="F653" s="330" t="s">
        <v>2154</v>
      </c>
      <c r="I653" s="450" t="s">
        <v>1973</v>
      </c>
      <c r="J653" s="330">
        <v>16</v>
      </c>
      <c r="K653" s="450" t="str">
        <f>VLOOKUP(Ruimtestaat[[#This Row],[Ruimte code]],Ruimtegroepen[[#All],[Code]:[Ruimte omschrijving]],2,FALSE)</f>
        <v>Leslokalen</v>
      </c>
      <c r="L653" s="434" t="s">
        <v>100</v>
      </c>
      <c r="M653" s="437" t="s">
        <v>1759</v>
      </c>
      <c r="N653" s="439">
        <v>53</v>
      </c>
      <c r="O653" s="439"/>
      <c r="P653" s="439"/>
      <c r="Q653" s="439"/>
      <c r="R653" s="440" t="str">
        <f>VLOOKUP(Ruimtestaat[[#This Row],[Ruimte code]],Ruimtegroepen[],4,FALSE)</f>
        <v>Le</v>
      </c>
      <c r="S653" s="434">
        <v>40</v>
      </c>
      <c r="T653" s="434" t="s">
        <v>2</v>
      </c>
      <c r="U653" s="453">
        <f>IF(S653&gt;0,IF(RIGHT(Ruimtestaat[[#This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3" s="434">
        <f>IF(U653&gt;0,VLOOKUP($J653,Ruimtegroepen[],3,FALSE)*VLOOKUP($L653,Vloersoorten[],3,FALSE)*VLOOKUP($T653,Frequenties[],3,FALSE)*VLOOKUP($A653,Locaties[],3,FALSE),0)</f>
        <v>0</v>
      </c>
      <c r="W653" s="434">
        <f>Ruimtestaat[[#This Row],[Uitvoeringen werkdagen]]*Ruimtestaat[[#This Row],[Oppervlak (netto)]]</f>
        <v>10600</v>
      </c>
      <c r="X653" s="441">
        <f>IF(V653&gt;0,Ruimtestaat[[#This Row],[Prest. (m2 /jaar) werkdagen]]/Ruimtestaat[[#This Row],[Norm (m2/uur) werkdagen]],0)</f>
        <v>0</v>
      </c>
      <c r="Y653" s="442">
        <f>Ruimtestaat[[#This Row],[Uitvoeringen werkdagen]]*Ruimtestaat[[#This Row],[Gedeeltelijk]]</f>
        <v>0</v>
      </c>
      <c r="Z653" s="443" t="e">
        <f>IF(U653&gt;0,Ruimtestaat[[#This Row],[Prest. (m2 / jaar) werkdagen gedeeld]]/Ruimtestaat[[#This Row],[Norm (m2/uur) werkdagen]],0)</f>
        <v>#DIV/0!</v>
      </c>
      <c r="AA653" s="441" t="e">
        <f>Ruimtestaat[[#This Row],[uren / jaar werkdagen gedeeld]]*Tariefsopbouw!$E$35</f>
        <v>#DIV/0!</v>
      </c>
      <c r="AB653" s="441">
        <f>Ruimtestaat[[#This Row],[Uitvoeringen werkdagen]]*Ruimtestaat[[#This Row],[BSO]]</f>
        <v>0</v>
      </c>
      <c r="AC653" s="443" t="e">
        <f>IF(U653&gt;0,Ruimtestaat[[#This Row],[Prest. (m2 / jaar) werkdagen BSO]]/Ruimtestaat[[#This Row],[Norm (m2/uur) werkdagen]],0)</f>
        <v>#DIV/0!</v>
      </c>
      <c r="AD653" s="443" t="e">
        <f>Ruimtestaat[[#This Row],[uren / jaar werkdagen BSO]]*Tariefsopbouw!$E$35</f>
        <v>#DIV/0!</v>
      </c>
      <c r="AE653" s="444">
        <f>Ruimtestaat[[#This Row],[uren / jaar werkdagen]]*Tariefsopbouw!$E$35</f>
        <v>0</v>
      </c>
      <c r="AF653" s="454"/>
      <c r="AG653" s="455">
        <f>IF(Ruimtestaat[[#This Row],[Frequentie weekend]]&gt;0,VALUE(LEFT(AF653,1))*S653,0)</f>
        <v>0</v>
      </c>
      <c r="AH653" s="455">
        <f>IF($AG653&gt;0,VLOOKUP($J653,Ruimtegroepen[],3,FALSE)*VLOOKUP($L653,Vloersoorten[],3,FALSE)*VLOOKUP($AF653,Frequenties[],3,FALSE)*VLOOKUP(#REF!,Locaties[],3,FALSE),0)</f>
        <v>0</v>
      </c>
      <c r="AI653" s="434">
        <f>Ruimtestaat[[#This Row],[Uitvoeringen weekend]]*Ruimtestaat[[#This Row],[Oppervlak (netto)]]</f>
        <v>0</v>
      </c>
      <c r="AJ653" s="434">
        <f>IF(AH653&gt;0,Ruimtestaat[[#This Row],[Prest. (m2 /jaar) weekend]]/Ruimtestaat[[#This Row],[Norm (m2/uur) weekend]],0)</f>
        <v>0</v>
      </c>
      <c r="AK653" s="444">
        <f>Ruimtestaat[[#This Row],[uren / jaar weekend]]*Tariefsopbouw!$D$40</f>
        <v>0</v>
      </c>
      <c r="AL653" s="441">
        <f>Ruimtestaat[[#This Row],[Prest. (m2 /jaar) weekend]]+Ruimtestaat[[#This Row],[Prest. (m2 /jaar) werkdagen]]</f>
        <v>10600</v>
      </c>
      <c r="AM653" s="441">
        <f>Ruimtestaat[[#This Row],[uren / jaar weekend]]+Ruimtestaat[[#This Row],[uren / jaar werkdagen]]</f>
        <v>0</v>
      </c>
      <c r="AN653" s="446">
        <f>Ruimtestaat[[#This Row],[kosten / jaar weekend]]+Ruimtestaat[[#This Row],[kosten / jaar werkdagen]]</f>
        <v>0</v>
      </c>
      <c r="AO653" s="446"/>
      <c r="AP653" s="446" t="str">
        <f>IF(Ruimtestaat[[#This Row],[Frequentie werkdagen]]="","",_xlfn.CONCAT(Ruimtestaat[[#This Row],[Ruimte code]],"-",Ruimtestaat[[#This Row],[Frequentie werkdagen]]," ",Ruimtestaat[[#This Row],[Vloer code]]))</f>
        <v>16-5w L</v>
      </c>
      <c r="AQ653" s="448" t="str">
        <f>_xlfn.IFNA(VLOOKUP($AP653,Programma!$F$3:$G$1101,2,0),"")</f>
        <v>_</v>
      </c>
      <c r="AR653" s="448" t="str">
        <f>_xlfn.IFNA(VLOOKUP($AP653,Programma!$F$3:$H$1101,3,0),"")</f>
        <v>_</v>
      </c>
      <c r="AS653" s="448" t="str">
        <f>_xlfn.IFNA(VLOOKUP($AP653,Programma!$F$3:$I$1101,4,0),"")</f>
        <v>4w</v>
      </c>
      <c r="AT653" s="448" t="str">
        <f>_xlfn.IFNA(VLOOKUP($AP653,Programma!$F$3:$J$1101,5,0),"")</f>
        <v>1w</v>
      </c>
      <c r="AU653" s="448" t="str">
        <f>_xlfn.IFNA(VLOOKUP($AP653,Programma!$F$3:$K$1101,6,0),"")</f>
        <v>_</v>
      </c>
      <c r="AV653" s="448" t="str">
        <f>_xlfn.IFNA(VLOOKUP($AP653,Programma!$F$3:$L$1101,7,0),"")</f>
        <v>_</v>
      </c>
      <c r="AW653" s="448" t="str">
        <f>_xlfn.IFNA(VLOOKUP($AP653,Programma!$F$3:$M$1101,8,0),"")</f>
        <v>_</v>
      </c>
      <c r="AX653" s="448" t="str">
        <f>_xlfn.IFNA(VLOOKUP($AP653,Programma!$F$3:$N$1101,9,0),"")</f>
        <v>_</v>
      </c>
      <c r="AY653" s="448" t="str">
        <f>_xlfn.IFNA(VLOOKUP($AP653,Programma!$F$3:$O$1101,10,0),"")</f>
        <v>5w</v>
      </c>
      <c r="AZ653" s="448" t="str">
        <f>_xlfn.IFNA(VLOOKUP($AP653,Programma!$F$3:$P$1101,11,0),"")</f>
        <v>5w</v>
      </c>
      <c r="BA653" s="448" t="str">
        <f>_xlfn.IFNA(VLOOKUP($AP653,Programma!$F$3:$Q$1101,12,0),"")</f>
        <v>1w</v>
      </c>
      <c r="BB653" s="448" t="str">
        <f>_xlfn.IFNA(VLOOKUP($AP653,Programma!$F$3:$R$1101,13,0),"")</f>
        <v>1w</v>
      </c>
      <c r="BC653" s="448" t="str">
        <f>_xlfn.IFNA(VLOOKUP($AP653,Programma!$F$3:$S$1101,14,0),"")</f>
        <v>1m</v>
      </c>
      <c r="BD653" s="448" t="str">
        <f>_xlfn.IFNA(VLOOKUP($AP653,Programma!$F$3:$T$1101,15,0),"")</f>
        <v>2j</v>
      </c>
      <c r="BE653" s="448" t="str">
        <f>_xlfn.IFNA(VLOOKUP($AP653,Programma!$F$3:$U$1101,16,0),"")</f>
        <v>1j</v>
      </c>
      <c r="BF653" s="448" t="str">
        <f>_xlfn.IFNA(VLOOKUP($AP653,Programma!$F$3:$V$1101,17,0),"")</f>
        <v>_</v>
      </c>
      <c r="BG653" s="448" t="str">
        <f>_xlfn.IFNA(VLOOKUP($AP653,Programma!$F$3:$W$1101,18,0),"")</f>
        <v>_</v>
      </c>
      <c r="BH653" s="448" t="str">
        <f>_xlfn.IFNA(VLOOKUP($AP653,Programma!$F$3:$X$1101,19,0),"")</f>
        <v>_</v>
      </c>
      <c r="BI653" s="448" t="str">
        <f>_xlfn.IFNA(VLOOKUP($AP653,Programma!$F$3:$Y$1101,20,0),"")</f>
        <v>_</v>
      </c>
      <c r="BJ653" s="449"/>
      <c r="BK653" s="446" t="str">
        <f>IF(Ruimtestaat[[#This Row],[Frequentie weekend]]="","",_xlfn.CONCAT(Ruimtestaat[[#This Row],[Ruimte code]],"-",Ruimtestaat[[#This Row],[Frequentie weekend]]," ",Ruimtestaat[[#This Row],[Vloer code]]))</f>
        <v/>
      </c>
      <c r="BL653" s="448" t="str">
        <f>_xlfn.IFNA(VLOOKUP($BK653,Programma!$F$3:$G$1101,2,0),"")</f>
        <v/>
      </c>
      <c r="BM653" s="448" t="str">
        <f>_xlfn.IFNA(VLOOKUP($BK653,Programma!$F$3:$H$1101,3,0),"")</f>
        <v/>
      </c>
      <c r="BN653" s="448" t="str">
        <f>_xlfn.IFNA(VLOOKUP($BK653,Programma!$F$3:$I$1101,4,0),"")</f>
        <v/>
      </c>
      <c r="BO653" s="448" t="str">
        <f>_xlfn.IFNA(VLOOKUP($BK653,Programma!$F$3:$J$1101,5,0),"")</f>
        <v/>
      </c>
      <c r="BP653" s="448" t="str">
        <f>_xlfn.IFNA(VLOOKUP($BK653,Programma!$F$3:$K$1101,6,0),"")</f>
        <v/>
      </c>
      <c r="BQ653" s="448" t="str">
        <f>_xlfn.IFNA(VLOOKUP($BK653,Programma!$F$3:$L$1101,7,0),"")</f>
        <v/>
      </c>
      <c r="BR653" s="448" t="str">
        <f>_xlfn.IFNA(VLOOKUP($BK653,Programma!$F$3:$M$1101,8,0),"")</f>
        <v/>
      </c>
      <c r="BS653" s="448" t="str">
        <f>_xlfn.IFNA(VLOOKUP($BK653,Programma!$F$3:$N$1101,9,0),"")</f>
        <v/>
      </c>
      <c r="BT653" s="448" t="str">
        <f>_xlfn.IFNA(VLOOKUP($BK653,Programma!$F$3:$O$1101,10,0),"")</f>
        <v/>
      </c>
      <c r="BU653" s="448" t="str">
        <f>_xlfn.IFNA(VLOOKUP($BK653,Programma!$F$3:$P$1101,11,0),"")</f>
        <v/>
      </c>
      <c r="BV653" s="448" t="str">
        <f>_xlfn.IFNA(VLOOKUP($BK653,Programma!$F$3:$Q$1101,12,0),"")</f>
        <v/>
      </c>
      <c r="BW653" s="448" t="str">
        <f>_xlfn.IFNA(VLOOKUP($BK653,Programma!$F$3:$R$1101,13,0),"")</f>
        <v/>
      </c>
      <c r="BX653" s="448" t="str">
        <f>_xlfn.IFNA(VLOOKUP($BK653,Programma!$F$3:$S$1101,14,0),"")</f>
        <v/>
      </c>
      <c r="BY653" s="448" t="str">
        <f>_xlfn.IFNA(VLOOKUP($BK653,Programma!$F$3:$T$1101,15,0),"")</f>
        <v/>
      </c>
      <c r="BZ653" s="448" t="str">
        <f>_xlfn.IFNA(VLOOKUP($BK653,Programma!$F$3:$U$1101,16,0),"")</f>
        <v/>
      </c>
      <c r="CA653" s="448" t="str">
        <f>_xlfn.IFNA(VLOOKUP($BK653,Programma!$F$3:$V$1101,17,0),"")</f>
        <v/>
      </c>
      <c r="CB653" s="448" t="str">
        <f>_xlfn.IFNA(VLOOKUP($BK653,Programma!$F$3:$W$1101,18,0),"")</f>
        <v/>
      </c>
      <c r="CC653" s="448" t="str">
        <f>_xlfn.IFNA(VLOOKUP($BK653,Programma!$F$3:$X$1101,19,0),"")</f>
        <v/>
      </c>
      <c r="CD653" s="448" t="str">
        <f>_xlfn.IFNA(VLOOKUP($BK653,Programma!$F$3:$Y$1101,20,0),"")</f>
        <v/>
      </c>
    </row>
    <row r="654" spans="1:82" ht="15" customHeight="1">
      <c r="A654" s="327">
        <v>15</v>
      </c>
      <c r="B654" s="435" t="str">
        <f>VLOOKUP(Ruimtestaat[[#This Row],[Code]],Locaties[[Code]:[Locatie]],2,FALSE)</f>
        <v>IKC  Da Vinci</v>
      </c>
      <c r="C654" s="435" t="str">
        <f>VLOOKUP(Ruimtestaat[[#This Row],[Code]],Locaties[[#All],[Code]:[Adres]],4,FALSE)</f>
        <v>Spitsbergen 17</v>
      </c>
      <c r="D654" s="435" t="str">
        <f>VLOOKUP(Ruimtestaat[[#This Row],[Code]],Locaties[[#All],[Code]:[Postcode]],5,FALSE)</f>
        <v>2721 GP</v>
      </c>
      <c r="E654" s="435" t="str">
        <f>VLOOKUP(Ruimtestaat[[#This Row],[Code]],Locaties[#All],6,FALSE)</f>
        <v>Zoetermeer</v>
      </c>
      <c r="F654" s="330" t="s">
        <v>2154</v>
      </c>
      <c r="I654" s="450" t="s">
        <v>1974</v>
      </c>
      <c r="J654" s="330">
        <v>20</v>
      </c>
      <c r="K654" s="450" t="str">
        <f>VLOOKUP(Ruimtestaat[[#This Row],[Ruimte code]],Ruimtegroepen[[#All],[Code]:[Ruimte omschrijving]],2,FALSE)</f>
        <v>Niet in Onderhoud</v>
      </c>
      <c r="M654" s="330"/>
      <c r="N654" s="439"/>
      <c r="O654" s="439">
        <v>118</v>
      </c>
      <c r="P654" s="439"/>
      <c r="Q654" s="439"/>
      <c r="R654" s="440">
        <f>VLOOKUP(Ruimtestaat[[#This Row],[Ruimte code]],Ruimtegroepen[],4,FALSE)</f>
        <v>0</v>
      </c>
      <c r="S654" s="434"/>
      <c r="T654" s="434"/>
      <c r="U654" s="453">
        <f>IF(S654&gt;0,IF(RIGHT(Ruimtestaat[[#This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54" s="434">
        <f>IF(U654&gt;0,VLOOKUP($J654,Ruimtegroepen[],3,FALSE)*VLOOKUP($L654,Vloersoorten[],3,FALSE)*VLOOKUP($T654,Frequenties[],3,FALSE)*VLOOKUP($A654,Locaties[],3,FALSE),0)</f>
        <v>0</v>
      </c>
      <c r="W654" s="434">
        <f>Ruimtestaat[[#This Row],[Uitvoeringen werkdagen]]*Ruimtestaat[[#This Row],[Oppervlak (netto)]]</f>
        <v>0</v>
      </c>
      <c r="X654" s="441">
        <f>IF(V654&gt;0,Ruimtestaat[[#This Row],[Prest. (m2 /jaar) werkdagen]]/Ruimtestaat[[#This Row],[Norm (m2/uur) werkdagen]],0)</f>
        <v>0</v>
      </c>
      <c r="Y654" s="442">
        <f>Ruimtestaat[[#This Row],[Uitvoeringen werkdagen]]*Ruimtestaat[[#This Row],[Gedeeltelijk]]</f>
        <v>0</v>
      </c>
      <c r="Z654" s="443">
        <f>IF(U654&gt;0,Ruimtestaat[[#This Row],[Prest. (m2 / jaar) werkdagen gedeeld]]/Ruimtestaat[[#This Row],[Norm (m2/uur) werkdagen]],0)</f>
        <v>0</v>
      </c>
      <c r="AA654" s="441">
        <f>Ruimtestaat[[#This Row],[uren / jaar werkdagen gedeeld]]*Tariefsopbouw!$E$35</f>
        <v>0</v>
      </c>
      <c r="AB654" s="441">
        <f>Ruimtestaat[[#This Row],[Uitvoeringen werkdagen]]*Ruimtestaat[[#This Row],[BSO]]</f>
        <v>0</v>
      </c>
      <c r="AC654" s="443">
        <f>IF(U654&gt;0,Ruimtestaat[[#This Row],[Prest. (m2 / jaar) werkdagen BSO]]/Ruimtestaat[[#This Row],[Norm (m2/uur) werkdagen]],0)</f>
        <v>0</v>
      </c>
      <c r="AD654" s="443">
        <f>Ruimtestaat[[#This Row],[uren / jaar werkdagen BSO]]*Tariefsopbouw!$E$35</f>
        <v>0</v>
      </c>
      <c r="AE654" s="444">
        <f>Ruimtestaat[[#This Row],[uren / jaar werkdagen]]*Tariefsopbouw!$E$35</f>
        <v>0</v>
      </c>
      <c r="AF654" s="454"/>
      <c r="AG654" s="455">
        <f>IF(Ruimtestaat[[#This Row],[Frequentie weekend]]&gt;0,VALUE(LEFT(AF654,1))*S654,0)</f>
        <v>0</v>
      </c>
      <c r="AH654" s="455">
        <f>IF($AG654&gt;0,VLOOKUP($J654,Ruimtegroepen[],3,FALSE)*VLOOKUP($L654,Vloersoorten[],3,FALSE)*VLOOKUP($AF654,Frequenties[],3,FALSE)*VLOOKUP(#REF!,Locaties[],3,FALSE),0)</f>
        <v>0</v>
      </c>
      <c r="AI654" s="434">
        <f>Ruimtestaat[[#This Row],[Uitvoeringen weekend]]*Ruimtestaat[[#This Row],[Oppervlak (netto)]]</f>
        <v>0</v>
      </c>
      <c r="AJ654" s="434">
        <f>IF(AH654&gt;0,Ruimtestaat[[#This Row],[Prest. (m2 /jaar) weekend]]/Ruimtestaat[[#This Row],[Norm (m2/uur) weekend]],0)</f>
        <v>0</v>
      </c>
      <c r="AK654" s="444">
        <f>Ruimtestaat[[#This Row],[uren / jaar weekend]]*Tariefsopbouw!$D$40</f>
        <v>0</v>
      </c>
      <c r="AL654" s="441">
        <f>Ruimtestaat[[#This Row],[Prest. (m2 /jaar) weekend]]+Ruimtestaat[[#This Row],[Prest. (m2 /jaar) werkdagen]]</f>
        <v>0</v>
      </c>
      <c r="AM654" s="441">
        <f>Ruimtestaat[[#This Row],[uren / jaar weekend]]+Ruimtestaat[[#This Row],[uren / jaar werkdagen]]</f>
        <v>0</v>
      </c>
      <c r="AN654" s="446">
        <f>Ruimtestaat[[#This Row],[kosten / jaar weekend]]+Ruimtestaat[[#This Row],[kosten / jaar werkdagen]]</f>
        <v>0</v>
      </c>
      <c r="AO654" s="446"/>
      <c r="AP654" s="446" t="str">
        <f>IF(Ruimtestaat[[#This Row],[Frequentie werkdagen]]="","",_xlfn.CONCAT(Ruimtestaat[[#This Row],[Ruimte code]],"-",Ruimtestaat[[#This Row],[Frequentie werkdagen]]," ",Ruimtestaat[[#This Row],[Vloer code]]))</f>
        <v/>
      </c>
      <c r="AQ654" s="448" t="str">
        <f>_xlfn.IFNA(VLOOKUP($AP654,Programma!$F$3:$G$1101,2,0),"")</f>
        <v/>
      </c>
      <c r="AR654" s="448" t="str">
        <f>_xlfn.IFNA(VLOOKUP($AP654,Programma!$F$3:$H$1101,3,0),"")</f>
        <v/>
      </c>
      <c r="AS654" s="448" t="str">
        <f>_xlfn.IFNA(VLOOKUP($AP654,Programma!$F$3:$I$1101,4,0),"")</f>
        <v/>
      </c>
      <c r="AT654" s="448" t="str">
        <f>_xlfn.IFNA(VLOOKUP($AP654,Programma!$F$3:$J$1101,5,0),"")</f>
        <v/>
      </c>
      <c r="AU654" s="448" t="str">
        <f>_xlfn.IFNA(VLOOKUP($AP654,Programma!$F$3:$K$1101,6,0),"")</f>
        <v/>
      </c>
      <c r="AV654" s="448" t="str">
        <f>_xlfn.IFNA(VLOOKUP($AP654,Programma!$F$3:$L$1101,7,0),"")</f>
        <v/>
      </c>
      <c r="AW654" s="448" t="str">
        <f>_xlfn.IFNA(VLOOKUP($AP654,Programma!$F$3:$M$1101,8,0),"")</f>
        <v/>
      </c>
      <c r="AX654" s="448" t="str">
        <f>_xlfn.IFNA(VLOOKUP($AP654,Programma!$F$3:$N$1101,9,0),"")</f>
        <v/>
      </c>
      <c r="AY654" s="448" t="str">
        <f>_xlfn.IFNA(VLOOKUP($AP654,Programma!$F$3:$O$1101,10,0),"")</f>
        <v/>
      </c>
      <c r="AZ654" s="448" t="str">
        <f>_xlfn.IFNA(VLOOKUP($AP654,Programma!$F$3:$P$1101,11,0),"")</f>
        <v/>
      </c>
      <c r="BA654" s="448" t="str">
        <f>_xlfn.IFNA(VLOOKUP($AP654,Programma!$F$3:$Q$1101,12,0),"")</f>
        <v/>
      </c>
      <c r="BB654" s="448" t="str">
        <f>_xlfn.IFNA(VLOOKUP($AP654,Programma!$F$3:$R$1101,13,0),"")</f>
        <v/>
      </c>
      <c r="BC654" s="448" t="str">
        <f>_xlfn.IFNA(VLOOKUP($AP654,Programma!$F$3:$S$1101,14,0),"")</f>
        <v/>
      </c>
      <c r="BD654" s="448" t="str">
        <f>_xlfn.IFNA(VLOOKUP($AP654,Programma!$F$3:$T$1101,15,0),"")</f>
        <v/>
      </c>
      <c r="BE654" s="448" t="str">
        <f>_xlfn.IFNA(VLOOKUP($AP654,Programma!$F$3:$U$1101,16,0),"")</f>
        <v/>
      </c>
      <c r="BF654" s="448" t="str">
        <f>_xlfn.IFNA(VLOOKUP($AP654,Programma!$F$3:$V$1101,17,0),"")</f>
        <v/>
      </c>
      <c r="BG654" s="448" t="str">
        <f>_xlfn.IFNA(VLOOKUP($AP654,Programma!$F$3:$W$1101,18,0),"")</f>
        <v/>
      </c>
      <c r="BH654" s="448" t="str">
        <f>_xlfn.IFNA(VLOOKUP($AP654,Programma!$F$3:$X$1101,19,0),"")</f>
        <v/>
      </c>
      <c r="BI654" s="448" t="str">
        <f>_xlfn.IFNA(VLOOKUP($AP654,Programma!$F$3:$Y$1101,20,0),"")</f>
        <v/>
      </c>
      <c r="BJ654" s="449"/>
      <c r="BK654" s="446" t="str">
        <f>IF(Ruimtestaat[[#This Row],[Frequentie weekend]]="","",_xlfn.CONCAT(Ruimtestaat[[#This Row],[Ruimte code]],"-",Ruimtestaat[[#This Row],[Frequentie weekend]]," ",Ruimtestaat[[#This Row],[Vloer code]]))</f>
        <v/>
      </c>
      <c r="BL654" s="448" t="str">
        <f>_xlfn.IFNA(VLOOKUP($BK654,Programma!$F$3:$G$1101,2,0),"")</f>
        <v/>
      </c>
      <c r="BM654" s="448" t="str">
        <f>_xlfn.IFNA(VLOOKUP($BK654,Programma!$F$3:$H$1101,3,0),"")</f>
        <v/>
      </c>
      <c r="BN654" s="448" t="str">
        <f>_xlfn.IFNA(VLOOKUP($BK654,Programma!$F$3:$I$1101,4,0),"")</f>
        <v/>
      </c>
      <c r="BO654" s="448" t="str">
        <f>_xlfn.IFNA(VLOOKUP($BK654,Programma!$F$3:$J$1101,5,0),"")</f>
        <v/>
      </c>
      <c r="BP654" s="448" t="str">
        <f>_xlfn.IFNA(VLOOKUP($BK654,Programma!$F$3:$K$1101,6,0),"")</f>
        <v/>
      </c>
      <c r="BQ654" s="448" t="str">
        <f>_xlfn.IFNA(VLOOKUP($BK654,Programma!$F$3:$L$1101,7,0),"")</f>
        <v/>
      </c>
      <c r="BR654" s="448" t="str">
        <f>_xlfn.IFNA(VLOOKUP($BK654,Programma!$F$3:$M$1101,8,0),"")</f>
        <v/>
      </c>
      <c r="BS654" s="448" t="str">
        <f>_xlfn.IFNA(VLOOKUP($BK654,Programma!$F$3:$N$1101,9,0),"")</f>
        <v/>
      </c>
      <c r="BT654" s="448" t="str">
        <f>_xlfn.IFNA(VLOOKUP($BK654,Programma!$F$3:$O$1101,10,0),"")</f>
        <v/>
      </c>
      <c r="BU654" s="448" t="str">
        <f>_xlfn.IFNA(VLOOKUP($BK654,Programma!$F$3:$P$1101,11,0),"")</f>
        <v/>
      </c>
      <c r="BV654" s="448" t="str">
        <f>_xlfn.IFNA(VLOOKUP($BK654,Programma!$F$3:$Q$1101,12,0),"")</f>
        <v/>
      </c>
      <c r="BW654" s="448" t="str">
        <f>_xlfn.IFNA(VLOOKUP($BK654,Programma!$F$3:$R$1101,13,0),"")</f>
        <v/>
      </c>
      <c r="BX654" s="448" t="str">
        <f>_xlfn.IFNA(VLOOKUP($BK654,Programma!$F$3:$S$1101,14,0),"")</f>
        <v/>
      </c>
      <c r="BY654" s="448" t="str">
        <f>_xlfn.IFNA(VLOOKUP($BK654,Programma!$F$3:$T$1101,15,0),"")</f>
        <v/>
      </c>
      <c r="BZ654" s="448" t="str">
        <f>_xlfn.IFNA(VLOOKUP($BK654,Programma!$F$3:$U$1101,16,0),"")</f>
        <v/>
      </c>
      <c r="CA654" s="448" t="str">
        <f>_xlfn.IFNA(VLOOKUP($BK654,Programma!$F$3:$V$1101,17,0),"")</f>
        <v/>
      </c>
      <c r="CB654" s="448" t="str">
        <f>_xlfn.IFNA(VLOOKUP($BK654,Programma!$F$3:$W$1101,18,0),"")</f>
        <v/>
      </c>
      <c r="CC654" s="448" t="str">
        <f>_xlfn.IFNA(VLOOKUP($BK654,Programma!$F$3:$X$1101,19,0),"")</f>
        <v/>
      </c>
      <c r="CD654" s="448" t="str">
        <f>_xlfn.IFNA(VLOOKUP($BK654,Programma!$F$3:$Y$1101,20,0),"")</f>
        <v/>
      </c>
    </row>
    <row r="655" spans="1:82" ht="15" customHeight="1">
      <c r="A655" s="327">
        <v>15</v>
      </c>
      <c r="B655" s="435" t="str">
        <f>VLOOKUP(Ruimtestaat[[#This Row],[Code]],Locaties[[Code]:[Locatie]],2,FALSE)</f>
        <v>IKC  Da Vinci</v>
      </c>
      <c r="C655" s="435" t="str">
        <f>VLOOKUP(Ruimtestaat[[#This Row],[Code]],Locaties[[#All],[Code]:[Adres]],4,FALSE)</f>
        <v>Spitsbergen 17</v>
      </c>
      <c r="D655" s="435" t="str">
        <f>VLOOKUP(Ruimtestaat[[#This Row],[Code]],Locaties[[#All],[Code]:[Postcode]],5,FALSE)</f>
        <v>2721 GP</v>
      </c>
      <c r="E655" s="435" t="str">
        <f>VLOOKUP(Ruimtestaat[[#This Row],[Code]],Locaties[#All],6,FALSE)</f>
        <v>Zoetermeer</v>
      </c>
      <c r="F655" s="330" t="s">
        <v>2154</v>
      </c>
      <c r="I655" s="450" t="s">
        <v>1975</v>
      </c>
      <c r="J655" s="330">
        <v>20</v>
      </c>
      <c r="K655" s="450" t="str">
        <f>VLOOKUP(Ruimtestaat[[#This Row],[Ruimte code]],Ruimtegroepen[[#All],[Code]:[Ruimte omschrijving]],2,FALSE)</f>
        <v>Niet in Onderhoud</v>
      </c>
      <c r="M655" s="330"/>
      <c r="N655" s="439"/>
      <c r="O655" s="439">
        <v>156</v>
      </c>
      <c r="P655" s="439"/>
      <c r="Q655" s="439"/>
      <c r="R655" s="440">
        <f>VLOOKUP(Ruimtestaat[[#This Row],[Ruimte code]],Ruimtegroepen[],4,FALSE)</f>
        <v>0</v>
      </c>
      <c r="S655" s="434"/>
      <c r="T655" s="434"/>
      <c r="U655" s="453">
        <f>IF(S655&gt;0,IF(RIGHT(Ruimtestaat[[#This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55" s="434">
        <f>IF(U655&gt;0,VLOOKUP($J655,Ruimtegroepen[],3,FALSE)*VLOOKUP($L655,Vloersoorten[],3,FALSE)*VLOOKUP($T655,Frequenties[],3,FALSE)*VLOOKUP($A655,Locaties[],3,FALSE),0)</f>
        <v>0</v>
      </c>
      <c r="W655" s="434">
        <f>Ruimtestaat[[#This Row],[Uitvoeringen werkdagen]]*Ruimtestaat[[#This Row],[Oppervlak (netto)]]</f>
        <v>0</v>
      </c>
      <c r="X655" s="441">
        <f>IF(V655&gt;0,Ruimtestaat[[#This Row],[Prest. (m2 /jaar) werkdagen]]/Ruimtestaat[[#This Row],[Norm (m2/uur) werkdagen]],0)</f>
        <v>0</v>
      </c>
      <c r="Y655" s="442">
        <f>Ruimtestaat[[#This Row],[Uitvoeringen werkdagen]]*Ruimtestaat[[#This Row],[Gedeeltelijk]]</f>
        <v>0</v>
      </c>
      <c r="Z655" s="443">
        <f>IF(U655&gt;0,Ruimtestaat[[#This Row],[Prest. (m2 / jaar) werkdagen gedeeld]]/Ruimtestaat[[#This Row],[Norm (m2/uur) werkdagen]],0)</f>
        <v>0</v>
      </c>
      <c r="AA655" s="441">
        <f>Ruimtestaat[[#This Row],[uren / jaar werkdagen gedeeld]]*Tariefsopbouw!$E$35</f>
        <v>0</v>
      </c>
      <c r="AB655" s="441">
        <f>Ruimtestaat[[#This Row],[Uitvoeringen werkdagen]]*Ruimtestaat[[#This Row],[BSO]]</f>
        <v>0</v>
      </c>
      <c r="AC655" s="443">
        <f>IF(U655&gt;0,Ruimtestaat[[#This Row],[Prest. (m2 / jaar) werkdagen BSO]]/Ruimtestaat[[#This Row],[Norm (m2/uur) werkdagen]],0)</f>
        <v>0</v>
      </c>
      <c r="AD655" s="443">
        <f>Ruimtestaat[[#This Row],[uren / jaar werkdagen BSO]]*Tariefsopbouw!$E$35</f>
        <v>0</v>
      </c>
      <c r="AE655" s="444">
        <f>Ruimtestaat[[#This Row],[uren / jaar werkdagen]]*Tariefsopbouw!$E$35</f>
        <v>0</v>
      </c>
      <c r="AF655" s="454"/>
      <c r="AG655" s="455">
        <f>IF(Ruimtestaat[[#This Row],[Frequentie weekend]]&gt;0,VALUE(LEFT(AF655,1))*S655,0)</f>
        <v>0</v>
      </c>
      <c r="AH655" s="455">
        <f>IF($AG655&gt;0,VLOOKUP($J655,Ruimtegroepen[],3,FALSE)*VLOOKUP($L655,Vloersoorten[],3,FALSE)*VLOOKUP($AF655,Frequenties[],3,FALSE)*VLOOKUP(#REF!,Locaties[],3,FALSE),0)</f>
        <v>0</v>
      </c>
      <c r="AI655" s="434">
        <f>Ruimtestaat[[#This Row],[Uitvoeringen weekend]]*Ruimtestaat[[#This Row],[Oppervlak (netto)]]</f>
        <v>0</v>
      </c>
      <c r="AJ655" s="434">
        <f>IF(AH655&gt;0,Ruimtestaat[[#This Row],[Prest. (m2 /jaar) weekend]]/Ruimtestaat[[#This Row],[Norm (m2/uur) weekend]],0)</f>
        <v>0</v>
      </c>
      <c r="AK655" s="444">
        <f>Ruimtestaat[[#This Row],[uren / jaar weekend]]*Tariefsopbouw!$D$40</f>
        <v>0</v>
      </c>
      <c r="AL655" s="441">
        <f>Ruimtestaat[[#This Row],[Prest. (m2 /jaar) weekend]]+Ruimtestaat[[#This Row],[Prest. (m2 /jaar) werkdagen]]</f>
        <v>0</v>
      </c>
      <c r="AM655" s="441">
        <f>Ruimtestaat[[#This Row],[uren / jaar weekend]]+Ruimtestaat[[#This Row],[uren / jaar werkdagen]]</f>
        <v>0</v>
      </c>
      <c r="AN655" s="446">
        <f>Ruimtestaat[[#This Row],[kosten / jaar weekend]]+Ruimtestaat[[#This Row],[kosten / jaar werkdagen]]</f>
        <v>0</v>
      </c>
      <c r="AO655" s="446"/>
      <c r="AP655" s="446" t="str">
        <f>IF(Ruimtestaat[[#This Row],[Frequentie werkdagen]]="","",_xlfn.CONCAT(Ruimtestaat[[#This Row],[Ruimte code]],"-",Ruimtestaat[[#This Row],[Frequentie werkdagen]]," ",Ruimtestaat[[#This Row],[Vloer code]]))</f>
        <v/>
      </c>
      <c r="AQ655" s="448" t="str">
        <f>_xlfn.IFNA(VLOOKUP($AP655,Programma!$F$3:$G$1101,2,0),"")</f>
        <v/>
      </c>
      <c r="AR655" s="448" t="str">
        <f>_xlfn.IFNA(VLOOKUP($AP655,Programma!$F$3:$H$1101,3,0),"")</f>
        <v/>
      </c>
      <c r="AS655" s="448" t="str">
        <f>_xlfn.IFNA(VLOOKUP($AP655,Programma!$F$3:$I$1101,4,0),"")</f>
        <v/>
      </c>
      <c r="AT655" s="448" t="str">
        <f>_xlfn.IFNA(VLOOKUP($AP655,Programma!$F$3:$J$1101,5,0),"")</f>
        <v/>
      </c>
      <c r="AU655" s="448" t="str">
        <f>_xlfn.IFNA(VLOOKUP($AP655,Programma!$F$3:$K$1101,6,0),"")</f>
        <v/>
      </c>
      <c r="AV655" s="448" t="str">
        <f>_xlfn.IFNA(VLOOKUP($AP655,Programma!$F$3:$L$1101,7,0),"")</f>
        <v/>
      </c>
      <c r="AW655" s="448" t="str">
        <f>_xlfn.IFNA(VLOOKUP($AP655,Programma!$F$3:$M$1101,8,0),"")</f>
        <v/>
      </c>
      <c r="AX655" s="448" t="str">
        <f>_xlfn.IFNA(VLOOKUP($AP655,Programma!$F$3:$N$1101,9,0),"")</f>
        <v/>
      </c>
      <c r="AY655" s="448" t="str">
        <f>_xlfn.IFNA(VLOOKUP($AP655,Programma!$F$3:$O$1101,10,0),"")</f>
        <v/>
      </c>
      <c r="AZ655" s="448" t="str">
        <f>_xlfn.IFNA(VLOOKUP($AP655,Programma!$F$3:$P$1101,11,0),"")</f>
        <v/>
      </c>
      <c r="BA655" s="448" t="str">
        <f>_xlfn.IFNA(VLOOKUP($AP655,Programma!$F$3:$Q$1101,12,0),"")</f>
        <v/>
      </c>
      <c r="BB655" s="448" t="str">
        <f>_xlfn.IFNA(VLOOKUP($AP655,Programma!$F$3:$R$1101,13,0),"")</f>
        <v/>
      </c>
      <c r="BC655" s="448" t="str">
        <f>_xlfn.IFNA(VLOOKUP($AP655,Programma!$F$3:$S$1101,14,0),"")</f>
        <v/>
      </c>
      <c r="BD655" s="448" t="str">
        <f>_xlfn.IFNA(VLOOKUP($AP655,Programma!$F$3:$T$1101,15,0),"")</f>
        <v/>
      </c>
      <c r="BE655" s="448" t="str">
        <f>_xlfn.IFNA(VLOOKUP($AP655,Programma!$F$3:$U$1101,16,0),"")</f>
        <v/>
      </c>
      <c r="BF655" s="448" t="str">
        <f>_xlfn.IFNA(VLOOKUP($AP655,Programma!$F$3:$V$1101,17,0),"")</f>
        <v/>
      </c>
      <c r="BG655" s="448" t="str">
        <f>_xlfn.IFNA(VLOOKUP($AP655,Programma!$F$3:$W$1101,18,0),"")</f>
        <v/>
      </c>
      <c r="BH655" s="448" t="str">
        <f>_xlfn.IFNA(VLOOKUP($AP655,Programma!$F$3:$X$1101,19,0),"")</f>
        <v/>
      </c>
      <c r="BI655" s="448" t="str">
        <f>_xlfn.IFNA(VLOOKUP($AP655,Programma!$F$3:$Y$1101,20,0),"")</f>
        <v/>
      </c>
      <c r="BJ655" s="449"/>
      <c r="BK655" s="446" t="str">
        <f>IF(Ruimtestaat[[#This Row],[Frequentie weekend]]="","",_xlfn.CONCAT(Ruimtestaat[[#This Row],[Ruimte code]],"-",Ruimtestaat[[#This Row],[Frequentie weekend]]," ",Ruimtestaat[[#This Row],[Vloer code]]))</f>
        <v/>
      </c>
      <c r="BL655" s="448" t="str">
        <f>_xlfn.IFNA(VLOOKUP($BK655,Programma!$F$3:$G$1101,2,0),"")</f>
        <v/>
      </c>
      <c r="BM655" s="448" t="str">
        <f>_xlfn.IFNA(VLOOKUP($BK655,Programma!$F$3:$H$1101,3,0),"")</f>
        <v/>
      </c>
      <c r="BN655" s="448" t="str">
        <f>_xlfn.IFNA(VLOOKUP($BK655,Programma!$F$3:$I$1101,4,0),"")</f>
        <v/>
      </c>
      <c r="BO655" s="448" t="str">
        <f>_xlfn.IFNA(VLOOKUP($BK655,Programma!$F$3:$J$1101,5,0),"")</f>
        <v/>
      </c>
      <c r="BP655" s="448" t="str">
        <f>_xlfn.IFNA(VLOOKUP($BK655,Programma!$F$3:$K$1101,6,0),"")</f>
        <v/>
      </c>
      <c r="BQ655" s="448" t="str">
        <f>_xlfn.IFNA(VLOOKUP($BK655,Programma!$F$3:$L$1101,7,0),"")</f>
        <v/>
      </c>
      <c r="BR655" s="448" t="str">
        <f>_xlfn.IFNA(VLOOKUP($BK655,Programma!$F$3:$M$1101,8,0),"")</f>
        <v/>
      </c>
      <c r="BS655" s="448" t="str">
        <f>_xlfn.IFNA(VLOOKUP($BK655,Programma!$F$3:$N$1101,9,0),"")</f>
        <v/>
      </c>
      <c r="BT655" s="448" t="str">
        <f>_xlfn.IFNA(VLOOKUP($BK655,Programma!$F$3:$O$1101,10,0),"")</f>
        <v/>
      </c>
      <c r="BU655" s="448" t="str">
        <f>_xlfn.IFNA(VLOOKUP($BK655,Programma!$F$3:$P$1101,11,0),"")</f>
        <v/>
      </c>
      <c r="BV655" s="448" t="str">
        <f>_xlfn.IFNA(VLOOKUP($BK655,Programma!$F$3:$Q$1101,12,0),"")</f>
        <v/>
      </c>
      <c r="BW655" s="448" t="str">
        <f>_xlfn.IFNA(VLOOKUP($BK655,Programma!$F$3:$R$1101,13,0),"")</f>
        <v/>
      </c>
      <c r="BX655" s="448" t="str">
        <f>_xlfn.IFNA(VLOOKUP($BK655,Programma!$F$3:$S$1101,14,0),"")</f>
        <v/>
      </c>
      <c r="BY655" s="448" t="str">
        <f>_xlfn.IFNA(VLOOKUP($BK655,Programma!$F$3:$T$1101,15,0),"")</f>
        <v/>
      </c>
      <c r="BZ655" s="448" t="str">
        <f>_xlfn.IFNA(VLOOKUP($BK655,Programma!$F$3:$U$1101,16,0),"")</f>
        <v/>
      </c>
      <c r="CA655" s="448" t="str">
        <f>_xlfn.IFNA(VLOOKUP($BK655,Programma!$F$3:$V$1101,17,0),"")</f>
        <v/>
      </c>
      <c r="CB655" s="448" t="str">
        <f>_xlfn.IFNA(VLOOKUP($BK655,Programma!$F$3:$W$1101,18,0),"")</f>
        <v/>
      </c>
      <c r="CC655" s="448" t="str">
        <f>_xlfn.IFNA(VLOOKUP($BK655,Programma!$F$3:$X$1101,19,0),"")</f>
        <v/>
      </c>
      <c r="CD655" s="448" t="str">
        <f>_xlfn.IFNA(VLOOKUP($BK655,Programma!$F$3:$Y$1101,20,0),"")</f>
        <v/>
      </c>
    </row>
    <row r="656" spans="1:82" ht="15" customHeight="1">
      <c r="A656" s="327">
        <v>15</v>
      </c>
      <c r="B656" s="435" t="str">
        <f>VLOOKUP(Ruimtestaat[[#This Row],[Code]],Locaties[[Code]:[Locatie]],2,FALSE)</f>
        <v>IKC  Da Vinci</v>
      </c>
      <c r="C656" s="435" t="str">
        <f>VLOOKUP(Ruimtestaat[[#This Row],[Code]],Locaties[[#All],[Code]:[Adres]],4,FALSE)</f>
        <v>Spitsbergen 17</v>
      </c>
      <c r="D656" s="435" t="str">
        <f>VLOOKUP(Ruimtestaat[[#This Row],[Code]],Locaties[[#All],[Code]:[Postcode]],5,FALSE)</f>
        <v>2721 GP</v>
      </c>
      <c r="E656" s="435" t="str">
        <f>VLOOKUP(Ruimtestaat[[#This Row],[Code]],Locaties[#All],6,FALSE)</f>
        <v>Zoetermeer</v>
      </c>
      <c r="F656" s="330" t="s">
        <v>2154</v>
      </c>
      <c r="I656" s="450" t="s">
        <v>1975</v>
      </c>
      <c r="J656" s="330">
        <v>20</v>
      </c>
      <c r="K656" s="450" t="str">
        <f>VLOOKUP(Ruimtestaat[[#This Row],[Ruimte code]],Ruimtegroepen[[#All],[Code]:[Ruimte omschrijving]],2,FALSE)</f>
        <v>Niet in Onderhoud</v>
      </c>
      <c r="M656" s="330"/>
      <c r="N656" s="439"/>
      <c r="O656" s="439">
        <v>158</v>
      </c>
      <c r="P656" s="439"/>
      <c r="Q656" s="439"/>
      <c r="R656" s="440">
        <f>VLOOKUP(Ruimtestaat[[#This Row],[Ruimte code]],Ruimtegroepen[],4,FALSE)</f>
        <v>0</v>
      </c>
      <c r="S656" s="434"/>
      <c r="T656" s="434"/>
      <c r="U656" s="453">
        <f>IF(S656&gt;0,IF(RIGHT(Ruimtestaat[[#This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56" s="434">
        <f>IF(U656&gt;0,VLOOKUP($J656,Ruimtegroepen[],3,FALSE)*VLOOKUP($L656,Vloersoorten[],3,FALSE)*VLOOKUP($T656,Frequenties[],3,FALSE)*VLOOKUP($A656,Locaties[],3,FALSE),0)</f>
        <v>0</v>
      </c>
      <c r="W656" s="434">
        <f>Ruimtestaat[[#This Row],[Uitvoeringen werkdagen]]*Ruimtestaat[[#This Row],[Oppervlak (netto)]]</f>
        <v>0</v>
      </c>
      <c r="X656" s="441">
        <f>IF(V656&gt;0,Ruimtestaat[[#This Row],[Prest. (m2 /jaar) werkdagen]]/Ruimtestaat[[#This Row],[Norm (m2/uur) werkdagen]],0)</f>
        <v>0</v>
      </c>
      <c r="Y656" s="442">
        <f>Ruimtestaat[[#This Row],[Uitvoeringen werkdagen]]*Ruimtestaat[[#This Row],[Gedeeltelijk]]</f>
        <v>0</v>
      </c>
      <c r="Z656" s="443">
        <f>IF(U656&gt;0,Ruimtestaat[[#This Row],[Prest. (m2 / jaar) werkdagen gedeeld]]/Ruimtestaat[[#This Row],[Norm (m2/uur) werkdagen]],0)</f>
        <v>0</v>
      </c>
      <c r="AA656" s="441">
        <f>Ruimtestaat[[#This Row],[uren / jaar werkdagen gedeeld]]*Tariefsopbouw!$E$35</f>
        <v>0</v>
      </c>
      <c r="AB656" s="441">
        <f>Ruimtestaat[[#This Row],[Uitvoeringen werkdagen]]*Ruimtestaat[[#This Row],[BSO]]</f>
        <v>0</v>
      </c>
      <c r="AC656" s="443">
        <f>IF(U656&gt;0,Ruimtestaat[[#This Row],[Prest. (m2 / jaar) werkdagen BSO]]/Ruimtestaat[[#This Row],[Norm (m2/uur) werkdagen]],0)</f>
        <v>0</v>
      </c>
      <c r="AD656" s="443">
        <f>Ruimtestaat[[#This Row],[uren / jaar werkdagen BSO]]*Tariefsopbouw!$E$35</f>
        <v>0</v>
      </c>
      <c r="AE656" s="444">
        <f>Ruimtestaat[[#This Row],[uren / jaar werkdagen]]*Tariefsopbouw!$E$35</f>
        <v>0</v>
      </c>
      <c r="AF656" s="454"/>
      <c r="AG656" s="455">
        <f>IF(Ruimtestaat[[#This Row],[Frequentie weekend]]&gt;0,VALUE(LEFT(AF656,1))*S656,0)</f>
        <v>0</v>
      </c>
      <c r="AH656" s="455">
        <f>IF($AG656&gt;0,VLOOKUP($J656,Ruimtegroepen[],3,FALSE)*VLOOKUP($L656,Vloersoorten[],3,FALSE)*VLOOKUP($AF656,Frequenties[],3,FALSE)*VLOOKUP(#REF!,Locaties[],3,FALSE),0)</f>
        <v>0</v>
      </c>
      <c r="AI656" s="434">
        <f>Ruimtestaat[[#This Row],[Uitvoeringen weekend]]*Ruimtestaat[[#This Row],[Oppervlak (netto)]]</f>
        <v>0</v>
      </c>
      <c r="AJ656" s="434">
        <f>IF(AH656&gt;0,Ruimtestaat[[#This Row],[Prest. (m2 /jaar) weekend]]/Ruimtestaat[[#This Row],[Norm (m2/uur) weekend]],0)</f>
        <v>0</v>
      </c>
      <c r="AK656" s="444">
        <f>Ruimtestaat[[#This Row],[uren / jaar weekend]]*Tariefsopbouw!$D$40</f>
        <v>0</v>
      </c>
      <c r="AL656" s="441">
        <f>Ruimtestaat[[#This Row],[Prest. (m2 /jaar) weekend]]+Ruimtestaat[[#This Row],[Prest. (m2 /jaar) werkdagen]]</f>
        <v>0</v>
      </c>
      <c r="AM656" s="441">
        <f>Ruimtestaat[[#This Row],[uren / jaar weekend]]+Ruimtestaat[[#This Row],[uren / jaar werkdagen]]</f>
        <v>0</v>
      </c>
      <c r="AN656" s="446">
        <f>Ruimtestaat[[#This Row],[kosten / jaar weekend]]+Ruimtestaat[[#This Row],[kosten / jaar werkdagen]]</f>
        <v>0</v>
      </c>
      <c r="AO656" s="446"/>
      <c r="AP656" s="446" t="str">
        <f>IF(Ruimtestaat[[#This Row],[Frequentie werkdagen]]="","",_xlfn.CONCAT(Ruimtestaat[[#This Row],[Ruimte code]],"-",Ruimtestaat[[#This Row],[Frequentie werkdagen]]," ",Ruimtestaat[[#This Row],[Vloer code]]))</f>
        <v/>
      </c>
      <c r="AQ656" s="448" t="str">
        <f>_xlfn.IFNA(VLOOKUP($AP656,Programma!$F$3:$G$1101,2,0),"")</f>
        <v/>
      </c>
      <c r="AR656" s="448" t="str">
        <f>_xlfn.IFNA(VLOOKUP($AP656,Programma!$F$3:$H$1101,3,0),"")</f>
        <v/>
      </c>
      <c r="AS656" s="448" t="str">
        <f>_xlfn.IFNA(VLOOKUP($AP656,Programma!$F$3:$I$1101,4,0),"")</f>
        <v/>
      </c>
      <c r="AT656" s="448" t="str">
        <f>_xlfn.IFNA(VLOOKUP($AP656,Programma!$F$3:$J$1101,5,0),"")</f>
        <v/>
      </c>
      <c r="AU656" s="448" t="str">
        <f>_xlfn.IFNA(VLOOKUP($AP656,Programma!$F$3:$K$1101,6,0),"")</f>
        <v/>
      </c>
      <c r="AV656" s="448" t="str">
        <f>_xlfn.IFNA(VLOOKUP($AP656,Programma!$F$3:$L$1101,7,0),"")</f>
        <v/>
      </c>
      <c r="AW656" s="448" t="str">
        <f>_xlfn.IFNA(VLOOKUP($AP656,Programma!$F$3:$M$1101,8,0),"")</f>
        <v/>
      </c>
      <c r="AX656" s="448" t="str">
        <f>_xlfn.IFNA(VLOOKUP($AP656,Programma!$F$3:$N$1101,9,0),"")</f>
        <v/>
      </c>
      <c r="AY656" s="448" t="str">
        <f>_xlfn.IFNA(VLOOKUP($AP656,Programma!$F$3:$O$1101,10,0),"")</f>
        <v/>
      </c>
      <c r="AZ656" s="448" t="str">
        <f>_xlfn.IFNA(VLOOKUP($AP656,Programma!$F$3:$P$1101,11,0),"")</f>
        <v/>
      </c>
      <c r="BA656" s="448" t="str">
        <f>_xlfn.IFNA(VLOOKUP($AP656,Programma!$F$3:$Q$1101,12,0),"")</f>
        <v/>
      </c>
      <c r="BB656" s="448" t="str">
        <f>_xlfn.IFNA(VLOOKUP($AP656,Programma!$F$3:$R$1101,13,0),"")</f>
        <v/>
      </c>
      <c r="BC656" s="448" t="str">
        <f>_xlfn.IFNA(VLOOKUP($AP656,Programma!$F$3:$S$1101,14,0),"")</f>
        <v/>
      </c>
      <c r="BD656" s="448" t="str">
        <f>_xlfn.IFNA(VLOOKUP($AP656,Programma!$F$3:$T$1101,15,0),"")</f>
        <v/>
      </c>
      <c r="BE656" s="448" t="str">
        <f>_xlfn.IFNA(VLOOKUP($AP656,Programma!$F$3:$U$1101,16,0),"")</f>
        <v/>
      </c>
      <c r="BF656" s="448" t="str">
        <f>_xlfn.IFNA(VLOOKUP($AP656,Programma!$F$3:$V$1101,17,0),"")</f>
        <v/>
      </c>
      <c r="BG656" s="448" t="str">
        <f>_xlfn.IFNA(VLOOKUP($AP656,Programma!$F$3:$W$1101,18,0),"")</f>
        <v/>
      </c>
      <c r="BH656" s="448" t="str">
        <f>_xlfn.IFNA(VLOOKUP($AP656,Programma!$F$3:$X$1101,19,0),"")</f>
        <v/>
      </c>
      <c r="BI656" s="448" t="str">
        <f>_xlfn.IFNA(VLOOKUP($AP656,Programma!$F$3:$Y$1101,20,0),"")</f>
        <v/>
      </c>
      <c r="BJ656" s="449"/>
      <c r="BK656" s="446" t="str">
        <f>IF(Ruimtestaat[[#This Row],[Frequentie weekend]]="","",_xlfn.CONCAT(Ruimtestaat[[#This Row],[Ruimte code]],"-",Ruimtestaat[[#This Row],[Frequentie weekend]]," ",Ruimtestaat[[#This Row],[Vloer code]]))</f>
        <v/>
      </c>
      <c r="BL656" s="448" t="str">
        <f>_xlfn.IFNA(VLOOKUP($BK656,Programma!$F$3:$G$1101,2,0),"")</f>
        <v/>
      </c>
      <c r="BM656" s="448" t="str">
        <f>_xlfn.IFNA(VLOOKUP($BK656,Programma!$F$3:$H$1101,3,0),"")</f>
        <v/>
      </c>
      <c r="BN656" s="448" t="str">
        <f>_xlfn.IFNA(VLOOKUP($BK656,Programma!$F$3:$I$1101,4,0),"")</f>
        <v/>
      </c>
      <c r="BO656" s="448" t="str">
        <f>_xlfn.IFNA(VLOOKUP($BK656,Programma!$F$3:$J$1101,5,0),"")</f>
        <v/>
      </c>
      <c r="BP656" s="448" t="str">
        <f>_xlfn.IFNA(VLOOKUP($BK656,Programma!$F$3:$K$1101,6,0),"")</f>
        <v/>
      </c>
      <c r="BQ656" s="448" t="str">
        <f>_xlfn.IFNA(VLOOKUP($BK656,Programma!$F$3:$L$1101,7,0),"")</f>
        <v/>
      </c>
      <c r="BR656" s="448" t="str">
        <f>_xlfn.IFNA(VLOOKUP($BK656,Programma!$F$3:$M$1101,8,0),"")</f>
        <v/>
      </c>
      <c r="BS656" s="448" t="str">
        <f>_xlfn.IFNA(VLOOKUP($BK656,Programma!$F$3:$N$1101,9,0),"")</f>
        <v/>
      </c>
      <c r="BT656" s="448" t="str">
        <f>_xlfn.IFNA(VLOOKUP($BK656,Programma!$F$3:$O$1101,10,0),"")</f>
        <v/>
      </c>
      <c r="BU656" s="448" t="str">
        <f>_xlfn.IFNA(VLOOKUP($BK656,Programma!$F$3:$P$1101,11,0),"")</f>
        <v/>
      </c>
      <c r="BV656" s="448" t="str">
        <f>_xlfn.IFNA(VLOOKUP($BK656,Programma!$F$3:$Q$1101,12,0),"")</f>
        <v/>
      </c>
      <c r="BW656" s="448" t="str">
        <f>_xlfn.IFNA(VLOOKUP($BK656,Programma!$F$3:$R$1101,13,0),"")</f>
        <v/>
      </c>
      <c r="BX656" s="448" t="str">
        <f>_xlfn.IFNA(VLOOKUP($BK656,Programma!$F$3:$S$1101,14,0),"")</f>
        <v/>
      </c>
      <c r="BY656" s="448" t="str">
        <f>_xlfn.IFNA(VLOOKUP($BK656,Programma!$F$3:$T$1101,15,0),"")</f>
        <v/>
      </c>
      <c r="BZ656" s="448" t="str">
        <f>_xlfn.IFNA(VLOOKUP($BK656,Programma!$F$3:$U$1101,16,0),"")</f>
        <v/>
      </c>
      <c r="CA656" s="448" t="str">
        <f>_xlfn.IFNA(VLOOKUP($BK656,Programma!$F$3:$V$1101,17,0),"")</f>
        <v/>
      </c>
      <c r="CB656" s="448" t="str">
        <f>_xlfn.IFNA(VLOOKUP($BK656,Programma!$F$3:$W$1101,18,0),"")</f>
        <v/>
      </c>
      <c r="CC656" s="448" t="str">
        <f>_xlfn.IFNA(VLOOKUP($BK656,Programma!$F$3:$X$1101,19,0),"")</f>
        <v/>
      </c>
      <c r="CD656" s="448" t="str">
        <f>_xlfn.IFNA(VLOOKUP($BK656,Programma!$F$3:$Y$1101,20,0),"")</f>
        <v/>
      </c>
    </row>
    <row r="657" spans="1:82" ht="15" customHeight="1">
      <c r="A657" s="327">
        <v>15</v>
      </c>
      <c r="B657" s="435" t="str">
        <f>VLOOKUP(Ruimtestaat[[#This Row],[Code]],Locaties[[Code]:[Locatie]],2,FALSE)</f>
        <v>IKC  Da Vinci</v>
      </c>
      <c r="C657" s="435" t="str">
        <f>VLOOKUP(Ruimtestaat[[#This Row],[Code]],Locaties[[#All],[Code]:[Adres]],4,FALSE)</f>
        <v>Spitsbergen 17</v>
      </c>
      <c r="D657" s="435" t="str">
        <f>VLOOKUP(Ruimtestaat[[#This Row],[Code]],Locaties[[#All],[Code]:[Postcode]],5,FALSE)</f>
        <v>2721 GP</v>
      </c>
      <c r="E657" s="435" t="str">
        <f>VLOOKUP(Ruimtestaat[[#This Row],[Code]],Locaties[#All],6,FALSE)</f>
        <v>Zoetermeer</v>
      </c>
      <c r="F657" s="330" t="s">
        <v>2154</v>
      </c>
      <c r="I657" s="450" t="s">
        <v>1865</v>
      </c>
      <c r="J657" s="330">
        <v>20</v>
      </c>
      <c r="K657" s="450" t="str">
        <f>VLOOKUP(Ruimtestaat[[#This Row],[Ruimte code]],Ruimtegroepen[[#All],[Code]:[Ruimte omschrijving]],2,FALSE)</f>
        <v>Niet in Onderhoud</v>
      </c>
      <c r="M657" s="330"/>
      <c r="N657" s="439"/>
      <c r="O657" s="439">
        <v>18</v>
      </c>
      <c r="P657" s="439"/>
      <c r="Q657" s="439"/>
      <c r="R657" s="440">
        <f>VLOOKUP(Ruimtestaat[[#This Row],[Ruimte code]],Ruimtegroepen[],4,FALSE)</f>
        <v>0</v>
      </c>
      <c r="S657" s="434"/>
      <c r="T657" s="434"/>
      <c r="U657" s="453">
        <f>IF(S657&gt;0,IF(RIGHT(Ruimtestaat[[#This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57" s="434">
        <f>IF(U657&gt;0,VLOOKUP($J657,Ruimtegroepen[],3,FALSE)*VLOOKUP($L657,Vloersoorten[],3,FALSE)*VLOOKUP($T657,Frequenties[],3,FALSE)*VLOOKUP($A657,Locaties[],3,FALSE),0)</f>
        <v>0</v>
      </c>
      <c r="W657" s="434">
        <f>Ruimtestaat[[#This Row],[Uitvoeringen werkdagen]]*Ruimtestaat[[#This Row],[Oppervlak (netto)]]</f>
        <v>0</v>
      </c>
      <c r="X657" s="441">
        <f>IF(V657&gt;0,Ruimtestaat[[#This Row],[Prest. (m2 /jaar) werkdagen]]/Ruimtestaat[[#This Row],[Norm (m2/uur) werkdagen]],0)</f>
        <v>0</v>
      </c>
      <c r="Y657" s="442">
        <f>Ruimtestaat[[#This Row],[Uitvoeringen werkdagen]]*Ruimtestaat[[#This Row],[Gedeeltelijk]]</f>
        <v>0</v>
      </c>
      <c r="Z657" s="443">
        <f>IF(U657&gt;0,Ruimtestaat[[#This Row],[Prest. (m2 / jaar) werkdagen gedeeld]]/Ruimtestaat[[#This Row],[Norm (m2/uur) werkdagen]],0)</f>
        <v>0</v>
      </c>
      <c r="AA657" s="441">
        <f>Ruimtestaat[[#This Row],[uren / jaar werkdagen gedeeld]]*Tariefsopbouw!$E$35</f>
        <v>0</v>
      </c>
      <c r="AB657" s="441">
        <f>Ruimtestaat[[#This Row],[Uitvoeringen werkdagen]]*Ruimtestaat[[#This Row],[BSO]]</f>
        <v>0</v>
      </c>
      <c r="AC657" s="443">
        <f>IF(U657&gt;0,Ruimtestaat[[#This Row],[Prest. (m2 / jaar) werkdagen BSO]]/Ruimtestaat[[#This Row],[Norm (m2/uur) werkdagen]],0)</f>
        <v>0</v>
      </c>
      <c r="AD657" s="443">
        <f>Ruimtestaat[[#This Row],[uren / jaar werkdagen BSO]]*Tariefsopbouw!$E$35</f>
        <v>0</v>
      </c>
      <c r="AE657" s="444">
        <f>Ruimtestaat[[#This Row],[uren / jaar werkdagen]]*Tariefsopbouw!$E$35</f>
        <v>0</v>
      </c>
      <c r="AF657" s="454"/>
      <c r="AG657" s="455">
        <f>IF(Ruimtestaat[[#This Row],[Frequentie weekend]]&gt;0,VALUE(LEFT(AF657,1))*S657,0)</f>
        <v>0</v>
      </c>
      <c r="AH657" s="455">
        <f>IF($AG657&gt;0,VLOOKUP($J657,Ruimtegroepen[],3,FALSE)*VLOOKUP($L657,Vloersoorten[],3,FALSE)*VLOOKUP($AF657,Frequenties[],3,FALSE)*VLOOKUP(#REF!,Locaties[],3,FALSE),0)</f>
        <v>0</v>
      </c>
      <c r="AI657" s="434">
        <f>Ruimtestaat[[#This Row],[Uitvoeringen weekend]]*Ruimtestaat[[#This Row],[Oppervlak (netto)]]</f>
        <v>0</v>
      </c>
      <c r="AJ657" s="434">
        <f>IF(AH657&gt;0,Ruimtestaat[[#This Row],[Prest. (m2 /jaar) weekend]]/Ruimtestaat[[#This Row],[Norm (m2/uur) weekend]],0)</f>
        <v>0</v>
      </c>
      <c r="AK657" s="444">
        <f>Ruimtestaat[[#This Row],[uren / jaar weekend]]*Tariefsopbouw!$D$40</f>
        <v>0</v>
      </c>
      <c r="AL657" s="441">
        <f>Ruimtestaat[[#This Row],[Prest. (m2 /jaar) weekend]]+Ruimtestaat[[#This Row],[Prest. (m2 /jaar) werkdagen]]</f>
        <v>0</v>
      </c>
      <c r="AM657" s="441">
        <f>Ruimtestaat[[#This Row],[uren / jaar weekend]]+Ruimtestaat[[#This Row],[uren / jaar werkdagen]]</f>
        <v>0</v>
      </c>
      <c r="AN657" s="446">
        <f>Ruimtestaat[[#This Row],[kosten / jaar weekend]]+Ruimtestaat[[#This Row],[kosten / jaar werkdagen]]</f>
        <v>0</v>
      </c>
      <c r="AO657" s="446"/>
      <c r="AP657" s="446" t="str">
        <f>IF(Ruimtestaat[[#This Row],[Frequentie werkdagen]]="","",_xlfn.CONCAT(Ruimtestaat[[#This Row],[Ruimte code]],"-",Ruimtestaat[[#This Row],[Frequentie werkdagen]]," ",Ruimtestaat[[#This Row],[Vloer code]]))</f>
        <v/>
      </c>
      <c r="AQ657" s="448" t="str">
        <f>_xlfn.IFNA(VLOOKUP($AP657,Programma!$F$3:$G$1101,2,0),"")</f>
        <v/>
      </c>
      <c r="AR657" s="448" t="str">
        <f>_xlfn.IFNA(VLOOKUP($AP657,Programma!$F$3:$H$1101,3,0),"")</f>
        <v/>
      </c>
      <c r="AS657" s="448" t="str">
        <f>_xlfn.IFNA(VLOOKUP($AP657,Programma!$F$3:$I$1101,4,0),"")</f>
        <v/>
      </c>
      <c r="AT657" s="448" t="str">
        <f>_xlfn.IFNA(VLOOKUP($AP657,Programma!$F$3:$J$1101,5,0),"")</f>
        <v/>
      </c>
      <c r="AU657" s="448" t="str">
        <f>_xlfn.IFNA(VLOOKUP($AP657,Programma!$F$3:$K$1101,6,0),"")</f>
        <v/>
      </c>
      <c r="AV657" s="448" t="str">
        <f>_xlfn.IFNA(VLOOKUP($AP657,Programma!$F$3:$L$1101,7,0),"")</f>
        <v/>
      </c>
      <c r="AW657" s="448" t="str">
        <f>_xlfn.IFNA(VLOOKUP($AP657,Programma!$F$3:$M$1101,8,0),"")</f>
        <v/>
      </c>
      <c r="AX657" s="448" t="str">
        <f>_xlfn.IFNA(VLOOKUP($AP657,Programma!$F$3:$N$1101,9,0),"")</f>
        <v/>
      </c>
      <c r="AY657" s="448" t="str">
        <f>_xlfn.IFNA(VLOOKUP($AP657,Programma!$F$3:$O$1101,10,0),"")</f>
        <v/>
      </c>
      <c r="AZ657" s="448" t="str">
        <f>_xlfn.IFNA(VLOOKUP($AP657,Programma!$F$3:$P$1101,11,0),"")</f>
        <v/>
      </c>
      <c r="BA657" s="448" t="str">
        <f>_xlfn.IFNA(VLOOKUP($AP657,Programma!$F$3:$Q$1101,12,0),"")</f>
        <v/>
      </c>
      <c r="BB657" s="448" t="str">
        <f>_xlfn.IFNA(VLOOKUP($AP657,Programma!$F$3:$R$1101,13,0),"")</f>
        <v/>
      </c>
      <c r="BC657" s="448" t="str">
        <f>_xlfn.IFNA(VLOOKUP($AP657,Programma!$F$3:$S$1101,14,0),"")</f>
        <v/>
      </c>
      <c r="BD657" s="448" t="str">
        <f>_xlfn.IFNA(VLOOKUP($AP657,Programma!$F$3:$T$1101,15,0),"")</f>
        <v/>
      </c>
      <c r="BE657" s="448" t="str">
        <f>_xlfn.IFNA(VLOOKUP($AP657,Programma!$F$3:$U$1101,16,0),"")</f>
        <v/>
      </c>
      <c r="BF657" s="448" t="str">
        <f>_xlfn.IFNA(VLOOKUP($AP657,Programma!$F$3:$V$1101,17,0),"")</f>
        <v/>
      </c>
      <c r="BG657" s="448" t="str">
        <f>_xlfn.IFNA(VLOOKUP($AP657,Programma!$F$3:$W$1101,18,0),"")</f>
        <v/>
      </c>
      <c r="BH657" s="448" t="str">
        <f>_xlfn.IFNA(VLOOKUP($AP657,Programma!$F$3:$X$1101,19,0),"")</f>
        <v/>
      </c>
      <c r="BI657" s="448" t="str">
        <f>_xlfn.IFNA(VLOOKUP($AP657,Programma!$F$3:$Y$1101,20,0),"")</f>
        <v/>
      </c>
      <c r="BJ657" s="449"/>
      <c r="BK657" s="446" t="str">
        <f>IF(Ruimtestaat[[#This Row],[Frequentie weekend]]="","",_xlfn.CONCAT(Ruimtestaat[[#This Row],[Ruimte code]],"-",Ruimtestaat[[#This Row],[Frequentie weekend]]," ",Ruimtestaat[[#This Row],[Vloer code]]))</f>
        <v/>
      </c>
      <c r="BL657" s="448" t="str">
        <f>_xlfn.IFNA(VLOOKUP($BK657,Programma!$F$3:$G$1101,2,0),"")</f>
        <v/>
      </c>
      <c r="BM657" s="448" t="str">
        <f>_xlfn.IFNA(VLOOKUP($BK657,Programma!$F$3:$H$1101,3,0),"")</f>
        <v/>
      </c>
      <c r="BN657" s="448" t="str">
        <f>_xlfn.IFNA(VLOOKUP($BK657,Programma!$F$3:$I$1101,4,0),"")</f>
        <v/>
      </c>
      <c r="BO657" s="448" t="str">
        <f>_xlfn.IFNA(VLOOKUP($BK657,Programma!$F$3:$J$1101,5,0),"")</f>
        <v/>
      </c>
      <c r="BP657" s="448" t="str">
        <f>_xlfn.IFNA(VLOOKUP($BK657,Programma!$F$3:$K$1101,6,0),"")</f>
        <v/>
      </c>
      <c r="BQ657" s="448" t="str">
        <f>_xlfn.IFNA(VLOOKUP($BK657,Programma!$F$3:$L$1101,7,0),"")</f>
        <v/>
      </c>
      <c r="BR657" s="448" t="str">
        <f>_xlfn.IFNA(VLOOKUP($BK657,Programma!$F$3:$M$1101,8,0),"")</f>
        <v/>
      </c>
      <c r="BS657" s="448" t="str">
        <f>_xlfn.IFNA(VLOOKUP($BK657,Programma!$F$3:$N$1101,9,0),"")</f>
        <v/>
      </c>
      <c r="BT657" s="448" t="str">
        <f>_xlfn.IFNA(VLOOKUP($BK657,Programma!$F$3:$O$1101,10,0),"")</f>
        <v/>
      </c>
      <c r="BU657" s="448" t="str">
        <f>_xlfn.IFNA(VLOOKUP($BK657,Programma!$F$3:$P$1101,11,0),"")</f>
        <v/>
      </c>
      <c r="BV657" s="448" t="str">
        <f>_xlfn.IFNA(VLOOKUP($BK657,Programma!$F$3:$Q$1101,12,0),"")</f>
        <v/>
      </c>
      <c r="BW657" s="448" t="str">
        <f>_xlfn.IFNA(VLOOKUP($BK657,Programma!$F$3:$R$1101,13,0),"")</f>
        <v/>
      </c>
      <c r="BX657" s="448" t="str">
        <f>_xlfn.IFNA(VLOOKUP($BK657,Programma!$F$3:$S$1101,14,0),"")</f>
        <v/>
      </c>
      <c r="BY657" s="448" t="str">
        <f>_xlfn.IFNA(VLOOKUP($BK657,Programma!$F$3:$T$1101,15,0),"")</f>
        <v/>
      </c>
      <c r="BZ657" s="448" t="str">
        <f>_xlfn.IFNA(VLOOKUP($BK657,Programma!$F$3:$U$1101,16,0),"")</f>
        <v/>
      </c>
      <c r="CA657" s="448" t="str">
        <f>_xlfn.IFNA(VLOOKUP($BK657,Programma!$F$3:$V$1101,17,0),"")</f>
        <v/>
      </c>
      <c r="CB657" s="448" t="str">
        <f>_xlfn.IFNA(VLOOKUP($BK657,Programma!$F$3:$W$1101,18,0),"")</f>
        <v/>
      </c>
      <c r="CC657" s="448" t="str">
        <f>_xlfn.IFNA(VLOOKUP($BK657,Programma!$F$3:$X$1101,19,0),"")</f>
        <v/>
      </c>
      <c r="CD657" s="448" t="str">
        <f>_xlfn.IFNA(VLOOKUP($BK657,Programma!$F$3:$Y$1101,20,0),"")</f>
        <v/>
      </c>
    </row>
    <row r="658" spans="1:82" ht="15" customHeight="1">
      <c r="A658" s="327">
        <v>15</v>
      </c>
      <c r="B658" s="435" t="str">
        <f>VLOOKUP(Ruimtestaat[[#This Row],[Code]],Locaties[[Code]:[Locatie]],2,FALSE)</f>
        <v>IKC  Da Vinci</v>
      </c>
      <c r="C658" s="435" t="str">
        <f>VLOOKUP(Ruimtestaat[[#This Row],[Code]],Locaties[[#All],[Code]:[Adres]],4,FALSE)</f>
        <v>Spitsbergen 17</v>
      </c>
      <c r="D658" s="435" t="str">
        <f>VLOOKUP(Ruimtestaat[[#This Row],[Code]],Locaties[[#All],[Code]:[Postcode]],5,FALSE)</f>
        <v>2721 GP</v>
      </c>
      <c r="E658" s="435" t="str">
        <f>VLOOKUP(Ruimtestaat[[#This Row],[Code]],Locaties[#All],6,FALSE)</f>
        <v>Zoetermeer</v>
      </c>
      <c r="F658" s="330" t="s">
        <v>2154</v>
      </c>
      <c r="I658" s="450" t="s">
        <v>1976</v>
      </c>
      <c r="J658" s="330">
        <v>20</v>
      </c>
      <c r="K658" s="450" t="str">
        <f>VLOOKUP(Ruimtestaat[[#This Row],[Ruimte code]],Ruimtegroepen[[#All],[Code]:[Ruimte omschrijving]],2,FALSE)</f>
        <v>Niet in Onderhoud</v>
      </c>
      <c r="M658" s="330"/>
      <c r="N658" s="439"/>
      <c r="O658" s="439">
        <v>22</v>
      </c>
      <c r="P658" s="439"/>
      <c r="Q658" s="439"/>
      <c r="R658" s="440">
        <f>VLOOKUP(Ruimtestaat[[#This Row],[Ruimte code]],Ruimtegroepen[],4,FALSE)</f>
        <v>0</v>
      </c>
      <c r="S658" s="434"/>
      <c r="T658" s="434"/>
      <c r="U658" s="453">
        <f>IF(S658&gt;0,IF(RIGHT(Ruimtestaat[[#This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58" s="434">
        <f>IF(U658&gt;0,VLOOKUP($J658,Ruimtegroepen[],3,FALSE)*VLOOKUP($L658,Vloersoorten[],3,FALSE)*VLOOKUP($T658,Frequenties[],3,FALSE)*VLOOKUP($A658,Locaties[],3,FALSE),0)</f>
        <v>0</v>
      </c>
      <c r="W658" s="434">
        <f>Ruimtestaat[[#This Row],[Uitvoeringen werkdagen]]*Ruimtestaat[[#This Row],[Oppervlak (netto)]]</f>
        <v>0</v>
      </c>
      <c r="X658" s="441">
        <f>IF(V658&gt;0,Ruimtestaat[[#This Row],[Prest. (m2 /jaar) werkdagen]]/Ruimtestaat[[#This Row],[Norm (m2/uur) werkdagen]],0)</f>
        <v>0</v>
      </c>
      <c r="Y658" s="442">
        <f>Ruimtestaat[[#This Row],[Uitvoeringen werkdagen]]*Ruimtestaat[[#This Row],[Gedeeltelijk]]</f>
        <v>0</v>
      </c>
      <c r="Z658" s="443">
        <f>IF(U658&gt;0,Ruimtestaat[[#This Row],[Prest. (m2 / jaar) werkdagen gedeeld]]/Ruimtestaat[[#This Row],[Norm (m2/uur) werkdagen]],0)</f>
        <v>0</v>
      </c>
      <c r="AA658" s="441">
        <f>Ruimtestaat[[#This Row],[uren / jaar werkdagen gedeeld]]*Tariefsopbouw!$E$35</f>
        <v>0</v>
      </c>
      <c r="AB658" s="441">
        <f>Ruimtestaat[[#This Row],[Uitvoeringen werkdagen]]*Ruimtestaat[[#This Row],[BSO]]</f>
        <v>0</v>
      </c>
      <c r="AC658" s="443">
        <f>IF(U658&gt;0,Ruimtestaat[[#This Row],[Prest. (m2 / jaar) werkdagen BSO]]/Ruimtestaat[[#This Row],[Norm (m2/uur) werkdagen]],0)</f>
        <v>0</v>
      </c>
      <c r="AD658" s="443">
        <f>Ruimtestaat[[#This Row],[uren / jaar werkdagen BSO]]*Tariefsopbouw!$E$35</f>
        <v>0</v>
      </c>
      <c r="AE658" s="444">
        <f>Ruimtestaat[[#This Row],[uren / jaar werkdagen]]*Tariefsopbouw!$E$35</f>
        <v>0</v>
      </c>
      <c r="AF658" s="454"/>
      <c r="AG658" s="455">
        <f>IF(Ruimtestaat[[#This Row],[Frequentie weekend]]&gt;0,VALUE(LEFT(AF658,1))*S658,0)</f>
        <v>0</v>
      </c>
      <c r="AH658" s="455">
        <f>IF($AG658&gt;0,VLOOKUP($J658,Ruimtegroepen[],3,FALSE)*VLOOKUP($L658,Vloersoorten[],3,FALSE)*VLOOKUP($AF658,Frequenties[],3,FALSE)*VLOOKUP(#REF!,Locaties[],3,FALSE),0)</f>
        <v>0</v>
      </c>
      <c r="AI658" s="434">
        <f>Ruimtestaat[[#This Row],[Uitvoeringen weekend]]*Ruimtestaat[[#This Row],[Oppervlak (netto)]]</f>
        <v>0</v>
      </c>
      <c r="AJ658" s="434">
        <f>IF(AH658&gt;0,Ruimtestaat[[#This Row],[Prest. (m2 /jaar) weekend]]/Ruimtestaat[[#This Row],[Norm (m2/uur) weekend]],0)</f>
        <v>0</v>
      </c>
      <c r="AK658" s="444">
        <f>Ruimtestaat[[#This Row],[uren / jaar weekend]]*Tariefsopbouw!$D$40</f>
        <v>0</v>
      </c>
      <c r="AL658" s="441">
        <f>Ruimtestaat[[#This Row],[Prest. (m2 /jaar) weekend]]+Ruimtestaat[[#This Row],[Prest. (m2 /jaar) werkdagen]]</f>
        <v>0</v>
      </c>
      <c r="AM658" s="441">
        <f>Ruimtestaat[[#This Row],[uren / jaar weekend]]+Ruimtestaat[[#This Row],[uren / jaar werkdagen]]</f>
        <v>0</v>
      </c>
      <c r="AN658" s="446">
        <f>Ruimtestaat[[#This Row],[kosten / jaar weekend]]+Ruimtestaat[[#This Row],[kosten / jaar werkdagen]]</f>
        <v>0</v>
      </c>
      <c r="AO658" s="446"/>
      <c r="AP658" s="446" t="str">
        <f>IF(Ruimtestaat[[#This Row],[Frequentie werkdagen]]="","",_xlfn.CONCAT(Ruimtestaat[[#This Row],[Ruimte code]],"-",Ruimtestaat[[#This Row],[Frequentie werkdagen]]," ",Ruimtestaat[[#This Row],[Vloer code]]))</f>
        <v/>
      </c>
      <c r="AQ658" s="448" t="str">
        <f>_xlfn.IFNA(VLOOKUP($AP658,Programma!$F$3:$G$1101,2,0),"")</f>
        <v/>
      </c>
      <c r="AR658" s="448" t="str">
        <f>_xlfn.IFNA(VLOOKUP($AP658,Programma!$F$3:$H$1101,3,0),"")</f>
        <v/>
      </c>
      <c r="AS658" s="448" t="str">
        <f>_xlfn.IFNA(VLOOKUP($AP658,Programma!$F$3:$I$1101,4,0),"")</f>
        <v/>
      </c>
      <c r="AT658" s="448" t="str">
        <f>_xlfn.IFNA(VLOOKUP($AP658,Programma!$F$3:$J$1101,5,0),"")</f>
        <v/>
      </c>
      <c r="AU658" s="448" t="str">
        <f>_xlfn.IFNA(VLOOKUP($AP658,Programma!$F$3:$K$1101,6,0),"")</f>
        <v/>
      </c>
      <c r="AV658" s="448" t="str">
        <f>_xlfn.IFNA(VLOOKUP($AP658,Programma!$F$3:$L$1101,7,0),"")</f>
        <v/>
      </c>
      <c r="AW658" s="448" t="str">
        <f>_xlfn.IFNA(VLOOKUP($AP658,Programma!$F$3:$M$1101,8,0),"")</f>
        <v/>
      </c>
      <c r="AX658" s="448" t="str">
        <f>_xlfn.IFNA(VLOOKUP($AP658,Programma!$F$3:$N$1101,9,0),"")</f>
        <v/>
      </c>
      <c r="AY658" s="448" t="str">
        <f>_xlfn.IFNA(VLOOKUP($AP658,Programma!$F$3:$O$1101,10,0),"")</f>
        <v/>
      </c>
      <c r="AZ658" s="448" t="str">
        <f>_xlfn.IFNA(VLOOKUP($AP658,Programma!$F$3:$P$1101,11,0),"")</f>
        <v/>
      </c>
      <c r="BA658" s="448" t="str">
        <f>_xlfn.IFNA(VLOOKUP($AP658,Programma!$F$3:$Q$1101,12,0),"")</f>
        <v/>
      </c>
      <c r="BB658" s="448" t="str">
        <f>_xlfn.IFNA(VLOOKUP($AP658,Programma!$F$3:$R$1101,13,0),"")</f>
        <v/>
      </c>
      <c r="BC658" s="448" t="str">
        <f>_xlfn.IFNA(VLOOKUP($AP658,Programma!$F$3:$S$1101,14,0),"")</f>
        <v/>
      </c>
      <c r="BD658" s="448" t="str">
        <f>_xlfn.IFNA(VLOOKUP($AP658,Programma!$F$3:$T$1101,15,0),"")</f>
        <v/>
      </c>
      <c r="BE658" s="448" t="str">
        <f>_xlfn.IFNA(VLOOKUP($AP658,Programma!$F$3:$U$1101,16,0),"")</f>
        <v/>
      </c>
      <c r="BF658" s="448" t="str">
        <f>_xlfn.IFNA(VLOOKUP($AP658,Programma!$F$3:$V$1101,17,0),"")</f>
        <v/>
      </c>
      <c r="BG658" s="448" t="str">
        <f>_xlfn.IFNA(VLOOKUP($AP658,Programma!$F$3:$W$1101,18,0),"")</f>
        <v/>
      </c>
      <c r="BH658" s="448" t="str">
        <f>_xlfn.IFNA(VLOOKUP($AP658,Programma!$F$3:$X$1101,19,0),"")</f>
        <v/>
      </c>
      <c r="BI658" s="448" t="str">
        <f>_xlfn.IFNA(VLOOKUP($AP658,Programma!$F$3:$Y$1101,20,0),"")</f>
        <v/>
      </c>
      <c r="BJ658" s="449"/>
      <c r="BK658" s="446" t="str">
        <f>IF(Ruimtestaat[[#This Row],[Frequentie weekend]]="","",_xlfn.CONCAT(Ruimtestaat[[#This Row],[Ruimte code]],"-",Ruimtestaat[[#This Row],[Frequentie weekend]]," ",Ruimtestaat[[#This Row],[Vloer code]]))</f>
        <v/>
      </c>
      <c r="BL658" s="448" t="str">
        <f>_xlfn.IFNA(VLOOKUP($BK658,Programma!$F$3:$G$1101,2,0),"")</f>
        <v/>
      </c>
      <c r="BM658" s="448" t="str">
        <f>_xlfn.IFNA(VLOOKUP($BK658,Programma!$F$3:$H$1101,3,0),"")</f>
        <v/>
      </c>
      <c r="BN658" s="448" t="str">
        <f>_xlfn.IFNA(VLOOKUP($BK658,Programma!$F$3:$I$1101,4,0),"")</f>
        <v/>
      </c>
      <c r="BO658" s="448" t="str">
        <f>_xlfn.IFNA(VLOOKUP($BK658,Programma!$F$3:$J$1101,5,0),"")</f>
        <v/>
      </c>
      <c r="BP658" s="448" t="str">
        <f>_xlfn.IFNA(VLOOKUP($BK658,Programma!$F$3:$K$1101,6,0),"")</f>
        <v/>
      </c>
      <c r="BQ658" s="448" t="str">
        <f>_xlfn.IFNA(VLOOKUP($BK658,Programma!$F$3:$L$1101,7,0),"")</f>
        <v/>
      </c>
      <c r="BR658" s="448" t="str">
        <f>_xlfn.IFNA(VLOOKUP($BK658,Programma!$F$3:$M$1101,8,0),"")</f>
        <v/>
      </c>
      <c r="BS658" s="448" t="str">
        <f>_xlfn.IFNA(VLOOKUP($BK658,Programma!$F$3:$N$1101,9,0),"")</f>
        <v/>
      </c>
      <c r="BT658" s="448" t="str">
        <f>_xlfn.IFNA(VLOOKUP($BK658,Programma!$F$3:$O$1101,10,0),"")</f>
        <v/>
      </c>
      <c r="BU658" s="448" t="str">
        <f>_xlfn.IFNA(VLOOKUP($BK658,Programma!$F$3:$P$1101,11,0),"")</f>
        <v/>
      </c>
      <c r="BV658" s="448" t="str">
        <f>_xlfn.IFNA(VLOOKUP($BK658,Programma!$F$3:$Q$1101,12,0),"")</f>
        <v/>
      </c>
      <c r="BW658" s="448" t="str">
        <f>_xlfn.IFNA(VLOOKUP($BK658,Programma!$F$3:$R$1101,13,0),"")</f>
        <v/>
      </c>
      <c r="BX658" s="448" t="str">
        <f>_xlfn.IFNA(VLOOKUP($BK658,Programma!$F$3:$S$1101,14,0),"")</f>
        <v/>
      </c>
      <c r="BY658" s="448" t="str">
        <f>_xlfn.IFNA(VLOOKUP($BK658,Programma!$F$3:$T$1101,15,0),"")</f>
        <v/>
      </c>
      <c r="BZ658" s="448" t="str">
        <f>_xlfn.IFNA(VLOOKUP($BK658,Programma!$F$3:$U$1101,16,0),"")</f>
        <v/>
      </c>
      <c r="CA658" s="448" t="str">
        <f>_xlfn.IFNA(VLOOKUP($BK658,Programma!$F$3:$V$1101,17,0),"")</f>
        <v/>
      </c>
      <c r="CB658" s="448" t="str">
        <f>_xlfn.IFNA(VLOOKUP($BK658,Programma!$F$3:$W$1101,18,0),"")</f>
        <v/>
      </c>
      <c r="CC658" s="448" t="str">
        <f>_xlfn.IFNA(VLOOKUP($BK658,Programma!$F$3:$X$1101,19,0),"")</f>
        <v/>
      </c>
      <c r="CD658" s="448" t="str">
        <f>_xlfn.IFNA(VLOOKUP($BK658,Programma!$F$3:$Y$1101,20,0),"")</f>
        <v/>
      </c>
    </row>
    <row r="659" spans="1:82" ht="15" customHeight="1">
      <c r="A659" s="327">
        <v>15</v>
      </c>
      <c r="B659" s="435" t="str">
        <f>VLOOKUP(Ruimtestaat[[#This Row],[Code]],Locaties[[Code]:[Locatie]],2,FALSE)</f>
        <v>IKC  Da Vinci</v>
      </c>
      <c r="C659" s="435" t="str">
        <f>VLOOKUP(Ruimtestaat[[#This Row],[Code]],Locaties[[#All],[Code]:[Adres]],4,FALSE)</f>
        <v>Spitsbergen 17</v>
      </c>
      <c r="D659" s="435" t="str">
        <f>VLOOKUP(Ruimtestaat[[#This Row],[Code]],Locaties[[#All],[Code]:[Postcode]],5,FALSE)</f>
        <v>2721 GP</v>
      </c>
      <c r="E659" s="435" t="str">
        <f>VLOOKUP(Ruimtestaat[[#This Row],[Code]],Locaties[#All],6,FALSE)</f>
        <v>Zoetermeer</v>
      </c>
      <c r="F659" s="330" t="s">
        <v>2154</v>
      </c>
      <c r="I659" s="450" t="s">
        <v>1976</v>
      </c>
      <c r="J659" s="330">
        <v>20</v>
      </c>
      <c r="K659" s="450" t="str">
        <f>VLOOKUP(Ruimtestaat[[#This Row],[Ruimte code]],Ruimtegroepen[[#All],[Code]:[Ruimte omschrijving]],2,FALSE)</f>
        <v>Niet in Onderhoud</v>
      </c>
      <c r="M659" s="330"/>
      <c r="N659" s="439"/>
      <c r="O659" s="439">
        <v>22</v>
      </c>
      <c r="P659" s="439"/>
      <c r="Q659" s="439"/>
      <c r="R659" s="440">
        <f>VLOOKUP(Ruimtestaat[[#This Row],[Ruimte code]],Ruimtegroepen[],4,FALSE)</f>
        <v>0</v>
      </c>
      <c r="S659" s="434"/>
      <c r="T659" s="434"/>
      <c r="U659" s="453">
        <f>IF(S659&gt;0,IF(RIGHT(Ruimtestaat[[#This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59" s="434">
        <f>IF(U659&gt;0,VLOOKUP($J659,Ruimtegroepen[],3,FALSE)*VLOOKUP($L659,Vloersoorten[],3,FALSE)*VLOOKUP($T659,Frequenties[],3,FALSE)*VLOOKUP($A659,Locaties[],3,FALSE),0)</f>
        <v>0</v>
      </c>
      <c r="W659" s="434">
        <f>Ruimtestaat[[#This Row],[Uitvoeringen werkdagen]]*Ruimtestaat[[#This Row],[Oppervlak (netto)]]</f>
        <v>0</v>
      </c>
      <c r="X659" s="441">
        <f>IF(V659&gt;0,Ruimtestaat[[#This Row],[Prest. (m2 /jaar) werkdagen]]/Ruimtestaat[[#This Row],[Norm (m2/uur) werkdagen]],0)</f>
        <v>0</v>
      </c>
      <c r="Y659" s="442">
        <f>Ruimtestaat[[#This Row],[Uitvoeringen werkdagen]]*Ruimtestaat[[#This Row],[Gedeeltelijk]]</f>
        <v>0</v>
      </c>
      <c r="Z659" s="443">
        <f>IF(U659&gt;0,Ruimtestaat[[#This Row],[Prest. (m2 / jaar) werkdagen gedeeld]]/Ruimtestaat[[#This Row],[Norm (m2/uur) werkdagen]],0)</f>
        <v>0</v>
      </c>
      <c r="AA659" s="441">
        <f>Ruimtestaat[[#This Row],[uren / jaar werkdagen gedeeld]]*Tariefsopbouw!$E$35</f>
        <v>0</v>
      </c>
      <c r="AB659" s="441">
        <f>Ruimtestaat[[#This Row],[Uitvoeringen werkdagen]]*Ruimtestaat[[#This Row],[BSO]]</f>
        <v>0</v>
      </c>
      <c r="AC659" s="443">
        <f>IF(U659&gt;0,Ruimtestaat[[#This Row],[Prest. (m2 / jaar) werkdagen BSO]]/Ruimtestaat[[#This Row],[Norm (m2/uur) werkdagen]],0)</f>
        <v>0</v>
      </c>
      <c r="AD659" s="443">
        <f>Ruimtestaat[[#This Row],[uren / jaar werkdagen BSO]]*Tariefsopbouw!$E$35</f>
        <v>0</v>
      </c>
      <c r="AE659" s="444">
        <f>Ruimtestaat[[#This Row],[uren / jaar werkdagen]]*Tariefsopbouw!$E$35</f>
        <v>0</v>
      </c>
      <c r="AF659" s="454"/>
      <c r="AG659" s="455">
        <f>IF(Ruimtestaat[[#This Row],[Frequentie weekend]]&gt;0,VALUE(LEFT(AF659,1))*S659,0)</f>
        <v>0</v>
      </c>
      <c r="AH659" s="455">
        <f>IF($AG659&gt;0,VLOOKUP($J659,Ruimtegroepen[],3,FALSE)*VLOOKUP($L659,Vloersoorten[],3,FALSE)*VLOOKUP($AF659,Frequenties[],3,FALSE)*VLOOKUP(#REF!,Locaties[],3,FALSE),0)</f>
        <v>0</v>
      </c>
      <c r="AI659" s="434">
        <f>Ruimtestaat[[#This Row],[Uitvoeringen weekend]]*Ruimtestaat[[#This Row],[Oppervlak (netto)]]</f>
        <v>0</v>
      </c>
      <c r="AJ659" s="434">
        <f>IF(AH659&gt;0,Ruimtestaat[[#This Row],[Prest. (m2 /jaar) weekend]]/Ruimtestaat[[#This Row],[Norm (m2/uur) weekend]],0)</f>
        <v>0</v>
      </c>
      <c r="AK659" s="444">
        <f>Ruimtestaat[[#This Row],[uren / jaar weekend]]*Tariefsopbouw!$D$40</f>
        <v>0</v>
      </c>
      <c r="AL659" s="441">
        <f>Ruimtestaat[[#This Row],[Prest. (m2 /jaar) weekend]]+Ruimtestaat[[#This Row],[Prest. (m2 /jaar) werkdagen]]</f>
        <v>0</v>
      </c>
      <c r="AM659" s="441">
        <f>Ruimtestaat[[#This Row],[uren / jaar weekend]]+Ruimtestaat[[#This Row],[uren / jaar werkdagen]]</f>
        <v>0</v>
      </c>
      <c r="AN659" s="446">
        <f>Ruimtestaat[[#This Row],[kosten / jaar weekend]]+Ruimtestaat[[#This Row],[kosten / jaar werkdagen]]</f>
        <v>0</v>
      </c>
      <c r="AO659" s="446"/>
      <c r="AP659" s="446" t="str">
        <f>IF(Ruimtestaat[[#This Row],[Frequentie werkdagen]]="","",_xlfn.CONCAT(Ruimtestaat[[#This Row],[Ruimte code]],"-",Ruimtestaat[[#This Row],[Frequentie werkdagen]]," ",Ruimtestaat[[#This Row],[Vloer code]]))</f>
        <v/>
      </c>
      <c r="AQ659" s="448" t="str">
        <f>_xlfn.IFNA(VLOOKUP($AP659,Programma!$F$3:$G$1101,2,0),"")</f>
        <v/>
      </c>
      <c r="AR659" s="448" t="str">
        <f>_xlfn.IFNA(VLOOKUP($AP659,Programma!$F$3:$H$1101,3,0),"")</f>
        <v/>
      </c>
      <c r="AS659" s="448" t="str">
        <f>_xlfn.IFNA(VLOOKUP($AP659,Programma!$F$3:$I$1101,4,0),"")</f>
        <v/>
      </c>
      <c r="AT659" s="448" t="str">
        <f>_xlfn.IFNA(VLOOKUP($AP659,Programma!$F$3:$J$1101,5,0),"")</f>
        <v/>
      </c>
      <c r="AU659" s="448" t="str">
        <f>_xlfn.IFNA(VLOOKUP($AP659,Programma!$F$3:$K$1101,6,0),"")</f>
        <v/>
      </c>
      <c r="AV659" s="448" t="str">
        <f>_xlfn.IFNA(VLOOKUP($AP659,Programma!$F$3:$L$1101,7,0),"")</f>
        <v/>
      </c>
      <c r="AW659" s="448" t="str">
        <f>_xlfn.IFNA(VLOOKUP($AP659,Programma!$F$3:$M$1101,8,0),"")</f>
        <v/>
      </c>
      <c r="AX659" s="448" t="str">
        <f>_xlfn.IFNA(VLOOKUP($AP659,Programma!$F$3:$N$1101,9,0),"")</f>
        <v/>
      </c>
      <c r="AY659" s="448" t="str">
        <f>_xlfn.IFNA(VLOOKUP($AP659,Programma!$F$3:$O$1101,10,0),"")</f>
        <v/>
      </c>
      <c r="AZ659" s="448" t="str">
        <f>_xlfn.IFNA(VLOOKUP($AP659,Programma!$F$3:$P$1101,11,0),"")</f>
        <v/>
      </c>
      <c r="BA659" s="448" t="str">
        <f>_xlfn.IFNA(VLOOKUP($AP659,Programma!$F$3:$Q$1101,12,0),"")</f>
        <v/>
      </c>
      <c r="BB659" s="448" t="str">
        <f>_xlfn.IFNA(VLOOKUP($AP659,Programma!$F$3:$R$1101,13,0),"")</f>
        <v/>
      </c>
      <c r="BC659" s="448" t="str">
        <f>_xlfn.IFNA(VLOOKUP($AP659,Programma!$F$3:$S$1101,14,0),"")</f>
        <v/>
      </c>
      <c r="BD659" s="448" t="str">
        <f>_xlfn.IFNA(VLOOKUP($AP659,Programma!$F$3:$T$1101,15,0),"")</f>
        <v/>
      </c>
      <c r="BE659" s="448" t="str">
        <f>_xlfn.IFNA(VLOOKUP($AP659,Programma!$F$3:$U$1101,16,0),"")</f>
        <v/>
      </c>
      <c r="BF659" s="448" t="str">
        <f>_xlfn.IFNA(VLOOKUP($AP659,Programma!$F$3:$V$1101,17,0),"")</f>
        <v/>
      </c>
      <c r="BG659" s="448" t="str">
        <f>_xlfn.IFNA(VLOOKUP($AP659,Programma!$F$3:$W$1101,18,0),"")</f>
        <v/>
      </c>
      <c r="BH659" s="448" t="str">
        <f>_xlfn.IFNA(VLOOKUP($AP659,Programma!$F$3:$X$1101,19,0),"")</f>
        <v/>
      </c>
      <c r="BI659" s="448" t="str">
        <f>_xlfn.IFNA(VLOOKUP($AP659,Programma!$F$3:$Y$1101,20,0),"")</f>
        <v/>
      </c>
      <c r="BJ659" s="449"/>
      <c r="BK659" s="446" t="str">
        <f>IF(Ruimtestaat[[#This Row],[Frequentie weekend]]="","",_xlfn.CONCAT(Ruimtestaat[[#This Row],[Ruimte code]],"-",Ruimtestaat[[#This Row],[Frequentie weekend]]," ",Ruimtestaat[[#This Row],[Vloer code]]))</f>
        <v/>
      </c>
      <c r="BL659" s="448" t="str">
        <f>_xlfn.IFNA(VLOOKUP($BK659,Programma!$F$3:$G$1101,2,0),"")</f>
        <v/>
      </c>
      <c r="BM659" s="448" t="str">
        <f>_xlfn.IFNA(VLOOKUP($BK659,Programma!$F$3:$H$1101,3,0),"")</f>
        <v/>
      </c>
      <c r="BN659" s="448" t="str">
        <f>_xlfn.IFNA(VLOOKUP($BK659,Programma!$F$3:$I$1101,4,0),"")</f>
        <v/>
      </c>
      <c r="BO659" s="448" t="str">
        <f>_xlfn.IFNA(VLOOKUP($BK659,Programma!$F$3:$J$1101,5,0),"")</f>
        <v/>
      </c>
      <c r="BP659" s="448" t="str">
        <f>_xlfn.IFNA(VLOOKUP($BK659,Programma!$F$3:$K$1101,6,0),"")</f>
        <v/>
      </c>
      <c r="BQ659" s="448" t="str">
        <f>_xlfn.IFNA(VLOOKUP($BK659,Programma!$F$3:$L$1101,7,0),"")</f>
        <v/>
      </c>
      <c r="BR659" s="448" t="str">
        <f>_xlfn.IFNA(VLOOKUP($BK659,Programma!$F$3:$M$1101,8,0),"")</f>
        <v/>
      </c>
      <c r="BS659" s="448" t="str">
        <f>_xlfn.IFNA(VLOOKUP($BK659,Programma!$F$3:$N$1101,9,0),"")</f>
        <v/>
      </c>
      <c r="BT659" s="448" t="str">
        <f>_xlfn.IFNA(VLOOKUP($BK659,Programma!$F$3:$O$1101,10,0),"")</f>
        <v/>
      </c>
      <c r="BU659" s="448" t="str">
        <f>_xlfn.IFNA(VLOOKUP($BK659,Programma!$F$3:$P$1101,11,0),"")</f>
        <v/>
      </c>
      <c r="BV659" s="448" t="str">
        <f>_xlfn.IFNA(VLOOKUP($BK659,Programma!$F$3:$Q$1101,12,0),"")</f>
        <v/>
      </c>
      <c r="BW659" s="448" t="str">
        <f>_xlfn.IFNA(VLOOKUP($BK659,Programma!$F$3:$R$1101,13,0),"")</f>
        <v/>
      </c>
      <c r="BX659" s="448" t="str">
        <f>_xlfn.IFNA(VLOOKUP($BK659,Programma!$F$3:$S$1101,14,0),"")</f>
        <v/>
      </c>
      <c r="BY659" s="448" t="str">
        <f>_xlfn.IFNA(VLOOKUP($BK659,Programma!$F$3:$T$1101,15,0),"")</f>
        <v/>
      </c>
      <c r="BZ659" s="448" t="str">
        <f>_xlfn.IFNA(VLOOKUP($BK659,Programma!$F$3:$U$1101,16,0),"")</f>
        <v/>
      </c>
      <c r="CA659" s="448" t="str">
        <f>_xlfn.IFNA(VLOOKUP($BK659,Programma!$F$3:$V$1101,17,0),"")</f>
        <v/>
      </c>
      <c r="CB659" s="448" t="str">
        <f>_xlfn.IFNA(VLOOKUP($BK659,Programma!$F$3:$W$1101,18,0),"")</f>
        <v/>
      </c>
      <c r="CC659" s="448" t="str">
        <f>_xlfn.IFNA(VLOOKUP($BK659,Programma!$F$3:$X$1101,19,0),"")</f>
        <v/>
      </c>
      <c r="CD659" s="448" t="str">
        <f>_xlfn.IFNA(VLOOKUP($BK659,Programma!$F$3:$Y$1101,20,0),"")</f>
        <v/>
      </c>
    </row>
    <row r="660" spans="1:82" ht="15" customHeight="1">
      <c r="A660" s="327">
        <v>15</v>
      </c>
      <c r="B660" s="435" t="str">
        <f>VLOOKUP(Ruimtestaat[[#This Row],[Code]],Locaties[[Code]:[Locatie]],2,FALSE)</f>
        <v>IKC  Da Vinci</v>
      </c>
      <c r="C660" s="435" t="str">
        <f>VLOOKUP(Ruimtestaat[[#This Row],[Code]],Locaties[[#All],[Code]:[Adres]],4,FALSE)</f>
        <v>Spitsbergen 17</v>
      </c>
      <c r="D660" s="435" t="str">
        <f>VLOOKUP(Ruimtestaat[[#This Row],[Code]],Locaties[[#All],[Code]:[Postcode]],5,FALSE)</f>
        <v>2721 GP</v>
      </c>
      <c r="E660" s="435" t="str">
        <f>VLOOKUP(Ruimtestaat[[#This Row],[Code]],Locaties[#All],6,FALSE)</f>
        <v>Zoetermeer</v>
      </c>
      <c r="F660" s="330" t="s">
        <v>2154</v>
      </c>
      <c r="I660" s="450" t="s">
        <v>1977</v>
      </c>
      <c r="J660" s="330">
        <v>20</v>
      </c>
      <c r="K660" s="450" t="str">
        <f>VLOOKUP(Ruimtestaat[[#This Row],[Ruimte code]],Ruimtegroepen[[#All],[Code]:[Ruimte omschrijving]],2,FALSE)</f>
        <v>Niet in Onderhoud</v>
      </c>
      <c r="M660" s="330"/>
      <c r="N660" s="439"/>
      <c r="O660" s="439">
        <v>37</v>
      </c>
      <c r="P660" s="439"/>
      <c r="Q660" s="439"/>
      <c r="R660" s="440">
        <f>VLOOKUP(Ruimtestaat[[#This Row],[Ruimte code]],Ruimtegroepen[],4,FALSE)</f>
        <v>0</v>
      </c>
      <c r="S660" s="434"/>
      <c r="T660" s="434"/>
      <c r="U660" s="453">
        <f>IF(S660&gt;0,IF(RIGHT(Ruimtestaat[[#This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0" s="434">
        <f>IF(U660&gt;0,VLOOKUP($J660,Ruimtegroepen[],3,FALSE)*VLOOKUP($L660,Vloersoorten[],3,FALSE)*VLOOKUP($T660,Frequenties[],3,FALSE)*VLOOKUP($A660,Locaties[],3,FALSE),0)</f>
        <v>0</v>
      </c>
      <c r="W660" s="434">
        <f>Ruimtestaat[[#This Row],[Uitvoeringen werkdagen]]*Ruimtestaat[[#This Row],[Oppervlak (netto)]]</f>
        <v>0</v>
      </c>
      <c r="X660" s="441">
        <f>IF(V660&gt;0,Ruimtestaat[[#This Row],[Prest. (m2 /jaar) werkdagen]]/Ruimtestaat[[#This Row],[Norm (m2/uur) werkdagen]],0)</f>
        <v>0</v>
      </c>
      <c r="Y660" s="442">
        <f>Ruimtestaat[[#This Row],[Uitvoeringen werkdagen]]*Ruimtestaat[[#This Row],[Gedeeltelijk]]</f>
        <v>0</v>
      </c>
      <c r="Z660" s="443">
        <f>IF(U660&gt;0,Ruimtestaat[[#This Row],[Prest. (m2 / jaar) werkdagen gedeeld]]/Ruimtestaat[[#This Row],[Norm (m2/uur) werkdagen]],0)</f>
        <v>0</v>
      </c>
      <c r="AA660" s="441">
        <f>Ruimtestaat[[#This Row],[uren / jaar werkdagen gedeeld]]*Tariefsopbouw!$E$35</f>
        <v>0</v>
      </c>
      <c r="AB660" s="441">
        <f>Ruimtestaat[[#This Row],[Uitvoeringen werkdagen]]*Ruimtestaat[[#This Row],[BSO]]</f>
        <v>0</v>
      </c>
      <c r="AC660" s="443">
        <f>IF(U660&gt;0,Ruimtestaat[[#This Row],[Prest. (m2 / jaar) werkdagen BSO]]/Ruimtestaat[[#This Row],[Norm (m2/uur) werkdagen]],0)</f>
        <v>0</v>
      </c>
      <c r="AD660" s="443">
        <f>Ruimtestaat[[#This Row],[uren / jaar werkdagen BSO]]*Tariefsopbouw!$E$35</f>
        <v>0</v>
      </c>
      <c r="AE660" s="444">
        <f>Ruimtestaat[[#This Row],[uren / jaar werkdagen]]*Tariefsopbouw!$E$35</f>
        <v>0</v>
      </c>
      <c r="AF660" s="454"/>
      <c r="AG660" s="455">
        <f>IF(Ruimtestaat[[#This Row],[Frequentie weekend]]&gt;0,VALUE(LEFT(AF660,1))*S660,0)</f>
        <v>0</v>
      </c>
      <c r="AH660" s="455">
        <f>IF($AG660&gt;0,VLOOKUP($J660,Ruimtegroepen[],3,FALSE)*VLOOKUP($L660,Vloersoorten[],3,FALSE)*VLOOKUP($AF660,Frequenties[],3,FALSE)*VLOOKUP(#REF!,Locaties[],3,FALSE),0)</f>
        <v>0</v>
      </c>
      <c r="AI660" s="434">
        <f>Ruimtestaat[[#This Row],[Uitvoeringen weekend]]*Ruimtestaat[[#This Row],[Oppervlak (netto)]]</f>
        <v>0</v>
      </c>
      <c r="AJ660" s="434">
        <f>IF(AH660&gt;0,Ruimtestaat[[#This Row],[Prest. (m2 /jaar) weekend]]/Ruimtestaat[[#This Row],[Norm (m2/uur) weekend]],0)</f>
        <v>0</v>
      </c>
      <c r="AK660" s="444">
        <f>Ruimtestaat[[#This Row],[uren / jaar weekend]]*Tariefsopbouw!$D$40</f>
        <v>0</v>
      </c>
      <c r="AL660" s="441">
        <f>Ruimtestaat[[#This Row],[Prest. (m2 /jaar) weekend]]+Ruimtestaat[[#This Row],[Prest. (m2 /jaar) werkdagen]]</f>
        <v>0</v>
      </c>
      <c r="AM660" s="441">
        <f>Ruimtestaat[[#This Row],[uren / jaar weekend]]+Ruimtestaat[[#This Row],[uren / jaar werkdagen]]</f>
        <v>0</v>
      </c>
      <c r="AN660" s="446">
        <f>Ruimtestaat[[#This Row],[kosten / jaar weekend]]+Ruimtestaat[[#This Row],[kosten / jaar werkdagen]]</f>
        <v>0</v>
      </c>
      <c r="AO660" s="446"/>
      <c r="AP660" s="446" t="str">
        <f>IF(Ruimtestaat[[#This Row],[Frequentie werkdagen]]="","",_xlfn.CONCAT(Ruimtestaat[[#This Row],[Ruimte code]],"-",Ruimtestaat[[#This Row],[Frequentie werkdagen]]," ",Ruimtestaat[[#This Row],[Vloer code]]))</f>
        <v/>
      </c>
      <c r="AQ660" s="448" t="str">
        <f>_xlfn.IFNA(VLOOKUP($AP660,Programma!$F$3:$G$1101,2,0),"")</f>
        <v/>
      </c>
      <c r="AR660" s="448" t="str">
        <f>_xlfn.IFNA(VLOOKUP($AP660,Programma!$F$3:$H$1101,3,0),"")</f>
        <v/>
      </c>
      <c r="AS660" s="448" t="str">
        <f>_xlfn.IFNA(VLOOKUP($AP660,Programma!$F$3:$I$1101,4,0),"")</f>
        <v/>
      </c>
      <c r="AT660" s="448" t="str">
        <f>_xlfn.IFNA(VLOOKUP($AP660,Programma!$F$3:$J$1101,5,0),"")</f>
        <v/>
      </c>
      <c r="AU660" s="448" t="str">
        <f>_xlfn.IFNA(VLOOKUP($AP660,Programma!$F$3:$K$1101,6,0),"")</f>
        <v/>
      </c>
      <c r="AV660" s="448" t="str">
        <f>_xlfn.IFNA(VLOOKUP($AP660,Programma!$F$3:$L$1101,7,0),"")</f>
        <v/>
      </c>
      <c r="AW660" s="448" t="str">
        <f>_xlfn.IFNA(VLOOKUP($AP660,Programma!$F$3:$M$1101,8,0),"")</f>
        <v/>
      </c>
      <c r="AX660" s="448" t="str">
        <f>_xlfn.IFNA(VLOOKUP($AP660,Programma!$F$3:$N$1101,9,0),"")</f>
        <v/>
      </c>
      <c r="AY660" s="448" t="str">
        <f>_xlfn.IFNA(VLOOKUP($AP660,Programma!$F$3:$O$1101,10,0),"")</f>
        <v/>
      </c>
      <c r="AZ660" s="448" t="str">
        <f>_xlfn.IFNA(VLOOKUP($AP660,Programma!$F$3:$P$1101,11,0),"")</f>
        <v/>
      </c>
      <c r="BA660" s="448" t="str">
        <f>_xlfn.IFNA(VLOOKUP($AP660,Programma!$F$3:$Q$1101,12,0),"")</f>
        <v/>
      </c>
      <c r="BB660" s="448" t="str">
        <f>_xlfn.IFNA(VLOOKUP($AP660,Programma!$F$3:$R$1101,13,0),"")</f>
        <v/>
      </c>
      <c r="BC660" s="448" t="str">
        <f>_xlfn.IFNA(VLOOKUP($AP660,Programma!$F$3:$S$1101,14,0),"")</f>
        <v/>
      </c>
      <c r="BD660" s="448" t="str">
        <f>_xlfn.IFNA(VLOOKUP($AP660,Programma!$F$3:$T$1101,15,0),"")</f>
        <v/>
      </c>
      <c r="BE660" s="448" t="str">
        <f>_xlfn.IFNA(VLOOKUP($AP660,Programma!$F$3:$U$1101,16,0),"")</f>
        <v/>
      </c>
      <c r="BF660" s="448" t="str">
        <f>_xlfn.IFNA(VLOOKUP($AP660,Programma!$F$3:$V$1101,17,0),"")</f>
        <v/>
      </c>
      <c r="BG660" s="448" t="str">
        <f>_xlfn.IFNA(VLOOKUP($AP660,Programma!$F$3:$W$1101,18,0),"")</f>
        <v/>
      </c>
      <c r="BH660" s="448" t="str">
        <f>_xlfn.IFNA(VLOOKUP($AP660,Programma!$F$3:$X$1101,19,0),"")</f>
        <v/>
      </c>
      <c r="BI660" s="448" t="str">
        <f>_xlfn.IFNA(VLOOKUP($AP660,Programma!$F$3:$Y$1101,20,0),"")</f>
        <v/>
      </c>
      <c r="BJ660" s="449"/>
      <c r="BK660" s="446" t="str">
        <f>IF(Ruimtestaat[[#This Row],[Frequentie weekend]]="","",_xlfn.CONCAT(Ruimtestaat[[#This Row],[Ruimte code]],"-",Ruimtestaat[[#This Row],[Frequentie weekend]]," ",Ruimtestaat[[#This Row],[Vloer code]]))</f>
        <v/>
      </c>
      <c r="BL660" s="448" t="str">
        <f>_xlfn.IFNA(VLOOKUP($BK660,Programma!$F$3:$G$1101,2,0),"")</f>
        <v/>
      </c>
      <c r="BM660" s="448" t="str">
        <f>_xlfn.IFNA(VLOOKUP($BK660,Programma!$F$3:$H$1101,3,0),"")</f>
        <v/>
      </c>
      <c r="BN660" s="448" t="str">
        <f>_xlfn.IFNA(VLOOKUP($BK660,Programma!$F$3:$I$1101,4,0),"")</f>
        <v/>
      </c>
      <c r="BO660" s="448" t="str">
        <f>_xlfn.IFNA(VLOOKUP($BK660,Programma!$F$3:$J$1101,5,0),"")</f>
        <v/>
      </c>
      <c r="BP660" s="448" t="str">
        <f>_xlfn.IFNA(VLOOKUP($BK660,Programma!$F$3:$K$1101,6,0),"")</f>
        <v/>
      </c>
      <c r="BQ660" s="448" t="str">
        <f>_xlfn.IFNA(VLOOKUP($BK660,Programma!$F$3:$L$1101,7,0),"")</f>
        <v/>
      </c>
      <c r="BR660" s="448" t="str">
        <f>_xlfn.IFNA(VLOOKUP($BK660,Programma!$F$3:$M$1101,8,0),"")</f>
        <v/>
      </c>
      <c r="BS660" s="448" t="str">
        <f>_xlfn.IFNA(VLOOKUP($BK660,Programma!$F$3:$N$1101,9,0),"")</f>
        <v/>
      </c>
      <c r="BT660" s="448" t="str">
        <f>_xlfn.IFNA(VLOOKUP($BK660,Programma!$F$3:$O$1101,10,0),"")</f>
        <v/>
      </c>
      <c r="BU660" s="448" t="str">
        <f>_xlfn.IFNA(VLOOKUP($BK660,Programma!$F$3:$P$1101,11,0),"")</f>
        <v/>
      </c>
      <c r="BV660" s="448" t="str">
        <f>_xlfn.IFNA(VLOOKUP($BK660,Programma!$F$3:$Q$1101,12,0),"")</f>
        <v/>
      </c>
      <c r="BW660" s="448" t="str">
        <f>_xlfn.IFNA(VLOOKUP($BK660,Programma!$F$3:$R$1101,13,0),"")</f>
        <v/>
      </c>
      <c r="BX660" s="448" t="str">
        <f>_xlfn.IFNA(VLOOKUP($BK660,Programma!$F$3:$S$1101,14,0),"")</f>
        <v/>
      </c>
      <c r="BY660" s="448" t="str">
        <f>_xlfn.IFNA(VLOOKUP($BK660,Programma!$F$3:$T$1101,15,0),"")</f>
        <v/>
      </c>
      <c r="BZ660" s="448" t="str">
        <f>_xlfn.IFNA(VLOOKUP($BK660,Programma!$F$3:$U$1101,16,0),"")</f>
        <v/>
      </c>
      <c r="CA660" s="448" t="str">
        <f>_xlfn.IFNA(VLOOKUP($BK660,Programma!$F$3:$V$1101,17,0),"")</f>
        <v/>
      </c>
      <c r="CB660" s="448" t="str">
        <f>_xlfn.IFNA(VLOOKUP($BK660,Programma!$F$3:$W$1101,18,0),"")</f>
        <v/>
      </c>
      <c r="CC660" s="448" t="str">
        <f>_xlfn.IFNA(VLOOKUP($BK660,Programma!$F$3:$X$1101,19,0),"")</f>
        <v/>
      </c>
      <c r="CD660" s="448" t="str">
        <f>_xlfn.IFNA(VLOOKUP($BK660,Programma!$F$3:$Y$1101,20,0),"")</f>
        <v/>
      </c>
    </row>
    <row r="661" spans="1:82" ht="15" customHeight="1">
      <c r="A661" s="327">
        <v>15</v>
      </c>
      <c r="B661" s="435" t="str">
        <f>VLOOKUP(Ruimtestaat[[#This Row],[Code]],Locaties[[Code]:[Locatie]],2,FALSE)</f>
        <v>IKC  Da Vinci</v>
      </c>
      <c r="C661" s="435" t="str">
        <f>VLOOKUP(Ruimtestaat[[#This Row],[Code]],Locaties[[#All],[Code]:[Adres]],4,FALSE)</f>
        <v>Spitsbergen 17</v>
      </c>
      <c r="D661" s="435" t="str">
        <f>VLOOKUP(Ruimtestaat[[#This Row],[Code]],Locaties[[#All],[Code]:[Postcode]],5,FALSE)</f>
        <v>2721 GP</v>
      </c>
      <c r="E661" s="435" t="str">
        <f>VLOOKUP(Ruimtestaat[[#This Row],[Code]],Locaties[#All],6,FALSE)</f>
        <v>Zoetermeer</v>
      </c>
      <c r="F661" s="330" t="s">
        <v>2154</v>
      </c>
      <c r="I661" s="450" t="s">
        <v>1708</v>
      </c>
      <c r="J661" s="330">
        <v>20</v>
      </c>
      <c r="K661" s="450" t="str">
        <f>VLOOKUP(Ruimtestaat[[#This Row],[Ruimte code]],Ruimtegroepen[[#All],[Code]:[Ruimte omschrijving]],2,FALSE)</f>
        <v>Niet in Onderhoud</v>
      </c>
      <c r="M661" s="330"/>
      <c r="N661" s="439"/>
      <c r="O661" s="439">
        <v>394</v>
      </c>
      <c r="P661" s="439"/>
      <c r="Q661" s="439"/>
      <c r="R661" s="440">
        <f>VLOOKUP(Ruimtestaat[[#This Row],[Ruimte code]],Ruimtegroepen[],4,FALSE)</f>
        <v>0</v>
      </c>
      <c r="S661" s="434"/>
      <c r="T661" s="434"/>
      <c r="U661" s="453">
        <f>IF(S661&gt;0,IF(RIGHT(Ruimtestaat[[#This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1" s="434">
        <f>IF(U661&gt;0,VLOOKUP($J661,Ruimtegroepen[],3,FALSE)*VLOOKUP($L661,Vloersoorten[],3,FALSE)*VLOOKUP($T661,Frequenties[],3,FALSE)*VLOOKUP($A661,Locaties[],3,FALSE),0)</f>
        <v>0</v>
      </c>
      <c r="W661" s="434">
        <f>Ruimtestaat[[#This Row],[Uitvoeringen werkdagen]]*Ruimtestaat[[#This Row],[Oppervlak (netto)]]</f>
        <v>0</v>
      </c>
      <c r="X661" s="441">
        <f>IF(V661&gt;0,Ruimtestaat[[#This Row],[Prest. (m2 /jaar) werkdagen]]/Ruimtestaat[[#This Row],[Norm (m2/uur) werkdagen]],0)</f>
        <v>0</v>
      </c>
      <c r="Y661" s="442">
        <f>Ruimtestaat[[#This Row],[Uitvoeringen werkdagen]]*Ruimtestaat[[#This Row],[Gedeeltelijk]]</f>
        <v>0</v>
      </c>
      <c r="Z661" s="443">
        <f>IF(U661&gt;0,Ruimtestaat[[#This Row],[Prest. (m2 / jaar) werkdagen gedeeld]]/Ruimtestaat[[#This Row],[Norm (m2/uur) werkdagen]],0)</f>
        <v>0</v>
      </c>
      <c r="AA661" s="441">
        <f>Ruimtestaat[[#This Row],[uren / jaar werkdagen gedeeld]]*Tariefsopbouw!$E$35</f>
        <v>0</v>
      </c>
      <c r="AB661" s="441">
        <f>Ruimtestaat[[#This Row],[Uitvoeringen werkdagen]]*Ruimtestaat[[#This Row],[BSO]]</f>
        <v>0</v>
      </c>
      <c r="AC661" s="443">
        <f>IF(U661&gt;0,Ruimtestaat[[#This Row],[Prest. (m2 / jaar) werkdagen BSO]]/Ruimtestaat[[#This Row],[Norm (m2/uur) werkdagen]],0)</f>
        <v>0</v>
      </c>
      <c r="AD661" s="443">
        <f>Ruimtestaat[[#This Row],[uren / jaar werkdagen BSO]]*Tariefsopbouw!$E$35</f>
        <v>0</v>
      </c>
      <c r="AE661" s="444">
        <f>Ruimtestaat[[#This Row],[uren / jaar werkdagen]]*Tariefsopbouw!$E$35</f>
        <v>0</v>
      </c>
      <c r="AF661" s="454"/>
      <c r="AG661" s="455">
        <f>IF(Ruimtestaat[[#This Row],[Frequentie weekend]]&gt;0,VALUE(LEFT(AF661,1))*S661,0)</f>
        <v>0</v>
      </c>
      <c r="AH661" s="455">
        <f>IF($AG661&gt;0,VLOOKUP($J661,Ruimtegroepen[],3,FALSE)*VLOOKUP($L661,Vloersoorten[],3,FALSE)*VLOOKUP($AF661,Frequenties[],3,FALSE)*VLOOKUP(#REF!,Locaties[],3,FALSE),0)</f>
        <v>0</v>
      </c>
      <c r="AI661" s="434">
        <f>Ruimtestaat[[#This Row],[Uitvoeringen weekend]]*Ruimtestaat[[#This Row],[Oppervlak (netto)]]</f>
        <v>0</v>
      </c>
      <c r="AJ661" s="434">
        <f>IF(AH661&gt;0,Ruimtestaat[[#This Row],[Prest. (m2 /jaar) weekend]]/Ruimtestaat[[#This Row],[Norm (m2/uur) weekend]],0)</f>
        <v>0</v>
      </c>
      <c r="AK661" s="444">
        <f>Ruimtestaat[[#This Row],[uren / jaar weekend]]*Tariefsopbouw!$D$40</f>
        <v>0</v>
      </c>
      <c r="AL661" s="441">
        <f>Ruimtestaat[[#This Row],[Prest. (m2 /jaar) weekend]]+Ruimtestaat[[#This Row],[Prest. (m2 /jaar) werkdagen]]</f>
        <v>0</v>
      </c>
      <c r="AM661" s="441">
        <f>Ruimtestaat[[#This Row],[uren / jaar weekend]]+Ruimtestaat[[#This Row],[uren / jaar werkdagen]]</f>
        <v>0</v>
      </c>
      <c r="AN661" s="446">
        <f>Ruimtestaat[[#This Row],[kosten / jaar weekend]]+Ruimtestaat[[#This Row],[kosten / jaar werkdagen]]</f>
        <v>0</v>
      </c>
      <c r="AO661" s="446"/>
      <c r="AP661" s="446" t="str">
        <f>IF(Ruimtestaat[[#This Row],[Frequentie werkdagen]]="","",_xlfn.CONCAT(Ruimtestaat[[#This Row],[Ruimte code]],"-",Ruimtestaat[[#This Row],[Frequentie werkdagen]]," ",Ruimtestaat[[#This Row],[Vloer code]]))</f>
        <v/>
      </c>
      <c r="AQ661" s="448" t="str">
        <f>_xlfn.IFNA(VLOOKUP($AP661,Programma!$F$3:$G$1101,2,0),"")</f>
        <v/>
      </c>
      <c r="AR661" s="448" t="str">
        <f>_xlfn.IFNA(VLOOKUP($AP661,Programma!$F$3:$H$1101,3,0),"")</f>
        <v/>
      </c>
      <c r="AS661" s="448" t="str">
        <f>_xlfn.IFNA(VLOOKUP($AP661,Programma!$F$3:$I$1101,4,0),"")</f>
        <v/>
      </c>
      <c r="AT661" s="448" t="str">
        <f>_xlfn.IFNA(VLOOKUP($AP661,Programma!$F$3:$J$1101,5,0),"")</f>
        <v/>
      </c>
      <c r="AU661" s="448" t="str">
        <f>_xlfn.IFNA(VLOOKUP($AP661,Programma!$F$3:$K$1101,6,0),"")</f>
        <v/>
      </c>
      <c r="AV661" s="448" t="str">
        <f>_xlfn.IFNA(VLOOKUP($AP661,Programma!$F$3:$L$1101,7,0),"")</f>
        <v/>
      </c>
      <c r="AW661" s="448" t="str">
        <f>_xlfn.IFNA(VLOOKUP($AP661,Programma!$F$3:$M$1101,8,0),"")</f>
        <v/>
      </c>
      <c r="AX661" s="448" t="str">
        <f>_xlfn.IFNA(VLOOKUP($AP661,Programma!$F$3:$N$1101,9,0),"")</f>
        <v/>
      </c>
      <c r="AY661" s="448" t="str">
        <f>_xlfn.IFNA(VLOOKUP($AP661,Programma!$F$3:$O$1101,10,0),"")</f>
        <v/>
      </c>
      <c r="AZ661" s="448" t="str">
        <f>_xlfn.IFNA(VLOOKUP($AP661,Programma!$F$3:$P$1101,11,0),"")</f>
        <v/>
      </c>
      <c r="BA661" s="448" t="str">
        <f>_xlfn.IFNA(VLOOKUP($AP661,Programma!$F$3:$Q$1101,12,0),"")</f>
        <v/>
      </c>
      <c r="BB661" s="448" t="str">
        <f>_xlfn.IFNA(VLOOKUP($AP661,Programma!$F$3:$R$1101,13,0),"")</f>
        <v/>
      </c>
      <c r="BC661" s="448" t="str">
        <f>_xlfn.IFNA(VLOOKUP($AP661,Programma!$F$3:$S$1101,14,0),"")</f>
        <v/>
      </c>
      <c r="BD661" s="448" t="str">
        <f>_xlfn.IFNA(VLOOKUP($AP661,Programma!$F$3:$T$1101,15,0),"")</f>
        <v/>
      </c>
      <c r="BE661" s="448" t="str">
        <f>_xlfn.IFNA(VLOOKUP($AP661,Programma!$F$3:$U$1101,16,0),"")</f>
        <v/>
      </c>
      <c r="BF661" s="448" t="str">
        <f>_xlfn.IFNA(VLOOKUP($AP661,Programma!$F$3:$V$1101,17,0),"")</f>
        <v/>
      </c>
      <c r="BG661" s="448" t="str">
        <f>_xlfn.IFNA(VLOOKUP($AP661,Programma!$F$3:$W$1101,18,0),"")</f>
        <v/>
      </c>
      <c r="BH661" s="448" t="str">
        <f>_xlfn.IFNA(VLOOKUP($AP661,Programma!$F$3:$X$1101,19,0),"")</f>
        <v/>
      </c>
      <c r="BI661" s="448" t="str">
        <f>_xlfn.IFNA(VLOOKUP($AP661,Programma!$F$3:$Y$1101,20,0),"")</f>
        <v/>
      </c>
      <c r="BJ661" s="449"/>
      <c r="BK661" s="446" t="str">
        <f>IF(Ruimtestaat[[#This Row],[Frequentie weekend]]="","",_xlfn.CONCAT(Ruimtestaat[[#This Row],[Ruimte code]],"-",Ruimtestaat[[#This Row],[Frequentie weekend]]," ",Ruimtestaat[[#This Row],[Vloer code]]))</f>
        <v/>
      </c>
      <c r="BL661" s="448" t="str">
        <f>_xlfn.IFNA(VLOOKUP($BK661,Programma!$F$3:$G$1101,2,0),"")</f>
        <v/>
      </c>
      <c r="BM661" s="448" t="str">
        <f>_xlfn.IFNA(VLOOKUP($BK661,Programma!$F$3:$H$1101,3,0),"")</f>
        <v/>
      </c>
      <c r="BN661" s="448" t="str">
        <f>_xlfn.IFNA(VLOOKUP($BK661,Programma!$F$3:$I$1101,4,0),"")</f>
        <v/>
      </c>
      <c r="BO661" s="448" t="str">
        <f>_xlfn.IFNA(VLOOKUP($BK661,Programma!$F$3:$J$1101,5,0),"")</f>
        <v/>
      </c>
      <c r="BP661" s="448" t="str">
        <f>_xlfn.IFNA(VLOOKUP($BK661,Programma!$F$3:$K$1101,6,0),"")</f>
        <v/>
      </c>
      <c r="BQ661" s="448" t="str">
        <f>_xlfn.IFNA(VLOOKUP($BK661,Programma!$F$3:$L$1101,7,0),"")</f>
        <v/>
      </c>
      <c r="BR661" s="448" t="str">
        <f>_xlfn.IFNA(VLOOKUP($BK661,Programma!$F$3:$M$1101,8,0),"")</f>
        <v/>
      </c>
      <c r="BS661" s="448" t="str">
        <f>_xlfn.IFNA(VLOOKUP($BK661,Programma!$F$3:$N$1101,9,0),"")</f>
        <v/>
      </c>
      <c r="BT661" s="448" t="str">
        <f>_xlfn.IFNA(VLOOKUP($BK661,Programma!$F$3:$O$1101,10,0),"")</f>
        <v/>
      </c>
      <c r="BU661" s="448" t="str">
        <f>_xlfn.IFNA(VLOOKUP($BK661,Programma!$F$3:$P$1101,11,0),"")</f>
        <v/>
      </c>
      <c r="BV661" s="448" t="str">
        <f>_xlfn.IFNA(VLOOKUP($BK661,Programma!$F$3:$Q$1101,12,0),"")</f>
        <v/>
      </c>
      <c r="BW661" s="448" t="str">
        <f>_xlfn.IFNA(VLOOKUP($BK661,Programma!$F$3:$R$1101,13,0),"")</f>
        <v/>
      </c>
      <c r="BX661" s="448" t="str">
        <f>_xlfn.IFNA(VLOOKUP($BK661,Programma!$F$3:$S$1101,14,0),"")</f>
        <v/>
      </c>
      <c r="BY661" s="448" t="str">
        <f>_xlfn.IFNA(VLOOKUP($BK661,Programma!$F$3:$T$1101,15,0),"")</f>
        <v/>
      </c>
      <c r="BZ661" s="448" t="str">
        <f>_xlfn.IFNA(VLOOKUP($BK661,Programma!$F$3:$U$1101,16,0),"")</f>
        <v/>
      </c>
      <c r="CA661" s="448" t="str">
        <f>_xlfn.IFNA(VLOOKUP($BK661,Programma!$F$3:$V$1101,17,0),"")</f>
        <v/>
      </c>
      <c r="CB661" s="448" t="str">
        <f>_xlfn.IFNA(VLOOKUP($BK661,Programma!$F$3:$W$1101,18,0),"")</f>
        <v/>
      </c>
      <c r="CC661" s="448" t="str">
        <f>_xlfn.IFNA(VLOOKUP($BK661,Programma!$F$3:$X$1101,19,0),"")</f>
        <v/>
      </c>
      <c r="CD661" s="448" t="str">
        <f>_xlfn.IFNA(VLOOKUP($BK661,Programma!$F$3:$Y$1101,20,0),"")</f>
        <v/>
      </c>
    </row>
    <row r="662" spans="1:82" ht="15" customHeight="1">
      <c r="A662" s="327">
        <v>15</v>
      </c>
      <c r="B662" s="435" t="str">
        <f>VLOOKUP(Ruimtestaat[[#This Row],[Code]],Locaties[[Code]:[Locatie]],2,FALSE)</f>
        <v>IKC  Da Vinci</v>
      </c>
      <c r="C662" s="435" t="str">
        <f>VLOOKUP(Ruimtestaat[[#This Row],[Code]],Locaties[[#All],[Code]:[Adres]],4,FALSE)</f>
        <v>Spitsbergen 17</v>
      </c>
      <c r="D662" s="435" t="str">
        <f>VLOOKUP(Ruimtestaat[[#This Row],[Code]],Locaties[[#All],[Code]:[Postcode]],5,FALSE)</f>
        <v>2721 GP</v>
      </c>
      <c r="E662" s="435" t="str">
        <f>VLOOKUP(Ruimtestaat[[#This Row],[Code]],Locaties[#All],6,FALSE)</f>
        <v>Zoetermeer</v>
      </c>
      <c r="F662" s="330" t="s">
        <v>2154</v>
      </c>
      <c r="I662" s="450" t="s">
        <v>1708</v>
      </c>
      <c r="J662" s="330">
        <v>20</v>
      </c>
      <c r="K662" s="450" t="str">
        <f>VLOOKUP(Ruimtestaat[[#This Row],[Ruimte code]],Ruimtegroepen[[#All],[Code]:[Ruimte omschrijving]],2,FALSE)</f>
        <v>Niet in Onderhoud</v>
      </c>
      <c r="M662" s="330"/>
      <c r="N662" s="439"/>
      <c r="O662" s="439">
        <v>219</v>
      </c>
      <c r="P662" s="439"/>
      <c r="Q662" s="439"/>
      <c r="R662" s="440">
        <f>VLOOKUP(Ruimtestaat[[#This Row],[Ruimte code]],Ruimtegroepen[],4,FALSE)</f>
        <v>0</v>
      </c>
      <c r="S662" s="434"/>
      <c r="T662" s="434"/>
      <c r="U662" s="453">
        <f>IF(S662&gt;0,IF(RIGHT(Ruimtestaat[[#This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2" s="434">
        <f>IF(U662&gt;0,VLOOKUP($J662,Ruimtegroepen[],3,FALSE)*VLOOKUP($L662,Vloersoorten[],3,FALSE)*VLOOKUP($T662,Frequenties[],3,FALSE)*VLOOKUP($A662,Locaties[],3,FALSE),0)</f>
        <v>0</v>
      </c>
      <c r="W662" s="434">
        <f>Ruimtestaat[[#This Row],[Uitvoeringen werkdagen]]*Ruimtestaat[[#This Row],[Oppervlak (netto)]]</f>
        <v>0</v>
      </c>
      <c r="X662" s="441">
        <f>IF(V662&gt;0,Ruimtestaat[[#This Row],[Prest. (m2 /jaar) werkdagen]]/Ruimtestaat[[#This Row],[Norm (m2/uur) werkdagen]],0)</f>
        <v>0</v>
      </c>
      <c r="Y662" s="442">
        <f>Ruimtestaat[[#This Row],[Uitvoeringen werkdagen]]*Ruimtestaat[[#This Row],[Gedeeltelijk]]</f>
        <v>0</v>
      </c>
      <c r="Z662" s="443">
        <f>IF(U662&gt;0,Ruimtestaat[[#This Row],[Prest. (m2 / jaar) werkdagen gedeeld]]/Ruimtestaat[[#This Row],[Norm (m2/uur) werkdagen]],0)</f>
        <v>0</v>
      </c>
      <c r="AA662" s="441">
        <f>Ruimtestaat[[#This Row],[uren / jaar werkdagen gedeeld]]*Tariefsopbouw!$E$35</f>
        <v>0</v>
      </c>
      <c r="AB662" s="441">
        <f>Ruimtestaat[[#This Row],[Uitvoeringen werkdagen]]*Ruimtestaat[[#This Row],[BSO]]</f>
        <v>0</v>
      </c>
      <c r="AC662" s="443">
        <f>IF(U662&gt;0,Ruimtestaat[[#This Row],[Prest. (m2 / jaar) werkdagen BSO]]/Ruimtestaat[[#This Row],[Norm (m2/uur) werkdagen]],0)</f>
        <v>0</v>
      </c>
      <c r="AD662" s="443">
        <f>Ruimtestaat[[#This Row],[uren / jaar werkdagen BSO]]*Tariefsopbouw!$E$35</f>
        <v>0</v>
      </c>
      <c r="AE662" s="444">
        <f>Ruimtestaat[[#This Row],[uren / jaar werkdagen]]*Tariefsopbouw!$E$35</f>
        <v>0</v>
      </c>
      <c r="AF662" s="454"/>
      <c r="AG662" s="455">
        <f>IF(Ruimtestaat[[#This Row],[Frequentie weekend]]&gt;0,VALUE(LEFT(AF662,1))*S662,0)</f>
        <v>0</v>
      </c>
      <c r="AH662" s="455">
        <f>IF($AG662&gt;0,VLOOKUP($J662,Ruimtegroepen[],3,FALSE)*VLOOKUP($L662,Vloersoorten[],3,FALSE)*VLOOKUP($AF662,Frequenties[],3,FALSE)*VLOOKUP(#REF!,Locaties[],3,FALSE),0)</f>
        <v>0</v>
      </c>
      <c r="AI662" s="434">
        <f>Ruimtestaat[[#This Row],[Uitvoeringen weekend]]*Ruimtestaat[[#This Row],[Oppervlak (netto)]]</f>
        <v>0</v>
      </c>
      <c r="AJ662" s="434">
        <f>IF(AH662&gt;0,Ruimtestaat[[#This Row],[Prest. (m2 /jaar) weekend]]/Ruimtestaat[[#This Row],[Norm (m2/uur) weekend]],0)</f>
        <v>0</v>
      </c>
      <c r="AK662" s="444">
        <f>Ruimtestaat[[#This Row],[uren / jaar weekend]]*Tariefsopbouw!$D$40</f>
        <v>0</v>
      </c>
      <c r="AL662" s="441">
        <f>Ruimtestaat[[#This Row],[Prest. (m2 /jaar) weekend]]+Ruimtestaat[[#This Row],[Prest. (m2 /jaar) werkdagen]]</f>
        <v>0</v>
      </c>
      <c r="AM662" s="441">
        <f>Ruimtestaat[[#This Row],[uren / jaar weekend]]+Ruimtestaat[[#This Row],[uren / jaar werkdagen]]</f>
        <v>0</v>
      </c>
      <c r="AN662" s="446">
        <f>Ruimtestaat[[#This Row],[kosten / jaar weekend]]+Ruimtestaat[[#This Row],[kosten / jaar werkdagen]]</f>
        <v>0</v>
      </c>
      <c r="AO662" s="446"/>
      <c r="AP662" s="446" t="str">
        <f>IF(Ruimtestaat[[#This Row],[Frequentie werkdagen]]="","",_xlfn.CONCAT(Ruimtestaat[[#This Row],[Ruimte code]],"-",Ruimtestaat[[#This Row],[Frequentie werkdagen]]," ",Ruimtestaat[[#This Row],[Vloer code]]))</f>
        <v/>
      </c>
      <c r="AQ662" s="448" t="str">
        <f>_xlfn.IFNA(VLOOKUP($AP662,Programma!$F$3:$G$1101,2,0),"")</f>
        <v/>
      </c>
      <c r="AR662" s="448" t="str">
        <f>_xlfn.IFNA(VLOOKUP($AP662,Programma!$F$3:$H$1101,3,0),"")</f>
        <v/>
      </c>
      <c r="AS662" s="448" t="str">
        <f>_xlfn.IFNA(VLOOKUP($AP662,Programma!$F$3:$I$1101,4,0),"")</f>
        <v/>
      </c>
      <c r="AT662" s="448" t="str">
        <f>_xlfn.IFNA(VLOOKUP($AP662,Programma!$F$3:$J$1101,5,0),"")</f>
        <v/>
      </c>
      <c r="AU662" s="448" t="str">
        <f>_xlfn.IFNA(VLOOKUP($AP662,Programma!$F$3:$K$1101,6,0),"")</f>
        <v/>
      </c>
      <c r="AV662" s="448" t="str">
        <f>_xlfn.IFNA(VLOOKUP($AP662,Programma!$F$3:$L$1101,7,0),"")</f>
        <v/>
      </c>
      <c r="AW662" s="448" t="str">
        <f>_xlfn.IFNA(VLOOKUP($AP662,Programma!$F$3:$M$1101,8,0),"")</f>
        <v/>
      </c>
      <c r="AX662" s="448" t="str">
        <f>_xlfn.IFNA(VLOOKUP($AP662,Programma!$F$3:$N$1101,9,0),"")</f>
        <v/>
      </c>
      <c r="AY662" s="448" t="str">
        <f>_xlfn.IFNA(VLOOKUP($AP662,Programma!$F$3:$O$1101,10,0),"")</f>
        <v/>
      </c>
      <c r="AZ662" s="448" t="str">
        <f>_xlfn.IFNA(VLOOKUP($AP662,Programma!$F$3:$P$1101,11,0),"")</f>
        <v/>
      </c>
      <c r="BA662" s="448" t="str">
        <f>_xlfn.IFNA(VLOOKUP($AP662,Programma!$F$3:$Q$1101,12,0),"")</f>
        <v/>
      </c>
      <c r="BB662" s="448" t="str">
        <f>_xlfn.IFNA(VLOOKUP($AP662,Programma!$F$3:$R$1101,13,0),"")</f>
        <v/>
      </c>
      <c r="BC662" s="448" t="str">
        <f>_xlfn.IFNA(VLOOKUP($AP662,Programma!$F$3:$S$1101,14,0),"")</f>
        <v/>
      </c>
      <c r="BD662" s="448" t="str">
        <f>_xlfn.IFNA(VLOOKUP($AP662,Programma!$F$3:$T$1101,15,0),"")</f>
        <v/>
      </c>
      <c r="BE662" s="448" t="str">
        <f>_xlfn.IFNA(VLOOKUP($AP662,Programma!$F$3:$U$1101,16,0),"")</f>
        <v/>
      </c>
      <c r="BF662" s="448" t="str">
        <f>_xlfn.IFNA(VLOOKUP($AP662,Programma!$F$3:$V$1101,17,0),"")</f>
        <v/>
      </c>
      <c r="BG662" s="448" t="str">
        <f>_xlfn.IFNA(VLOOKUP($AP662,Programma!$F$3:$W$1101,18,0),"")</f>
        <v/>
      </c>
      <c r="BH662" s="448" t="str">
        <f>_xlfn.IFNA(VLOOKUP($AP662,Programma!$F$3:$X$1101,19,0),"")</f>
        <v/>
      </c>
      <c r="BI662" s="448" t="str">
        <f>_xlfn.IFNA(VLOOKUP($AP662,Programma!$F$3:$Y$1101,20,0),"")</f>
        <v/>
      </c>
      <c r="BJ662" s="449"/>
      <c r="BK662" s="446" t="str">
        <f>IF(Ruimtestaat[[#This Row],[Frequentie weekend]]="","",_xlfn.CONCAT(Ruimtestaat[[#This Row],[Ruimte code]],"-",Ruimtestaat[[#This Row],[Frequentie weekend]]," ",Ruimtestaat[[#This Row],[Vloer code]]))</f>
        <v/>
      </c>
      <c r="BL662" s="448" t="str">
        <f>_xlfn.IFNA(VLOOKUP($BK662,Programma!$F$3:$G$1101,2,0),"")</f>
        <v/>
      </c>
      <c r="BM662" s="448" t="str">
        <f>_xlfn.IFNA(VLOOKUP($BK662,Programma!$F$3:$H$1101,3,0),"")</f>
        <v/>
      </c>
      <c r="BN662" s="448" t="str">
        <f>_xlfn.IFNA(VLOOKUP($BK662,Programma!$F$3:$I$1101,4,0),"")</f>
        <v/>
      </c>
      <c r="BO662" s="448" t="str">
        <f>_xlfn.IFNA(VLOOKUP($BK662,Programma!$F$3:$J$1101,5,0),"")</f>
        <v/>
      </c>
      <c r="BP662" s="448" t="str">
        <f>_xlfn.IFNA(VLOOKUP($BK662,Programma!$F$3:$K$1101,6,0),"")</f>
        <v/>
      </c>
      <c r="BQ662" s="448" t="str">
        <f>_xlfn.IFNA(VLOOKUP($BK662,Programma!$F$3:$L$1101,7,0),"")</f>
        <v/>
      </c>
      <c r="BR662" s="448" t="str">
        <f>_xlfn.IFNA(VLOOKUP($BK662,Programma!$F$3:$M$1101,8,0),"")</f>
        <v/>
      </c>
      <c r="BS662" s="448" t="str">
        <f>_xlfn.IFNA(VLOOKUP($BK662,Programma!$F$3:$N$1101,9,0),"")</f>
        <v/>
      </c>
      <c r="BT662" s="448" t="str">
        <f>_xlfn.IFNA(VLOOKUP($BK662,Programma!$F$3:$O$1101,10,0),"")</f>
        <v/>
      </c>
      <c r="BU662" s="448" t="str">
        <f>_xlfn.IFNA(VLOOKUP($BK662,Programma!$F$3:$P$1101,11,0),"")</f>
        <v/>
      </c>
      <c r="BV662" s="448" t="str">
        <f>_xlfn.IFNA(VLOOKUP($BK662,Programma!$F$3:$Q$1101,12,0),"")</f>
        <v/>
      </c>
      <c r="BW662" s="448" t="str">
        <f>_xlfn.IFNA(VLOOKUP($BK662,Programma!$F$3:$R$1101,13,0),"")</f>
        <v/>
      </c>
      <c r="BX662" s="448" t="str">
        <f>_xlfn.IFNA(VLOOKUP($BK662,Programma!$F$3:$S$1101,14,0),"")</f>
        <v/>
      </c>
      <c r="BY662" s="448" t="str">
        <f>_xlfn.IFNA(VLOOKUP($BK662,Programma!$F$3:$T$1101,15,0),"")</f>
        <v/>
      </c>
      <c r="BZ662" s="448" t="str">
        <f>_xlfn.IFNA(VLOOKUP($BK662,Programma!$F$3:$U$1101,16,0),"")</f>
        <v/>
      </c>
      <c r="CA662" s="448" t="str">
        <f>_xlfn.IFNA(VLOOKUP($BK662,Programma!$F$3:$V$1101,17,0),"")</f>
        <v/>
      </c>
      <c r="CB662" s="448" t="str">
        <f>_xlfn.IFNA(VLOOKUP($BK662,Programma!$F$3:$W$1101,18,0),"")</f>
        <v/>
      </c>
      <c r="CC662" s="448" t="str">
        <f>_xlfn.IFNA(VLOOKUP($BK662,Programma!$F$3:$X$1101,19,0),"")</f>
        <v/>
      </c>
      <c r="CD662" s="448" t="str">
        <f>_xlfn.IFNA(VLOOKUP($BK662,Programma!$F$3:$Y$1101,20,0),"")</f>
        <v/>
      </c>
    </row>
    <row r="663" spans="1:82" ht="15" customHeight="1">
      <c r="A663" s="327">
        <v>15</v>
      </c>
      <c r="B663" s="435" t="str">
        <f>VLOOKUP(Ruimtestaat[[#This Row],[Code]],Locaties[[Code]:[Locatie]],2,FALSE)</f>
        <v>IKC  Da Vinci</v>
      </c>
      <c r="C663" s="435" t="str">
        <f>VLOOKUP(Ruimtestaat[[#This Row],[Code]],Locaties[[#All],[Code]:[Adres]],4,FALSE)</f>
        <v>Spitsbergen 17</v>
      </c>
      <c r="D663" s="435" t="str">
        <f>VLOOKUP(Ruimtestaat[[#This Row],[Code]],Locaties[[#All],[Code]:[Postcode]],5,FALSE)</f>
        <v>2721 GP</v>
      </c>
      <c r="E663" s="435" t="str">
        <f>VLOOKUP(Ruimtestaat[[#This Row],[Code]],Locaties[#All],6,FALSE)</f>
        <v>Zoetermeer</v>
      </c>
      <c r="F663" s="330" t="s">
        <v>2154</v>
      </c>
      <c r="I663" s="450" t="s">
        <v>1708</v>
      </c>
      <c r="J663" s="330">
        <v>6</v>
      </c>
      <c r="K663" s="450" t="str">
        <f>VLOOKUP(Ruimtestaat[[#This Row],[Ruimte code]],Ruimtegroepen[[#All],[Code]:[Ruimte omschrijving]],2,FALSE)</f>
        <v>Gangen/hallen</v>
      </c>
      <c r="L663" s="434" t="s">
        <v>100</v>
      </c>
      <c r="M663" s="437" t="s">
        <v>1759</v>
      </c>
      <c r="N663" s="439">
        <v>128</v>
      </c>
      <c r="O663" s="439"/>
      <c r="P663" s="439"/>
      <c r="Q663" s="439"/>
      <c r="R663" s="440" t="str">
        <f>VLOOKUP(Ruimtestaat[[#This Row],[Ruimte code]],Ruimtegroepen[],4,FALSE)</f>
        <v>Ve</v>
      </c>
      <c r="S663" s="434">
        <v>41</v>
      </c>
      <c r="T663" s="434" t="s">
        <v>2</v>
      </c>
      <c r="U663" s="453">
        <f>IF(S663&gt;0,IF(RIGHT(Ruimtestaat[[#This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63" s="434">
        <f>IF(U663&gt;0,VLOOKUP($J663,Ruimtegroepen[],3,FALSE)*VLOOKUP($L663,Vloersoorten[],3,FALSE)*VLOOKUP($T663,Frequenties[],3,FALSE)*VLOOKUP($A663,Locaties[],3,FALSE),0)</f>
        <v>0</v>
      </c>
      <c r="W663" s="434">
        <f>Ruimtestaat[[#This Row],[Uitvoeringen werkdagen]]*Ruimtestaat[[#This Row],[Oppervlak (netto)]]</f>
        <v>26240</v>
      </c>
      <c r="X663" s="441">
        <f>IF(V663&gt;0,Ruimtestaat[[#This Row],[Prest. (m2 /jaar) werkdagen]]/Ruimtestaat[[#This Row],[Norm (m2/uur) werkdagen]],0)</f>
        <v>0</v>
      </c>
      <c r="Y663" s="442">
        <f>Ruimtestaat[[#This Row],[Uitvoeringen werkdagen]]*Ruimtestaat[[#This Row],[Gedeeltelijk]]</f>
        <v>0</v>
      </c>
      <c r="Z663" s="443" t="e">
        <f>IF(U663&gt;0,Ruimtestaat[[#This Row],[Prest. (m2 / jaar) werkdagen gedeeld]]/Ruimtestaat[[#This Row],[Norm (m2/uur) werkdagen]],0)</f>
        <v>#DIV/0!</v>
      </c>
      <c r="AA663" s="441" t="e">
        <f>Ruimtestaat[[#This Row],[uren / jaar werkdagen gedeeld]]*Tariefsopbouw!$E$35</f>
        <v>#DIV/0!</v>
      </c>
      <c r="AB663" s="441">
        <f>Ruimtestaat[[#This Row],[Uitvoeringen werkdagen]]*Ruimtestaat[[#This Row],[BSO]]</f>
        <v>0</v>
      </c>
      <c r="AC663" s="443" t="e">
        <f>IF(U663&gt;0,Ruimtestaat[[#This Row],[Prest. (m2 / jaar) werkdagen BSO]]/Ruimtestaat[[#This Row],[Norm (m2/uur) werkdagen]],0)</f>
        <v>#DIV/0!</v>
      </c>
      <c r="AD663" s="443" t="e">
        <f>Ruimtestaat[[#This Row],[uren / jaar werkdagen BSO]]*Tariefsopbouw!$E$35</f>
        <v>#DIV/0!</v>
      </c>
      <c r="AE663" s="444">
        <f>Ruimtestaat[[#This Row],[uren / jaar werkdagen]]*Tariefsopbouw!$E$35</f>
        <v>0</v>
      </c>
      <c r="AF663" s="454"/>
      <c r="AG663" s="455">
        <f>IF(Ruimtestaat[[#This Row],[Frequentie weekend]]&gt;0,VALUE(LEFT(AF663,1))*S663,0)</f>
        <v>0</v>
      </c>
      <c r="AH663" s="455">
        <f>IF($AG663&gt;0,VLOOKUP($J663,Ruimtegroepen[],3,FALSE)*VLOOKUP($L663,Vloersoorten[],3,FALSE)*VLOOKUP($AF663,Frequenties[],3,FALSE)*VLOOKUP(#REF!,Locaties[],3,FALSE),0)</f>
        <v>0</v>
      </c>
      <c r="AI663" s="434">
        <f>Ruimtestaat[[#This Row],[Uitvoeringen weekend]]*Ruimtestaat[[#This Row],[Oppervlak (netto)]]</f>
        <v>0</v>
      </c>
      <c r="AJ663" s="434">
        <f>IF(AH663&gt;0,Ruimtestaat[[#This Row],[Prest. (m2 /jaar) weekend]]/Ruimtestaat[[#This Row],[Norm (m2/uur) weekend]],0)</f>
        <v>0</v>
      </c>
      <c r="AK663" s="444">
        <f>Ruimtestaat[[#This Row],[uren / jaar weekend]]*Tariefsopbouw!$D$40</f>
        <v>0</v>
      </c>
      <c r="AL663" s="441">
        <f>Ruimtestaat[[#This Row],[Prest. (m2 /jaar) weekend]]+Ruimtestaat[[#This Row],[Prest. (m2 /jaar) werkdagen]]</f>
        <v>26240</v>
      </c>
      <c r="AM663" s="441">
        <f>Ruimtestaat[[#This Row],[uren / jaar weekend]]+Ruimtestaat[[#This Row],[uren / jaar werkdagen]]</f>
        <v>0</v>
      </c>
      <c r="AN663" s="446">
        <f>Ruimtestaat[[#This Row],[kosten / jaar weekend]]+Ruimtestaat[[#This Row],[kosten / jaar werkdagen]]</f>
        <v>0</v>
      </c>
      <c r="AO663" s="446"/>
      <c r="AP663" s="446" t="str">
        <f>IF(Ruimtestaat[[#This Row],[Frequentie werkdagen]]="","",_xlfn.CONCAT(Ruimtestaat[[#This Row],[Ruimte code]],"-",Ruimtestaat[[#This Row],[Frequentie werkdagen]]," ",Ruimtestaat[[#This Row],[Vloer code]]))</f>
        <v>6-5w L</v>
      </c>
      <c r="AQ663" s="448" t="str">
        <f>_xlfn.IFNA(VLOOKUP($AP663,Programma!$F$3:$G$1101,2,0),"")</f>
        <v>_</v>
      </c>
      <c r="AR663" s="448" t="str">
        <f>_xlfn.IFNA(VLOOKUP($AP663,Programma!$F$3:$H$1101,3,0),"")</f>
        <v>_</v>
      </c>
      <c r="AS663" s="448" t="str">
        <f>_xlfn.IFNA(VLOOKUP($AP663,Programma!$F$3:$I$1101,4,0),"")</f>
        <v>_</v>
      </c>
      <c r="AT663" s="448" t="str">
        <f>_xlfn.IFNA(VLOOKUP($AP663,Programma!$F$3:$J$1101,5,0),"")</f>
        <v>5w</v>
      </c>
      <c r="AU663" s="448" t="str">
        <f>_xlfn.IFNA(VLOOKUP($AP663,Programma!$F$3:$K$1101,6,0),"")</f>
        <v>_</v>
      </c>
      <c r="AV663" s="448" t="str">
        <f>_xlfn.IFNA(VLOOKUP($AP663,Programma!$F$3:$L$1101,7,0),"")</f>
        <v>_</v>
      </c>
      <c r="AW663" s="448" t="str">
        <f>_xlfn.IFNA(VLOOKUP($AP663,Programma!$F$3:$M$1101,8,0),"")</f>
        <v>_</v>
      </c>
      <c r="AX663" s="448" t="str">
        <f>_xlfn.IFNA(VLOOKUP($AP663,Programma!$F$3:$N$1101,9,0),"")</f>
        <v>_</v>
      </c>
      <c r="AY663" s="448" t="str">
        <f>_xlfn.IFNA(VLOOKUP($AP663,Programma!$F$3:$O$1101,10,0),"")</f>
        <v>5w</v>
      </c>
      <c r="AZ663" s="448" t="str">
        <f>_xlfn.IFNA(VLOOKUP($AP663,Programma!$F$3:$P$1101,11,0),"")</f>
        <v>5w</v>
      </c>
      <c r="BA663" s="448" t="str">
        <f>_xlfn.IFNA(VLOOKUP($AP663,Programma!$F$3:$Q$1101,12,0),"")</f>
        <v>1w</v>
      </c>
      <c r="BB663" s="448" t="str">
        <f>_xlfn.IFNA(VLOOKUP($AP663,Programma!$F$3:$R$1101,13,0),"")</f>
        <v>1w</v>
      </c>
      <c r="BC663" s="448" t="str">
        <f>_xlfn.IFNA(VLOOKUP($AP663,Programma!$F$3:$S$1101,14,0),"")</f>
        <v>1m</v>
      </c>
      <c r="BD663" s="448" t="str">
        <f>_xlfn.IFNA(VLOOKUP($AP663,Programma!$F$3:$T$1101,15,0),"")</f>
        <v>2j</v>
      </c>
      <c r="BE663" s="448" t="str">
        <f>_xlfn.IFNA(VLOOKUP($AP663,Programma!$F$3:$U$1101,16,0),"")</f>
        <v>1j</v>
      </c>
      <c r="BF663" s="448" t="str">
        <f>_xlfn.IFNA(VLOOKUP($AP663,Programma!$F$3:$V$1101,17,0),"")</f>
        <v>_</v>
      </c>
      <c r="BG663" s="448" t="str">
        <f>_xlfn.IFNA(VLOOKUP($AP663,Programma!$F$3:$W$1101,18,0),"")</f>
        <v>_</v>
      </c>
      <c r="BH663" s="448" t="str">
        <f>_xlfn.IFNA(VLOOKUP($AP663,Programma!$F$3:$X$1101,19,0),"")</f>
        <v>_</v>
      </c>
      <c r="BI663" s="448" t="str">
        <f>_xlfn.IFNA(VLOOKUP($AP663,Programma!$F$3:$Y$1101,20,0),"")</f>
        <v>_</v>
      </c>
      <c r="BJ663" s="449"/>
      <c r="BK663" s="446" t="str">
        <f>IF(Ruimtestaat[[#This Row],[Frequentie weekend]]="","",_xlfn.CONCAT(Ruimtestaat[[#This Row],[Ruimte code]],"-",Ruimtestaat[[#This Row],[Frequentie weekend]]," ",Ruimtestaat[[#This Row],[Vloer code]]))</f>
        <v/>
      </c>
      <c r="BL663" s="448" t="str">
        <f>_xlfn.IFNA(VLOOKUP($BK663,Programma!$F$3:$G$1101,2,0),"")</f>
        <v/>
      </c>
      <c r="BM663" s="448" t="str">
        <f>_xlfn.IFNA(VLOOKUP($BK663,Programma!$F$3:$H$1101,3,0),"")</f>
        <v/>
      </c>
      <c r="BN663" s="448" t="str">
        <f>_xlfn.IFNA(VLOOKUP($BK663,Programma!$F$3:$I$1101,4,0),"")</f>
        <v/>
      </c>
      <c r="BO663" s="448" t="str">
        <f>_xlfn.IFNA(VLOOKUP($BK663,Programma!$F$3:$J$1101,5,0),"")</f>
        <v/>
      </c>
      <c r="BP663" s="448" t="str">
        <f>_xlfn.IFNA(VLOOKUP($BK663,Programma!$F$3:$K$1101,6,0),"")</f>
        <v/>
      </c>
      <c r="BQ663" s="448" t="str">
        <f>_xlfn.IFNA(VLOOKUP($BK663,Programma!$F$3:$L$1101,7,0),"")</f>
        <v/>
      </c>
      <c r="BR663" s="448" t="str">
        <f>_xlfn.IFNA(VLOOKUP($BK663,Programma!$F$3:$M$1101,8,0),"")</f>
        <v/>
      </c>
      <c r="BS663" s="448" t="str">
        <f>_xlfn.IFNA(VLOOKUP($BK663,Programma!$F$3:$N$1101,9,0),"")</f>
        <v/>
      </c>
      <c r="BT663" s="448" t="str">
        <f>_xlfn.IFNA(VLOOKUP($BK663,Programma!$F$3:$O$1101,10,0),"")</f>
        <v/>
      </c>
      <c r="BU663" s="448" t="str">
        <f>_xlfn.IFNA(VLOOKUP($BK663,Programma!$F$3:$P$1101,11,0),"")</f>
        <v/>
      </c>
      <c r="BV663" s="448" t="str">
        <f>_xlfn.IFNA(VLOOKUP($BK663,Programma!$F$3:$Q$1101,12,0),"")</f>
        <v/>
      </c>
      <c r="BW663" s="448" t="str">
        <f>_xlfn.IFNA(VLOOKUP($BK663,Programma!$F$3:$R$1101,13,0),"")</f>
        <v/>
      </c>
      <c r="BX663" s="448" t="str">
        <f>_xlfn.IFNA(VLOOKUP($BK663,Programma!$F$3:$S$1101,14,0),"")</f>
        <v/>
      </c>
      <c r="BY663" s="448" t="str">
        <f>_xlfn.IFNA(VLOOKUP($BK663,Programma!$F$3:$T$1101,15,0),"")</f>
        <v/>
      </c>
      <c r="BZ663" s="448" t="str">
        <f>_xlfn.IFNA(VLOOKUP($BK663,Programma!$F$3:$U$1101,16,0),"")</f>
        <v/>
      </c>
      <c r="CA663" s="448" t="str">
        <f>_xlfn.IFNA(VLOOKUP($BK663,Programma!$F$3:$V$1101,17,0),"")</f>
        <v/>
      </c>
      <c r="CB663" s="448" t="str">
        <f>_xlfn.IFNA(VLOOKUP($BK663,Programma!$F$3:$W$1101,18,0),"")</f>
        <v/>
      </c>
      <c r="CC663" s="448" t="str">
        <f>_xlfn.IFNA(VLOOKUP($BK663,Programma!$F$3:$X$1101,19,0),"")</f>
        <v/>
      </c>
      <c r="CD663" s="448" t="str">
        <f>_xlfn.IFNA(VLOOKUP($BK663,Programma!$F$3:$Y$1101,20,0),"")</f>
        <v/>
      </c>
    </row>
    <row r="664" spans="1:82" ht="15" customHeight="1">
      <c r="A664" s="327">
        <v>15</v>
      </c>
      <c r="B664" s="435" t="str">
        <f>VLOOKUP(Ruimtestaat[[#This Row],[Code]],Locaties[[Code]:[Locatie]],2,FALSE)</f>
        <v>IKC  Da Vinci</v>
      </c>
      <c r="C664" s="435" t="str">
        <f>VLOOKUP(Ruimtestaat[[#This Row],[Code]],Locaties[[#All],[Code]:[Adres]],4,FALSE)</f>
        <v>Spitsbergen 17</v>
      </c>
      <c r="D664" s="435" t="str">
        <f>VLOOKUP(Ruimtestaat[[#This Row],[Code]],Locaties[[#All],[Code]:[Postcode]],5,FALSE)</f>
        <v>2721 GP</v>
      </c>
      <c r="E664" s="435" t="str">
        <f>VLOOKUP(Ruimtestaat[[#This Row],[Code]],Locaties[#All],6,FALSE)</f>
        <v>Zoetermeer</v>
      </c>
      <c r="F664" s="330" t="s">
        <v>2154</v>
      </c>
      <c r="I664" s="450" t="s">
        <v>1708</v>
      </c>
      <c r="J664" s="330">
        <v>6</v>
      </c>
      <c r="K664" s="450" t="str">
        <f>VLOOKUP(Ruimtestaat[[#This Row],[Ruimte code]],Ruimtegroepen[[#All],[Code]:[Ruimte omschrijving]],2,FALSE)</f>
        <v>Gangen/hallen</v>
      </c>
      <c r="L664" s="434" t="s">
        <v>100</v>
      </c>
      <c r="M664" s="437" t="s">
        <v>1759</v>
      </c>
      <c r="N664" s="439">
        <v>54</v>
      </c>
      <c r="O664" s="439"/>
      <c r="P664" s="439"/>
      <c r="Q664" s="439"/>
      <c r="R664" s="440" t="str">
        <f>VLOOKUP(Ruimtestaat[[#This Row],[Ruimte code]],Ruimtegroepen[],4,FALSE)</f>
        <v>Ve</v>
      </c>
      <c r="S664" s="434">
        <v>41</v>
      </c>
      <c r="T664" s="434" t="s">
        <v>2</v>
      </c>
      <c r="U664" s="453">
        <f>IF(S664&gt;0,IF(RIGHT(Ruimtestaat[[#This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664" s="434">
        <f>IF(U664&gt;0,VLOOKUP($J664,Ruimtegroepen[],3,FALSE)*VLOOKUP($L664,Vloersoorten[],3,FALSE)*VLOOKUP($T664,Frequenties[],3,FALSE)*VLOOKUP($A664,Locaties[],3,FALSE),0)</f>
        <v>0</v>
      </c>
      <c r="W664" s="434">
        <f>Ruimtestaat[[#This Row],[Uitvoeringen werkdagen]]*Ruimtestaat[[#This Row],[Oppervlak (netto)]]</f>
        <v>11070</v>
      </c>
      <c r="X664" s="441">
        <f>IF(V664&gt;0,Ruimtestaat[[#This Row],[Prest. (m2 /jaar) werkdagen]]/Ruimtestaat[[#This Row],[Norm (m2/uur) werkdagen]],0)</f>
        <v>0</v>
      </c>
      <c r="Y664" s="442">
        <f>Ruimtestaat[[#This Row],[Uitvoeringen werkdagen]]*Ruimtestaat[[#This Row],[Gedeeltelijk]]</f>
        <v>0</v>
      </c>
      <c r="Z664" s="443" t="e">
        <f>IF(U664&gt;0,Ruimtestaat[[#This Row],[Prest. (m2 / jaar) werkdagen gedeeld]]/Ruimtestaat[[#This Row],[Norm (m2/uur) werkdagen]],0)</f>
        <v>#DIV/0!</v>
      </c>
      <c r="AA664" s="441" t="e">
        <f>Ruimtestaat[[#This Row],[uren / jaar werkdagen gedeeld]]*Tariefsopbouw!$E$35</f>
        <v>#DIV/0!</v>
      </c>
      <c r="AB664" s="441">
        <f>Ruimtestaat[[#This Row],[Uitvoeringen werkdagen]]*Ruimtestaat[[#This Row],[BSO]]</f>
        <v>0</v>
      </c>
      <c r="AC664" s="443" t="e">
        <f>IF(U664&gt;0,Ruimtestaat[[#This Row],[Prest. (m2 / jaar) werkdagen BSO]]/Ruimtestaat[[#This Row],[Norm (m2/uur) werkdagen]],0)</f>
        <v>#DIV/0!</v>
      </c>
      <c r="AD664" s="443" t="e">
        <f>Ruimtestaat[[#This Row],[uren / jaar werkdagen BSO]]*Tariefsopbouw!$E$35</f>
        <v>#DIV/0!</v>
      </c>
      <c r="AE664" s="444">
        <f>Ruimtestaat[[#This Row],[uren / jaar werkdagen]]*Tariefsopbouw!$E$35</f>
        <v>0</v>
      </c>
      <c r="AF664" s="454"/>
      <c r="AG664" s="455">
        <f>IF(Ruimtestaat[[#This Row],[Frequentie weekend]]&gt;0,VALUE(LEFT(AF664,1))*S664,0)</f>
        <v>0</v>
      </c>
      <c r="AH664" s="455">
        <f>IF($AG664&gt;0,VLOOKUP($J664,Ruimtegroepen[],3,FALSE)*VLOOKUP($L664,Vloersoorten[],3,FALSE)*VLOOKUP($AF664,Frequenties[],3,FALSE)*VLOOKUP(#REF!,Locaties[],3,FALSE),0)</f>
        <v>0</v>
      </c>
      <c r="AI664" s="434">
        <f>Ruimtestaat[[#This Row],[Uitvoeringen weekend]]*Ruimtestaat[[#This Row],[Oppervlak (netto)]]</f>
        <v>0</v>
      </c>
      <c r="AJ664" s="434">
        <f>IF(AH664&gt;0,Ruimtestaat[[#This Row],[Prest. (m2 /jaar) weekend]]/Ruimtestaat[[#This Row],[Norm (m2/uur) weekend]],0)</f>
        <v>0</v>
      </c>
      <c r="AK664" s="444">
        <f>Ruimtestaat[[#This Row],[uren / jaar weekend]]*Tariefsopbouw!$D$40</f>
        <v>0</v>
      </c>
      <c r="AL664" s="441">
        <f>Ruimtestaat[[#This Row],[Prest. (m2 /jaar) weekend]]+Ruimtestaat[[#This Row],[Prest. (m2 /jaar) werkdagen]]</f>
        <v>11070</v>
      </c>
      <c r="AM664" s="441">
        <f>Ruimtestaat[[#This Row],[uren / jaar weekend]]+Ruimtestaat[[#This Row],[uren / jaar werkdagen]]</f>
        <v>0</v>
      </c>
      <c r="AN664" s="446">
        <f>Ruimtestaat[[#This Row],[kosten / jaar weekend]]+Ruimtestaat[[#This Row],[kosten / jaar werkdagen]]</f>
        <v>0</v>
      </c>
      <c r="AO664" s="446"/>
      <c r="AP664" s="446" t="str">
        <f>IF(Ruimtestaat[[#This Row],[Frequentie werkdagen]]="","",_xlfn.CONCAT(Ruimtestaat[[#This Row],[Ruimte code]],"-",Ruimtestaat[[#This Row],[Frequentie werkdagen]]," ",Ruimtestaat[[#This Row],[Vloer code]]))</f>
        <v>6-5w L</v>
      </c>
      <c r="AQ664" s="448" t="str">
        <f>_xlfn.IFNA(VLOOKUP($AP664,Programma!$F$3:$G$1101,2,0),"")</f>
        <v>_</v>
      </c>
      <c r="AR664" s="448" t="str">
        <f>_xlfn.IFNA(VLOOKUP($AP664,Programma!$F$3:$H$1101,3,0),"")</f>
        <v>_</v>
      </c>
      <c r="AS664" s="448" t="str">
        <f>_xlfn.IFNA(VLOOKUP($AP664,Programma!$F$3:$I$1101,4,0),"")</f>
        <v>_</v>
      </c>
      <c r="AT664" s="448" t="str">
        <f>_xlfn.IFNA(VLOOKUP($AP664,Programma!$F$3:$J$1101,5,0),"")</f>
        <v>5w</v>
      </c>
      <c r="AU664" s="448" t="str">
        <f>_xlfn.IFNA(VLOOKUP($AP664,Programma!$F$3:$K$1101,6,0),"")</f>
        <v>_</v>
      </c>
      <c r="AV664" s="448" t="str">
        <f>_xlfn.IFNA(VLOOKUP($AP664,Programma!$F$3:$L$1101,7,0),"")</f>
        <v>_</v>
      </c>
      <c r="AW664" s="448" t="str">
        <f>_xlfn.IFNA(VLOOKUP($AP664,Programma!$F$3:$M$1101,8,0),"")</f>
        <v>_</v>
      </c>
      <c r="AX664" s="448" t="str">
        <f>_xlfn.IFNA(VLOOKUP($AP664,Programma!$F$3:$N$1101,9,0),"")</f>
        <v>_</v>
      </c>
      <c r="AY664" s="448" t="str">
        <f>_xlfn.IFNA(VLOOKUP($AP664,Programma!$F$3:$O$1101,10,0),"")</f>
        <v>5w</v>
      </c>
      <c r="AZ664" s="448" t="str">
        <f>_xlfn.IFNA(VLOOKUP($AP664,Programma!$F$3:$P$1101,11,0),"")</f>
        <v>5w</v>
      </c>
      <c r="BA664" s="448" t="str">
        <f>_xlfn.IFNA(VLOOKUP($AP664,Programma!$F$3:$Q$1101,12,0),"")</f>
        <v>1w</v>
      </c>
      <c r="BB664" s="448" t="str">
        <f>_xlfn.IFNA(VLOOKUP($AP664,Programma!$F$3:$R$1101,13,0),"")</f>
        <v>1w</v>
      </c>
      <c r="BC664" s="448" t="str">
        <f>_xlfn.IFNA(VLOOKUP($AP664,Programma!$F$3:$S$1101,14,0),"")</f>
        <v>1m</v>
      </c>
      <c r="BD664" s="448" t="str">
        <f>_xlfn.IFNA(VLOOKUP($AP664,Programma!$F$3:$T$1101,15,0),"")</f>
        <v>2j</v>
      </c>
      <c r="BE664" s="448" t="str">
        <f>_xlfn.IFNA(VLOOKUP($AP664,Programma!$F$3:$U$1101,16,0),"")</f>
        <v>1j</v>
      </c>
      <c r="BF664" s="448" t="str">
        <f>_xlfn.IFNA(VLOOKUP($AP664,Programma!$F$3:$V$1101,17,0),"")</f>
        <v>_</v>
      </c>
      <c r="BG664" s="448" t="str">
        <f>_xlfn.IFNA(VLOOKUP($AP664,Programma!$F$3:$W$1101,18,0),"")</f>
        <v>_</v>
      </c>
      <c r="BH664" s="448" t="str">
        <f>_xlfn.IFNA(VLOOKUP($AP664,Programma!$F$3:$X$1101,19,0),"")</f>
        <v>_</v>
      </c>
      <c r="BI664" s="448" t="str">
        <f>_xlfn.IFNA(VLOOKUP($AP664,Programma!$F$3:$Y$1101,20,0),"")</f>
        <v>_</v>
      </c>
      <c r="BJ664" s="449"/>
      <c r="BK664" s="446" t="str">
        <f>IF(Ruimtestaat[[#This Row],[Frequentie weekend]]="","",_xlfn.CONCAT(Ruimtestaat[[#This Row],[Ruimte code]],"-",Ruimtestaat[[#This Row],[Frequentie weekend]]," ",Ruimtestaat[[#This Row],[Vloer code]]))</f>
        <v/>
      </c>
      <c r="BL664" s="448" t="str">
        <f>_xlfn.IFNA(VLOOKUP($BK664,Programma!$F$3:$G$1101,2,0),"")</f>
        <v/>
      </c>
      <c r="BM664" s="448" t="str">
        <f>_xlfn.IFNA(VLOOKUP($BK664,Programma!$F$3:$H$1101,3,0),"")</f>
        <v/>
      </c>
      <c r="BN664" s="448" t="str">
        <f>_xlfn.IFNA(VLOOKUP($BK664,Programma!$F$3:$I$1101,4,0),"")</f>
        <v/>
      </c>
      <c r="BO664" s="448" t="str">
        <f>_xlfn.IFNA(VLOOKUP($BK664,Programma!$F$3:$J$1101,5,0),"")</f>
        <v/>
      </c>
      <c r="BP664" s="448" t="str">
        <f>_xlfn.IFNA(VLOOKUP($BK664,Programma!$F$3:$K$1101,6,0),"")</f>
        <v/>
      </c>
      <c r="BQ664" s="448" t="str">
        <f>_xlfn.IFNA(VLOOKUP($BK664,Programma!$F$3:$L$1101,7,0),"")</f>
        <v/>
      </c>
      <c r="BR664" s="448" t="str">
        <f>_xlfn.IFNA(VLOOKUP($BK664,Programma!$F$3:$M$1101,8,0),"")</f>
        <v/>
      </c>
      <c r="BS664" s="448" t="str">
        <f>_xlfn.IFNA(VLOOKUP($BK664,Programma!$F$3:$N$1101,9,0),"")</f>
        <v/>
      </c>
      <c r="BT664" s="448" t="str">
        <f>_xlfn.IFNA(VLOOKUP($BK664,Programma!$F$3:$O$1101,10,0),"")</f>
        <v/>
      </c>
      <c r="BU664" s="448" t="str">
        <f>_xlfn.IFNA(VLOOKUP($BK664,Programma!$F$3:$P$1101,11,0),"")</f>
        <v/>
      </c>
      <c r="BV664" s="448" t="str">
        <f>_xlfn.IFNA(VLOOKUP($BK664,Programma!$F$3:$Q$1101,12,0),"")</f>
        <v/>
      </c>
      <c r="BW664" s="448" t="str">
        <f>_xlfn.IFNA(VLOOKUP($BK664,Programma!$F$3:$R$1101,13,0),"")</f>
        <v/>
      </c>
      <c r="BX664" s="448" t="str">
        <f>_xlfn.IFNA(VLOOKUP($BK664,Programma!$F$3:$S$1101,14,0),"")</f>
        <v/>
      </c>
      <c r="BY664" s="448" t="str">
        <f>_xlfn.IFNA(VLOOKUP($BK664,Programma!$F$3:$T$1101,15,0),"")</f>
        <v/>
      </c>
      <c r="BZ664" s="448" t="str">
        <f>_xlfn.IFNA(VLOOKUP($BK664,Programma!$F$3:$U$1101,16,0),"")</f>
        <v/>
      </c>
      <c r="CA664" s="448" t="str">
        <f>_xlfn.IFNA(VLOOKUP($BK664,Programma!$F$3:$V$1101,17,0),"")</f>
        <v/>
      </c>
      <c r="CB664" s="448" t="str">
        <f>_xlfn.IFNA(VLOOKUP($BK664,Programma!$F$3:$W$1101,18,0),"")</f>
        <v/>
      </c>
      <c r="CC664" s="448" t="str">
        <f>_xlfn.IFNA(VLOOKUP($BK664,Programma!$F$3:$X$1101,19,0),"")</f>
        <v/>
      </c>
      <c r="CD664" s="448" t="str">
        <f>_xlfn.IFNA(VLOOKUP($BK664,Programma!$F$3:$Y$1101,20,0),"")</f>
        <v/>
      </c>
    </row>
    <row r="665" spans="1:82" ht="15" customHeight="1">
      <c r="A665" s="327">
        <v>15</v>
      </c>
      <c r="B665" s="435" t="str">
        <f>VLOOKUP(Ruimtestaat[[#This Row],[Code]],Locaties[[Code]:[Locatie]],2,FALSE)</f>
        <v>IKC  Da Vinci</v>
      </c>
      <c r="C665" s="435" t="str">
        <f>VLOOKUP(Ruimtestaat[[#This Row],[Code]],Locaties[[#All],[Code]:[Adres]],4,FALSE)</f>
        <v>Spitsbergen 17</v>
      </c>
      <c r="D665" s="435" t="str">
        <f>VLOOKUP(Ruimtestaat[[#This Row],[Code]],Locaties[[#All],[Code]:[Postcode]],5,FALSE)</f>
        <v>2721 GP</v>
      </c>
      <c r="E665" s="435" t="str">
        <f>VLOOKUP(Ruimtestaat[[#This Row],[Code]],Locaties[#All],6,FALSE)</f>
        <v>Zoetermeer</v>
      </c>
      <c r="F665" s="330" t="s">
        <v>2154</v>
      </c>
      <c r="I665" s="450" t="s">
        <v>1978</v>
      </c>
      <c r="J665" s="330">
        <v>20</v>
      </c>
      <c r="K665" s="450" t="str">
        <f>VLOOKUP(Ruimtestaat[[#This Row],[Ruimte code]],Ruimtegroepen[[#All],[Code]:[Ruimte omschrijving]],2,FALSE)</f>
        <v>Niet in Onderhoud</v>
      </c>
      <c r="M665" s="330"/>
      <c r="N665" s="439"/>
      <c r="O665" s="439">
        <v>40</v>
      </c>
      <c r="P665" s="439"/>
      <c r="Q665" s="439"/>
      <c r="R665" s="440">
        <f>VLOOKUP(Ruimtestaat[[#This Row],[Ruimte code]],Ruimtegroepen[],4,FALSE)</f>
        <v>0</v>
      </c>
      <c r="S665" s="434"/>
      <c r="T665" s="434"/>
      <c r="U665" s="453">
        <f>IF(S665&gt;0,IF(RIGHT(Ruimtestaat[[#This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5" s="434">
        <f>IF(U665&gt;0,VLOOKUP($J665,Ruimtegroepen[],3,FALSE)*VLOOKUP($L665,Vloersoorten[],3,FALSE)*VLOOKUP($T665,Frequenties[],3,FALSE)*VLOOKUP($A665,Locaties[],3,FALSE),0)</f>
        <v>0</v>
      </c>
      <c r="W665" s="434">
        <f>Ruimtestaat[[#This Row],[Uitvoeringen werkdagen]]*Ruimtestaat[[#This Row],[Oppervlak (netto)]]</f>
        <v>0</v>
      </c>
      <c r="X665" s="441">
        <f>IF(V665&gt;0,Ruimtestaat[[#This Row],[Prest. (m2 /jaar) werkdagen]]/Ruimtestaat[[#This Row],[Norm (m2/uur) werkdagen]],0)</f>
        <v>0</v>
      </c>
      <c r="Y665" s="442">
        <f>Ruimtestaat[[#This Row],[Uitvoeringen werkdagen]]*Ruimtestaat[[#This Row],[Gedeeltelijk]]</f>
        <v>0</v>
      </c>
      <c r="Z665" s="443">
        <f>IF(U665&gt;0,Ruimtestaat[[#This Row],[Prest. (m2 / jaar) werkdagen gedeeld]]/Ruimtestaat[[#This Row],[Norm (m2/uur) werkdagen]],0)</f>
        <v>0</v>
      </c>
      <c r="AA665" s="441">
        <f>Ruimtestaat[[#This Row],[uren / jaar werkdagen gedeeld]]*Tariefsopbouw!$E$35</f>
        <v>0</v>
      </c>
      <c r="AB665" s="441">
        <f>Ruimtestaat[[#This Row],[Uitvoeringen werkdagen]]*Ruimtestaat[[#This Row],[BSO]]</f>
        <v>0</v>
      </c>
      <c r="AC665" s="443">
        <f>IF(U665&gt;0,Ruimtestaat[[#This Row],[Prest. (m2 / jaar) werkdagen BSO]]/Ruimtestaat[[#This Row],[Norm (m2/uur) werkdagen]],0)</f>
        <v>0</v>
      </c>
      <c r="AD665" s="443">
        <f>Ruimtestaat[[#This Row],[uren / jaar werkdagen BSO]]*Tariefsopbouw!$E$35</f>
        <v>0</v>
      </c>
      <c r="AE665" s="444">
        <f>Ruimtestaat[[#This Row],[uren / jaar werkdagen]]*Tariefsopbouw!$E$35</f>
        <v>0</v>
      </c>
      <c r="AF665" s="454"/>
      <c r="AG665" s="455">
        <f>IF(Ruimtestaat[[#This Row],[Frequentie weekend]]&gt;0,VALUE(LEFT(AF665,1))*S665,0)</f>
        <v>0</v>
      </c>
      <c r="AH665" s="455">
        <f>IF($AG665&gt;0,VLOOKUP($J665,Ruimtegroepen[],3,FALSE)*VLOOKUP($L665,Vloersoorten[],3,FALSE)*VLOOKUP($AF665,Frequenties[],3,FALSE)*VLOOKUP(#REF!,Locaties[],3,FALSE),0)</f>
        <v>0</v>
      </c>
      <c r="AI665" s="434">
        <f>Ruimtestaat[[#This Row],[Uitvoeringen weekend]]*Ruimtestaat[[#This Row],[Oppervlak (netto)]]</f>
        <v>0</v>
      </c>
      <c r="AJ665" s="434">
        <f>IF(AH665&gt;0,Ruimtestaat[[#This Row],[Prest. (m2 /jaar) weekend]]/Ruimtestaat[[#This Row],[Norm (m2/uur) weekend]],0)</f>
        <v>0</v>
      </c>
      <c r="AK665" s="444">
        <f>Ruimtestaat[[#This Row],[uren / jaar weekend]]*Tariefsopbouw!$D$40</f>
        <v>0</v>
      </c>
      <c r="AL665" s="441">
        <f>Ruimtestaat[[#This Row],[Prest. (m2 /jaar) weekend]]+Ruimtestaat[[#This Row],[Prest. (m2 /jaar) werkdagen]]</f>
        <v>0</v>
      </c>
      <c r="AM665" s="441">
        <f>Ruimtestaat[[#This Row],[uren / jaar weekend]]+Ruimtestaat[[#This Row],[uren / jaar werkdagen]]</f>
        <v>0</v>
      </c>
      <c r="AN665" s="446">
        <f>Ruimtestaat[[#This Row],[kosten / jaar weekend]]+Ruimtestaat[[#This Row],[kosten / jaar werkdagen]]</f>
        <v>0</v>
      </c>
      <c r="AO665" s="446"/>
      <c r="AP665" s="446" t="str">
        <f>IF(Ruimtestaat[[#This Row],[Frequentie werkdagen]]="","",_xlfn.CONCAT(Ruimtestaat[[#This Row],[Ruimte code]],"-",Ruimtestaat[[#This Row],[Frequentie werkdagen]]," ",Ruimtestaat[[#This Row],[Vloer code]]))</f>
        <v/>
      </c>
      <c r="AQ665" s="448" t="str">
        <f>_xlfn.IFNA(VLOOKUP($AP665,Programma!$F$3:$G$1101,2,0),"")</f>
        <v/>
      </c>
      <c r="AR665" s="448" t="str">
        <f>_xlfn.IFNA(VLOOKUP($AP665,Programma!$F$3:$H$1101,3,0),"")</f>
        <v/>
      </c>
      <c r="AS665" s="448" t="str">
        <f>_xlfn.IFNA(VLOOKUP($AP665,Programma!$F$3:$I$1101,4,0),"")</f>
        <v/>
      </c>
      <c r="AT665" s="448" t="str">
        <f>_xlfn.IFNA(VLOOKUP($AP665,Programma!$F$3:$J$1101,5,0),"")</f>
        <v/>
      </c>
      <c r="AU665" s="448" t="str">
        <f>_xlfn.IFNA(VLOOKUP($AP665,Programma!$F$3:$K$1101,6,0),"")</f>
        <v/>
      </c>
      <c r="AV665" s="448" t="str">
        <f>_xlfn.IFNA(VLOOKUP($AP665,Programma!$F$3:$L$1101,7,0),"")</f>
        <v/>
      </c>
      <c r="AW665" s="448" t="str">
        <f>_xlfn.IFNA(VLOOKUP($AP665,Programma!$F$3:$M$1101,8,0),"")</f>
        <v/>
      </c>
      <c r="AX665" s="448" t="str">
        <f>_xlfn.IFNA(VLOOKUP($AP665,Programma!$F$3:$N$1101,9,0),"")</f>
        <v/>
      </c>
      <c r="AY665" s="448" t="str">
        <f>_xlfn.IFNA(VLOOKUP($AP665,Programma!$F$3:$O$1101,10,0),"")</f>
        <v/>
      </c>
      <c r="AZ665" s="448" t="str">
        <f>_xlfn.IFNA(VLOOKUP($AP665,Programma!$F$3:$P$1101,11,0),"")</f>
        <v/>
      </c>
      <c r="BA665" s="448" t="str">
        <f>_xlfn.IFNA(VLOOKUP($AP665,Programma!$F$3:$Q$1101,12,0),"")</f>
        <v/>
      </c>
      <c r="BB665" s="448" t="str">
        <f>_xlfn.IFNA(VLOOKUP($AP665,Programma!$F$3:$R$1101,13,0),"")</f>
        <v/>
      </c>
      <c r="BC665" s="448" t="str">
        <f>_xlfn.IFNA(VLOOKUP($AP665,Programma!$F$3:$S$1101,14,0),"")</f>
        <v/>
      </c>
      <c r="BD665" s="448" t="str">
        <f>_xlfn.IFNA(VLOOKUP($AP665,Programma!$F$3:$T$1101,15,0),"")</f>
        <v/>
      </c>
      <c r="BE665" s="448" t="str">
        <f>_xlfn.IFNA(VLOOKUP($AP665,Programma!$F$3:$U$1101,16,0),"")</f>
        <v/>
      </c>
      <c r="BF665" s="448" t="str">
        <f>_xlfn.IFNA(VLOOKUP($AP665,Programma!$F$3:$V$1101,17,0),"")</f>
        <v/>
      </c>
      <c r="BG665" s="448" t="str">
        <f>_xlfn.IFNA(VLOOKUP($AP665,Programma!$F$3:$W$1101,18,0),"")</f>
        <v/>
      </c>
      <c r="BH665" s="448" t="str">
        <f>_xlfn.IFNA(VLOOKUP($AP665,Programma!$F$3:$X$1101,19,0),"")</f>
        <v/>
      </c>
      <c r="BI665" s="448" t="str">
        <f>_xlfn.IFNA(VLOOKUP($AP665,Programma!$F$3:$Y$1101,20,0),"")</f>
        <v/>
      </c>
      <c r="BJ665" s="449"/>
      <c r="BK665" s="446" t="str">
        <f>IF(Ruimtestaat[[#This Row],[Frequentie weekend]]="","",_xlfn.CONCAT(Ruimtestaat[[#This Row],[Ruimte code]],"-",Ruimtestaat[[#This Row],[Frequentie weekend]]," ",Ruimtestaat[[#This Row],[Vloer code]]))</f>
        <v/>
      </c>
      <c r="BL665" s="448" t="str">
        <f>_xlfn.IFNA(VLOOKUP($BK665,Programma!$F$3:$G$1101,2,0),"")</f>
        <v/>
      </c>
      <c r="BM665" s="448" t="str">
        <f>_xlfn.IFNA(VLOOKUP($BK665,Programma!$F$3:$H$1101,3,0),"")</f>
        <v/>
      </c>
      <c r="BN665" s="448" t="str">
        <f>_xlfn.IFNA(VLOOKUP($BK665,Programma!$F$3:$I$1101,4,0),"")</f>
        <v/>
      </c>
      <c r="BO665" s="448" t="str">
        <f>_xlfn.IFNA(VLOOKUP($BK665,Programma!$F$3:$J$1101,5,0),"")</f>
        <v/>
      </c>
      <c r="BP665" s="448" t="str">
        <f>_xlfn.IFNA(VLOOKUP($BK665,Programma!$F$3:$K$1101,6,0),"")</f>
        <v/>
      </c>
      <c r="BQ665" s="448" t="str">
        <f>_xlfn.IFNA(VLOOKUP($BK665,Programma!$F$3:$L$1101,7,0),"")</f>
        <v/>
      </c>
      <c r="BR665" s="448" t="str">
        <f>_xlfn.IFNA(VLOOKUP($BK665,Programma!$F$3:$M$1101,8,0),"")</f>
        <v/>
      </c>
      <c r="BS665" s="448" t="str">
        <f>_xlfn.IFNA(VLOOKUP($BK665,Programma!$F$3:$N$1101,9,0),"")</f>
        <v/>
      </c>
      <c r="BT665" s="448" t="str">
        <f>_xlfn.IFNA(VLOOKUP($BK665,Programma!$F$3:$O$1101,10,0),"")</f>
        <v/>
      </c>
      <c r="BU665" s="448" t="str">
        <f>_xlfn.IFNA(VLOOKUP($BK665,Programma!$F$3:$P$1101,11,0),"")</f>
        <v/>
      </c>
      <c r="BV665" s="448" t="str">
        <f>_xlfn.IFNA(VLOOKUP($BK665,Programma!$F$3:$Q$1101,12,0),"")</f>
        <v/>
      </c>
      <c r="BW665" s="448" t="str">
        <f>_xlfn.IFNA(VLOOKUP($BK665,Programma!$F$3:$R$1101,13,0),"")</f>
        <v/>
      </c>
      <c r="BX665" s="448" t="str">
        <f>_xlfn.IFNA(VLOOKUP($BK665,Programma!$F$3:$S$1101,14,0),"")</f>
        <v/>
      </c>
      <c r="BY665" s="448" t="str">
        <f>_xlfn.IFNA(VLOOKUP($BK665,Programma!$F$3:$T$1101,15,0),"")</f>
        <v/>
      </c>
      <c r="BZ665" s="448" t="str">
        <f>_xlfn.IFNA(VLOOKUP($BK665,Programma!$F$3:$U$1101,16,0),"")</f>
        <v/>
      </c>
      <c r="CA665" s="448" t="str">
        <f>_xlfn.IFNA(VLOOKUP($BK665,Programma!$F$3:$V$1101,17,0),"")</f>
        <v/>
      </c>
      <c r="CB665" s="448" t="str">
        <f>_xlfn.IFNA(VLOOKUP($BK665,Programma!$F$3:$W$1101,18,0),"")</f>
        <v/>
      </c>
      <c r="CC665" s="448" t="str">
        <f>_xlfn.IFNA(VLOOKUP($BK665,Programma!$F$3:$X$1101,19,0),"")</f>
        <v/>
      </c>
      <c r="CD665" s="448" t="str">
        <f>_xlfn.IFNA(VLOOKUP($BK665,Programma!$F$3:$Y$1101,20,0),"")</f>
        <v/>
      </c>
    </row>
    <row r="666" spans="1:82" ht="15" customHeight="1">
      <c r="A666" s="327">
        <v>15</v>
      </c>
      <c r="B666" s="435" t="str">
        <f>VLOOKUP(Ruimtestaat[[#This Row],[Code]],Locaties[[Code]:[Locatie]],2,FALSE)</f>
        <v>IKC  Da Vinci</v>
      </c>
      <c r="C666" s="435" t="str">
        <f>VLOOKUP(Ruimtestaat[[#This Row],[Code]],Locaties[[#All],[Code]:[Adres]],4,FALSE)</f>
        <v>Spitsbergen 17</v>
      </c>
      <c r="D666" s="435" t="str">
        <f>VLOOKUP(Ruimtestaat[[#This Row],[Code]],Locaties[[#All],[Code]:[Postcode]],5,FALSE)</f>
        <v>2721 GP</v>
      </c>
      <c r="E666" s="435" t="str">
        <f>VLOOKUP(Ruimtestaat[[#This Row],[Code]],Locaties[#All],6,FALSE)</f>
        <v>Zoetermeer</v>
      </c>
      <c r="F666" s="330" t="s">
        <v>2154</v>
      </c>
      <c r="I666" s="450" t="s">
        <v>1978</v>
      </c>
      <c r="J666" s="330">
        <v>20</v>
      </c>
      <c r="K666" s="450" t="str">
        <f>VLOOKUP(Ruimtestaat[[#This Row],[Ruimte code]],Ruimtegroepen[[#All],[Code]:[Ruimte omschrijving]],2,FALSE)</f>
        <v>Niet in Onderhoud</v>
      </c>
      <c r="M666" s="330"/>
      <c r="N666" s="439"/>
      <c r="O666" s="439">
        <v>43</v>
      </c>
      <c r="P666" s="439"/>
      <c r="Q666" s="439"/>
      <c r="R666" s="440">
        <f>VLOOKUP(Ruimtestaat[[#This Row],[Ruimte code]],Ruimtegroepen[],4,FALSE)</f>
        <v>0</v>
      </c>
      <c r="S666" s="434"/>
      <c r="T666" s="434"/>
      <c r="U666" s="453">
        <f>IF(S666&gt;0,IF(RIGHT(Ruimtestaat[[#This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6" s="434">
        <f>IF(U666&gt;0,VLOOKUP($J666,Ruimtegroepen[],3,FALSE)*VLOOKUP($L666,Vloersoorten[],3,FALSE)*VLOOKUP($T666,Frequenties[],3,FALSE)*VLOOKUP($A666,Locaties[],3,FALSE),0)</f>
        <v>0</v>
      </c>
      <c r="W666" s="434">
        <f>Ruimtestaat[[#This Row],[Uitvoeringen werkdagen]]*Ruimtestaat[[#This Row],[Oppervlak (netto)]]</f>
        <v>0</v>
      </c>
      <c r="X666" s="441">
        <f>IF(V666&gt;0,Ruimtestaat[[#This Row],[Prest. (m2 /jaar) werkdagen]]/Ruimtestaat[[#This Row],[Norm (m2/uur) werkdagen]],0)</f>
        <v>0</v>
      </c>
      <c r="Y666" s="442">
        <f>Ruimtestaat[[#This Row],[Uitvoeringen werkdagen]]*Ruimtestaat[[#This Row],[Gedeeltelijk]]</f>
        <v>0</v>
      </c>
      <c r="Z666" s="443">
        <f>IF(U666&gt;0,Ruimtestaat[[#This Row],[Prest. (m2 / jaar) werkdagen gedeeld]]/Ruimtestaat[[#This Row],[Norm (m2/uur) werkdagen]],0)</f>
        <v>0</v>
      </c>
      <c r="AA666" s="441">
        <f>Ruimtestaat[[#This Row],[uren / jaar werkdagen gedeeld]]*Tariefsopbouw!$E$35</f>
        <v>0</v>
      </c>
      <c r="AB666" s="441">
        <f>Ruimtestaat[[#This Row],[Uitvoeringen werkdagen]]*Ruimtestaat[[#This Row],[BSO]]</f>
        <v>0</v>
      </c>
      <c r="AC666" s="443">
        <f>IF(U666&gt;0,Ruimtestaat[[#This Row],[Prest. (m2 / jaar) werkdagen BSO]]/Ruimtestaat[[#This Row],[Norm (m2/uur) werkdagen]],0)</f>
        <v>0</v>
      </c>
      <c r="AD666" s="443">
        <f>Ruimtestaat[[#This Row],[uren / jaar werkdagen BSO]]*Tariefsopbouw!$E$35</f>
        <v>0</v>
      </c>
      <c r="AE666" s="444">
        <f>Ruimtestaat[[#This Row],[uren / jaar werkdagen]]*Tariefsopbouw!$E$35</f>
        <v>0</v>
      </c>
      <c r="AF666" s="454"/>
      <c r="AG666" s="455">
        <f>IF(Ruimtestaat[[#This Row],[Frequentie weekend]]&gt;0,VALUE(LEFT(AF666,1))*S666,0)</f>
        <v>0</v>
      </c>
      <c r="AH666" s="455">
        <f>IF($AG666&gt;0,VLOOKUP($J666,Ruimtegroepen[],3,FALSE)*VLOOKUP($L666,Vloersoorten[],3,FALSE)*VLOOKUP($AF666,Frequenties[],3,FALSE)*VLOOKUP(#REF!,Locaties[],3,FALSE),0)</f>
        <v>0</v>
      </c>
      <c r="AI666" s="434">
        <f>Ruimtestaat[[#This Row],[Uitvoeringen weekend]]*Ruimtestaat[[#This Row],[Oppervlak (netto)]]</f>
        <v>0</v>
      </c>
      <c r="AJ666" s="434">
        <f>IF(AH666&gt;0,Ruimtestaat[[#This Row],[Prest. (m2 /jaar) weekend]]/Ruimtestaat[[#This Row],[Norm (m2/uur) weekend]],0)</f>
        <v>0</v>
      </c>
      <c r="AK666" s="444">
        <f>Ruimtestaat[[#This Row],[uren / jaar weekend]]*Tariefsopbouw!$D$40</f>
        <v>0</v>
      </c>
      <c r="AL666" s="441">
        <f>Ruimtestaat[[#This Row],[Prest. (m2 /jaar) weekend]]+Ruimtestaat[[#This Row],[Prest. (m2 /jaar) werkdagen]]</f>
        <v>0</v>
      </c>
      <c r="AM666" s="441">
        <f>Ruimtestaat[[#This Row],[uren / jaar weekend]]+Ruimtestaat[[#This Row],[uren / jaar werkdagen]]</f>
        <v>0</v>
      </c>
      <c r="AN666" s="446">
        <f>Ruimtestaat[[#This Row],[kosten / jaar weekend]]+Ruimtestaat[[#This Row],[kosten / jaar werkdagen]]</f>
        <v>0</v>
      </c>
      <c r="AO666" s="446"/>
      <c r="AP666" s="446" t="str">
        <f>IF(Ruimtestaat[[#This Row],[Frequentie werkdagen]]="","",_xlfn.CONCAT(Ruimtestaat[[#This Row],[Ruimte code]],"-",Ruimtestaat[[#This Row],[Frequentie werkdagen]]," ",Ruimtestaat[[#This Row],[Vloer code]]))</f>
        <v/>
      </c>
      <c r="AQ666" s="448" t="str">
        <f>_xlfn.IFNA(VLOOKUP($AP666,Programma!$F$3:$G$1101,2,0),"")</f>
        <v/>
      </c>
      <c r="AR666" s="448" t="str">
        <f>_xlfn.IFNA(VLOOKUP($AP666,Programma!$F$3:$H$1101,3,0),"")</f>
        <v/>
      </c>
      <c r="AS666" s="448" t="str">
        <f>_xlfn.IFNA(VLOOKUP($AP666,Programma!$F$3:$I$1101,4,0),"")</f>
        <v/>
      </c>
      <c r="AT666" s="448" t="str">
        <f>_xlfn.IFNA(VLOOKUP($AP666,Programma!$F$3:$J$1101,5,0),"")</f>
        <v/>
      </c>
      <c r="AU666" s="448" t="str">
        <f>_xlfn.IFNA(VLOOKUP($AP666,Programma!$F$3:$K$1101,6,0),"")</f>
        <v/>
      </c>
      <c r="AV666" s="448" t="str">
        <f>_xlfn.IFNA(VLOOKUP($AP666,Programma!$F$3:$L$1101,7,0),"")</f>
        <v/>
      </c>
      <c r="AW666" s="448" t="str">
        <f>_xlfn.IFNA(VLOOKUP($AP666,Programma!$F$3:$M$1101,8,0),"")</f>
        <v/>
      </c>
      <c r="AX666" s="448" t="str">
        <f>_xlfn.IFNA(VLOOKUP($AP666,Programma!$F$3:$N$1101,9,0),"")</f>
        <v/>
      </c>
      <c r="AY666" s="448" t="str">
        <f>_xlfn.IFNA(VLOOKUP($AP666,Programma!$F$3:$O$1101,10,0),"")</f>
        <v/>
      </c>
      <c r="AZ666" s="448" t="str">
        <f>_xlfn.IFNA(VLOOKUP($AP666,Programma!$F$3:$P$1101,11,0),"")</f>
        <v/>
      </c>
      <c r="BA666" s="448" t="str">
        <f>_xlfn.IFNA(VLOOKUP($AP666,Programma!$F$3:$Q$1101,12,0),"")</f>
        <v/>
      </c>
      <c r="BB666" s="448" t="str">
        <f>_xlfn.IFNA(VLOOKUP($AP666,Programma!$F$3:$R$1101,13,0),"")</f>
        <v/>
      </c>
      <c r="BC666" s="448" t="str">
        <f>_xlfn.IFNA(VLOOKUP($AP666,Programma!$F$3:$S$1101,14,0),"")</f>
        <v/>
      </c>
      <c r="BD666" s="448" t="str">
        <f>_xlfn.IFNA(VLOOKUP($AP666,Programma!$F$3:$T$1101,15,0),"")</f>
        <v/>
      </c>
      <c r="BE666" s="448" t="str">
        <f>_xlfn.IFNA(VLOOKUP($AP666,Programma!$F$3:$U$1101,16,0),"")</f>
        <v/>
      </c>
      <c r="BF666" s="448" t="str">
        <f>_xlfn.IFNA(VLOOKUP($AP666,Programma!$F$3:$V$1101,17,0),"")</f>
        <v/>
      </c>
      <c r="BG666" s="448" t="str">
        <f>_xlfn.IFNA(VLOOKUP($AP666,Programma!$F$3:$W$1101,18,0),"")</f>
        <v/>
      </c>
      <c r="BH666" s="448" t="str">
        <f>_xlfn.IFNA(VLOOKUP($AP666,Programma!$F$3:$X$1101,19,0),"")</f>
        <v/>
      </c>
      <c r="BI666" s="448" t="str">
        <f>_xlfn.IFNA(VLOOKUP($AP666,Programma!$F$3:$Y$1101,20,0),"")</f>
        <v/>
      </c>
      <c r="BJ666" s="449"/>
      <c r="BK666" s="446" t="str">
        <f>IF(Ruimtestaat[[#This Row],[Frequentie weekend]]="","",_xlfn.CONCAT(Ruimtestaat[[#This Row],[Ruimte code]],"-",Ruimtestaat[[#This Row],[Frequentie weekend]]," ",Ruimtestaat[[#This Row],[Vloer code]]))</f>
        <v/>
      </c>
      <c r="BL666" s="448" t="str">
        <f>_xlfn.IFNA(VLOOKUP($BK666,Programma!$F$3:$G$1101,2,0),"")</f>
        <v/>
      </c>
      <c r="BM666" s="448" t="str">
        <f>_xlfn.IFNA(VLOOKUP($BK666,Programma!$F$3:$H$1101,3,0),"")</f>
        <v/>
      </c>
      <c r="BN666" s="448" t="str">
        <f>_xlfn.IFNA(VLOOKUP($BK666,Programma!$F$3:$I$1101,4,0),"")</f>
        <v/>
      </c>
      <c r="BO666" s="448" t="str">
        <f>_xlfn.IFNA(VLOOKUP($BK666,Programma!$F$3:$J$1101,5,0),"")</f>
        <v/>
      </c>
      <c r="BP666" s="448" t="str">
        <f>_xlfn.IFNA(VLOOKUP($BK666,Programma!$F$3:$K$1101,6,0),"")</f>
        <v/>
      </c>
      <c r="BQ666" s="448" t="str">
        <f>_xlfn.IFNA(VLOOKUP($BK666,Programma!$F$3:$L$1101,7,0),"")</f>
        <v/>
      </c>
      <c r="BR666" s="448" t="str">
        <f>_xlfn.IFNA(VLOOKUP($BK666,Programma!$F$3:$M$1101,8,0),"")</f>
        <v/>
      </c>
      <c r="BS666" s="448" t="str">
        <f>_xlfn.IFNA(VLOOKUP($BK666,Programma!$F$3:$N$1101,9,0),"")</f>
        <v/>
      </c>
      <c r="BT666" s="448" t="str">
        <f>_xlfn.IFNA(VLOOKUP($BK666,Programma!$F$3:$O$1101,10,0),"")</f>
        <v/>
      </c>
      <c r="BU666" s="448" t="str">
        <f>_xlfn.IFNA(VLOOKUP($BK666,Programma!$F$3:$P$1101,11,0),"")</f>
        <v/>
      </c>
      <c r="BV666" s="448" t="str">
        <f>_xlfn.IFNA(VLOOKUP($BK666,Programma!$F$3:$Q$1101,12,0),"")</f>
        <v/>
      </c>
      <c r="BW666" s="448" t="str">
        <f>_xlfn.IFNA(VLOOKUP($BK666,Programma!$F$3:$R$1101,13,0),"")</f>
        <v/>
      </c>
      <c r="BX666" s="448" t="str">
        <f>_xlfn.IFNA(VLOOKUP($BK666,Programma!$F$3:$S$1101,14,0),"")</f>
        <v/>
      </c>
      <c r="BY666" s="448" t="str">
        <f>_xlfn.IFNA(VLOOKUP($BK666,Programma!$F$3:$T$1101,15,0),"")</f>
        <v/>
      </c>
      <c r="BZ666" s="448" t="str">
        <f>_xlfn.IFNA(VLOOKUP($BK666,Programma!$F$3:$U$1101,16,0),"")</f>
        <v/>
      </c>
      <c r="CA666" s="448" t="str">
        <f>_xlfn.IFNA(VLOOKUP($BK666,Programma!$F$3:$V$1101,17,0),"")</f>
        <v/>
      </c>
      <c r="CB666" s="448" t="str">
        <f>_xlfn.IFNA(VLOOKUP($BK666,Programma!$F$3:$W$1101,18,0),"")</f>
        <v/>
      </c>
      <c r="CC666" s="448" t="str">
        <f>_xlfn.IFNA(VLOOKUP($BK666,Programma!$F$3:$X$1101,19,0),"")</f>
        <v/>
      </c>
      <c r="CD666" s="448" t="str">
        <f>_xlfn.IFNA(VLOOKUP($BK666,Programma!$F$3:$Y$1101,20,0),"")</f>
        <v/>
      </c>
    </row>
    <row r="667" spans="1:82" ht="15" customHeight="1">
      <c r="A667" s="327">
        <v>15</v>
      </c>
      <c r="B667" s="435" t="str">
        <f>VLOOKUP(Ruimtestaat[[#This Row],[Code]],Locaties[[Code]:[Locatie]],2,FALSE)</f>
        <v>IKC  Da Vinci</v>
      </c>
      <c r="C667" s="435" t="str">
        <f>VLOOKUP(Ruimtestaat[[#This Row],[Code]],Locaties[[#All],[Code]:[Adres]],4,FALSE)</f>
        <v>Spitsbergen 17</v>
      </c>
      <c r="D667" s="435" t="str">
        <f>VLOOKUP(Ruimtestaat[[#This Row],[Code]],Locaties[[#All],[Code]:[Postcode]],5,FALSE)</f>
        <v>2721 GP</v>
      </c>
      <c r="E667" s="435" t="str">
        <f>VLOOKUP(Ruimtestaat[[#This Row],[Code]],Locaties[#All],6,FALSE)</f>
        <v>Zoetermeer</v>
      </c>
      <c r="F667" s="330" t="s">
        <v>2154</v>
      </c>
      <c r="I667" s="450" t="s">
        <v>1789</v>
      </c>
      <c r="J667" s="330">
        <v>20</v>
      </c>
      <c r="K667" s="450" t="str">
        <f>VLOOKUP(Ruimtestaat[[#This Row],[Ruimte code]],Ruimtegroepen[[#All],[Code]:[Ruimte omschrijving]],2,FALSE)</f>
        <v>Niet in Onderhoud</v>
      </c>
      <c r="M667" s="330"/>
      <c r="N667" s="439"/>
      <c r="O667" s="439">
        <v>37</v>
      </c>
      <c r="P667" s="439"/>
      <c r="Q667" s="439"/>
      <c r="R667" s="440">
        <f>VLOOKUP(Ruimtestaat[[#This Row],[Ruimte code]],Ruimtegroepen[],4,FALSE)</f>
        <v>0</v>
      </c>
      <c r="S667" s="434"/>
      <c r="T667" s="434"/>
      <c r="U667" s="453">
        <f>IF(S667&gt;0,IF(RIGHT(Ruimtestaat[[#This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7" s="434">
        <f>IF(U667&gt;0,VLOOKUP($J667,Ruimtegroepen[],3,FALSE)*VLOOKUP($L667,Vloersoorten[],3,FALSE)*VLOOKUP($T667,Frequenties[],3,FALSE)*VLOOKUP($A667,Locaties[],3,FALSE),0)</f>
        <v>0</v>
      </c>
      <c r="W667" s="434">
        <f>Ruimtestaat[[#This Row],[Uitvoeringen werkdagen]]*Ruimtestaat[[#This Row],[Oppervlak (netto)]]</f>
        <v>0</v>
      </c>
      <c r="X667" s="441">
        <f>IF(V667&gt;0,Ruimtestaat[[#This Row],[Prest. (m2 /jaar) werkdagen]]/Ruimtestaat[[#This Row],[Norm (m2/uur) werkdagen]],0)</f>
        <v>0</v>
      </c>
      <c r="Y667" s="442">
        <f>Ruimtestaat[[#This Row],[Uitvoeringen werkdagen]]*Ruimtestaat[[#This Row],[Gedeeltelijk]]</f>
        <v>0</v>
      </c>
      <c r="Z667" s="443">
        <f>IF(U667&gt;0,Ruimtestaat[[#This Row],[Prest. (m2 / jaar) werkdagen gedeeld]]/Ruimtestaat[[#This Row],[Norm (m2/uur) werkdagen]],0)</f>
        <v>0</v>
      </c>
      <c r="AA667" s="441">
        <f>Ruimtestaat[[#This Row],[uren / jaar werkdagen gedeeld]]*Tariefsopbouw!$E$35</f>
        <v>0</v>
      </c>
      <c r="AB667" s="441">
        <f>Ruimtestaat[[#This Row],[Uitvoeringen werkdagen]]*Ruimtestaat[[#This Row],[BSO]]</f>
        <v>0</v>
      </c>
      <c r="AC667" s="443">
        <f>IF(U667&gt;0,Ruimtestaat[[#This Row],[Prest. (m2 / jaar) werkdagen BSO]]/Ruimtestaat[[#This Row],[Norm (m2/uur) werkdagen]],0)</f>
        <v>0</v>
      </c>
      <c r="AD667" s="443">
        <f>Ruimtestaat[[#This Row],[uren / jaar werkdagen BSO]]*Tariefsopbouw!$E$35</f>
        <v>0</v>
      </c>
      <c r="AE667" s="444">
        <f>Ruimtestaat[[#This Row],[uren / jaar werkdagen]]*Tariefsopbouw!$E$35</f>
        <v>0</v>
      </c>
      <c r="AF667" s="454"/>
      <c r="AG667" s="455">
        <f>IF(Ruimtestaat[[#This Row],[Frequentie weekend]]&gt;0,VALUE(LEFT(AF667,1))*S667,0)</f>
        <v>0</v>
      </c>
      <c r="AH667" s="455">
        <f>IF($AG667&gt;0,VLOOKUP($J667,Ruimtegroepen[],3,FALSE)*VLOOKUP($L667,Vloersoorten[],3,FALSE)*VLOOKUP($AF667,Frequenties[],3,FALSE)*VLOOKUP(#REF!,Locaties[],3,FALSE),0)</f>
        <v>0</v>
      </c>
      <c r="AI667" s="434">
        <f>Ruimtestaat[[#This Row],[Uitvoeringen weekend]]*Ruimtestaat[[#This Row],[Oppervlak (netto)]]</f>
        <v>0</v>
      </c>
      <c r="AJ667" s="434">
        <f>IF(AH667&gt;0,Ruimtestaat[[#This Row],[Prest. (m2 /jaar) weekend]]/Ruimtestaat[[#This Row],[Norm (m2/uur) weekend]],0)</f>
        <v>0</v>
      </c>
      <c r="AK667" s="444">
        <f>Ruimtestaat[[#This Row],[uren / jaar weekend]]*Tariefsopbouw!$D$40</f>
        <v>0</v>
      </c>
      <c r="AL667" s="441">
        <f>Ruimtestaat[[#This Row],[Prest. (m2 /jaar) weekend]]+Ruimtestaat[[#This Row],[Prest. (m2 /jaar) werkdagen]]</f>
        <v>0</v>
      </c>
      <c r="AM667" s="441">
        <f>Ruimtestaat[[#This Row],[uren / jaar weekend]]+Ruimtestaat[[#This Row],[uren / jaar werkdagen]]</f>
        <v>0</v>
      </c>
      <c r="AN667" s="446">
        <f>Ruimtestaat[[#This Row],[kosten / jaar weekend]]+Ruimtestaat[[#This Row],[kosten / jaar werkdagen]]</f>
        <v>0</v>
      </c>
      <c r="AO667" s="446"/>
      <c r="AP667" s="446" t="str">
        <f>IF(Ruimtestaat[[#This Row],[Frequentie werkdagen]]="","",_xlfn.CONCAT(Ruimtestaat[[#This Row],[Ruimte code]],"-",Ruimtestaat[[#This Row],[Frequentie werkdagen]]," ",Ruimtestaat[[#This Row],[Vloer code]]))</f>
        <v/>
      </c>
      <c r="AQ667" s="448" t="str">
        <f>_xlfn.IFNA(VLOOKUP($AP667,Programma!$F$3:$G$1101,2,0),"")</f>
        <v/>
      </c>
      <c r="AR667" s="448" t="str">
        <f>_xlfn.IFNA(VLOOKUP($AP667,Programma!$F$3:$H$1101,3,0),"")</f>
        <v/>
      </c>
      <c r="AS667" s="448" t="str">
        <f>_xlfn.IFNA(VLOOKUP($AP667,Programma!$F$3:$I$1101,4,0),"")</f>
        <v/>
      </c>
      <c r="AT667" s="448" t="str">
        <f>_xlfn.IFNA(VLOOKUP($AP667,Programma!$F$3:$J$1101,5,0),"")</f>
        <v/>
      </c>
      <c r="AU667" s="448" t="str">
        <f>_xlfn.IFNA(VLOOKUP($AP667,Programma!$F$3:$K$1101,6,0),"")</f>
        <v/>
      </c>
      <c r="AV667" s="448" t="str">
        <f>_xlfn.IFNA(VLOOKUP($AP667,Programma!$F$3:$L$1101,7,0),"")</f>
        <v/>
      </c>
      <c r="AW667" s="448" t="str">
        <f>_xlfn.IFNA(VLOOKUP($AP667,Programma!$F$3:$M$1101,8,0),"")</f>
        <v/>
      </c>
      <c r="AX667" s="448" t="str">
        <f>_xlfn.IFNA(VLOOKUP($AP667,Programma!$F$3:$N$1101,9,0),"")</f>
        <v/>
      </c>
      <c r="AY667" s="448" t="str">
        <f>_xlfn.IFNA(VLOOKUP($AP667,Programma!$F$3:$O$1101,10,0),"")</f>
        <v/>
      </c>
      <c r="AZ667" s="448" t="str">
        <f>_xlfn.IFNA(VLOOKUP($AP667,Programma!$F$3:$P$1101,11,0),"")</f>
        <v/>
      </c>
      <c r="BA667" s="448" t="str">
        <f>_xlfn.IFNA(VLOOKUP($AP667,Programma!$F$3:$Q$1101,12,0),"")</f>
        <v/>
      </c>
      <c r="BB667" s="448" t="str">
        <f>_xlfn.IFNA(VLOOKUP($AP667,Programma!$F$3:$R$1101,13,0),"")</f>
        <v/>
      </c>
      <c r="BC667" s="448" t="str">
        <f>_xlfn.IFNA(VLOOKUP($AP667,Programma!$F$3:$S$1101,14,0),"")</f>
        <v/>
      </c>
      <c r="BD667" s="448" t="str">
        <f>_xlfn.IFNA(VLOOKUP($AP667,Programma!$F$3:$T$1101,15,0),"")</f>
        <v/>
      </c>
      <c r="BE667" s="448" t="str">
        <f>_xlfn.IFNA(VLOOKUP($AP667,Programma!$F$3:$U$1101,16,0),"")</f>
        <v/>
      </c>
      <c r="BF667" s="448" t="str">
        <f>_xlfn.IFNA(VLOOKUP($AP667,Programma!$F$3:$V$1101,17,0),"")</f>
        <v/>
      </c>
      <c r="BG667" s="448" t="str">
        <f>_xlfn.IFNA(VLOOKUP($AP667,Programma!$F$3:$W$1101,18,0),"")</f>
        <v/>
      </c>
      <c r="BH667" s="448" t="str">
        <f>_xlfn.IFNA(VLOOKUP($AP667,Programma!$F$3:$X$1101,19,0),"")</f>
        <v/>
      </c>
      <c r="BI667" s="448" t="str">
        <f>_xlfn.IFNA(VLOOKUP($AP667,Programma!$F$3:$Y$1101,20,0),"")</f>
        <v/>
      </c>
      <c r="BJ667" s="449"/>
      <c r="BK667" s="446" t="str">
        <f>IF(Ruimtestaat[[#This Row],[Frequentie weekend]]="","",_xlfn.CONCAT(Ruimtestaat[[#This Row],[Ruimte code]],"-",Ruimtestaat[[#This Row],[Frequentie weekend]]," ",Ruimtestaat[[#This Row],[Vloer code]]))</f>
        <v/>
      </c>
      <c r="BL667" s="448" t="str">
        <f>_xlfn.IFNA(VLOOKUP($BK667,Programma!$F$3:$G$1101,2,0),"")</f>
        <v/>
      </c>
      <c r="BM667" s="448" t="str">
        <f>_xlfn.IFNA(VLOOKUP($BK667,Programma!$F$3:$H$1101,3,0),"")</f>
        <v/>
      </c>
      <c r="BN667" s="448" t="str">
        <f>_xlfn.IFNA(VLOOKUP($BK667,Programma!$F$3:$I$1101,4,0),"")</f>
        <v/>
      </c>
      <c r="BO667" s="448" t="str">
        <f>_xlfn.IFNA(VLOOKUP($BK667,Programma!$F$3:$J$1101,5,0),"")</f>
        <v/>
      </c>
      <c r="BP667" s="448" t="str">
        <f>_xlfn.IFNA(VLOOKUP($BK667,Programma!$F$3:$K$1101,6,0),"")</f>
        <v/>
      </c>
      <c r="BQ667" s="448" t="str">
        <f>_xlfn.IFNA(VLOOKUP($BK667,Programma!$F$3:$L$1101,7,0),"")</f>
        <v/>
      </c>
      <c r="BR667" s="448" t="str">
        <f>_xlfn.IFNA(VLOOKUP($BK667,Programma!$F$3:$M$1101,8,0),"")</f>
        <v/>
      </c>
      <c r="BS667" s="448" t="str">
        <f>_xlfn.IFNA(VLOOKUP($BK667,Programma!$F$3:$N$1101,9,0),"")</f>
        <v/>
      </c>
      <c r="BT667" s="448" t="str">
        <f>_xlfn.IFNA(VLOOKUP($BK667,Programma!$F$3:$O$1101,10,0),"")</f>
        <v/>
      </c>
      <c r="BU667" s="448" t="str">
        <f>_xlfn.IFNA(VLOOKUP($BK667,Programma!$F$3:$P$1101,11,0),"")</f>
        <v/>
      </c>
      <c r="BV667" s="448" t="str">
        <f>_xlfn.IFNA(VLOOKUP($BK667,Programma!$F$3:$Q$1101,12,0),"")</f>
        <v/>
      </c>
      <c r="BW667" s="448" t="str">
        <f>_xlfn.IFNA(VLOOKUP($BK667,Programma!$F$3:$R$1101,13,0),"")</f>
        <v/>
      </c>
      <c r="BX667" s="448" t="str">
        <f>_xlfn.IFNA(VLOOKUP($BK667,Programma!$F$3:$S$1101,14,0),"")</f>
        <v/>
      </c>
      <c r="BY667" s="448" t="str">
        <f>_xlfn.IFNA(VLOOKUP($BK667,Programma!$F$3:$T$1101,15,0),"")</f>
        <v/>
      </c>
      <c r="BZ667" s="448" t="str">
        <f>_xlfn.IFNA(VLOOKUP($BK667,Programma!$F$3:$U$1101,16,0),"")</f>
        <v/>
      </c>
      <c r="CA667" s="448" t="str">
        <f>_xlfn.IFNA(VLOOKUP($BK667,Programma!$F$3:$V$1101,17,0),"")</f>
        <v/>
      </c>
      <c r="CB667" s="448" t="str">
        <f>_xlfn.IFNA(VLOOKUP($BK667,Programma!$F$3:$W$1101,18,0),"")</f>
        <v/>
      </c>
      <c r="CC667" s="448" t="str">
        <f>_xlfn.IFNA(VLOOKUP($BK667,Programma!$F$3:$X$1101,19,0),"")</f>
        <v/>
      </c>
      <c r="CD667" s="448" t="str">
        <f>_xlfn.IFNA(VLOOKUP($BK667,Programma!$F$3:$Y$1101,20,0),"")</f>
        <v/>
      </c>
    </row>
    <row r="668" spans="1:82" ht="15" customHeight="1">
      <c r="A668" s="327">
        <v>15</v>
      </c>
      <c r="B668" s="435" t="str">
        <f>VLOOKUP(Ruimtestaat[[#This Row],[Code]],Locaties[[Code]:[Locatie]],2,FALSE)</f>
        <v>IKC  Da Vinci</v>
      </c>
      <c r="C668" s="435" t="str">
        <f>VLOOKUP(Ruimtestaat[[#This Row],[Code]],Locaties[[#All],[Code]:[Adres]],4,FALSE)</f>
        <v>Spitsbergen 17</v>
      </c>
      <c r="D668" s="435" t="str">
        <f>VLOOKUP(Ruimtestaat[[#This Row],[Code]],Locaties[[#All],[Code]:[Postcode]],5,FALSE)</f>
        <v>2721 GP</v>
      </c>
      <c r="E668" s="435" t="str">
        <f>VLOOKUP(Ruimtestaat[[#This Row],[Code]],Locaties[#All],6,FALSE)</f>
        <v>Zoetermeer</v>
      </c>
      <c r="F668" s="330" t="s">
        <v>2154</v>
      </c>
      <c r="I668" s="450" t="s">
        <v>1979</v>
      </c>
      <c r="J668" s="330">
        <v>20</v>
      </c>
      <c r="K668" s="450" t="str">
        <f>VLOOKUP(Ruimtestaat[[#This Row],[Ruimte code]],Ruimtegroepen[[#All],[Code]:[Ruimte omschrijving]],2,FALSE)</f>
        <v>Niet in Onderhoud</v>
      </c>
      <c r="M668" s="330"/>
      <c r="N668" s="439"/>
      <c r="O668" s="439">
        <v>27</v>
      </c>
      <c r="P668" s="439"/>
      <c r="Q668" s="439"/>
      <c r="R668" s="440">
        <f>VLOOKUP(Ruimtestaat[[#This Row],[Ruimte code]],Ruimtegroepen[],4,FALSE)</f>
        <v>0</v>
      </c>
      <c r="S668" s="434"/>
      <c r="T668" s="434"/>
      <c r="U668" s="453">
        <f>IF(S668&gt;0,IF(RIGHT(Ruimtestaat[[#This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8" s="434">
        <f>IF(U668&gt;0,VLOOKUP($J668,Ruimtegroepen[],3,FALSE)*VLOOKUP($L668,Vloersoorten[],3,FALSE)*VLOOKUP($T668,Frequenties[],3,FALSE)*VLOOKUP($A668,Locaties[],3,FALSE),0)</f>
        <v>0</v>
      </c>
      <c r="W668" s="434">
        <f>Ruimtestaat[[#This Row],[Uitvoeringen werkdagen]]*Ruimtestaat[[#This Row],[Oppervlak (netto)]]</f>
        <v>0</v>
      </c>
      <c r="X668" s="441">
        <f>IF(V668&gt;0,Ruimtestaat[[#This Row],[Prest. (m2 /jaar) werkdagen]]/Ruimtestaat[[#This Row],[Norm (m2/uur) werkdagen]],0)</f>
        <v>0</v>
      </c>
      <c r="Y668" s="442">
        <f>Ruimtestaat[[#This Row],[Uitvoeringen werkdagen]]*Ruimtestaat[[#This Row],[Gedeeltelijk]]</f>
        <v>0</v>
      </c>
      <c r="Z668" s="443">
        <f>IF(U668&gt;0,Ruimtestaat[[#This Row],[Prest. (m2 / jaar) werkdagen gedeeld]]/Ruimtestaat[[#This Row],[Norm (m2/uur) werkdagen]],0)</f>
        <v>0</v>
      </c>
      <c r="AA668" s="441">
        <f>Ruimtestaat[[#This Row],[uren / jaar werkdagen gedeeld]]*Tariefsopbouw!$E$35</f>
        <v>0</v>
      </c>
      <c r="AB668" s="441">
        <f>Ruimtestaat[[#This Row],[Uitvoeringen werkdagen]]*Ruimtestaat[[#This Row],[BSO]]</f>
        <v>0</v>
      </c>
      <c r="AC668" s="443">
        <f>IF(U668&gt;0,Ruimtestaat[[#This Row],[Prest. (m2 / jaar) werkdagen BSO]]/Ruimtestaat[[#This Row],[Norm (m2/uur) werkdagen]],0)</f>
        <v>0</v>
      </c>
      <c r="AD668" s="443">
        <f>Ruimtestaat[[#This Row],[uren / jaar werkdagen BSO]]*Tariefsopbouw!$E$35</f>
        <v>0</v>
      </c>
      <c r="AE668" s="444">
        <f>Ruimtestaat[[#This Row],[uren / jaar werkdagen]]*Tariefsopbouw!$E$35</f>
        <v>0</v>
      </c>
      <c r="AF668" s="454"/>
      <c r="AG668" s="455">
        <f>IF(Ruimtestaat[[#This Row],[Frequentie weekend]]&gt;0,VALUE(LEFT(AF668,1))*S668,0)</f>
        <v>0</v>
      </c>
      <c r="AH668" s="455">
        <f>IF($AG668&gt;0,VLOOKUP($J668,Ruimtegroepen[],3,FALSE)*VLOOKUP($L668,Vloersoorten[],3,FALSE)*VLOOKUP($AF668,Frequenties[],3,FALSE)*VLOOKUP(#REF!,Locaties[],3,FALSE),0)</f>
        <v>0</v>
      </c>
      <c r="AI668" s="434">
        <f>Ruimtestaat[[#This Row],[Uitvoeringen weekend]]*Ruimtestaat[[#This Row],[Oppervlak (netto)]]</f>
        <v>0</v>
      </c>
      <c r="AJ668" s="434">
        <f>IF(AH668&gt;0,Ruimtestaat[[#This Row],[Prest. (m2 /jaar) weekend]]/Ruimtestaat[[#This Row],[Norm (m2/uur) weekend]],0)</f>
        <v>0</v>
      </c>
      <c r="AK668" s="444">
        <f>Ruimtestaat[[#This Row],[uren / jaar weekend]]*Tariefsopbouw!$D$40</f>
        <v>0</v>
      </c>
      <c r="AL668" s="441">
        <f>Ruimtestaat[[#This Row],[Prest. (m2 /jaar) weekend]]+Ruimtestaat[[#This Row],[Prest. (m2 /jaar) werkdagen]]</f>
        <v>0</v>
      </c>
      <c r="AM668" s="441">
        <f>Ruimtestaat[[#This Row],[uren / jaar weekend]]+Ruimtestaat[[#This Row],[uren / jaar werkdagen]]</f>
        <v>0</v>
      </c>
      <c r="AN668" s="446">
        <f>Ruimtestaat[[#This Row],[kosten / jaar weekend]]+Ruimtestaat[[#This Row],[kosten / jaar werkdagen]]</f>
        <v>0</v>
      </c>
      <c r="AO668" s="446"/>
      <c r="AP668" s="446" t="str">
        <f>IF(Ruimtestaat[[#This Row],[Frequentie werkdagen]]="","",_xlfn.CONCAT(Ruimtestaat[[#This Row],[Ruimte code]],"-",Ruimtestaat[[#This Row],[Frequentie werkdagen]]," ",Ruimtestaat[[#This Row],[Vloer code]]))</f>
        <v/>
      </c>
      <c r="AQ668" s="448" t="str">
        <f>_xlfn.IFNA(VLOOKUP($AP668,Programma!$F$3:$G$1101,2,0),"")</f>
        <v/>
      </c>
      <c r="AR668" s="448" t="str">
        <f>_xlfn.IFNA(VLOOKUP($AP668,Programma!$F$3:$H$1101,3,0),"")</f>
        <v/>
      </c>
      <c r="AS668" s="448" t="str">
        <f>_xlfn.IFNA(VLOOKUP($AP668,Programma!$F$3:$I$1101,4,0),"")</f>
        <v/>
      </c>
      <c r="AT668" s="448" t="str">
        <f>_xlfn.IFNA(VLOOKUP($AP668,Programma!$F$3:$J$1101,5,0),"")</f>
        <v/>
      </c>
      <c r="AU668" s="448" t="str">
        <f>_xlfn.IFNA(VLOOKUP($AP668,Programma!$F$3:$K$1101,6,0),"")</f>
        <v/>
      </c>
      <c r="AV668" s="448" t="str">
        <f>_xlfn.IFNA(VLOOKUP($AP668,Programma!$F$3:$L$1101,7,0),"")</f>
        <v/>
      </c>
      <c r="AW668" s="448" t="str">
        <f>_xlfn.IFNA(VLOOKUP($AP668,Programma!$F$3:$M$1101,8,0),"")</f>
        <v/>
      </c>
      <c r="AX668" s="448" t="str">
        <f>_xlfn.IFNA(VLOOKUP($AP668,Programma!$F$3:$N$1101,9,0),"")</f>
        <v/>
      </c>
      <c r="AY668" s="448" t="str">
        <f>_xlfn.IFNA(VLOOKUP($AP668,Programma!$F$3:$O$1101,10,0),"")</f>
        <v/>
      </c>
      <c r="AZ668" s="448" t="str">
        <f>_xlfn.IFNA(VLOOKUP($AP668,Programma!$F$3:$P$1101,11,0),"")</f>
        <v/>
      </c>
      <c r="BA668" s="448" t="str">
        <f>_xlfn.IFNA(VLOOKUP($AP668,Programma!$F$3:$Q$1101,12,0),"")</f>
        <v/>
      </c>
      <c r="BB668" s="448" t="str">
        <f>_xlfn.IFNA(VLOOKUP($AP668,Programma!$F$3:$R$1101,13,0),"")</f>
        <v/>
      </c>
      <c r="BC668" s="448" t="str">
        <f>_xlfn.IFNA(VLOOKUP($AP668,Programma!$F$3:$S$1101,14,0),"")</f>
        <v/>
      </c>
      <c r="BD668" s="448" t="str">
        <f>_xlfn.IFNA(VLOOKUP($AP668,Programma!$F$3:$T$1101,15,0),"")</f>
        <v/>
      </c>
      <c r="BE668" s="448" t="str">
        <f>_xlfn.IFNA(VLOOKUP($AP668,Programma!$F$3:$U$1101,16,0),"")</f>
        <v/>
      </c>
      <c r="BF668" s="448" t="str">
        <f>_xlfn.IFNA(VLOOKUP($AP668,Programma!$F$3:$V$1101,17,0),"")</f>
        <v/>
      </c>
      <c r="BG668" s="448" t="str">
        <f>_xlfn.IFNA(VLOOKUP($AP668,Programma!$F$3:$W$1101,18,0),"")</f>
        <v/>
      </c>
      <c r="BH668" s="448" t="str">
        <f>_xlfn.IFNA(VLOOKUP($AP668,Programma!$F$3:$X$1101,19,0),"")</f>
        <v/>
      </c>
      <c r="BI668" s="448" t="str">
        <f>_xlfn.IFNA(VLOOKUP($AP668,Programma!$F$3:$Y$1101,20,0),"")</f>
        <v/>
      </c>
      <c r="BJ668" s="449"/>
      <c r="BK668" s="446" t="str">
        <f>IF(Ruimtestaat[[#This Row],[Frequentie weekend]]="","",_xlfn.CONCAT(Ruimtestaat[[#This Row],[Ruimte code]],"-",Ruimtestaat[[#This Row],[Frequentie weekend]]," ",Ruimtestaat[[#This Row],[Vloer code]]))</f>
        <v/>
      </c>
      <c r="BL668" s="448" t="str">
        <f>_xlfn.IFNA(VLOOKUP($BK668,Programma!$F$3:$G$1101,2,0),"")</f>
        <v/>
      </c>
      <c r="BM668" s="448" t="str">
        <f>_xlfn.IFNA(VLOOKUP($BK668,Programma!$F$3:$H$1101,3,0),"")</f>
        <v/>
      </c>
      <c r="BN668" s="448" t="str">
        <f>_xlfn.IFNA(VLOOKUP($BK668,Programma!$F$3:$I$1101,4,0),"")</f>
        <v/>
      </c>
      <c r="BO668" s="448" t="str">
        <f>_xlfn.IFNA(VLOOKUP($BK668,Programma!$F$3:$J$1101,5,0),"")</f>
        <v/>
      </c>
      <c r="BP668" s="448" t="str">
        <f>_xlfn.IFNA(VLOOKUP($BK668,Programma!$F$3:$K$1101,6,0),"")</f>
        <v/>
      </c>
      <c r="BQ668" s="448" t="str">
        <f>_xlfn.IFNA(VLOOKUP($BK668,Programma!$F$3:$L$1101,7,0),"")</f>
        <v/>
      </c>
      <c r="BR668" s="448" t="str">
        <f>_xlfn.IFNA(VLOOKUP($BK668,Programma!$F$3:$M$1101,8,0),"")</f>
        <v/>
      </c>
      <c r="BS668" s="448" t="str">
        <f>_xlfn.IFNA(VLOOKUP($BK668,Programma!$F$3:$N$1101,9,0),"")</f>
        <v/>
      </c>
      <c r="BT668" s="448" t="str">
        <f>_xlfn.IFNA(VLOOKUP($BK668,Programma!$F$3:$O$1101,10,0),"")</f>
        <v/>
      </c>
      <c r="BU668" s="448" t="str">
        <f>_xlfn.IFNA(VLOOKUP($BK668,Programma!$F$3:$P$1101,11,0),"")</f>
        <v/>
      </c>
      <c r="BV668" s="448" t="str">
        <f>_xlfn.IFNA(VLOOKUP($BK668,Programma!$F$3:$Q$1101,12,0),"")</f>
        <v/>
      </c>
      <c r="BW668" s="448" t="str">
        <f>_xlfn.IFNA(VLOOKUP($BK668,Programma!$F$3:$R$1101,13,0),"")</f>
        <v/>
      </c>
      <c r="BX668" s="448" t="str">
        <f>_xlfn.IFNA(VLOOKUP($BK668,Programma!$F$3:$S$1101,14,0),"")</f>
        <v/>
      </c>
      <c r="BY668" s="448" t="str">
        <f>_xlfn.IFNA(VLOOKUP($BK668,Programma!$F$3:$T$1101,15,0),"")</f>
        <v/>
      </c>
      <c r="BZ668" s="448" t="str">
        <f>_xlfn.IFNA(VLOOKUP($BK668,Programma!$F$3:$U$1101,16,0),"")</f>
        <v/>
      </c>
      <c r="CA668" s="448" t="str">
        <f>_xlfn.IFNA(VLOOKUP($BK668,Programma!$F$3:$V$1101,17,0),"")</f>
        <v/>
      </c>
      <c r="CB668" s="448" t="str">
        <f>_xlfn.IFNA(VLOOKUP($BK668,Programma!$F$3:$W$1101,18,0),"")</f>
        <v/>
      </c>
      <c r="CC668" s="448" t="str">
        <f>_xlfn.IFNA(VLOOKUP($BK668,Programma!$F$3:$X$1101,19,0),"")</f>
        <v/>
      </c>
      <c r="CD668" s="448" t="str">
        <f>_xlfn.IFNA(VLOOKUP($BK668,Programma!$F$3:$Y$1101,20,0),"")</f>
        <v/>
      </c>
    </row>
    <row r="669" spans="1:82" ht="15" customHeight="1">
      <c r="A669" s="327">
        <v>15</v>
      </c>
      <c r="B669" s="435" t="str">
        <f>VLOOKUP(Ruimtestaat[[#This Row],[Code]],Locaties[[Code]:[Locatie]],2,FALSE)</f>
        <v>IKC  Da Vinci</v>
      </c>
      <c r="C669" s="435" t="str">
        <f>VLOOKUP(Ruimtestaat[[#This Row],[Code]],Locaties[[#All],[Code]:[Adres]],4,FALSE)</f>
        <v>Spitsbergen 17</v>
      </c>
      <c r="D669" s="435" t="str">
        <f>VLOOKUP(Ruimtestaat[[#This Row],[Code]],Locaties[[#All],[Code]:[Postcode]],5,FALSE)</f>
        <v>2721 GP</v>
      </c>
      <c r="E669" s="435" t="str">
        <f>VLOOKUP(Ruimtestaat[[#This Row],[Code]],Locaties[#All],6,FALSE)</f>
        <v>Zoetermeer</v>
      </c>
      <c r="F669" s="330" t="s">
        <v>2154</v>
      </c>
      <c r="I669" s="450" t="s">
        <v>1980</v>
      </c>
      <c r="J669" s="330">
        <v>20</v>
      </c>
      <c r="K669" s="450" t="str">
        <f>VLOOKUP(Ruimtestaat[[#This Row],[Ruimte code]],Ruimtegroepen[[#All],[Code]:[Ruimte omschrijving]],2,FALSE)</f>
        <v>Niet in Onderhoud</v>
      </c>
      <c r="M669" s="330"/>
      <c r="N669" s="439"/>
      <c r="O669" s="439">
        <v>15</v>
      </c>
      <c r="P669" s="439"/>
      <c r="Q669" s="439"/>
      <c r="R669" s="440">
        <f>VLOOKUP(Ruimtestaat[[#This Row],[Ruimte code]],Ruimtegroepen[],4,FALSE)</f>
        <v>0</v>
      </c>
      <c r="S669" s="434"/>
      <c r="T669" s="434"/>
      <c r="U669" s="453">
        <f>IF(S669&gt;0,IF(RIGHT(Ruimtestaat[[#This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9" s="434">
        <f>IF(U669&gt;0,VLOOKUP($J669,Ruimtegroepen[],3,FALSE)*VLOOKUP($L669,Vloersoorten[],3,FALSE)*VLOOKUP($T669,Frequenties[],3,FALSE)*VLOOKUP($A669,Locaties[],3,FALSE),0)</f>
        <v>0</v>
      </c>
      <c r="W669" s="434">
        <f>Ruimtestaat[[#This Row],[Uitvoeringen werkdagen]]*Ruimtestaat[[#This Row],[Oppervlak (netto)]]</f>
        <v>0</v>
      </c>
      <c r="X669" s="441">
        <f>IF(V669&gt;0,Ruimtestaat[[#This Row],[Prest. (m2 /jaar) werkdagen]]/Ruimtestaat[[#This Row],[Norm (m2/uur) werkdagen]],0)</f>
        <v>0</v>
      </c>
      <c r="Y669" s="442">
        <f>Ruimtestaat[[#This Row],[Uitvoeringen werkdagen]]*Ruimtestaat[[#This Row],[Gedeeltelijk]]</f>
        <v>0</v>
      </c>
      <c r="Z669" s="443">
        <f>IF(U669&gt;0,Ruimtestaat[[#This Row],[Prest. (m2 / jaar) werkdagen gedeeld]]/Ruimtestaat[[#This Row],[Norm (m2/uur) werkdagen]],0)</f>
        <v>0</v>
      </c>
      <c r="AA669" s="441">
        <f>Ruimtestaat[[#This Row],[uren / jaar werkdagen gedeeld]]*Tariefsopbouw!$E$35</f>
        <v>0</v>
      </c>
      <c r="AB669" s="441">
        <f>Ruimtestaat[[#This Row],[Uitvoeringen werkdagen]]*Ruimtestaat[[#This Row],[BSO]]</f>
        <v>0</v>
      </c>
      <c r="AC669" s="443">
        <f>IF(U669&gt;0,Ruimtestaat[[#This Row],[Prest. (m2 / jaar) werkdagen BSO]]/Ruimtestaat[[#This Row],[Norm (m2/uur) werkdagen]],0)</f>
        <v>0</v>
      </c>
      <c r="AD669" s="443">
        <f>Ruimtestaat[[#This Row],[uren / jaar werkdagen BSO]]*Tariefsopbouw!$E$35</f>
        <v>0</v>
      </c>
      <c r="AE669" s="444">
        <f>Ruimtestaat[[#This Row],[uren / jaar werkdagen]]*Tariefsopbouw!$E$35</f>
        <v>0</v>
      </c>
      <c r="AF669" s="454"/>
      <c r="AG669" s="455">
        <f>IF(Ruimtestaat[[#This Row],[Frequentie weekend]]&gt;0,VALUE(LEFT(AF669,1))*S669,0)</f>
        <v>0</v>
      </c>
      <c r="AH669" s="455">
        <f>IF($AG669&gt;0,VLOOKUP($J669,Ruimtegroepen[],3,FALSE)*VLOOKUP($L669,Vloersoorten[],3,FALSE)*VLOOKUP($AF669,Frequenties[],3,FALSE)*VLOOKUP(#REF!,Locaties[],3,FALSE),0)</f>
        <v>0</v>
      </c>
      <c r="AI669" s="434">
        <f>Ruimtestaat[[#This Row],[Uitvoeringen weekend]]*Ruimtestaat[[#This Row],[Oppervlak (netto)]]</f>
        <v>0</v>
      </c>
      <c r="AJ669" s="434">
        <f>IF(AH669&gt;0,Ruimtestaat[[#This Row],[Prest. (m2 /jaar) weekend]]/Ruimtestaat[[#This Row],[Norm (m2/uur) weekend]],0)</f>
        <v>0</v>
      </c>
      <c r="AK669" s="444">
        <f>Ruimtestaat[[#This Row],[uren / jaar weekend]]*Tariefsopbouw!$D$40</f>
        <v>0</v>
      </c>
      <c r="AL669" s="441">
        <f>Ruimtestaat[[#This Row],[Prest. (m2 /jaar) weekend]]+Ruimtestaat[[#This Row],[Prest. (m2 /jaar) werkdagen]]</f>
        <v>0</v>
      </c>
      <c r="AM669" s="441">
        <f>Ruimtestaat[[#This Row],[uren / jaar weekend]]+Ruimtestaat[[#This Row],[uren / jaar werkdagen]]</f>
        <v>0</v>
      </c>
      <c r="AN669" s="446">
        <f>Ruimtestaat[[#This Row],[kosten / jaar weekend]]+Ruimtestaat[[#This Row],[kosten / jaar werkdagen]]</f>
        <v>0</v>
      </c>
      <c r="AO669" s="446"/>
      <c r="AP669" s="446" t="str">
        <f>IF(Ruimtestaat[[#This Row],[Frequentie werkdagen]]="","",_xlfn.CONCAT(Ruimtestaat[[#This Row],[Ruimte code]],"-",Ruimtestaat[[#This Row],[Frequentie werkdagen]]," ",Ruimtestaat[[#This Row],[Vloer code]]))</f>
        <v/>
      </c>
      <c r="AQ669" s="448" t="str">
        <f>_xlfn.IFNA(VLOOKUP($AP669,Programma!$F$3:$G$1101,2,0),"")</f>
        <v/>
      </c>
      <c r="AR669" s="448" t="str">
        <f>_xlfn.IFNA(VLOOKUP($AP669,Programma!$F$3:$H$1101,3,0),"")</f>
        <v/>
      </c>
      <c r="AS669" s="448" t="str">
        <f>_xlfn.IFNA(VLOOKUP($AP669,Programma!$F$3:$I$1101,4,0),"")</f>
        <v/>
      </c>
      <c r="AT669" s="448" t="str">
        <f>_xlfn.IFNA(VLOOKUP($AP669,Programma!$F$3:$J$1101,5,0),"")</f>
        <v/>
      </c>
      <c r="AU669" s="448" t="str">
        <f>_xlfn.IFNA(VLOOKUP($AP669,Programma!$F$3:$K$1101,6,0),"")</f>
        <v/>
      </c>
      <c r="AV669" s="448" t="str">
        <f>_xlfn.IFNA(VLOOKUP($AP669,Programma!$F$3:$L$1101,7,0),"")</f>
        <v/>
      </c>
      <c r="AW669" s="448" t="str">
        <f>_xlfn.IFNA(VLOOKUP($AP669,Programma!$F$3:$M$1101,8,0),"")</f>
        <v/>
      </c>
      <c r="AX669" s="448" t="str">
        <f>_xlfn.IFNA(VLOOKUP($AP669,Programma!$F$3:$N$1101,9,0),"")</f>
        <v/>
      </c>
      <c r="AY669" s="448" t="str">
        <f>_xlfn.IFNA(VLOOKUP($AP669,Programma!$F$3:$O$1101,10,0),"")</f>
        <v/>
      </c>
      <c r="AZ669" s="448" t="str">
        <f>_xlfn.IFNA(VLOOKUP($AP669,Programma!$F$3:$P$1101,11,0),"")</f>
        <v/>
      </c>
      <c r="BA669" s="448" t="str">
        <f>_xlfn.IFNA(VLOOKUP($AP669,Programma!$F$3:$Q$1101,12,0),"")</f>
        <v/>
      </c>
      <c r="BB669" s="448" t="str">
        <f>_xlfn.IFNA(VLOOKUP($AP669,Programma!$F$3:$R$1101,13,0),"")</f>
        <v/>
      </c>
      <c r="BC669" s="448" t="str">
        <f>_xlfn.IFNA(VLOOKUP($AP669,Programma!$F$3:$S$1101,14,0),"")</f>
        <v/>
      </c>
      <c r="BD669" s="448" t="str">
        <f>_xlfn.IFNA(VLOOKUP($AP669,Programma!$F$3:$T$1101,15,0),"")</f>
        <v/>
      </c>
      <c r="BE669" s="448" t="str">
        <f>_xlfn.IFNA(VLOOKUP($AP669,Programma!$F$3:$U$1101,16,0),"")</f>
        <v/>
      </c>
      <c r="BF669" s="448" t="str">
        <f>_xlfn.IFNA(VLOOKUP($AP669,Programma!$F$3:$V$1101,17,0),"")</f>
        <v/>
      </c>
      <c r="BG669" s="448" t="str">
        <f>_xlfn.IFNA(VLOOKUP($AP669,Programma!$F$3:$W$1101,18,0),"")</f>
        <v/>
      </c>
      <c r="BH669" s="448" t="str">
        <f>_xlfn.IFNA(VLOOKUP($AP669,Programma!$F$3:$X$1101,19,0),"")</f>
        <v/>
      </c>
      <c r="BI669" s="448" t="str">
        <f>_xlfn.IFNA(VLOOKUP($AP669,Programma!$F$3:$Y$1101,20,0),"")</f>
        <v/>
      </c>
      <c r="BJ669" s="449"/>
      <c r="BK669" s="446" t="str">
        <f>IF(Ruimtestaat[[#This Row],[Frequentie weekend]]="","",_xlfn.CONCAT(Ruimtestaat[[#This Row],[Ruimte code]],"-",Ruimtestaat[[#This Row],[Frequentie weekend]]," ",Ruimtestaat[[#This Row],[Vloer code]]))</f>
        <v/>
      </c>
      <c r="BL669" s="448" t="str">
        <f>_xlfn.IFNA(VLOOKUP($BK669,Programma!$F$3:$G$1101,2,0),"")</f>
        <v/>
      </c>
      <c r="BM669" s="448" t="str">
        <f>_xlfn.IFNA(VLOOKUP($BK669,Programma!$F$3:$H$1101,3,0),"")</f>
        <v/>
      </c>
      <c r="BN669" s="448" t="str">
        <f>_xlfn.IFNA(VLOOKUP($BK669,Programma!$F$3:$I$1101,4,0),"")</f>
        <v/>
      </c>
      <c r="BO669" s="448" t="str">
        <f>_xlfn.IFNA(VLOOKUP($BK669,Programma!$F$3:$J$1101,5,0),"")</f>
        <v/>
      </c>
      <c r="BP669" s="448" t="str">
        <f>_xlfn.IFNA(VLOOKUP($BK669,Programma!$F$3:$K$1101,6,0),"")</f>
        <v/>
      </c>
      <c r="BQ669" s="448" t="str">
        <f>_xlfn.IFNA(VLOOKUP($BK669,Programma!$F$3:$L$1101,7,0),"")</f>
        <v/>
      </c>
      <c r="BR669" s="448" t="str">
        <f>_xlfn.IFNA(VLOOKUP($BK669,Programma!$F$3:$M$1101,8,0),"")</f>
        <v/>
      </c>
      <c r="BS669" s="448" t="str">
        <f>_xlfn.IFNA(VLOOKUP($BK669,Programma!$F$3:$N$1101,9,0),"")</f>
        <v/>
      </c>
      <c r="BT669" s="448" t="str">
        <f>_xlfn.IFNA(VLOOKUP($BK669,Programma!$F$3:$O$1101,10,0),"")</f>
        <v/>
      </c>
      <c r="BU669" s="448" t="str">
        <f>_xlfn.IFNA(VLOOKUP($BK669,Programma!$F$3:$P$1101,11,0),"")</f>
        <v/>
      </c>
      <c r="BV669" s="448" t="str">
        <f>_xlfn.IFNA(VLOOKUP($BK669,Programma!$F$3:$Q$1101,12,0),"")</f>
        <v/>
      </c>
      <c r="BW669" s="448" t="str">
        <f>_xlfn.IFNA(VLOOKUP($BK669,Programma!$F$3:$R$1101,13,0),"")</f>
        <v/>
      </c>
      <c r="BX669" s="448" t="str">
        <f>_xlfn.IFNA(VLOOKUP($BK669,Programma!$F$3:$S$1101,14,0),"")</f>
        <v/>
      </c>
      <c r="BY669" s="448" t="str">
        <f>_xlfn.IFNA(VLOOKUP($BK669,Programma!$F$3:$T$1101,15,0),"")</f>
        <v/>
      </c>
      <c r="BZ669" s="448" t="str">
        <f>_xlfn.IFNA(VLOOKUP($BK669,Programma!$F$3:$U$1101,16,0),"")</f>
        <v/>
      </c>
      <c r="CA669" s="448" t="str">
        <f>_xlfn.IFNA(VLOOKUP($BK669,Programma!$F$3:$V$1101,17,0),"")</f>
        <v/>
      </c>
      <c r="CB669" s="448" t="str">
        <f>_xlfn.IFNA(VLOOKUP($BK669,Programma!$F$3:$W$1101,18,0),"")</f>
        <v/>
      </c>
      <c r="CC669" s="448" t="str">
        <f>_xlfn.IFNA(VLOOKUP($BK669,Programma!$F$3:$X$1101,19,0),"")</f>
        <v/>
      </c>
      <c r="CD669" s="448" t="str">
        <f>_xlfn.IFNA(VLOOKUP($BK669,Programma!$F$3:$Y$1101,20,0),"")</f>
        <v/>
      </c>
    </row>
    <row r="670" spans="1:82" ht="15" customHeight="1">
      <c r="A670" s="327">
        <v>15</v>
      </c>
      <c r="B670" s="435" t="str">
        <f>VLOOKUP(Ruimtestaat[[#This Row],[Code]],Locaties[[Code]:[Locatie]],2,FALSE)</f>
        <v>IKC  Da Vinci</v>
      </c>
      <c r="C670" s="435" t="str">
        <f>VLOOKUP(Ruimtestaat[[#This Row],[Code]],Locaties[[#All],[Code]:[Adres]],4,FALSE)</f>
        <v>Spitsbergen 17</v>
      </c>
      <c r="D670" s="435" t="str">
        <f>VLOOKUP(Ruimtestaat[[#This Row],[Code]],Locaties[[#All],[Code]:[Postcode]],5,FALSE)</f>
        <v>2721 GP</v>
      </c>
      <c r="E670" s="435" t="str">
        <f>VLOOKUP(Ruimtestaat[[#This Row],[Code]],Locaties[#All],6,FALSE)</f>
        <v>Zoetermeer</v>
      </c>
      <c r="F670" s="330" t="s">
        <v>2154</v>
      </c>
      <c r="I670" s="450" t="s">
        <v>1981</v>
      </c>
      <c r="J670" s="330">
        <v>20</v>
      </c>
      <c r="K670" s="450" t="str">
        <f>VLOOKUP(Ruimtestaat[[#This Row],[Ruimte code]],Ruimtegroepen[[#All],[Code]:[Ruimte omschrijving]],2,FALSE)</f>
        <v>Niet in Onderhoud</v>
      </c>
      <c r="M670" s="330"/>
      <c r="N670" s="439"/>
      <c r="O670" s="439">
        <v>12</v>
      </c>
      <c r="P670" s="439"/>
      <c r="Q670" s="439"/>
      <c r="R670" s="440">
        <f>VLOOKUP(Ruimtestaat[[#This Row],[Ruimte code]],Ruimtegroepen[],4,FALSE)</f>
        <v>0</v>
      </c>
      <c r="S670" s="434"/>
      <c r="T670" s="434"/>
      <c r="U670" s="453">
        <f>IF(S670&gt;0,IF(RIGHT(Ruimtestaat[[#This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0" s="434">
        <f>IF(U670&gt;0,VLOOKUP($J670,Ruimtegroepen[],3,FALSE)*VLOOKUP($L670,Vloersoorten[],3,FALSE)*VLOOKUP($T670,Frequenties[],3,FALSE)*VLOOKUP($A670,Locaties[],3,FALSE),0)</f>
        <v>0</v>
      </c>
      <c r="W670" s="434">
        <f>Ruimtestaat[[#This Row],[Uitvoeringen werkdagen]]*Ruimtestaat[[#This Row],[Oppervlak (netto)]]</f>
        <v>0</v>
      </c>
      <c r="X670" s="441">
        <f>IF(V670&gt;0,Ruimtestaat[[#This Row],[Prest. (m2 /jaar) werkdagen]]/Ruimtestaat[[#This Row],[Norm (m2/uur) werkdagen]],0)</f>
        <v>0</v>
      </c>
      <c r="Y670" s="442">
        <f>Ruimtestaat[[#This Row],[Uitvoeringen werkdagen]]*Ruimtestaat[[#This Row],[Gedeeltelijk]]</f>
        <v>0</v>
      </c>
      <c r="Z670" s="443">
        <f>IF(U670&gt;0,Ruimtestaat[[#This Row],[Prest. (m2 / jaar) werkdagen gedeeld]]/Ruimtestaat[[#This Row],[Norm (m2/uur) werkdagen]],0)</f>
        <v>0</v>
      </c>
      <c r="AA670" s="441">
        <f>Ruimtestaat[[#This Row],[uren / jaar werkdagen gedeeld]]*Tariefsopbouw!$E$35</f>
        <v>0</v>
      </c>
      <c r="AB670" s="441">
        <f>Ruimtestaat[[#This Row],[Uitvoeringen werkdagen]]*Ruimtestaat[[#This Row],[BSO]]</f>
        <v>0</v>
      </c>
      <c r="AC670" s="443">
        <f>IF(U670&gt;0,Ruimtestaat[[#This Row],[Prest. (m2 / jaar) werkdagen BSO]]/Ruimtestaat[[#This Row],[Norm (m2/uur) werkdagen]],0)</f>
        <v>0</v>
      </c>
      <c r="AD670" s="443">
        <f>Ruimtestaat[[#This Row],[uren / jaar werkdagen BSO]]*Tariefsopbouw!$E$35</f>
        <v>0</v>
      </c>
      <c r="AE670" s="444">
        <f>Ruimtestaat[[#This Row],[uren / jaar werkdagen]]*Tariefsopbouw!$E$35</f>
        <v>0</v>
      </c>
      <c r="AF670" s="454"/>
      <c r="AG670" s="455">
        <f>IF(Ruimtestaat[[#This Row],[Frequentie weekend]]&gt;0,VALUE(LEFT(AF670,1))*S670,0)</f>
        <v>0</v>
      </c>
      <c r="AH670" s="455">
        <f>IF($AG670&gt;0,VLOOKUP($J670,Ruimtegroepen[],3,FALSE)*VLOOKUP($L670,Vloersoorten[],3,FALSE)*VLOOKUP($AF670,Frequenties[],3,FALSE)*VLOOKUP(#REF!,Locaties[],3,FALSE),0)</f>
        <v>0</v>
      </c>
      <c r="AI670" s="434">
        <f>Ruimtestaat[[#This Row],[Uitvoeringen weekend]]*Ruimtestaat[[#This Row],[Oppervlak (netto)]]</f>
        <v>0</v>
      </c>
      <c r="AJ670" s="434">
        <f>IF(AH670&gt;0,Ruimtestaat[[#This Row],[Prest. (m2 /jaar) weekend]]/Ruimtestaat[[#This Row],[Norm (m2/uur) weekend]],0)</f>
        <v>0</v>
      </c>
      <c r="AK670" s="444">
        <f>Ruimtestaat[[#This Row],[uren / jaar weekend]]*Tariefsopbouw!$D$40</f>
        <v>0</v>
      </c>
      <c r="AL670" s="441">
        <f>Ruimtestaat[[#This Row],[Prest. (m2 /jaar) weekend]]+Ruimtestaat[[#This Row],[Prest. (m2 /jaar) werkdagen]]</f>
        <v>0</v>
      </c>
      <c r="AM670" s="441">
        <f>Ruimtestaat[[#This Row],[uren / jaar weekend]]+Ruimtestaat[[#This Row],[uren / jaar werkdagen]]</f>
        <v>0</v>
      </c>
      <c r="AN670" s="446">
        <f>Ruimtestaat[[#This Row],[kosten / jaar weekend]]+Ruimtestaat[[#This Row],[kosten / jaar werkdagen]]</f>
        <v>0</v>
      </c>
      <c r="AO670" s="446"/>
      <c r="AP670" s="446" t="str">
        <f>IF(Ruimtestaat[[#This Row],[Frequentie werkdagen]]="","",_xlfn.CONCAT(Ruimtestaat[[#This Row],[Ruimte code]],"-",Ruimtestaat[[#This Row],[Frequentie werkdagen]]," ",Ruimtestaat[[#This Row],[Vloer code]]))</f>
        <v/>
      </c>
      <c r="AQ670" s="448" t="str">
        <f>_xlfn.IFNA(VLOOKUP($AP670,Programma!$F$3:$G$1101,2,0),"")</f>
        <v/>
      </c>
      <c r="AR670" s="448" t="str">
        <f>_xlfn.IFNA(VLOOKUP($AP670,Programma!$F$3:$H$1101,3,0),"")</f>
        <v/>
      </c>
      <c r="AS670" s="448" t="str">
        <f>_xlfn.IFNA(VLOOKUP($AP670,Programma!$F$3:$I$1101,4,0),"")</f>
        <v/>
      </c>
      <c r="AT670" s="448" t="str">
        <f>_xlfn.IFNA(VLOOKUP($AP670,Programma!$F$3:$J$1101,5,0),"")</f>
        <v/>
      </c>
      <c r="AU670" s="448" t="str">
        <f>_xlfn.IFNA(VLOOKUP($AP670,Programma!$F$3:$K$1101,6,0),"")</f>
        <v/>
      </c>
      <c r="AV670" s="448" t="str">
        <f>_xlfn.IFNA(VLOOKUP($AP670,Programma!$F$3:$L$1101,7,0),"")</f>
        <v/>
      </c>
      <c r="AW670" s="448" t="str">
        <f>_xlfn.IFNA(VLOOKUP($AP670,Programma!$F$3:$M$1101,8,0),"")</f>
        <v/>
      </c>
      <c r="AX670" s="448" t="str">
        <f>_xlfn.IFNA(VLOOKUP($AP670,Programma!$F$3:$N$1101,9,0),"")</f>
        <v/>
      </c>
      <c r="AY670" s="448" t="str">
        <f>_xlfn.IFNA(VLOOKUP($AP670,Programma!$F$3:$O$1101,10,0),"")</f>
        <v/>
      </c>
      <c r="AZ670" s="448" t="str">
        <f>_xlfn.IFNA(VLOOKUP($AP670,Programma!$F$3:$P$1101,11,0),"")</f>
        <v/>
      </c>
      <c r="BA670" s="448" t="str">
        <f>_xlfn.IFNA(VLOOKUP($AP670,Programma!$F$3:$Q$1101,12,0),"")</f>
        <v/>
      </c>
      <c r="BB670" s="448" t="str">
        <f>_xlfn.IFNA(VLOOKUP($AP670,Programma!$F$3:$R$1101,13,0),"")</f>
        <v/>
      </c>
      <c r="BC670" s="448" t="str">
        <f>_xlfn.IFNA(VLOOKUP($AP670,Programma!$F$3:$S$1101,14,0),"")</f>
        <v/>
      </c>
      <c r="BD670" s="448" t="str">
        <f>_xlfn.IFNA(VLOOKUP($AP670,Programma!$F$3:$T$1101,15,0),"")</f>
        <v/>
      </c>
      <c r="BE670" s="448" t="str">
        <f>_xlfn.IFNA(VLOOKUP($AP670,Programma!$F$3:$U$1101,16,0),"")</f>
        <v/>
      </c>
      <c r="BF670" s="448" t="str">
        <f>_xlfn.IFNA(VLOOKUP($AP670,Programma!$F$3:$V$1101,17,0),"")</f>
        <v/>
      </c>
      <c r="BG670" s="448" t="str">
        <f>_xlfn.IFNA(VLOOKUP($AP670,Programma!$F$3:$W$1101,18,0),"")</f>
        <v/>
      </c>
      <c r="BH670" s="448" t="str">
        <f>_xlfn.IFNA(VLOOKUP($AP670,Programma!$F$3:$X$1101,19,0),"")</f>
        <v/>
      </c>
      <c r="BI670" s="448" t="str">
        <f>_xlfn.IFNA(VLOOKUP($AP670,Programma!$F$3:$Y$1101,20,0),"")</f>
        <v/>
      </c>
      <c r="BJ670" s="449"/>
      <c r="BK670" s="446" t="str">
        <f>IF(Ruimtestaat[[#This Row],[Frequentie weekend]]="","",_xlfn.CONCAT(Ruimtestaat[[#This Row],[Ruimte code]],"-",Ruimtestaat[[#This Row],[Frequentie weekend]]," ",Ruimtestaat[[#This Row],[Vloer code]]))</f>
        <v/>
      </c>
      <c r="BL670" s="448" t="str">
        <f>_xlfn.IFNA(VLOOKUP($BK670,Programma!$F$3:$G$1101,2,0),"")</f>
        <v/>
      </c>
      <c r="BM670" s="448" t="str">
        <f>_xlfn.IFNA(VLOOKUP($BK670,Programma!$F$3:$H$1101,3,0),"")</f>
        <v/>
      </c>
      <c r="BN670" s="448" t="str">
        <f>_xlfn.IFNA(VLOOKUP($BK670,Programma!$F$3:$I$1101,4,0),"")</f>
        <v/>
      </c>
      <c r="BO670" s="448" t="str">
        <f>_xlfn.IFNA(VLOOKUP($BK670,Programma!$F$3:$J$1101,5,0),"")</f>
        <v/>
      </c>
      <c r="BP670" s="448" t="str">
        <f>_xlfn.IFNA(VLOOKUP($BK670,Programma!$F$3:$K$1101,6,0),"")</f>
        <v/>
      </c>
      <c r="BQ670" s="448" t="str">
        <f>_xlfn.IFNA(VLOOKUP($BK670,Programma!$F$3:$L$1101,7,0),"")</f>
        <v/>
      </c>
      <c r="BR670" s="448" t="str">
        <f>_xlfn.IFNA(VLOOKUP($BK670,Programma!$F$3:$M$1101,8,0),"")</f>
        <v/>
      </c>
      <c r="BS670" s="448" t="str">
        <f>_xlfn.IFNA(VLOOKUP($BK670,Programma!$F$3:$N$1101,9,0),"")</f>
        <v/>
      </c>
      <c r="BT670" s="448" t="str">
        <f>_xlfn.IFNA(VLOOKUP($BK670,Programma!$F$3:$O$1101,10,0),"")</f>
        <v/>
      </c>
      <c r="BU670" s="448" t="str">
        <f>_xlfn.IFNA(VLOOKUP($BK670,Programma!$F$3:$P$1101,11,0),"")</f>
        <v/>
      </c>
      <c r="BV670" s="448" t="str">
        <f>_xlfn.IFNA(VLOOKUP($BK670,Programma!$F$3:$Q$1101,12,0),"")</f>
        <v/>
      </c>
      <c r="BW670" s="448" t="str">
        <f>_xlfn.IFNA(VLOOKUP($BK670,Programma!$F$3:$R$1101,13,0),"")</f>
        <v/>
      </c>
      <c r="BX670" s="448" t="str">
        <f>_xlfn.IFNA(VLOOKUP($BK670,Programma!$F$3:$S$1101,14,0),"")</f>
        <v/>
      </c>
      <c r="BY670" s="448" t="str">
        <f>_xlfn.IFNA(VLOOKUP($BK670,Programma!$F$3:$T$1101,15,0),"")</f>
        <v/>
      </c>
      <c r="BZ670" s="448" t="str">
        <f>_xlfn.IFNA(VLOOKUP($BK670,Programma!$F$3:$U$1101,16,0),"")</f>
        <v/>
      </c>
      <c r="CA670" s="448" t="str">
        <f>_xlfn.IFNA(VLOOKUP($BK670,Programma!$F$3:$V$1101,17,0),"")</f>
        <v/>
      </c>
      <c r="CB670" s="448" t="str">
        <f>_xlfn.IFNA(VLOOKUP($BK670,Programma!$F$3:$W$1101,18,0),"")</f>
        <v/>
      </c>
      <c r="CC670" s="448" t="str">
        <f>_xlfn.IFNA(VLOOKUP($BK670,Programma!$F$3:$X$1101,19,0),"")</f>
        <v/>
      </c>
      <c r="CD670" s="448" t="str">
        <f>_xlfn.IFNA(VLOOKUP($BK670,Programma!$F$3:$Y$1101,20,0),"")</f>
        <v/>
      </c>
    </row>
    <row r="671" spans="1:82" ht="15" customHeight="1">
      <c r="A671" s="327">
        <v>15</v>
      </c>
      <c r="B671" s="435" t="str">
        <f>VLOOKUP(Ruimtestaat[[#This Row],[Code]],Locaties[[Code]:[Locatie]],2,FALSE)</f>
        <v>IKC  Da Vinci</v>
      </c>
      <c r="C671" s="435" t="str">
        <f>VLOOKUP(Ruimtestaat[[#This Row],[Code]],Locaties[[#All],[Code]:[Adres]],4,FALSE)</f>
        <v>Spitsbergen 17</v>
      </c>
      <c r="D671" s="435" t="str">
        <f>VLOOKUP(Ruimtestaat[[#This Row],[Code]],Locaties[[#All],[Code]:[Postcode]],5,FALSE)</f>
        <v>2721 GP</v>
      </c>
      <c r="E671" s="435" t="str">
        <f>VLOOKUP(Ruimtestaat[[#This Row],[Code]],Locaties[#All],6,FALSE)</f>
        <v>Zoetermeer</v>
      </c>
      <c r="F671" s="330" t="s">
        <v>2154</v>
      </c>
      <c r="I671" s="450" t="s">
        <v>1982</v>
      </c>
      <c r="J671" s="330">
        <v>20</v>
      </c>
      <c r="K671" s="450" t="str">
        <f>VLOOKUP(Ruimtestaat[[#This Row],[Ruimte code]],Ruimtegroepen[[#All],[Code]:[Ruimte omschrijving]],2,FALSE)</f>
        <v>Niet in Onderhoud</v>
      </c>
      <c r="M671" s="330"/>
      <c r="N671" s="439"/>
      <c r="O671" s="439">
        <v>10</v>
      </c>
      <c r="P671" s="439"/>
      <c r="Q671" s="439"/>
      <c r="R671" s="440">
        <f>VLOOKUP(Ruimtestaat[[#This Row],[Ruimte code]],Ruimtegroepen[],4,FALSE)</f>
        <v>0</v>
      </c>
      <c r="S671" s="434"/>
      <c r="T671" s="434"/>
      <c r="U671" s="453">
        <f>IF(S671&gt;0,IF(RIGHT(Ruimtestaat[[#This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1" s="434">
        <f>IF(U671&gt;0,VLOOKUP($J671,Ruimtegroepen[],3,FALSE)*VLOOKUP($L671,Vloersoorten[],3,FALSE)*VLOOKUP($T671,Frequenties[],3,FALSE)*VLOOKUP($A671,Locaties[],3,FALSE),0)</f>
        <v>0</v>
      </c>
      <c r="W671" s="434">
        <f>Ruimtestaat[[#This Row],[Uitvoeringen werkdagen]]*Ruimtestaat[[#This Row],[Oppervlak (netto)]]</f>
        <v>0</v>
      </c>
      <c r="X671" s="441">
        <f>IF(V671&gt;0,Ruimtestaat[[#This Row],[Prest. (m2 /jaar) werkdagen]]/Ruimtestaat[[#This Row],[Norm (m2/uur) werkdagen]],0)</f>
        <v>0</v>
      </c>
      <c r="Y671" s="442">
        <f>Ruimtestaat[[#This Row],[Uitvoeringen werkdagen]]*Ruimtestaat[[#This Row],[Gedeeltelijk]]</f>
        <v>0</v>
      </c>
      <c r="Z671" s="443">
        <f>IF(U671&gt;0,Ruimtestaat[[#This Row],[Prest. (m2 / jaar) werkdagen gedeeld]]/Ruimtestaat[[#This Row],[Norm (m2/uur) werkdagen]],0)</f>
        <v>0</v>
      </c>
      <c r="AA671" s="441">
        <f>Ruimtestaat[[#This Row],[uren / jaar werkdagen gedeeld]]*Tariefsopbouw!$E$35</f>
        <v>0</v>
      </c>
      <c r="AB671" s="441">
        <f>Ruimtestaat[[#This Row],[Uitvoeringen werkdagen]]*Ruimtestaat[[#This Row],[BSO]]</f>
        <v>0</v>
      </c>
      <c r="AC671" s="443">
        <f>IF(U671&gt;0,Ruimtestaat[[#This Row],[Prest. (m2 / jaar) werkdagen BSO]]/Ruimtestaat[[#This Row],[Norm (m2/uur) werkdagen]],0)</f>
        <v>0</v>
      </c>
      <c r="AD671" s="443">
        <f>Ruimtestaat[[#This Row],[uren / jaar werkdagen BSO]]*Tariefsopbouw!$E$35</f>
        <v>0</v>
      </c>
      <c r="AE671" s="444">
        <f>Ruimtestaat[[#This Row],[uren / jaar werkdagen]]*Tariefsopbouw!$E$35</f>
        <v>0</v>
      </c>
      <c r="AF671" s="454"/>
      <c r="AG671" s="455">
        <f>IF(Ruimtestaat[[#This Row],[Frequentie weekend]]&gt;0,VALUE(LEFT(AF671,1))*S671,0)</f>
        <v>0</v>
      </c>
      <c r="AH671" s="455">
        <f>IF($AG671&gt;0,VLOOKUP($J671,Ruimtegroepen[],3,FALSE)*VLOOKUP($L671,Vloersoorten[],3,FALSE)*VLOOKUP($AF671,Frequenties[],3,FALSE)*VLOOKUP(#REF!,Locaties[],3,FALSE),0)</f>
        <v>0</v>
      </c>
      <c r="AI671" s="434">
        <f>Ruimtestaat[[#This Row],[Uitvoeringen weekend]]*Ruimtestaat[[#This Row],[Oppervlak (netto)]]</f>
        <v>0</v>
      </c>
      <c r="AJ671" s="434">
        <f>IF(AH671&gt;0,Ruimtestaat[[#This Row],[Prest. (m2 /jaar) weekend]]/Ruimtestaat[[#This Row],[Norm (m2/uur) weekend]],0)</f>
        <v>0</v>
      </c>
      <c r="AK671" s="444">
        <f>Ruimtestaat[[#This Row],[uren / jaar weekend]]*Tariefsopbouw!$D$40</f>
        <v>0</v>
      </c>
      <c r="AL671" s="441">
        <f>Ruimtestaat[[#This Row],[Prest. (m2 /jaar) weekend]]+Ruimtestaat[[#This Row],[Prest. (m2 /jaar) werkdagen]]</f>
        <v>0</v>
      </c>
      <c r="AM671" s="441">
        <f>Ruimtestaat[[#This Row],[uren / jaar weekend]]+Ruimtestaat[[#This Row],[uren / jaar werkdagen]]</f>
        <v>0</v>
      </c>
      <c r="AN671" s="446">
        <f>Ruimtestaat[[#This Row],[kosten / jaar weekend]]+Ruimtestaat[[#This Row],[kosten / jaar werkdagen]]</f>
        <v>0</v>
      </c>
      <c r="AO671" s="446"/>
      <c r="AP671" s="446" t="str">
        <f>IF(Ruimtestaat[[#This Row],[Frequentie werkdagen]]="","",_xlfn.CONCAT(Ruimtestaat[[#This Row],[Ruimte code]],"-",Ruimtestaat[[#This Row],[Frequentie werkdagen]]," ",Ruimtestaat[[#This Row],[Vloer code]]))</f>
        <v/>
      </c>
      <c r="AQ671" s="448" t="str">
        <f>_xlfn.IFNA(VLOOKUP($AP671,Programma!$F$3:$G$1101,2,0),"")</f>
        <v/>
      </c>
      <c r="AR671" s="448" t="str">
        <f>_xlfn.IFNA(VLOOKUP($AP671,Programma!$F$3:$H$1101,3,0),"")</f>
        <v/>
      </c>
      <c r="AS671" s="448" t="str">
        <f>_xlfn.IFNA(VLOOKUP($AP671,Programma!$F$3:$I$1101,4,0),"")</f>
        <v/>
      </c>
      <c r="AT671" s="448" t="str">
        <f>_xlfn.IFNA(VLOOKUP($AP671,Programma!$F$3:$J$1101,5,0),"")</f>
        <v/>
      </c>
      <c r="AU671" s="448" t="str">
        <f>_xlfn.IFNA(VLOOKUP($AP671,Programma!$F$3:$K$1101,6,0),"")</f>
        <v/>
      </c>
      <c r="AV671" s="448" t="str">
        <f>_xlfn.IFNA(VLOOKUP($AP671,Programma!$F$3:$L$1101,7,0),"")</f>
        <v/>
      </c>
      <c r="AW671" s="448" t="str">
        <f>_xlfn.IFNA(VLOOKUP($AP671,Programma!$F$3:$M$1101,8,0),"")</f>
        <v/>
      </c>
      <c r="AX671" s="448" t="str">
        <f>_xlfn.IFNA(VLOOKUP($AP671,Programma!$F$3:$N$1101,9,0),"")</f>
        <v/>
      </c>
      <c r="AY671" s="448" t="str">
        <f>_xlfn.IFNA(VLOOKUP($AP671,Programma!$F$3:$O$1101,10,0),"")</f>
        <v/>
      </c>
      <c r="AZ671" s="448" t="str">
        <f>_xlfn.IFNA(VLOOKUP($AP671,Programma!$F$3:$P$1101,11,0),"")</f>
        <v/>
      </c>
      <c r="BA671" s="448" t="str">
        <f>_xlfn.IFNA(VLOOKUP($AP671,Programma!$F$3:$Q$1101,12,0),"")</f>
        <v/>
      </c>
      <c r="BB671" s="448" t="str">
        <f>_xlfn.IFNA(VLOOKUP($AP671,Programma!$F$3:$R$1101,13,0),"")</f>
        <v/>
      </c>
      <c r="BC671" s="448" t="str">
        <f>_xlfn.IFNA(VLOOKUP($AP671,Programma!$F$3:$S$1101,14,0),"")</f>
        <v/>
      </c>
      <c r="BD671" s="448" t="str">
        <f>_xlfn.IFNA(VLOOKUP($AP671,Programma!$F$3:$T$1101,15,0),"")</f>
        <v/>
      </c>
      <c r="BE671" s="448" t="str">
        <f>_xlfn.IFNA(VLOOKUP($AP671,Programma!$F$3:$U$1101,16,0),"")</f>
        <v/>
      </c>
      <c r="BF671" s="448" t="str">
        <f>_xlfn.IFNA(VLOOKUP($AP671,Programma!$F$3:$V$1101,17,0),"")</f>
        <v/>
      </c>
      <c r="BG671" s="448" t="str">
        <f>_xlfn.IFNA(VLOOKUP($AP671,Programma!$F$3:$W$1101,18,0),"")</f>
        <v/>
      </c>
      <c r="BH671" s="448" t="str">
        <f>_xlfn.IFNA(VLOOKUP($AP671,Programma!$F$3:$X$1101,19,0),"")</f>
        <v/>
      </c>
      <c r="BI671" s="448" t="str">
        <f>_xlfn.IFNA(VLOOKUP($AP671,Programma!$F$3:$Y$1101,20,0),"")</f>
        <v/>
      </c>
      <c r="BJ671" s="449"/>
      <c r="BK671" s="446" t="str">
        <f>IF(Ruimtestaat[[#This Row],[Frequentie weekend]]="","",_xlfn.CONCAT(Ruimtestaat[[#This Row],[Ruimte code]],"-",Ruimtestaat[[#This Row],[Frequentie weekend]]," ",Ruimtestaat[[#This Row],[Vloer code]]))</f>
        <v/>
      </c>
      <c r="BL671" s="448" t="str">
        <f>_xlfn.IFNA(VLOOKUP($BK671,Programma!$F$3:$G$1101,2,0),"")</f>
        <v/>
      </c>
      <c r="BM671" s="448" t="str">
        <f>_xlfn.IFNA(VLOOKUP($BK671,Programma!$F$3:$H$1101,3,0),"")</f>
        <v/>
      </c>
      <c r="BN671" s="448" t="str">
        <f>_xlfn.IFNA(VLOOKUP($BK671,Programma!$F$3:$I$1101,4,0),"")</f>
        <v/>
      </c>
      <c r="BO671" s="448" t="str">
        <f>_xlfn.IFNA(VLOOKUP($BK671,Programma!$F$3:$J$1101,5,0),"")</f>
        <v/>
      </c>
      <c r="BP671" s="448" t="str">
        <f>_xlfn.IFNA(VLOOKUP($BK671,Programma!$F$3:$K$1101,6,0),"")</f>
        <v/>
      </c>
      <c r="BQ671" s="448" t="str">
        <f>_xlfn.IFNA(VLOOKUP($BK671,Programma!$F$3:$L$1101,7,0),"")</f>
        <v/>
      </c>
      <c r="BR671" s="448" t="str">
        <f>_xlfn.IFNA(VLOOKUP($BK671,Programma!$F$3:$M$1101,8,0),"")</f>
        <v/>
      </c>
      <c r="BS671" s="448" t="str">
        <f>_xlfn.IFNA(VLOOKUP($BK671,Programma!$F$3:$N$1101,9,0),"")</f>
        <v/>
      </c>
      <c r="BT671" s="448" t="str">
        <f>_xlfn.IFNA(VLOOKUP($BK671,Programma!$F$3:$O$1101,10,0),"")</f>
        <v/>
      </c>
      <c r="BU671" s="448" t="str">
        <f>_xlfn.IFNA(VLOOKUP($BK671,Programma!$F$3:$P$1101,11,0),"")</f>
        <v/>
      </c>
      <c r="BV671" s="448" t="str">
        <f>_xlfn.IFNA(VLOOKUP($BK671,Programma!$F$3:$Q$1101,12,0),"")</f>
        <v/>
      </c>
      <c r="BW671" s="448" t="str">
        <f>_xlfn.IFNA(VLOOKUP($BK671,Programma!$F$3:$R$1101,13,0),"")</f>
        <v/>
      </c>
      <c r="BX671" s="448" t="str">
        <f>_xlfn.IFNA(VLOOKUP($BK671,Programma!$F$3:$S$1101,14,0),"")</f>
        <v/>
      </c>
      <c r="BY671" s="448" t="str">
        <f>_xlfn.IFNA(VLOOKUP($BK671,Programma!$F$3:$T$1101,15,0),"")</f>
        <v/>
      </c>
      <c r="BZ671" s="448" t="str">
        <f>_xlfn.IFNA(VLOOKUP($BK671,Programma!$F$3:$U$1101,16,0),"")</f>
        <v/>
      </c>
      <c r="CA671" s="448" t="str">
        <f>_xlfn.IFNA(VLOOKUP($BK671,Programma!$F$3:$V$1101,17,0),"")</f>
        <v/>
      </c>
      <c r="CB671" s="448" t="str">
        <f>_xlfn.IFNA(VLOOKUP($BK671,Programma!$F$3:$W$1101,18,0),"")</f>
        <v/>
      </c>
      <c r="CC671" s="448" t="str">
        <f>_xlfn.IFNA(VLOOKUP($BK671,Programma!$F$3:$X$1101,19,0),"")</f>
        <v/>
      </c>
      <c r="CD671" s="448" t="str">
        <f>_xlfn.IFNA(VLOOKUP($BK671,Programma!$F$3:$Y$1101,20,0),"")</f>
        <v/>
      </c>
    </row>
    <row r="672" spans="1:82" ht="15" customHeight="1">
      <c r="A672" s="327">
        <v>15</v>
      </c>
      <c r="B672" s="435" t="str">
        <f>VLOOKUP(Ruimtestaat[[#This Row],[Code]],Locaties[[Code]:[Locatie]],2,FALSE)</f>
        <v>IKC  Da Vinci</v>
      </c>
      <c r="C672" s="435" t="str">
        <f>VLOOKUP(Ruimtestaat[[#This Row],[Code]],Locaties[[#All],[Code]:[Adres]],4,FALSE)</f>
        <v>Spitsbergen 17</v>
      </c>
      <c r="D672" s="435" t="str">
        <f>VLOOKUP(Ruimtestaat[[#This Row],[Code]],Locaties[[#All],[Code]:[Postcode]],5,FALSE)</f>
        <v>2721 GP</v>
      </c>
      <c r="E672" s="435" t="str">
        <f>VLOOKUP(Ruimtestaat[[#This Row],[Code]],Locaties[#All],6,FALSE)</f>
        <v>Zoetermeer</v>
      </c>
      <c r="F672" s="330" t="s">
        <v>2154</v>
      </c>
      <c r="I672" s="450" t="s">
        <v>1983</v>
      </c>
      <c r="J672" s="330">
        <v>20</v>
      </c>
      <c r="K672" s="450" t="str">
        <f>VLOOKUP(Ruimtestaat[[#This Row],[Ruimte code]],Ruimtegroepen[[#All],[Code]:[Ruimte omschrijving]],2,FALSE)</f>
        <v>Niet in Onderhoud</v>
      </c>
      <c r="M672" s="330"/>
      <c r="N672" s="439"/>
      <c r="O672" s="439">
        <v>53</v>
      </c>
      <c r="P672" s="439"/>
      <c r="Q672" s="439"/>
      <c r="R672" s="440">
        <f>VLOOKUP(Ruimtestaat[[#This Row],[Ruimte code]],Ruimtegroepen[],4,FALSE)</f>
        <v>0</v>
      </c>
      <c r="S672" s="434"/>
      <c r="T672" s="434"/>
      <c r="U672" s="453">
        <f>IF(S672&gt;0,IF(RIGHT(Ruimtestaat[[#This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2" s="434">
        <f>IF(U672&gt;0,VLOOKUP($J672,Ruimtegroepen[],3,FALSE)*VLOOKUP($L672,Vloersoorten[],3,FALSE)*VLOOKUP($T672,Frequenties[],3,FALSE)*VLOOKUP($A672,Locaties[],3,FALSE),0)</f>
        <v>0</v>
      </c>
      <c r="W672" s="434">
        <f>Ruimtestaat[[#This Row],[Uitvoeringen werkdagen]]*Ruimtestaat[[#This Row],[Oppervlak (netto)]]</f>
        <v>0</v>
      </c>
      <c r="X672" s="441">
        <f>IF(V672&gt;0,Ruimtestaat[[#This Row],[Prest. (m2 /jaar) werkdagen]]/Ruimtestaat[[#This Row],[Norm (m2/uur) werkdagen]],0)</f>
        <v>0</v>
      </c>
      <c r="Y672" s="442">
        <f>Ruimtestaat[[#This Row],[Uitvoeringen werkdagen]]*Ruimtestaat[[#This Row],[Gedeeltelijk]]</f>
        <v>0</v>
      </c>
      <c r="Z672" s="443">
        <f>IF(U672&gt;0,Ruimtestaat[[#This Row],[Prest. (m2 / jaar) werkdagen gedeeld]]/Ruimtestaat[[#This Row],[Norm (m2/uur) werkdagen]],0)</f>
        <v>0</v>
      </c>
      <c r="AA672" s="441">
        <f>Ruimtestaat[[#This Row],[uren / jaar werkdagen gedeeld]]*Tariefsopbouw!$E$35</f>
        <v>0</v>
      </c>
      <c r="AB672" s="441">
        <f>Ruimtestaat[[#This Row],[Uitvoeringen werkdagen]]*Ruimtestaat[[#This Row],[BSO]]</f>
        <v>0</v>
      </c>
      <c r="AC672" s="443">
        <f>IF(U672&gt;0,Ruimtestaat[[#This Row],[Prest. (m2 / jaar) werkdagen BSO]]/Ruimtestaat[[#This Row],[Norm (m2/uur) werkdagen]],0)</f>
        <v>0</v>
      </c>
      <c r="AD672" s="443">
        <f>Ruimtestaat[[#This Row],[uren / jaar werkdagen BSO]]*Tariefsopbouw!$E$35</f>
        <v>0</v>
      </c>
      <c r="AE672" s="444">
        <f>Ruimtestaat[[#This Row],[uren / jaar werkdagen]]*Tariefsopbouw!$E$35</f>
        <v>0</v>
      </c>
      <c r="AF672" s="454"/>
      <c r="AG672" s="455">
        <f>IF(Ruimtestaat[[#This Row],[Frequentie weekend]]&gt;0,VALUE(LEFT(AF672,1))*S672,0)</f>
        <v>0</v>
      </c>
      <c r="AH672" s="455">
        <f>IF($AG672&gt;0,VLOOKUP($J672,Ruimtegroepen[],3,FALSE)*VLOOKUP($L672,Vloersoorten[],3,FALSE)*VLOOKUP($AF672,Frequenties[],3,FALSE)*VLOOKUP(#REF!,Locaties[],3,FALSE),0)</f>
        <v>0</v>
      </c>
      <c r="AI672" s="434">
        <f>Ruimtestaat[[#This Row],[Uitvoeringen weekend]]*Ruimtestaat[[#This Row],[Oppervlak (netto)]]</f>
        <v>0</v>
      </c>
      <c r="AJ672" s="434">
        <f>IF(AH672&gt;0,Ruimtestaat[[#This Row],[Prest. (m2 /jaar) weekend]]/Ruimtestaat[[#This Row],[Norm (m2/uur) weekend]],0)</f>
        <v>0</v>
      </c>
      <c r="AK672" s="444">
        <f>Ruimtestaat[[#This Row],[uren / jaar weekend]]*Tariefsopbouw!$D$40</f>
        <v>0</v>
      </c>
      <c r="AL672" s="441">
        <f>Ruimtestaat[[#This Row],[Prest. (m2 /jaar) weekend]]+Ruimtestaat[[#This Row],[Prest. (m2 /jaar) werkdagen]]</f>
        <v>0</v>
      </c>
      <c r="AM672" s="441">
        <f>Ruimtestaat[[#This Row],[uren / jaar weekend]]+Ruimtestaat[[#This Row],[uren / jaar werkdagen]]</f>
        <v>0</v>
      </c>
      <c r="AN672" s="446">
        <f>Ruimtestaat[[#This Row],[kosten / jaar weekend]]+Ruimtestaat[[#This Row],[kosten / jaar werkdagen]]</f>
        <v>0</v>
      </c>
      <c r="AO672" s="446"/>
      <c r="AP672" s="446" t="str">
        <f>IF(Ruimtestaat[[#This Row],[Frequentie werkdagen]]="","",_xlfn.CONCAT(Ruimtestaat[[#This Row],[Ruimte code]],"-",Ruimtestaat[[#This Row],[Frequentie werkdagen]]," ",Ruimtestaat[[#This Row],[Vloer code]]))</f>
        <v/>
      </c>
      <c r="AQ672" s="448" t="str">
        <f>_xlfn.IFNA(VLOOKUP($AP672,Programma!$F$3:$G$1101,2,0),"")</f>
        <v/>
      </c>
      <c r="AR672" s="448" t="str">
        <f>_xlfn.IFNA(VLOOKUP($AP672,Programma!$F$3:$H$1101,3,0),"")</f>
        <v/>
      </c>
      <c r="AS672" s="448" t="str">
        <f>_xlfn.IFNA(VLOOKUP($AP672,Programma!$F$3:$I$1101,4,0),"")</f>
        <v/>
      </c>
      <c r="AT672" s="448" t="str">
        <f>_xlfn.IFNA(VLOOKUP($AP672,Programma!$F$3:$J$1101,5,0),"")</f>
        <v/>
      </c>
      <c r="AU672" s="448" t="str">
        <f>_xlfn.IFNA(VLOOKUP($AP672,Programma!$F$3:$K$1101,6,0),"")</f>
        <v/>
      </c>
      <c r="AV672" s="448" t="str">
        <f>_xlfn.IFNA(VLOOKUP($AP672,Programma!$F$3:$L$1101,7,0),"")</f>
        <v/>
      </c>
      <c r="AW672" s="448" t="str">
        <f>_xlfn.IFNA(VLOOKUP($AP672,Programma!$F$3:$M$1101,8,0),"")</f>
        <v/>
      </c>
      <c r="AX672" s="448" t="str">
        <f>_xlfn.IFNA(VLOOKUP($AP672,Programma!$F$3:$N$1101,9,0),"")</f>
        <v/>
      </c>
      <c r="AY672" s="448" t="str">
        <f>_xlfn.IFNA(VLOOKUP($AP672,Programma!$F$3:$O$1101,10,0),"")</f>
        <v/>
      </c>
      <c r="AZ672" s="448" t="str">
        <f>_xlfn.IFNA(VLOOKUP($AP672,Programma!$F$3:$P$1101,11,0),"")</f>
        <v/>
      </c>
      <c r="BA672" s="448" t="str">
        <f>_xlfn.IFNA(VLOOKUP($AP672,Programma!$F$3:$Q$1101,12,0),"")</f>
        <v/>
      </c>
      <c r="BB672" s="448" t="str">
        <f>_xlfn.IFNA(VLOOKUP($AP672,Programma!$F$3:$R$1101,13,0),"")</f>
        <v/>
      </c>
      <c r="BC672" s="448" t="str">
        <f>_xlfn.IFNA(VLOOKUP($AP672,Programma!$F$3:$S$1101,14,0),"")</f>
        <v/>
      </c>
      <c r="BD672" s="448" t="str">
        <f>_xlfn.IFNA(VLOOKUP($AP672,Programma!$F$3:$T$1101,15,0),"")</f>
        <v/>
      </c>
      <c r="BE672" s="448" t="str">
        <f>_xlfn.IFNA(VLOOKUP($AP672,Programma!$F$3:$U$1101,16,0),"")</f>
        <v/>
      </c>
      <c r="BF672" s="448" t="str">
        <f>_xlfn.IFNA(VLOOKUP($AP672,Programma!$F$3:$V$1101,17,0),"")</f>
        <v/>
      </c>
      <c r="BG672" s="448" t="str">
        <f>_xlfn.IFNA(VLOOKUP($AP672,Programma!$F$3:$W$1101,18,0),"")</f>
        <v/>
      </c>
      <c r="BH672" s="448" t="str">
        <f>_xlfn.IFNA(VLOOKUP($AP672,Programma!$F$3:$X$1101,19,0),"")</f>
        <v/>
      </c>
      <c r="BI672" s="448" t="str">
        <f>_xlfn.IFNA(VLOOKUP($AP672,Programma!$F$3:$Y$1101,20,0),"")</f>
        <v/>
      </c>
      <c r="BJ672" s="449"/>
      <c r="BK672" s="446" t="str">
        <f>IF(Ruimtestaat[[#This Row],[Frequentie weekend]]="","",_xlfn.CONCAT(Ruimtestaat[[#This Row],[Ruimte code]],"-",Ruimtestaat[[#This Row],[Frequentie weekend]]," ",Ruimtestaat[[#This Row],[Vloer code]]))</f>
        <v/>
      </c>
      <c r="BL672" s="448" t="str">
        <f>_xlfn.IFNA(VLOOKUP($BK672,Programma!$F$3:$G$1101,2,0),"")</f>
        <v/>
      </c>
      <c r="BM672" s="448" t="str">
        <f>_xlfn.IFNA(VLOOKUP($BK672,Programma!$F$3:$H$1101,3,0),"")</f>
        <v/>
      </c>
      <c r="BN672" s="448" t="str">
        <f>_xlfn.IFNA(VLOOKUP($BK672,Programma!$F$3:$I$1101,4,0),"")</f>
        <v/>
      </c>
      <c r="BO672" s="448" t="str">
        <f>_xlfn.IFNA(VLOOKUP($BK672,Programma!$F$3:$J$1101,5,0),"")</f>
        <v/>
      </c>
      <c r="BP672" s="448" t="str">
        <f>_xlfn.IFNA(VLOOKUP($BK672,Programma!$F$3:$K$1101,6,0),"")</f>
        <v/>
      </c>
      <c r="BQ672" s="448" t="str">
        <f>_xlfn.IFNA(VLOOKUP($BK672,Programma!$F$3:$L$1101,7,0),"")</f>
        <v/>
      </c>
      <c r="BR672" s="448" t="str">
        <f>_xlfn.IFNA(VLOOKUP($BK672,Programma!$F$3:$M$1101,8,0),"")</f>
        <v/>
      </c>
      <c r="BS672" s="448" t="str">
        <f>_xlfn.IFNA(VLOOKUP($BK672,Programma!$F$3:$N$1101,9,0),"")</f>
        <v/>
      </c>
      <c r="BT672" s="448" t="str">
        <f>_xlfn.IFNA(VLOOKUP($BK672,Programma!$F$3:$O$1101,10,0),"")</f>
        <v/>
      </c>
      <c r="BU672" s="448" t="str">
        <f>_xlfn.IFNA(VLOOKUP($BK672,Programma!$F$3:$P$1101,11,0),"")</f>
        <v/>
      </c>
      <c r="BV672" s="448" t="str">
        <f>_xlfn.IFNA(VLOOKUP($BK672,Programma!$F$3:$Q$1101,12,0),"")</f>
        <v/>
      </c>
      <c r="BW672" s="448" t="str">
        <f>_xlfn.IFNA(VLOOKUP($BK672,Programma!$F$3:$R$1101,13,0),"")</f>
        <v/>
      </c>
      <c r="BX672" s="448" t="str">
        <f>_xlfn.IFNA(VLOOKUP($BK672,Programma!$F$3:$S$1101,14,0),"")</f>
        <v/>
      </c>
      <c r="BY672" s="448" t="str">
        <f>_xlfn.IFNA(VLOOKUP($BK672,Programma!$F$3:$T$1101,15,0),"")</f>
        <v/>
      </c>
      <c r="BZ672" s="448" t="str">
        <f>_xlfn.IFNA(VLOOKUP($BK672,Programma!$F$3:$U$1101,16,0),"")</f>
        <v/>
      </c>
      <c r="CA672" s="448" t="str">
        <f>_xlfn.IFNA(VLOOKUP($BK672,Programma!$F$3:$V$1101,17,0),"")</f>
        <v/>
      </c>
      <c r="CB672" s="448" t="str">
        <f>_xlfn.IFNA(VLOOKUP($BK672,Programma!$F$3:$W$1101,18,0),"")</f>
        <v/>
      </c>
      <c r="CC672" s="448" t="str">
        <f>_xlfn.IFNA(VLOOKUP($BK672,Programma!$F$3:$X$1101,19,0),"")</f>
        <v/>
      </c>
      <c r="CD672" s="448" t="str">
        <f>_xlfn.IFNA(VLOOKUP($BK672,Programma!$F$3:$Y$1101,20,0),"")</f>
        <v/>
      </c>
    </row>
    <row r="673" spans="1:82" ht="15" customHeight="1">
      <c r="A673" s="327">
        <v>15</v>
      </c>
      <c r="B673" s="435" t="str">
        <f>VLOOKUP(Ruimtestaat[[#This Row],[Code]],Locaties[[Code]:[Locatie]],2,FALSE)</f>
        <v>IKC  Da Vinci</v>
      </c>
      <c r="C673" s="435" t="str">
        <f>VLOOKUP(Ruimtestaat[[#This Row],[Code]],Locaties[[#All],[Code]:[Adres]],4,FALSE)</f>
        <v>Spitsbergen 17</v>
      </c>
      <c r="D673" s="435" t="str">
        <f>VLOOKUP(Ruimtestaat[[#This Row],[Code]],Locaties[[#All],[Code]:[Postcode]],5,FALSE)</f>
        <v>2721 GP</v>
      </c>
      <c r="E673" s="435" t="str">
        <f>VLOOKUP(Ruimtestaat[[#This Row],[Code]],Locaties[#All],6,FALSE)</f>
        <v>Zoetermeer</v>
      </c>
      <c r="F673" s="330" t="s">
        <v>2154</v>
      </c>
      <c r="I673" s="450" t="s">
        <v>1983</v>
      </c>
      <c r="J673" s="330">
        <v>20</v>
      </c>
      <c r="K673" s="450" t="str">
        <f>VLOOKUP(Ruimtestaat[[#This Row],[Ruimte code]],Ruimtegroepen[[#All],[Code]:[Ruimte omschrijving]],2,FALSE)</f>
        <v>Niet in Onderhoud</v>
      </c>
      <c r="M673" s="330"/>
      <c r="N673" s="439"/>
      <c r="O673" s="439">
        <v>53</v>
      </c>
      <c r="P673" s="439"/>
      <c r="Q673" s="439"/>
      <c r="R673" s="440">
        <f>VLOOKUP(Ruimtestaat[[#This Row],[Ruimte code]],Ruimtegroepen[],4,FALSE)</f>
        <v>0</v>
      </c>
      <c r="S673" s="434"/>
      <c r="T673" s="434"/>
      <c r="U673" s="453">
        <f>IF(S673&gt;0,IF(RIGHT(Ruimtestaat[[#This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3" s="434">
        <f>IF(U673&gt;0,VLOOKUP($J673,Ruimtegroepen[],3,FALSE)*VLOOKUP($L673,Vloersoorten[],3,FALSE)*VLOOKUP($T673,Frequenties[],3,FALSE)*VLOOKUP($A673,Locaties[],3,FALSE),0)</f>
        <v>0</v>
      </c>
      <c r="W673" s="434">
        <f>Ruimtestaat[[#This Row],[Uitvoeringen werkdagen]]*Ruimtestaat[[#This Row],[Oppervlak (netto)]]</f>
        <v>0</v>
      </c>
      <c r="X673" s="441">
        <f>IF(V673&gt;0,Ruimtestaat[[#This Row],[Prest. (m2 /jaar) werkdagen]]/Ruimtestaat[[#This Row],[Norm (m2/uur) werkdagen]],0)</f>
        <v>0</v>
      </c>
      <c r="Y673" s="442">
        <f>Ruimtestaat[[#This Row],[Uitvoeringen werkdagen]]*Ruimtestaat[[#This Row],[Gedeeltelijk]]</f>
        <v>0</v>
      </c>
      <c r="Z673" s="443">
        <f>IF(U673&gt;0,Ruimtestaat[[#This Row],[Prest. (m2 / jaar) werkdagen gedeeld]]/Ruimtestaat[[#This Row],[Norm (m2/uur) werkdagen]],0)</f>
        <v>0</v>
      </c>
      <c r="AA673" s="441">
        <f>Ruimtestaat[[#This Row],[uren / jaar werkdagen gedeeld]]*Tariefsopbouw!$E$35</f>
        <v>0</v>
      </c>
      <c r="AB673" s="441">
        <f>Ruimtestaat[[#This Row],[Uitvoeringen werkdagen]]*Ruimtestaat[[#This Row],[BSO]]</f>
        <v>0</v>
      </c>
      <c r="AC673" s="443">
        <f>IF(U673&gt;0,Ruimtestaat[[#This Row],[Prest. (m2 / jaar) werkdagen BSO]]/Ruimtestaat[[#This Row],[Norm (m2/uur) werkdagen]],0)</f>
        <v>0</v>
      </c>
      <c r="AD673" s="443">
        <f>Ruimtestaat[[#This Row],[uren / jaar werkdagen BSO]]*Tariefsopbouw!$E$35</f>
        <v>0</v>
      </c>
      <c r="AE673" s="444">
        <f>Ruimtestaat[[#This Row],[uren / jaar werkdagen]]*Tariefsopbouw!$E$35</f>
        <v>0</v>
      </c>
      <c r="AF673" s="454"/>
      <c r="AG673" s="455">
        <f>IF(Ruimtestaat[[#This Row],[Frequentie weekend]]&gt;0,VALUE(LEFT(AF673,1))*S673,0)</f>
        <v>0</v>
      </c>
      <c r="AH673" s="455">
        <f>IF($AG673&gt;0,VLOOKUP($J673,Ruimtegroepen[],3,FALSE)*VLOOKUP($L673,Vloersoorten[],3,FALSE)*VLOOKUP($AF673,Frequenties[],3,FALSE)*VLOOKUP(#REF!,Locaties[],3,FALSE),0)</f>
        <v>0</v>
      </c>
      <c r="AI673" s="434">
        <f>Ruimtestaat[[#This Row],[Uitvoeringen weekend]]*Ruimtestaat[[#This Row],[Oppervlak (netto)]]</f>
        <v>0</v>
      </c>
      <c r="AJ673" s="434">
        <f>IF(AH673&gt;0,Ruimtestaat[[#This Row],[Prest. (m2 /jaar) weekend]]/Ruimtestaat[[#This Row],[Norm (m2/uur) weekend]],0)</f>
        <v>0</v>
      </c>
      <c r="AK673" s="444">
        <f>Ruimtestaat[[#This Row],[uren / jaar weekend]]*Tariefsopbouw!$D$40</f>
        <v>0</v>
      </c>
      <c r="AL673" s="441">
        <f>Ruimtestaat[[#This Row],[Prest. (m2 /jaar) weekend]]+Ruimtestaat[[#This Row],[Prest. (m2 /jaar) werkdagen]]</f>
        <v>0</v>
      </c>
      <c r="AM673" s="441">
        <f>Ruimtestaat[[#This Row],[uren / jaar weekend]]+Ruimtestaat[[#This Row],[uren / jaar werkdagen]]</f>
        <v>0</v>
      </c>
      <c r="AN673" s="446">
        <f>Ruimtestaat[[#This Row],[kosten / jaar weekend]]+Ruimtestaat[[#This Row],[kosten / jaar werkdagen]]</f>
        <v>0</v>
      </c>
      <c r="AO673" s="446"/>
      <c r="AP673" s="446" t="str">
        <f>IF(Ruimtestaat[[#This Row],[Frequentie werkdagen]]="","",_xlfn.CONCAT(Ruimtestaat[[#This Row],[Ruimte code]],"-",Ruimtestaat[[#This Row],[Frequentie werkdagen]]," ",Ruimtestaat[[#This Row],[Vloer code]]))</f>
        <v/>
      </c>
      <c r="AQ673" s="448" t="str">
        <f>_xlfn.IFNA(VLOOKUP($AP673,Programma!$F$3:$G$1101,2,0),"")</f>
        <v/>
      </c>
      <c r="AR673" s="448" t="str">
        <f>_xlfn.IFNA(VLOOKUP($AP673,Programma!$F$3:$H$1101,3,0),"")</f>
        <v/>
      </c>
      <c r="AS673" s="448" t="str">
        <f>_xlfn.IFNA(VLOOKUP($AP673,Programma!$F$3:$I$1101,4,0),"")</f>
        <v/>
      </c>
      <c r="AT673" s="448" t="str">
        <f>_xlfn.IFNA(VLOOKUP($AP673,Programma!$F$3:$J$1101,5,0),"")</f>
        <v/>
      </c>
      <c r="AU673" s="448" t="str">
        <f>_xlfn.IFNA(VLOOKUP($AP673,Programma!$F$3:$K$1101,6,0),"")</f>
        <v/>
      </c>
      <c r="AV673" s="448" t="str">
        <f>_xlfn.IFNA(VLOOKUP($AP673,Programma!$F$3:$L$1101,7,0),"")</f>
        <v/>
      </c>
      <c r="AW673" s="448" t="str">
        <f>_xlfn.IFNA(VLOOKUP($AP673,Programma!$F$3:$M$1101,8,0),"")</f>
        <v/>
      </c>
      <c r="AX673" s="448" t="str">
        <f>_xlfn.IFNA(VLOOKUP($AP673,Programma!$F$3:$N$1101,9,0),"")</f>
        <v/>
      </c>
      <c r="AY673" s="448" t="str">
        <f>_xlfn.IFNA(VLOOKUP($AP673,Programma!$F$3:$O$1101,10,0),"")</f>
        <v/>
      </c>
      <c r="AZ673" s="448" t="str">
        <f>_xlfn.IFNA(VLOOKUP($AP673,Programma!$F$3:$P$1101,11,0),"")</f>
        <v/>
      </c>
      <c r="BA673" s="448" t="str">
        <f>_xlfn.IFNA(VLOOKUP($AP673,Programma!$F$3:$Q$1101,12,0),"")</f>
        <v/>
      </c>
      <c r="BB673" s="448" t="str">
        <f>_xlfn.IFNA(VLOOKUP($AP673,Programma!$F$3:$R$1101,13,0),"")</f>
        <v/>
      </c>
      <c r="BC673" s="448" t="str">
        <f>_xlfn.IFNA(VLOOKUP($AP673,Programma!$F$3:$S$1101,14,0),"")</f>
        <v/>
      </c>
      <c r="BD673" s="448" t="str">
        <f>_xlfn.IFNA(VLOOKUP($AP673,Programma!$F$3:$T$1101,15,0),"")</f>
        <v/>
      </c>
      <c r="BE673" s="448" t="str">
        <f>_xlfn.IFNA(VLOOKUP($AP673,Programma!$F$3:$U$1101,16,0),"")</f>
        <v/>
      </c>
      <c r="BF673" s="448" t="str">
        <f>_xlfn.IFNA(VLOOKUP($AP673,Programma!$F$3:$V$1101,17,0),"")</f>
        <v/>
      </c>
      <c r="BG673" s="448" t="str">
        <f>_xlfn.IFNA(VLOOKUP($AP673,Programma!$F$3:$W$1101,18,0),"")</f>
        <v/>
      </c>
      <c r="BH673" s="448" t="str">
        <f>_xlfn.IFNA(VLOOKUP($AP673,Programma!$F$3:$X$1101,19,0),"")</f>
        <v/>
      </c>
      <c r="BI673" s="448" t="str">
        <f>_xlfn.IFNA(VLOOKUP($AP673,Programma!$F$3:$Y$1101,20,0),"")</f>
        <v/>
      </c>
      <c r="BJ673" s="449"/>
      <c r="BK673" s="446" t="str">
        <f>IF(Ruimtestaat[[#This Row],[Frequentie weekend]]="","",_xlfn.CONCAT(Ruimtestaat[[#This Row],[Ruimte code]],"-",Ruimtestaat[[#This Row],[Frequentie weekend]]," ",Ruimtestaat[[#This Row],[Vloer code]]))</f>
        <v/>
      </c>
      <c r="BL673" s="448" t="str">
        <f>_xlfn.IFNA(VLOOKUP($BK673,Programma!$F$3:$G$1101,2,0),"")</f>
        <v/>
      </c>
      <c r="BM673" s="448" t="str">
        <f>_xlfn.IFNA(VLOOKUP($BK673,Programma!$F$3:$H$1101,3,0),"")</f>
        <v/>
      </c>
      <c r="BN673" s="448" t="str">
        <f>_xlfn.IFNA(VLOOKUP($BK673,Programma!$F$3:$I$1101,4,0),"")</f>
        <v/>
      </c>
      <c r="BO673" s="448" t="str">
        <f>_xlfn.IFNA(VLOOKUP($BK673,Programma!$F$3:$J$1101,5,0),"")</f>
        <v/>
      </c>
      <c r="BP673" s="448" t="str">
        <f>_xlfn.IFNA(VLOOKUP($BK673,Programma!$F$3:$K$1101,6,0),"")</f>
        <v/>
      </c>
      <c r="BQ673" s="448" t="str">
        <f>_xlfn.IFNA(VLOOKUP($BK673,Programma!$F$3:$L$1101,7,0),"")</f>
        <v/>
      </c>
      <c r="BR673" s="448" t="str">
        <f>_xlfn.IFNA(VLOOKUP($BK673,Programma!$F$3:$M$1101,8,0),"")</f>
        <v/>
      </c>
      <c r="BS673" s="448" t="str">
        <f>_xlfn.IFNA(VLOOKUP($BK673,Programma!$F$3:$N$1101,9,0),"")</f>
        <v/>
      </c>
      <c r="BT673" s="448" t="str">
        <f>_xlfn.IFNA(VLOOKUP($BK673,Programma!$F$3:$O$1101,10,0),"")</f>
        <v/>
      </c>
      <c r="BU673" s="448" t="str">
        <f>_xlfn.IFNA(VLOOKUP($BK673,Programma!$F$3:$P$1101,11,0),"")</f>
        <v/>
      </c>
      <c r="BV673" s="448" t="str">
        <f>_xlfn.IFNA(VLOOKUP($BK673,Programma!$F$3:$Q$1101,12,0),"")</f>
        <v/>
      </c>
      <c r="BW673" s="448" t="str">
        <f>_xlfn.IFNA(VLOOKUP($BK673,Programma!$F$3:$R$1101,13,0),"")</f>
        <v/>
      </c>
      <c r="BX673" s="448" t="str">
        <f>_xlfn.IFNA(VLOOKUP($BK673,Programma!$F$3:$S$1101,14,0),"")</f>
        <v/>
      </c>
      <c r="BY673" s="448" t="str">
        <f>_xlfn.IFNA(VLOOKUP($BK673,Programma!$F$3:$T$1101,15,0),"")</f>
        <v/>
      </c>
      <c r="BZ673" s="448" t="str">
        <f>_xlfn.IFNA(VLOOKUP($BK673,Programma!$F$3:$U$1101,16,0),"")</f>
        <v/>
      </c>
      <c r="CA673" s="448" t="str">
        <f>_xlfn.IFNA(VLOOKUP($BK673,Programma!$F$3:$V$1101,17,0),"")</f>
        <v/>
      </c>
      <c r="CB673" s="448" t="str">
        <f>_xlfn.IFNA(VLOOKUP($BK673,Programma!$F$3:$W$1101,18,0),"")</f>
        <v/>
      </c>
      <c r="CC673" s="448" t="str">
        <f>_xlfn.IFNA(VLOOKUP($BK673,Programma!$F$3:$X$1101,19,0),"")</f>
        <v/>
      </c>
      <c r="CD673" s="448" t="str">
        <f>_xlfn.IFNA(VLOOKUP($BK673,Programma!$F$3:$Y$1101,20,0),"")</f>
        <v/>
      </c>
    </row>
    <row r="674" spans="1:82" ht="15" customHeight="1">
      <c r="A674" s="327">
        <v>15</v>
      </c>
      <c r="B674" s="435" t="str">
        <f>VLOOKUP(Ruimtestaat[[#This Row],[Code]],Locaties[[Code]:[Locatie]],2,FALSE)</f>
        <v>IKC  Da Vinci</v>
      </c>
      <c r="C674" s="435" t="str">
        <f>VLOOKUP(Ruimtestaat[[#This Row],[Code]],Locaties[[#All],[Code]:[Adres]],4,FALSE)</f>
        <v>Spitsbergen 17</v>
      </c>
      <c r="D674" s="435" t="str">
        <f>VLOOKUP(Ruimtestaat[[#This Row],[Code]],Locaties[[#All],[Code]:[Postcode]],5,FALSE)</f>
        <v>2721 GP</v>
      </c>
      <c r="E674" s="435" t="str">
        <f>VLOOKUP(Ruimtestaat[[#This Row],[Code]],Locaties[#All],6,FALSE)</f>
        <v>Zoetermeer</v>
      </c>
      <c r="F674" s="330" t="s">
        <v>2154</v>
      </c>
      <c r="I674" s="450" t="s">
        <v>1983</v>
      </c>
      <c r="J674" s="330">
        <v>20</v>
      </c>
      <c r="K674" s="450" t="str">
        <f>VLOOKUP(Ruimtestaat[[#This Row],[Ruimte code]],Ruimtegroepen[[#All],[Code]:[Ruimte omschrijving]],2,FALSE)</f>
        <v>Niet in Onderhoud</v>
      </c>
      <c r="M674" s="330"/>
      <c r="N674" s="439"/>
      <c r="O674" s="439">
        <v>54</v>
      </c>
      <c r="P674" s="439"/>
      <c r="Q674" s="439"/>
      <c r="R674" s="440">
        <f>VLOOKUP(Ruimtestaat[[#This Row],[Ruimte code]],Ruimtegroepen[],4,FALSE)</f>
        <v>0</v>
      </c>
      <c r="S674" s="434"/>
      <c r="T674" s="434"/>
      <c r="U674" s="453">
        <f>IF(S674&gt;0,IF(RIGHT(Ruimtestaat[[#This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4" s="434">
        <f>IF(U674&gt;0,VLOOKUP($J674,Ruimtegroepen[],3,FALSE)*VLOOKUP($L674,Vloersoorten[],3,FALSE)*VLOOKUP($T674,Frequenties[],3,FALSE)*VLOOKUP($A674,Locaties[],3,FALSE),0)</f>
        <v>0</v>
      </c>
      <c r="W674" s="434">
        <f>Ruimtestaat[[#This Row],[Uitvoeringen werkdagen]]*Ruimtestaat[[#This Row],[Oppervlak (netto)]]</f>
        <v>0</v>
      </c>
      <c r="X674" s="441">
        <f>IF(V674&gt;0,Ruimtestaat[[#This Row],[Prest. (m2 /jaar) werkdagen]]/Ruimtestaat[[#This Row],[Norm (m2/uur) werkdagen]],0)</f>
        <v>0</v>
      </c>
      <c r="Y674" s="442">
        <f>Ruimtestaat[[#This Row],[Uitvoeringen werkdagen]]*Ruimtestaat[[#This Row],[Gedeeltelijk]]</f>
        <v>0</v>
      </c>
      <c r="Z674" s="443">
        <f>IF(U674&gt;0,Ruimtestaat[[#This Row],[Prest. (m2 / jaar) werkdagen gedeeld]]/Ruimtestaat[[#This Row],[Norm (m2/uur) werkdagen]],0)</f>
        <v>0</v>
      </c>
      <c r="AA674" s="441">
        <f>Ruimtestaat[[#This Row],[uren / jaar werkdagen gedeeld]]*Tariefsopbouw!$E$35</f>
        <v>0</v>
      </c>
      <c r="AB674" s="441">
        <f>Ruimtestaat[[#This Row],[Uitvoeringen werkdagen]]*Ruimtestaat[[#This Row],[BSO]]</f>
        <v>0</v>
      </c>
      <c r="AC674" s="443">
        <f>IF(U674&gt;0,Ruimtestaat[[#This Row],[Prest. (m2 / jaar) werkdagen BSO]]/Ruimtestaat[[#This Row],[Norm (m2/uur) werkdagen]],0)</f>
        <v>0</v>
      </c>
      <c r="AD674" s="443">
        <f>Ruimtestaat[[#This Row],[uren / jaar werkdagen BSO]]*Tariefsopbouw!$E$35</f>
        <v>0</v>
      </c>
      <c r="AE674" s="444">
        <f>Ruimtestaat[[#This Row],[uren / jaar werkdagen]]*Tariefsopbouw!$E$35</f>
        <v>0</v>
      </c>
      <c r="AF674" s="454"/>
      <c r="AG674" s="455">
        <f>IF(Ruimtestaat[[#This Row],[Frequentie weekend]]&gt;0,VALUE(LEFT(AF674,1))*S674,0)</f>
        <v>0</v>
      </c>
      <c r="AH674" s="455">
        <f>IF($AG674&gt;0,VLOOKUP($J674,Ruimtegroepen[],3,FALSE)*VLOOKUP($L674,Vloersoorten[],3,FALSE)*VLOOKUP($AF674,Frequenties[],3,FALSE)*VLOOKUP(#REF!,Locaties[],3,FALSE),0)</f>
        <v>0</v>
      </c>
      <c r="AI674" s="434">
        <f>Ruimtestaat[[#This Row],[Uitvoeringen weekend]]*Ruimtestaat[[#This Row],[Oppervlak (netto)]]</f>
        <v>0</v>
      </c>
      <c r="AJ674" s="434">
        <f>IF(AH674&gt;0,Ruimtestaat[[#This Row],[Prest. (m2 /jaar) weekend]]/Ruimtestaat[[#This Row],[Norm (m2/uur) weekend]],0)</f>
        <v>0</v>
      </c>
      <c r="AK674" s="444">
        <f>Ruimtestaat[[#This Row],[uren / jaar weekend]]*Tariefsopbouw!$D$40</f>
        <v>0</v>
      </c>
      <c r="AL674" s="441">
        <f>Ruimtestaat[[#This Row],[Prest. (m2 /jaar) weekend]]+Ruimtestaat[[#This Row],[Prest. (m2 /jaar) werkdagen]]</f>
        <v>0</v>
      </c>
      <c r="AM674" s="441">
        <f>Ruimtestaat[[#This Row],[uren / jaar weekend]]+Ruimtestaat[[#This Row],[uren / jaar werkdagen]]</f>
        <v>0</v>
      </c>
      <c r="AN674" s="446">
        <f>Ruimtestaat[[#This Row],[kosten / jaar weekend]]+Ruimtestaat[[#This Row],[kosten / jaar werkdagen]]</f>
        <v>0</v>
      </c>
      <c r="AO674" s="446"/>
      <c r="AP674" s="446" t="str">
        <f>IF(Ruimtestaat[[#This Row],[Frequentie werkdagen]]="","",_xlfn.CONCAT(Ruimtestaat[[#This Row],[Ruimte code]],"-",Ruimtestaat[[#This Row],[Frequentie werkdagen]]," ",Ruimtestaat[[#This Row],[Vloer code]]))</f>
        <v/>
      </c>
      <c r="AQ674" s="448" t="str">
        <f>_xlfn.IFNA(VLOOKUP($AP674,Programma!$F$3:$G$1101,2,0),"")</f>
        <v/>
      </c>
      <c r="AR674" s="448" t="str">
        <f>_xlfn.IFNA(VLOOKUP($AP674,Programma!$F$3:$H$1101,3,0),"")</f>
        <v/>
      </c>
      <c r="AS674" s="448" t="str">
        <f>_xlfn.IFNA(VLOOKUP($AP674,Programma!$F$3:$I$1101,4,0),"")</f>
        <v/>
      </c>
      <c r="AT674" s="448" t="str">
        <f>_xlfn.IFNA(VLOOKUP($AP674,Programma!$F$3:$J$1101,5,0),"")</f>
        <v/>
      </c>
      <c r="AU674" s="448" t="str">
        <f>_xlfn.IFNA(VLOOKUP($AP674,Programma!$F$3:$K$1101,6,0),"")</f>
        <v/>
      </c>
      <c r="AV674" s="448" t="str">
        <f>_xlfn.IFNA(VLOOKUP($AP674,Programma!$F$3:$L$1101,7,0),"")</f>
        <v/>
      </c>
      <c r="AW674" s="448" t="str">
        <f>_xlfn.IFNA(VLOOKUP($AP674,Programma!$F$3:$M$1101,8,0),"")</f>
        <v/>
      </c>
      <c r="AX674" s="448" t="str">
        <f>_xlfn.IFNA(VLOOKUP($AP674,Programma!$F$3:$N$1101,9,0),"")</f>
        <v/>
      </c>
      <c r="AY674" s="448" t="str">
        <f>_xlfn.IFNA(VLOOKUP($AP674,Programma!$F$3:$O$1101,10,0),"")</f>
        <v/>
      </c>
      <c r="AZ674" s="448" t="str">
        <f>_xlfn.IFNA(VLOOKUP($AP674,Programma!$F$3:$P$1101,11,0),"")</f>
        <v/>
      </c>
      <c r="BA674" s="448" t="str">
        <f>_xlfn.IFNA(VLOOKUP($AP674,Programma!$F$3:$Q$1101,12,0),"")</f>
        <v/>
      </c>
      <c r="BB674" s="448" t="str">
        <f>_xlfn.IFNA(VLOOKUP($AP674,Programma!$F$3:$R$1101,13,0),"")</f>
        <v/>
      </c>
      <c r="BC674" s="448" t="str">
        <f>_xlfn.IFNA(VLOOKUP($AP674,Programma!$F$3:$S$1101,14,0),"")</f>
        <v/>
      </c>
      <c r="BD674" s="448" t="str">
        <f>_xlfn.IFNA(VLOOKUP($AP674,Programma!$F$3:$T$1101,15,0),"")</f>
        <v/>
      </c>
      <c r="BE674" s="448" t="str">
        <f>_xlfn.IFNA(VLOOKUP($AP674,Programma!$F$3:$U$1101,16,0),"")</f>
        <v/>
      </c>
      <c r="BF674" s="448" t="str">
        <f>_xlfn.IFNA(VLOOKUP($AP674,Programma!$F$3:$V$1101,17,0),"")</f>
        <v/>
      </c>
      <c r="BG674" s="448" t="str">
        <f>_xlfn.IFNA(VLOOKUP($AP674,Programma!$F$3:$W$1101,18,0),"")</f>
        <v/>
      </c>
      <c r="BH674" s="448" t="str">
        <f>_xlfn.IFNA(VLOOKUP($AP674,Programma!$F$3:$X$1101,19,0),"")</f>
        <v/>
      </c>
      <c r="BI674" s="448" t="str">
        <f>_xlfn.IFNA(VLOOKUP($AP674,Programma!$F$3:$Y$1101,20,0),"")</f>
        <v/>
      </c>
      <c r="BJ674" s="449"/>
      <c r="BK674" s="446" t="str">
        <f>IF(Ruimtestaat[[#This Row],[Frequentie weekend]]="","",_xlfn.CONCAT(Ruimtestaat[[#This Row],[Ruimte code]],"-",Ruimtestaat[[#This Row],[Frequentie weekend]]," ",Ruimtestaat[[#This Row],[Vloer code]]))</f>
        <v/>
      </c>
      <c r="BL674" s="448" t="str">
        <f>_xlfn.IFNA(VLOOKUP($BK674,Programma!$F$3:$G$1101,2,0),"")</f>
        <v/>
      </c>
      <c r="BM674" s="448" t="str">
        <f>_xlfn.IFNA(VLOOKUP($BK674,Programma!$F$3:$H$1101,3,0),"")</f>
        <v/>
      </c>
      <c r="BN674" s="448" t="str">
        <f>_xlfn.IFNA(VLOOKUP($BK674,Programma!$F$3:$I$1101,4,0),"")</f>
        <v/>
      </c>
      <c r="BO674" s="448" t="str">
        <f>_xlfn.IFNA(VLOOKUP($BK674,Programma!$F$3:$J$1101,5,0),"")</f>
        <v/>
      </c>
      <c r="BP674" s="448" t="str">
        <f>_xlfn.IFNA(VLOOKUP($BK674,Programma!$F$3:$K$1101,6,0),"")</f>
        <v/>
      </c>
      <c r="BQ674" s="448" t="str">
        <f>_xlfn.IFNA(VLOOKUP($BK674,Programma!$F$3:$L$1101,7,0),"")</f>
        <v/>
      </c>
      <c r="BR674" s="448" t="str">
        <f>_xlfn.IFNA(VLOOKUP($BK674,Programma!$F$3:$M$1101,8,0),"")</f>
        <v/>
      </c>
      <c r="BS674" s="448" t="str">
        <f>_xlfn.IFNA(VLOOKUP($BK674,Programma!$F$3:$N$1101,9,0),"")</f>
        <v/>
      </c>
      <c r="BT674" s="448" t="str">
        <f>_xlfn.IFNA(VLOOKUP($BK674,Programma!$F$3:$O$1101,10,0),"")</f>
        <v/>
      </c>
      <c r="BU674" s="448" t="str">
        <f>_xlfn.IFNA(VLOOKUP($BK674,Programma!$F$3:$P$1101,11,0),"")</f>
        <v/>
      </c>
      <c r="BV674" s="448" t="str">
        <f>_xlfn.IFNA(VLOOKUP($BK674,Programma!$F$3:$Q$1101,12,0),"")</f>
        <v/>
      </c>
      <c r="BW674" s="448" t="str">
        <f>_xlfn.IFNA(VLOOKUP($BK674,Programma!$F$3:$R$1101,13,0),"")</f>
        <v/>
      </c>
      <c r="BX674" s="448" t="str">
        <f>_xlfn.IFNA(VLOOKUP($BK674,Programma!$F$3:$S$1101,14,0),"")</f>
        <v/>
      </c>
      <c r="BY674" s="448" t="str">
        <f>_xlfn.IFNA(VLOOKUP($BK674,Programma!$F$3:$T$1101,15,0),"")</f>
        <v/>
      </c>
      <c r="BZ674" s="448" t="str">
        <f>_xlfn.IFNA(VLOOKUP($BK674,Programma!$F$3:$U$1101,16,0),"")</f>
        <v/>
      </c>
      <c r="CA674" s="448" t="str">
        <f>_xlfn.IFNA(VLOOKUP($BK674,Programma!$F$3:$V$1101,17,0),"")</f>
        <v/>
      </c>
      <c r="CB674" s="448" t="str">
        <f>_xlfn.IFNA(VLOOKUP($BK674,Programma!$F$3:$W$1101,18,0),"")</f>
        <v/>
      </c>
      <c r="CC674" s="448" t="str">
        <f>_xlfn.IFNA(VLOOKUP($BK674,Programma!$F$3:$X$1101,19,0),"")</f>
        <v/>
      </c>
      <c r="CD674" s="448" t="str">
        <f>_xlfn.IFNA(VLOOKUP($BK674,Programma!$F$3:$Y$1101,20,0),"")</f>
        <v/>
      </c>
    </row>
    <row r="675" spans="1:82" ht="15" customHeight="1">
      <c r="A675" s="327">
        <v>15</v>
      </c>
      <c r="B675" s="435" t="str">
        <f>VLOOKUP(Ruimtestaat[[#This Row],[Code]],Locaties[[Code]:[Locatie]],2,FALSE)</f>
        <v>IKC  Da Vinci</v>
      </c>
      <c r="C675" s="435" t="str">
        <f>VLOOKUP(Ruimtestaat[[#This Row],[Code]],Locaties[[#All],[Code]:[Adres]],4,FALSE)</f>
        <v>Spitsbergen 17</v>
      </c>
      <c r="D675" s="435" t="str">
        <f>VLOOKUP(Ruimtestaat[[#This Row],[Code]],Locaties[[#All],[Code]:[Postcode]],5,FALSE)</f>
        <v>2721 GP</v>
      </c>
      <c r="E675" s="435" t="str">
        <f>VLOOKUP(Ruimtestaat[[#This Row],[Code]],Locaties[#All],6,FALSE)</f>
        <v>Zoetermeer</v>
      </c>
      <c r="F675" s="330" t="s">
        <v>2154</v>
      </c>
      <c r="I675" s="450" t="s">
        <v>1983</v>
      </c>
      <c r="J675" s="330">
        <v>20</v>
      </c>
      <c r="K675" s="450" t="str">
        <f>VLOOKUP(Ruimtestaat[[#This Row],[Ruimte code]],Ruimtegroepen[[#All],[Code]:[Ruimte omschrijving]],2,FALSE)</f>
        <v>Niet in Onderhoud</v>
      </c>
      <c r="M675" s="330"/>
      <c r="N675" s="439"/>
      <c r="O675" s="439">
        <v>53</v>
      </c>
      <c r="P675" s="439"/>
      <c r="Q675" s="439"/>
      <c r="R675" s="440">
        <f>VLOOKUP(Ruimtestaat[[#This Row],[Ruimte code]],Ruimtegroepen[],4,FALSE)</f>
        <v>0</v>
      </c>
      <c r="S675" s="434"/>
      <c r="T675" s="434"/>
      <c r="U675" s="453">
        <f>IF(S675&gt;0,IF(RIGHT(Ruimtestaat[[#This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5" s="434">
        <f>IF(U675&gt;0,VLOOKUP($J675,Ruimtegroepen[],3,FALSE)*VLOOKUP($L675,Vloersoorten[],3,FALSE)*VLOOKUP($T675,Frequenties[],3,FALSE)*VLOOKUP($A675,Locaties[],3,FALSE),0)</f>
        <v>0</v>
      </c>
      <c r="W675" s="434">
        <f>Ruimtestaat[[#This Row],[Uitvoeringen werkdagen]]*Ruimtestaat[[#This Row],[Oppervlak (netto)]]</f>
        <v>0</v>
      </c>
      <c r="X675" s="441">
        <f>IF(V675&gt;0,Ruimtestaat[[#This Row],[Prest. (m2 /jaar) werkdagen]]/Ruimtestaat[[#This Row],[Norm (m2/uur) werkdagen]],0)</f>
        <v>0</v>
      </c>
      <c r="Y675" s="442">
        <f>Ruimtestaat[[#This Row],[Uitvoeringen werkdagen]]*Ruimtestaat[[#This Row],[Gedeeltelijk]]</f>
        <v>0</v>
      </c>
      <c r="Z675" s="443">
        <f>IF(U675&gt;0,Ruimtestaat[[#This Row],[Prest. (m2 / jaar) werkdagen gedeeld]]/Ruimtestaat[[#This Row],[Norm (m2/uur) werkdagen]],0)</f>
        <v>0</v>
      </c>
      <c r="AA675" s="441">
        <f>Ruimtestaat[[#This Row],[uren / jaar werkdagen gedeeld]]*Tariefsopbouw!$E$35</f>
        <v>0</v>
      </c>
      <c r="AB675" s="441">
        <f>Ruimtestaat[[#This Row],[Uitvoeringen werkdagen]]*Ruimtestaat[[#This Row],[BSO]]</f>
        <v>0</v>
      </c>
      <c r="AC675" s="443">
        <f>IF(U675&gt;0,Ruimtestaat[[#This Row],[Prest. (m2 / jaar) werkdagen BSO]]/Ruimtestaat[[#This Row],[Norm (m2/uur) werkdagen]],0)</f>
        <v>0</v>
      </c>
      <c r="AD675" s="443">
        <f>Ruimtestaat[[#This Row],[uren / jaar werkdagen BSO]]*Tariefsopbouw!$E$35</f>
        <v>0</v>
      </c>
      <c r="AE675" s="444">
        <f>Ruimtestaat[[#This Row],[uren / jaar werkdagen]]*Tariefsopbouw!$E$35</f>
        <v>0</v>
      </c>
      <c r="AF675" s="454"/>
      <c r="AG675" s="455">
        <f>IF(Ruimtestaat[[#This Row],[Frequentie weekend]]&gt;0,VALUE(LEFT(AF675,1))*S675,0)</f>
        <v>0</v>
      </c>
      <c r="AH675" s="455">
        <f>IF($AG675&gt;0,VLOOKUP($J675,Ruimtegroepen[],3,FALSE)*VLOOKUP($L675,Vloersoorten[],3,FALSE)*VLOOKUP($AF675,Frequenties[],3,FALSE)*VLOOKUP(#REF!,Locaties[],3,FALSE),0)</f>
        <v>0</v>
      </c>
      <c r="AI675" s="434">
        <f>Ruimtestaat[[#This Row],[Uitvoeringen weekend]]*Ruimtestaat[[#This Row],[Oppervlak (netto)]]</f>
        <v>0</v>
      </c>
      <c r="AJ675" s="434">
        <f>IF(AH675&gt;0,Ruimtestaat[[#This Row],[Prest. (m2 /jaar) weekend]]/Ruimtestaat[[#This Row],[Norm (m2/uur) weekend]],0)</f>
        <v>0</v>
      </c>
      <c r="AK675" s="444">
        <f>Ruimtestaat[[#This Row],[uren / jaar weekend]]*Tariefsopbouw!$D$40</f>
        <v>0</v>
      </c>
      <c r="AL675" s="441">
        <f>Ruimtestaat[[#This Row],[Prest. (m2 /jaar) weekend]]+Ruimtestaat[[#This Row],[Prest. (m2 /jaar) werkdagen]]</f>
        <v>0</v>
      </c>
      <c r="AM675" s="441">
        <f>Ruimtestaat[[#This Row],[uren / jaar weekend]]+Ruimtestaat[[#This Row],[uren / jaar werkdagen]]</f>
        <v>0</v>
      </c>
      <c r="AN675" s="446">
        <f>Ruimtestaat[[#This Row],[kosten / jaar weekend]]+Ruimtestaat[[#This Row],[kosten / jaar werkdagen]]</f>
        <v>0</v>
      </c>
      <c r="AO675" s="446"/>
      <c r="AP675" s="446" t="str">
        <f>IF(Ruimtestaat[[#This Row],[Frequentie werkdagen]]="","",_xlfn.CONCAT(Ruimtestaat[[#This Row],[Ruimte code]],"-",Ruimtestaat[[#This Row],[Frequentie werkdagen]]," ",Ruimtestaat[[#This Row],[Vloer code]]))</f>
        <v/>
      </c>
      <c r="AQ675" s="448" t="str">
        <f>_xlfn.IFNA(VLOOKUP($AP675,Programma!$F$3:$G$1101,2,0),"")</f>
        <v/>
      </c>
      <c r="AR675" s="448" t="str">
        <f>_xlfn.IFNA(VLOOKUP($AP675,Programma!$F$3:$H$1101,3,0),"")</f>
        <v/>
      </c>
      <c r="AS675" s="448" t="str">
        <f>_xlfn.IFNA(VLOOKUP($AP675,Programma!$F$3:$I$1101,4,0),"")</f>
        <v/>
      </c>
      <c r="AT675" s="448" t="str">
        <f>_xlfn.IFNA(VLOOKUP($AP675,Programma!$F$3:$J$1101,5,0),"")</f>
        <v/>
      </c>
      <c r="AU675" s="448" t="str">
        <f>_xlfn.IFNA(VLOOKUP($AP675,Programma!$F$3:$K$1101,6,0),"")</f>
        <v/>
      </c>
      <c r="AV675" s="448" t="str">
        <f>_xlfn.IFNA(VLOOKUP($AP675,Programma!$F$3:$L$1101,7,0),"")</f>
        <v/>
      </c>
      <c r="AW675" s="448" t="str">
        <f>_xlfn.IFNA(VLOOKUP($AP675,Programma!$F$3:$M$1101,8,0),"")</f>
        <v/>
      </c>
      <c r="AX675" s="448" t="str">
        <f>_xlfn.IFNA(VLOOKUP($AP675,Programma!$F$3:$N$1101,9,0),"")</f>
        <v/>
      </c>
      <c r="AY675" s="448" t="str">
        <f>_xlfn.IFNA(VLOOKUP($AP675,Programma!$F$3:$O$1101,10,0),"")</f>
        <v/>
      </c>
      <c r="AZ675" s="448" t="str">
        <f>_xlfn.IFNA(VLOOKUP($AP675,Programma!$F$3:$P$1101,11,0),"")</f>
        <v/>
      </c>
      <c r="BA675" s="448" t="str">
        <f>_xlfn.IFNA(VLOOKUP($AP675,Programma!$F$3:$Q$1101,12,0),"")</f>
        <v/>
      </c>
      <c r="BB675" s="448" t="str">
        <f>_xlfn.IFNA(VLOOKUP($AP675,Programma!$F$3:$R$1101,13,0),"")</f>
        <v/>
      </c>
      <c r="BC675" s="448" t="str">
        <f>_xlfn.IFNA(VLOOKUP($AP675,Programma!$F$3:$S$1101,14,0),"")</f>
        <v/>
      </c>
      <c r="BD675" s="448" t="str">
        <f>_xlfn.IFNA(VLOOKUP($AP675,Programma!$F$3:$T$1101,15,0),"")</f>
        <v/>
      </c>
      <c r="BE675" s="448" t="str">
        <f>_xlfn.IFNA(VLOOKUP($AP675,Programma!$F$3:$U$1101,16,0),"")</f>
        <v/>
      </c>
      <c r="BF675" s="448" t="str">
        <f>_xlfn.IFNA(VLOOKUP($AP675,Programma!$F$3:$V$1101,17,0),"")</f>
        <v/>
      </c>
      <c r="BG675" s="448" t="str">
        <f>_xlfn.IFNA(VLOOKUP($AP675,Programma!$F$3:$W$1101,18,0),"")</f>
        <v/>
      </c>
      <c r="BH675" s="448" t="str">
        <f>_xlfn.IFNA(VLOOKUP($AP675,Programma!$F$3:$X$1101,19,0),"")</f>
        <v/>
      </c>
      <c r="BI675" s="448" t="str">
        <f>_xlfn.IFNA(VLOOKUP($AP675,Programma!$F$3:$Y$1101,20,0),"")</f>
        <v/>
      </c>
      <c r="BJ675" s="449"/>
      <c r="BK675" s="446" t="str">
        <f>IF(Ruimtestaat[[#This Row],[Frequentie weekend]]="","",_xlfn.CONCAT(Ruimtestaat[[#This Row],[Ruimte code]],"-",Ruimtestaat[[#This Row],[Frequentie weekend]]," ",Ruimtestaat[[#This Row],[Vloer code]]))</f>
        <v/>
      </c>
      <c r="BL675" s="448" t="str">
        <f>_xlfn.IFNA(VLOOKUP($BK675,Programma!$F$3:$G$1101,2,0),"")</f>
        <v/>
      </c>
      <c r="BM675" s="448" t="str">
        <f>_xlfn.IFNA(VLOOKUP($BK675,Programma!$F$3:$H$1101,3,0),"")</f>
        <v/>
      </c>
      <c r="BN675" s="448" t="str">
        <f>_xlfn.IFNA(VLOOKUP($BK675,Programma!$F$3:$I$1101,4,0),"")</f>
        <v/>
      </c>
      <c r="BO675" s="448" t="str">
        <f>_xlfn.IFNA(VLOOKUP($BK675,Programma!$F$3:$J$1101,5,0),"")</f>
        <v/>
      </c>
      <c r="BP675" s="448" t="str">
        <f>_xlfn.IFNA(VLOOKUP($BK675,Programma!$F$3:$K$1101,6,0),"")</f>
        <v/>
      </c>
      <c r="BQ675" s="448" t="str">
        <f>_xlfn.IFNA(VLOOKUP($BK675,Programma!$F$3:$L$1101,7,0),"")</f>
        <v/>
      </c>
      <c r="BR675" s="448" t="str">
        <f>_xlfn.IFNA(VLOOKUP($BK675,Programma!$F$3:$M$1101,8,0),"")</f>
        <v/>
      </c>
      <c r="BS675" s="448" t="str">
        <f>_xlfn.IFNA(VLOOKUP($BK675,Programma!$F$3:$N$1101,9,0),"")</f>
        <v/>
      </c>
      <c r="BT675" s="448" t="str">
        <f>_xlfn.IFNA(VLOOKUP($BK675,Programma!$F$3:$O$1101,10,0),"")</f>
        <v/>
      </c>
      <c r="BU675" s="448" t="str">
        <f>_xlfn.IFNA(VLOOKUP($BK675,Programma!$F$3:$P$1101,11,0),"")</f>
        <v/>
      </c>
      <c r="BV675" s="448" t="str">
        <f>_xlfn.IFNA(VLOOKUP($BK675,Programma!$F$3:$Q$1101,12,0),"")</f>
        <v/>
      </c>
      <c r="BW675" s="448" t="str">
        <f>_xlfn.IFNA(VLOOKUP($BK675,Programma!$F$3:$R$1101,13,0),"")</f>
        <v/>
      </c>
      <c r="BX675" s="448" t="str">
        <f>_xlfn.IFNA(VLOOKUP($BK675,Programma!$F$3:$S$1101,14,0),"")</f>
        <v/>
      </c>
      <c r="BY675" s="448" t="str">
        <f>_xlfn.IFNA(VLOOKUP($BK675,Programma!$F$3:$T$1101,15,0),"")</f>
        <v/>
      </c>
      <c r="BZ675" s="448" t="str">
        <f>_xlfn.IFNA(VLOOKUP($BK675,Programma!$F$3:$U$1101,16,0),"")</f>
        <v/>
      </c>
      <c r="CA675" s="448" t="str">
        <f>_xlfn.IFNA(VLOOKUP($BK675,Programma!$F$3:$V$1101,17,0),"")</f>
        <v/>
      </c>
      <c r="CB675" s="448" t="str">
        <f>_xlfn.IFNA(VLOOKUP($BK675,Programma!$F$3:$W$1101,18,0),"")</f>
        <v/>
      </c>
      <c r="CC675" s="448" t="str">
        <f>_xlfn.IFNA(VLOOKUP($BK675,Programma!$F$3:$X$1101,19,0),"")</f>
        <v/>
      </c>
      <c r="CD675" s="448" t="str">
        <f>_xlfn.IFNA(VLOOKUP($BK675,Programma!$F$3:$Y$1101,20,0),"")</f>
        <v/>
      </c>
    </row>
    <row r="676" spans="1:82" ht="15" customHeight="1">
      <c r="A676" s="327">
        <v>15</v>
      </c>
      <c r="B676" s="435" t="str">
        <f>VLOOKUP(Ruimtestaat[[#This Row],[Code]],Locaties[[Code]:[Locatie]],2,FALSE)</f>
        <v>IKC  Da Vinci</v>
      </c>
      <c r="C676" s="435" t="str">
        <f>VLOOKUP(Ruimtestaat[[#This Row],[Code]],Locaties[[#All],[Code]:[Adres]],4,FALSE)</f>
        <v>Spitsbergen 17</v>
      </c>
      <c r="D676" s="435" t="str">
        <f>VLOOKUP(Ruimtestaat[[#This Row],[Code]],Locaties[[#All],[Code]:[Postcode]],5,FALSE)</f>
        <v>2721 GP</v>
      </c>
      <c r="E676" s="435" t="str">
        <f>VLOOKUP(Ruimtestaat[[#This Row],[Code]],Locaties[#All],6,FALSE)</f>
        <v>Zoetermeer</v>
      </c>
      <c r="F676" s="330" t="s">
        <v>2154</v>
      </c>
      <c r="I676" s="450" t="s">
        <v>1983</v>
      </c>
      <c r="J676" s="330">
        <v>20</v>
      </c>
      <c r="K676" s="450" t="str">
        <f>VLOOKUP(Ruimtestaat[[#This Row],[Ruimte code]],Ruimtegroepen[[#All],[Code]:[Ruimte omschrijving]],2,FALSE)</f>
        <v>Niet in Onderhoud</v>
      </c>
      <c r="M676" s="330"/>
      <c r="N676" s="439"/>
      <c r="O676" s="439">
        <v>53</v>
      </c>
      <c r="P676" s="439"/>
      <c r="Q676" s="439"/>
      <c r="R676" s="440">
        <f>VLOOKUP(Ruimtestaat[[#This Row],[Ruimte code]],Ruimtegroepen[],4,FALSE)</f>
        <v>0</v>
      </c>
      <c r="S676" s="434"/>
      <c r="T676" s="434"/>
      <c r="U676" s="453">
        <f>IF(S676&gt;0,IF(RIGHT(Ruimtestaat[[#This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6" s="434">
        <f>IF(U676&gt;0,VLOOKUP($J676,Ruimtegroepen[],3,FALSE)*VLOOKUP($L676,Vloersoorten[],3,FALSE)*VLOOKUP($T676,Frequenties[],3,FALSE)*VLOOKUP($A676,Locaties[],3,FALSE),0)</f>
        <v>0</v>
      </c>
      <c r="W676" s="434">
        <f>Ruimtestaat[[#This Row],[Uitvoeringen werkdagen]]*Ruimtestaat[[#This Row],[Oppervlak (netto)]]</f>
        <v>0</v>
      </c>
      <c r="X676" s="441">
        <f>IF(V676&gt;0,Ruimtestaat[[#This Row],[Prest. (m2 /jaar) werkdagen]]/Ruimtestaat[[#This Row],[Norm (m2/uur) werkdagen]],0)</f>
        <v>0</v>
      </c>
      <c r="Y676" s="442">
        <f>Ruimtestaat[[#This Row],[Uitvoeringen werkdagen]]*Ruimtestaat[[#This Row],[Gedeeltelijk]]</f>
        <v>0</v>
      </c>
      <c r="Z676" s="443">
        <f>IF(U676&gt;0,Ruimtestaat[[#This Row],[Prest. (m2 / jaar) werkdagen gedeeld]]/Ruimtestaat[[#This Row],[Norm (m2/uur) werkdagen]],0)</f>
        <v>0</v>
      </c>
      <c r="AA676" s="441">
        <f>Ruimtestaat[[#This Row],[uren / jaar werkdagen gedeeld]]*Tariefsopbouw!$E$35</f>
        <v>0</v>
      </c>
      <c r="AB676" s="441">
        <f>Ruimtestaat[[#This Row],[Uitvoeringen werkdagen]]*Ruimtestaat[[#This Row],[BSO]]</f>
        <v>0</v>
      </c>
      <c r="AC676" s="443">
        <f>IF(U676&gt;0,Ruimtestaat[[#This Row],[Prest. (m2 / jaar) werkdagen BSO]]/Ruimtestaat[[#This Row],[Norm (m2/uur) werkdagen]],0)</f>
        <v>0</v>
      </c>
      <c r="AD676" s="443">
        <f>Ruimtestaat[[#This Row],[uren / jaar werkdagen BSO]]*Tariefsopbouw!$E$35</f>
        <v>0</v>
      </c>
      <c r="AE676" s="444">
        <f>Ruimtestaat[[#This Row],[uren / jaar werkdagen]]*Tariefsopbouw!$E$35</f>
        <v>0</v>
      </c>
      <c r="AF676" s="454"/>
      <c r="AG676" s="455">
        <f>IF(Ruimtestaat[[#This Row],[Frequentie weekend]]&gt;0,VALUE(LEFT(AF676,1))*S676,0)</f>
        <v>0</v>
      </c>
      <c r="AH676" s="455">
        <f>IF($AG676&gt;0,VLOOKUP($J676,Ruimtegroepen[],3,FALSE)*VLOOKUP($L676,Vloersoorten[],3,FALSE)*VLOOKUP($AF676,Frequenties[],3,FALSE)*VLOOKUP(#REF!,Locaties[],3,FALSE),0)</f>
        <v>0</v>
      </c>
      <c r="AI676" s="434">
        <f>Ruimtestaat[[#This Row],[Uitvoeringen weekend]]*Ruimtestaat[[#This Row],[Oppervlak (netto)]]</f>
        <v>0</v>
      </c>
      <c r="AJ676" s="434">
        <f>IF(AH676&gt;0,Ruimtestaat[[#This Row],[Prest. (m2 /jaar) weekend]]/Ruimtestaat[[#This Row],[Norm (m2/uur) weekend]],0)</f>
        <v>0</v>
      </c>
      <c r="AK676" s="444">
        <f>Ruimtestaat[[#This Row],[uren / jaar weekend]]*Tariefsopbouw!$D$40</f>
        <v>0</v>
      </c>
      <c r="AL676" s="441">
        <f>Ruimtestaat[[#This Row],[Prest. (m2 /jaar) weekend]]+Ruimtestaat[[#This Row],[Prest. (m2 /jaar) werkdagen]]</f>
        <v>0</v>
      </c>
      <c r="AM676" s="441">
        <f>Ruimtestaat[[#This Row],[uren / jaar weekend]]+Ruimtestaat[[#This Row],[uren / jaar werkdagen]]</f>
        <v>0</v>
      </c>
      <c r="AN676" s="446">
        <f>Ruimtestaat[[#This Row],[kosten / jaar weekend]]+Ruimtestaat[[#This Row],[kosten / jaar werkdagen]]</f>
        <v>0</v>
      </c>
      <c r="AO676" s="446"/>
      <c r="AP676" s="446" t="str">
        <f>IF(Ruimtestaat[[#This Row],[Frequentie werkdagen]]="","",_xlfn.CONCAT(Ruimtestaat[[#This Row],[Ruimte code]],"-",Ruimtestaat[[#This Row],[Frequentie werkdagen]]," ",Ruimtestaat[[#This Row],[Vloer code]]))</f>
        <v/>
      </c>
      <c r="AQ676" s="448" t="str">
        <f>_xlfn.IFNA(VLOOKUP($AP676,Programma!$F$3:$G$1101,2,0),"")</f>
        <v/>
      </c>
      <c r="AR676" s="448" t="str">
        <f>_xlfn.IFNA(VLOOKUP($AP676,Programma!$F$3:$H$1101,3,0),"")</f>
        <v/>
      </c>
      <c r="AS676" s="448" t="str">
        <f>_xlfn.IFNA(VLOOKUP($AP676,Programma!$F$3:$I$1101,4,0),"")</f>
        <v/>
      </c>
      <c r="AT676" s="448" t="str">
        <f>_xlfn.IFNA(VLOOKUP($AP676,Programma!$F$3:$J$1101,5,0),"")</f>
        <v/>
      </c>
      <c r="AU676" s="448" t="str">
        <f>_xlfn.IFNA(VLOOKUP($AP676,Programma!$F$3:$K$1101,6,0),"")</f>
        <v/>
      </c>
      <c r="AV676" s="448" t="str">
        <f>_xlfn.IFNA(VLOOKUP($AP676,Programma!$F$3:$L$1101,7,0),"")</f>
        <v/>
      </c>
      <c r="AW676" s="448" t="str">
        <f>_xlfn.IFNA(VLOOKUP($AP676,Programma!$F$3:$M$1101,8,0),"")</f>
        <v/>
      </c>
      <c r="AX676" s="448" t="str">
        <f>_xlfn.IFNA(VLOOKUP($AP676,Programma!$F$3:$N$1101,9,0),"")</f>
        <v/>
      </c>
      <c r="AY676" s="448" t="str">
        <f>_xlfn.IFNA(VLOOKUP($AP676,Programma!$F$3:$O$1101,10,0),"")</f>
        <v/>
      </c>
      <c r="AZ676" s="448" t="str">
        <f>_xlfn.IFNA(VLOOKUP($AP676,Programma!$F$3:$P$1101,11,0),"")</f>
        <v/>
      </c>
      <c r="BA676" s="448" t="str">
        <f>_xlfn.IFNA(VLOOKUP($AP676,Programma!$F$3:$Q$1101,12,0),"")</f>
        <v/>
      </c>
      <c r="BB676" s="448" t="str">
        <f>_xlfn.IFNA(VLOOKUP($AP676,Programma!$F$3:$R$1101,13,0),"")</f>
        <v/>
      </c>
      <c r="BC676" s="448" t="str">
        <f>_xlfn.IFNA(VLOOKUP($AP676,Programma!$F$3:$S$1101,14,0),"")</f>
        <v/>
      </c>
      <c r="BD676" s="448" t="str">
        <f>_xlfn.IFNA(VLOOKUP($AP676,Programma!$F$3:$T$1101,15,0),"")</f>
        <v/>
      </c>
      <c r="BE676" s="448" t="str">
        <f>_xlfn.IFNA(VLOOKUP($AP676,Programma!$F$3:$U$1101,16,0),"")</f>
        <v/>
      </c>
      <c r="BF676" s="448" t="str">
        <f>_xlfn.IFNA(VLOOKUP($AP676,Programma!$F$3:$V$1101,17,0),"")</f>
        <v/>
      </c>
      <c r="BG676" s="448" t="str">
        <f>_xlfn.IFNA(VLOOKUP($AP676,Programma!$F$3:$W$1101,18,0),"")</f>
        <v/>
      </c>
      <c r="BH676" s="448" t="str">
        <f>_xlfn.IFNA(VLOOKUP($AP676,Programma!$F$3:$X$1101,19,0),"")</f>
        <v/>
      </c>
      <c r="BI676" s="448" t="str">
        <f>_xlfn.IFNA(VLOOKUP($AP676,Programma!$F$3:$Y$1101,20,0),"")</f>
        <v/>
      </c>
      <c r="BJ676" s="449"/>
      <c r="BK676" s="446" t="str">
        <f>IF(Ruimtestaat[[#This Row],[Frequentie weekend]]="","",_xlfn.CONCAT(Ruimtestaat[[#This Row],[Ruimte code]],"-",Ruimtestaat[[#This Row],[Frequentie weekend]]," ",Ruimtestaat[[#This Row],[Vloer code]]))</f>
        <v/>
      </c>
      <c r="BL676" s="448" t="str">
        <f>_xlfn.IFNA(VLOOKUP($BK676,Programma!$F$3:$G$1101,2,0),"")</f>
        <v/>
      </c>
      <c r="BM676" s="448" t="str">
        <f>_xlfn.IFNA(VLOOKUP($BK676,Programma!$F$3:$H$1101,3,0),"")</f>
        <v/>
      </c>
      <c r="BN676" s="448" t="str">
        <f>_xlfn.IFNA(VLOOKUP($BK676,Programma!$F$3:$I$1101,4,0),"")</f>
        <v/>
      </c>
      <c r="BO676" s="448" t="str">
        <f>_xlfn.IFNA(VLOOKUP($BK676,Programma!$F$3:$J$1101,5,0),"")</f>
        <v/>
      </c>
      <c r="BP676" s="448" t="str">
        <f>_xlfn.IFNA(VLOOKUP($BK676,Programma!$F$3:$K$1101,6,0),"")</f>
        <v/>
      </c>
      <c r="BQ676" s="448" t="str">
        <f>_xlfn.IFNA(VLOOKUP($BK676,Programma!$F$3:$L$1101,7,0),"")</f>
        <v/>
      </c>
      <c r="BR676" s="448" t="str">
        <f>_xlfn.IFNA(VLOOKUP($BK676,Programma!$F$3:$M$1101,8,0),"")</f>
        <v/>
      </c>
      <c r="BS676" s="448" t="str">
        <f>_xlfn.IFNA(VLOOKUP($BK676,Programma!$F$3:$N$1101,9,0),"")</f>
        <v/>
      </c>
      <c r="BT676" s="448" t="str">
        <f>_xlfn.IFNA(VLOOKUP($BK676,Programma!$F$3:$O$1101,10,0),"")</f>
        <v/>
      </c>
      <c r="BU676" s="448" t="str">
        <f>_xlfn.IFNA(VLOOKUP($BK676,Programma!$F$3:$P$1101,11,0),"")</f>
        <v/>
      </c>
      <c r="BV676" s="448" t="str">
        <f>_xlfn.IFNA(VLOOKUP($BK676,Programma!$F$3:$Q$1101,12,0),"")</f>
        <v/>
      </c>
      <c r="BW676" s="448" t="str">
        <f>_xlfn.IFNA(VLOOKUP($BK676,Programma!$F$3:$R$1101,13,0),"")</f>
        <v/>
      </c>
      <c r="BX676" s="448" t="str">
        <f>_xlfn.IFNA(VLOOKUP($BK676,Programma!$F$3:$S$1101,14,0),"")</f>
        <v/>
      </c>
      <c r="BY676" s="448" t="str">
        <f>_xlfn.IFNA(VLOOKUP($BK676,Programma!$F$3:$T$1101,15,0),"")</f>
        <v/>
      </c>
      <c r="BZ676" s="448" t="str">
        <f>_xlfn.IFNA(VLOOKUP($BK676,Programma!$F$3:$U$1101,16,0),"")</f>
        <v/>
      </c>
      <c r="CA676" s="448" t="str">
        <f>_xlfn.IFNA(VLOOKUP($BK676,Programma!$F$3:$V$1101,17,0),"")</f>
        <v/>
      </c>
      <c r="CB676" s="448" t="str">
        <f>_xlfn.IFNA(VLOOKUP($BK676,Programma!$F$3:$W$1101,18,0),"")</f>
        <v/>
      </c>
      <c r="CC676" s="448" t="str">
        <f>_xlfn.IFNA(VLOOKUP($BK676,Programma!$F$3:$X$1101,19,0),"")</f>
        <v/>
      </c>
      <c r="CD676" s="448" t="str">
        <f>_xlfn.IFNA(VLOOKUP($BK676,Programma!$F$3:$Y$1101,20,0),"")</f>
        <v/>
      </c>
    </row>
    <row r="677" spans="1:82" ht="15" customHeight="1">
      <c r="A677" s="327">
        <v>15</v>
      </c>
      <c r="B677" s="435" t="str">
        <f>VLOOKUP(Ruimtestaat[[#This Row],[Code]],Locaties[[Code]:[Locatie]],2,FALSE)</f>
        <v>IKC  Da Vinci</v>
      </c>
      <c r="C677" s="435" t="str">
        <f>VLOOKUP(Ruimtestaat[[#This Row],[Code]],Locaties[[#All],[Code]:[Adres]],4,FALSE)</f>
        <v>Spitsbergen 17</v>
      </c>
      <c r="D677" s="435" t="str">
        <f>VLOOKUP(Ruimtestaat[[#This Row],[Code]],Locaties[[#All],[Code]:[Postcode]],5,FALSE)</f>
        <v>2721 GP</v>
      </c>
      <c r="E677" s="435" t="str">
        <f>VLOOKUP(Ruimtestaat[[#This Row],[Code]],Locaties[#All],6,FALSE)</f>
        <v>Zoetermeer</v>
      </c>
      <c r="F677" s="330" t="s">
        <v>2154</v>
      </c>
      <c r="I677" s="450" t="s">
        <v>1983</v>
      </c>
      <c r="J677" s="330">
        <v>20</v>
      </c>
      <c r="K677" s="450" t="str">
        <f>VLOOKUP(Ruimtestaat[[#This Row],[Ruimte code]],Ruimtegroepen[[#All],[Code]:[Ruimte omschrijving]],2,FALSE)</f>
        <v>Niet in Onderhoud</v>
      </c>
      <c r="M677" s="330"/>
      <c r="N677" s="439"/>
      <c r="O677" s="439">
        <v>54</v>
      </c>
      <c r="P677" s="439"/>
      <c r="Q677" s="439"/>
      <c r="R677" s="440">
        <f>VLOOKUP(Ruimtestaat[[#This Row],[Ruimte code]],Ruimtegroepen[],4,FALSE)</f>
        <v>0</v>
      </c>
      <c r="S677" s="434"/>
      <c r="T677" s="434"/>
      <c r="U677" s="453">
        <f>IF(S677&gt;0,IF(RIGHT(Ruimtestaat[[#This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7" s="434">
        <f>IF(U677&gt;0,VLOOKUP($J677,Ruimtegroepen[],3,FALSE)*VLOOKUP($L677,Vloersoorten[],3,FALSE)*VLOOKUP($T677,Frequenties[],3,FALSE)*VLOOKUP($A677,Locaties[],3,FALSE),0)</f>
        <v>0</v>
      </c>
      <c r="W677" s="434">
        <f>Ruimtestaat[[#This Row],[Uitvoeringen werkdagen]]*Ruimtestaat[[#This Row],[Oppervlak (netto)]]</f>
        <v>0</v>
      </c>
      <c r="X677" s="441">
        <f>IF(V677&gt;0,Ruimtestaat[[#This Row],[Prest. (m2 /jaar) werkdagen]]/Ruimtestaat[[#This Row],[Norm (m2/uur) werkdagen]],0)</f>
        <v>0</v>
      </c>
      <c r="Y677" s="442">
        <f>Ruimtestaat[[#This Row],[Uitvoeringen werkdagen]]*Ruimtestaat[[#This Row],[Gedeeltelijk]]</f>
        <v>0</v>
      </c>
      <c r="Z677" s="443">
        <f>IF(U677&gt;0,Ruimtestaat[[#This Row],[Prest. (m2 / jaar) werkdagen gedeeld]]/Ruimtestaat[[#This Row],[Norm (m2/uur) werkdagen]],0)</f>
        <v>0</v>
      </c>
      <c r="AA677" s="441">
        <f>Ruimtestaat[[#This Row],[uren / jaar werkdagen gedeeld]]*Tariefsopbouw!$E$35</f>
        <v>0</v>
      </c>
      <c r="AB677" s="441">
        <f>Ruimtestaat[[#This Row],[Uitvoeringen werkdagen]]*Ruimtestaat[[#This Row],[BSO]]</f>
        <v>0</v>
      </c>
      <c r="AC677" s="443">
        <f>IF(U677&gt;0,Ruimtestaat[[#This Row],[Prest. (m2 / jaar) werkdagen BSO]]/Ruimtestaat[[#This Row],[Norm (m2/uur) werkdagen]],0)</f>
        <v>0</v>
      </c>
      <c r="AD677" s="443">
        <f>Ruimtestaat[[#This Row],[uren / jaar werkdagen BSO]]*Tariefsopbouw!$E$35</f>
        <v>0</v>
      </c>
      <c r="AE677" s="444">
        <f>Ruimtestaat[[#This Row],[uren / jaar werkdagen]]*Tariefsopbouw!$E$35</f>
        <v>0</v>
      </c>
      <c r="AF677" s="454"/>
      <c r="AG677" s="455">
        <f>IF(Ruimtestaat[[#This Row],[Frequentie weekend]]&gt;0,VALUE(LEFT(AF677,1))*S677,0)</f>
        <v>0</v>
      </c>
      <c r="AH677" s="455">
        <f>IF($AG677&gt;0,VLOOKUP($J677,Ruimtegroepen[],3,FALSE)*VLOOKUP($L677,Vloersoorten[],3,FALSE)*VLOOKUP($AF677,Frequenties[],3,FALSE)*VLOOKUP(#REF!,Locaties[],3,FALSE),0)</f>
        <v>0</v>
      </c>
      <c r="AI677" s="434">
        <f>Ruimtestaat[[#This Row],[Uitvoeringen weekend]]*Ruimtestaat[[#This Row],[Oppervlak (netto)]]</f>
        <v>0</v>
      </c>
      <c r="AJ677" s="434">
        <f>IF(AH677&gt;0,Ruimtestaat[[#This Row],[Prest. (m2 /jaar) weekend]]/Ruimtestaat[[#This Row],[Norm (m2/uur) weekend]],0)</f>
        <v>0</v>
      </c>
      <c r="AK677" s="444">
        <f>Ruimtestaat[[#This Row],[uren / jaar weekend]]*Tariefsopbouw!$D$40</f>
        <v>0</v>
      </c>
      <c r="AL677" s="441">
        <f>Ruimtestaat[[#This Row],[Prest. (m2 /jaar) weekend]]+Ruimtestaat[[#This Row],[Prest. (m2 /jaar) werkdagen]]</f>
        <v>0</v>
      </c>
      <c r="AM677" s="441">
        <f>Ruimtestaat[[#This Row],[uren / jaar weekend]]+Ruimtestaat[[#This Row],[uren / jaar werkdagen]]</f>
        <v>0</v>
      </c>
      <c r="AN677" s="446">
        <f>Ruimtestaat[[#This Row],[kosten / jaar weekend]]+Ruimtestaat[[#This Row],[kosten / jaar werkdagen]]</f>
        <v>0</v>
      </c>
      <c r="AO677" s="446"/>
      <c r="AP677" s="446" t="str">
        <f>IF(Ruimtestaat[[#This Row],[Frequentie werkdagen]]="","",_xlfn.CONCAT(Ruimtestaat[[#This Row],[Ruimte code]],"-",Ruimtestaat[[#This Row],[Frequentie werkdagen]]," ",Ruimtestaat[[#This Row],[Vloer code]]))</f>
        <v/>
      </c>
      <c r="AQ677" s="448" t="str">
        <f>_xlfn.IFNA(VLOOKUP($AP677,Programma!$F$3:$G$1101,2,0),"")</f>
        <v/>
      </c>
      <c r="AR677" s="448" t="str">
        <f>_xlfn.IFNA(VLOOKUP($AP677,Programma!$F$3:$H$1101,3,0),"")</f>
        <v/>
      </c>
      <c r="AS677" s="448" t="str">
        <f>_xlfn.IFNA(VLOOKUP($AP677,Programma!$F$3:$I$1101,4,0),"")</f>
        <v/>
      </c>
      <c r="AT677" s="448" t="str">
        <f>_xlfn.IFNA(VLOOKUP($AP677,Programma!$F$3:$J$1101,5,0),"")</f>
        <v/>
      </c>
      <c r="AU677" s="448" t="str">
        <f>_xlfn.IFNA(VLOOKUP($AP677,Programma!$F$3:$K$1101,6,0),"")</f>
        <v/>
      </c>
      <c r="AV677" s="448" t="str">
        <f>_xlfn.IFNA(VLOOKUP($AP677,Programma!$F$3:$L$1101,7,0),"")</f>
        <v/>
      </c>
      <c r="AW677" s="448" t="str">
        <f>_xlfn.IFNA(VLOOKUP($AP677,Programma!$F$3:$M$1101,8,0),"")</f>
        <v/>
      </c>
      <c r="AX677" s="448" t="str">
        <f>_xlfn.IFNA(VLOOKUP($AP677,Programma!$F$3:$N$1101,9,0),"")</f>
        <v/>
      </c>
      <c r="AY677" s="448" t="str">
        <f>_xlfn.IFNA(VLOOKUP($AP677,Programma!$F$3:$O$1101,10,0),"")</f>
        <v/>
      </c>
      <c r="AZ677" s="448" t="str">
        <f>_xlfn.IFNA(VLOOKUP($AP677,Programma!$F$3:$P$1101,11,0),"")</f>
        <v/>
      </c>
      <c r="BA677" s="448" t="str">
        <f>_xlfn.IFNA(VLOOKUP($AP677,Programma!$F$3:$Q$1101,12,0),"")</f>
        <v/>
      </c>
      <c r="BB677" s="448" t="str">
        <f>_xlfn.IFNA(VLOOKUP($AP677,Programma!$F$3:$R$1101,13,0),"")</f>
        <v/>
      </c>
      <c r="BC677" s="448" t="str">
        <f>_xlfn.IFNA(VLOOKUP($AP677,Programma!$F$3:$S$1101,14,0),"")</f>
        <v/>
      </c>
      <c r="BD677" s="448" t="str">
        <f>_xlfn.IFNA(VLOOKUP($AP677,Programma!$F$3:$T$1101,15,0),"")</f>
        <v/>
      </c>
      <c r="BE677" s="448" t="str">
        <f>_xlfn.IFNA(VLOOKUP($AP677,Programma!$F$3:$U$1101,16,0),"")</f>
        <v/>
      </c>
      <c r="BF677" s="448" t="str">
        <f>_xlfn.IFNA(VLOOKUP($AP677,Programma!$F$3:$V$1101,17,0),"")</f>
        <v/>
      </c>
      <c r="BG677" s="448" t="str">
        <f>_xlfn.IFNA(VLOOKUP($AP677,Programma!$F$3:$W$1101,18,0),"")</f>
        <v/>
      </c>
      <c r="BH677" s="448" t="str">
        <f>_xlfn.IFNA(VLOOKUP($AP677,Programma!$F$3:$X$1101,19,0),"")</f>
        <v/>
      </c>
      <c r="BI677" s="448" t="str">
        <f>_xlfn.IFNA(VLOOKUP($AP677,Programma!$F$3:$Y$1101,20,0),"")</f>
        <v/>
      </c>
      <c r="BJ677" s="449"/>
      <c r="BK677" s="446" t="str">
        <f>IF(Ruimtestaat[[#This Row],[Frequentie weekend]]="","",_xlfn.CONCAT(Ruimtestaat[[#This Row],[Ruimte code]],"-",Ruimtestaat[[#This Row],[Frequentie weekend]]," ",Ruimtestaat[[#This Row],[Vloer code]]))</f>
        <v/>
      </c>
      <c r="BL677" s="448" t="str">
        <f>_xlfn.IFNA(VLOOKUP($BK677,Programma!$F$3:$G$1101,2,0),"")</f>
        <v/>
      </c>
      <c r="BM677" s="448" t="str">
        <f>_xlfn.IFNA(VLOOKUP($BK677,Programma!$F$3:$H$1101,3,0),"")</f>
        <v/>
      </c>
      <c r="BN677" s="448" t="str">
        <f>_xlfn.IFNA(VLOOKUP($BK677,Programma!$F$3:$I$1101,4,0),"")</f>
        <v/>
      </c>
      <c r="BO677" s="448" t="str">
        <f>_xlfn.IFNA(VLOOKUP($BK677,Programma!$F$3:$J$1101,5,0),"")</f>
        <v/>
      </c>
      <c r="BP677" s="448" t="str">
        <f>_xlfn.IFNA(VLOOKUP($BK677,Programma!$F$3:$K$1101,6,0),"")</f>
        <v/>
      </c>
      <c r="BQ677" s="448" t="str">
        <f>_xlfn.IFNA(VLOOKUP($BK677,Programma!$F$3:$L$1101,7,0),"")</f>
        <v/>
      </c>
      <c r="BR677" s="448" t="str">
        <f>_xlfn.IFNA(VLOOKUP($BK677,Programma!$F$3:$M$1101,8,0),"")</f>
        <v/>
      </c>
      <c r="BS677" s="448" t="str">
        <f>_xlfn.IFNA(VLOOKUP($BK677,Programma!$F$3:$N$1101,9,0),"")</f>
        <v/>
      </c>
      <c r="BT677" s="448" t="str">
        <f>_xlfn.IFNA(VLOOKUP($BK677,Programma!$F$3:$O$1101,10,0),"")</f>
        <v/>
      </c>
      <c r="BU677" s="448" t="str">
        <f>_xlfn.IFNA(VLOOKUP($BK677,Programma!$F$3:$P$1101,11,0),"")</f>
        <v/>
      </c>
      <c r="BV677" s="448" t="str">
        <f>_xlfn.IFNA(VLOOKUP($BK677,Programma!$F$3:$Q$1101,12,0),"")</f>
        <v/>
      </c>
      <c r="BW677" s="448" t="str">
        <f>_xlfn.IFNA(VLOOKUP($BK677,Programma!$F$3:$R$1101,13,0),"")</f>
        <v/>
      </c>
      <c r="BX677" s="448" t="str">
        <f>_xlfn.IFNA(VLOOKUP($BK677,Programma!$F$3:$S$1101,14,0),"")</f>
        <v/>
      </c>
      <c r="BY677" s="448" t="str">
        <f>_xlfn.IFNA(VLOOKUP($BK677,Programma!$F$3:$T$1101,15,0),"")</f>
        <v/>
      </c>
      <c r="BZ677" s="448" t="str">
        <f>_xlfn.IFNA(VLOOKUP($BK677,Programma!$F$3:$U$1101,16,0),"")</f>
        <v/>
      </c>
      <c r="CA677" s="448" t="str">
        <f>_xlfn.IFNA(VLOOKUP($BK677,Programma!$F$3:$V$1101,17,0),"")</f>
        <v/>
      </c>
      <c r="CB677" s="448" t="str">
        <f>_xlfn.IFNA(VLOOKUP($BK677,Programma!$F$3:$W$1101,18,0),"")</f>
        <v/>
      </c>
      <c r="CC677" s="448" t="str">
        <f>_xlfn.IFNA(VLOOKUP($BK677,Programma!$F$3:$X$1101,19,0),"")</f>
        <v/>
      </c>
      <c r="CD677" s="448" t="str">
        <f>_xlfn.IFNA(VLOOKUP($BK677,Programma!$F$3:$Y$1101,20,0),"")</f>
        <v/>
      </c>
    </row>
    <row r="678" spans="1:82" ht="15" customHeight="1">
      <c r="A678" s="327">
        <v>15</v>
      </c>
      <c r="B678" s="435" t="str">
        <f>VLOOKUP(Ruimtestaat[[#This Row],[Code]],Locaties[[Code]:[Locatie]],2,FALSE)</f>
        <v>IKC  Da Vinci</v>
      </c>
      <c r="C678" s="435" t="str">
        <f>VLOOKUP(Ruimtestaat[[#This Row],[Code]],Locaties[[#All],[Code]:[Adres]],4,FALSE)</f>
        <v>Spitsbergen 17</v>
      </c>
      <c r="D678" s="435" t="str">
        <f>VLOOKUP(Ruimtestaat[[#This Row],[Code]],Locaties[[#All],[Code]:[Postcode]],5,FALSE)</f>
        <v>2721 GP</v>
      </c>
      <c r="E678" s="435" t="str">
        <f>VLOOKUP(Ruimtestaat[[#This Row],[Code]],Locaties[#All],6,FALSE)</f>
        <v>Zoetermeer</v>
      </c>
      <c r="F678" s="330" t="s">
        <v>2154</v>
      </c>
      <c r="I678" s="450" t="s">
        <v>1983</v>
      </c>
      <c r="J678" s="330">
        <v>20</v>
      </c>
      <c r="K678" s="450" t="str">
        <f>VLOOKUP(Ruimtestaat[[#This Row],[Ruimte code]],Ruimtegroepen[[#All],[Code]:[Ruimte omschrijving]],2,FALSE)</f>
        <v>Niet in Onderhoud</v>
      </c>
      <c r="M678" s="330"/>
      <c r="N678" s="439"/>
      <c r="O678" s="439">
        <v>54</v>
      </c>
      <c r="P678" s="439"/>
      <c r="Q678" s="439"/>
      <c r="R678" s="440">
        <f>VLOOKUP(Ruimtestaat[[#This Row],[Ruimte code]],Ruimtegroepen[],4,FALSE)</f>
        <v>0</v>
      </c>
      <c r="S678" s="434"/>
      <c r="T678" s="434"/>
      <c r="U678" s="453">
        <f>IF(S678&gt;0,IF(RIGHT(Ruimtestaat[[#This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8" s="434">
        <f>IF(U678&gt;0,VLOOKUP($J678,Ruimtegroepen[],3,FALSE)*VLOOKUP($L678,Vloersoorten[],3,FALSE)*VLOOKUP($T678,Frequenties[],3,FALSE)*VLOOKUP($A678,Locaties[],3,FALSE),0)</f>
        <v>0</v>
      </c>
      <c r="W678" s="434">
        <f>Ruimtestaat[[#This Row],[Uitvoeringen werkdagen]]*Ruimtestaat[[#This Row],[Oppervlak (netto)]]</f>
        <v>0</v>
      </c>
      <c r="X678" s="441">
        <f>IF(V678&gt;0,Ruimtestaat[[#This Row],[Prest. (m2 /jaar) werkdagen]]/Ruimtestaat[[#This Row],[Norm (m2/uur) werkdagen]],0)</f>
        <v>0</v>
      </c>
      <c r="Y678" s="442">
        <f>Ruimtestaat[[#This Row],[Uitvoeringen werkdagen]]*Ruimtestaat[[#This Row],[Gedeeltelijk]]</f>
        <v>0</v>
      </c>
      <c r="Z678" s="443">
        <f>IF(U678&gt;0,Ruimtestaat[[#This Row],[Prest. (m2 / jaar) werkdagen gedeeld]]/Ruimtestaat[[#This Row],[Norm (m2/uur) werkdagen]],0)</f>
        <v>0</v>
      </c>
      <c r="AA678" s="441">
        <f>Ruimtestaat[[#This Row],[uren / jaar werkdagen gedeeld]]*Tariefsopbouw!$E$35</f>
        <v>0</v>
      </c>
      <c r="AB678" s="441">
        <f>Ruimtestaat[[#This Row],[Uitvoeringen werkdagen]]*Ruimtestaat[[#This Row],[BSO]]</f>
        <v>0</v>
      </c>
      <c r="AC678" s="443">
        <f>IF(U678&gt;0,Ruimtestaat[[#This Row],[Prest. (m2 / jaar) werkdagen BSO]]/Ruimtestaat[[#This Row],[Norm (m2/uur) werkdagen]],0)</f>
        <v>0</v>
      </c>
      <c r="AD678" s="443">
        <f>Ruimtestaat[[#This Row],[uren / jaar werkdagen BSO]]*Tariefsopbouw!$E$35</f>
        <v>0</v>
      </c>
      <c r="AE678" s="444">
        <f>Ruimtestaat[[#This Row],[uren / jaar werkdagen]]*Tariefsopbouw!$E$35</f>
        <v>0</v>
      </c>
      <c r="AF678" s="454"/>
      <c r="AG678" s="455">
        <f>IF(Ruimtestaat[[#This Row],[Frequentie weekend]]&gt;0,VALUE(LEFT(AF678,1))*S678,0)</f>
        <v>0</v>
      </c>
      <c r="AH678" s="455">
        <f>IF($AG678&gt;0,VLOOKUP($J678,Ruimtegroepen[],3,FALSE)*VLOOKUP($L678,Vloersoorten[],3,FALSE)*VLOOKUP($AF678,Frequenties[],3,FALSE)*VLOOKUP(#REF!,Locaties[],3,FALSE),0)</f>
        <v>0</v>
      </c>
      <c r="AI678" s="434">
        <f>Ruimtestaat[[#This Row],[Uitvoeringen weekend]]*Ruimtestaat[[#This Row],[Oppervlak (netto)]]</f>
        <v>0</v>
      </c>
      <c r="AJ678" s="434">
        <f>IF(AH678&gt;0,Ruimtestaat[[#This Row],[Prest. (m2 /jaar) weekend]]/Ruimtestaat[[#This Row],[Norm (m2/uur) weekend]],0)</f>
        <v>0</v>
      </c>
      <c r="AK678" s="444">
        <f>Ruimtestaat[[#This Row],[uren / jaar weekend]]*Tariefsopbouw!$D$40</f>
        <v>0</v>
      </c>
      <c r="AL678" s="441">
        <f>Ruimtestaat[[#This Row],[Prest. (m2 /jaar) weekend]]+Ruimtestaat[[#This Row],[Prest. (m2 /jaar) werkdagen]]</f>
        <v>0</v>
      </c>
      <c r="AM678" s="441">
        <f>Ruimtestaat[[#This Row],[uren / jaar weekend]]+Ruimtestaat[[#This Row],[uren / jaar werkdagen]]</f>
        <v>0</v>
      </c>
      <c r="AN678" s="446">
        <f>Ruimtestaat[[#This Row],[kosten / jaar weekend]]+Ruimtestaat[[#This Row],[kosten / jaar werkdagen]]</f>
        <v>0</v>
      </c>
      <c r="AO678" s="446"/>
      <c r="AP678" s="446" t="str">
        <f>IF(Ruimtestaat[[#This Row],[Frequentie werkdagen]]="","",_xlfn.CONCAT(Ruimtestaat[[#This Row],[Ruimte code]],"-",Ruimtestaat[[#This Row],[Frequentie werkdagen]]," ",Ruimtestaat[[#This Row],[Vloer code]]))</f>
        <v/>
      </c>
      <c r="AQ678" s="448" t="str">
        <f>_xlfn.IFNA(VLOOKUP($AP678,Programma!$F$3:$G$1101,2,0),"")</f>
        <v/>
      </c>
      <c r="AR678" s="448" t="str">
        <f>_xlfn.IFNA(VLOOKUP($AP678,Programma!$F$3:$H$1101,3,0),"")</f>
        <v/>
      </c>
      <c r="AS678" s="448" t="str">
        <f>_xlfn.IFNA(VLOOKUP($AP678,Programma!$F$3:$I$1101,4,0),"")</f>
        <v/>
      </c>
      <c r="AT678" s="448" t="str">
        <f>_xlfn.IFNA(VLOOKUP($AP678,Programma!$F$3:$J$1101,5,0),"")</f>
        <v/>
      </c>
      <c r="AU678" s="448" t="str">
        <f>_xlfn.IFNA(VLOOKUP($AP678,Programma!$F$3:$K$1101,6,0),"")</f>
        <v/>
      </c>
      <c r="AV678" s="448" t="str">
        <f>_xlfn.IFNA(VLOOKUP($AP678,Programma!$F$3:$L$1101,7,0),"")</f>
        <v/>
      </c>
      <c r="AW678" s="448" t="str">
        <f>_xlfn.IFNA(VLOOKUP($AP678,Programma!$F$3:$M$1101,8,0),"")</f>
        <v/>
      </c>
      <c r="AX678" s="448" t="str">
        <f>_xlfn.IFNA(VLOOKUP($AP678,Programma!$F$3:$N$1101,9,0),"")</f>
        <v/>
      </c>
      <c r="AY678" s="448" t="str">
        <f>_xlfn.IFNA(VLOOKUP($AP678,Programma!$F$3:$O$1101,10,0),"")</f>
        <v/>
      </c>
      <c r="AZ678" s="448" t="str">
        <f>_xlfn.IFNA(VLOOKUP($AP678,Programma!$F$3:$P$1101,11,0),"")</f>
        <v/>
      </c>
      <c r="BA678" s="448" t="str">
        <f>_xlfn.IFNA(VLOOKUP($AP678,Programma!$F$3:$Q$1101,12,0),"")</f>
        <v/>
      </c>
      <c r="BB678" s="448" t="str">
        <f>_xlfn.IFNA(VLOOKUP($AP678,Programma!$F$3:$R$1101,13,0),"")</f>
        <v/>
      </c>
      <c r="BC678" s="448" t="str">
        <f>_xlfn.IFNA(VLOOKUP($AP678,Programma!$F$3:$S$1101,14,0),"")</f>
        <v/>
      </c>
      <c r="BD678" s="448" t="str">
        <f>_xlfn.IFNA(VLOOKUP($AP678,Programma!$F$3:$T$1101,15,0),"")</f>
        <v/>
      </c>
      <c r="BE678" s="448" t="str">
        <f>_xlfn.IFNA(VLOOKUP($AP678,Programma!$F$3:$U$1101,16,0),"")</f>
        <v/>
      </c>
      <c r="BF678" s="448" t="str">
        <f>_xlfn.IFNA(VLOOKUP($AP678,Programma!$F$3:$V$1101,17,0),"")</f>
        <v/>
      </c>
      <c r="BG678" s="448" t="str">
        <f>_xlfn.IFNA(VLOOKUP($AP678,Programma!$F$3:$W$1101,18,0),"")</f>
        <v/>
      </c>
      <c r="BH678" s="448" t="str">
        <f>_xlfn.IFNA(VLOOKUP($AP678,Programma!$F$3:$X$1101,19,0),"")</f>
        <v/>
      </c>
      <c r="BI678" s="448" t="str">
        <f>_xlfn.IFNA(VLOOKUP($AP678,Programma!$F$3:$Y$1101,20,0),"")</f>
        <v/>
      </c>
      <c r="BJ678" s="449"/>
      <c r="BK678" s="446" t="str">
        <f>IF(Ruimtestaat[[#This Row],[Frequentie weekend]]="","",_xlfn.CONCAT(Ruimtestaat[[#This Row],[Ruimte code]],"-",Ruimtestaat[[#This Row],[Frequentie weekend]]," ",Ruimtestaat[[#This Row],[Vloer code]]))</f>
        <v/>
      </c>
      <c r="BL678" s="448" t="str">
        <f>_xlfn.IFNA(VLOOKUP($BK678,Programma!$F$3:$G$1101,2,0),"")</f>
        <v/>
      </c>
      <c r="BM678" s="448" t="str">
        <f>_xlfn.IFNA(VLOOKUP($BK678,Programma!$F$3:$H$1101,3,0),"")</f>
        <v/>
      </c>
      <c r="BN678" s="448" t="str">
        <f>_xlfn.IFNA(VLOOKUP($BK678,Programma!$F$3:$I$1101,4,0),"")</f>
        <v/>
      </c>
      <c r="BO678" s="448" t="str">
        <f>_xlfn.IFNA(VLOOKUP($BK678,Programma!$F$3:$J$1101,5,0),"")</f>
        <v/>
      </c>
      <c r="BP678" s="448" t="str">
        <f>_xlfn.IFNA(VLOOKUP($BK678,Programma!$F$3:$K$1101,6,0),"")</f>
        <v/>
      </c>
      <c r="BQ678" s="448" t="str">
        <f>_xlfn.IFNA(VLOOKUP($BK678,Programma!$F$3:$L$1101,7,0),"")</f>
        <v/>
      </c>
      <c r="BR678" s="448" t="str">
        <f>_xlfn.IFNA(VLOOKUP($BK678,Programma!$F$3:$M$1101,8,0),"")</f>
        <v/>
      </c>
      <c r="BS678" s="448" t="str">
        <f>_xlfn.IFNA(VLOOKUP($BK678,Programma!$F$3:$N$1101,9,0),"")</f>
        <v/>
      </c>
      <c r="BT678" s="448" t="str">
        <f>_xlfn.IFNA(VLOOKUP($BK678,Programma!$F$3:$O$1101,10,0),"")</f>
        <v/>
      </c>
      <c r="BU678" s="448" t="str">
        <f>_xlfn.IFNA(VLOOKUP($BK678,Programma!$F$3:$P$1101,11,0),"")</f>
        <v/>
      </c>
      <c r="BV678" s="448" t="str">
        <f>_xlfn.IFNA(VLOOKUP($BK678,Programma!$F$3:$Q$1101,12,0),"")</f>
        <v/>
      </c>
      <c r="BW678" s="448" t="str">
        <f>_xlfn.IFNA(VLOOKUP($BK678,Programma!$F$3:$R$1101,13,0),"")</f>
        <v/>
      </c>
      <c r="BX678" s="448" t="str">
        <f>_xlfn.IFNA(VLOOKUP($BK678,Programma!$F$3:$S$1101,14,0),"")</f>
        <v/>
      </c>
      <c r="BY678" s="448" t="str">
        <f>_xlfn.IFNA(VLOOKUP($BK678,Programma!$F$3:$T$1101,15,0),"")</f>
        <v/>
      </c>
      <c r="BZ678" s="448" t="str">
        <f>_xlfn.IFNA(VLOOKUP($BK678,Programma!$F$3:$U$1101,16,0),"")</f>
        <v/>
      </c>
      <c r="CA678" s="448" t="str">
        <f>_xlfn.IFNA(VLOOKUP($BK678,Programma!$F$3:$V$1101,17,0),"")</f>
        <v/>
      </c>
      <c r="CB678" s="448" t="str">
        <f>_xlfn.IFNA(VLOOKUP($BK678,Programma!$F$3:$W$1101,18,0),"")</f>
        <v/>
      </c>
      <c r="CC678" s="448" t="str">
        <f>_xlfn.IFNA(VLOOKUP($BK678,Programma!$F$3:$X$1101,19,0),"")</f>
        <v/>
      </c>
      <c r="CD678" s="448" t="str">
        <f>_xlfn.IFNA(VLOOKUP($BK678,Programma!$F$3:$Y$1101,20,0),"")</f>
        <v/>
      </c>
    </row>
    <row r="679" spans="1:82" ht="15" customHeight="1">
      <c r="A679" s="327">
        <v>15</v>
      </c>
      <c r="B679" s="435" t="str">
        <f>VLOOKUP(Ruimtestaat[[#This Row],[Code]],Locaties[[Code]:[Locatie]],2,FALSE)</f>
        <v>IKC  Da Vinci</v>
      </c>
      <c r="C679" s="435" t="str">
        <f>VLOOKUP(Ruimtestaat[[#This Row],[Code]],Locaties[[#All],[Code]:[Adres]],4,FALSE)</f>
        <v>Spitsbergen 17</v>
      </c>
      <c r="D679" s="435" t="str">
        <f>VLOOKUP(Ruimtestaat[[#This Row],[Code]],Locaties[[#All],[Code]:[Postcode]],5,FALSE)</f>
        <v>2721 GP</v>
      </c>
      <c r="E679" s="435" t="str">
        <f>VLOOKUP(Ruimtestaat[[#This Row],[Code]],Locaties[#All],6,FALSE)</f>
        <v>Zoetermeer</v>
      </c>
      <c r="F679" s="330" t="s">
        <v>2154</v>
      </c>
      <c r="I679" s="450" t="s">
        <v>1983</v>
      </c>
      <c r="J679" s="330">
        <v>20</v>
      </c>
      <c r="K679" s="450" t="str">
        <f>VLOOKUP(Ruimtestaat[[#This Row],[Ruimte code]],Ruimtegroepen[[#All],[Code]:[Ruimte omschrijving]],2,FALSE)</f>
        <v>Niet in Onderhoud</v>
      </c>
      <c r="M679" s="330"/>
      <c r="N679" s="439"/>
      <c r="O679" s="439">
        <v>53</v>
      </c>
      <c r="P679" s="439"/>
      <c r="Q679" s="439"/>
      <c r="R679" s="440">
        <f>VLOOKUP(Ruimtestaat[[#This Row],[Ruimte code]],Ruimtegroepen[],4,FALSE)</f>
        <v>0</v>
      </c>
      <c r="S679" s="434"/>
      <c r="T679" s="434"/>
      <c r="U679" s="453">
        <f>IF(S679&gt;0,IF(RIGHT(Ruimtestaat[[#This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9" s="434">
        <f>IF(U679&gt;0,VLOOKUP($J679,Ruimtegroepen[],3,FALSE)*VLOOKUP($L679,Vloersoorten[],3,FALSE)*VLOOKUP($T679,Frequenties[],3,FALSE)*VLOOKUP($A679,Locaties[],3,FALSE),0)</f>
        <v>0</v>
      </c>
      <c r="W679" s="434">
        <f>Ruimtestaat[[#This Row],[Uitvoeringen werkdagen]]*Ruimtestaat[[#This Row],[Oppervlak (netto)]]</f>
        <v>0</v>
      </c>
      <c r="X679" s="441">
        <f>IF(V679&gt;0,Ruimtestaat[[#This Row],[Prest. (m2 /jaar) werkdagen]]/Ruimtestaat[[#This Row],[Norm (m2/uur) werkdagen]],0)</f>
        <v>0</v>
      </c>
      <c r="Y679" s="442">
        <f>Ruimtestaat[[#This Row],[Uitvoeringen werkdagen]]*Ruimtestaat[[#This Row],[Gedeeltelijk]]</f>
        <v>0</v>
      </c>
      <c r="Z679" s="443">
        <f>IF(U679&gt;0,Ruimtestaat[[#This Row],[Prest. (m2 / jaar) werkdagen gedeeld]]/Ruimtestaat[[#This Row],[Norm (m2/uur) werkdagen]],0)</f>
        <v>0</v>
      </c>
      <c r="AA679" s="441">
        <f>Ruimtestaat[[#This Row],[uren / jaar werkdagen gedeeld]]*Tariefsopbouw!$E$35</f>
        <v>0</v>
      </c>
      <c r="AB679" s="441">
        <f>Ruimtestaat[[#This Row],[Uitvoeringen werkdagen]]*Ruimtestaat[[#This Row],[BSO]]</f>
        <v>0</v>
      </c>
      <c r="AC679" s="443">
        <f>IF(U679&gt;0,Ruimtestaat[[#This Row],[Prest. (m2 / jaar) werkdagen BSO]]/Ruimtestaat[[#This Row],[Norm (m2/uur) werkdagen]],0)</f>
        <v>0</v>
      </c>
      <c r="AD679" s="443">
        <f>Ruimtestaat[[#This Row],[uren / jaar werkdagen BSO]]*Tariefsopbouw!$E$35</f>
        <v>0</v>
      </c>
      <c r="AE679" s="444">
        <f>Ruimtestaat[[#This Row],[uren / jaar werkdagen]]*Tariefsopbouw!$E$35</f>
        <v>0</v>
      </c>
      <c r="AF679" s="454"/>
      <c r="AG679" s="455">
        <f>IF(Ruimtestaat[[#This Row],[Frequentie weekend]]&gt;0,VALUE(LEFT(AF679,1))*S679,0)</f>
        <v>0</v>
      </c>
      <c r="AH679" s="455">
        <f>IF($AG679&gt;0,VLOOKUP($J679,Ruimtegroepen[],3,FALSE)*VLOOKUP($L679,Vloersoorten[],3,FALSE)*VLOOKUP($AF679,Frequenties[],3,FALSE)*VLOOKUP(#REF!,Locaties[],3,FALSE),0)</f>
        <v>0</v>
      </c>
      <c r="AI679" s="434">
        <f>Ruimtestaat[[#This Row],[Uitvoeringen weekend]]*Ruimtestaat[[#This Row],[Oppervlak (netto)]]</f>
        <v>0</v>
      </c>
      <c r="AJ679" s="434">
        <f>IF(AH679&gt;0,Ruimtestaat[[#This Row],[Prest. (m2 /jaar) weekend]]/Ruimtestaat[[#This Row],[Norm (m2/uur) weekend]],0)</f>
        <v>0</v>
      </c>
      <c r="AK679" s="444">
        <f>Ruimtestaat[[#This Row],[uren / jaar weekend]]*Tariefsopbouw!$D$40</f>
        <v>0</v>
      </c>
      <c r="AL679" s="441">
        <f>Ruimtestaat[[#This Row],[Prest. (m2 /jaar) weekend]]+Ruimtestaat[[#This Row],[Prest. (m2 /jaar) werkdagen]]</f>
        <v>0</v>
      </c>
      <c r="AM679" s="441">
        <f>Ruimtestaat[[#This Row],[uren / jaar weekend]]+Ruimtestaat[[#This Row],[uren / jaar werkdagen]]</f>
        <v>0</v>
      </c>
      <c r="AN679" s="446">
        <f>Ruimtestaat[[#This Row],[kosten / jaar weekend]]+Ruimtestaat[[#This Row],[kosten / jaar werkdagen]]</f>
        <v>0</v>
      </c>
      <c r="AO679" s="446"/>
      <c r="AP679" s="446" t="str">
        <f>IF(Ruimtestaat[[#This Row],[Frequentie werkdagen]]="","",_xlfn.CONCAT(Ruimtestaat[[#This Row],[Ruimte code]],"-",Ruimtestaat[[#This Row],[Frequentie werkdagen]]," ",Ruimtestaat[[#This Row],[Vloer code]]))</f>
        <v/>
      </c>
      <c r="AQ679" s="448" t="str">
        <f>_xlfn.IFNA(VLOOKUP($AP679,Programma!$F$3:$G$1101,2,0),"")</f>
        <v/>
      </c>
      <c r="AR679" s="448" t="str">
        <f>_xlfn.IFNA(VLOOKUP($AP679,Programma!$F$3:$H$1101,3,0),"")</f>
        <v/>
      </c>
      <c r="AS679" s="448" t="str">
        <f>_xlfn.IFNA(VLOOKUP($AP679,Programma!$F$3:$I$1101,4,0),"")</f>
        <v/>
      </c>
      <c r="AT679" s="448" t="str">
        <f>_xlfn.IFNA(VLOOKUP($AP679,Programma!$F$3:$J$1101,5,0),"")</f>
        <v/>
      </c>
      <c r="AU679" s="448" t="str">
        <f>_xlfn.IFNA(VLOOKUP($AP679,Programma!$F$3:$K$1101,6,0),"")</f>
        <v/>
      </c>
      <c r="AV679" s="448" t="str">
        <f>_xlfn.IFNA(VLOOKUP($AP679,Programma!$F$3:$L$1101,7,0),"")</f>
        <v/>
      </c>
      <c r="AW679" s="448" t="str">
        <f>_xlfn.IFNA(VLOOKUP($AP679,Programma!$F$3:$M$1101,8,0),"")</f>
        <v/>
      </c>
      <c r="AX679" s="448" t="str">
        <f>_xlfn.IFNA(VLOOKUP($AP679,Programma!$F$3:$N$1101,9,0),"")</f>
        <v/>
      </c>
      <c r="AY679" s="448" t="str">
        <f>_xlfn.IFNA(VLOOKUP($AP679,Programma!$F$3:$O$1101,10,0),"")</f>
        <v/>
      </c>
      <c r="AZ679" s="448" t="str">
        <f>_xlfn.IFNA(VLOOKUP($AP679,Programma!$F$3:$P$1101,11,0),"")</f>
        <v/>
      </c>
      <c r="BA679" s="448" t="str">
        <f>_xlfn.IFNA(VLOOKUP($AP679,Programma!$F$3:$Q$1101,12,0),"")</f>
        <v/>
      </c>
      <c r="BB679" s="448" t="str">
        <f>_xlfn.IFNA(VLOOKUP($AP679,Programma!$F$3:$R$1101,13,0),"")</f>
        <v/>
      </c>
      <c r="BC679" s="448" t="str">
        <f>_xlfn.IFNA(VLOOKUP($AP679,Programma!$F$3:$S$1101,14,0),"")</f>
        <v/>
      </c>
      <c r="BD679" s="448" t="str">
        <f>_xlfn.IFNA(VLOOKUP($AP679,Programma!$F$3:$T$1101,15,0),"")</f>
        <v/>
      </c>
      <c r="BE679" s="448" t="str">
        <f>_xlfn.IFNA(VLOOKUP($AP679,Programma!$F$3:$U$1101,16,0),"")</f>
        <v/>
      </c>
      <c r="BF679" s="448" t="str">
        <f>_xlfn.IFNA(VLOOKUP($AP679,Programma!$F$3:$V$1101,17,0),"")</f>
        <v/>
      </c>
      <c r="BG679" s="448" t="str">
        <f>_xlfn.IFNA(VLOOKUP($AP679,Programma!$F$3:$W$1101,18,0),"")</f>
        <v/>
      </c>
      <c r="BH679" s="448" t="str">
        <f>_xlfn.IFNA(VLOOKUP($AP679,Programma!$F$3:$X$1101,19,0),"")</f>
        <v/>
      </c>
      <c r="BI679" s="448" t="str">
        <f>_xlfn.IFNA(VLOOKUP($AP679,Programma!$F$3:$Y$1101,20,0),"")</f>
        <v/>
      </c>
      <c r="BJ679" s="449"/>
      <c r="BK679" s="446" t="str">
        <f>IF(Ruimtestaat[[#This Row],[Frequentie weekend]]="","",_xlfn.CONCAT(Ruimtestaat[[#This Row],[Ruimte code]],"-",Ruimtestaat[[#This Row],[Frequentie weekend]]," ",Ruimtestaat[[#This Row],[Vloer code]]))</f>
        <v/>
      </c>
      <c r="BL679" s="448" t="str">
        <f>_xlfn.IFNA(VLOOKUP($BK679,Programma!$F$3:$G$1101,2,0),"")</f>
        <v/>
      </c>
      <c r="BM679" s="448" t="str">
        <f>_xlfn.IFNA(VLOOKUP($BK679,Programma!$F$3:$H$1101,3,0),"")</f>
        <v/>
      </c>
      <c r="BN679" s="448" t="str">
        <f>_xlfn.IFNA(VLOOKUP($BK679,Programma!$F$3:$I$1101,4,0),"")</f>
        <v/>
      </c>
      <c r="BO679" s="448" t="str">
        <f>_xlfn.IFNA(VLOOKUP($BK679,Programma!$F$3:$J$1101,5,0),"")</f>
        <v/>
      </c>
      <c r="BP679" s="448" t="str">
        <f>_xlfn.IFNA(VLOOKUP($BK679,Programma!$F$3:$K$1101,6,0),"")</f>
        <v/>
      </c>
      <c r="BQ679" s="448" t="str">
        <f>_xlfn.IFNA(VLOOKUP($BK679,Programma!$F$3:$L$1101,7,0),"")</f>
        <v/>
      </c>
      <c r="BR679" s="448" t="str">
        <f>_xlfn.IFNA(VLOOKUP($BK679,Programma!$F$3:$M$1101,8,0),"")</f>
        <v/>
      </c>
      <c r="BS679" s="448" t="str">
        <f>_xlfn.IFNA(VLOOKUP($BK679,Programma!$F$3:$N$1101,9,0),"")</f>
        <v/>
      </c>
      <c r="BT679" s="448" t="str">
        <f>_xlfn.IFNA(VLOOKUP($BK679,Programma!$F$3:$O$1101,10,0),"")</f>
        <v/>
      </c>
      <c r="BU679" s="448" t="str">
        <f>_xlfn.IFNA(VLOOKUP($BK679,Programma!$F$3:$P$1101,11,0),"")</f>
        <v/>
      </c>
      <c r="BV679" s="448" t="str">
        <f>_xlfn.IFNA(VLOOKUP($BK679,Programma!$F$3:$Q$1101,12,0),"")</f>
        <v/>
      </c>
      <c r="BW679" s="448" t="str">
        <f>_xlfn.IFNA(VLOOKUP($BK679,Programma!$F$3:$R$1101,13,0),"")</f>
        <v/>
      </c>
      <c r="BX679" s="448" t="str">
        <f>_xlfn.IFNA(VLOOKUP($BK679,Programma!$F$3:$S$1101,14,0),"")</f>
        <v/>
      </c>
      <c r="BY679" s="448" t="str">
        <f>_xlfn.IFNA(VLOOKUP($BK679,Programma!$F$3:$T$1101,15,0),"")</f>
        <v/>
      </c>
      <c r="BZ679" s="448" t="str">
        <f>_xlfn.IFNA(VLOOKUP($BK679,Programma!$F$3:$U$1101,16,0),"")</f>
        <v/>
      </c>
      <c r="CA679" s="448" t="str">
        <f>_xlfn.IFNA(VLOOKUP($BK679,Programma!$F$3:$V$1101,17,0),"")</f>
        <v/>
      </c>
      <c r="CB679" s="448" t="str">
        <f>_xlfn.IFNA(VLOOKUP($BK679,Programma!$F$3:$W$1101,18,0),"")</f>
        <v/>
      </c>
      <c r="CC679" s="448" t="str">
        <f>_xlfn.IFNA(VLOOKUP($BK679,Programma!$F$3:$X$1101,19,0),"")</f>
        <v/>
      </c>
      <c r="CD679" s="448" t="str">
        <f>_xlfn.IFNA(VLOOKUP($BK679,Programma!$F$3:$Y$1101,20,0),"")</f>
        <v/>
      </c>
    </row>
    <row r="680" spans="1:82" ht="15" customHeight="1">
      <c r="A680" s="327">
        <v>15</v>
      </c>
      <c r="B680" s="435" t="str">
        <f>VLOOKUP(Ruimtestaat[[#This Row],[Code]],Locaties[[Code]:[Locatie]],2,FALSE)</f>
        <v>IKC  Da Vinci</v>
      </c>
      <c r="C680" s="435" t="str">
        <f>VLOOKUP(Ruimtestaat[[#This Row],[Code]],Locaties[[#All],[Code]:[Adres]],4,FALSE)</f>
        <v>Spitsbergen 17</v>
      </c>
      <c r="D680" s="435" t="str">
        <f>VLOOKUP(Ruimtestaat[[#This Row],[Code]],Locaties[[#All],[Code]:[Postcode]],5,FALSE)</f>
        <v>2721 GP</v>
      </c>
      <c r="E680" s="435" t="str">
        <f>VLOOKUP(Ruimtestaat[[#This Row],[Code]],Locaties[#All],6,FALSE)</f>
        <v>Zoetermeer</v>
      </c>
      <c r="F680" s="330" t="s">
        <v>2154</v>
      </c>
      <c r="I680" s="450" t="s">
        <v>1983</v>
      </c>
      <c r="J680" s="330">
        <v>20</v>
      </c>
      <c r="K680" s="450" t="str">
        <f>VLOOKUP(Ruimtestaat[[#This Row],[Ruimte code]],Ruimtegroepen[[#All],[Code]:[Ruimte omschrijving]],2,FALSE)</f>
        <v>Niet in Onderhoud</v>
      </c>
      <c r="M680" s="330"/>
      <c r="N680" s="439"/>
      <c r="O680" s="439">
        <v>53</v>
      </c>
      <c r="P680" s="439"/>
      <c r="Q680" s="439"/>
      <c r="R680" s="440">
        <f>VLOOKUP(Ruimtestaat[[#This Row],[Ruimte code]],Ruimtegroepen[],4,FALSE)</f>
        <v>0</v>
      </c>
      <c r="S680" s="434"/>
      <c r="T680" s="434"/>
      <c r="U680" s="453">
        <f>IF(S680&gt;0,IF(RIGHT(Ruimtestaat[[#This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0" s="434">
        <f>IF(U680&gt;0,VLOOKUP($J680,Ruimtegroepen[],3,FALSE)*VLOOKUP($L680,Vloersoorten[],3,FALSE)*VLOOKUP($T680,Frequenties[],3,FALSE)*VLOOKUP($A680,Locaties[],3,FALSE),0)</f>
        <v>0</v>
      </c>
      <c r="W680" s="434">
        <f>Ruimtestaat[[#This Row],[Uitvoeringen werkdagen]]*Ruimtestaat[[#This Row],[Oppervlak (netto)]]</f>
        <v>0</v>
      </c>
      <c r="X680" s="441">
        <f>IF(V680&gt;0,Ruimtestaat[[#This Row],[Prest. (m2 /jaar) werkdagen]]/Ruimtestaat[[#This Row],[Norm (m2/uur) werkdagen]],0)</f>
        <v>0</v>
      </c>
      <c r="Y680" s="442">
        <f>Ruimtestaat[[#This Row],[Uitvoeringen werkdagen]]*Ruimtestaat[[#This Row],[Gedeeltelijk]]</f>
        <v>0</v>
      </c>
      <c r="Z680" s="443">
        <f>IF(U680&gt;0,Ruimtestaat[[#This Row],[Prest. (m2 / jaar) werkdagen gedeeld]]/Ruimtestaat[[#This Row],[Norm (m2/uur) werkdagen]],0)</f>
        <v>0</v>
      </c>
      <c r="AA680" s="441">
        <f>Ruimtestaat[[#This Row],[uren / jaar werkdagen gedeeld]]*Tariefsopbouw!$E$35</f>
        <v>0</v>
      </c>
      <c r="AB680" s="441">
        <f>Ruimtestaat[[#This Row],[Uitvoeringen werkdagen]]*Ruimtestaat[[#This Row],[BSO]]</f>
        <v>0</v>
      </c>
      <c r="AC680" s="443">
        <f>IF(U680&gt;0,Ruimtestaat[[#This Row],[Prest. (m2 / jaar) werkdagen BSO]]/Ruimtestaat[[#This Row],[Norm (m2/uur) werkdagen]],0)</f>
        <v>0</v>
      </c>
      <c r="AD680" s="443">
        <f>Ruimtestaat[[#This Row],[uren / jaar werkdagen BSO]]*Tariefsopbouw!$E$35</f>
        <v>0</v>
      </c>
      <c r="AE680" s="444">
        <f>Ruimtestaat[[#This Row],[uren / jaar werkdagen]]*Tariefsopbouw!$E$35</f>
        <v>0</v>
      </c>
      <c r="AF680" s="454"/>
      <c r="AG680" s="455">
        <f>IF(Ruimtestaat[[#This Row],[Frequentie weekend]]&gt;0,VALUE(LEFT(AF680,1))*S680,0)</f>
        <v>0</v>
      </c>
      <c r="AH680" s="455">
        <f>IF($AG680&gt;0,VLOOKUP($J680,Ruimtegroepen[],3,FALSE)*VLOOKUP($L680,Vloersoorten[],3,FALSE)*VLOOKUP($AF680,Frequenties[],3,FALSE)*VLOOKUP(#REF!,Locaties[],3,FALSE),0)</f>
        <v>0</v>
      </c>
      <c r="AI680" s="434">
        <f>Ruimtestaat[[#This Row],[Uitvoeringen weekend]]*Ruimtestaat[[#This Row],[Oppervlak (netto)]]</f>
        <v>0</v>
      </c>
      <c r="AJ680" s="434">
        <f>IF(AH680&gt;0,Ruimtestaat[[#This Row],[Prest. (m2 /jaar) weekend]]/Ruimtestaat[[#This Row],[Norm (m2/uur) weekend]],0)</f>
        <v>0</v>
      </c>
      <c r="AK680" s="444">
        <f>Ruimtestaat[[#This Row],[uren / jaar weekend]]*Tariefsopbouw!$D$40</f>
        <v>0</v>
      </c>
      <c r="AL680" s="441">
        <f>Ruimtestaat[[#This Row],[Prest. (m2 /jaar) weekend]]+Ruimtestaat[[#This Row],[Prest. (m2 /jaar) werkdagen]]</f>
        <v>0</v>
      </c>
      <c r="AM680" s="441">
        <f>Ruimtestaat[[#This Row],[uren / jaar weekend]]+Ruimtestaat[[#This Row],[uren / jaar werkdagen]]</f>
        <v>0</v>
      </c>
      <c r="AN680" s="446">
        <f>Ruimtestaat[[#This Row],[kosten / jaar weekend]]+Ruimtestaat[[#This Row],[kosten / jaar werkdagen]]</f>
        <v>0</v>
      </c>
      <c r="AO680" s="446"/>
      <c r="AP680" s="446" t="str">
        <f>IF(Ruimtestaat[[#This Row],[Frequentie werkdagen]]="","",_xlfn.CONCAT(Ruimtestaat[[#This Row],[Ruimte code]],"-",Ruimtestaat[[#This Row],[Frequentie werkdagen]]," ",Ruimtestaat[[#This Row],[Vloer code]]))</f>
        <v/>
      </c>
      <c r="AQ680" s="448" t="str">
        <f>_xlfn.IFNA(VLOOKUP($AP680,Programma!$F$3:$G$1101,2,0),"")</f>
        <v/>
      </c>
      <c r="AR680" s="448" t="str">
        <f>_xlfn.IFNA(VLOOKUP($AP680,Programma!$F$3:$H$1101,3,0),"")</f>
        <v/>
      </c>
      <c r="AS680" s="448" t="str">
        <f>_xlfn.IFNA(VLOOKUP($AP680,Programma!$F$3:$I$1101,4,0),"")</f>
        <v/>
      </c>
      <c r="AT680" s="448" t="str">
        <f>_xlfn.IFNA(VLOOKUP($AP680,Programma!$F$3:$J$1101,5,0),"")</f>
        <v/>
      </c>
      <c r="AU680" s="448" t="str">
        <f>_xlfn.IFNA(VLOOKUP($AP680,Programma!$F$3:$K$1101,6,0),"")</f>
        <v/>
      </c>
      <c r="AV680" s="448" t="str">
        <f>_xlfn.IFNA(VLOOKUP($AP680,Programma!$F$3:$L$1101,7,0),"")</f>
        <v/>
      </c>
      <c r="AW680" s="448" t="str">
        <f>_xlfn.IFNA(VLOOKUP($AP680,Programma!$F$3:$M$1101,8,0),"")</f>
        <v/>
      </c>
      <c r="AX680" s="448" t="str">
        <f>_xlfn.IFNA(VLOOKUP($AP680,Programma!$F$3:$N$1101,9,0),"")</f>
        <v/>
      </c>
      <c r="AY680" s="448" t="str">
        <f>_xlfn.IFNA(VLOOKUP($AP680,Programma!$F$3:$O$1101,10,0),"")</f>
        <v/>
      </c>
      <c r="AZ680" s="448" t="str">
        <f>_xlfn.IFNA(VLOOKUP($AP680,Programma!$F$3:$P$1101,11,0),"")</f>
        <v/>
      </c>
      <c r="BA680" s="448" t="str">
        <f>_xlfn.IFNA(VLOOKUP($AP680,Programma!$F$3:$Q$1101,12,0),"")</f>
        <v/>
      </c>
      <c r="BB680" s="448" t="str">
        <f>_xlfn.IFNA(VLOOKUP($AP680,Programma!$F$3:$R$1101,13,0),"")</f>
        <v/>
      </c>
      <c r="BC680" s="448" t="str">
        <f>_xlfn.IFNA(VLOOKUP($AP680,Programma!$F$3:$S$1101,14,0),"")</f>
        <v/>
      </c>
      <c r="BD680" s="448" t="str">
        <f>_xlfn.IFNA(VLOOKUP($AP680,Programma!$F$3:$T$1101,15,0),"")</f>
        <v/>
      </c>
      <c r="BE680" s="448" t="str">
        <f>_xlfn.IFNA(VLOOKUP($AP680,Programma!$F$3:$U$1101,16,0),"")</f>
        <v/>
      </c>
      <c r="BF680" s="448" t="str">
        <f>_xlfn.IFNA(VLOOKUP($AP680,Programma!$F$3:$V$1101,17,0),"")</f>
        <v/>
      </c>
      <c r="BG680" s="448" t="str">
        <f>_xlfn.IFNA(VLOOKUP($AP680,Programma!$F$3:$W$1101,18,0),"")</f>
        <v/>
      </c>
      <c r="BH680" s="448" t="str">
        <f>_xlfn.IFNA(VLOOKUP($AP680,Programma!$F$3:$X$1101,19,0),"")</f>
        <v/>
      </c>
      <c r="BI680" s="448" t="str">
        <f>_xlfn.IFNA(VLOOKUP($AP680,Programma!$F$3:$Y$1101,20,0),"")</f>
        <v/>
      </c>
      <c r="BJ680" s="449"/>
      <c r="BK680" s="446" t="str">
        <f>IF(Ruimtestaat[[#This Row],[Frequentie weekend]]="","",_xlfn.CONCAT(Ruimtestaat[[#This Row],[Ruimte code]],"-",Ruimtestaat[[#This Row],[Frequentie weekend]]," ",Ruimtestaat[[#This Row],[Vloer code]]))</f>
        <v/>
      </c>
      <c r="BL680" s="448" t="str">
        <f>_xlfn.IFNA(VLOOKUP($BK680,Programma!$F$3:$G$1101,2,0),"")</f>
        <v/>
      </c>
      <c r="BM680" s="448" t="str">
        <f>_xlfn.IFNA(VLOOKUP($BK680,Programma!$F$3:$H$1101,3,0),"")</f>
        <v/>
      </c>
      <c r="BN680" s="448" t="str">
        <f>_xlfn.IFNA(VLOOKUP($BK680,Programma!$F$3:$I$1101,4,0),"")</f>
        <v/>
      </c>
      <c r="BO680" s="448" t="str">
        <f>_xlfn.IFNA(VLOOKUP($BK680,Programma!$F$3:$J$1101,5,0),"")</f>
        <v/>
      </c>
      <c r="BP680" s="448" t="str">
        <f>_xlfn.IFNA(VLOOKUP($BK680,Programma!$F$3:$K$1101,6,0),"")</f>
        <v/>
      </c>
      <c r="BQ680" s="448" t="str">
        <f>_xlfn.IFNA(VLOOKUP($BK680,Programma!$F$3:$L$1101,7,0),"")</f>
        <v/>
      </c>
      <c r="BR680" s="448" t="str">
        <f>_xlfn.IFNA(VLOOKUP($BK680,Programma!$F$3:$M$1101,8,0),"")</f>
        <v/>
      </c>
      <c r="BS680" s="448" t="str">
        <f>_xlfn.IFNA(VLOOKUP($BK680,Programma!$F$3:$N$1101,9,0),"")</f>
        <v/>
      </c>
      <c r="BT680" s="448" t="str">
        <f>_xlfn.IFNA(VLOOKUP($BK680,Programma!$F$3:$O$1101,10,0),"")</f>
        <v/>
      </c>
      <c r="BU680" s="448" t="str">
        <f>_xlfn.IFNA(VLOOKUP($BK680,Programma!$F$3:$P$1101,11,0),"")</f>
        <v/>
      </c>
      <c r="BV680" s="448" t="str">
        <f>_xlfn.IFNA(VLOOKUP($BK680,Programma!$F$3:$Q$1101,12,0),"")</f>
        <v/>
      </c>
      <c r="BW680" s="448" t="str">
        <f>_xlfn.IFNA(VLOOKUP($BK680,Programma!$F$3:$R$1101,13,0),"")</f>
        <v/>
      </c>
      <c r="BX680" s="448" t="str">
        <f>_xlfn.IFNA(VLOOKUP($BK680,Programma!$F$3:$S$1101,14,0),"")</f>
        <v/>
      </c>
      <c r="BY680" s="448" t="str">
        <f>_xlfn.IFNA(VLOOKUP($BK680,Programma!$F$3:$T$1101,15,0),"")</f>
        <v/>
      </c>
      <c r="BZ680" s="448" t="str">
        <f>_xlfn.IFNA(VLOOKUP($BK680,Programma!$F$3:$U$1101,16,0),"")</f>
        <v/>
      </c>
      <c r="CA680" s="448" t="str">
        <f>_xlfn.IFNA(VLOOKUP($BK680,Programma!$F$3:$V$1101,17,0),"")</f>
        <v/>
      </c>
      <c r="CB680" s="448" t="str">
        <f>_xlfn.IFNA(VLOOKUP($BK680,Programma!$F$3:$W$1101,18,0),"")</f>
        <v/>
      </c>
      <c r="CC680" s="448" t="str">
        <f>_xlfn.IFNA(VLOOKUP($BK680,Programma!$F$3:$X$1101,19,0),"")</f>
        <v/>
      </c>
      <c r="CD680" s="448" t="str">
        <f>_xlfn.IFNA(VLOOKUP($BK680,Programma!$F$3:$Y$1101,20,0),"")</f>
        <v/>
      </c>
    </row>
    <row r="681" spans="1:82" ht="15" customHeight="1">
      <c r="A681" s="327">
        <v>15</v>
      </c>
      <c r="B681" s="435" t="str">
        <f>VLOOKUP(Ruimtestaat[[#This Row],[Code]],Locaties[[Code]:[Locatie]],2,FALSE)</f>
        <v>IKC  Da Vinci</v>
      </c>
      <c r="C681" s="435" t="str">
        <f>VLOOKUP(Ruimtestaat[[#This Row],[Code]],Locaties[[#All],[Code]:[Adres]],4,FALSE)</f>
        <v>Spitsbergen 17</v>
      </c>
      <c r="D681" s="435" t="str">
        <f>VLOOKUP(Ruimtestaat[[#This Row],[Code]],Locaties[[#All],[Code]:[Postcode]],5,FALSE)</f>
        <v>2721 GP</v>
      </c>
      <c r="E681" s="435" t="str">
        <f>VLOOKUP(Ruimtestaat[[#This Row],[Code]],Locaties[#All],6,FALSE)</f>
        <v>Zoetermeer</v>
      </c>
      <c r="F681" s="330" t="s">
        <v>2154</v>
      </c>
      <c r="I681" s="450" t="s">
        <v>1983</v>
      </c>
      <c r="J681" s="330">
        <v>20</v>
      </c>
      <c r="K681" s="450" t="str">
        <f>VLOOKUP(Ruimtestaat[[#This Row],[Ruimte code]],Ruimtegroepen[[#All],[Code]:[Ruimte omschrijving]],2,FALSE)</f>
        <v>Niet in Onderhoud</v>
      </c>
      <c r="M681" s="330"/>
      <c r="N681" s="439"/>
      <c r="O681" s="439">
        <v>53</v>
      </c>
      <c r="P681" s="439"/>
      <c r="Q681" s="439"/>
      <c r="R681" s="440">
        <f>VLOOKUP(Ruimtestaat[[#This Row],[Ruimte code]],Ruimtegroepen[],4,FALSE)</f>
        <v>0</v>
      </c>
      <c r="S681" s="434"/>
      <c r="T681" s="434"/>
      <c r="U681" s="453">
        <f>IF(S681&gt;0,IF(RIGHT(Ruimtestaat[[#This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1" s="434">
        <f>IF(U681&gt;0,VLOOKUP($J681,Ruimtegroepen[],3,FALSE)*VLOOKUP($L681,Vloersoorten[],3,FALSE)*VLOOKUP($T681,Frequenties[],3,FALSE)*VLOOKUP($A681,Locaties[],3,FALSE),0)</f>
        <v>0</v>
      </c>
      <c r="W681" s="434">
        <f>Ruimtestaat[[#This Row],[Uitvoeringen werkdagen]]*Ruimtestaat[[#This Row],[Oppervlak (netto)]]</f>
        <v>0</v>
      </c>
      <c r="X681" s="441">
        <f>IF(V681&gt;0,Ruimtestaat[[#This Row],[Prest. (m2 /jaar) werkdagen]]/Ruimtestaat[[#This Row],[Norm (m2/uur) werkdagen]],0)</f>
        <v>0</v>
      </c>
      <c r="Y681" s="442">
        <f>Ruimtestaat[[#This Row],[Uitvoeringen werkdagen]]*Ruimtestaat[[#This Row],[Gedeeltelijk]]</f>
        <v>0</v>
      </c>
      <c r="Z681" s="443">
        <f>IF(U681&gt;0,Ruimtestaat[[#This Row],[Prest. (m2 / jaar) werkdagen gedeeld]]/Ruimtestaat[[#This Row],[Norm (m2/uur) werkdagen]],0)</f>
        <v>0</v>
      </c>
      <c r="AA681" s="441">
        <f>Ruimtestaat[[#This Row],[uren / jaar werkdagen gedeeld]]*Tariefsopbouw!$E$35</f>
        <v>0</v>
      </c>
      <c r="AB681" s="441">
        <f>Ruimtestaat[[#This Row],[Uitvoeringen werkdagen]]*Ruimtestaat[[#This Row],[BSO]]</f>
        <v>0</v>
      </c>
      <c r="AC681" s="443">
        <f>IF(U681&gt;0,Ruimtestaat[[#This Row],[Prest. (m2 / jaar) werkdagen BSO]]/Ruimtestaat[[#This Row],[Norm (m2/uur) werkdagen]],0)</f>
        <v>0</v>
      </c>
      <c r="AD681" s="443">
        <f>Ruimtestaat[[#This Row],[uren / jaar werkdagen BSO]]*Tariefsopbouw!$E$35</f>
        <v>0</v>
      </c>
      <c r="AE681" s="444">
        <f>Ruimtestaat[[#This Row],[uren / jaar werkdagen]]*Tariefsopbouw!$E$35</f>
        <v>0</v>
      </c>
      <c r="AF681" s="454"/>
      <c r="AG681" s="455">
        <f>IF(Ruimtestaat[[#This Row],[Frequentie weekend]]&gt;0,VALUE(LEFT(AF681,1))*S681,0)</f>
        <v>0</v>
      </c>
      <c r="AH681" s="455">
        <f>IF($AG681&gt;0,VLOOKUP($J681,Ruimtegroepen[],3,FALSE)*VLOOKUP($L681,Vloersoorten[],3,FALSE)*VLOOKUP($AF681,Frequenties[],3,FALSE)*VLOOKUP(#REF!,Locaties[],3,FALSE),0)</f>
        <v>0</v>
      </c>
      <c r="AI681" s="434">
        <f>Ruimtestaat[[#This Row],[Uitvoeringen weekend]]*Ruimtestaat[[#This Row],[Oppervlak (netto)]]</f>
        <v>0</v>
      </c>
      <c r="AJ681" s="434">
        <f>IF(AH681&gt;0,Ruimtestaat[[#This Row],[Prest. (m2 /jaar) weekend]]/Ruimtestaat[[#This Row],[Norm (m2/uur) weekend]],0)</f>
        <v>0</v>
      </c>
      <c r="AK681" s="444">
        <f>Ruimtestaat[[#This Row],[uren / jaar weekend]]*Tariefsopbouw!$D$40</f>
        <v>0</v>
      </c>
      <c r="AL681" s="441">
        <f>Ruimtestaat[[#This Row],[Prest. (m2 /jaar) weekend]]+Ruimtestaat[[#This Row],[Prest. (m2 /jaar) werkdagen]]</f>
        <v>0</v>
      </c>
      <c r="AM681" s="441">
        <f>Ruimtestaat[[#This Row],[uren / jaar weekend]]+Ruimtestaat[[#This Row],[uren / jaar werkdagen]]</f>
        <v>0</v>
      </c>
      <c r="AN681" s="446">
        <f>Ruimtestaat[[#This Row],[kosten / jaar weekend]]+Ruimtestaat[[#This Row],[kosten / jaar werkdagen]]</f>
        <v>0</v>
      </c>
      <c r="AO681" s="446"/>
      <c r="AP681" s="446" t="str">
        <f>IF(Ruimtestaat[[#This Row],[Frequentie werkdagen]]="","",_xlfn.CONCAT(Ruimtestaat[[#This Row],[Ruimte code]],"-",Ruimtestaat[[#This Row],[Frequentie werkdagen]]," ",Ruimtestaat[[#This Row],[Vloer code]]))</f>
        <v/>
      </c>
      <c r="AQ681" s="448" t="str">
        <f>_xlfn.IFNA(VLOOKUP($AP681,Programma!$F$3:$G$1101,2,0),"")</f>
        <v/>
      </c>
      <c r="AR681" s="448" t="str">
        <f>_xlfn.IFNA(VLOOKUP($AP681,Programma!$F$3:$H$1101,3,0),"")</f>
        <v/>
      </c>
      <c r="AS681" s="448" t="str">
        <f>_xlfn.IFNA(VLOOKUP($AP681,Programma!$F$3:$I$1101,4,0),"")</f>
        <v/>
      </c>
      <c r="AT681" s="448" t="str">
        <f>_xlfn.IFNA(VLOOKUP($AP681,Programma!$F$3:$J$1101,5,0),"")</f>
        <v/>
      </c>
      <c r="AU681" s="448" t="str">
        <f>_xlfn.IFNA(VLOOKUP($AP681,Programma!$F$3:$K$1101,6,0),"")</f>
        <v/>
      </c>
      <c r="AV681" s="448" t="str">
        <f>_xlfn.IFNA(VLOOKUP($AP681,Programma!$F$3:$L$1101,7,0),"")</f>
        <v/>
      </c>
      <c r="AW681" s="448" t="str">
        <f>_xlfn.IFNA(VLOOKUP($AP681,Programma!$F$3:$M$1101,8,0),"")</f>
        <v/>
      </c>
      <c r="AX681" s="448" t="str">
        <f>_xlfn.IFNA(VLOOKUP($AP681,Programma!$F$3:$N$1101,9,0),"")</f>
        <v/>
      </c>
      <c r="AY681" s="448" t="str">
        <f>_xlfn.IFNA(VLOOKUP($AP681,Programma!$F$3:$O$1101,10,0),"")</f>
        <v/>
      </c>
      <c r="AZ681" s="448" t="str">
        <f>_xlfn.IFNA(VLOOKUP($AP681,Programma!$F$3:$P$1101,11,0),"")</f>
        <v/>
      </c>
      <c r="BA681" s="448" t="str">
        <f>_xlfn.IFNA(VLOOKUP($AP681,Programma!$F$3:$Q$1101,12,0),"")</f>
        <v/>
      </c>
      <c r="BB681" s="448" t="str">
        <f>_xlfn.IFNA(VLOOKUP($AP681,Programma!$F$3:$R$1101,13,0),"")</f>
        <v/>
      </c>
      <c r="BC681" s="448" t="str">
        <f>_xlfn.IFNA(VLOOKUP($AP681,Programma!$F$3:$S$1101,14,0),"")</f>
        <v/>
      </c>
      <c r="BD681" s="448" t="str">
        <f>_xlfn.IFNA(VLOOKUP($AP681,Programma!$F$3:$T$1101,15,0),"")</f>
        <v/>
      </c>
      <c r="BE681" s="448" t="str">
        <f>_xlfn.IFNA(VLOOKUP($AP681,Programma!$F$3:$U$1101,16,0),"")</f>
        <v/>
      </c>
      <c r="BF681" s="448" t="str">
        <f>_xlfn.IFNA(VLOOKUP($AP681,Programma!$F$3:$V$1101,17,0),"")</f>
        <v/>
      </c>
      <c r="BG681" s="448" t="str">
        <f>_xlfn.IFNA(VLOOKUP($AP681,Programma!$F$3:$W$1101,18,0),"")</f>
        <v/>
      </c>
      <c r="BH681" s="448" t="str">
        <f>_xlfn.IFNA(VLOOKUP($AP681,Programma!$F$3:$X$1101,19,0),"")</f>
        <v/>
      </c>
      <c r="BI681" s="448" t="str">
        <f>_xlfn.IFNA(VLOOKUP($AP681,Programma!$F$3:$Y$1101,20,0),"")</f>
        <v/>
      </c>
      <c r="BJ681" s="449"/>
      <c r="BK681" s="446" t="str">
        <f>IF(Ruimtestaat[[#This Row],[Frequentie weekend]]="","",_xlfn.CONCAT(Ruimtestaat[[#This Row],[Ruimte code]],"-",Ruimtestaat[[#This Row],[Frequentie weekend]]," ",Ruimtestaat[[#This Row],[Vloer code]]))</f>
        <v/>
      </c>
      <c r="BL681" s="448" t="str">
        <f>_xlfn.IFNA(VLOOKUP($BK681,Programma!$F$3:$G$1101,2,0),"")</f>
        <v/>
      </c>
      <c r="BM681" s="448" t="str">
        <f>_xlfn.IFNA(VLOOKUP($BK681,Programma!$F$3:$H$1101,3,0),"")</f>
        <v/>
      </c>
      <c r="BN681" s="448" t="str">
        <f>_xlfn.IFNA(VLOOKUP($BK681,Programma!$F$3:$I$1101,4,0),"")</f>
        <v/>
      </c>
      <c r="BO681" s="448" t="str">
        <f>_xlfn.IFNA(VLOOKUP($BK681,Programma!$F$3:$J$1101,5,0),"")</f>
        <v/>
      </c>
      <c r="BP681" s="448" t="str">
        <f>_xlfn.IFNA(VLOOKUP($BK681,Programma!$F$3:$K$1101,6,0),"")</f>
        <v/>
      </c>
      <c r="BQ681" s="448" t="str">
        <f>_xlfn.IFNA(VLOOKUP($BK681,Programma!$F$3:$L$1101,7,0),"")</f>
        <v/>
      </c>
      <c r="BR681" s="448" t="str">
        <f>_xlfn.IFNA(VLOOKUP($BK681,Programma!$F$3:$M$1101,8,0),"")</f>
        <v/>
      </c>
      <c r="BS681" s="448" t="str">
        <f>_xlfn.IFNA(VLOOKUP($BK681,Programma!$F$3:$N$1101,9,0),"")</f>
        <v/>
      </c>
      <c r="BT681" s="448" t="str">
        <f>_xlfn.IFNA(VLOOKUP($BK681,Programma!$F$3:$O$1101,10,0),"")</f>
        <v/>
      </c>
      <c r="BU681" s="448" t="str">
        <f>_xlfn.IFNA(VLOOKUP($BK681,Programma!$F$3:$P$1101,11,0),"")</f>
        <v/>
      </c>
      <c r="BV681" s="448" t="str">
        <f>_xlfn.IFNA(VLOOKUP($BK681,Programma!$F$3:$Q$1101,12,0),"")</f>
        <v/>
      </c>
      <c r="BW681" s="448" t="str">
        <f>_xlfn.IFNA(VLOOKUP($BK681,Programma!$F$3:$R$1101,13,0),"")</f>
        <v/>
      </c>
      <c r="BX681" s="448" t="str">
        <f>_xlfn.IFNA(VLOOKUP($BK681,Programma!$F$3:$S$1101,14,0),"")</f>
        <v/>
      </c>
      <c r="BY681" s="448" t="str">
        <f>_xlfn.IFNA(VLOOKUP($BK681,Programma!$F$3:$T$1101,15,0),"")</f>
        <v/>
      </c>
      <c r="BZ681" s="448" t="str">
        <f>_xlfn.IFNA(VLOOKUP($BK681,Programma!$F$3:$U$1101,16,0),"")</f>
        <v/>
      </c>
      <c r="CA681" s="448" t="str">
        <f>_xlfn.IFNA(VLOOKUP($BK681,Programma!$F$3:$V$1101,17,0),"")</f>
        <v/>
      </c>
      <c r="CB681" s="448" t="str">
        <f>_xlfn.IFNA(VLOOKUP($BK681,Programma!$F$3:$W$1101,18,0),"")</f>
        <v/>
      </c>
      <c r="CC681" s="448" t="str">
        <f>_xlfn.IFNA(VLOOKUP($BK681,Programma!$F$3:$X$1101,19,0),"")</f>
        <v/>
      </c>
      <c r="CD681" s="448" t="str">
        <f>_xlfn.IFNA(VLOOKUP($BK681,Programma!$F$3:$Y$1101,20,0),"")</f>
        <v/>
      </c>
    </row>
    <row r="682" spans="1:82" ht="15" customHeight="1">
      <c r="A682" s="327">
        <v>15</v>
      </c>
      <c r="B682" s="435" t="str">
        <f>VLOOKUP(Ruimtestaat[[#This Row],[Code]],Locaties[[Code]:[Locatie]],2,FALSE)</f>
        <v>IKC  Da Vinci</v>
      </c>
      <c r="C682" s="435" t="str">
        <f>VLOOKUP(Ruimtestaat[[#This Row],[Code]],Locaties[[#All],[Code]:[Adres]],4,FALSE)</f>
        <v>Spitsbergen 17</v>
      </c>
      <c r="D682" s="435" t="str">
        <f>VLOOKUP(Ruimtestaat[[#This Row],[Code]],Locaties[[#All],[Code]:[Postcode]],5,FALSE)</f>
        <v>2721 GP</v>
      </c>
      <c r="E682" s="435" t="str">
        <f>VLOOKUP(Ruimtestaat[[#This Row],[Code]],Locaties[#All],6,FALSE)</f>
        <v>Zoetermeer</v>
      </c>
      <c r="F682" s="330" t="s">
        <v>2154</v>
      </c>
      <c r="I682" s="450" t="s">
        <v>1983</v>
      </c>
      <c r="J682" s="330">
        <v>20</v>
      </c>
      <c r="K682" s="450" t="str">
        <f>VLOOKUP(Ruimtestaat[[#This Row],[Ruimte code]],Ruimtegroepen[[#All],[Code]:[Ruimte omschrijving]],2,FALSE)</f>
        <v>Niet in Onderhoud</v>
      </c>
      <c r="M682" s="330"/>
      <c r="N682" s="439"/>
      <c r="O682" s="439">
        <v>53</v>
      </c>
      <c r="P682" s="439"/>
      <c r="Q682" s="439"/>
      <c r="R682" s="440">
        <f>VLOOKUP(Ruimtestaat[[#This Row],[Ruimte code]],Ruimtegroepen[],4,FALSE)</f>
        <v>0</v>
      </c>
      <c r="S682" s="434"/>
      <c r="T682" s="434"/>
      <c r="U682" s="453">
        <f>IF(S682&gt;0,IF(RIGHT(Ruimtestaat[[#This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2" s="434">
        <f>IF(U682&gt;0,VLOOKUP($J682,Ruimtegroepen[],3,FALSE)*VLOOKUP($L682,Vloersoorten[],3,FALSE)*VLOOKUP($T682,Frequenties[],3,FALSE)*VLOOKUP($A682,Locaties[],3,FALSE),0)</f>
        <v>0</v>
      </c>
      <c r="W682" s="434">
        <f>Ruimtestaat[[#This Row],[Uitvoeringen werkdagen]]*Ruimtestaat[[#This Row],[Oppervlak (netto)]]</f>
        <v>0</v>
      </c>
      <c r="X682" s="441">
        <f>IF(V682&gt;0,Ruimtestaat[[#This Row],[Prest. (m2 /jaar) werkdagen]]/Ruimtestaat[[#This Row],[Norm (m2/uur) werkdagen]],0)</f>
        <v>0</v>
      </c>
      <c r="Y682" s="442">
        <f>Ruimtestaat[[#This Row],[Uitvoeringen werkdagen]]*Ruimtestaat[[#This Row],[Gedeeltelijk]]</f>
        <v>0</v>
      </c>
      <c r="Z682" s="443">
        <f>IF(U682&gt;0,Ruimtestaat[[#This Row],[Prest. (m2 / jaar) werkdagen gedeeld]]/Ruimtestaat[[#This Row],[Norm (m2/uur) werkdagen]],0)</f>
        <v>0</v>
      </c>
      <c r="AA682" s="441">
        <f>Ruimtestaat[[#This Row],[uren / jaar werkdagen gedeeld]]*Tariefsopbouw!$E$35</f>
        <v>0</v>
      </c>
      <c r="AB682" s="441">
        <f>Ruimtestaat[[#This Row],[Uitvoeringen werkdagen]]*Ruimtestaat[[#This Row],[BSO]]</f>
        <v>0</v>
      </c>
      <c r="AC682" s="443">
        <f>IF(U682&gt;0,Ruimtestaat[[#This Row],[Prest. (m2 / jaar) werkdagen BSO]]/Ruimtestaat[[#This Row],[Norm (m2/uur) werkdagen]],0)</f>
        <v>0</v>
      </c>
      <c r="AD682" s="443">
        <f>Ruimtestaat[[#This Row],[uren / jaar werkdagen BSO]]*Tariefsopbouw!$E$35</f>
        <v>0</v>
      </c>
      <c r="AE682" s="444">
        <f>Ruimtestaat[[#This Row],[uren / jaar werkdagen]]*Tariefsopbouw!$E$35</f>
        <v>0</v>
      </c>
      <c r="AF682" s="454"/>
      <c r="AG682" s="455">
        <f>IF(Ruimtestaat[[#This Row],[Frequentie weekend]]&gt;0,VALUE(LEFT(AF682,1))*S682,0)</f>
        <v>0</v>
      </c>
      <c r="AH682" s="455">
        <f>IF($AG682&gt;0,VLOOKUP($J682,Ruimtegroepen[],3,FALSE)*VLOOKUP($L682,Vloersoorten[],3,FALSE)*VLOOKUP($AF682,Frequenties[],3,FALSE)*VLOOKUP(#REF!,Locaties[],3,FALSE),0)</f>
        <v>0</v>
      </c>
      <c r="AI682" s="434">
        <f>Ruimtestaat[[#This Row],[Uitvoeringen weekend]]*Ruimtestaat[[#This Row],[Oppervlak (netto)]]</f>
        <v>0</v>
      </c>
      <c r="AJ682" s="434">
        <f>IF(AH682&gt;0,Ruimtestaat[[#This Row],[Prest. (m2 /jaar) weekend]]/Ruimtestaat[[#This Row],[Norm (m2/uur) weekend]],0)</f>
        <v>0</v>
      </c>
      <c r="AK682" s="444">
        <f>Ruimtestaat[[#This Row],[uren / jaar weekend]]*Tariefsopbouw!$D$40</f>
        <v>0</v>
      </c>
      <c r="AL682" s="441">
        <f>Ruimtestaat[[#This Row],[Prest. (m2 /jaar) weekend]]+Ruimtestaat[[#This Row],[Prest. (m2 /jaar) werkdagen]]</f>
        <v>0</v>
      </c>
      <c r="AM682" s="441">
        <f>Ruimtestaat[[#This Row],[uren / jaar weekend]]+Ruimtestaat[[#This Row],[uren / jaar werkdagen]]</f>
        <v>0</v>
      </c>
      <c r="AN682" s="446">
        <f>Ruimtestaat[[#This Row],[kosten / jaar weekend]]+Ruimtestaat[[#This Row],[kosten / jaar werkdagen]]</f>
        <v>0</v>
      </c>
      <c r="AO682" s="446"/>
      <c r="AP682" s="446" t="str">
        <f>IF(Ruimtestaat[[#This Row],[Frequentie werkdagen]]="","",_xlfn.CONCAT(Ruimtestaat[[#This Row],[Ruimte code]],"-",Ruimtestaat[[#This Row],[Frequentie werkdagen]]," ",Ruimtestaat[[#This Row],[Vloer code]]))</f>
        <v/>
      </c>
      <c r="AQ682" s="448" t="str">
        <f>_xlfn.IFNA(VLOOKUP($AP682,Programma!$F$3:$G$1101,2,0),"")</f>
        <v/>
      </c>
      <c r="AR682" s="448" t="str">
        <f>_xlfn.IFNA(VLOOKUP($AP682,Programma!$F$3:$H$1101,3,0),"")</f>
        <v/>
      </c>
      <c r="AS682" s="448" t="str">
        <f>_xlfn.IFNA(VLOOKUP($AP682,Programma!$F$3:$I$1101,4,0),"")</f>
        <v/>
      </c>
      <c r="AT682" s="448" t="str">
        <f>_xlfn.IFNA(VLOOKUP($AP682,Programma!$F$3:$J$1101,5,0),"")</f>
        <v/>
      </c>
      <c r="AU682" s="448" t="str">
        <f>_xlfn.IFNA(VLOOKUP($AP682,Programma!$F$3:$K$1101,6,0),"")</f>
        <v/>
      </c>
      <c r="AV682" s="448" t="str">
        <f>_xlfn.IFNA(VLOOKUP($AP682,Programma!$F$3:$L$1101,7,0),"")</f>
        <v/>
      </c>
      <c r="AW682" s="448" t="str">
        <f>_xlfn.IFNA(VLOOKUP($AP682,Programma!$F$3:$M$1101,8,0),"")</f>
        <v/>
      </c>
      <c r="AX682" s="448" t="str">
        <f>_xlfn.IFNA(VLOOKUP($AP682,Programma!$F$3:$N$1101,9,0),"")</f>
        <v/>
      </c>
      <c r="AY682" s="448" t="str">
        <f>_xlfn.IFNA(VLOOKUP($AP682,Programma!$F$3:$O$1101,10,0),"")</f>
        <v/>
      </c>
      <c r="AZ682" s="448" t="str">
        <f>_xlfn.IFNA(VLOOKUP($AP682,Programma!$F$3:$P$1101,11,0),"")</f>
        <v/>
      </c>
      <c r="BA682" s="448" t="str">
        <f>_xlfn.IFNA(VLOOKUP($AP682,Programma!$F$3:$Q$1101,12,0),"")</f>
        <v/>
      </c>
      <c r="BB682" s="448" t="str">
        <f>_xlfn.IFNA(VLOOKUP($AP682,Programma!$F$3:$R$1101,13,0),"")</f>
        <v/>
      </c>
      <c r="BC682" s="448" t="str">
        <f>_xlfn.IFNA(VLOOKUP($AP682,Programma!$F$3:$S$1101,14,0),"")</f>
        <v/>
      </c>
      <c r="BD682" s="448" t="str">
        <f>_xlfn.IFNA(VLOOKUP($AP682,Programma!$F$3:$T$1101,15,0),"")</f>
        <v/>
      </c>
      <c r="BE682" s="448" t="str">
        <f>_xlfn.IFNA(VLOOKUP($AP682,Programma!$F$3:$U$1101,16,0),"")</f>
        <v/>
      </c>
      <c r="BF682" s="448" t="str">
        <f>_xlfn.IFNA(VLOOKUP($AP682,Programma!$F$3:$V$1101,17,0),"")</f>
        <v/>
      </c>
      <c r="BG682" s="448" t="str">
        <f>_xlfn.IFNA(VLOOKUP($AP682,Programma!$F$3:$W$1101,18,0),"")</f>
        <v/>
      </c>
      <c r="BH682" s="448" t="str">
        <f>_xlfn.IFNA(VLOOKUP($AP682,Programma!$F$3:$X$1101,19,0),"")</f>
        <v/>
      </c>
      <c r="BI682" s="448" t="str">
        <f>_xlfn.IFNA(VLOOKUP($AP682,Programma!$F$3:$Y$1101,20,0),"")</f>
        <v/>
      </c>
      <c r="BJ682" s="449"/>
      <c r="BK682" s="446" t="str">
        <f>IF(Ruimtestaat[[#This Row],[Frequentie weekend]]="","",_xlfn.CONCAT(Ruimtestaat[[#This Row],[Ruimte code]],"-",Ruimtestaat[[#This Row],[Frequentie weekend]]," ",Ruimtestaat[[#This Row],[Vloer code]]))</f>
        <v/>
      </c>
      <c r="BL682" s="448" t="str">
        <f>_xlfn.IFNA(VLOOKUP($BK682,Programma!$F$3:$G$1101,2,0),"")</f>
        <v/>
      </c>
      <c r="BM682" s="448" t="str">
        <f>_xlfn.IFNA(VLOOKUP($BK682,Programma!$F$3:$H$1101,3,0),"")</f>
        <v/>
      </c>
      <c r="BN682" s="448" t="str">
        <f>_xlfn.IFNA(VLOOKUP($BK682,Programma!$F$3:$I$1101,4,0),"")</f>
        <v/>
      </c>
      <c r="BO682" s="448" t="str">
        <f>_xlfn.IFNA(VLOOKUP($BK682,Programma!$F$3:$J$1101,5,0),"")</f>
        <v/>
      </c>
      <c r="BP682" s="448" t="str">
        <f>_xlfn.IFNA(VLOOKUP($BK682,Programma!$F$3:$K$1101,6,0),"")</f>
        <v/>
      </c>
      <c r="BQ682" s="448" t="str">
        <f>_xlfn.IFNA(VLOOKUP($BK682,Programma!$F$3:$L$1101,7,0),"")</f>
        <v/>
      </c>
      <c r="BR682" s="448" t="str">
        <f>_xlfn.IFNA(VLOOKUP($BK682,Programma!$F$3:$M$1101,8,0),"")</f>
        <v/>
      </c>
      <c r="BS682" s="448" t="str">
        <f>_xlfn.IFNA(VLOOKUP($BK682,Programma!$F$3:$N$1101,9,0),"")</f>
        <v/>
      </c>
      <c r="BT682" s="448" t="str">
        <f>_xlfn.IFNA(VLOOKUP($BK682,Programma!$F$3:$O$1101,10,0),"")</f>
        <v/>
      </c>
      <c r="BU682" s="448" t="str">
        <f>_xlfn.IFNA(VLOOKUP($BK682,Programma!$F$3:$P$1101,11,0),"")</f>
        <v/>
      </c>
      <c r="BV682" s="448" t="str">
        <f>_xlfn.IFNA(VLOOKUP($BK682,Programma!$F$3:$Q$1101,12,0),"")</f>
        <v/>
      </c>
      <c r="BW682" s="448" t="str">
        <f>_xlfn.IFNA(VLOOKUP($BK682,Programma!$F$3:$R$1101,13,0),"")</f>
        <v/>
      </c>
      <c r="BX682" s="448" t="str">
        <f>_xlfn.IFNA(VLOOKUP($BK682,Programma!$F$3:$S$1101,14,0),"")</f>
        <v/>
      </c>
      <c r="BY682" s="448" t="str">
        <f>_xlfn.IFNA(VLOOKUP($BK682,Programma!$F$3:$T$1101,15,0),"")</f>
        <v/>
      </c>
      <c r="BZ682" s="448" t="str">
        <f>_xlfn.IFNA(VLOOKUP($BK682,Programma!$F$3:$U$1101,16,0),"")</f>
        <v/>
      </c>
      <c r="CA682" s="448" t="str">
        <f>_xlfn.IFNA(VLOOKUP($BK682,Programma!$F$3:$V$1101,17,0),"")</f>
        <v/>
      </c>
      <c r="CB682" s="448" t="str">
        <f>_xlfn.IFNA(VLOOKUP($BK682,Programma!$F$3:$W$1101,18,0),"")</f>
        <v/>
      </c>
      <c r="CC682" s="448" t="str">
        <f>_xlfn.IFNA(VLOOKUP($BK682,Programma!$F$3:$X$1101,19,0),"")</f>
        <v/>
      </c>
      <c r="CD682" s="448" t="str">
        <f>_xlfn.IFNA(VLOOKUP($BK682,Programma!$F$3:$Y$1101,20,0),"")</f>
        <v/>
      </c>
    </row>
    <row r="683" spans="1:82" ht="15" customHeight="1">
      <c r="A683" s="327">
        <v>15</v>
      </c>
      <c r="B683" s="435" t="str">
        <f>VLOOKUP(Ruimtestaat[[#This Row],[Code]],Locaties[[Code]:[Locatie]],2,FALSE)</f>
        <v>IKC  Da Vinci</v>
      </c>
      <c r="C683" s="435" t="str">
        <f>VLOOKUP(Ruimtestaat[[#This Row],[Code]],Locaties[[#All],[Code]:[Adres]],4,FALSE)</f>
        <v>Spitsbergen 17</v>
      </c>
      <c r="D683" s="435" t="str">
        <f>VLOOKUP(Ruimtestaat[[#This Row],[Code]],Locaties[[#All],[Code]:[Postcode]],5,FALSE)</f>
        <v>2721 GP</v>
      </c>
      <c r="E683" s="435" t="str">
        <f>VLOOKUP(Ruimtestaat[[#This Row],[Code]],Locaties[#All],6,FALSE)</f>
        <v>Zoetermeer</v>
      </c>
      <c r="F683" s="330" t="s">
        <v>2154</v>
      </c>
      <c r="I683" s="450" t="s">
        <v>1983</v>
      </c>
      <c r="J683" s="330">
        <v>20</v>
      </c>
      <c r="K683" s="450" t="str">
        <f>VLOOKUP(Ruimtestaat[[#This Row],[Ruimte code]],Ruimtegroepen[[#All],[Code]:[Ruimte omschrijving]],2,FALSE)</f>
        <v>Niet in Onderhoud</v>
      </c>
      <c r="M683" s="330"/>
      <c r="N683" s="439"/>
      <c r="O683" s="439">
        <v>53</v>
      </c>
      <c r="P683" s="439"/>
      <c r="Q683" s="439"/>
      <c r="R683" s="440">
        <f>VLOOKUP(Ruimtestaat[[#This Row],[Ruimte code]],Ruimtegroepen[],4,FALSE)</f>
        <v>0</v>
      </c>
      <c r="S683" s="434"/>
      <c r="T683" s="434"/>
      <c r="U683" s="453">
        <f>IF(S683&gt;0,IF(RIGHT(Ruimtestaat[[#This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3" s="434">
        <f>IF(U683&gt;0,VLOOKUP($J683,Ruimtegroepen[],3,FALSE)*VLOOKUP($L683,Vloersoorten[],3,FALSE)*VLOOKUP($T683,Frequenties[],3,FALSE)*VLOOKUP($A683,Locaties[],3,FALSE),0)</f>
        <v>0</v>
      </c>
      <c r="W683" s="434">
        <f>Ruimtestaat[[#This Row],[Uitvoeringen werkdagen]]*Ruimtestaat[[#This Row],[Oppervlak (netto)]]</f>
        <v>0</v>
      </c>
      <c r="X683" s="441">
        <f>IF(V683&gt;0,Ruimtestaat[[#This Row],[Prest. (m2 /jaar) werkdagen]]/Ruimtestaat[[#This Row],[Norm (m2/uur) werkdagen]],0)</f>
        <v>0</v>
      </c>
      <c r="Y683" s="442">
        <f>Ruimtestaat[[#This Row],[Uitvoeringen werkdagen]]*Ruimtestaat[[#This Row],[Gedeeltelijk]]</f>
        <v>0</v>
      </c>
      <c r="Z683" s="443">
        <f>IF(U683&gt;0,Ruimtestaat[[#This Row],[Prest. (m2 / jaar) werkdagen gedeeld]]/Ruimtestaat[[#This Row],[Norm (m2/uur) werkdagen]],0)</f>
        <v>0</v>
      </c>
      <c r="AA683" s="441">
        <f>Ruimtestaat[[#This Row],[uren / jaar werkdagen gedeeld]]*Tariefsopbouw!$E$35</f>
        <v>0</v>
      </c>
      <c r="AB683" s="441">
        <f>Ruimtestaat[[#This Row],[Uitvoeringen werkdagen]]*Ruimtestaat[[#This Row],[BSO]]</f>
        <v>0</v>
      </c>
      <c r="AC683" s="443">
        <f>IF(U683&gt;0,Ruimtestaat[[#This Row],[Prest. (m2 / jaar) werkdagen BSO]]/Ruimtestaat[[#This Row],[Norm (m2/uur) werkdagen]],0)</f>
        <v>0</v>
      </c>
      <c r="AD683" s="443">
        <f>Ruimtestaat[[#This Row],[uren / jaar werkdagen BSO]]*Tariefsopbouw!$E$35</f>
        <v>0</v>
      </c>
      <c r="AE683" s="444">
        <f>Ruimtestaat[[#This Row],[uren / jaar werkdagen]]*Tariefsopbouw!$E$35</f>
        <v>0</v>
      </c>
      <c r="AF683" s="454"/>
      <c r="AG683" s="455">
        <f>IF(Ruimtestaat[[#This Row],[Frequentie weekend]]&gt;0,VALUE(LEFT(AF683,1))*S683,0)</f>
        <v>0</v>
      </c>
      <c r="AH683" s="455">
        <f>IF($AG683&gt;0,VLOOKUP($J683,Ruimtegroepen[],3,FALSE)*VLOOKUP($L683,Vloersoorten[],3,FALSE)*VLOOKUP($AF683,Frequenties[],3,FALSE)*VLOOKUP(#REF!,Locaties[],3,FALSE),0)</f>
        <v>0</v>
      </c>
      <c r="AI683" s="434">
        <f>Ruimtestaat[[#This Row],[Uitvoeringen weekend]]*Ruimtestaat[[#This Row],[Oppervlak (netto)]]</f>
        <v>0</v>
      </c>
      <c r="AJ683" s="434">
        <f>IF(AH683&gt;0,Ruimtestaat[[#This Row],[Prest. (m2 /jaar) weekend]]/Ruimtestaat[[#This Row],[Norm (m2/uur) weekend]],0)</f>
        <v>0</v>
      </c>
      <c r="AK683" s="444">
        <f>Ruimtestaat[[#This Row],[uren / jaar weekend]]*Tariefsopbouw!$D$40</f>
        <v>0</v>
      </c>
      <c r="AL683" s="441">
        <f>Ruimtestaat[[#This Row],[Prest. (m2 /jaar) weekend]]+Ruimtestaat[[#This Row],[Prest. (m2 /jaar) werkdagen]]</f>
        <v>0</v>
      </c>
      <c r="AM683" s="441">
        <f>Ruimtestaat[[#This Row],[uren / jaar weekend]]+Ruimtestaat[[#This Row],[uren / jaar werkdagen]]</f>
        <v>0</v>
      </c>
      <c r="AN683" s="446">
        <f>Ruimtestaat[[#This Row],[kosten / jaar weekend]]+Ruimtestaat[[#This Row],[kosten / jaar werkdagen]]</f>
        <v>0</v>
      </c>
      <c r="AO683" s="446"/>
      <c r="AP683" s="446" t="str">
        <f>IF(Ruimtestaat[[#This Row],[Frequentie werkdagen]]="","",_xlfn.CONCAT(Ruimtestaat[[#This Row],[Ruimte code]],"-",Ruimtestaat[[#This Row],[Frequentie werkdagen]]," ",Ruimtestaat[[#This Row],[Vloer code]]))</f>
        <v/>
      </c>
      <c r="AQ683" s="448" t="str">
        <f>_xlfn.IFNA(VLOOKUP($AP683,Programma!$F$3:$G$1101,2,0),"")</f>
        <v/>
      </c>
      <c r="AR683" s="448" t="str">
        <f>_xlfn.IFNA(VLOOKUP($AP683,Programma!$F$3:$H$1101,3,0),"")</f>
        <v/>
      </c>
      <c r="AS683" s="448" t="str">
        <f>_xlfn.IFNA(VLOOKUP($AP683,Programma!$F$3:$I$1101,4,0),"")</f>
        <v/>
      </c>
      <c r="AT683" s="448" t="str">
        <f>_xlfn.IFNA(VLOOKUP($AP683,Programma!$F$3:$J$1101,5,0),"")</f>
        <v/>
      </c>
      <c r="AU683" s="448" t="str">
        <f>_xlfn.IFNA(VLOOKUP($AP683,Programma!$F$3:$K$1101,6,0),"")</f>
        <v/>
      </c>
      <c r="AV683" s="448" t="str">
        <f>_xlfn.IFNA(VLOOKUP($AP683,Programma!$F$3:$L$1101,7,0),"")</f>
        <v/>
      </c>
      <c r="AW683" s="448" t="str">
        <f>_xlfn.IFNA(VLOOKUP($AP683,Programma!$F$3:$M$1101,8,0),"")</f>
        <v/>
      </c>
      <c r="AX683" s="448" t="str">
        <f>_xlfn.IFNA(VLOOKUP($AP683,Programma!$F$3:$N$1101,9,0),"")</f>
        <v/>
      </c>
      <c r="AY683" s="448" t="str">
        <f>_xlfn.IFNA(VLOOKUP($AP683,Programma!$F$3:$O$1101,10,0),"")</f>
        <v/>
      </c>
      <c r="AZ683" s="448" t="str">
        <f>_xlfn.IFNA(VLOOKUP($AP683,Programma!$F$3:$P$1101,11,0),"")</f>
        <v/>
      </c>
      <c r="BA683" s="448" t="str">
        <f>_xlfn.IFNA(VLOOKUP($AP683,Programma!$F$3:$Q$1101,12,0),"")</f>
        <v/>
      </c>
      <c r="BB683" s="448" t="str">
        <f>_xlfn.IFNA(VLOOKUP($AP683,Programma!$F$3:$R$1101,13,0),"")</f>
        <v/>
      </c>
      <c r="BC683" s="448" t="str">
        <f>_xlfn.IFNA(VLOOKUP($AP683,Programma!$F$3:$S$1101,14,0),"")</f>
        <v/>
      </c>
      <c r="BD683" s="448" t="str">
        <f>_xlfn.IFNA(VLOOKUP($AP683,Programma!$F$3:$T$1101,15,0),"")</f>
        <v/>
      </c>
      <c r="BE683" s="448" t="str">
        <f>_xlfn.IFNA(VLOOKUP($AP683,Programma!$F$3:$U$1101,16,0),"")</f>
        <v/>
      </c>
      <c r="BF683" s="448" t="str">
        <f>_xlfn.IFNA(VLOOKUP($AP683,Programma!$F$3:$V$1101,17,0),"")</f>
        <v/>
      </c>
      <c r="BG683" s="448" t="str">
        <f>_xlfn.IFNA(VLOOKUP($AP683,Programma!$F$3:$W$1101,18,0),"")</f>
        <v/>
      </c>
      <c r="BH683" s="448" t="str">
        <f>_xlfn.IFNA(VLOOKUP($AP683,Programma!$F$3:$X$1101,19,0),"")</f>
        <v/>
      </c>
      <c r="BI683" s="448" t="str">
        <f>_xlfn.IFNA(VLOOKUP($AP683,Programma!$F$3:$Y$1101,20,0),"")</f>
        <v/>
      </c>
      <c r="BJ683" s="449"/>
      <c r="BK683" s="446" t="str">
        <f>IF(Ruimtestaat[[#This Row],[Frequentie weekend]]="","",_xlfn.CONCAT(Ruimtestaat[[#This Row],[Ruimte code]],"-",Ruimtestaat[[#This Row],[Frequentie weekend]]," ",Ruimtestaat[[#This Row],[Vloer code]]))</f>
        <v/>
      </c>
      <c r="BL683" s="448" t="str">
        <f>_xlfn.IFNA(VLOOKUP($BK683,Programma!$F$3:$G$1101,2,0),"")</f>
        <v/>
      </c>
      <c r="BM683" s="448" t="str">
        <f>_xlfn.IFNA(VLOOKUP($BK683,Programma!$F$3:$H$1101,3,0),"")</f>
        <v/>
      </c>
      <c r="BN683" s="448" t="str">
        <f>_xlfn.IFNA(VLOOKUP($BK683,Programma!$F$3:$I$1101,4,0),"")</f>
        <v/>
      </c>
      <c r="BO683" s="448" t="str">
        <f>_xlfn.IFNA(VLOOKUP($BK683,Programma!$F$3:$J$1101,5,0),"")</f>
        <v/>
      </c>
      <c r="BP683" s="448" t="str">
        <f>_xlfn.IFNA(VLOOKUP($BK683,Programma!$F$3:$K$1101,6,0),"")</f>
        <v/>
      </c>
      <c r="BQ683" s="448" t="str">
        <f>_xlfn.IFNA(VLOOKUP($BK683,Programma!$F$3:$L$1101,7,0),"")</f>
        <v/>
      </c>
      <c r="BR683" s="448" t="str">
        <f>_xlfn.IFNA(VLOOKUP($BK683,Programma!$F$3:$M$1101,8,0),"")</f>
        <v/>
      </c>
      <c r="BS683" s="448" t="str">
        <f>_xlfn.IFNA(VLOOKUP($BK683,Programma!$F$3:$N$1101,9,0),"")</f>
        <v/>
      </c>
      <c r="BT683" s="448" t="str">
        <f>_xlfn.IFNA(VLOOKUP($BK683,Programma!$F$3:$O$1101,10,0),"")</f>
        <v/>
      </c>
      <c r="BU683" s="448" t="str">
        <f>_xlfn.IFNA(VLOOKUP($BK683,Programma!$F$3:$P$1101,11,0),"")</f>
        <v/>
      </c>
      <c r="BV683" s="448" t="str">
        <f>_xlfn.IFNA(VLOOKUP($BK683,Programma!$F$3:$Q$1101,12,0),"")</f>
        <v/>
      </c>
      <c r="BW683" s="448" t="str">
        <f>_xlfn.IFNA(VLOOKUP($BK683,Programma!$F$3:$R$1101,13,0),"")</f>
        <v/>
      </c>
      <c r="BX683" s="448" t="str">
        <f>_xlfn.IFNA(VLOOKUP($BK683,Programma!$F$3:$S$1101,14,0),"")</f>
        <v/>
      </c>
      <c r="BY683" s="448" t="str">
        <f>_xlfn.IFNA(VLOOKUP($BK683,Programma!$F$3:$T$1101,15,0),"")</f>
        <v/>
      </c>
      <c r="BZ683" s="448" t="str">
        <f>_xlfn.IFNA(VLOOKUP($BK683,Programma!$F$3:$U$1101,16,0),"")</f>
        <v/>
      </c>
      <c r="CA683" s="448" t="str">
        <f>_xlfn.IFNA(VLOOKUP($BK683,Programma!$F$3:$V$1101,17,0),"")</f>
        <v/>
      </c>
      <c r="CB683" s="448" t="str">
        <f>_xlfn.IFNA(VLOOKUP($BK683,Programma!$F$3:$W$1101,18,0),"")</f>
        <v/>
      </c>
      <c r="CC683" s="448" t="str">
        <f>_xlfn.IFNA(VLOOKUP($BK683,Programma!$F$3:$X$1101,19,0),"")</f>
        <v/>
      </c>
      <c r="CD683" s="448" t="str">
        <f>_xlfn.IFNA(VLOOKUP($BK683,Programma!$F$3:$Y$1101,20,0),"")</f>
        <v/>
      </c>
    </row>
    <row r="684" spans="1:82" ht="15" customHeight="1">
      <c r="A684" s="327">
        <v>15</v>
      </c>
      <c r="B684" s="435" t="str">
        <f>VLOOKUP(Ruimtestaat[[#This Row],[Code]],Locaties[[Code]:[Locatie]],2,FALSE)</f>
        <v>IKC  Da Vinci</v>
      </c>
      <c r="C684" s="435" t="str">
        <f>VLOOKUP(Ruimtestaat[[#This Row],[Code]],Locaties[[#All],[Code]:[Adres]],4,FALSE)</f>
        <v>Spitsbergen 17</v>
      </c>
      <c r="D684" s="435" t="str">
        <f>VLOOKUP(Ruimtestaat[[#This Row],[Code]],Locaties[[#All],[Code]:[Postcode]],5,FALSE)</f>
        <v>2721 GP</v>
      </c>
      <c r="E684" s="435" t="str">
        <f>VLOOKUP(Ruimtestaat[[#This Row],[Code]],Locaties[#All],6,FALSE)</f>
        <v>Zoetermeer</v>
      </c>
      <c r="F684" s="330" t="s">
        <v>2154</v>
      </c>
      <c r="I684" s="450" t="s">
        <v>1983</v>
      </c>
      <c r="J684" s="330">
        <v>20</v>
      </c>
      <c r="K684" s="450" t="str">
        <f>VLOOKUP(Ruimtestaat[[#This Row],[Ruimte code]],Ruimtegroepen[[#All],[Code]:[Ruimte omschrijving]],2,FALSE)</f>
        <v>Niet in Onderhoud</v>
      </c>
      <c r="M684" s="330"/>
      <c r="N684" s="439"/>
      <c r="O684" s="439">
        <v>58</v>
      </c>
      <c r="P684" s="439"/>
      <c r="Q684" s="439"/>
      <c r="R684" s="440">
        <f>VLOOKUP(Ruimtestaat[[#This Row],[Ruimte code]],Ruimtegroepen[],4,FALSE)</f>
        <v>0</v>
      </c>
      <c r="S684" s="434"/>
      <c r="T684" s="434"/>
      <c r="U684" s="453">
        <f>IF(S684&gt;0,IF(RIGHT(Ruimtestaat[[#This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4" s="434">
        <f>IF(U684&gt;0,VLOOKUP($J684,Ruimtegroepen[],3,FALSE)*VLOOKUP($L684,Vloersoorten[],3,FALSE)*VLOOKUP($T684,Frequenties[],3,FALSE)*VLOOKUP($A684,Locaties[],3,FALSE),0)</f>
        <v>0</v>
      </c>
      <c r="W684" s="434">
        <f>Ruimtestaat[[#This Row],[Uitvoeringen werkdagen]]*Ruimtestaat[[#This Row],[Oppervlak (netto)]]</f>
        <v>0</v>
      </c>
      <c r="X684" s="441">
        <f>IF(V684&gt;0,Ruimtestaat[[#This Row],[Prest. (m2 /jaar) werkdagen]]/Ruimtestaat[[#This Row],[Norm (m2/uur) werkdagen]],0)</f>
        <v>0</v>
      </c>
      <c r="Y684" s="442">
        <f>Ruimtestaat[[#This Row],[Uitvoeringen werkdagen]]*Ruimtestaat[[#This Row],[Gedeeltelijk]]</f>
        <v>0</v>
      </c>
      <c r="Z684" s="443">
        <f>IF(U684&gt;0,Ruimtestaat[[#This Row],[Prest. (m2 / jaar) werkdagen gedeeld]]/Ruimtestaat[[#This Row],[Norm (m2/uur) werkdagen]],0)</f>
        <v>0</v>
      </c>
      <c r="AA684" s="441">
        <f>Ruimtestaat[[#This Row],[uren / jaar werkdagen gedeeld]]*Tariefsopbouw!$E$35</f>
        <v>0</v>
      </c>
      <c r="AB684" s="441">
        <f>Ruimtestaat[[#This Row],[Uitvoeringen werkdagen]]*Ruimtestaat[[#This Row],[BSO]]</f>
        <v>0</v>
      </c>
      <c r="AC684" s="443">
        <f>IF(U684&gt;0,Ruimtestaat[[#This Row],[Prest. (m2 / jaar) werkdagen BSO]]/Ruimtestaat[[#This Row],[Norm (m2/uur) werkdagen]],0)</f>
        <v>0</v>
      </c>
      <c r="AD684" s="443">
        <f>Ruimtestaat[[#This Row],[uren / jaar werkdagen BSO]]*Tariefsopbouw!$E$35</f>
        <v>0</v>
      </c>
      <c r="AE684" s="444">
        <f>Ruimtestaat[[#This Row],[uren / jaar werkdagen]]*Tariefsopbouw!$E$35</f>
        <v>0</v>
      </c>
      <c r="AF684" s="454"/>
      <c r="AG684" s="455">
        <f>IF(Ruimtestaat[[#This Row],[Frequentie weekend]]&gt;0,VALUE(LEFT(AF684,1))*S684,0)</f>
        <v>0</v>
      </c>
      <c r="AH684" s="455">
        <f>IF($AG684&gt;0,VLOOKUP($J684,Ruimtegroepen[],3,FALSE)*VLOOKUP($L684,Vloersoorten[],3,FALSE)*VLOOKUP($AF684,Frequenties[],3,FALSE)*VLOOKUP(#REF!,Locaties[],3,FALSE),0)</f>
        <v>0</v>
      </c>
      <c r="AI684" s="434">
        <f>Ruimtestaat[[#This Row],[Uitvoeringen weekend]]*Ruimtestaat[[#This Row],[Oppervlak (netto)]]</f>
        <v>0</v>
      </c>
      <c r="AJ684" s="434">
        <f>IF(AH684&gt;0,Ruimtestaat[[#This Row],[Prest. (m2 /jaar) weekend]]/Ruimtestaat[[#This Row],[Norm (m2/uur) weekend]],0)</f>
        <v>0</v>
      </c>
      <c r="AK684" s="444">
        <f>Ruimtestaat[[#This Row],[uren / jaar weekend]]*Tariefsopbouw!$D$40</f>
        <v>0</v>
      </c>
      <c r="AL684" s="441">
        <f>Ruimtestaat[[#This Row],[Prest. (m2 /jaar) weekend]]+Ruimtestaat[[#This Row],[Prest. (m2 /jaar) werkdagen]]</f>
        <v>0</v>
      </c>
      <c r="AM684" s="441">
        <f>Ruimtestaat[[#This Row],[uren / jaar weekend]]+Ruimtestaat[[#This Row],[uren / jaar werkdagen]]</f>
        <v>0</v>
      </c>
      <c r="AN684" s="446">
        <f>Ruimtestaat[[#This Row],[kosten / jaar weekend]]+Ruimtestaat[[#This Row],[kosten / jaar werkdagen]]</f>
        <v>0</v>
      </c>
      <c r="AO684" s="446"/>
      <c r="AP684" s="446" t="str">
        <f>IF(Ruimtestaat[[#This Row],[Frequentie werkdagen]]="","",_xlfn.CONCAT(Ruimtestaat[[#This Row],[Ruimte code]],"-",Ruimtestaat[[#This Row],[Frequentie werkdagen]]," ",Ruimtestaat[[#This Row],[Vloer code]]))</f>
        <v/>
      </c>
      <c r="AQ684" s="448" t="str">
        <f>_xlfn.IFNA(VLOOKUP($AP684,Programma!$F$3:$G$1101,2,0),"")</f>
        <v/>
      </c>
      <c r="AR684" s="448" t="str">
        <f>_xlfn.IFNA(VLOOKUP($AP684,Programma!$F$3:$H$1101,3,0),"")</f>
        <v/>
      </c>
      <c r="AS684" s="448" t="str">
        <f>_xlfn.IFNA(VLOOKUP($AP684,Programma!$F$3:$I$1101,4,0),"")</f>
        <v/>
      </c>
      <c r="AT684" s="448" t="str">
        <f>_xlfn.IFNA(VLOOKUP($AP684,Programma!$F$3:$J$1101,5,0),"")</f>
        <v/>
      </c>
      <c r="AU684" s="448" t="str">
        <f>_xlfn.IFNA(VLOOKUP($AP684,Programma!$F$3:$K$1101,6,0),"")</f>
        <v/>
      </c>
      <c r="AV684" s="448" t="str">
        <f>_xlfn.IFNA(VLOOKUP($AP684,Programma!$F$3:$L$1101,7,0),"")</f>
        <v/>
      </c>
      <c r="AW684" s="448" t="str">
        <f>_xlfn.IFNA(VLOOKUP($AP684,Programma!$F$3:$M$1101,8,0),"")</f>
        <v/>
      </c>
      <c r="AX684" s="448" t="str">
        <f>_xlfn.IFNA(VLOOKUP($AP684,Programma!$F$3:$N$1101,9,0),"")</f>
        <v/>
      </c>
      <c r="AY684" s="448" t="str">
        <f>_xlfn.IFNA(VLOOKUP($AP684,Programma!$F$3:$O$1101,10,0),"")</f>
        <v/>
      </c>
      <c r="AZ684" s="448" t="str">
        <f>_xlfn.IFNA(VLOOKUP($AP684,Programma!$F$3:$P$1101,11,0),"")</f>
        <v/>
      </c>
      <c r="BA684" s="448" t="str">
        <f>_xlfn.IFNA(VLOOKUP($AP684,Programma!$F$3:$Q$1101,12,0),"")</f>
        <v/>
      </c>
      <c r="BB684" s="448" t="str">
        <f>_xlfn.IFNA(VLOOKUP($AP684,Programma!$F$3:$R$1101,13,0),"")</f>
        <v/>
      </c>
      <c r="BC684" s="448" t="str">
        <f>_xlfn.IFNA(VLOOKUP($AP684,Programma!$F$3:$S$1101,14,0),"")</f>
        <v/>
      </c>
      <c r="BD684" s="448" t="str">
        <f>_xlfn.IFNA(VLOOKUP($AP684,Programma!$F$3:$T$1101,15,0),"")</f>
        <v/>
      </c>
      <c r="BE684" s="448" t="str">
        <f>_xlfn.IFNA(VLOOKUP($AP684,Programma!$F$3:$U$1101,16,0),"")</f>
        <v/>
      </c>
      <c r="BF684" s="448" t="str">
        <f>_xlfn.IFNA(VLOOKUP($AP684,Programma!$F$3:$V$1101,17,0),"")</f>
        <v/>
      </c>
      <c r="BG684" s="448" t="str">
        <f>_xlfn.IFNA(VLOOKUP($AP684,Programma!$F$3:$W$1101,18,0),"")</f>
        <v/>
      </c>
      <c r="BH684" s="448" t="str">
        <f>_xlfn.IFNA(VLOOKUP($AP684,Programma!$F$3:$X$1101,19,0),"")</f>
        <v/>
      </c>
      <c r="BI684" s="448" t="str">
        <f>_xlfn.IFNA(VLOOKUP($AP684,Programma!$F$3:$Y$1101,20,0),"")</f>
        <v/>
      </c>
      <c r="BJ684" s="449"/>
      <c r="BK684" s="446" t="str">
        <f>IF(Ruimtestaat[[#This Row],[Frequentie weekend]]="","",_xlfn.CONCAT(Ruimtestaat[[#This Row],[Ruimte code]],"-",Ruimtestaat[[#This Row],[Frequentie weekend]]," ",Ruimtestaat[[#This Row],[Vloer code]]))</f>
        <v/>
      </c>
      <c r="BL684" s="448" t="str">
        <f>_xlfn.IFNA(VLOOKUP($BK684,Programma!$F$3:$G$1101,2,0),"")</f>
        <v/>
      </c>
      <c r="BM684" s="448" t="str">
        <f>_xlfn.IFNA(VLOOKUP($BK684,Programma!$F$3:$H$1101,3,0),"")</f>
        <v/>
      </c>
      <c r="BN684" s="448" t="str">
        <f>_xlfn.IFNA(VLOOKUP($BK684,Programma!$F$3:$I$1101,4,0),"")</f>
        <v/>
      </c>
      <c r="BO684" s="448" t="str">
        <f>_xlfn.IFNA(VLOOKUP($BK684,Programma!$F$3:$J$1101,5,0),"")</f>
        <v/>
      </c>
      <c r="BP684" s="448" t="str">
        <f>_xlfn.IFNA(VLOOKUP($BK684,Programma!$F$3:$K$1101,6,0),"")</f>
        <v/>
      </c>
      <c r="BQ684" s="448" t="str">
        <f>_xlfn.IFNA(VLOOKUP($BK684,Programma!$F$3:$L$1101,7,0),"")</f>
        <v/>
      </c>
      <c r="BR684" s="448" t="str">
        <f>_xlfn.IFNA(VLOOKUP($BK684,Programma!$F$3:$M$1101,8,0),"")</f>
        <v/>
      </c>
      <c r="BS684" s="448" t="str">
        <f>_xlfn.IFNA(VLOOKUP($BK684,Programma!$F$3:$N$1101,9,0),"")</f>
        <v/>
      </c>
      <c r="BT684" s="448" t="str">
        <f>_xlfn.IFNA(VLOOKUP($BK684,Programma!$F$3:$O$1101,10,0),"")</f>
        <v/>
      </c>
      <c r="BU684" s="448" t="str">
        <f>_xlfn.IFNA(VLOOKUP($BK684,Programma!$F$3:$P$1101,11,0),"")</f>
        <v/>
      </c>
      <c r="BV684" s="448" t="str">
        <f>_xlfn.IFNA(VLOOKUP($BK684,Programma!$F$3:$Q$1101,12,0),"")</f>
        <v/>
      </c>
      <c r="BW684" s="448" t="str">
        <f>_xlfn.IFNA(VLOOKUP($BK684,Programma!$F$3:$R$1101,13,0),"")</f>
        <v/>
      </c>
      <c r="BX684" s="448" t="str">
        <f>_xlfn.IFNA(VLOOKUP($BK684,Programma!$F$3:$S$1101,14,0),"")</f>
        <v/>
      </c>
      <c r="BY684" s="448" t="str">
        <f>_xlfn.IFNA(VLOOKUP($BK684,Programma!$F$3:$T$1101,15,0),"")</f>
        <v/>
      </c>
      <c r="BZ684" s="448" t="str">
        <f>_xlfn.IFNA(VLOOKUP($BK684,Programma!$F$3:$U$1101,16,0),"")</f>
        <v/>
      </c>
      <c r="CA684" s="448" t="str">
        <f>_xlfn.IFNA(VLOOKUP($BK684,Programma!$F$3:$V$1101,17,0),"")</f>
        <v/>
      </c>
      <c r="CB684" s="448" t="str">
        <f>_xlfn.IFNA(VLOOKUP($BK684,Programma!$F$3:$W$1101,18,0),"")</f>
        <v/>
      </c>
      <c r="CC684" s="448" t="str">
        <f>_xlfn.IFNA(VLOOKUP($BK684,Programma!$F$3:$X$1101,19,0),"")</f>
        <v/>
      </c>
      <c r="CD684" s="448" t="str">
        <f>_xlfn.IFNA(VLOOKUP($BK684,Programma!$F$3:$Y$1101,20,0),"")</f>
        <v/>
      </c>
    </row>
    <row r="685" spans="1:82" ht="15" customHeight="1">
      <c r="A685" s="327">
        <v>15</v>
      </c>
      <c r="B685" s="435" t="str">
        <f>VLOOKUP(Ruimtestaat[[#This Row],[Code]],Locaties[[Code]:[Locatie]],2,FALSE)</f>
        <v>IKC  Da Vinci</v>
      </c>
      <c r="C685" s="435" t="str">
        <f>VLOOKUP(Ruimtestaat[[#This Row],[Code]],Locaties[[#All],[Code]:[Adres]],4,FALSE)</f>
        <v>Spitsbergen 17</v>
      </c>
      <c r="D685" s="435" t="str">
        <f>VLOOKUP(Ruimtestaat[[#This Row],[Code]],Locaties[[#All],[Code]:[Postcode]],5,FALSE)</f>
        <v>2721 GP</v>
      </c>
      <c r="E685" s="435" t="str">
        <f>VLOOKUP(Ruimtestaat[[#This Row],[Code]],Locaties[#All],6,FALSE)</f>
        <v>Zoetermeer</v>
      </c>
      <c r="F685" s="330" t="s">
        <v>2154</v>
      </c>
      <c r="I685" s="450" t="s">
        <v>1983</v>
      </c>
      <c r="J685" s="330">
        <v>20</v>
      </c>
      <c r="K685" s="450" t="str">
        <f>VLOOKUP(Ruimtestaat[[#This Row],[Ruimte code]],Ruimtegroepen[[#All],[Code]:[Ruimte omschrijving]],2,FALSE)</f>
        <v>Niet in Onderhoud</v>
      </c>
      <c r="M685" s="330"/>
      <c r="N685" s="439"/>
      <c r="O685" s="439">
        <v>51</v>
      </c>
      <c r="P685" s="439"/>
      <c r="Q685" s="439"/>
      <c r="R685" s="440">
        <f>VLOOKUP(Ruimtestaat[[#This Row],[Ruimte code]],Ruimtegroepen[],4,FALSE)</f>
        <v>0</v>
      </c>
      <c r="S685" s="434"/>
      <c r="T685" s="434"/>
      <c r="U685" s="453">
        <f>IF(S685&gt;0,IF(RIGHT(Ruimtestaat[[#This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5" s="434">
        <f>IF(U685&gt;0,VLOOKUP($J685,Ruimtegroepen[],3,FALSE)*VLOOKUP($L685,Vloersoorten[],3,FALSE)*VLOOKUP($T685,Frequenties[],3,FALSE)*VLOOKUP($A685,Locaties[],3,FALSE),0)</f>
        <v>0</v>
      </c>
      <c r="W685" s="434">
        <f>Ruimtestaat[[#This Row],[Uitvoeringen werkdagen]]*Ruimtestaat[[#This Row],[Oppervlak (netto)]]</f>
        <v>0</v>
      </c>
      <c r="X685" s="441">
        <f>IF(V685&gt;0,Ruimtestaat[[#This Row],[Prest. (m2 /jaar) werkdagen]]/Ruimtestaat[[#This Row],[Norm (m2/uur) werkdagen]],0)</f>
        <v>0</v>
      </c>
      <c r="Y685" s="442">
        <f>Ruimtestaat[[#This Row],[Uitvoeringen werkdagen]]*Ruimtestaat[[#This Row],[Gedeeltelijk]]</f>
        <v>0</v>
      </c>
      <c r="Z685" s="443">
        <f>IF(U685&gt;0,Ruimtestaat[[#This Row],[Prest. (m2 / jaar) werkdagen gedeeld]]/Ruimtestaat[[#This Row],[Norm (m2/uur) werkdagen]],0)</f>
        <v>0</v>
      </c>
      <c r="AA685" s="441">
        <f>Ruimtestaat[[#This Row],[uren / jaar werkdagen gedeeld]]*Tariefsopbouw!$E$35</f>
        <v>0</v>
      </c>
      <c r="AB685" s="441">
        <f>Ruimtestaat[[#This Row],[Uitvoeringen werkdagen]]*Ruimtestaat[[#This Row],[BSO]]</f>
        <v>0</v>
      </c>
      <c r="AC685" s="443">
        <f>IF(U685&gt;0,Ruimtestaat[[#This Row],[Prest. (m2 / jaar) werkdagen BSO]]/Ruimtestaat[[#This Row],[Norm (m2/uur) werkdagen]],0)</f>
        <v>0</v>
      </c>
      <c r="AD685" s="443">
        <f>Ruimtestaat[[#This Row],[uren / jaar werkdagen BSO]]*Tariefsopbouw!$E$35</f>
        <v>0</v>
      </c>
      <c r="AE685" s="444">
        <f>Ruimtestaat[[#This Row],[uren / jaar werkdagen]]*Tariefsopbouw!$E$35</f>
        <v>0</v>
      </c>
      <c r="AF685" s="454"/>
      <c r="AG685" s="455">
        <f>IF(Ruimtestaat[[#This Row],[Frequentie weekend]]&gt;0,VALUE(LEFT(AF685,1))*S685,0)</f>
        <v>0</v>
      </c>
      <c r="AH685" s="455">
        <f>IF($AG685&gt;0,VLOOKUP($J685,Ruimtegroepen[],3,FALSE)*VLOOKUP($L685,Vloersoorten[],3,FALSE)*VLOOKUP($AF685,Frequenties[],3,FALSE)*VLOOKUP(#REF!,Locaties[],3,FALSE),0)</f>
        <v>0</v>
      </c>
      <c r="AI685" s="434">
        <f>Ruimtestaat[[#This Row],[Uitvoeringen weekend]]*Ruimtestaat[[#This Row],[Oppervlak (netto)]]</f>
        <v>0</v>
      </c>
      <c r="AJ685" s="434">
        <f>IF(AH685&gt;0,Ruimtestaat[[#This Row],[Prest. (m2 /jaar) weekend]]/Ruimtestaat[[#This Row],[Norm (m2/uur) weekend]],0)</f>
        <v>0</v>
      </c>
      <c r="AK685" s="444">
        <f>Ruimtestaat[[#This Row],[uren / jaar weekend]]*Tariefsopbouw!$D$40</f>
        <v>0</v>
      </c>
      <c r="AL685" s="441">
        <f>Ruimtestaat[[#This Row],[Prest. (m2 /jaar) weekend]]+Ruimtestaat[[#This Row],[Prest. (m2 /jaar) werkdagen]]</f>
        <v>0</v>
      </c>
      <c r="AM685" s="441">
        <f>Ruimtestaat[[#This Row],[uren / jaar weekend]]+Ruimtestaat[[#This Row],[uren / jaar werkdagen]]</f>
        <v>0</v>
      </c>
      <c r="AN685" s="446">
        <f>Ruimtestaat[[#This Row],[kosten / jaar weekend]]+Ruimtestaat[[#This Row],[kosten / jaar werkdagen]]</f>
        <v>0</v>
      </c>
      <c r="AO685" s="446"/>
      <c r="AP685" s="446" t="str">
        <f>IF(Ruimtestaat[[#This Row],[Frequentie werkdagen]]="","",_xlfn.CONCAT(Ruimtestaat[[#This Row],[Ruimte code]],"-",Ruimtestaat[[#This Row],[Frequentie werkdagen]]," ",Ruimtestaat[[#This Row],[Vloer code]]))</f>
        <v/>
      </c>
      <c r="AQ685" s="448" t="str">
        <f>_xlfn.IFNA(VLOOKUP($AP685,Programma!$F$3:$G$1101,2,0),"")</f>
        <v/>
      </c>
      <c r="AR685" s="448" t="str">
        <f>_xlfn.IFNA(VLOOKUP($AP685,Programma!$F$3:$H$1101,3,0),"")</f>
        <v/>
      </c>
      <c r="AS685" s="448" t="str">
        <f>_xlfn.IFNA(VLOOKUP($AP685,Programma!$F$3:$I$1101,4,0),"")</f>
        <v/>
      </c>
      <c r="AT685" s="448" t="str">
        <f>_xlfn.IFNA(VLOOKUP($AP685,Programma!$F$3:$J$1101,5,0),"")</f>
        <v/>
      </c>
      <c r="AU685" s="448" t="str">
        <f>_xlfn.IFNA(VLOOKUP($AP685,Programma!$F$3:$K$1101,6,0),"")</f>
        <v/>
      </c>
      <c r="AV685" s="448" t="str">
        <f>_xlfn.IFNA(VLOOKUP($AP685,Programma!$F$3:$L$1101,7,0),"")</f>
        <v/>
      </c>
      <c r="AW685" s="448" t="str">
        <f>_xlfn.IFNA(VLOOKUP($AP685,Programma!$F$3:$M$1101,8,0),"")</f>
        <v/>
      </c>
      <c r="AX685" s="448" t="str">
        <f>_xlfn.IFNA(VLOOKUP($AP685,Programma!$F$3:$N$1101,9,0),"")</f>
        <v/>
      </c>
      <c r="AY685" s="448" t="str">
        <f>_xlfn.IFNA(VLOOKUP($AP685,Programma!$F$3:$O$1101,10,0),"")</f>
        <v/>
      </c>
      <c r="AZ685" s="448" t="str">
        <f>_xlfn.IFNA(VLOOKUP($AP685,Programma!$F$3:$P$1101,11,0),"")</f>
        <v/>
      </c>
      <c r="BA685" s="448" t="str">
        <f>_xlfn.IFNA(VLOOKUP($AP685,Programma!$F$3:$Q$1101,12,0),"")</f>
        <v/>
      </c>
      <c r="BB685" s="448" t="str">
        <f>_xlfn.IFNA(VLOOKUP($AP685,Programma!$F$3:$R$1101,13,0),"")</f>
        <v/>
      </c>
      <c r="BC685" s="448" t="str">
        <f>_xlfn.IFNA(VLOOKUP($AP685,Programma!$F$3:$S$1101,14,0),"")</f>
        <v/>
      </c>
      <c r="BD685" s="448" t="str">
        <f>_xlfn.IFNA(VLOOKUP($AP685,Programma!$F$3:$T$1101,15,0),"")</f>
        <v/>
      </c>
      <c r="BE685" s="448" t="str">
        <f>_xlfn.IFNA(VLOOKUP($AP685,Programma!$F$3:$U$1101,16,0),"")</f>
        <v/>
      </c>
      <c r="BF685" s="448" t="str">
        <f>_xlfn.IFNA(VLOOKUP($AP685,Programma!$F$3:$V$1101,17,0),"")</f>
        <v/>
      </c>
      <c r="BG685" s="448" t="str">
        <f>_xlfn.IFNA(VLOOKUP($AP685,Programma!$F$3:$W$1101,18,0),"")</f>
        <v/>
      </c>
      <c r="BH685" s="448" t="str">
        <f>_xlfn.IFNA(VLOOKUP($AP685,Programma!$F$3:$X$1101,19,0),"")</f>
        <v/>
      </c>
      <c r="BI685" s="448" t="str">
        <f>_xlfn.IFNA(VLOOKUP($AP685,Programma!$F$3:$Y$1101,20,0),"")</f>
        <v/>
      </c>
      <c r="BJ685" s="449"/>
      <c r="BK685" s="446" t="str">
        <f>IF(Ruimtestaat[[#This Row],[Frequentie weekend]]="","",_xlfn.CONCAT(Ruimtestaat[[#This Row],[Ruimte code]],"-",Ruimtestaat[[#This Row],[Frequentie weekend]]," ",Ruimtestaat[[#This Row],[Vloer code]]))</f>
        <v/>
      </c>
      <c r="BL685" s="448" t="str">
        <f>_xlfn.IFNA(VLOOKUP($BK685,Programma!$F$3:$G$1101,2,0),"")</f>
        <v/>
      </c>
      <c r="BM685" s="448" t="str">
        <f>_xlfn.IFNA(VLOOKUP($BK685,Programma!$F$3:$H$1101,3,0),"")</f>
        <v/>
      </c>
      <c r="BN685" s="448" t="str">
        <f>_xlfn.IFNA(VLOOKUP($BK685,Programma!$F$3:$I$1101,4,0),"")</f>
        <v/>
      </c>
      <c r="BO685" s="448" t="str">
        <f>_xlfn.IFNA(VLOOKUP($BK685,Programma!$F$3:$J$1101,5,0),"")</f>
        <v/>
      </c>
      <c r="BP685" s="448" t="str">
        <f>_xlfn.IFNA(VLOOKUP($BK685,Programma!$F$3:$K$1101,6,0),"")</f>
        <v/>
      </c>
      <c r="BQ685" s="448" t="str">
        <f>_xlfn.IFNA(VLOOKUP($BK685,Programma!$F$3:$L$1101,7,0),"")</f>
        <v/>
      </c>
      <c r="BR685" s="448" t="str">
        <f>_xlfn.IFNA(VLOOKUP($BK685,Programma!$F$3:$M$1101,8,0),"")</f>
        <v/>
      </c>
      <c r="BS685" s="448" t="str">
        <f>_xlfn.IFNA(VLOOKUP($BK685,Programma!$F$3:$N$1101,9,0),"")</f>
        <v/>
      </c>
      <c r="BT685" s="448" t="str">
        <f>_xlfn.IFNA(VLOOKUP($BK685,Programma!$F$3:$O$1101,10,0),"")</f>
        <v/>
      </c>
      <c r="BU685" s="448" t="str">
        <f>_xlfn.IFNA(VLOOKUP($BK685,Programma!$F$3:$P$1101,11,0),"")</f>
        <v/>
      </c>
      <c r="BV685" s="448" t="str">
        <f>_xlfn.IFNA(VLOOKUP($BK685,Programma!$F$3:$Q$1101,12,0),"")</f>
        <v/>
      </c>
      <c r="BW685" s="448" t="str">
        <f>_xlfn.IFNA(VLOOKUP($BK685,Programma!$F$3:$R$1101,13,0),"")</f>
        <v/>
      </c>
      <c r="BX685" s="448" t="str">
        <f>_xlfn.IFNA(VLOOKUP($BK685,Programma!$F$3:$S$1101,14,0),"")</f>
        <v/>
      </c>
      <c r="BY685" s="448" t="str">
        <f>_xlfn.IFNA(VLOOKUP($BK685,Programma!$F$3:$T$1101,15,0),"")</f>
        <v/>
      </c>
      <c r="BZ685" s="448" t="str">
        <f>_xlfn.IFNA(VLOOKUP($BK685,Programma!$F$3:$U$1101,16,0),"")</f>
        <v/>
      </c>
      <c r="CA685" s="448" t="str">
        <f>_xlfn.IFNA(VLOOKUP($BK685,Programma!$F$3:$V$1101,17,0),"")</f>
        <v/>
      </c>
      <c r="CB685" s="448" t="str">
        <f>_xlfn.IFNA(VLOOKUP($BK685,Programma!$F$3:$W$1101,18,0),"")</f>
        <v/>
      </c>
      <c r="CC685" s="448" t="str">
        <f>_xlfn.IFNA(VLOOKUP($BK685,Programma!$F$3:$X$1101,19,0),"")</f>
        <v/>
      </c>
      <c r="CD685" s="448" t="str">
        <f>_xlfn.IFNA(VLOOKUP($BK685,Programma!$F$3:$Y$1101,20,0),"")</f>
        <v/>
      </c>
    </row>
    <row r="686" spans="1:82" ht="15" customHeight="1">
      <c r="A686" s="327">
        <v>15</v>
      </c>
      <c r="B686" s="435" t="str">
        <f>VLOOKUP(Ruimtestaat[[#This Row],[Code]],Locaties[[Code]:[Locatie]],2,FALSE)</f>
        <v>IKC  Da Vinci</v>
      </c>
      <c r="C686" s="435" t="str">
        <f>VLOOKUP(Ruimtestaat[[#This Row],[Code]],Locaties[[#All],[Code]:[Adres]],4,FALSE)</f>
        <v>Spitsbergen 17</v>
      </c>
      <c r="D686" s="435" t="str">
        <f>VLOOKUP(Ruimtestaat[[#This Row],[Code]],Locaties[[#All],[Code]:[Postcode]],5,FALSE)</f>
        <v>2721 GP</v>
      </c>
      <c r="E686" s="435" t="str">
        <f>VLOOKUP(Ruimtestaat[[#This Row],[Code]],Locaties[#All],6,FALSE)</f>
        <v>Zoetermeer</v>
      </c>
      <c r="F686" s="330" t="s">
        <v>2154</v>
      </c>
      <c r="I686" s="450" t="s">
        <v>1983</v>
      </c>
      <c r="J686" s="330">
        <v>20</v>
      </c>
      <c r="K686" s="450" t="str">
        <f>VLOOKUP(Ruimtestaat[[#This Row],[Ruimte code]],Ruimtegroepen[[#All],[Code]:[Ruimte omschrijving]],2,FALSE)</f>
        <v>Niet in Onderhoud</v>
      </c>
      <c r="M686" s="330"/>
      <c r="N686" s="439"/>
      <c r="O686" s="439">
        <v>54</v>
      </c>
      <c r="P686" s="439"/>
      <c r="Q686" s="439"/>
      <c r="R686" s="440">
        <f>VLOOKUP(Ruimtestaat[[#This Row],[Ruimte code]],Ruimtegroepen[],4,FALSE)</f>
        <v>0</v>
      </c>
      <c r="S686" s="434"/>
      <c r="T686" s="434"/>
      <c r="U686" s="453">
        <f>IF(S686&gt;0,IF(RIGHT(Ruimtestaat[[#This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6" s="434">
        <f>IF(U686&gt;0,VLOOKUP($J686,Ruimtegroepen[],3,FALSE)*VLOOKUP($L686,Vloersoorten[],3,FALSE)*VLOOKUP($T686,Frequenties[],3,FALSE)*VLOOKUP($A686,Locaties[],3,FALSE),0)</f>
        <v>0</v>
      </c>
      <c r="W686" s="434">
        <f>Ruimtestaat[[#This Row],[Uitvoeringen werkdagen]]*Ruimtestaat[[#This Row],[Oppervlak (netto)]]</f>
        <v>0</v>
      </c>
      <c r="X686" s="441">
        <f>IF(V686&gt;0,Ruimtestaat[[#This Row],[Prest. (m2 /jaar) werkdagen]]/Ruimtestaat[[#This Row],[Norm (m2/uur) werkdagen]],0)</f>
        <v>0</v>
      </c>
      <c r="Y686" s="442">
        <f>Ruimtestaat[[#This Row],[Uitvoeringen werkdagen]]*Ruimtestaat[[#This Row],[Gedeeltelijk]]</f>
        <v>0</v>
      </c>
      <c r="Z686" s="443">
        <f>IF(U686&gt;0,Ruimtestaat[[#This Row],[Prest. (m2 / jaar) werkdagen gedeeld]]/Ruimtestaat[[#This Row],[Norm (m2/uur) werkdagen]],0)</f>
        <v>0</v>
      </c>
      <c r="AA686" s="441">
        <f>Ruimtestaat[[#This Row],[uren / jaar werkdagen gedeeld]]*Tariefsopbouw!$E$35</f>
        <v>0</v>
      </c>
      <c r="AB686" s="441">
        <f>Ruimtestaat[[#This Row],[Uitvoeringen werkdagen]]*Ruimtestaat[[#This Row],[BSO]]</f>
        <v>0</v>
      </c>
      <c r="AC686" s="443">
        <f>IF(U686&gt;0,Ruimtestaat[[#This Row],[Prest. (m2 / jaar) werkdagen BSO]]/Ruimtestaat[[#This Row],[Norm (m2/uur) werkdagen]],0)</f>
        <v>0</v>
      </c>
      <c r="AD686" s="443">
        <f>Ruimtestaat[[#This Row],[uren / jaar werkdagen BSO]]*Tariefsopbouw!$E$35</f>
        <v>0</v>
      </c>
      <c r="AE686" s="444">
        <f>Ruimtestaat[[#This Row],[uren / jaar werkdagen]]*Tariefsopbouw!$E$35</f>
        <v>0</v>
      </c>
      <c r="AF686" s="454"/>
      <c r="AG686" s="455">
        <f>IF(Ruimtestaat[[#This Row],[Frequentie weekend]]&gt;0,VALUE(LEFT(AF686,1))*S686,0)</f>
        <v>0</v>
      </c>
      <c r="AH686" s="455">
        <f>IF($AG686&gt;0,VLOOKUP($J686,Ruimtegroepen[],3,FALSE)*VLOOKUP($L686,Vloersoorten[],3,FALSE)*VLOOKUP($AF686,Frequenties[],3,FALSE)*VLOOKUP(#REF!,Locaties[],3,FALSE),0)</f>
        <v>0</v>
      </c>
      <c r="AI686" s="434">
        <f>Ruimtestaat[[#This Row],[Uitvoeringen weekend]]*Ruimtestaat[[#This Row],[Oppervlak (netto)]]</f>
        <v>0</v>
      </c>
      <c r="AJ686" s="434">
        <f>IF(AH686&gt;0,Ruimtestaat[[#This Row],[Prest. (m2 /jaar) weekend]]/Ruimtestaat[[#This Row],[Norm (m2/uur) weekend]],0)</f>
        <v>0</v>
      </c>
      <c r="AK686" s="444">
        <f>Ruimtestaat[[#This Row],[uren / jaar weekend]]*Tariefsopbouw!$D$40</f>
        <v>0</v>
      </c>
      <c r="AL686" s="441">
        <f>Ruimtestaat[[#This Row],[Prest. (m2 /jaar) weekend]]+Ruimtestaat[[#This Row],[Prest. (m2 /jaar) werkdagen]]</f>
        <v>0</v>
      </c>
      <c r="AM686" s="441">
        <f>Ruimtestaat[[#This Row],[uren / jaar weekend]]+Ruimtestaat[[#This Row],[uren / jaar werkdagen]]</f>
        <v>0</v>
      </c>
      <c r="AN686" s="446">
        <f>Ruimtestaat[[#This Row],[kosten / jaar weekend]]+Ruimtestaat[[#This Row],[kosten / jaar werkdagen]]</f>
        <v>0</v>
      </c>
      <c r="AO686" s="446"/>
      <c r="AP686" s="446" t="str">
        <f>IF(Ruimtestaat[[#This Row],[Frequentie werkdagen]]="","",_xlfn.CONCAT(Ruimtestaat[[#This Row],[Ruimte code]],"-",Ruimtestaat[[#This Row],[Frequentie werkdagen]]," ",Ruimtestaat[[#This Row],[Vloer code]]))</f>
        <v/>
      </c>
      <c r="AQ686" s="448" t="str">
        <f>_xlfn.IFNA(VLOOKUP($AP686,Programma!$F$3:$G$1101,2,0),"")</f>
        <v/>
      </c>
      <c r="AR686" s="448" t="str">
        <f>_xlfn.IFNA(VLOOKUP($AP686,Programma!$F$3:$H$1101,3,0),"")</f>
        <v/>
      </c>
      <c r="AS686" s="448" t="str">
        <f>_xlfn.IFNA(VLOOKUP($AP686,Programma!$F$3:$I$1101,4,0),"")</f>
        <v/>
      </c>
      <c r="AT686" s="448" t="str">
        <f>_xlfn.IFNA(VLOOKUP($AP686,Programma!$F$3:$J$1101,5,0),"")</f>
        <v/>
      </c>
      <c r="AU686" s="448" t="str">
        <f>_xlfn.IFNA(VLOOKUP($AP686,Programma!$F$3:$K$1101,6,0),"")</f>
        <v/>
      </c>
      <c r="AV686" s="448" t="str">
        <f>_xlfn.IFNA(VLOOKUP($AP686,Programma!$F$3:$L$1101,7,0),"")</f>
        <v/>
      </c>
      <c r="AW686" s="448" t="str">
        <f>_xlfn.IFNA(VLOOKUP($AP686,Programma!$F$3:$M$1101,8,0),"")</f>
        <v/>
      </c>
      <c r="AX686" s="448" t="str">
        <f>_xlfn.IFNA(VLOOKUP($AP686,Programma!$F$3:$N$1101,9,0),"")</f>
        <v/>
      </c>
      <c r="AY686" s="448" t="str">
        <f>_xlfn.IFNA(VLOOKUP($AP686,Programma!$F$3:$O$1101,10,0),"")</f>
        <v/>
      </c>
      <c r="AZ686" s="448" t="str">
        <f>_xlfn.IFNA(VLOOKUP($AP686,Programma!$F$3:$P$1101,11,0),"")</f>
        <v/>
      </c>
      <c r="BA686" s="448" t="str">
        <f>_xlfn.IFNA(VLOOKUP($AP686,Programma!$F$3:$Q$1101,12,0),"")</f>
        <v/>
      </c>
      <c r="BB686" s="448" t="str">
        <f>_xlfn.IFNA(VLOOKUP($AP686,Programma!$F$3:$R$1101,13,0),"")</f>
        <v/>
      </c>
      <c r="BC686" s="448" t="str">
        <f>_xlfn.IFNA(VLOOKUP($AP686,Programma!$F$3:$S$1101,14,0),"")</f>
        <v/>
      </c>
      <c r="BD686" s="448" t="str">
        <f>_xlfn.IFNA(VLOOKUP($AP686,Programma!$F$3:$T$1101,15,0),"")</f>
        <v/>
      </c>
      <c r="BE686" s="448" t="str">
        <f>_xlfn.IFNA(VLOOKUP($AP686,Programma!$F$3:$U$1101,16,0),"")</f>
        <v/>
      </c>
      <c r="BF686" s="448" t="str">
        <f>_xlfn.IFNA(VLOOKUP($AP686,Programma!$F$3:$V$1101,17,0),"")</f>
        <v/>
      </c>
      <c r="BG686" s="448" t="str">
        <f>_xlfn.IFNA(VLOOKUP($AP686,Programma!$F$3:$W$1101,18,0),"")</f>
        <v/>
      </c>
      <c r="BH686" s="448" t="str">
        <f>_xlfn.IFNA(VLOOKUP($AP686,Programma!$F$3:$X$1101,19,0),"")</f>
        <v/>
      </c>
      <c r="BI686" s="448" t="str">
        <f>_xlfn.IFNA(VLOOKUP($AP686,Programma!$F$3:$Y$1101,20,0),"")</f>
        <v/>
      </c>
      <c r="BJ686" s="449"/>
      <c r="BK686" s="446" t="str">
        <f>IF(Ruimtestaat[[#This Row],[Frequentie weekend]]="","",_xlfn.CONCAT(Ruimtestaat[[#This Row],[Ruimte code]],"-",Ruimtestaat[[#This Row],[Frequentie weekend]]," ",Ruimtestaat[[#This Row],[Vloer code]]))</f>
        <v/>
      </c>
      <c r="BL686" s="448" t="str">
        <f>_xlfn.IFNA(VLOOKUP($BK686,Programma!$F$3:$G$1101,2,0),"")</f>
        <v/>
      </c>
      <c r="BM686" s="448" t="str">
        <f>_xlfn.IFNA(VLOOKUP($BK686,Programma!$F$3:$H$1101,3,0),"")</f>
        <v/>
      </c>
      <c r="BN686" s="448" t="str">
        <f>_xlfn.IFNA(VLOOKUP($BK686,Programma!$F$3:$I$1101,4,0),"")</f>
        <v/>
      </c>
      <c r="BO686" s="448" t="str">
        <f>_xlfn.IFNA(VLOOKUP($BK686,Programma!$F$3:$J$1101,5,0),"")</f>
        <v/>
      </c>
      <c r="BP686" s="448" t="str">
        <f>_xlfn.IFNA(VLOOKUP($BK686,Programma!$F$3:$K$1101,6,0),"")</f>
        <v/>
      </c>
      <c r="BQ686" s="448" t="str">
        <f>_xlfn.IFNA(VLOOKUP($BK686,Programma!$F$3:$L$1101,7,0),"")</f>
        <v/>
      </c>
      <c r="BR686" s="448" t="str">
        <f>_xlfn.IFNA(VLOOKUP($BK686,Programma!$F$3:$M$1101,8,0),"")</f>
        <v/>
      </c>
      <c r="BS686" s="448" t="str">
        <f>_xlfn.IFNA(VLOOKUP($BK686,Programma!$F$3:$N$1101,9,0),"")</f>
        <v/>
      </c>
      <c r="BT686" s="448" t="str">
        <f>_xlfn.IFNA(VLOOKUP($BK686,Programma!$F$3:$O$1101,10,0),"")</f>
        <v/>
      </c>
      <c r="BU686" s="448" t="str">
        <f>_xlfn.IFNA(VLOOKUP($BK686,Programma!$F$3:$P$1101,11,0),"")</f>
        <v/>
      </c>
      <c r="BV686" s="448" t="str">
        <f>_xlfn.IFNA(VLOOKUP($BK686,Programma!$F$3:$Q$1101,12,0),"")</f>
        <v/>
      </c>
      <c r="BW686" s="448" t="str">
        <f>_xlfn.IFNA(VLOOKUP($BK686,Programma!$F$3:$R$1101,13,0),"")</f>
        <v/>
      </c>
      <c r="BX686" s="448" t="str">
        <f>_xlfn.IFNA(VLOOKUP($BK686,Programma!$F$3:$S$1101,14,0),"")</f>
        <v/>
      </c>
      <c r="BY686" s="448" t="str">
        <f>_xlfn.IFNA(VLOOKUP($BK686,Programma!$F$3:$T$1101,15,0),"")</f>
        <v/>
      </c>
      <c r="BZ686" s="448" t="str">
        <f>_xlfn.IFNA(VLOOKUP($BK686,Programma!$F$3:$U$1101,16,0),"")</f>
        <v/>
      </c>
      <c r="CA686" s="448" t="str">
        <f>_xlfn.IFNA(VLOOKUP($BK686,Programma!$F$3:$V$1101,17,0),"")</f>
        <v/>
      </c>
      <c r="CB686" s="448" t="str">
        <f>_xlfn.IFNA(VLOOKUP($BK686,Programma!$F$3:$W$1101,18,0),"")</f>
        <v/>
      </c>
      <c r="CC686" s="448" t="str">
        <f>_xlfn.IFNA(VLOOKUP($BK686,Programma!$F$3:$X$1101,19,0),"")</f>
        <v/>
      </c>
      <c r="CD686" s="448" t="str">
        <f>_xlfn.IFNA(VLOOKUP($BK686,Programma!$F$3:$Y$1101,20,0),"")</f>
        <v/>
      </c>
    </row>
    <row r="687" spans="1:82" ht="15" customHeight="1">
      <c r="A687" s="327">
        <v>15</v>
      </c>
      <c r="B687" s="435" t="str">
        <f>VLOOKUP(Ruimtestaat[[#This Row],[Code]],Locaties[[Code]:[Locatie]],2,FALSE)</f>
        <v>IKC  Da Vinci</v>
      </c>
      <c r="C687" s="435" t="str">
        <f>VLOOKUP(Ruimtestaat[[#This Row],[Code]],Locaties[[#All],[Code]:[Adres]],4,FALSE)</f>
        <v>Spitsbergen 17</v>
      </c>
      <c r="D687" s="435" t="str">
        <f>VLOOKUP(Ruimtestaat[[#This Row],[Code]],Locaties[[#All],[Code]:[Postcode]],5,FALSE)</f>
        <v>2721 GP</v>
      </c>
      <c r="E687" s="435" t="str">
        <f>VLOOKUP(Ruimtestaat[[#This Row],[Code]],Locaties[#All],6,FALSE)</f>
        <v>Zoetermeer</v>
      </c>
      <c r="F687" s="330" t="s">
        <v>2154</v>
      </c>
      <c r="I687" s="450" t="s">
        <v>1983</v>
      </c>
      <c r="J687" s="330">
        <v>20</v>
      </c>
      <c r="K687" s="450" t="str">
        <f>VLOOKUP(Ruimtestaat[[#This Row],[Ruimte code]],Ruimtegroepen[[#All],[Code]:[Ruimte omschrijving]],2,FALSE)</f>
        <v>Niet in Onderhoud</v>
      </c>
      <c r="M687" s="330"/>
      <c r="N687" s="439"/>
      <c r="O687" s="439">
        <v>54</v>
      </c>
      <c r="P687" s="439"/>
      <c r="Q687" s="439"/>
      <c r="R687" s="440">
        <f>VLOOKUP(Ruimtestaat[[#This Row],[Ruimte code]],Ruimtegroepen[],4,FALSE)</f>
        <v>0</v>
      </c>
      <c r="S687" s="434"/>
      <c r="T687" s="434"/>
      <c r="U687" s="453">
        <f>IF(S687&gt;0,IF(RIGHT(Ruimtestaat[[#This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7" s="434">
        <f>IF(U687&gt;0,VLOOKUP($J687,Ruimtegroepen[],3,FALSE)*VLOOKUP($L687,Vloersoorten[],3,FALSE)*VLOOKUP($T687,Frequenties[],3,FALSE)*VLOOKUP($A687,Locaties[],3,FALSE),0)</f>
        <v>0</v>
      </c>
      <c r="W687" s="434">
        <f>Ruimtestaat[[#This Row],[Uitvoeringen werkdagen]]*Ruimtestaat[[#This Row],[Oppervlak (netto)]]</f>
        <v>0</v>
      </c>
      <c r="X687" s="441">
        <f>IF(V687&gt;0,Ruimtestaat[[#This Row],[Prest. (m2 /jaar) werkdagen]]/Ruimtestaat[[#This Row],[Norm (m2/uur) werkdagen]],0)</f>
        <v>0</v>
      </c>
      <c r="Y687" s="442">
        <f>Ruimtestaat[[#This Row],[Uitvoeringen werkdagen]]*Ruimtestaat[[#This Row],[Gedeeltelijk]]</f>
        <v>0</v>
      </c>
      <c r="Z687" s="443">
        <f>IF(U687&gt;0,Ruimtestaat[[#This Row],[Prest. (m2 / jaar) werkdagen gedeeld]]/Ruimtestaat[[#This Row],[Norm (m2/uur) werkdagen]],0)</f>
        <v>0</v>
      </c>
      <c r="AA687" s="441">
        <f>Ruimtestaat[[#This Row],[uren / jaar werkdagen gedeeld]]*Tariefsopbouw!$E$35</f>
        <v>0</v>
      </c>
      <c r="AB687" s="441">
        <f>Ruimtestaat[[#This Row],[Uitvoeringen werkdagen]]*Ruimtestaat[[#This Row],[BSO]]</f>
        <v>0</v>
      </c>
      <c r="AC687" s="443">
        <f>IF(U687&gt;0,Ruimtestaat[[#This Row],[Prest. (m2 / jaar) werkdagen BSO]]/Ruimtestaat[[#This Row],[Norm (m2/uur) werkdagen]],0)</f>
        <v>0</v>
      </c>
      <c r="AD687" s="443">
        <f>Ruimtestaat[[#This Row],[uren / jaar werkdagen BSO]]*Tariefsopbouw!$E$35</f>
        <v>0</v>
      </c>
      <c r="AE687" s="444">
        <f>Ruimtestaat[[#This Row],[uren / jaar werkdagen]]*Tariefsopbouw!$E$35</f>
        <v>0</v>
      </c>
      <c r="AF687" s="454"/>
      <c r="AG687" s="455">
        <f>IF(Ruimtestaat[[#This Row],[Frequentie weekend]]&gt;0,VALUE(LEFT(AF687,1))*S687,0)</f>
        <v>0</v>
      </c>
      <c r="AH687" s="455">
        <f>IF($AG687&gt;0,VLOOKUP($J687,Ruimtegroepen[],3,FALSE)*VLOOKUP($L687,Vloersoorten[],3,FALSE)*VLOOKUP($AF687,Frequenties[],3,FALSE)*VLOOKUP(#REF!,Locaties[],3,FALSE),0)</f>
        <v>0</v>
      </c>
      <c r="AI687" s="434">
        <f>Ruimtestaat[[#This Row],[Uitvoeringen weekend]]*Ruimtestaat[[#This Row],[Oppervlak (netto)]]</f>
        <v>0</v>
      </c>
      <c r="AJ687" s="434">
        <f>IF(AH687&gt;0,Ruimtestaat[[#This Row],[Prest. (m2 /jaar) weekend]]/Ruimtestaat[[#This Row],[Norm (m2/uur) weekend]],0)</f>
        <v>0</v>
      </c>
      <c r="AK687" s="444">
        <f>Ruimtestaat[[#This Row],[uren / jaar weekend]]*Tariefsopbouw!$D$40</f>
        <v>0</v>
      </c>
      <c r="AL687" s="441">
        <f>Ruimtestaat[[#This Row],[Prest. (m2 /jaar) weekend]]+Ruimtestaat[[#This Row],[Prest. (m2 /jaar) werkdagen]]</f>
        <v>0</v>
      </c>
      <c r="AM687" s="441">
        <f>Ruimtestaat[[#This Row],[uren / jaar weekend]]+Ruimtestaat[[#This Row],[uren / jaar werkdagen]]</f>
        <v>0</v>
      </c>
      <c r="AN687" s="446">
        <f>Ruimtestaat[[#This Row],[kosten / jaar weekend]]+Ruimtestaat[[#This Row],[kosten / jaar werkdagen]]</f>
        <v>0</v>
      </c>
      <c r="AO687" s="446"/>
      <c r="AP687" s="446" t="str">
        <f>IF(Ruimtestaat[[#This Row],[Frequentie werkdagen]]="","",_xlfn.CONCAT(Ruimtestaat[[#This Row],[Ruimte code]],"-",Ruimtestaat[[#This Row],[Frequentie werkdagen]]," ",Ruimtestaat[[#This Row],[Vloer code]]))</f>
        <v/>
      </c>
      <c r="AQ687" s="448" t="str">
        <f>_xlfn.IFNA(VLOOKUP($AP687,Programma!$F$3:$G$1101,2,0),"")</f>
        <v/>
      </c>
      <c r="AR687" s="448" t="str">
        <f>_xlfn.IFNA(VLOOKUP($AP687,Programma!$F$3:$H$1101,3,0),"")</f>
        <v/>
      </c>
      <c r="AS687" s="448" t="str">
        <f>_xlfn.IFNA(VLOOKUP($AP687,Programma!$F$3:$I$1101,4,0),"")</f>
        <v/>
      </c>
      <c r="AT687" s="448" t="str">
        <f>_xlfn.IFNA(VLOOKUP($AP687,Programma!$F$3:$J$1101,5,0),"")</f>
        <v/>
      </c>
      <c r="AU687" s="448" t="str">
        <f>_xlfn.IFNA(VLOOKUP($AP687,Programma!$F$3:$K$1101,6,0),"")</f>
        <v/>
      </c>
      <c r="AV687" s="448" t="str">
        <f>_xlfn.IFNA(VLOOKUP($AP687,Programma!$F$3:$L$1101,7,0),"")</f>
        <v/>
      </c>
      <c r="AW687" s="448" t="str">
        <f>_xlfn.IFNA(VLOOKUP($AP687,Programma!$F$3:$M$1101,8,0),"")</f>
        <v/>
      </c>
      <c r="AX687" s="448" t="str">
        <f>_xlfn.IFNA(VLOOKUP($AP687,Programma!$F$3:$N$1101,9,0),"")</f>
        <v/>
      </c>
      <c r="AY687" s="448" t="str">
        <f>_xlfn.IFNA(VLOOKUP($AP687,Programma!$F$3:$O$1101,10,0),"")</f>
        <v/>
      </c>
      <c r="AZ687" s="448" t="str">
        <f>_xlfn.IFNA(VLOOKUP($AP687,Programma!$F$3:$P$1101,11,0),"")</f>
        <v/>
      </c>
      <c r="BA687" s="448" t="str">
        <f>_xlfn.IFNA(VLOOKUP($AP687,Programma!$F$3:$Q$1101,12,0),"")</f>
        <v/>
      </c>
      <c r="BB687" s="448" t="str">
        <f>_xlfn.IFNA(VLOOKUP($AP687,Programma!$F$3:$R$1101,13,0),"")</f>
        <v/>
      </c>
      <c r="BC687" s="448" t="str">
        <f>_xlfn.IFNA(VLOOKUP($AP687,Programma!$F$3:$S$1101,14,0),"")</f>
        <v/>
      </c>
      <c r="BD687" s="448" t="str">
        <f>_xlfn.IFNA(VLOOKUP($AP687,Programma!$F$3:$T$1101,15,0),"")</f>
        <v/>
      </c>
      <c r="BE687" s="448" t="str">
        <f>_xlfn.IFNA(VLOOKUP($AP687,Programma!$F$3:$U$1101,16,0),"")</f>
        <v/>
      </c>
      <c r="BF687" s="448" t="str">
        <f>_xlfn.IFNA(VLOOKUP($AP687,Programma!$F$3:$V$1101,17,0),"")</f>
        <v/>
      </c>
      <c r="BG687" s="448" t="str">
        <f>_xlfn.IFNA(VLOOKUP($AP687,Programma!$F$3:$W$1101,18,0),"")</f>
        <v/>
      </c>
      <c r="BH687" s="448" t="str">
        <f>_xlfn.IFNA(VLOOKUP($AP687,Programma!$F$3:$X$1101,19,0),"")</f>
        <v/>
      </c>
      <c r="BI687" s="448" t="str">
        <f>_xlfn.IFNA(VLOOKUP($AP687,Programma!$F$3:$Y$1101,20,0),"")</f>
        <v/>
      </c>
      <c r="BJ687" s="449"/>
      <c r="BK687" s="446" t="str">
        <f>IF(Ruimtestaat[[#This Row],[Frequentie weekend]]="","",_xlfn.CONCAT(Ruimtestaat[[#This Row],[Ruimte code]],"-",Ruimtestaat[[#This Row],[Frequentie weekend]]," ",Ruimtestaat[[#This Row],[Vloer code]]))</f>
        <v/>
      </c>
      <c r="BL687" s="448" t="str">
        <f>_xlfn.IFNA(VLOOKUP($BK687,Programma!$F$3:$G$1101,2,0),"")</f>
        <v/>
      </c>
      <c r="BM687" s="448" t="str">
        <f>_xlfn.IFNA(VLOOKUP($BK687,Programma!$F$3:$H$1101,3,0),"")</f>
        <v/>
      </c>
      <c r="BN687" s="448" t="str">
        <f>_xlfn.IFNA(VLOOKUP($BK687,Programma!$F$3:$I$1101,4,0),"")</f>
        <v/>
      </c>
      <c r="BO687" s="448" t="str">
        <f>_xlfn.IFNA(VLOOKUP($BK687,Programma!$F$3:$J$1101,5,0),"")</f>
        <v/>
      </c>
      <c r="BP687" s="448" t="str">
        <f>_xlfn.IFNA(VLOOKUP($BK687,Programma!$F$3:$K$1101,6,0),"")</f>
        <v/>
      </c>
      <c r="BQ687" s="448" t="str">
        <f>_xlfn.IFNA(VLOOKUP($BK687,Programma!$F$3:$L$1101,7,0),"")</f>
        <v/>
      </c>
      <c r="BR687" s="448" t="str">
        <f>_xlfn.IFNA(VLOOKUP($BK687,Programma!$F$3:$M$1101,8,0),"")</f>
        <v/>
      </c>
      <c r="BS687" s="448" t="str">
        <f>_xlfn.IFNA(VLOOKUP($BK687,Programma!$F$3:$N$1101,9,0),"")</f>
        <v/>
      </c>
      <c r="BT687" s="448" t="str">
        <f>_xlfn.IFNA(VLOOKUP($BK687,Programma!$F$3:$O$1101,10,0),"")</f>
        <v/>
      </c>
      <c r="BU687" s="448" t="str">
        <f>_xlfn.IFNA(VLOOKUP($BK687,Programma!$F$3:$P$1101,11,0),"")</f>
        <v/>
      </c>
      <c r="BV687" s="448" t="str">
        <f>_xlfn.IFNA(VLOOKUP($BK687,Programma!$F$3:$Q$1101,12,0),"")</f>
        <v/>
      </c>
      <c r="BW687" s="448" t="str">
        <f>_xlfn.IFNA(VLOOKUP($BK687,Programma!$F$3:$R$1101,13,0),"")</f>
        <v/>
      </c>
      <c r="BX687" s="448" t="str">
        <f>_xlfn.IFNA(VLOOKUP($BK687,Programma!$F$3:$S$1101,14,0),"")</f>
        <v/>
      </c>
      <c r="BY687" s="448" t="str">
        <f>_xlfn.IFNA(VLOOKUP($BK687,Programma!$F$3:$T$1101,15,0),"")</f>
        <v/>
      </c>
      <c r="BZ687" s="448" t="str">
        <f>_xlfn.IFNA(VLOOKUP($BK687,Programma!$F$3:$U$1101,16,0),"")</f>
        <v/>
      </c>
      <c r="CA687" s="448" t="str">
        <f>_xlfn.IFNA(VLOOKUP($BK687,Programma!$F$3:$V$1101,17,0),"")</f>
        <v/>
      </c>
      <c r="CB687" s="448" t="str">
        <f>_xlfn.IFNA(VLOOKUP($BK687,Programma!$F$3:$W$1101,18,0),"")</f>
        <v/>
      </c>
      <c r="CC687" s="448" t="str">
        <f>_xlfn.IFNA(VLOOKUP($BK687,Programma!$F$3:$X$1101,19,0),"")</f>
        <v/>
      </c>
      <c r="CD687" s="448" t="str">
        <f>_xlfn.IFNA(VLOOKUP($BK687,Programma!$F$3:$Y$1101,20,0),"")</f>
        <v/>
      </c>
    </row>
    <row r="688" spans="1:82" ht="15" customHeight="1">
      <c r="A688" s="327">
        <v>15</v>
      </c>
      <c r="B688" s="435" t="str">
        <f>VLOOKUP(Ruimtestaat[[#This Row],[Code]],Locaties[[Code]:[Locatie]],2,FALSE)</f>
        <v>IKC  Da Vinci</v>
      </c>
      <c r="C688" s="435" t="str">
        <f>VLOOKUP(Ruimtestaat[[#This Row],[Code]],Locaties[[#All],[Code]:[Adres]],4,FALSE)</f>
        <v>Spitsbergen 17</v>
      </c>
      <c r="D688" s="435" t="str">
        <f>VLOOKUP(Ruimtestaat[[#This Row],[Code]],Locaties[[#All],[Code]:[Postcode]],5,FALSE)</f>
        <v>2721 GP</v>
      </c>
      <c r="E688" s="435" t="str">
        <f>VLOOKUP(Ruimtestaat[[#This Row],[Code]],Locaties[#All],6,FALSE)</f>
        <v>Zoetermeer</v>
      </c>
      <c r="F688" s="330" t="s">
        <v>2154</v>
      </c>
      <c r="I688" s="450" t="s">
        <v>1983</v>
      </c>
      <c r="J688" s="330">
        <v>20</v>
      </c>
      <c r="K688" s="450" t="str">
        <f>VLOOKUP(Ruimtestaat[[#This Row],[Ruimte code]],Ruimtegroepen[[#All],[Code]:[Ruimte omschrijving]],2,FALSE)</f>
        <v>Niet in Onderhoud</v>
      </c>
      <c r="M688" s="330"/>
      <c r="N688" s="439"/>
      <c r="O688" s="439">
        <v>55</v>
      </c>
      <c r="P688" s="439"/>
      <c r="Q688" s="439"/>
      <c r="R688" s="440">
        <f>VLOOKUP(Ruimtestaat[[#This Row],[Ruimte code]],Ruimtegroepen[],4,FALSE)</f>
        <v>0</v>
      </c>
      <c r="S688" s="434"/>
      <c r="T688" s="434"/>
      <c r="U688" s="453">
        <f>IF(S688&gt;0,IF(RIGHT(Ruimtestaat[[#This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8" s="434">
        <f>IF(U688&gt;0,VLOOKUP($J688,Ruimtegroepen[],3,FALSE)*VLOOKUP($L688,Vloersoorten[],3,FALSE)*VLOOKUP($T688,Frequenties[],3,FALSE)*VLOOKUP($A688,Locaties[],3,FALSE),0)</f>
        <v>0</v>
      </c>
      <c r="W688" s="434">
        <f>Ruimtestaat[[#This Row],[Uitvoeringen werkdagen]]*Ruimtestaat[[#This Row],[Oppervlak (netto)]]</f>
        <v>0</v>
      </c>
      <c r="X688" s="441">
        <f>IF(V688&gt;0,Ruimtestaat[[#This Row],[Prest. (m2 /jaar) werkdagen]]/Ruimtestaat[[#This Row],[Norm (m2/uur) werkdagen]],0)</f>
        <v>0</v>
      </c>
      <c r="Y688" s="442">
        <f>Ruimtestaat[[#This Row],[Uitvoeringen werkdagen]]*Ruimtestaat[[#This Row],[Gedeeltelijk]]</f>
        <v>0</v>
      </c>
      <c r="Z688" s="443">
        <f>IF(U688&gt;0,Ruimtestaat[[#This Row],[Prest. (m2 / jaar) werkdagen gedeeld]]/Ruimtestaat[[#This Row],[Norm (m2/uur) werkdagen]],0)</f>
        <v>0</v>
      </c>
      <c r="AA688" s="441">
        <f>Ruimtestaat[[#This Row],[uren / jaar werkdagen gedeeld]]*Tariefsopbouw!$E$35</f>
        <v>0</v>
      </c>
      <c r="AB688" s="441">
        <f>Ruimtestaat[[#This Row],[Uitvoeringen werkdagen]]*Ruimtestaat[[#This Row],[BSO]]</f>
        <v>0</v>
      </c>
      <c r="AC688" s="443">
        <f>IF(U688&gt;0,Ruimtestaat[[#This Row],[Prest. (m2 / jaar) werkdagen BSO]]/Ruimtestaat[[#This Row],[Norm (m2/uur) werkdagen]],0)</f>
        <v>0</v>
      </c>
      <c r="AD688" s="443">
        <f>Ruimtestaat[[#This Row],[uren / jaar werkdagen BSO]]*Tariefsopbouw!$E$35</f>
        <v>0</v>
      </c>
      <c r="AE688" s="444">
        <f>Ruimtestaat[[#This Row],[uren / jaar werkdagen]]*Tariefsopbouw!$E$35</f>
        <v>0</v>
      </c>
      <c r="AF688" s="454"/>
      <c r="AG688" s="455">
        <f>IF(Ruimtestaat[[#This Row],[Frequentie weekend]]&gt;0,VALUE(LEFT(AF688,1))*S688,0)</f>
        <v>0</v>
      </c>
      <c r="AH688" s="455">
        <f>IF($AG688&gt;0,VLOOKUP($J688,Ruimtegroepen[],3,FALSE)*VLOOKUP($L688,Vloersoorten[],3,FALSE)*VLOOKUP($AF688,Frequenties[],3,FALSE)*VLOOKUP(#REF!,Locaties[],3,FALSE),0)</f>
        <v>0</v>
      </c>
      <c r="AI688" s="434">
        <f>Ruimtestaat[[#This Row],[Uitvoeringen weekend]]*Ruimtestaat[[#This Row],[Oppervlak (netto)]]</f>
        <v>0</v>
      </c>
      <c r="AJ688" s="434">
        <f>IF(AH688&gt;0,Ruimtestaat[[#This Row],[Prest. (m2 /jaar) weekend]]/Ruimtestaat[[#This Row],[Norm (m2/uur) weekend]],0)</f>
        <v>0</v>
      </c>
      <c r="AK688" s="444">
        <f>Ruimtestaat[[#This Row],[uren / jaar weekend]]*Tariefsopbouw!$D$40</f>
        <v>0</v>
      </c>
      <c r="AL688" s="441">
        <f>Ruimtestaat[[#This Row],[Prest. (m2 /jaar) weekend]]+Ruimtestaat[[#This Row],[Prest. (m2 /jaar) werkdagen]]</f>
        <v>0</v>
      </c>
      <c r="AM688" s="441">
        <f>Ruimtestaat[[#This Row],[uren / jaar weekend]]+Ruimtestaat[[#This Row],[uren / jaar werkdagen]]</f>
        <v>0</v>
      </c>
      <c r="AN688" s="446">
        <f>Ruimtestaat[[#This Row],[kosten / jaar weekend]]+Ruimtestaat[[#This Row],[kosten / jaar werkdagen]]</f>
        <v>0</v>
      </c>
      <c r="AO688" s="446"/>
      <c r="AP688" s="446" t="str">
        <f>IF(Ruimtestaat[[#This Row],[Frequentie werkdagen]]="","",_xlfn.CONCAT(Ruimtestaat[[#This Row],[Ruimte code]],"-",Ruimtestaat[[#This Row],[Frequentie werkdagen]]," ",Ruimtestaat[[#This Row],[Vloer code]]))</f>
        <v/>
      </c>
      <c r="AQ688" s="448" t="str">
        <f>_xlfn.IFNA(VLOOKUP($AP688,Programma!$F$3:$G$1101,2,0),"")</f>
        <v/>
      </c>
      <c r="AR688" s="448" t="str">
        <f>_xlfn.IFNA(VLOOKUP($AP688,Programma!$F$3:$H$1101,3,0),"")</f>
        <v/>
      </c>
      <c r="AS688" s="448" t="str">
        <f>_xlfn.IFNA(VLOOKUP($AP688,Programma!$F$3:$I$1101,4,0),"")</f>
        <v/>
      </c>
      <c r="AT688" s="448" t="str">
        <f>_xlfn.IFNA(VLOOKUP($AP688,Programma!$F$3:$J$1101,5,0),"")</f>
        <v/>
      </c>
      <c r="AU688" s="448" t="str">
        <f>_xlfn.IFNA(VLOOKUP($AP688,Programma!$F$3:$K$1101,6,0),"")</f>
        <v/>
      </c>
      <c r="AV688" s="448" t="str">
        <f>_xlfn.IFNA(VLOOKUP($AP688,Programma!$F$3:$L$1101,7,0),"")</f>
        <v/>
      </c>
      <c r="AW688" s="448" t="str">
        <f>_xlfn.IFNA(VLOOKUP($AP688,Programma!$F$3:$M$1101,8,0),"")</f>
        <v/>
      </c>
      <c r="AX688" s="448" t="str">
        <f>_xlfn.IFNA(VLOOKUP($AP688,Programma!$F$3:$N$1101,9,0),"")</f>
        <v/>
      </c>
      <c r="AY688" s="448" t="str">
        <f>_xlfn.IFNA(VLOOKUP($AP688,Programma!$F$3:$O$1101,10,0),"")</f>
        <v/>
      </c>
      <c r="AZ688" s="448" t="str">
        <f>_xlfn.IFNA(VLOOKUP($AP688,Programma!$F$3:$P$1101,11,0),"")</f>
        <v/>
      </c>
      <c r="BA688" s="448" t="str">
        <f>_xlfn.IFNA(VLOOKUP($AP688,Programma!$F$3:$Q$1101,12,0),"")</f>
        <v/>
      </c>
      <c r="BB688" s="448" t="str">
        <f>_xlfn.IFNA(VLOOKUP($AP688,Programma!$F$3:$R$1101,13,0),"")</f>
        <v/>
      </c>
      <c r="BC688" s="448" t="str">
        <f>_xlfn.IFNA(VLOOKUP($AP688,Programma!$F$3:$S$1101,14,0),"")</f>
        <v/>
      </c>
      <c r="BD688" s="448" t="str">
        <f>_xlfn.IFNA(VLOOKUP($AP688,Programma!$F$3:$T$1101,15,0),"")</f>
        <v/>
      </c>
      <c r="BE688" s="448" t="str">
        <f>_xlfn.IFNA(VLOOKUP($AP688,Programma!$F$3:$U$1101,16,0),"")</f>
        <v/>
      </c>
      <c r="BF688" s="448" t="str">
        <f>_xlfn.IFNA(VLOOKUP($AP688,Programma!$F$3:$V$1101,17,0),"")</f>
        <v/>
      </c>
      <c r="BG688" s="448" t="str">
        <f>_xlfn.IFNA(VLOOKUP($AP688,Programma!$F$3:$W$1101,18,0),"")</f>
        <v/>
      </c>
      <c r="BH688" s="448" t="str">
        <f>_xlfn.IFNA(VLOOKUP($AP688,Programma!$F$3:$X$1101,19,0),"")</f>
        <v/>
      </c>
      <c r="BI688" s="448" t="str">
        <f>_xlfn.IFNA(VLOOKUP($AP688,Programma!$F$3:$Y$1101,20,0),"")</f>
        <v/>
      </c>
      <c r="BJ688" s="449"/>
      <c r="BK688" s="446" t="str">
        <f>IF(Ruimtestaat[[#This Row],[Frequentie weekend]]="","",_xlfn.CONCAT(Ruimtestaat[[#This Row],[Ruimte code]],"-",Ruimtestaat[[#This Row],[Frequentie weekend]]," ",Ruimtestaat[[#This Row],[Vloer code]]))</f>
        <v/>
      </c>
      <c r="BL688" s="448" t="str">
        <f>_xlfn.IFNA(VLOOKUP($BK688,Programma!$F$3:$G$1101,2,0),"")</f>
        <v/>
      </c>
      <c r="BM688" s="448" t="str">
        <f>_xlfn.IFNA(VLOOKUP($BK688,Programma!$F$3:$H$1101,3,0),"")</f>
        <v/>
      </c>
      <c r="BN688" s="448" t="str">
        <f>_xlfn.IFNA(VLOOKUP($BK688,Programma!$F$3:$I$1101,4,0),"")</f>
        <v/>
      </c>
      <c r="BO688" s="448" t="str">
        <f>_xlfn.IFNA(VLOOKUP($BK688,Programma!$F$3:$J$1101,5,0),"")</f>
        <v/>
      </c>
      <c r="BP688" s="448" t="str">
        <f>_xlfn.IFNA(VLOOKUP($BK688,Programma!$F$3:$K$1101,6,0),"")</f>
        <v/>
      </c>
      <c r="BQ688" s="448" t="str">
        <f>_xlfn.IFNA(VLOOKUP($BK688,Programma!$F$3:$L$1101,7,0),"")</f>
        <v/>
      </c>
      <c r="BR688" s="448" t="str">
        <f>_xlfn.IFNA(VLOOKUP($BK688,Programma!$F$3:$M$1101,8,0),"")</f>
        <v/>
      </c>
      <c r="BS688" s="448" t="str">
        <f>_xlfn.IFNA(VLOOKUP($BK688,Programma!$F$3:$N$1101,9,0),"")</f>
        <v/>
      </c>
      <c r="BT688" s="448" t="str">
        <f>_xlfn.IFNA(VLOOKUP($BK688,Programma!$F$3:$O$1101,10,0),"")</f>
        <v/>
      </c>
      <c r="BU688" s="448" t="str">
        <f>_xlfn.IFNA(VLOOKUP($BK688,Programma!$F$3:$P$1101,11,0),"")</f>
        <v/>
      </c>
      <c r="BV688" s="448" t="str">
        <f>_xlfn.IFNA(VLOOKUP($BK688,Programma!$F$3:$Q$1101,12,0),"")</f>
        <v/>
      </c>
      <c r="BW688" s="448" t="str">
        <f>_xlfn.IFNA(VLOOKUP($BK688,Programma!$F$3:$R$1101,13,0),"")</f>
        <v/>
      </c>
      <c r="BX688" s="448" t="str">
        <f>_xlfn.IFNA(VLOOKUP($BK688,Programma!$F$3:$S$1101,14,0),"")</f>
        <v/>
      </c>
      <c r="BY688" s="448" t="str">
        <f>_xlfn.IFNA(VLOOKUP($BK688,Programma!$F$3:$T$1101,15,0),"")</f>
        <v/>
      </c>
      <c r="BZ688" s="448" t="str">
        <f>_xlfn.IFNA(VLOOKUP($BK688,Programma!$F$3:$U$1101,16,0),"")</f>
        <v/>
      </c>
      <c r="CA688" s="448" t="str">
        <f>_xlfn.IFNA(VLOOKUP($BK688,Programma!$F$3:$V$1101,17,0),"")</f>
        <v/>
      </c>
      <c r="CB688" s="448" t="str">
        <f>_xlfn.IFNA(VLOOKUP($BK688,Programma!$F$3:$W$1101,18,0),"")</f>
        <v/>
      </c>
      <c r="CC688" s="448" t="str">
        <f>_xlfn.IFNA(VLOOKUP($BK688,Programma!$F$3:$X$1101,19,0),"")</f>
        <v/>
      </c>
      <c r="CD688" s="448" t="str">
        <f>_xlfn.IFNA(VLOOKUP($BK688,Programma!$F$3:$Y$1101,20,0),"")</f>
        <v/>
      </c>
    </row>
    <row r="689" spans="1:82" ht="15" customHeight="1">
      <c r="A689" s="327">
        <v>15</v>
      </c>
      <c r="B689" s="435" t="str">
        <f>VLOOKUP(Ruimtestaat[[#This Row],[Code]],Locaties[[Code]:[Locatie]],2,FALSE)</f>
        <v>IKC  Da Vinci</v>
      </c>
      <c r="C689" s="435" t="str">
        <f>VLOOKUP(Ruimtestaat[[#This Row],[Code]],Locaties[[#All],[Code]:[Adres]],4,FALSE)</f>
        <v>Spitsbergen 17</v>
      </c>
      <c r="D689" s="435" t="str">
        <f>VLOOKUP(Ruimtestaat[[#This Row],[Code]],Locaties[[#All],[Code]:[Postcode]],5,FALSE)</f>
        <v>2721 GP</v>
      </c>
      <c r="E689" s="435" t="str">
        <f>VLOOKUP(Ruimtestaat[[#This Row],[Code]],Locaties[#All],6,FALSE)</f>
        <v>Zoetermeer</v>
      </c>
      <c r="F689" s="330" t="s">
        <v>2154</v>
      </c>
      <c r="I689" s="450" t="s">
        <v>1983</v>
      </c>
      <c r="J689" s="330">
        <v>20</v>
      </c>
      <c r="K689" s="450" t="str">
        <f>VLOOKUP(Ruimtestaat[[#This Row],[Ruimte code]],Ruimtegroepen[[#All],[Code]:[Ruimte omschrijving]],2,FALSE)</f>
        <v>Niet in Onderhoud</v>
      </c>
      <c r="M689" s="330"/>
      <c r="N689" s="439"/>
      <c r="O689" s="439">
        <v>55</v>
      </c>
      <c r="P689" s="439"/>
      <c r="Q689" s="439"/>
      <c r="R689" s="440">
        <f>VLOOKUP(Ruimtestaat[[#This Row],[Ruimte code]],Ruimtegroepen[],4,FALSE)</f>
        <v>0</v>
      </c>
      <c r="S689" s="434"/>
      <c r="T689" s="434"/>
      <c r="U689" s="453">
        <f>IF(S689&gt;0,IF(RIGHT(Ruimtestaat[[#This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9" s="434">
        <f>IF(U689&gt;0,VLOOKUP($J689,Ruimtegroepen[],3,FALSE)*VLOOKUP($L689,Vloersoorten[],3,FALSE)*VLOOKUP($T689,Frequenties[],3,FALSE)*VLOOKUP($A689,Locaties[],3,FALSE),0)</f>
        <v>0</v>
      </c>
      <c r="W689" s="434">
        <f>Ruimtestaat[[#This Row],[Uitvoeringen werkdagen]]*Ruimtestaat[[#This Row],[Oppervlak (netto)]]</f>
        <v>0</v>
      </c>
      <c r="X689" s="441">
        <f>IF(V689&gt;0,Ruimtestaat[[#This Row],[Prest. (m2 /jaar) werkdagen]]/Ruimtestaat[[#This Row],[Norm (m2/uur) werkdagen]],0)</f>
        <v>0</v>
      </c>
      <c r="Y689" s="442">
        <f>Ruimtestaat[[#This Row],[Uitvoeringen werkdagen]]*Ruimtestaat[[#This Row],[Gedeeltelijk]]</f>
        <v>0</v>
      </c>
      <c r="Z689" s="443">
        <f>IF(U689&gt;0,Ruimtestaat[[#This Row],[Prest. (m2 / jaar) werkdagen gedeeld]]/Ruimtestaat[[#This Row],[Norm (m2/uur) werkdagen]],0)</f>
        <v>0</v>
      </c>
      <c r="AA689" s="441">
        <f>Ruimtestaat[[#This Row],[uren / jaar werkdagen gedeeld]]*Tariefsopbouw!$E$35</f>
        <v>0</v>
      </c>
      <c r="AB689" s="441">
        <f>Ruimtestaat[[#This Row],[Uitvoeringen werkdagen]]*Ruimtestaat[[#This Row],[BSO]]</f>
        <v>0</v>
      </c>
      <c r="AC689" s="443">
        <f>IF(U689&gt;0,Ruimtestaat[[#This Row],[Prest. (m2 / jaar) werkdagen BSO]]/Ruimtestaat[[#This Row],[Norm (m2/uur) werkdagen]],0)</f>
        <v>0</v>
      </c>
      <c r="AD689" s="443">
        <f>Ruimtestaat[[#This Row],[uren / jaar werkdagen BSO]]*Tariefsopbouw!$E$35</f>
        <v>0</v>
      </c>
      <c r="AE689" s="444">
        <f>Ruimtestaat[[#This Row],[uren / jaar werkdagen]]*Tariefsopbouw!$E$35</f>
        <v>0</v>
      </c>
      <c r="AF689" s="454"/>
      <c r="AG689" s="455">
        <f>IF(Ruimtestaat[[#This Row],[Frequentie weekend]]&gt;0,VALUE(LEFT(AF689,1))*S689,0)</f>
        <v>0</v>
      </c>
      <c r="AH689" s="455">
        <f>IF($AG689&gt;0,VLOOKUP($J689,Ruimtegroepen[],3,FALSE)*VLOOKUP($L689,Vloersoorten[],3,FALSE)*VLOOKUP($AF689,Frequenties[],3,FALSE)*VLOOKUP(#REF!,Locaties[],3,FALSE),0)</f>
        <v>0</v>
      </c>
      <c r="AI689" s="434">
        <f>Ruimtestaat[[#This Row],[Uitvoeringen weekend]]*Ruimtestaat[[#This Row],[Oppervlak (netto)]]</f>
        <v>0</v>
      </c>
      <c r="AJ689" s="434">
        <f>IF(AH689&gt;0,Ruimtestaat[[#This Row],[Prest. (m2 /jaar) weekend]]/Ruimtestaat[[#This Row],[Norm (m2/uur) weekend]],0)</f>
        <v>0</v>
      </c>
      <c r="AK689" s="444">
        <f>Ruimtestaat[[#This Row],[uren / jaar weekend]]*Tariefsopbouw!$D$40</f>
        <v>0</v>
      </c>
      <c r="AL689" s="441">
        <f>Ruimtestaat[[#This Row],[Prest. (m2 /jaar) weekend]]+Ruimtestaat[[#This Row],[Prest. (m2 /jaar) werkdagen]]</f>
        <v>0</v>
      </c>
      <c r="AM689" s="441">
        <f>Ruimtestaat[[#This Row],[uren / jaar weekend]]+Ruimtestaat[[#This Row],[uren / jaar werkdagen]]</f>
        <v>0</v>
      </c>
      <c r="AN689" s="446">
        <f>Ruimtestaat[[#This Row],[kosten / jaar weekend]]+Ruimtestaat[[#This Row],[kosten / jaar werkdagen]]</f>
        <v>0</v>
      </c>
      <c r="AO689" s="446"/>
      <c r="AP689" s="446" t="str">
        <f>IF(Ruimtestaat[[#This Row],[Frequentie werkdagen]]="","",_xlfn.CONCAT(Ruimtestaat[[#This Row],[Ruimte code]],"-",Ruimtestaat[[#This Row],[Frequentie werkdagen]]," ",Ruimtestaat[[#This Row],[Vloer code]]))</f>
        <v/>
      </c>
      <c r="AQ689" s="448" t="str">
        <f>_xlfn.IFNA(VLOOKUP($AP689,Programma!$F$3:$G$1101,2,0),"")</f>
        <v/>
      </c>
      <c r="AR689" s="448" t="str">
        <f>_xlfn.IFNA(VLOOKUP($AP689,Programma!$F$3:$H$1101,3,0),"")</f>
        <v/>
      </c>
      <c r="AS689" s="448" t="str">
        <f>_xlfn.IFNA(VLOOKUP($AP689,Programma!$F$3:$I$1101,4,0),"")</f>
        <v/>
      </c>
      <c r="AT689" s="448" t="str">
        <f>_xlfn.IFNA(VLOOKUP($AP689,Programma!$F$3:$J$1101,5,0),"")</f>
        <v/>
      </c>
      <c r="AU689" s="448" t="str">
        <f>_xlfn.IFNA(VLOOKUP($AP689,Programma!$F$3:$K$1101,6,0),"")</f>
        <v/>
      </c>
      <c r="AV689" s="448" t="str">
        <f>_xlfn.IFNA(VLOOKUP($AP689,Programma!$F$3:$L$1101,7,0),"")</f>
        <v/>
      </c>
      <c r="AW689" s="448" t="str">
        <f>_xlfn.IFNA(VLOOKUP($AP689,Programma!$F$3:$M$1101,8,0),"")</f>
        <v/>
      </c>
      <c r="AX689" s="448" t="str">
        <f>_xlfn.IFNA(VLOOKUP($AP689,Programma!$F$3:$N$1101,9,0),"")</f>
        <v/>
      </c>
      <c r="AY689" s="448" t="str">
        <f>_xlfn.IFNA(VLOOKUP($AP689,Programma!$F$3:$O$1101,10,0),"")</f>
        <v/>
      </c>
      <c r="AZ689" s="448" t="str">
        <f>_xlfn.IFNA(VLOOKUP($AP689,Programma!$F$3:$P$1101,11,0),"")</f>
        <v/>
      </c>
      <c r="BA689" s="448" t="str">
        <f>_xlfn.IFNA(VLOOKUP($AP689,Programma!$F$3:$Q$1101,12,0),"")</f>
        <v/>
      </c>
      <c r="BB689" s="448" t="str">
        <f>_xlfn.IFNA(VLOOKUP($AP689,Programma!$F$3:$R$1101,13,0),"")</f>
        <v/>
      </c>
      <c r="BC689" s="448" t="str">
        <f>_xlfn.IFNA(VLOOKUP($AP689,Programma!$F$3:$S$1101,14,0),"")</f>
        <v/>
      </c>
      <c r="BD689" s="448" t="str">
        <f>_xlfn.IFNA(VLOOKUP($AP689,Programma!$F$3:$T$1101,15,0),"")</f>
        <v/>
      </c>
      <c r="BE689" s="448" t="str">
        <f>_xlfn.IFNA(VLOOKUP($AP689,Programma!$F$3:$U$1101,16,0),"")</f>
        <v/>
      </c>
      <c r="BF689" s="448" t="str">
        <f>_xlfn.IFNA(VLOOKUP($AP689,Programma!$F$3:$V$1101,17,0),"")</f>
        <v/>
      </c>
      <c r="BG689" s="448" t="str">
        <f>_xlfn.IFNA(VLOOKUP($AP689,Programma!$F$3:$W$1101,18,0),"")</f>
        <v/>
      </c>
      <c r="BH689" s="448" t="str">
        <f>_xlfn.IFNA(VLOOKUP($AP689,Programma!$F$3:$X$1101,19,0),"")</f>
        <v/>
      </c>
      <c r="BI689" s="448" t="str">
        <f>_xlfn.IFNA(VLOOKUP($AP689,Programma!$F$3:$Y$1101,20,0),"")</f>
        <v/>
      </c>
      <c r="BJ689" s="449"/>
      <c r="BK689" s="446" t="str">
        <f>IF(Ruimtestaat[[#This Row],[Frequentie weekend]]="","",_xlfn.CONCAT(Ruimtestaat[[#This Row],[Ruimte code]],"-",Ruimtestaat[[#This Row],[Frequentie weekend]]," ",Ruimtestaat[[#This Row],[Vloer code]]))</f>
        <v/>
      </c>
      <c r="BL689" s="448" t="str">
        <f>_xlfn.IFNA(VLOOKUP($BK689,Programma!$F$3:$G$1101,2,0),"")</f>
        <v/>
      </c>
      <c r="BM689" s="448" t="str">
        <f>_xlfn.IFNA(VLOOKUP($BK689,Programma!$F$3:$H$1101,3,0),"")</f>
        <v/>
      </c>
      <c r="BN689" s="448" t="str">
        <f>_xlfn.IFNA(VLOOKUP($BK689,Programma!$F$3:$I$1101,4,0),"")</f>
        <v/>
      </c>
      <c r="BO689" s="448" t="str">
        <f>_xlfn.IFNA(VLOOKUP($BK689,Programma!$F$3:$J$1101,5,0),"")</f>
        <v/>
      </c>
      <c r="BP689" s="448" t="str">
        <f>_xlfn.IFNA(VLOOKUP($BK689,Programma!$F$3:$K$1101,6,0),"")</f>
        <v/>
      </c>
      <c r="BQ689" s="448" t="str">
        <f>_xlfn.IFNA(VLOOKUP($BK689,Programma!$F$3:$L$1101,7,0),"")</f>
        <v/>
      </c>
      <c r="BR689" s="448" t="str">
        <f>_xlfn.IFNA(VLOOKUP($BK689,Programma!$F$3:$M$1101,8,0),"")</f>
        <v/>
      </c>
      <c r="BS689" s="448" t="str">
        <f>_xlfn.IFNA(VLOOKUP($BK689,Programma!$F$3:$N$1101,9,0),"")</f>
        <v/>
      </c>
      <c r="BT689" s="448" t="str">
        <f>_xlfn.IFNA(VLOOKUP($BK689,Programma!$F$3:$O$1101,10,0),"")</f>
        <v/>
      </c>
      <c r="BU689" s="448" t="str">
        <f>_xlfn.IFNA(VLOOKUP($BK689,Programma!$F$3:$P$1101,11,0),"")</f>
        <v/>
      </c>
      <c r="BV689" s="448" t="str">
        <f>_xlfn.IFNA(VLOOKUP($BK689,Programma!$F$3:$Q$1101,12,0),"")</f>
        <v/>
      </c>
      <c r="BW689" s="448" t="str">
        <f>_xlfn.IFNA(VLOOKUP($BK689,Programma!$F$3:$R$1101,13,0),"")</f>
        <v/>
      </c>
      <c r="BX689" s="448" t="str">
        <f>_xlfn.IFNA(VLOOKUP($BK689,Programma!$F$3:$S$1101,14,0),"")</f>
        <v/>
      </c>
      <c r="BY689" s="448" t="str">
        <f>_xlfn.IFNA(VLOOKUP($BK689,Programma!$F$3:$T$1101,15,0),"")</f>
        <v/>
      </c>
      <c r="BZ689" s="448" t="str">
        <f>_xlfn.IFNA(VLOOKUP($BK689,Programma!$F$3:$U$1101,16,0),"")</f>
        <v/>
      </c>
      <c r="CA689" s="448" t="str">
        <f>_xlfn.IFNA(VLOOKUP($BK689,Programma!$F$3:$V$1101,17,0),"")</f>
        <v/>
      </c>
      <c r="CB689" s="448" t="str">
        <f>_xlfn.IFNA(VLOOKUP($BK689,Programma!$F$3:$W$1101,18,0),"")</f>
        <v/>
      </c>
      <c r="CC689" s="448" t="str">
        <f>_xlfn.IFNA(VLOOKUP($BK689,Programma!$F$3:$X$1101,19,0),"")</f>
        <v/>
      </c>
      <c r="CD689" s="448" t="str">
        <f>_xlfn.IFNA(VLOOKUP($BK689,Programma!$F$3:$Y$1101,20,0),"")</f>
        <v/>
      </c>
    </row>
    <row r="690" spans="1:82" ht="15" customHeight="1">
      <c r="A690" s="327">
        <v>15</v>
      </c>
      <c r="B690" s="435" t="str">
        <f>VLOOKUP(Ruimtestaat[[#This Row],[Code]],Locaties[[Code]:[Locatie]],2,FALSE)</f>
        <v>IKC  Da Vinci</v>
      </c>
      <c r="C690" s="435" t="str">
        <f>VLOOKUP(Ruimtestaat[[#This Row],[Code]],Locaties[[#All],[Code]:[Adres]],4,FALSE)</f>
        <v>Spitsbergen 17</v>
      </c>
      <c r="D690" s="435" t="str">
        <f>VLOOKUP(Ruimtestaat[[#This Row],[Code]],Locaties[[#All],[Code]:[Postcode]],5,FALSE)</f>
        <v>2721 GP</v>
      </c>
      <c r="E690" s="435" t="str">
        <f>VLOOKUP(Ruimtestaat[[#This Row],[Code]],Locaties[#All],6,FALSE)</f>
        <v>Zoetermeer</v>
      </c>
      <c r="F690" s="330" t="s">
        <v>2154</v>
      </c>
      <c r="I690" s="450" t="s">
        <v>1983</v>
      </c>
      <c r="J690" s="330">
        <v>16</v>
      </c>
      <c r="K690" s="450" t="str">
        <f>VLOOKUP(Ruimtestaat[[#This Row],[Ruimte code]],Ruimtegroepen[[#All],[Code]:[Ruimte omschrijving]],2,FALSE)</f>
        <v>Leslokalen</v>
      </c>
      <c r="L690" s="434" t="s">
        <v>100</v>
      </c>
      <c r="M690" s="437" t="s">
        <v>1759</v>
      </c>
      <c r="N690" s="439">
        <v>58</v>
      </c>
      <c r="O690" s="439"/>
      <c r="P690" s="439"/>
      <c r="Q690" s="439"/>
      <c r="R690" s="440" t="str">
        <f>VLOOKUP(Ruimtestaat[[#This Row],[Ruimte code]],Ruimtegroepen[],4,FALSE)</f>
        <v>Le</v>
      </c>
      <c r="S690" s="434">
        <v>40</v>
      </c>
      <c r="T690" s="434" t="s">
        <v>2</v>
      </c>
      <c r="U690" s="453">
        <f>IF(S690&gt;0,IF(RIGHT(Ruimtestaat[[#This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0" s="434">
        <f>IF(U690&gt;0,VLOOKUP($J690,Ruimtegroepen[],3,FALSE)*VLOOKUP($L690,Vloersoorten[],3,FALSE)*VLOOKUP($T690,Frequenties[],3,FALSE)*VLOOKUP($A690,Locaties[],3,FALSE),0)</f>
        <v>0</v>
      </c>
      <c r="W690" s="434">
        <f>Ruimtestaat[[#This Row],[Uitvoeringen werkdagen]]*Ruimtestaat[[#This Row],[Oppervlak (netto)]]</f>
        <v>11600</v>
      </c>
      <c r="X690" s="441">
        <f>IF(V690&gt;0,Ruimtestaat[[#This Row],[Prest. (m2 /jaar) werkdagen]]/Ruimtestaat[[#This Row],[Norm (m2/uur) werkdagen]],0)</f>
        <v>0</v>
      </c>
      <c r="Y690" s="442">
        <f>Ruimtestaat[[#This Row],[Uitvoeringen werkdagen]]*Ruimtestaat[[#This Row],[Gedeeltelijk]]</f>
        <v>0</v>
      </c>
      <c r="Z690" s="443" t="e">
        <f>IF(U690&gt;0,Ruimtestaat[[#This Row],[Prest. (m2 / jaar) werkdagen gedeeld]]/Ruimtestaat[[#This Row],[Norm (m2/uur) werkdagen]],0)</f>
        <v>#DIV/0!</v>
      </c>
      <c r="AA690" s="441" t="e">
        <f>Ruimtestaat[[#This Row],[uren / jaar werkdagen gedeeld]]*Tariefsopbouw!$E$35</f>
        <v>#DIV/0!</v>
      </c>
      <c r="AB690" s="441">
        <f>Ruimtestaat[[#This Row],[Uitvoeringen werkdagen]]*Ruimtestaat[[#This Row],[BSO]]</f>
        <v>0</v>
      </c>
      <c r="AC690" s="443" t="e">
        <f>IF(U690&gt;0,Ruimtestaat[[#This Row],[Prest. (m2 / jaar) werkdagen BSO]]/Ruimtestaat[[#This Row],[Norm (m2/uur) werkdagen]],0)</f>
        <v>#DIV/0!</v>
      </c>
      <c r="AD690" s="443" t="e">
        <f>Ruimtestaat[[#This Row],[uren / jaar werkdagen BSO]]*Tariefsopbouw!$E$35</f>
        <v>#DIV/0!</v>
      </c>
      <c r="AE690" s="444">
        <f>Ruimtestaat[[#This Row],[uren / jaar werkdagen]]*Tariefsopbouw!$E$35</f>
        <v>0</v>
      </c>
      <c r="AF690" s="454"/>
      <c r="AG690" s="455">
        <f>IF(Ruimtestaat[[#This Row],[Frequentie weekend]]&gt;0,VALUE(LEFT(AF690,1))*S690,0)</f>
        <v>0</v>
      </c>
      <c r="AH690" s="455">
        <f>IF($AG690&gt;0,VLOOKUP($J690,Ruimtegroepen[],3,FALSE)*VLOOKUP($L690,Vloersoorten[],3,FALSE)*VLOOKUP($AF690,Frequenties[],3,FALSE)*VLOOKUP(#REF!,Locaties[],3,FALSE),0)</f>
        <v>0</v>
      </c>
      <c r="AI690" s="434">
        <f>Ruimtestaat[[#This Row],[Uitvoeringen weekend]]*Ruimtestaat[[#This Row],[Oppervlak (netto)]]</f>
        <v>0</v>
      </c>
      <c r="AJ690" s="434">
        <f>IF(AH690&gt;0,Ruimtestaat[[#This Row],[Prest. (m2 /jaar) weekend]]/Ruimtestaat[[#This Row],[Norm (m2/uur) weekend]],0)</f>
        <v>0</v>
      </c>
      <c r="AK690" s="444">
        <f>Ruimtestaat[[#This Row],[uren / jaar weekend]]*Tariefsopbouw!$D$40</f>
        <v>0</v>
      </c>
      <c r="AL690" s="441">
        <f>Ruimtestaat[[#This Row],[Prest. (m2 /jaar) weekend]]+Ruimtestaat[[#This Row],[Prest. (m2 /jaar) werkdagen]]</f>
        <v>11600</v>
      </c>
      <c r="AM690" s="441">
        <f>Ruimtestaat[[#This Row],[uren / jaar weekend]]+Ruimtestaat[[#This Row],[uren / jaar werkdagen]]</f>
        <v>0</v>
      </c>
      <c r="AN690" s="446">
        <f>Ruimtestaat[[#This Row],[kosten / jaar weekend]]+Ruimtestaat[[#This Row],[kosten / jaar werkdagen]]</f>
        <v>0</v>
      </c>
      <c r="AO690" s="446"/>
      <c r="AP690" s="446" t="str">
        <f>IF(Ruimtestaat[[#This Row],[Frequentie werkdagen]]="","",_xlfn.CONCAT(Ruimtestaat[[#This Row],[Ruimte code]],"-",Ruimtestaat[[#This Row],[Frequentie werkdagen]]," ",Ruimtestaat[[#This Row],[Vloer code]]))</f>
        <v>16-5w L</v>
      </c>
      <c r="AQ690" s="448" t="str">
        <f>_xlfn.IFNA(VLOOKUP($AP690,Programma!$F$3:$G$1101,2,0),"")</f>
        <v>_</v>
      </c>
      <c r="AR690" s="448" t="str">
        <f>_xlfn.IFNA(VLOOKUP($AP690,Programma!$F$3:$H$1101,3,0),"")</f>
        <v>_</v>
      </c>
      <c r="AS690" s="448" t="str">
        <f>_xlfn.IFNA(VLOOKUP($AP690,Programma!$F$3:$I$1101,4,0),"")</f>
        <v>4w</v>
      </c>
      <c r="AT690" s="448" t="str">
        <f>_xlfn.IFNA(VLOOKUP($AP690,Programma!$F$3:$J$1101,5,0),"")</f>
        <v>1w</v>
      </c>
      <c r="AU690" s="448" t="str">
        <f>_xlfn.IFNA(VLOOKUP($AP690,Programma!$F$3:$K$1101,6,0),"")</f>
        <v>_</v>
      </c>
      <c r="AV690" s="448" t="str">
        <f>_xlfn.IFNA(VLOOKUP($AP690,Programma!$F$3:$L$1101,7,0),"")</f>
        <v>_</v>
      </c>
      <c r="AW690" s="448" t="str">
        <f>_xlfn.IFNA(VLOOKUP($AP690,Programma!$F$3:$M$1101,8,0),"")</f>
        <v>_</v>
      </c>
      <c r="AX690" s="448" t="str">
        <f>_xlfn.IFNA(VLOOKUP($AP690,Programma!$F$3:$N$1101,9,0),"")</f>
        <v>_</v>
      </c>
      <c r="AY690" s="448" t="str">
        <f>_xlfn.IFNA(VLOOKUP($AP690,Programma!$F$3:$O$1101,10,0),"")</f>
        <v>5w</v>
      </c>
      <c r="AZ690" s="448" t="str">
        <f>_xlfn.IFNA(VLOOKUP($AP690,Programma!$F$3:$P$1101,11,0),"")</f>
        <v>5w</v>
      </c>
      <c r="BA690" s="448" t="str">
        <f>_xlfn.IFNA(VLOOKUP($AP690,Programma!$F$3:$Q$1101,12,0),"")</f>
        <v>1w</v>
      </c>
      <c r="BB690" s="448" t="str">
        <f>_xlfn.IFNA(VLOOKUP($AP690,Programma!$F$3:$R$1101,13,0),"")</f>
        <v>1w</v>
      </c>
      <c r="BC690" s="448" t="str">
        <f>_xlfn.IFNA(VLOOKUP($AP690,Programma!$F$3:$S$1101,14,0),"")</f>
        <v>1m</v>
      </c>
      <c r="BD690" s="448" t="str">
        <f>_xlfn.IFNA(VLOOKUP($AP690,Programma!$F$3:$T$1101,15,0),"")</f>
        <v>2j</v>
      </c>
      <c r="BE690" s="448" t="str">
        <f>_xlfn.IFNA(VLOOKUP($AP690,Programma!$F$3:$U$1101,16,0),"")</f>
        <v>1j</v>
      </c>
      <c r="BF690" s="448" t="str">
        <f>_xlfn.IFNA(VLOOKUP($AP690,Programma!$F$3:$V$1101,17,0),"")</f>
        <v>_</v>
      </c>
      <c r="BG690" s="448" t="str">
        <f>_xlfn.IFNA(VLOOKUP($AP690,Programma!$F$3:$W$1101,18,0),"")</f>
        <v>_</v>
      </c>
      <c r="BH690" s="448" t="str">
        <f>_xlfn.IFNA(VLOOKUP($AP690,Programma!$F$3:$X$1101,19,0),"")</f>
        <v>_</v>
      </c>
      <c r="BI690" s="448" t="str">
        <f>_xlfn.IFNA(VLOOKUP($AP690,Programma!$F$3:$Y$1101,20,0),"")</f>
        <v>_</v>
      </c>
      <c r="BJ690" s="449"/>
      <c r="BK690" s="446" t="str">
        <f>IF(Ruimtestaat[[#This Row],[Frequentie weekend]]="","",_xlfn.CONCAT(Ruimtestaat[[#This Row],[Ruimte code]],"-",Ruimtestaat[[#This Row],[Frequentie weekend]]," ",Ruimtestaat[[#This Row],[Vloer code]]))</f>
        <v/>
      </c>
      <c r="BL690" s="448" t="str">
        <f>_xlfn.IFNA(VLOOKUP($BK690,Programma!$F$3:$G$1101,2,0),"")</f>
        <v/>
      </c>
      <c r="BM690" s="448" t="str">
        <f>_xlfn.IFNA(VLOOKUP($BK690,Programma!$F$3:$H$1101,3,0),"")</f>
        <v/>
      </c>
      <c r="BN690" s="448" t="str">
        <f>_xlfn.IFNA(VLOOKUP($BK690,Programma!$F$3:$I$1101,4,0),"")</f>
        <v/>
      </c>
      <c r="BO690" s="448" t="str">
        <f>_xlfn.IFNA(VLOOKUP($BK690,Programma!$F$3:$J$1101,5,0),"")</f>
        <v/>
      </c>
      <c r="BP690" s="448" t="str">
        <f>_xlfn.IFNA(VLOOKUP($BK690,Programma!$F$3:$K$1101,6,0),"")</f>
        <v/>
      </c>
      <c r="BQ690" s="448" t="str">
        <f>_xlfn.IFNA(VLOOKUP($BK690,Programma!$F$3:$L$1101,7,0),"")</f>
        <v/>
      </c>
      <c r="BR690" s="448" t="str">
        <f>_xlfn.IFNA(VLOOKUP($BK690,Programma!$F$3:$M$1101,8,0),"")</f>
        <v/>
      </c>
      <c r="BS690" s="448" t="str">
        <f>_xlfn.IFNA(VLOOKUP($BK690,Programma!$F$3:$N$1101,9,0),"")</f>
        <v/>
      </c>
      <c r="BT690" s="448" t="str">
        <f>_xlfn.IFNA(VLOOKUP($BK690,Programma!$F$3:$O$1101,10,0),"")</f>
        <v/>
      </c>
      <c r="BU690" s="448" t="str">
        <f>_xlfn.IFNA(VLOOKUP($BK690,Programma!$F$3:$P$1101,11,0),"")</f>
        <v/>
      </c>
      <c r="BV690" s="448" t="str">
        <f>_xlfn.IFNA(VLOOKUP($BK690,Programma!$F$3:$Q$1101,12,0),"")</f>
        <v/>
      </c>
      <c r="BW690" s="448" t="str">
        <f>_xlfn.IFNA(VLOOKUP($BK690,Programma!$F$3:$R$1101,13,0),"")</f>
        <v/>
      </c>
      <c r="BX690" s="448" t="str">
        <f>_xlfn.IFNA(VLOOKUP($BK690,Programma!$F$3:$S$1101,14,0),"")</f>
        <v/>
      </c>
      <c r="BY690" s="448" t="str">
        <f>_xlfn.IFNA(VLOOKUP($BK690,Programma!$F$3:$T$1101,15,0),"")</f>
        <v/>
      </c>
      <c r="BZ690" s="448" t="str">
        <f>_xlfn.IFNA(VLOOKUP($BK690,Programma!$F$3:$U$1101,16,0),"")</f>
        <v/>
      </c>
      <c r="CA690" s="448" t="str">
        <f>_xlfn.IFNA(VLOOKUP($BK690,Programma!$F$3:$V$1101,17,0),"")</f>
        <v/>
      </c>
      <c r="CB690" s="448" t="str">
        <f>_xlfn.IFNA(VLOOKUP($BK690,Programma!$F$3:$W$1101,18,0),"")</f>
        <v/>
      </c>
      <c r="CC690" s="448" t="str">
        <f>_xlfn.IFNA(VLOOKUP($BK690,Programma!$F$3:$X$1101,19,0),"")</f>
        <v/>
      </c>
      <c r="CD690" s="448" t="str">
        <f>_xlfn.IFNA(VLOOKUP($BK690,Programma!$F$3:$Y$1101,20,0),"")</f>
        <v/>
      </c>
    </row>
    <row r="691" spans="1:82" ht="15" customHeight="1">
      <c r="A691" s="327">
        <v>15</v>
      </c>
      <c r="B691" s="435" t="str">
        <f>VLOOKUP(Ruimtestaat[[#This Row],[Code]],Locaties[[Code]:[Locatie]],2,FALSE)</f>
        <v>IKC  Da Vinci</v>
      </c>
      <c r="C691" s="435" t="str">
        <f>VLOOKUP(Ruimtestaat[[#This Row],[Code]],Locaties[[#All],[Code]:[Adres]],4,FALSE)</f>
        <v>Spitsbergen 17</v>
      </c>
      <c r="D691" s="435" t="str">
        <f>VLOOKUP(Ruimtestaat[[#This Row],[Code]],Locaties[[#All],[Code]:[Postcode]],5,FALSE)</f>
        <v>2721 GP</v>
      </c>
      <c r="E691" s="435" t="str">
        <f>VLOOKUP(Ruimtestaat[[#This Row],[Code]],Locaties[#All],6,FALSE)</f>
        <v>Zoetermeer</v>
      </c>
      <c r="F691" s="330" t="s">
        <v>2154</v>
      </c>
      <c r="I691" s="450" t="s">
        <v>1983</v>
      </c>
      <c r="J691" s="330">
        <v>16</v>
      </c>
      <c r="K691" s="450" t="str">
        <f>VLOOKUP(Ruimtestaat[[#This Row],[Ruimte code]],Ruimtegroepen[[#All],[Code]:[Ruimte omschrijving]],2,FALSE)</f>
        <v>Leslokalen</v>
      </c>
      <c r="L691" s="434" t="s">
        <v>100</v>
      </c>
      <c r="M691" s="437" t="s">
        <v>1759</v>
      </c>
      <c r="N691" s="439">
        <v>61</v>
      </c>
      <c r="O691" s="439"/>
      <c r="P691" s="439"/>
      <c r="Q691" s="439"/>
      <c r="R691" s="440" t="str">
        <f>VLOOKUP(Ruimtestaat[[#This Row],[Ruimte code]],Ruimtegroepen[],4,FALSE)</f>
        <v>Le</v>
      </c>
      <c r="S691" s="434">
        <v>40</v>
      </c>
      <c r="T691" s="434" t="s">
        <v>2</v>
      </c>
      <c r="U691" s="453">
        <f>IF(S691&gt;0,IF(RIGHT(Ruimtestaat[[#This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1" s="434">
        <f>IF(U691&gt;0,VLOOKUP($J691,Ruimtegroepen[],3,FALSE)*VLOOKUP($L691,Vloersoorten[],3,FALSE)*VLOOKUP($T691,Frequenties[],3,FALSE)*VLOOKUP($A691,Locaties[],3,FALSE),0)</f>
        <v>0</v>
      </c>
      <c r="W691" s="434">
        <f>Ruimtestaat[[#This Row],[Uitvoeringen werkdagen]]*Ruimtestaat[[#This Row],[Oppervlak (netto)]]</f>
        <v>12200</v>
      </c>
      <c r="X691" s="441">
        <f>IF(V691&gt;0,Ruimtestaat[[#This Row],[Prest. (m2 /jaar) werkdagen]]/Ruimtestaat[[#This Row],[Norm (m2/uur) werkdagen]],0)</f>
        <v>0</v>
      </c>
      <c r="Y691" s="442">
        <f>Ruimtestaat[[#This Row],[Uitvoeringen werkdagen]]*Ruimtestaat[[#This Row],[Gedeeltelijk]]</f>
        <v>0</v>
      </c>
      <c r="Z691" s="443" t="e">
        <f>IF(U691&gt;0,Ruimtestaat[[#This Row],[Prest. (m2 / jaar) werkdagen gedeeld]]/Ruimtestaat[[#This Row],[Norm (m2/uur) werkdagen]],0)</f>
        <v>#DIV/0!</v>
      </c>
      <c r="AA691" s="441" t="e">
        <f>Ruimtestaat[[#This Row],[uren / jaar werkdagen gedeeld]]*Tariefsopbouw!$E$35</f>
        <v>#DIV/0!</v>
      </c>
      <c r="AB691" s="441">
        <f>Ruimtestaat[[#This Row],[Uitvoeringen werkdagen]]*Ruimtestaat[[#This Row],[BSO]]</f>
        <v>0</v>
      </c>
      <c r="AC691" s="443" t="e">
        <f>IF(U691&gt;0,Ruimtestaat[[#This Row],[Prest. (m2 / jaar) werkdagen BSO]]/Ruimtestaat[[#This Row],[Norm (m2/uur) werkdagen]],0)</f>
        <v>#DIV/0!</v>
      </c>
      <c r="AD691" s="443" t="e">
        <f>Ruimtestaat[[#This Row],[uren / jaar werkdagen BSO]]*Tariefsopbouw!$E$35</f>
        <v>#DIV/0!</v>
      </c>
      <c r="AE691" s="444">
        <f>Ruimtestaat[[#This Row],[uren / jaar werkdagen]]*Tariefsopbouw!$E$35</f>
        <v>0</v>
      </c>
      <c r="AF691" s="454"/>
      <c r="AG691" s="455">
        <f>IF(Ruimtestaat[[#This Row],[Frequentie weekend]]&gt;0,VALUE(LEFT(AF691,1))*S691,0)</f>
        <v>0</v>
      </c>
      <c r="AH691" s="455">
        <f>IF($AG691&gt;0,VLOOKUP($J691,Ruimtegroepen[],3,FALSE)*VLOOKUP($L691,Vloersoorten[],3,FALSE)*VLOOKUP($AF691,Frequenties[],3,FALSE)*VLOOKUP(#REF!,Locaties[],3,FALSE),0)</f>
        <v>0</v>
      </c>
      <c r="AI691" s="434">
        <f>Ruimtestaat[[#This Row],[Uitvoeringen weekend]]*Ruimtestaat[[#This Row],[Oppervlak (netto)]]</f>
        <v>0</v>
      </c>
      <c r="AJ691" s="434">
        <f>IF(AH691&gt;0,Ruimtestaat[[#This Row],[Prest. (m2 /jaar) weekend]]/Ruimtestaat[[#This Row],[Norm (m2/uur) weekend]],0)</f>
        <v>0</v>
      </c>
      <c r="AK691" s="444">
        <f>Ruimtestaat[[#This Row],[uren / jaar weekend]]*Tariefsopbouw!$D$40</f>
        <v>0</v>
      </c>
      <c r="AL691" s="441">
        <f>Ruimtestaat[[#This Row],[Prest. (m2 /jaar) weekend]]+Ruimtestaat[[#This Row],[Prest. (m2 /jaar) werkdagen]]</f>
        <v>12200</v>
      </c>
      <c r="AM691" s="441">
        <f>Ruimtestaat[[#This Row],[uren / jaar weekend]]+Ruimtestaat[[#This Row],[uren / jaar werkdagen]]</f>
        <v>0</v>
      </c>
      <c r="AN691" s="446">
        <f>Ruimtestaat[[#This Row],[kosten / jaar weekend]]+Ruimtestaat[[#This Row],[kosten / jaar werkdagen]]</f>
        <v>0</v>
      </c>
      <c r="AO691" s="446"/>
      <c r="AP691" s="446" t="str">
        <f>IF(Ruimtestaat[[#This Row],[Frequentie werkdagen]]="","",_xlfn.CONCAT(Ruimtestaat[[#This Row],[Ruimte code]],"-",Ruimtestaat[[#This Row],[Frequentie werkdagen]]," ",Ruimtestaat[[#This Row],[Vloer code]]))</f>
        <v>16-5w L</v>
      </c>
      <c r="AQ691" s="448" t="str">
        <f>_xlfn.IFNA(VLOOKUP($AP691,Programma!$F$3:$G$1101,2,0),"")</f>
        <v>_</v>
      </c>
      <c r="AR691" s="448" t="str">
        <f>_xlfn.IFNA(VLOOKUP($AP691,Programma!$F$3:$H$1101,3,0),"")</f>
        <v>_</v>
      </c>
      <c r="AS691" s="448" t="str">
        <f>_xlfn.IFNA(VLOOKUP($AP691,Programma!$F$3:$I$1101,4,0),"")</f>
        <v>4w</v>
      </c>
      <c r="AT691" s="448" t="str">
        <f>_xlfn.IFNA(VLOOKUP($AP691,Programma!$F$3:$J$1101,5,0),"")</f>
        <v>1w</v>
      </c>
      <c r="AU691" s="448" t="str">
        <f>_xlfn.IFNA(VLOOKUP($AP691,Programma!$F$3:$K$1101,6,0),"")</f>
        <v>_</v>
      </c>
      <c r="AV691" s="448" t="str">
        <f>_xlfn.IFNA(VLOOKUP($AP691,Programma!$F$3:$L$1101,7,0),"")</f>
        <v>_</v>
      </c>
      <c r="AW691" s="448" t="str">
        <f>_xlfn.IFNA(VLOOKUP($AP691,Programma!$F$3:$M$1101,8,0),"")</f>
        <v>_</v>
      </c>
      <c r="AX691" s="448" t="str">
        <f>_xlfn.IFNA(VLOOKUP($AP691,Programma!$F$3:$N$1101,9,0),"")</f>
        <v>_</v>
      </c>
      <c r="AY691" s="448" t="str">
        <f>_xlfn.IFNA(VLOOKUP($AP691,Programma!$F$3:$O$1101,10,0),"")</f>
        <v>5w</v>
      </c>
      <c r="AZ691" s="448" t="str">
        <f>_xlfn.IFNA(VLOOKUP($AP691,Programma!$F$3:$P$1101,11,0),"")</f>
        <v>5w</v>
      </c>
      <c r="BA691" s="448" t="str">
        <f>_xlfn.IFNA(VLOOKUP($AP691,Programma!$F$3:$Q$1101,12,0),"")</f>
        <v>1w</v>
      </c>
      <c r="BB691" s="448" t="str">
        <f>_xlfn.IFNA(VLOOKUP($AP691,Programma!$F$3:$R$1101,13,0),"")</f>
        <v>1w</v>
      </c>
      <c r="BC691" s="448" t="str">
        <f>_xlfn.IFNA(VLOOKUP($AP691,Programma!$F$3:$S$1101,14,0),"")</f>
        <v>1m</v>
      </c>
      <c r="BD691" s="448" t="str">
        <f>_xlfn.IFNA(VLOOKUP($AP691,Programma!$F$3:$T$1101,15,0),"")</f>
        <v>2j</v>
      </c>
      <c r="BE691" s="448" t="str">
        <f>_xlfn.IFNA(VLOOKUP($AP691,Programma!$F$3:$U$1101,16,0),"")</f>
        <v>1j</v>
      </c>
      <c r="BF691" s="448" t="str">
        <f>_xlfn.IFNA(VLOOKUP($AP691,Programma!$F$3:$V$1101,17,0),"")</f>
        <v>_</v>
      </c>
      <c r="BG691" s="448" t="str">
        <f>_xlfn.IFNA(VLOOKUP($AP691,Programma!$F$3:$W$1101,18,0),"")</f>
        <v>_</v>
      </c>
      <c r="BH691" s="448" t="str">
        <f>_xlfn.IFNA(VLOOKUP($AP691,Programma!$F$3:$X$1101,19,0),"")</f>
        <v>_</v>
      </c>
      <c r="BI691" s="448" t="str">
        <f>_xlfn.IFNA(VLOOKUP($AP691,Programma!$F$3:$Y$1101,20,0),"")</f>
        <v>_</v>
      </c>
      <c r="BJ691" s="449"/>
      <c r="BK691" s="446" t="str">
        <f>IF(Ruimtestaat[[#This Row],[Frequentie weekend]]="","",_xlfn.CONCAT(Ruimtestaat[[#This Row],[Ruimte code]],"-",Ruimtestaat[[#This Row],[Frequentie weekend]]," ",Ruimtestaat[[#This Row],[Vloer code]]))</f>
        <v/>
      </c>
      <c r="BL691" s="448" t="str">
        <f>_xlfn.IFNA(VLOOKUP($BK691,Programma!$F$3:$G$1101,2,0),"")</f>
        <v/>
      </c>
      <c r="BM691" s="448" t="str">
        <f>_xlfn.IFNA(VLOOKUP($BK691,Programma!$F$3:$H$1101,3,0),"")</f>
        <v/>
      </c>
      <c r="BN691" s="448" t="str">
        <f>_xlfn.IFNA(VLOOKUP($BK691,Programma!$F$3:$I$1101,4,0),"")</f>
        <v/>
      </c>
      <c r="BO691" s="448" t="str">
        <f>_xlfn.IFNA(VLOOKUP($BK691,Programma!$F$3:$J$1101,5,0),"")</f>
        <v/>
      </c>
      <c r="BP691" s="448" t="str">
        <f>_xlfn.IFNA(VLOOKUP($BK691,Programma!$F$3:$K$1101,6,0),"")</f>
        <v/>
      </c>
      <c r="BQ691" s="448" t="str">
        <f>_xlfn.IFNA(VLOOKUP($BK691,Programma!$F$3:$L$1101,7,0),"")</f>
        <v/>
      </c>
      <c r="BR691" s="448" t="str">
        <f>_xlfn.IFNA(VLOOKUP($BK691,Programma!$F$3:$M$1101,8,0),"")</f>
        <v/>
      </c>
      <c r="BS691" s="448" t="str">
        <f>_xlfn.IFNA(VLOOKUP($BK691,Programma!$F$3:$N$1101,9,0),"")</f>
        <v/>
      </c>
      <c r="BT691" s="448" t="str">
        <f>_xlfn.IFNA(VLOOKUP($BK691,Programma!$F$3:$O$1101,10,0),"")</f>
        <v/>
      </c>
      <c r="BU691" s="448" t="str">
        <f>_xlfn.IFNA(VLOOKUP($BK691,Programma!$F$3:$P$1101,11,0),"")</f>
        <v/>
      </c>
      <c r="BV691" s="448" t="str">
        <f>_xlfn.IFNA(VLOOKUP($BK691,Programma!$F$3:$Q$1101,12,0),"")</f>
        <v/>
      </c>
      <c r="BW691" s="448" t="str">
        <f>_xlfn.IFNA(VLOOKUP($BK691,Programma!$F$3:$R$1101,13,0),"")</f>
        <v/>
      </c>
      <c r="BX691" s="448" t="str">
        <f>_xlfn.IFNA(VLOOKUP($BK691,Programma!$F$3:$S$1101,14,0),"")</f>
        <v/>
      </c>
      <c r="BY691" s="448" t="str">
        <f>_xlfn.IFNA(VLOOKUP($BK691,Programma!$F$3:$T$1101,15,0),"")</f>
        <v/>
      </c>
      <c r="BZ691" s="448" t="str">
        <f>_xlfn.IFNA(VLOOKUP($BK691,Programma!$F$3:$U$1101,16,0),"")</f>
        <v/>
      </c>
      <c r="CA691" s="448" t="str">
        <f>_xlfn.IFNA(VLOOKUP($BK691,Programma!$F$3:$V$1101,17,0),"")</f>
        <v/>
      </c>
      <c r="CB691" s="448" t="str">
        <f>_xlfn.IFNA(VLOOKUP($BK691,Programma!$F$3:$W$1101,18,0),"")</f>
        <v/>
      </c>
      <c r="CC691" s="448" t="str">
        <f>_xlfn.IFNA(VLOOKUP($BK691,Programma!$F$3:$X$1101,19,0),"")</f>
        <v/>
      </c>
      <c r="CD691" s="448" t="str">
        <f>_xlfn.IFNA(VLOOKUP($BK691,Programma!$F$3:$Y$1101,20,0),"")</f>
        <v/>
      </c>
    </row>
    <row r="692" spans="1:82" ht="15" customHeight="1">
      <c r="A692" s="327">
        <v>15</v>
      </c>
      <c r="B692" s="435" t="str">
        <f>VLOOKUP(Ruimtestaat[[#This Row],[Code]],Locaties[[Code]:[Locatie]],2,FALSE)</f>
        <v>IKC  Da Vinci</v>
      </c>
      <c r="C692" s="435" t="str">
        <f>VLOOKUP(Ruimtestaat[[#This Row],[Code]],Locaties[[#All],[Code]:[Adres]],4,FALSE)</f>
        <v>Spitsbergen 17</v>
      </c>
      <c r="D692" s="435" t="str">
        <f>VLOOKUP(Ruimtestaat[[#This Row],[Code]],Locaties[[#All],[Code]:[Postcode]],5,FALSE)</f>
        <v>2721 GP</v>
      </c>
      <c r="E692" s="435" t="str">
        <f>VLOOKUP(Ruimtestaat[[#This Row],[Code]],Locaties[#All],6,FALSE)</f>
        <v>Zoetermeer</v>
      </c>
      <c r="F692" s="330" t="s">
        <v>2154</v>
      </c>
      <c r="I692" s="450" t="s">
        <v>1983</v>
      </c>
      <c r="J692" s="330">
        <v>16</v>
      </c>
      <c r="K692" s="450" t="str">
        <f>VLOOKUP(Ruimtestaat[[#This Row],[Ruimte code]],Ruimtegroepen[[#All],[Code]:[Ruimte omschrijving]],2,FALSE)</f>
        <v>Leslokalen</v>
      </c>
      <c r="L692" s="434" t="s">
        <v>100</v>
      </c>
      <c r="M692" s="437" t="s">
        <v>1759</v>
      </c>
      <c r="N692" s="439">
        <v>51</v>
      </c>
      <c r="O692" s="439"/>
      <c r="P692" s="439"/>
      <c r="Q692" s="439"/>
      <c r="R692" s="440" t="str">
        <f>VLOOKUP(Ruimtestaat[[#This Row],[Ruimte code]],Ruimtegroepen[],4,FALSE)</f>
        <v>Le</v>
      </c>
      <c r="S692" s="434">
        <v>40</v>
      </c>
      <c r="T692" s="434" t="s">
        <v>2</v>
      </c>
      <c r="U692" s="453">
        <f>IF(S692&gt;0,IF(RIGHT(Ruimtestaat[[#This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2" s="434">
        <f>IF(U692&gt;0,VLOOKUP($J692,Ruimtegroepen[],3,FALSE)*VLOOKUP($L692,Vloersoorten[],3,FALSE)*VLOOKUP($T692,Frequenties[],3,FALSE)*VLOOKUP($A692,Locaties[],3,FALSE),0)</f>
        <v>0</v>
      </c>
      <c r="W692" s="434">
        <f>Ruimtestaat[[#This Row],[Uitvoeringen werkdagen]]*Ruimtestaat[[#This Row],[Oppervlak (netto)]]</f>
        <v>10200</v>
      </c>
      <c r="X692" s="441">
        <f>IF(V692&gt;0,Ruimtestaat[[#This Row],[Prest. (m2 /jaar) werkdagen]]/Ruimtestaat[[#This Row],[Norm (m2/uur) werkdagen]],0)</f>
        <v>0</v>
      </c>
      <c r="Y692" s="442">
        <f>Ruimtestaat[[#This Row],[Uitvoeringen werkdagen]]*Ruimtestaat[[#This Row],[Gedeeltelijk]]</f>
        <v>0</v>
      </c>
      <c r="Z692" s="443" t="e">
        <f>IF(U692&gt;0,Ruimtestaat[[#This Row],[Prest. (m2 / jaar) werkdagen gedeeld]]/Ruimtestaat[[#This Row],[Norm (m2/uur) werkdagen]],0)</f>
        <v>#DIV/0!</v>
      </c>
      <c r="AA692" s="441" t="e">
        <f>Ruimtestaat[[#This Row],[uren / jaar werkdagen gedeeld]]*Tariefsopbouw!$E$35</f>
        <v>#DIV/0!</v>
      </c>
      <c r="AB692" s="441">
        <f>Ruimtestaat[[#This Row],[Uitvoeringen werkdagen]]*Ruimtestaat[[#This Row],[BSO]]</f>
        <v>0</v>
      </c>
      <c r="AC692" s="443" t="e">
        <f>IF(U692&gt;0,Ruimtestaat[[#This Row],[Prest. (m2 / jaar) werkdagen BSO]]/Ruimtestaat[[#This Row],[Norm (m2/uur) werkdagen]],0)</f>
        <v>#DIV/0!</v>
      </c>
      <c r="AD692" s="443" t="e">
        <f>Ruimtestaat[[#This Row],[uren / jaar werkdagen BSO]]*Tariefsopbouw!$E$35</f>
        <v>#DIV/0!</v>
      </c>
      <c r="AE692" s="444">
        <f>Ruimtestaat[[#This Row],[uren / jaar werkdagen]]*Tariefsopbouw!$E$35</f>
        <v>0</v>
      </c>
      <c r="AF692" s="454"/>
      <c r="AG692" s="455">
        <f>IF(Ruimtestaat[[#This Row],[Frequentie weekend]]&gt;0,VALUE(LEFT(AF692,1))*S692,0)</f>
        <v>0</v>
      </c>
      <c r="AH692" s="455">
        <f>IF($AG692&gt;0,VLOOKUP($J692,Ruimtegroepen[],3,FALSE)*VLOOKUP($L692,Vloersoorten[],3,FALSE)*VLOOKUP($AF692,Frequenties[],3,FALSE)*VLOOKUP(#REF!,Locaties[],3,FALSE),0)</f>
        <v>0</v>
      </c>
      <c r="AI692" s="434">
        <f>Ruimtestaat[[#This Row],[Uitvoeringen weekend]]*Ruimtestaat[[#This Row],[Oppervlak (netto)]]</f>
        <v>0</v>
      </c>
      <c r="AJ692" s="434">
        <f>IF(AH692&gt;0,Ruimtestaat[[#This Row],[Prest. (m2 /jaar) weekend]]/Ruimtestaat[[#This Row],[Norm (m2/uur) weekend]],0)</f>
        <v>0</v>
      </c>
      <c r="AK692" s="444">
        <f>Ruimtestaat[[#This Row],[uren / jaar weekend]]*Tariefsopbouw!$D$40</f>
        <v>0</v>
      </c>
      <c r="AL692" s="441">
        <f>Ruimtestaat[[#This Row],[Prest. (m2 /jaar) weekend]]+Ruimtestaat[[#This Row],[Prest. (m2 /jaar) werkdagen]]</f>
        <v>10200</v>
      </c>
      <c r="AM692" s="441">
        <f>Ruimtestaat[[#This Row],[uren / jaar weekend]]+Ruimtestaat[[#This Row],[uren / jaar werkdagen]]</f>
        <v>0</v>
      </c>
      <c r="AN692" s="446">
        <f>Ruimtestaat[[#This Row],[kosten / jaar weekend]]+Ruimtestaat[[#This Row],[kosten / jaar werkdagen]]</f>
        <v>0</v>
      </c>
      <c r="AO692" s="446"/>
      <c r="AP692" s="446" t="str">
        <f>IF(Ruimtestaat[[#This Row],[Frequentie werkdagen]]="","",_xlfn.CONCAT(Ruimtestaat[[#This Row],[Ruimte code]],"-",Ruimtestaat[[#This Row],[Frequentie werkdagen]]," ",Ruimtestaat[[#This Row],[Vloer code]]))</f>
        <v>16-5w L</v>
      </c>
      <c r="AQ692" s="448" t="str">
        <f>_xlfn.IFNA(VLOOKUP($AP692,Programma!$F$3:$G$1101,2,0),"")</f>
        <v>_</v>
      </c>
      <c r="AR692" s="448" t="str">
        <f>_xlfn.IFNA(VLOOKUP($AP692,Programma!$F$3:$H$1101,3,0),"")</f>
        <v>_</v>
      </c>
      <c r="AS692" s="448" t="str">
        <f>_xlfn.IFNA(VLOOKUP($AP692,Programma!$F$3:$I$1101,4,0),"")</f>
        <v>4w</v>
      </c>
      <c r="AT692" s="448" t="str">
        <f>_xlfn.IFNA(VLOOKUP($AP692,Programma!$F$3:$J$1101,5,0),"")</f>
        <v>1w</v>
      </c>
      <c r="AU692" s="448" t="str">
        <f>_xlfn.IFNA(VLOOKUP($AP692,Programma!$F$3:$K$1101,6,0),"")</f>
        <v>_</v>
      </c>
      <c r="AV692" s="448" t="str">
        <f>_xlfn.IFNA(VLOOKUP($AP692,Programma!$F$3:$L$1101,7,0),"")</f>
        <v>_</v>
      </c>
      <c r="AW692" s="448" t="str">
        <f>_xlfn.IFNA(VLOOKUP($AP692,Programma!$F$3:$M$1101,8,0),"")</f>
        <v>_</v>
      </c>
      <c r="AX692" s="448" t="str">
        <f>_xlfn.IFNA(VLOOKUP($AP692,Programma!$F$3:$N$1101,9,0),"")</f>
        <v>_</v>
      </c>
      <c r="AY692" s="448" t="str">
        <f>_xlfn.IFNA(VLOOKUP($AP692,Programma!$F$3:$O$1101,10,0),"")</f>
        <v>5w</v>
      </c>
      <c r="AZ692" s="448" t="str">
        <f>_xlfn.IFNA(VLOOKUP($AP692,Programma!$F$3:$P$1101,11,0),"")</f>
        <v>5w</v>
      </c>
      <c r="BA692" s="448" t="str">
        <f>_xlfn.IFNA(VLOOKUP($AP692,Programma!$F$3:$Q$1101,12,0),"")</f>
        <v>1w</v>
      </c>
      <c r="BB692" s="448" t="str">
        <f>_xlfn.IFNA(VLOOKUP($AP692,Programma!$F$3:$R$1101,13,0),"")</f>
        <v>1w</v>
      </c>
      <c r="BC692" s="448" t="str">
        <f>_xlfn.IFNA(VLOOKUP($AP692,Programma!$F$3:$S$1101,14,0),"")</f>
        <v>1m</v>
      </c>
      <c r="BD692" s="448" t="str">
        <f>_xlfn.IFNA(VLOOKUP($AP692,Programma!$F$3:$T$1101,15,0),"")</f>
        <v>2j</v>
      </c>
      <c r="BE692" s="448" t="str">
        <f>_xlfn.IFNA(VLOOKUP($AP692,Programma!$F$3:$U$1101,16,0),"")</f>
        <v>1j</v>
      </c>
      <c r="BF692" s="448" t="str">
        <f>_xlfn.IFNA(VLOOKUP($AP692,Programma!$F$3:$V$1101,17,0),"")</f>
        <v>_</v>
      </c>
      <c r="BG692" s="448" t="str">
        <f>_xlfn.IFNA(VLOOKUP($AP692,Programma!$F$3:$W$1101,18,0),"")</f>
        <v>_</v>
      </c>
      <c r="BH692" s="448" t="str">
        <f>_xlfn.IFNA(VLOOKUP($AP692,Programma!$F$3:$X$1101,19,0),"")</f>
        <v>_</v>
      </c>
      <c r="BI692" s="448" t="str">
        <f>_xlfn.IFNA(VLOOKUP($AP692,Programma!$F$3:$Y$1101,20,0),"")</f>
        <v>_</v>
      </c>
      <c r="BJ692" s="449"/>
      <c r="BK692" s="446" t="str">
        <f>IF(Ruimtestaat[[#This Row],[Frequentie weekend]]="","",_xlfn.CONCAT(Ruimtestaat[[#This Row],[Ruimte code]],"-",Ruimtestaat[[#This Row],[Frequentie weekend]]," ",Ruimtestaat[[#This Row],[Vloer code]]))</f>
        <v/>
      </c>
      <c r="BL692" s="448" t="str">
        <f>_xlfn.IFNA(VLOOKUP($BK692,Programma!$F$3:$G$1101,2,0),"")</f>
        <v/>
      </c>
      <c r="BM692" s="448" t="str">
        <f>_xlfn.IFNA(VLOOKUP($BK692,Programma!$F$3:$H$1101,3,0),"")</f>
        <v/>
      </c>
      <c r="BN692" s="448" t="str">
        <f>_xlfn.IFNA(VLOOKUP($BK692,Programma!$F$3:$I$1101,4,0),"")</f>
        <v/>
      </c>
      <c r="BO692" s="448" t="str">
        <f>_xlfn.IFNA(VLOOKUP($BK692,Programma!$F$3:$J$1101,5,0),"")</f>
        <v/>
      </c>
      <c r="BP692" s="448" t="str">
        <f>_xlfn.IFNA(VLOOKUP($BK692,Programma!$F$3:$K$1101,6,0),"")</f>
        <v/>
      </c>
      <c r="BQ692" s="448" t="str">
        <f>_xlfn.IFNA(VLOOKUP($BK692,Programma!$F$3:$L$1101,7,0),"")</f>
        <v/>
      </c>
      <c r="BR692" s="448" t="str">
        <f>_xlfn.IFNA(VLOOKUP($BK692,Programma!$F$3:$M$1101,8,0),"")</f>
        <v/>
      </c>
      <c r="BS692" s="448" t="str">
        <f>_xlfn.IFNA(VLOOKUP($BK692,Programma!$F$3:$N$1101,9,0),"")</f>
        <v/>
      </c>
      <c r="BT692" s="448" t="str">
        <f>_xlfn.IFNA(VLOOKUP($BK692,Programma!$F$3:$O$1101,10,0),"")</f>
        <v/>
      </c>
      <c r="BU692" s="448" t="str">
        <f>_xlfn.IFNA(VLOOKUP($BK692,Programma!$F$3:$P$1101,11,0),"")</f>
        <v/>
      </c>
      <c r="BV692" s="448" t="str">
        <f>_xlfn.IFNA(VLOOKUP($BK692,Programma!$F$3:$Q$1101,12,0),"")</f>
        <v/>
      </c>
      <c r="BW692" s="448" t="str">
        <f>_xlfn.IFNA(VLOOKUP($BK692,Programma!$F$3:$R$1101,13,0),"")</f>
        <v/>
      </c>
      <c r="BX692" s="448" t="str">
        <f>_xlfn.IFNA(VLOOKUP($BK692,Programma!$F$3:$S$1101,14,0),"")</f>
        <v/>
      </c>
      <c r="BY692" s="448" t="str">
        <f>_xlfn.IFNA(VLOOKUP($BK692,Programma!$F$3:$T$1101,15,0),"")</f>
        <v/>
      </c>
      <c r="BZ692" s="448" t="str">
        <f>_xlfn.IFNA(VLOOKUP($BK692,Programma!$F$3:$U$1101,16,0),"")</f>
        <v/>
      </c>
      <c r="CA692" s="448" t="str">
        <f>_xlfn.IFNA(VLOOKUP($BK692,Programma!$F$3:$V$1101,17,0),"")</f>
        <v/>
      </c>
      <c r="CB692" s="448" t="str">
        <f>_xlfn.IFNA(VLOOKUP($BK692,Programma!$F$3:$W$1101,18,0),"")</f>
        <v/>
      </c>
      <c r="CC692" s="448" t="str">
        <f>_xlfn.IFNA(VLOOKUP($BK692,Programma!$F$3:$X$1101,19,0),"")</f>
        <v/>
      </c>
      <c r="CD692" s="448" t="str">
        <f>_xlfn.IFNA(VLOOKUP($BK692,Programma!$F$3:$Y$1101,20,0),"")</f>
        <v/>
      </c>
    </row>
    <row r="693" spans="1:82" ht="15" customHeight="1">
      <c r="A693" s="327">
        <v>15</v>
      </c>
      <c r="B693" s="435" t="str">
        <f>VLOOKUP(Ruimtestaat[[#This Row],[Code]],Locaties[[Code]:[Locatie]],2,FALSE)</f>
        <v>IKC  Da Vinci</v>
      </c>
      <c r="C693" s="435" t="str">
        <f>VLOOKUP(Ruimtestaat[[#This Row],[Code]],Locaties[[#All],[Code]:[Adres]],4,FALSE)</f>
        <v>Spitsbergen 17</v>
      </c>
      <c r="D693" s="435" t="str">
        <f>VLOOKUP(Ruimtestaat[[#This Row],[Code]],Locaties[[#All],[Code]:[Postcode]],5,FALSE)</f>
        <v>2721 GP</v>
      </c>
      <c r="E693" s="435" t="str">
        <f>VLOOKUP(Ruimtestaat[[#This Row],[Code]],Locaties[#All],6,FALSE)</f>
        <v>Zoetermeer</v>
      </c>
      <c r="F693" s="330" t="s">
        <v>2154</v>
      </c>
      <c r="I693" s="450" t="s">
        <v>1983</v>
      </c>
      <c r="J693" s="330">
        <v>16</v>
      </c>
      <c r="K693" s="450" t="str">
        <f>VLOOKUP(Ruimtestaat[[#This Row],[Ruimte code]],Ruimtegroepen[[#All],[Code]:[Ruimte omschrijving]],2,FALSE)</f>
        <v>Leslokalen</v>
      </c>
      <c r="L693" s="434" t="s">
        <v>100</v>
      </c>
      <c r="M693" s="437" t="s">
        <v>1759</v>
      </c>
      <c r="N693" s="439">
        <v>58</v>
      </c>
      <c r="O693" s="439"/>
      <c r="P693" s="439"/>
      <c r="Q693" s="439"/>
      <c r="R693" s="440" t="str">
        <f>VLOOKUP(Ruimtestaat[[#This Row],[Ruimte code]],Ruimtegroepen[],4,FALSE)</f>
        <v>Le</v>
      </c>
      <c r="S693" s="434">
        <v>40</v>
      </c>
      <c r="T693" s="434" t="s">
        <v>2</v>
      </c>
      <c r="U693" s="453">
        <f>IF(S693&gt;0,IF(RIGHT(Ruimtestaat[[#This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3" s="434">
        <f>IF(U693&gt;0,VLOOKUP($J693,Ruimtegroepen[],3,FALSE)*VLOOKUP($L693,Vloersoorten[],3,FALSE)*VLOOKUP($T693,Frequenties[],3,FALSE)*VLOOKUP($A693,Locaties[],3,FALSE),0)</f>
        <v>0</v>
      </c>
      <c r="W693" s="434">
        <f>Ruimtestaat[[#This Row],[Uitvoeringen werkdagen]]*Ruimtestaat[[#This Row],[Oppervlak (netto)]]</f>
        <v>11600</v>
      </c>
      <c r="X693" s="441">
        <f>IF(V693&gt;0,Ruimtestaat[[#This Row],[Prest. (m2 /jaar) werkdagen]]/Ruimtestaat[[#This Row],[Norm (m2/uur) werkdagen]],0)</f>
        <v>0</v>
      </c>
      <c r="Y693" s="442">
        <f>Ruimtestaat[[#This Row],[Uitvoeringen werkdagen]]*Ruimtestaat[[#This Row],[Gedeeltelijk]]</f>
        <v>0</v>
      </c>
      <c r="Z693" s="443" t="e">
        <f>IF(U693&gt;0,Ruimtestaat[[#This Row],[Prest. (m2 / jaar) werkdagen gedeeld]]/Ruimtestaat[[#This Row],[Norm (m2/uur) werkdagen]],0)</f>
        <v>#DIV/0!</v>
      </c>
      <c r="AA693" s="441" t="e">
        <f>Ruimtestaat[[#This Row],[uren / jaar werkdagen gedeeld]]*Tariefsopbouw!$E$35</f>
        <v>#DIV/0!</v>
      </c>
      <c r="AB693" s="441">
        <f>Ruimtestaat[[#This Row],[Uitvoeringen werkdagen]]*Ruimtestaat[[#This Row],[BSO]]</f>
        <v>0</v>
      </c>
      <c r="AC693" s="443" t="e">
        <f>IF(U693&gt;0,Ruimtestaat[[#This Row],[Prest. (m2 / jaar) werkdagen BSO]]/Ruimtestaat[[#This Row],[Norm (m2/uur) werkdagen]],0)</f>
        <v>#DIV/0!</v>
      </c>
      <c r="AD693" s="443" t="e">
        <f>Ruimtestaat[[#This Row],[uren / jaar werkdagen BSO]]*Tariefsopbouw!$E$35</f>
        <v>#DIV/0!</v>
      </c>
      <c r="AE693" s="444">
        <f>Ruimtestaat[[#This Row],[uren / jaar werkdagen]]*Tariefsopbouw!$E$35</f>
        <v>0</v>
      </c>
      <c r="AF693" s="454"/>
      <c r="AG693" s="455">
        <f>IF(Ruimtestaat[[#This Row],[Frequentie weekend]]&gt;0,VALUE(LEFT(AF693,1))*S693,0)</f>
        <v>0</v>
      </c>
      <c r="AH693" s="455">
        <f>IF($AG693&gt;0,VLOOKUP($J693,Ruimtegroepen[],3,FALSE)*VLOOKUP($L693,Vloersoorten[],3,FALSE)*VLOOKUP($AF693,Frequenties[],3,FALSE)*VLOOKUP(#REF!,Locaties[],3,FALSE),0)</f>
        <v>0</v>
      </c>
      <c r="AI693" s="434">
        <f>Ruimtestaat[[#This Row],[Uitvoeringen weekend]]*Ruimtestaat[[#This Row],[Oppervlak (netto)]]</f>
        <v>0</v>
      </c>
      <c r="AJ693" s="434">
        <f>IF(AH693&gt;0,Ruimtestaat[[#This Row],[Prest. (m2 /jaar) weekend]]/Ruimtestaat[[#This Row],[Norm (m2/uur) weekend]],0)</f>
        <v>0</v>
      </c>
      <c r="AK693" s="444">
        <f>Ruimtestaat[[#This Row],[uren / jaar weekend]]*Tariefsopbouw!$D$40</f>
        <v>0</v>
      </c>
      <c r="AL693" s="441">
        <f>Ruimtestaat[[#This Row],[Prest. (m2 /jaar) weekend]]+Ruimtestaat[[#This Row],[Prest. (m2 /jaar) werkdagen]]</f>
        <v>11600</v>
      </c>
      <c r="AM693" s="441">
        <f>Ruimtestaat[[#This Row],[uren / jaar weekend]]+Ruimtestaat[[#This Row],[uren / jaar werkdagen]]</f>
        <v>0</v>
      </c>
      <c r="AN693" s="446">
        <f>Ruimtestaat[[#This Row],[kosten / jaar weekend]]+Ruimtestaat[[#This Row],[kosten / jaar werkdagen]]</f>
        <v>0</v>
      </c>
      <c r="AO693" s="446"/>
      <c r="AP693" s="446" t="str">
        <f>IF(Ruimtestaat[[#This Row],[Frequentie werkdagen]]="","",_xlfn.CONCAT(Ruimtestaat[[#This Row],[Ruimte code]],"-",Ruimtestaat[[#This Row],[Frequentie werkdagen]]," ",Ruimtestaat[[#This Row],[Vloer code]]))</f>
        <v>16-5w L</v>
      </c>
      <c r="AQ693" s="448" t="str">
        <f>_xlfn.IFNA(VLOOKUP($AP693,Programma!$F$3:$G$1101,2,0),"")</f>
        <v>_</v>
      </c>
      <c r="AR693" s="448" t="str">
        <f>_xlfn.IFNA(VLOOKUP($AP693,Programma!$F$3:$H$1101,3,0),"")</f>
        <v>_</v>
      </c>
      <c r="AS693" s="448" t="str">
        <f>_xlfn.IFNA(VLOOKUP($AP693,Programma!$F$3:$I$1101,4,0),"")</f>
        <v>4w</v>
      </c>
      <c r="AT693" s="448" t="str">
        <f>_xlfn.IFNA(VLOOKUP($AP693,Programma!$F$3:$J$1101,5,0),"")</f>
        <v>1w</v>
      </c>
      <c r="AU693" s="448" t="str">
        <f>_xlfn.IFNA(VLOOKUP($AP693,Programma!$F$3:$K$1101,6,0),"")</f>
        <v>_</v>
      </c>
      <c r="AV693" s="448" t="str">
        <f>_xlfn.IFNA(VLOOKUP($AP693,Programma!$F$3:$L$1101,7,0),"")</f>
        <v>_</v>
      </c>
      <c r="AW693" s="448" t="str">
        <f>_xlfn.IFNA(VLOOKUP($AP693,Programma!$F$3:$M$1101,8,0),"")</f>
        <v>_</v>
      </c>
      <c r="AX693" s="448" t="str">
        <f>_xlfn.IFNA(VLOOKUP($AP693,Programma!$F$3:$N$1101,9,0),"")</f>
        <v>_</v>
      </c>
      <c r="AY693" s="448" t="str">
        <f>_xlfn.IFNA(VLOOKUP($AP693,Programma!$F$3:$O$1101,10,0),"")</f>
        <v>5w</v>
      </c>
      <c r="AZ693" s="448" t="str">
        <f>_xlfn.IFNA(VLOOKUP($AP693,Programma!$F$3:$P$1101,11,0),"")</f>
        <v>5w</v>
      </c>
      <c r="BA693" s="448" t="str">
        <f>_xlfn.IFNA(VLOOKUP($AP693,Programma!$F$3:$Q$1101,12,0),"")</f>
        <v>1w</v>
      </c>
      <c r="BB693" s="448" t="str">
        <f>_xlfn.IFNA(VLOOKUP($AP693,Programma!$F$3:$R$1101,13,0),"")</f>
        <v>1w</v>
      </c>
      <c r="BC693" s="448" t="str">
        <f>_xlfn.IFNA(VLOOKUP($AP693,Programma!$F$3:$S$1101,14,0),"")</f>
        <v>1m</v>
      </c>
      <c r="BD693" s="448" t="str">
        <f>_xlfn.IFNA(VLOOKUP($AP693,Programma!$F$3:$T$1101,15,0),"")</f>
        <v>2j</v>
      </c>
      <c r="BE693" s="448" t="str">
        <f>_xlfn.IFNA(VLOOKUP($AP693,Programma!$F$3:$U$1101,16,0),"")</f>
        <v>1j</v>
      </c>
      <c r="BF693" s="448" t="str">
        <f>_xlfn.IFNA(VLOOKUP($AP693,Programma!$F$3:$V$1101,17,0),"")</f>
        <v>_</v>
      </c>
      <c r="BG693" s="448" t="str">
        <f>_xlfn.IFNA(VLOOKUP($AP693,Programma!$F$3:$W$1101,18,0),"")</f>
        <v>_</v>
      </c>
      <c r="BH693" s="448" t="str">
        <f>_xlfn.IFNA(VLOOKUP($AP693,Programma!$F$3:$X$1101,19,0),"")</f>
        <v>_</v>
      </c>
      <c r="BI693" s="448" t="str">
        <f>_xlfn.IFNA(VLOOKUP($AP693,Programma!$F$3:$Y$1101,20,0),"")</f>
        <v>_</v>
      </c>
      <c r="BJ693" s="449"/>
      <c r="BK693" s="446" t="str">
        <f>IF(Ruimtestaat[[#This Row],[Frequentie weekend]]="","",_xlfn.CONCAT(Ruimtestaat[[#This Row],[Ruimte code]],"-",Ruimtestaat[[#This Row],[Frequentie weekend]]," ",Ruimtestaat[[#This Row],[Vloer code]]))</f>
        <v/>
      </c>
      <c r="BL693" s="448" t="str">
        <f>_xlfn.IFNA(VLOOKUP($BK693,Programma!$F$3:$G$1101,2,0),"")</f>
        <v/>
      </c>
      <c r="BM693" s="448" t="str">
        <f>_xlfn.IFNA(VLOOKUP($BK693,Programma!$F$3:$H$1101,3,0),"")</f>
        <v/>
      </c>
      <c r="BN693" s="448" t="str">
        <f>_xlfn.IFNA(VLOOKUP($BK693,Programma!$F$3:$I$1101,4,0),"")</f>
        <v/>
      </c>
      <c r="BO693" s="448" t="str">
        <f>_xlfn.IFNA(VLOOKUP($BK693,Programma!$F$3:$J$1101,5,0),"")</f>
        <v/>
      </c>
      <c r="BP693" s="448" t="str">
        <f>_xlfn.IFNA(VLOOKUP($BK693,Programma!$F$3:$K$1101,6,0),"")</f>
        <v/>
      </c>
      <c r="BQ693" s="448" t="str">
        <f>_xlfn.IFNA(VLOOKUP($BK693,Programma!$F$3:$L$1101,7,0),"")</f>
        <v/>
      </c>
      <c r="BR693" s="448" t="str">
        <f>_xlfn.IFNA(VLOOKUP($BK693,Programma!$F$3:$M$1101,8,0),"")</f>
        <v/>
      </c>
      <c r="BS693" s="448" t="str">
        <f>_xlfn.IFNA(VLOOKUP($BK693,Programma!$F$3:$N$1101,9,0),"")</f>
        <v/>
      </c>
      <c r="BT693" s="448" t="str">
        <f>_xlfn.IFNA(VLOOKUP($BK693,Programma!$F$3:$O$1101,10,0),"")</f>
        <v/>
      </c>
      <c r="BU693" s="448" t="str">
        <f>_xlfn.IFNA(VLOOKUP($BK693,Programma!$F$3:$P$1101,11,0),"")</f>
        <v/>
      </c>
      <c r="BV693" s="448" t="str">
        <f>_xlfn.IFNA(VLOOKUP($BK693,Programma!$F$3:$Q$1101,12,0),"")</f>
        <v/>
      </c>
      <c r="BW693" s="448" t="str">
        <f>_xlfn.IFNA(VLOOKUP($BK693,Programma!$F$3:$R$1101,13,0),"")</f>
        <v/>
      </c>
      <c r="BX693" s="448" t="str">
        <f>_xlfn.IFNA(VLOOKUP($BK693,Programma!$F$3:$S$1101,14,0),"")</f>
        <v/>
      </c>
      <c r="BY693" s="448" t="str">
        <f>_xlfn.IFNA(VLOOKUP($BK693,Programma!$F$3:$T$1101,15,0),"")</f>
        <v/>
      </c>
      <c r="BZ693" s="448" t="str">
        <f>_xlfn.IFNA(VLOOKUP($BK693,Programma!$F$3:$U$1101,16,0),"")</f>
        <v/>
      </c>
      <c r="CA693" s="448" t="str">
        <f>_xlfn.IFNA(VLOOKUP($BK693,Programma!$F$3:$V$1101,17,0),"")</f>
        <v/>
      </c>
      <c r="CB693" s="448" t="str">
        <f>_xlfn.IFNA(VLOOKUP($BK693,Programma!$F$3:$W$1101,18,0),"")</f>
        <v/>
      </c>
      <c r="CC693" s="448" t="str">
        <f>_xlfn.IFNA(VLOOKUP($BK693,Programma!$F$3:$X$1101,19,0),"")</f>
        <v/>
      </c>
      <c r="CD693" s="448" t="str">
        <f>_xlfn.IFNA(VLOOKUP($BK693,Programma!$F$3:$Y$1101,20,0),"")</f>
        <v/>
      </c>
    </row>
    <row r="694" spans="1:82" ht="15" customHeight="1">
      <c r="A694" s="327">
        <v>15</v>
      </c>
      <c r="B694" s="435" t="str">
        <f>VLOOKUP(Ruimtestaat[[#This Row],[Code]],Locaties[[Code]:[Locatie]],2,FALSE)</f>
        <v>IKC  Da Vinci</v>
      </c>
      <c r="C694" s="435" t="str">
        <f>VLOOKUP(Ruimtestaat[[#This Row],[Code]],Locaties[[#All],[Code]:[Adres]],4,FALSE)</f>
        <v>Spitsbergen 17</v>
      </c>
      <c r="D694" s="435" t="str">
        <f>VLOOKUP(Ruimtestaat[[#This Row],[Code]],Locaties[[#All],[Code]:[Postcode]],5,FALSE)</f>
        <v>2721 GP</v>
      </c>
      <c r="E694" s="435" t="str">
        <f>VLOOKUP(Ruimtestaat[[#This Row],[Code]],Locaties[#All],6,FALSE)</f>
        <v>Zoetermeer</v>
      </c>
      <c r="F694" s="330" t="s">
        <v>2154</v>
      </c>
      <c r="I694" s="450" t="s">
        <v>1983</v>
      </c>
      <c r="J694" s="330">
        <v>16</v>
      </c>
      <c r="K694" s="450" t="str">
        <f>VLOOKUP(Ruimtestaat[[#This Row],[Ruimte code]],Ruimtegroepen[[#All],[Code]:[Ruimte omschrijving]],2,FALSE)</f>
        <v>Leslokalen</v>
      </c>
      <c r="L694" s="434" t="s">
        <v>100</v>
      </c>
      <c r="M694" s="437" t="s">
        <v>1759</v>
      </c>
      <c r="N694" s="439">
        <v>67</v>
      </c>
      <c r="O694" s="439"/>
      <c r="P694" s="439"/>
      <c r="Q694" s="439"/>
      <c r="R694" s="440" t="str">
        <f>VLOOKUP(Ruimtestaat[[#This Row],[Ruimte code]],Ruimtegroepen[],4,FALSE)</f>
        <v>Le</v>
      </c>
      <c r="S694" s="434">
        <v>40</v>
      </c>
      <c r="T694" s="434" t="s">
        <v>2</v>
      </c>
      <c r="U694" s="453">
        <f>IF(S694&gt;0,IF(RIGHT(Ruimtestaat[[#This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4" s="434">
        <f>IF(U694&gt;0,VLOOKUP($J694,Ruimtegroepen[],3,FALSE)*VLOOKUP($L694,Vloersoorten[],3,FALSE)*VLOOKUP($T694,Frequenties[],3,FALSE)*VLOOKUP($A694,Locaties[],3,FALSE),0)</f>
        <v>0</v>
      </c>
      <c r="W694" s="434">
        <f>Ruimtestaat[[#This Row],[Uitvoeringen werkdagen]]*Ruimtestaat[[#This Row],[Oppervlak (netto)]]</f>
        <v>13400</v>
      </c>
      <c r="X694" s="441">
        <f>IF(V694&gt;0,Ruimtestaat[[#This Row],[Prest. (m2 /jaar) werkdagen]]/Ruimtestaat[[#This Row],[Norm (m2/uur) werkdagen]],0)</f>
        <v>0</v>
      </c>
      <c r="Y694" s="442">
        <f>Ruimtestaat[[#This Row],[Uitvoeringen werkdagen]]*Ruimtestaat[[#This Row],[Gedeeltelijk]]</f>
        <v>0</v>
      </c>
      <c r="Z694" s="443" t="e">
        <f>IF(U694&gt;0,Ruimtestaat[[#This Row],[Prest. (m2 / jaar) werkdagen gedeeld]]/Ruimtestaat[[#This Row],[Norm (m2/uur) werkdagen]],0)</f>
        <v>#DIV/0!</v>
      </c>
      <c r="AA694" s="441" t="e">
        <f>Ruimtestaat[[#This Row],[uren / jaar werkdagen gedeeld]]*Tariefsopbouw!$E$35</f>
        <v>#DIV/0!</v>
      </c>
      <c r="AB694" s="441">
        <f>Ruimtestaat[[#This Row],[Uitvoeringen werkdagen]]*Ruimtestaat[[#This Row],[BSO]]</f>
        <v>0</v>
      </c>
      <c r="AC694" s="443" t="e">
        <f>IF(U694&gt;0,Ruimtestaat[[#This Row],[Prest. (m2 / jaar) werkdagen BSO]]/Ruimtestaat[[#This Row],[Norm (m2/uur) werkdagen]],0)</f>
        <v>#DIV/0!</v>
      </c>
      <c r="AD694" s="443" t="e">
        <f>Ruimtestaat[[#This Row],[uren / jaar werkdagen BSO]]*Tariefsopbouw!$E$35</f>
        <v>#DIV/0!</v>
      </c>
      <c r="AE694" s="444">
        <f>Ruimtestaat[[#This Row],[uren / jaar werkdagen]]*Tariefsopbouw!$E$35</f>
        <v>0</v>
      </c>
      <c r="AF694" s="454"/>
      <c r="AG694" s="455">
        <f>IF(Ruimtestaat[[#This Row],[Frequentie weekend]]&gt;0,VALUE(LEFT(AF694,1))*S694,0)</f>
        <v>0</v>
      </c>
      <c r="AH694" s="455">
        <f>IF($AG694&gt;0,VLOOKUP($J694,Ruimtegroepen[],3,FALSE)*VLOOKUP($L694,Vloersoorten[],3,FALSE)*VLOOKUP($AF694,Frequenties[],3,FALSE)*VLOOKUP(#REF!,Locaties[],3,FALSE),0)</f>
        <v>0</v>
      </c>
      <c r="AI694" s="434">
        <f>Ruimtestaat[[#This Row],[Uitvoeringen weekend]]*Ruimtestaat[[#This Row],[Oppervlak (netto)]]</f>
        <v>0</v>
      </c>
      <c r="AJ694" s="434">
        <f>IF(AH694&gt;0,Ruimtestaat[[#This Row],[Prest. (m2 /jaar) weekend]]/Ruimtestaat[[#This Row],[Norm (m2/uur) weekend]],0)</f>
        <v>0</v>
      </c>
      <c r="AK694" s="444">
        <f>Ruimtestaat[[#This Row],[uren / jaar weekend]]*Tariefsopbouw!$D$40</f>
        <v>0</v>
      </c>
      <c r="AL694" s="441">
        <f>Ruimtestaat[[#This Row],[Prest. (m2 /jaar) weekend]]+Ruimtestaat[[#This Row],[Prest. (m2 /jaar) werkdagen]]</f>
        <v>13400</v>
      </c>
      <c r="AM694" s="441">
        <f>Ruimtestaat[[#This Row],[uren / jaar weekend]]+Ruimtestaat[[#This Row],[uren / jaar werkdagen]]</f>
        <v>0</v>
      </c>
      <c r="AN694" s="446">
        <f>Ruimtestaat[[#This Row],[kosten / jaar weekend]]+Ruimtestaat[[#This Row],[kosten / jaar werkdagen]]</f>
        <v>0</v>
      </c>
      <c r="AO694" s="446"/>
      <c r="AP694" s="446" t="str">
        <f>IF(Ruimtestaat[[#This Row],[Frequentie werkdagen]]="","",_xlfn.CONCAT(Ruimtestaat[[#This Row],[Ruimte code]],"-",Ruimtestaat[[#This Row],[Frequentie werkdagen]]," ",Ruimtestaat[[#This Row],[Vloer code]]))</f>
        <v>16-5w L</v>
      </c>
      <c r="AQ694" s="448" t="str">
        <f>_xlfn.IFNA(VLOOKUP($AP694,Programma!$F$3:$G$1101,2,0),"")</f>
        <v>_</v>
      </c>
      <c r="AR694" s="448" t="str">
        <f>_xlfn.IFNA(VLOOKUP($AP694,Programma!$F$3:$H$1101,3,0),"")</f>
        <v>_</v>
      </c>
      <c r="AS694" s="448" t="str">
        <f>_xlfn.IFNA(VLOOKUP($AP694,Programma!$F$3:$I$1101,4,0),"")</f>
        <v>4w</v>
      </c>
      <c r="AT694" s="448" t="str">
        <f>_xlfn.IFNA(VLOOKUP($AP694,Programma!$F$3:$J$1101,5,0),"")</f>
        <v>1w</v>
      </c>
      <c r="AU694" s="448" t="str">
        <f>_xlfn.IFNA(VLOOKUP($AP694,Programma!$F$3:$K$1101,6,0),"")</f>
        <v>_</v>
      </c>
      <c r="AV694" s="448" t="str">
        <f>_xlfn.IFNA(VLOOKUP($AP694,Programma!$F$3:$L$1101,7,0),"")</f>
        <v>_</v>
      </c>
      <c r="AW694" s="448" t="str">
        <f>_xlfn.IFNA(VLOOKUP($AP694,Programma!$F$3:$M$1101,8,0),"")</f>
        <v>_</v>
      </c>
      <c r="AX694" s="448" t="str">
        <f>_xlfn.IFNA(VLOOKUP($AP694,Programma!$F$3:$N$1101,9,0),"")</f>
        <v>_</v>
      </c>
      <c r="AY694" s="448" t="str">
        <f>_xlfn.IFNA(VLOOKUP($AP694,Programma!$F$3:$O$1101,10,0),"")</f>
        <v>5w</v>
      </c>
      <c r="AZ694" s="448" t="str">
        <f>_xlfn.IFNA(VLOOKUP($AP694,Programma!$F$3:$P$1101,11,0),"")</f>
        <v>5w</v>
      </c>
      <c r="BA694" s="448" t="str">
        <f>_xlfn.IFNA(VLOOKUP($AP694,Programma!$F$3:$Q$1101,12,0),"")</f>
        <v>1w</v>
      </c>
      <c r="BB694" s="448" t="str">
        <f>_xlfn.IFNA(VLOOKUP($AP694,Programma!$F$3:$R$1101,13,0),"")</f>
        <v>1w</v>
      </c>
      <c r="BC694" s="448" t="str">
        <f>_xlfn.IFNA(VLOOKUP($AP694,Programma!$F$3:$S$1101,14,0),"")</f>
        <v>1m</v>
      </c>
      <c r="BD694" s="448" t="str">
        <f>_xlfn.IFNA(VLOOKUP($AP694,Programma!$F$3:$T$1101,15,0),"")</f>
        <v>2j</v>
      </c>
      <c r="BE694" s="448" t="str">
        <f>_xlfn.IFNA(VLOOKUP($AP694,Programma!$F$3:$U$1101,16,0),"")</f>
        <v>1j</v>
      </c>
      <c r="BF694" s="448" t="str">
        <f>_xlfn.IFNA(VLOOKUP($AP694,Programma!$F$3:$V$1101,17,0),"")</f>
        <v>_</v>
      </c>
      <c r="BG694" s="448" t="str">
        <f>_xlfn.IFNA(VLOOKUP($AP694,Programma!$F$3:$W$1101,18,0),"")</f>
        <v>_</v>
      </c>
      <c r="BH694" s="448" t="str">
        <f>_xlfn.IFNA(VLOOKUP($AP694,Programma!$F$3:$X$1101,19,0),"")</f>
        <v>_</v>
      </c>
      <c r="BI694" s="448" t="str">
        <f>_xlfn.IFNA(VLOOKUP($AP694,Programma!$F$3:$Y$1101,20,0),"")</f>
        <v>_</v>
      </c>
      <c r="BJ694" s="449"/>
      <c r="BK694" s="446" t="str">
        <f>IF(Ruimtestaat[[#This Row],[Frequentie weekend]]="","",_xlfn.CONCAT(Ruimtestaat[[#This Row],[Ruimte code]],"-",Ruimtestaat[[#This Row],[Frequentie weekend]]," ",Ruimtestaat[[#This Row],[Vloer code]]))</f>
        <v/>
      </c>
      <c r="BL694" s="448" t="str">
        <f>_xlfn.IFNA(VLOOKUP($BK694,Programma!$F$3:$G$1101,2,0),"")</f>
        <v/>
      </c>
      <c r="BM694" s="448" t="str">
        <f>_xlfn.IFNA(VLOOKUP($BK694,Programma!$F$3:$H$1101,3,0),"")</f>
        <v/>
      </c>
      <c r="BN694" s="448" t="str">
        <f>_xlfn.IFNA(VLOOKUP($BK694,Programma!$F$3:$I$1101,4,0),"")</f>
        <v/>
      </c>
      <c r="BO694" s="448" t="str">
        <f>_xlfn.IFNA(VLOOKUP($BK694,Programma!$F$3:$J$1101,5,0),"")</f>
        <v/>
      </c>
      <c r="BP694" s="448" t="str">
        <f>_xlfn.IFNA(VLOOKUP($BK694,Programma!$F$3:$K$1101,6,0),"")</f>
        <v/>
      </c>
      <c r="BQ694" s="448" t="str">
        <f>_xlfn.IFNA(VLOOKUP($BK694,Programma!$F$3:$L$1101,7,0),"")</f>
        <v/>
      </c>
      <c r="BR694" s="448" t="str">
        <f>_xlfn.IFNA(VLOOKUP($BK694,Programma!$F$3:$M$1101,8,0),"")</f>
        <v/>
      </c>
      <c r="BS694" s="448" t="str">
        <f>_xlfn.IFNA(VLOOKUP($BK694,Programma!$F$3:$N$1101,9,0),"")</f>
        <v/>
      </c>
      <c r="BT694" s="448" t="str">
        <f>_xlfn.IFNA(VLOOKUP($BK694,Programma!$F$3:$O$1101,10,0),"")</f>
        <v/>
      </c>
      <c r="BU694" s="448" t="str">
        <f>_xlfn.IFNA(VLOOKUP($BK694,Programma!$F$3:$P$1101,11,0),"")</f>
        <v/>
      </c>
      <c r="BV694" s="448" t="str">
        <f>_xlfn.IFNA(VLOOKUP($BK694,Programma!$F$3:$Q$1101,12,0),"")</f>
        <v/>
      </c>
      <c r="BW694" s="448" t="str">
        <f>_xlfn.IFNA(VLOOKUP($BK694,Programma!$F$3:$R$1101,13,0),"")</f>
        <v/>
      </c>
      <c r="BX694" s="448" t="str">
        <f>_xlfn.IFNA(VLOOKUP($BK694,Programma!$F$3:$S$1101,14,0),"")</f>
        <v/>
      </c>
      <c r="BY694" s="448" t="str">
        <f>_xlfn.IFNA(VLOOKUP($BK694,Programma!$F$3:$T$1101,15,0),"")</f>
        <v/>
      </c>
      <c r="BZ694" s="448" t="str">
        <f>_xlfn.IFNA(VLOOKUP($BK694,Programma!$F$3:$U$1101,16,0),"")</f>
        <v/>
      </c>
      <c r="CA694" s="448" t="str">
        <f>_xlfn.IFNA(VLOOKUP($BK694,Programma!$F$3:$V$1101,17,0),"")</f>
        <v/>
      </c>
      <c r="CB694" s="448" t="str">
        <f>_xlfn.IFNA(VLOOKUP($BK694,Programma!$F$3:$W$1101,18,0),"")</f>
        <v/>
      </c>
      <c r="CC694" s="448" t="str">
        <f>_xlfn.IFNA(VLOOKUP($BK694,Programma!$F$3:$X$1101,19,0),"")</f>
        <v/>
      </c>
      <c r="CD694" s="448" t="str">
        <f>_xlfn.IFNA(VLOOKUP($BK694,Programma!$F$3:$Y$1101,20,0),"")</f>
        <v/>
      </c>
    </row>
    <row r="695" spans="1:82" ht="15" customHeight="1">
      <c r="A695" s="327">
        <v>15</v>
      </c>
      <c r="B695" s="435" t="str">
        <f>VLOOKUP(Ruimtestaat[[#This Row],[Code]],Locaties[[Code]:[Locatie]],2,FALSE)</f>
        <v>IKC  Da Vinci</v>
      </c>
      <c r="C695" s="435" t="str">
        <f>VLOOKUP(Ruimtestaat[[#This Row],[Code]],Locaties[[#All],[Code]:[Adres]],4,FALSE)</f>
        <v>Spitsbergen 17</v>
      </c>
      <c r="D695" s="435" t="str">
        <f>VLOOKUP(Ruimtestaat[[#This Row],[Code]],Locaties[[#All],[Code]:[Postcode]],5,FALSE)</f>
        <v>2721 GP</v>
      </c>
      <c r="E695" s="435" t="str">
        <f>VLOOKUP(Ruimtestaat[[#This Row],[Code]],Locaties[#All],6,FALSE)</f>
        <v>Zoetermeer</v>
      </c>
      <c r="F695" s="330" t="s">
        <v>2154</v>
      </c>
      <c r="I695" s="450" t="s">
        <v>1983</v>
      </c>
      <c r="J695" s="330">
        <v>16</v>
      </c>
      <c r="K695" s="450" t="str">
        <f>VLOOKUP(Ruimtestaat[[#This Row],[Ruimte code]],Ruimtegroepen[[#All],[Code]:[Ruimte omschrijving]],2,FALSE)</f>
        <v>Leslokalen</v>
      </c>
      <c r="L695" s="434" t="s">
        <v>100</v>
      </c>
      <c r="M695" s="437" t="s">
        <v>1759</v>
      </c>
      <c r="N695" s="439">
        <v>61</v>
      </c>
      <c r="O695" s="439"/>
      <c r="P695" s="439"/>
      <c r="Q695" s="439"/>
      <c r="R695" s="440" t="str">
        <f>VLOOKUP(Ruimtestaat[[#This Row],[Ruimte code]],Ruimtegroepen[],4,FALSE)</f>
        <v>Le</v>
      </c>
      <c r="S695" s="434">
        <v>40</v>
      </c>
      <c r="T695" s="434" t="s">
        <v>2</v>
      </c>
      <c r="U695" s="453">
        <f>IF(S695&gt;0,IF(RIGHT(Ruimtestaat[[#This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5" s="434">
        <f>IF(U695&gt;0,VLOOKUP($J695,Ruimtegroepen[],3,FALSE)*VLOOKUP($L695,Vloersoorten[],3,FALSE)*VLOOKUP($T695,Frequenties[],3,FALSE)*VLOOKUP($A695,Locaties[],3,FALSE),0)</f>
        <v>0</v>
      </c>
      <c r="W695" s="434">
        <f>Ruimtestaat[[#This Row],[Uitvoeringen werkdagen]]*Ruimtestaat[[#This Row],[Oppervlak (netto)]]</f>
        <v>12200</v>
      </c>
      <c r="X695" s="441">
        <f>IF(V695&gt;0,Ruimtestaat[[#This Row],[Prest. (m2 /jaar) werkdagen]]/Ruimtestaat[[#This Row],[Norm (m2/uur) werkdagen]],0)</f>
        <v>0</v>
      </c>
      <c r="Y695" s="442">
        <f>Ruimtestaat[[#This Row],[Uitvoeringen werkdagen]]*Ruimtestaat[[#This Row],[Gedeeltelijk]]</f>
        <v>0</v>
      </c>
      <c r="Z695" s="443" t="e">
        <f>IF(U695&gt;0,Ruimtestaat[[#This Row],[Prest. (m2 / jaar) werkdagen gedeeld]]/Ruimtestaat[[#This Row],[Norm (m2/uur) werkdagen]],0)</f>
        <v>#DIV/0!</v>
      </c>
      <c r="AA695" s="441" t="e">
        <f>Ruimtestaat[[#This Row],[uren / jaar werkdagen gedeeld]]*Tariefsopbouw!$E$35</f>
        <v>#DIV/0!</v>
      </c>
      <c r="AB695" s="441">
        <f>Ruimtestaat[[#This Row],[Uitvoeringen werkdagen]]*Ruimtestaat[[#This Row],[BSO]]</f>
        <v>0</v>
      </c>
      <c r="AC695" s="443" t="e">
        <f>IF(U695&gt;0,Ruimtestaat[[#This Row],[Prest. (m2 / jaar) werkdagen BSO]]/Ruimtestaat[[#This Row],[Norm (m2/uur) werkdagen]],0)</f>
        <v>#DIV/0!</v>
      </c>
      <c r="AD695" s="443" t="e">
        <f>Ruimtestaat[[#This Row],[uren / jaar werkdagen BSO]]*Tariefsopbouw!$E$35</f>
        <v>#DIV/0!</v>
      </c>
      <c r="AE695" s="444">
        <f>Ruimtestaat[[#This Row],[uren / jaar werkdagen]]*Tariefsopbouw!$E$35</f>
        <v>0</v>
      </c>
      <c r="AF695" s="454"/>
      <c r="AG695" s="455">
        <f>IF(Ruimtestaat[[#This Row],[Frequentie weekend]]&gt;0,VALUE(LEFT(AF695,1))*S695,0)</f>
        <v>0</v>
      </c>
      <c r="AH695" s="455">
        <f>IF($AG695&gt;0,VLOOKUP($J695,Ruimtegroepen[],3,FALSE)*VLOOKUP($L695,Vloersoorten[],3,FALSE)*VLOOKUP($AF695,Frequenties[],3,FALSE)*VLOOKUP(#REF!,Locaties[],3,FALSE),0)</f>
        <v>0</v>
      </c>
      <c r="AI695" s="434">
        <f>Ruimtestaat[[#This Row],[Uitvoeringen weekend]]*Ruimtestaat[[#This Row],[Oppervlak (netto)]]</f>
        <v>0</v>
      </c>
      <c r="AJ695" s="434">
        <f>IF(AH695&gt;0,Ruimtestaat[[#This Row],[Prest. (m2 /jaar) weekend]]/Ruimtestaat[[#This Row],[Norm (m2/uur) weekend]],0)</f>
        <v>0</v>
      </c>
      <c r="AK695" s="444">
        <f>Ruimtestaat[[#This Row],[uren / jaar weekend]]*Tariefsopbouw!$D$40</f>
        <v>0</v>
      </c>
      <c r="AL695" s="441">
        <f>Ruimtestaat[[#This Row],[Prest. (m2 /jaar) weekend]]+Ruimtestaat[[#This Row],[Prest. (m2 /jaar) werkdagen]]</f>
        <v>12200</v>
      </c>
      <c r="AM695" s="441">
        <f>Ruimtestaat[[#This Row],[uren / jaar weekend]]+Ruimtestaat[[#This Row],[uren / jaar werkdagen]]</f>
        <v>0</v>
      </c>
      <c r="AN695" s="446">
        <f>Ruimtestaat[[#This Row],[kosten / jaar weekend]]+Ruimtestaat[[#This Row],[kosten / jaar werkdagen]]</f>
        <v>0</v>
      </c>
      <c r="AO695" s="446"/>
      <c r="AP695" s="446" t="str">
        <f>IF(Ruimtestaat[[#This Row],[Frequentie werkdagen]]="","",_xlfn.CONCAT(Ruimtestaat[[#This Row],[Ruimte code]],"-",Ruimtestaat[[#This Row],[Frequentie werkdagen]]," ",Ruimtestaat[[#This Row],[Vloer code]]))</f>
        <v>16-5w L</v>
      </c>
      <c r="AQ695" s="448" t="str">
        <f>_xlfn.IFNA(VLOOKUP($AP695,Programma!$F$3:$G$1101,2,0),"")</f>
        <v>_</v>
      </c>
      <c r="AR695" s="448" t="str">
        <f>_xlfn.IFNA(VLOOKUP($AP695,Programma!$F$3:$H$1101,3,0),"")</f>
        <v>_</v>
      </c>
      <c r="AS695" s="448" t="str">
        <f>_xlfn.IFNA(VLOOKUP($AP695,Programma!$F$3:$I$1101,4,0),"")</f>
        <v>4w</v>
      </c>
      <c r="AT695" s="448" t="str">
        <f>_xlfn.IFNA(VLOOKUP($AP695,Programma!$F$3:$J$1101,5,0),"")</f>
        <v>1w</v>
      </c>
      <c r="AU695" s="448" t="str">
        <f>_xlfn.IFNA(VLOOKUP($AP695,Programma!$F$3:$K$1101,6,0),"")</f>
        <v>_</v>
      </c>
      <c r="AV695" s="448" t="str">
        <f>_xlfn.IFNA(VLOOKUP($AP695,Programma!$F$3:$L$1101,7,0),"")</f>
        <v>_</v>
      </c>
      <c r="AW695" s="448" t="str">
        <f>_xlfn.IFNA(VLOOKUP($AP695,Programma!$F$3:$M$1101,8,0),"")</f>
        <v>_</v>
      </c>
      <c r="AX695" s="448" t="str">
        <f>_xlfn.IFNA(VLOOKUP($AP695,Programma!$F$3:$N$1101,9,0),"")</f>
        <v>_</v>
      </c>
      <c r="AY695" s="448" t="str">
        <f>_xlfn.IFNA(VLOOKUP($AP695,Programma!$F$3:$O$1101,10,0),"")</f>
        <v>5w</v>
      </c>
      <c r="AZ695" s="448" t="str">
        <f>_xlfn.IFNA(VLOOKUP($AP695,Programma!$F$3:$P$1101,11,0),"")</f>
        <v>5w</v>
      </c>
      <c r="BA695" s="448" t="str">
        <f>_xlfn.IFNA(VLOOKUP($AP695,Programma!$F$3:$Q$1101,12,0),"")</f>
        <v>1w</v>
      </c>
      <c r="BB695" s="448" t="str">
        <f>_xlfn.IFNA(VLOOKUP($AP695,Programma!$F$3:$R$1101,13,0),"")</f>
        <v>1w</v>
      </c>
      <c r="BC695" s="448" t="str">
        <f>_xlfn.IFNA(VLOOKUP($AP695,Programma!$F$3:$S$1101,14,0),"")</f>
        <v>1m</v>
      </c>
      <c r="BD695" s="448" t="str">
        <f>_xlfn.IFNA(VLOOKUP($AP695,Programma!$F$3:$T$1101,15,0),"")</f>
        <v>2j</v>
      </c>
      <c r="BE695" s="448" t="str">
        <f>_xlfn.IFNA(VLOOKUP($AP695,Programma!$F$3:$U$1101,16,0),"")</f>
        <v>1j</v>
      </c>
      <c r="BF695" s="448" t="str">
        <f>_xlfn.IFNA(VLOOKUP($AP695,Programma!$F$3:$V$1101,17,0),"")</f>
        <v>_</v>
      </c>
      <c r="BG695" s="448" t="str">
        <f>_xlfn.IFNA(VLOOKUP($AP695,Programma!$F$3:$W$1101,18,0),"")</f>
        <v>_</v>
      </c>
      <c r="BH695" s="448" t="str">
        <f>_xlfn.IFNA(VLOOKUP($AP695,Programma!$F$3:$X$1101,19,0),"")</f>
        <v>_</v>
      </c>
      <c r="BI695" s="448" t="str">
        <f>_xlfn.IFNA(VLOOKUP($AP695,Programma!$F$3:$Y$1101,20,0),"")</f>
        <v>_</v>
      </c>
      <c r="BJ695" s="449"/>
      <c r="BK695" s="446" t="str">
        <f>IF(Ruimtestaat[[#This Row],[Frequentie weekend]]="","",_xlfn.CONCAT(Ruimtestaat[[#This Row],[Ruimte code]],"-",Ruimtestaat[[#This Row],[Frequentie weekend]]," ",Ruimtestaat[[#This Row],[Vloer code]]))</f>
        <v/>
      </c>
      <c r="BL695" s="448" t="str">
        <f>_xlfn.IFNA(VLOOKUP($BK695,Programma!$F$3:$G$1101,2,0),"")</f>
        <v/>
      </c>
      <c r="BM695" s="448" t="str">
        <f>_xlfn.IFNA(VLOOKUP($BK695,Programma!$F$3:$H$1101,3,0),"")</f>
        <v/>
      </c>
      <c r="BN695" s="448" t="str">
        <f>_xlfn.IFNA(VLOOKUP($BK695,Programma!$F$3:$I$1101,4,0),"")</f>
        <v/>
      </c>
      <c r="BO695" s="448" t="str">
        <f>_xlfn.IFNA(VLOOKUP($BK695,Programma!$F$3:$J$1101,5,0),"")</f>
        <v/>
      </c>
      <c r="BP695" s="448" t="str">
        <f>_xlfn.IFNA(VLOOKUP($BK695,Programma!$F$3:$K$1101,6,0),"")</f>
        <v/>
      </c>
      <c r="BQ695" s="448" t="str">
        <f>_xlfn.IFNA(VLOOKUP($BK695,Programma!$F$3:$L$1101,7,0),"")</f>
        <v/>
      </c>
      <c r="BR695" s="448" t="str">
        <f>_xlfn.IFNA(VLOOKUP($BK695,Programma!$F$3:$M$1101,8,0),"")</f>
        <v/>
      </c>
      <c r="BS695" s="448" t="str">
        <f>_xlfn.IFNA(VLOOKUP($BK695,Programma!$F$3:$N$1101,9,0),"")</f>
        <v/>
      </c>
      <c r="BT695" s="448" t="str">
        <f>_xlfn.IFNA(VLOOKUP($BK695,Programma!$F$3:$O$1101,10,0),"")</f>
        <v/>
      </c>
      <c r="BU695" s="448" t="str">
        <f>_xlfn.IFNA(VLOOKUP($BK695,Programma!$F$3:$P$1101,11,0),"")</f>
        <v/>
      </c>
      <c r="BV695" s="448" t="str">
        <f>_xlfn.IFNA(VLOOKUP($BK695,Programma!$F$3:$Q$1101,12,0),"")</f>
        <v/>
      </c>
      <c r="BW695" s="448" t="str">
        <f>_xlfn.IFNA(VLOOKUP($BK695,Programma!$F$3:$R$1101,13,0),"")</f>
        <v/>
      </c>
      <c r="BX695" s="448" t="str">
        <f>_xlfn.IFNA(VLOOKUP($BK695,Programma!$F$3:$S$1101,14,0),"")</f>
        <v/>
      </c>
      <c r="BY695" s="448" t="str">
        <f>_xlfn.IFNA(VLOOKUP($BK695,Programma!$F$3:$T$1101,15,0),"")</f>
        <v/>
      </c>
      <c r="BZ695" s="448" t="str">
        <f>_xlfn.IFNA(VLOOKUP($BK695,Programma!$F$3:$U$1101,16,0),"")</f>
        <v/>
      </c>
      <c r="CA695" s="448" t="str">
        <f>_xlfn.IFNA(VLOOKUP($BK695,Programma!$F$3:$V$1101,17,0),"")</f>
        <v/>
      </c>
      <c r="CB695" s="448" t="str">
        <f>_xlfn.IFNA(VLOOKUP($BK695,Programma!$F$3:$W$1101,18,0),"")</f>
        <v/>
      </c>
      <c r="CC695" s="448" t="str">
        <f>_xlfn.IFNA(VLOOKUP($BK695,Programma!$F$3:$X$1101,19,0),"")</f>
        <v/>
      </c>
      <c r="CD695" s="448" t="str">
        <f>_xlfn.IFNA(VLOOKUP($BK695,Programma!$F$3:$Y$1101,20,0),"")</f>
        <v/>
      </c>
    </row>
    <row r="696" spans="1:82" ht="15" customHeight="1">
      <c r="A696" s="327">
        <v>15</v>
      </c>
      <c r="B696" s="435" t="str">
        <f>VLOOKUP(Ruimtestaat[[#This Row],[Code]],Locaties[[Code]:[Locatie]],2,FALSE)</f>
        <v>IKC  Da Vinci</v>
      </c>
      <c r="C696" s="435" t="str">
        <f>VLOOKUP(Ruimtestaat[[#This Row],[Code]],Locaties[[#All],[Code]:[Adres]],4,FALSE)</f>
        <v>Spitsbergen 17</v>
      </c>
      <c r="D696" s="435" t="str">
        <f>VLOOKUP(Ruimtestaat[[#This Row],[Code]],Locaties[[#All],[Code]:[Postcode]],5,FALSE)</f>
        <v>2721 GP</v>
      </c>
      <c r="E696" s="435" t="str">
        <f>VLOOKUP(Ruimtestaat[[#This Row],[Code]],Locaties[#All],6,FALSE)</f>
        <v>Zoetermeer</v>
      </c>
      <c r="F696" s="330" t="s">
        <v>2154</v>
      </c>
      <c r="I696" s="450" t="s">
        <v>1983</v>
      </c>
      <c r="J696" s="330">
        <v>16</v>
      </c>
      <c r="K696" s="450" t="str">
        <f>VLOOKUP(Ruimtestaat[[#This Row],[Ruimte code]],Ruimtegroepen[[#All],[Code]:[Ruimte omschrijving]],2,FALSE)</f>
        <v>Leslokalen</v>
      </c>
      <c r="L696" s="434" t="s">
        <v>100</v>
      </c>
      <c r="M696" s="437" t="s">
        <v>1759</v>
      </c>
      <c r="N696" s="439">
        <v>57</v>
      </c>
      <c r="O696" s="439"/>
      <c r="P696" s="439"/>
      <c r="Q696" s="439"/>
      <c r="R696" s="440" t="str">
        <f>VLOOKUP(Ruimtestaat[[#This Row],[Ruimte code]],Ruimtegroepen[],4,FALSE)</f>
        <v>Le</v>
      </c>
      <c r="S696" s="434">
        <v>40</v>
      </c>
      <c r="T696" s="434" t="s">
        <v>2</v>
      </c>
      <c r="U696" s="453">
        <f>IF(S696&gt;0,IF(RIGHT(Ruimtestaat[[#This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6" s="434">
        <f>IF(U696&gt;0,VLOOKUP($J696,Ruimtegroepen[],3,FALSE)*VLOOKUP($L696,Vloersoorten[],3,FALSE)*VLOOKUP($T696,Frequenties[],3,FALSE)*VLOOKUP($A696,Locaties[],3,FALSE),0)</f>
        <v>0</v>
      </c>
      <c r="W696" s="434">
        <f>Ruimtestaat[[#This Row],[Uitvoeringen werkdagen]]*Ruimtestaat[[#This Row],[Oppervlak (netto)]]</f>
        <v>11400</v>
      </c>
      <c r="X696" s="441">
        <f>IF(V696&gt;0,Ruimtestaat[[#This Row],[Prest. (m2 /jaar) werkdagen]]/Ruimtestaat[[#This Row],[Norm (m2/uur) werkdagen]],0)</f>
        <v>0</v>
      </c>
      <c r="Y696" s="442">
        <f>Ruimtestaat[[#This Row],[Uitvoeringen werkdagen]]*Ruimtestaat[[#This Row],[Gedeeltelijk]]</f>
        <v>0</v>
      </c>
      <c r="Z696" s="443" t="e">
        <f>IF(U696&gt;0,Ruimtestaat[[#This Row],[Prest. (m2 / jaar) werkdagen gedeeld]]/Ruimtestaat[[#This Row],[Norm (m2/uur) werkdagen]],0)</f>
        <v>#DIV/0!</v>
      </c>
      <c r="AA696" s="441" t="e">
        <f>Ruimtestaat[[#This Row],[uren / jaar werkdagen gedeeld]]*Tariefsopbouw!$E$35</f>
        <v>#DIV/0!</v>
      </c>
      <c r="AB696" s="441">
        <f>Ruimtestaat[[#This Row],[Uitvoeringen werkdagen]]*Ruimtestaat[[#This Row],[BSO]]</f>
        <v>0</v>
      </c>
      <c r="AC696" s="443" t="e">
        <f>IF(U696&gt;0,Ruimtestaat[[#This Row],[Prest. (m2 / jaar) werkdagen BSO]]/Ruimtestaat[[#This Row],[Norm (m2/uur) werkdagen]],0)</f>
        <v>#DIV/0!</v>
      </c>
      <c r="AD696" s="443" t="e">
        <f>Ruimtestaat[[#This Row],[uren / jaar werkdagen BSO]]*Tariefsopbouw!$E$35</f>
        <v>#DIV/0!</v>
      </c>
      <c r="AE696" s="444">
        <f>Ruimtestaat[[#This Row],[uren / jaar werkdagen]]*Tariefsopbouw!$E$35</f>
        <v>0</v>
      </c>
      <c r="AF696" s="454"/>
      <c r="AG696" s="455">
        <f>IF(Ruimtestaat[[#This Row],[Frequentie weekend]]&gt;0,VALUE(LEFT(AF696,1))*S696,0)</f>
        <v>0</v>
      </c>
      <c r="AH696" s="455">
        <f>IF($AG696&gt;0,VLOOKUP($J696,Ruimtegroepen[],3,FALSE)*VLOOKUP($L696,Vloersoorten[],3,FALSE)*VLOOKUP($AF696,Frequenties[],3,FALSE)*VLOOKUP(#REF!,Locaties[],3,FALSE),0)</f>
        <v>0</v>
      </c>
      <c r="AI696" s="434">
        <f>Ruimtestaat[[#This Row],[Uitvoeringen weekend]]*Ruimtestaat[[#This Row],[Oppervlak (netto)]]</f>
        <v>0</v>
      </c>
      <c r="AJ696" s="434">
        <f>IF(AH696&gt;0,Ruimtestaat[[#This Row],[Prest. (m2 /jaar) weekend]]/Ruimtestaat[[#This Row],[Norm (m2/uur) weekend]],0)</f>
        <v>0</v>
      </c>
      <c r="AK696" s="444">
        <f>Ruimtestaat[[#This Row],[uren / jaar weekend]]*Tariefsopbouw!$D$40</f>
        <v>0</v>
      </c>
      <c r="AL696" s="441">
        <f>Ruimtestaat[[#This Row],[Prest. (m2 /jaar) weekend]]+Ruimtestaat[[#This Row],[Prest. (m2 /jaar) werkdagen]]</f>
        <v>11400</v>
      </c>
      <c r="AM696" s="441">
        <f>Ruimtestaat[[#This Row],[uren / jaar weekend]]+Ruimtestaat[[#This Row],[uren / jaar werkdagen]]</f>
        <v>0</v>
      </c>
      <c r="AN696" s="446">
        <f>Ruimtestaat[[#This Row],[kosten / jaar weekend]]+Ruimtestaat[[#This Row],[kosten / jaar werkdagen]]</f>
        <v>0</v>
      </c>
      <c r="AO696" s="446"/>
      <c r="AP696" s="446" t="str">
        <f>IF(Ruimtestaat[[#This Row],[Frequentie werkdagen]]="","",_xlfn.CONCAT(Ruimtestaat[[#This Row],[Ruimte code]],"-",Ruimtestaat[[#This Row],[Frequentie werkdagen]]," ",Ruimtestaat[[#This Row],[Vloer code]]))</f>
        <v>16-5w L</v>
      </c>
      <c r="AQ696" s="448" t="str">
        <f>_xlfn.IFNA(VLOOKUP($AP696,Programma!$F$3:$G$1101,2,0),"")</f>
        <v>_</v>
      </c>
      <c r="AR696" s="448" t="str">
        <f>_xlfn.IFNA(VLOOKUP($AP696,Programma!$F$3:$H$1101,3,0),"")</f>
        <v>_</v>
      </c>
      <c r="AS696" s="448" t="str">
        <f>_xlfn.IFNA(VLOOKUP($AP696,Programma!$F$3:$I$1101,4,0),"")</f>
        <v>4w</v>
      </c>
      <c r="AT696" s="448" t="str">
        <f>_xlfn.IFNA(VLOOKUP($AP696,Programma!$F$3:$J$1101,5,0),"")</f>
        <v>1w</v>
      </c>
      <c r="AU696" s="448" t="str">
        <f>_xlfn.IFNA(VLOOKUP($AP696,Programma!$F$3:$K$1101,6,0),"")</f>
        <v>_</v>
      </c>
      <c r="AV696" s="448" t="str">
        <f>_xlfn.IFNA(VLOOKUP($AP696,Programma!$F$3:$L$1101,7,0),"")</f>
        <v>_</v>
      </c>
      <c r="AW696" s="448" t="str">
        <f>_xlfn.IFNA(VLOOKUP($AP696,Programma!$F$3:$M$1101,8,0),"")</f>
        <v>_</v>
      </c>
      <c r="AX696" s="448" t="str">
        <f>_xlfn.IFNA(VLOOKUP($AP696,Programma!$F$3:$N$1101,9,0),"")</f>
        <v>_</v>
      </c>
      <c r="AY696" s="448" t="str">
        <f>_xlfn.IFNA(VLOOKUP($AP696,Programma!$F$3:$O$1101,10,0),"")</f>
        <v>5w</v>
      </c>
      <c r="AZ696" s="448" t="str">
        <f>_xlfn.IFNA(VLOOKUP($AP696,Programma!$F$3:$P$1101,11,0),"")</f>
        <v>5w</v>
      </c>
      <c r="BA696" s="448" t="str">
        <f>_xlfn.IFNA(VLOOKUP($AP696,Programma!$F$3:$Q$1101,12,0),"")</f>
        <v>1w</v>
      </c>
      <c r="BB696" s="448" t="str">
        <f>_xlfn.IFNA(VLOOKUP($AP696,Programma!$F$3:$R$1101,13,0),"")</f>
        <v>1w</v>
      </c>
      <c r="BC696" s="448" t="str">
        <f>_xlfn.IFNA(VLOOKUP($AP696,Programma!$F$3:$S$1101,14,0),"")</f>
        <v>1m</v>
      </c>
      <c r="BD696" s="448" t="str">
        <f>_xlfn.IFNA(VLOOKUP($AP696,Programma!$F$3:$T$1101,15,0),"")</f>
        <v>2j</v>
      </c>
      <c r="BE696" s="448" t="str">
        <f>_xlfn.IFNA(VLOOKUP($AP696,Programma!$F$3:$U$1101,16,0),"")</f>
        <v>1j</v>
      </c>
      <c r="BF696" s="448" t="str">
        <f>_xlfn.IFNA(VLOOKUP($AP696,Programma!$F$3:$V$1101,17,0),"")</f>
        <v>_</v>
      </c>
      <c r="BG696" s="448" t="str">
        <f>_xlfn.IFNA(VLOOKUP($AP696,Programma!$F$3:$W$1101,18,0),"")</f>
        <v>_</v>
      </c>
      <c r="BH696" s="448" t="str">
        <f>_xlfn.IFNA(VLOOKUP($AP696,Programma!$F$3:$X$1101,19,0),"")</f>
        <v>_</v>
      </c>
      <c r="BI696" s="448" t="str">
        <f>_xlfn.IFNA(VLOOKUP($AP696,Programma!$F$3:$Y$1101,20,0),"")</f>
        <v>_</v>
      </c>
      <c r="BJ696" s="449"/>
      <c r="BK696" s="446" t="str">
        <f>IF(Ruimtestaat[[#This Row],[Frequentie weekend]]="","",_xlfn.CONCAT(Ruimtestaat[[#This Row],[Ruimte code]],"-",Ruimtestaat[[#This Row],[Frequentie weekend]]," ",Ruimtestaat[[#This Row],[Vloer code]]))</f>
        <v/>
      </c>
      <c r="BL696" s="448" t="str">
        <f>_xlfn.IFNA(VLOOKUP($BK696,Programma!$F$3:$G$1101,2,0),"")</f>
        <v/>
      </c>
      <c r="BM696" s="448" t="str">
        <f>_xlfn.IFNA(VLOOKUP($BK696,Programma!$F$3:$H$1101,3,0),"")</f>
        <v/>
      </c>
      <c r="BN696" s="448" t="str">
        <f>_xlfn.IFNA(VLOOKUP($BK696,Programma!$F$3:$I$1101,4,0),"")</f>
        <v/>
      </c>
      <c r="BO696" s="448" t="str">
        <f>_xlfn.IFNA(VLOOKUP($BK696,Programma!$F$3:$J$1101,5,0),"")</f>
        <v/>
      </c>
      <c r="BP696" s="448" t="str">
        <f>_xlfn.IFNA(VLOOKUP($BK696,Programma!$F$3:$K$1101,6,0),"")</f>
        <v/>
      </c>
      <c r="BQ696" s="448" t="str">
        <f>_xlfn.IFNA(VLOOKUP($BK696,Programma!$F$3:$L$1101,7,0),"")</f>
        <v/>
      </c>
      <c r="BR696" s="448" t="str">
        <f>_xlfn.IFNA(VLOOKUP($BK696,Programma!$F$3:$M$1101,8,0),"")</f>
        <v/>
      </c>
      <c r="BS696" s="448" t="str">
        <f>_xlfn.IFNA(VLOOKUP($BK696,Programma!$F$3:$N$1101,9,0),"")</f>
        <v/>
      </c>
      <c r="BT696" s="448" t="str">
        <f>_xlfn.IFNA(VLOOKUP($BK696,Programma!$F$3:$O$1101,10,0),"")</f>
        <v/>
      </c>
      <c r="BU696" s="448" t="str">
        <f>_xlfn.IFNA(VLOOKUP($BK696,Programma!$F$3:$P$1101,11,0),"")</f>
        <v/>
      </c>
      <c r="BV696" s="448" t="str">
        <f>_xlfn.IFNA(VLOOKUP($BK696,Programma!$F$3:$Q$1101,12,0),"")</f>
        <v/>
      </c>
      <c r="BW696" s="448" t="str">
        <f>_xlfn.IFNA(VLOOKUP($BK696,Programma!$F$3:$R$1101,13,0),"")</f>
        <v/>
      </c>
      <c r="BX696" s="448" t="str">
        <f>_xlfn.IFNA(VLOOKUP($BK696,Programma!$F$3:$S$1101,14,0),"")</f>
        <v/>
      </c>
      <c r="BY696" s="448" t="str">
        <f>_xlfn.IFNA(VLOOKUP($BK696,Programma!$F$3:$T$1101,15,0),"")</f>
        <v/>
      </c>
      <c r="BZ696" s="448" t="str">
        <f>_xlfn.IFNA(VLOOKUP($BK696,Programma!$F$3:$U$1101,16,0),"")</f>
        <v/>
      </c>
      <c r="CA696" s="448" t="str">
        <f>_xlfn.IFNA(VLOOKUP($BK696,Programma!$F$3:$V$1101,17,0),"")</f>
        <v/>
      </c>
      <c r="CB696" s="448" t="str">
        <f>_xlfn.IFNA(VLOOKUP($BK696,Programma!$F$3:$W$1101,18,0),"")</f>
        <v/>
      </c>
      <c r="CC696" s="448" t="str">
        <f>_xlfn.IFNA(VLOOKUP($BK696,Programma!$F$3:$X$1101,19,0),"")</f>
        <v/>
      </c>
      <c r="CD696" s="448" t="str">
        <f>_xlfn.IFNA(VLOOKUP($BK696,Programma!$F$3:$Y$1101,20,0),"")</f>
        <v/>
      </c>
    </row>
    <row r="697" spans="1:82" ht="15" customHeight="1">
      <c r="A697" s="327">
        <v>15</v>
      </c>
      <c r="B697" s="435" t="str">
        <f>VLOOKUP(Ruimtestaat[[#This Row],[Code]],Locaties[[Code]:[Locatie]],2,FALSE)</f>
        <v>IKC  Da Vinci</v>
      </c>
      <c r="C697" s="435" t="str">
        <f>VLOOKUP(Ruimtestaat[[#This Row],[Code]],Locaties[[#All],[Code]:[Adres]],4,FALSE)</f>
        <v>Spitsbergen 17</v>
      </c>
      <c r="D697" s="435" t="str">
        <f>VLOOKUP(Ruimtestaat[[#This Row],[Code]],Locaties[[#All],[Code]:[Postcode]],5,FALSE)</f>
        <v>2721 GP</v>
      </c>
      <c r="E697" s="435" t="str">
        <f>VLOOKUP(Ruimtestaat[[#This Row],[Code]],Locaties[#All],6,FALSE)</f>
        <v>Zoetermeer</v>
      </c>
      <c r="F697" s="330" t="s">
        <v>2154</v>
      </c>
      <c r="I697" s="450" t="s">
        <v>1983</v>
      </c>
      <c r="J697" s="330">
        <v>16</v>
      </c>
      <c r="K697" s="450" t="str">
        <f>VLOOKUP(Ruimtestaat[[#This Row],[Ruimte code]],Ruimtegroepen[[#All],[Code]:[Ruimte omschrijving]],2,FALSE)</f>
        <v>Leslokalen</v>
      </c>
      <c r="L697" s="434" t="s">
        <v>100</v>
      </c>
      <c r="M697" s="437" t="s">
        <v>1759</v>
      </c>
      <c r="N697" s="439">
        <v>61</v>
      </c>
      <c r="O697" s="439"/>
      <c r="P697" s="439"/>
      <c r="Q697" s="439"/>
      <c r="R697" s="440" t="str">
        <f>VLOOKUP(Ruimtestaat[[#This Row],[Ruimte code]],Ruimtegroepen[],4,FALSE)</f>
        <v>Le</v>
      </c>
      <c r="S697" s="434">
        <v>40</v>
      </c>
      <c r="T697" s="434" t="s">
        <v>2</v>
      </c>
      <c r="U697" s="453">
        <f>IF(S697&gt;0,IF(RIGHT(Ruimtestaat[[#This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7" s="434">
        <f>IF(U697&gt;0,VLOOKUP($J697,Ruimtegroepen[],3,FALSE)*VLOOKUP($L697,Vloersoorten[],3,FALSE)*VLOOKUP($T697,Frequenties[],3,FALSE)*VLOOKUP($A697,Locaties[],3,FALSE),0)</f>
        <v>0</v>
      </c>
      <c r="W697" s="434">
        <f>Ruimtestaat[[#This Row],[Uitvoeringen werkdagen]]*Ruimtestaat[[#This Row],[Oppervlak (netto)]]</f>
        <v>12200</v>
      </c>
      <c r="X697" s="441">
        <f>IF(V697&gt;0,Ruimtestaat[[#This Row],[Prest. (m2 /jaar) werkdagen]]/Ruimtestaat[[#This Row],[Norm (m2/uur) werkdagen]],0)</f>
        <v>0</v>
      </c>
      <c r="Y697" s="442">
        <f>Ruimtestaat[[#This Row],[Uitvoeringen werkdagen]]*Ruimtestaat[[#This Row],[Gedeeltelijk]]</f>
        <v>0</v>
      </c>
      <c r="Z697" s="443" t="e">
        <f>IF(U697&gt;0,Ruimtestaat[[#This Row],[Prest. (m2 / jaar) werkdagen gedeeld]]/Ruimtestaat[[#This Row],[Norm (m2/uur) werkdagen]],0)</f>
        <v>#DIV/0!</v>
      </c>
      <c r="AA697" s="441" t="e">
        <f>Ruimtestaat[[#This Row],[uren / jaar werkdagen gedeeld]]*Tariefsopbouw!$E$35</f>
        <v>#DIV/0!</v>
      </c>
      <c r="AB697" s="441">
        <f>Ruimtestaat[[#This Row],[Uitvoeringen werkdagen]]*Ruimtestaat[[#This Row],[BSO]]</f>
        <v>0</v>
      </c>
      <c r="AC697" s="443" t="e">
        <f>IF(U697&gt;0,Ruimtestaat[[#This Row],[Prest. (m2 / jaar) werkdagen BSO]]/Ruimtestaat[[#This Row],[Norm (m2/uur) werkdagen]],0)</f>
        <v>#DIV/0!</v>
      </c>
      <c r="AD697" s="443" t="e">
        <f>Ruimtestaat[[#This Row],[uren / jaar werkdagen BSO]]*Tariefsopbouw!$E$35</f>
        <v>#DIV/0!</v>
      </c>
      <c r="AE697" s="444">
        <f>Ruimtestaat[[#This Row],[uren / jaar werkdagen]]*Tariefsopbouw!$E$35</f>
        <v>0</v>
      </c>
      <c r="AF697" s="454"/>
      <c r="AG697" s="455">
        <f>IF(Ruimtestaat[[#This Row],[Frequentie weekend]]&gt;0,VALUE(LEFT(AF697,1))*S697,0)</f>
        <v>0</v>
      </c>
      <c r="AH697" s="455">
        <f>IF($AG697&gt;0,VLOOKUP($J697,Ruimtegroepen[],3,FALSE)*VLOOKUP($L697,Vloersoorten[],3,FALSE)*VLOOKUP($AF697,Frequenties[],3,FALSE)*VLOOKUP(#REF!,Locaties[],3,FALSE),0)</f>
        <v>0</v>
      </c>
      <c r="AI697" s="434">
        <f>Ruimtestaat[[#This Row],[Uitvoeringen weekend]]*Ruimtestaat[[#This Row],[Oppervlak (netto)]]</f>
        <v>0</v>
      </c>
      <c r="AJ697" s="434">
        <f>IF(AH697&gt;0,Ruimtestaat[[#This Row],[Prest. (m2 /jaar) weekend]]/Ruimtestaat[[#This Row],[Norm (m2/uur) weekend]],0)</f>
        <v>0</v>
      </c>
      <c r="AK697" s="444">
        <f>Ruimtestaat[[#This Row],[uren / jaar weekend]]*Tariefsopbouw!$D$40</f>
        <v>0</v>
      </c>
      <c r="AL697" s="441">
        <f>Ruimtestaat[[#This Row],[Prest. (m2 /jaar) weekend]]+Ruimtestaat[[#This Row],[Prest. (m2 /jaar) werkdagen]]</f>
        <v>12200</v>
      </c>
      <c r="AM697" s="441">
        <f>Ruimtestaat[[#This Row],[uren / jaar weekend]]+Ruimtestaat[[#This Row],[uren / jaar werkdagen]]</f>
        <v>0</v>
      </c>
      <c r="AN697" s="446">
        <f>Ruimtestaat[[#This Row],[kosten / jaar weekend]]+Ruimtestaat[[#This Row],[kosten / jaar werkdagen]]</f>
        <v>0</v>
      </c>
      <c r="AO697" s="446"/>
      <c r="AP697" s="446" t="str">
        <f>IF(Ruimtestaat[[#This Row],[Frequentie werkdagen]]="","",_xlfn.CONCAT(Ruimtestaat[[#This Row],[Ruimte code]],"-",Ruimtestaat[[#This Row],[Frequentie werkdagen]]," ",Ruimtestaat[[#This Row],[Vloer code]]))</f>
        <v>16-5w L</v>
      </c>
      <c r="AQ697" s="448" t="str">
        <f>_xlfn.IFNA(VLOOKUP($AP697,Programma!$F$3:$G$1101,2,0),"")</f>
        <v>_</v>
      </c>
      <c r="AR697" s="448" t="str">
        <f>_xlfn.IFNA(VLOOKUP($AP697,Programma!$F$3:$H$1101,3,0),"")</f>
        <v>_</v>
      </c>
      <c r="AS697" s="448" t="str">
        <f>_xlfn.IFNA(VLOOKUP($AP697,Programma!$F$3:$I$1101,4,0),"")</f>
        <v>4w</v>
      </c>
      <c r="AT697" s="448" t="str">
        <f>_xlfn.IFNA(VLOOKUP($AP697,Programma!$F$3:$J$1101,5,0),"")</f>
        <v>1w</v>
      </c>
      <c r="AU697" s="448" t="str">
        <f>_xlfn.IFNA(VLOOKUP($AP697,Programma!$F$3:$K$1101,6,0),"")</f>
        <v>_</v>
      </c>
      <c r="AV697" s="448" t="str">
        <f>_xlfn.IFNA(VLOOKUP($AP697,Programma!$F$3:$L$1101,7,0),"")</f>
        <v>_</v>
      </c>
      <c r="AW697" s="448" t="str">
        <f>_xlfn.IFNA(VLOOKUP($AP697,Programma!$F$3:$M$1101,8,0),"")</f>
        <v>_</v>
      </c>
      <c r="AX697" s="448" t="str">
        <f>_xlfn.IFNA(VLOOKUP($AP697,Programma!$F$3:$N$1101,9,0),"")</f>
        <v>_</v>
      </c>
      <c r="AY697" s="448" t="str">
        <f>_xlfn.IFNA(VLOOKUP($AP697,Programma!$F$3:$O$1101,10,0),"")</f>
        <v>5w</v>
      </c>
      <c r="AZ697" s="448" t="str">
        <f>_xlfn.IFNA(VLOOKUP($AP697,Programma!$F$3:$P$1101,11,0),"")</f>
        <v>5w</v>
      </c>
      <c r="BA697" s="448" t="str">
        <f>_xlfn.IFNA(VLOOKUP($AP697,Programma!$F$3:$Q$1101,12,0),"")</f>
        <v>1w</v>
      </c>
      <c r="BB697" s="448" t="str">
        <f>_xlfn.IFNA(VLOOKUP($AP697,Programma!$F$3:$R$1101,13,0),"")</f>
        <v>1w</v>
      </c>
      <c r="BC697" s="448" t="str">
        <f>_xlfn.IFNA(VLOOKUP($AP697,Programma!$F$3:$S$1101,14,0),"")</f>
        <v>1m</v>
      </c>
      <c r="BD697" s="448" t="str">
        <f>_xlfn.IFNA(VLOOKUP($AP697,Programma!$F$3:$T$1101,15,0),"")</f>
        <v>2j</v>
      </c>
      <c r="BE697" s="448" t="str">
        <f>_xlfn.IFNA(VLOOKUP($AP697,Programma!$F$3:$U$1101,16,0),"")</f>
        <v>1j</v>
      </c>
      <c r="BF697" s="448" t="str">
        <f>_xlfn.IFNA(VLOOKUP($AP697,Programma!$F$3:$V$1101,17,0),"")</f>
        <v>_</v>
      </c>
      <c r="BG697" s="448" t="str">
        <f>_xlfn.IFNA(VLOOKUP($AP697,Programma!$F$3:$W$1101,18,0),"")</f>
        <v>_</v>
      </c>
      <c r="BH697" s="448" t="str">
        <f>_xlfn.IFNA(VLOOKUP($AP697,Programma!$F$3:$X$1101,19,0),"")</f>
        <v>_</v>
      </c>
      <c r="BI697" s="448" t="str">
        <f>_xlfn.IFNA(VLOOKUP($AP697,Programma!$F$3:$Y$1101,20,0),"")</f>
        <v>_</v>
      </c>
      <c r="BJ697" s="449"/>
      <c r="BK697" s="446" t="str">
        <f>IF(Ruimtestaat[[#This Row],[Frequentie weekend]]="","",_xlfn.CONCAT(Ruimtestaat[[#This Row],[Ruimte code]],"-",Ruimtestaat[[#This Row],[Frequentie weekend]]," ",Ruimtestaat[[#This Row],[Vloer code]]))</f>
        <v/>
      </c>
      <c r="BL697" s="448" t="str">
        <f>_xlfn.IFNA(VLOOKUP($BK697,Programma!$F$3:$G$1101,2,0),"")</f>
        <v/>
      </c>
      <c r="BM697" s="448" t="str">
        <f>_xlfn.IFNA(VLOOKUP($BK697,Programma!$F$3:$H$1101,3,0),"")</f>
        <v/>
      </c>
      <c r="BN697" s="448" t="str">
        <f>_xlfn.IFNA(VLOOKUP($BK697,Programma!$F$3:$I$1101,4,0),"")</f>
        <v/>
      </c>
      <c r="BO697" s="448" t="str">
        <f>_xlfn.IFNA(VLOOKUP($BK697,Programma!$F$3:$J$1101,5,0),"")</f>
        <v/>
      </c>
      <c r="BP697" s="448" t="str">
        <f>_xlfn.IFNA(VLOOKUP($BK697,Programma!$F$3:$K$1101,6,0),"")</f>
        <v/>
      </c>
      <c r="BQ697" s="448" t="str">
        <f>_xlfn.IFNA(VLOOKUP($BK697,Programma!$F$3:$L$1101,7,0),"")</f>
        <v/>
      </c>
      <c r="BR697" s="448" t="str">
        <f>_xlfn.IFNA(VLOOKUP($BK697,Programma!$F$3:$M$1101,8,0),"")</f>
        <v/>
      </c>
      <c r="BS697" s="448" t="str">
        <f>_xlfn.IFNA(VLOOKUP($BK697,Programma!$F$3:$N$1101,9,0),"")</f>
        <v/>
      </c>
      <c r="BT697" s="448" t="str">
        <f>_xlfn.IFNA(VLOOKUP($BK697,Programma!$F$3:$O$1101,10,0),"")</f>
        <v/>
      </c>
      <c r="BU697" s="448" t="str">
        <f>_xlfn.IFNA(VLOOKUP($BK697,Programma!$F$3:$P$1101,11,0),"")</f>
        <v/>
      </c>
      <c r="BV697" s="448" t="str">
        <f>_xlfn.IFNA(VLOOKUP($BK697,Programma!$F$3:$Q$1101,12,0),"")</f>
        <v/>
      </c>
      <c r="BW697" s="448" t="str">
        <f>_xlfn.IFNA(VLOOKUP($BK697,Programma!$F$3:$R$1101,13,0),"")</f>
        <v/>
      </c>
      <c r="BX697" s="448" t="str">
        <f>_xlfn.IFNA(VLOOKUP($BK697,Programma!$F$3:$S$1101,14,0),"")</f>
        <v/>
      </c>
      <c r="BY697" s="448" t="str">
        <f>_xlfn.IFNA(VLOOKUP($BK697,Programma!$F$3:$T$1101,15,0),"")</f>
        <v/>
      </c>
      <c r="BZ697" s="448" t="str">
        <f>_xlfn.IFNA(VLOOKUP($BK697,Programma!$F$3:$U$1101,16,0),"")</f>
        <v/>
      </c>
      <c r="CA697" s="448" t="str">
        <f>_xlfn.IFNA(VLOOKUP($BK697,Programma!$F$3:$V$1101,17,0),"")</f>
        <v/>
      </c>
      <c r="CB697" s="448" t="str">
        <f>_xlfn.IFNA(VLOOKUP($BK697,Programma!$F$3:$W$1101,18,0),"")</f>
        <v/>
      </c>
      <c r="CC697" s="448" t="str">
        <f>_xlfn.IFNA(VLOOKUP($BK697,Programma!$F$3:$X$1101,19,0),"")</f>
        <v/>
      </c>
      <c r="CD697" s="448" t="str">
        <f>_xlfn.IFNA(VLOOKUP($BK697,Programma!$F$3:$Y$1101,20,0),"")</f>
        <v/>
      </c>
    </row>
    <row r="698" spans="1:82" ht="15" customHeight="1">
      <c r="A698" s="327">
        <v>15</v>
      </c>
      <c r="B698" s="435" t="str">
        <f>VLOOKUP(Ruimtestaat[[#This Row],[Code]],Locaties[[Code]:[Locatie]],2,FALSE)</f>
        <v>IKC  Da Vinci</v>
      </c>
      <c r="C698" s="435" t="str">
        <f>VLOOKUP(Ruimtestaat[[#This Row],[Code]],Locaties[[#All],[Code]:[Adres]],4,FALSE)</f>
        <v>Spitsbergen 17</v>
      </c>
      <c r="D698" s="435" t="str">
        <f>VLOOKUP(Ruimtestaat[[#This Row],[Code]],Locaties[[#All],[Code]:[Postcode]],5,FALSE)</f>
        <v>2721 GP</v>
      </c>
      <c r="E698" s="435" t="str">
        <f>VLOOKUP(Ruimtestaat[[#This Row],[Code]],Locaties[#All],6,FALSE)</f>
        <v>Zoetermeer</v>
      </c>
      <c r="F698" s="330" t="s">
        <v>2154</v>
      </c>
      <c r="I698" s="450" t="s">
        <v>1983</v>
      </c>
      <c r="J698" s="330">
        <v>16</v>
      </c>
      <c r="K698" s="450" t="str">
        <f>VLOOKUP(Ruimtestaat[[#This Row],[Ruimte code]],Ruimtegroepen[[#All],[Code]:[Ruimte omschrijving]],2,FALSE)</f>
        <v>Leslokalen</v>
      </c>
      <c r="L698" s="434" t="s">
        <v>100</v>
      </c>
      <c r="M698" s="437" t="s">
        <v>1759</v>
      </c>
      <c r="N698" s="439">
        <v>61</v>
      </c>
      <c r="O698" s="439"/>
      <c r="P698" s="439"/>
      <c r="Q698" s="439"/>
      <c r="R698" s="440" t="str">
        <f>VLOOKUP(Ruimtestaat[[#This Row],[Ruimte code]],Ruimtegroepen[],4,FALSE)</f>
        <v>Le</v>
      </c>
      <c r="S698" s="434">
        <v>40</v>
      </c>
      <c r="T698" s="434" t="s">
        <v>2</v>
      </c>
      <c r="U698" s="453">
        <f>IF(S698&gt;0,IF(RIGHT(Ruimtestaat[[#This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8" s="434">
        <f>IF(U698&gt;0,VLOOKUP($J698,Ruimtegroepen[],3,FALSE)*VLOOKUP($L698,Vloersoorten[],3,FALSE)*VLOOKUP($T698,Frequenties[],3,FALSE)*VLOOKUP($A698,Locaties[],3,FALSE),0)</f>
        <v>0</v>
      </c>
      <c r="W698" s="434">
        <f>Ruimtestaat[[#This Row],[Uitvoeringen werkdagen]]*Ruimtestaat[[#This Row],[Oppervlak (netto)]]</f>
        <v>12200</v>
      </c>
      <c r="X698" s="441">
        <f>IF(V698&gt;0,Ruimtestaat[[#This Row],[Prest. (m2 /jaar) werkdagen]]/Ruimtestaat[[#This Row],[Norm (m2/uur) werkdagen]],0)</f>
        <v>0</v>
      </c>
      <c r="Y698" s="442">
        <f>Ruimtestaat[[#This Row],[Uitvoeringen werkdagen]]*Ruimtestaat[[#This Row],[Gedeeltelijk]]</f>
        <v>0</v>
      </c>
      <c r="Z698" s="443" t="e">
        <f>IF(U698&gt;0,Ruimtestaat[[#This Row],[Prest. (m2 / jaar) werkdagen gedeeld]]/Ruimtestaat[[#This Row],[Norm (m2/uur) werkdagen]],0)</f>
        <v>#DIV/0!</v>
      </c>
      <c r="AA698" s="441" t="e">
        <f>Ruimtestaat[[#This Row],[uren / jaar werkdagen gedeeld]]*Tariefsopbouw!$E$35</f>
        <v>#DIV/0!</v>
      </c>
      <c r="AB698" s="441">
        <f>Ruimtestaat[[#This Row],[Uitvoeringen werkdagen]]*Ruimtestaat[[#This Row],[BSO]]</f>
        <v>0</v>
      </c>
      <c r="AC698" s="443" t="e">
        <f>IF(U698&gt;0,Ruimtestaat[[#This Row],[Prest. (m2 / jaar) werkdagen BSO]]/Ruimtestaat[[#This Row],[Norm (m2/uur) werkdagen]],0)</f>
        <v>#DIV/0!</v>
      </c>
      <c r="AD698" s="443" t="e">
        <f>Ruimtestaat[[#This Row],[uren / jaar werkdagen BSO]]*Tariefsopbouw!$E$35</f>
        <v>#DIV/0!</v>
      </c>
      <c r="AE698" s="444">
        <f>Ruimtestaat[[#This Row],[uren / jaar werkdagen]]*Tariefsopbouw!$E$35</f>
        <v>0</v>
      </c>
      <c r="AF698" s="454"/>
      <c r="AG698" s="455">
        <f>IF(Ruimtestaat[[#This Row],[Frequentie weekend]]&gt;0,VALUE(LEFT(AF698,1))*S698,0)</f>
        <v>0</v>
      </c>
      <c r="AH698" s="455">
        <f>IF($AG698&gt;0,VLOOKUP($J698,Ruimtegroepen[],3,FALSE)*VLOOKUP($L698,Vloersoorten[],3,FALSE)*VLOOKUP($AF698,Frequenties[],3,FALSE)*VLOOKUP(#REF!,Locaties[],3,FALSE),0)</f>
        <v>0</v>
      </c>
      <c r="AI698" s="434">
        <f>Ruimtestaat[[#This Row],[Uitvoeringen weekend]]*Ruimtestaat[[#This Row],[Oppervlak (netto)]]</f>
        <v>0</v>
      </c>
      <c r="AJ698" s="434">
        <f>IF(AH698&gt;0,Ruimtestaat[[#This Row],[Prest. (m2 /jaar) weekend]]/Ruimtestaat[[#This Row],[Norm (m2/uur) weekend]],0)</f>
        <v>0</v>
      </c>
      <c r="AK698" s="444">
        <f>Ruimtestaat[[#This Row],[uren / jaar weekend]]*Tariefsopbouw!$D$40</f>
        <v>0</v>
      </c>
      <c r="AL698" s="441">
        <f>Ruimtestaat[[#This Row],[Prest. (m2 /jaar) weekend]]+Ruimtestaat[[#This Row],[Prest. (m2 /jaar) werkdagen]]</f>
        <v>12200</v>
      </c>
      <c r="AM698" s="441">
        <f>Ruimtestaat[[#This Row],[uren / jaar weekend]]+Ruimtestaat[[#This Row],[uren / jaar werkdagen]]</f>
        <v>0</v>
      </c>
      <c r="AN698" s="446">
        <f>Ruimtestaat[[#This Row],[kosten / jaar weekend]]+Ruimtestaat[[#This Row],[kosten / jaar werkdagen]]</f>
        <v>0</v>
      </c>
      <c r="AO698" s="446"/>
      <c r="AP698" s="446" t="str">
        <f>IF(Ruimtestaat[[#This Row],[Frequentie werkdagen]]="","",_xlfn.CONCAT(Ruimtestaat[[#This Row],[Ruimte code]],"-",Ruimtestaat[[#This Row],[Frequentie werkdagen]]," ",Ruimtestaat[[#This Row],[Vloer code]]))</f>
        <v>16-5w L</v>
      </c>
      <c r="AQ698" s="448" t="str">
        <f>_xlfn.IFNA(VLOOKUP($AP698,Programma!$F$3:$G$1101,2,0),"")</f>
        <v>_</v>
      </c>
      <c r="AR698" s="448" t="str">
        <f>_xlfn.IFNA(VLOOKUP($AP698,Programma!$F$3:$H$1101,3,0),"")</f>
        <v>_</v>
      </c>
      <c r="AS698" s="448" t="str">
        <f>_xlfn.IFNA(VLOOKUP($AP698,Programma!$F$3:$I$1101,4,0),"")</f>
        <v>4w</v>
      </c>
      <c r="AT698" s="448" t="str">
        <f>_xlfn.IFNA(VLOOKUP($AP698,Programma!$F$3:$J$1101,5,0),"")</f>
        <v>1w</v>
      </c>
      <c r="AU698" s="448" t="str">
        <f>_xlfn.IFNA(VLOOKUP($AP698,Programma!$F$3:$K$1101,6,0),"")</f>
        <v>_</v>
      </c>
      <c r="AV698" s="448" t="str">
        <f>_xlfn.IFNA(VLOOKUP($AP698,Programma!$F$3:$L$1101,7,0),"")</f>
        <v>_</v>
      </c>
      <c r="AW698" s="448" t="str">
        <f>_xlfn.IFNA(VLOOKUP($AP698,Programma!$F$3:$M$1101,8,0),"")</f>
        <v>_</v>
      </c>
      <c r="AX698" s="448" t="str">
        <f>_xlfn.IFNA(VLOOKUP($AP698,Programma!$F$3:$N$1101,9,0),"")</f>
        <v>_</v>
      </c>
      <c r="AY698" s="448" t="str">
        <f>_xlfn.IFNA(VLOOKUP($AP698,Programma!$F$3:$O$1101,10,0),"")</f>
        <v>5w</v>
      </c>
      <c r="AZ698" s="448" t="str">
        <f>_xlfn.IFNA(VLOOKUP($AP698,Programma!$F$3:$P$1101,11,0),"")</f>
        <v>5w</v>
      </c>
      <c r="BA698" s="448" t="str">
        <f>_xlfn.IFNA(VLOOKUP($AP698,Programma!$F$3:$Q$1101,12,0),"")</f>
        <v>1w</v>
      </c>
      <c r="BB698" s="448" t="str">
        <f>_xlfn.IFNA(VLOOKUP($AP698,Programma!$F$3:$R$1101,13,0),"")</f>
        <v>1w</v>
      </c>
      <c r="BC698" s="448" t="str">
        <f>_xlfn.IFNA(VLOOKUP($AP698,Programma!$F$3:$S$1101,14,0),"")</f>
        <v>1m</v>
      </c>
      <c r="BD698" s="448" t="str">
        <f>_xlfn.IFNA(VLOOKUP($AP698,Programma!$F$3:$T$1101,15,0),"")</f>
        <v>2j</v>
      </c>
      <c r="BE698" s="448" t="str">
        <f>_xlfn.IFNA(VLOOKUP($AP698,Programma!$F$3:$U$1101,16,0),"")</f>
        <v>1j</v>
      </c>
      <c r="BF698" s="448" t="str">
        <f>_xlfn.IFNA(VLOOKUP($AP698,Programma!$F$3:$V$1101,17,0),"")</f>
        <v>_</v>
      </c>
      <c r="BG698" s="448" t="str">
        <f>_xlfn.IFNA(VLOOKUP($AP698,Programma!$F$3:$W$1101,18,0),"")</f>
        <v>_</v>
      </c>
      <c r="BH698" s="448" t="str">
        <f>_xlfn.IFNA(VLOOKUP($AP698,Programma!$F$3:$X$1101,19,0),"")</f>
        <v>_</v>
      </c>
      <c r="BI698" s="448" t="str">
        <f>_xlfn.IFNA(VLOOKUP($AP698,Programma!$F$3:$Y$1101,20,0),"")</f>
        <v>_</v>
      </c>
      <c r="BJ698" s="449"/>
      <c r="BK698" s="446" t="str">
        <f>IF(Ruimtestaat[[#This Row],[Frequentie weekend]]="","",_xlfn.CONCAT(Ruimtestaat[[#This Row],[Ruimte code]],"-",Ruimtestaat[[#This Row],[Frequentie weekend]]," ",Ruimtestaat[[#This Row],[Vloer code]]))</f>
        <v/>
      </c>
      <c r="BL698" s="448" t="str">
        <f>_xlfn.IFNA(VLOOKUP($BK698,Programma!$F$3:$G$1101,2,0),"")</f>
        <v/>
      </c>
      <c r="BM698" s="448" t="str">
        <f>_xlfn.IFNA(VLOOKUP($BK698,Programma!$F$3:$H$1101,3,0),"")</f>
        <v/>
      </c>
      <c r="BN698" s="448" t="str">
        <f>_xlfn.IFNA(VLOOKUP($BK698,Programma!$F$3:$I$1101,4,0),"")</f>
        <v/>
      </c>
      <c r="BO698" s="448" t="str">
        <f>_xlfn.IFNA(VLOOKUP($BK698,Programma!$F$3:$J$1101,5,0),"")</f>
        <v/>
      </c>
      <c r="BP698" s="448" t="str">
        <f>_xlfn.IFNA(VLOOKUP($BK698,Programma!$F$3:$K$1101,6,0),"")</f>
        <v/>
      </c>
      <c r="BQ698" s="448" t="str">
        <f>_xlfn.IFNA(VLOOKUP($BK698,Programma!$F$3:$L$1101,7,0),"")</f>
        <v/>
      </c>
      <c r="BR698" s="448" t="str">
        <f>_xlfn.IFNA(VLOOKUP($BK698,Programma!$F$3:$M$1101,8,0),"")</f>
        <v/>
      </c>
      <c r="BS698" s="448" t="str">
        <f>_xlfn.IFNA(VLOOKUP($BK698,Programma!$F$3:$N$1101,9,0),"")</f>
        <v/>
      </c>
      <c r="BT698" s="448" t="str">
        <f>_xlfn.IFNA(VLOOKUP($BK698,Programma!$F$3:$O$1101,10,0),"")</f>
        <v/>
      </c>
      <c r="BU698" s="448" t="str">
        <f>_xlfn.IFNA(VLOOKUP($BK698,Programma!$F$3:$P$1101,11,0),"")</f>
        <v/>
      </c>
      <c r="BV698" s="448" t="str">
        <f>_xlfn.IFNA(VLOOKUP($BK698,Programma!$F$3:$Q$1101,12,0),"")</f>
        <v/>
      </c>
      <c r="BW698" s="448" t="str">
        <f>_xlfn.IFNA(VLOOKUP($BK698,Programma!$F$3:$R$1101,13,0),"")</f>
        <v/>
      </c>
      <c r="BX698" s="448" t="str">
        <f>_xlfn.IFNA(VLOOKUP($BK698,Programma!$F$3:$S$1101,14,0),"")</f>
        <v/>
      </c>
      <c r="BY698" s="448" t="str">
        <f>_xlfn.IFNA(VLOOKUP($BK698,Programma!$F$3:$T$1101,15,0),"")</f>
        <v/>
      </c>
      <c r="BZ698" s="448" t="str">
        <f>_xlfn.IFNA(VLOOKUP($BK698,Programma!$F$3:$U$1101,16,0),"")</f>
        <v/>
      </c>
      <c r="CA698" s="448" t="str">
        <f>_xlfn.IFNA(VLOOKUP($BK698,Programma!$F$3:$V$1101,17,0),"")</f>
        <v/>
      </c>
      <c r="CB698" s="448" t="str">
        <f>_xlfn.IFNA(VLOOKUP($BK698,Programma!$F$3:$W$1101,18,0),"")</f>
        <v/>
      </c>
      <c r="CC698" s="448" t="str">
        <f>_xlfn.IFNA(VLOOKUP($BK698,Programma!$F$3:$X$1101,19,0),"")</f>
        <v/>
      </c>
      <c r="CD698" s="448" t="str">
        <f>_xlfn.IFNA(VLOOKUP($BK698,Programma!$F$3:$Y$1101,20,0),"")</f>
        <v/>
      </c>
    </row>
    <row r="699" spans="1:82" ht="15" customHeight="1">
      <c r="A699" s="327">
        <v>15</v>
      </c>
      <c r="B699" s="435" t="str">
        <f>VLOOKUP(Ruimtestaat[[#This Row],[Code]],Locaties[[Code]:[Locatie]],2,FALSE)</f>
        <v>IKC  Da Vinci</v>
      </c>
      <c r="C699" s="435" t="str">
        <f>VLOOKUP(Ruimtestaat[[#This Row],[Code]],Locaties[[#All],[Code]:[Adres]],4,FALSE)</f>
        <v>Spitsbergen 17</v>
      </c>
      <c r="D699" s="435" t="str">
        <f>VLOOKUP(Ruimtestaat[[#This Row],[Code]],Locaties[[#All],[Code]:[Postcode]],5,FALSE)</f>
        <v>2721 GP</v>
      </c>
      <c r="E699" s="435" t="str">
        <f>VLOOKUP(Ruimtestaat[[#This Row],[Code]],Locaties[#All],6,FALSE)</f>
        <v>Zoetermeer</v>
      </c>
      <c r="F699" s="330" t="s">
        <v>2154</v>
      </c>
      <c r="I699" s="450" t="s">
        <v>1783</v>
      </c>
      <c r="J699" s="330">
        <v>20</v>
      </c>
      <c r="K699" s="450" t="str">
        <f>VLOOKUP(Ruimtestaat[[#This Row],[Ruimte code]],Ruimtegroepen[[#All],[Code]:[Ruimte omschrijving]],2,FALSE)</f>
        <v>Niet in Onderhoud</v>
      </c>
      <c r="M699" s="330"/>
      <c r="N699" s="439"/>
      <c r="O699" s="439">
        <v>3</v>
      </c>
      <c r="P699" s="439"/>
      <c r="Q699" s="439"/>
      <c r="R699" s="440">
        <f>VLOOKUP(Ruimtestaat[[#This Row],[Ruimte code]],Ruimtegroepen[],4,FALSE)</f>
        <v>0</v>
      </c>
      <c r="S699" s="434"/>
      <c r="T699" s="434"/>
      <c r="U699" s="453">
        <f>IF(S699&gt;0,IF(RIGHT(Ruimtestaat[[#This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99" s="434">
        <f>IF(U699&gt;0,VLOOKUP($J699,Ruimtegroepen[],3,FALSE)*VLOOKUP($L699,Vloersoorten[],3,FALSE)*VLOOKUP($T699,Frequenties[],3,FALSE)*VLOOKUP($A699,Locaties[],3,FALSE),0)</f>
        <v>0</v>
      </c>
      <c r="W699" s="434">
        <f>Ruimtestaat[[#This Row],[Uitvoeringen werkdagen]]*Ruimtestaat[[#This Row],[Oppervlak (netto)]]</f>
        <v>0</v>
      </c>
      <c r="X699" s="441">
        <f>IF(V699&gt;0,Ruimtestaat[[#This Row],[Prest. (m2 /jaar) werkdagen]]/Ruimtestaat[[#This Row],[Norm (m2/uur) werkdagen]],0)</f>
        <v>0</v>
      </c>
      <c r="Y699" s="442">
        <f>Ruimtestaat[[#This Row],[Uitvoeringen werkdagen]]*Ruimtestaat[[#This Row],[Gedeeltelijk]]</f>
        <v>0</v>
      </c>
      <c r="Z699" s="443">
        <f>IF(U699&gt;0,Ruimtestaat[[#This Row],[Prest. (m2 / jaar) werkdagen gedeeld]]/Ruimtestaat[[#This Row],[Norm (m2/uur) werkdagen]],0)</f>
        <v>0</v>
      </c>
      <c r="AA699" s="441">
        <f>Ruimtestaat[[#This Row],[uren / jaar werkdagen gedeeld]]*Tariefsopbouw!$E$35</f>
        <v>0</v>
      </c>
      <c r="AB699" s="441">
        <f>Ruimtestaat[[#This Row],[Uitvoeringen werkdagen]]*Ruimtestaat[[#This Row],[BSO]]</f>
        <v>0</v>
      </c>
      <c r="AC699" s="443">
        <f>IF(U699&gt;0,Ruimtestaat[[#This Row],[Prest. (m2 / jaar) werkdagen BSO]]/Ruimtestaat[[#This Row],[Norm (m2/uur) werkdagen]],0)</f>
        <v>0</v>
      </c>
      <c r="AD699" s="443">
        <f>Ruimtestaat[[#This Row],[uren / jaar werkdagen BSO]]*Tariefsopbouw!$E$35</f>
        <v>0</v>
      </c>
      <c r="AE699" s="444">
        <f>Ruimtestaat[[#This Row],[uren / jaar werkdagen]]*Tariefsopbouw!$E$35</f>
        <v>0</v>
      </c>
      <c r="AF699" s="454"/>
      <c r="AG699" s="455">
        <f>IF(Ruimtestaat[[#This Row],[Frequentie weekend]]&gt;0,VALUE(LEFT(AF699,1))*S699,0)</f>
        <v>0</v>
      </c>
      <c r="AH699" s="455">
        <f>IF($AG699&gt;0,VLOOKUP($J699,Ruimtegroepen[],3,FALSE)*VLOOKUP($L699,Vloersoorten[],3,FALSE)*VLOOKUP($AF699,Frequenties[],3,FALSE)*VLOOKUP(#REF!,Locaties[],3,FALSE),0)</f>
        <v>0</v>
      </c>
      <c r="AI699" s="434">
        <f>Ruimtestaat[[#This Row],[Uitvoeringen weekend]]*Ruimtestaat[[#This Row],[Oppervlak (netto)]]</f>
        <v>0</v>
      </c>
      <c r="AJ699" s="434">
        <f>IF(AH699&gt;0,Ruimtestaat[[#This Row],[Prest. (m2 /jaar) weekend]]/Ruimtestaat[[#This Row],[Norm (m2/uur) weekend]],0)</f>
        <v>0</v>
      </c>
      <c r="AK699" s="444">
        <f>Ruimtestaat[[#This Row],[uren / jaar weekend]]*Tariefsopbouw!$D$40</f>
        <v>0</v>
      </c>
      <c r="AL699" s="441">
        <f>Ruimtestaat[[#This Row],[Prest. (m2 /jaar) weekend]]+Ruimtestaat[[#This Row],[Prest. (m2 /jaar) werkdagen]]</f>
        <v>0</v>
      </c>
      <c r="AM699" s="441">
        <f>Ruimtestaat[[#This Row],[uren / jaar weekend]]+Ruimtestaat[[#This Row],[uren / jaar werkdagen]]</f>
        <v>0</v>
      </c>
      <c r="AN699" s="446">
        <f>Ruimtestaat[[#This Row],[kosten / jaar weekend]]+Ruimtestaat[[#This Row],[kosten / jaar werkdagen]]</f>
        <v>0</v>
      </c>
      <c r="AO699" s="446"/>
      <c r="AP699" s="446" t="str">
        <f>IF(Ruimtestaat[[#This Row],[Frequentie werkdagen]]="","",_xlfn.CONCAT(Ruimtestaat[[#This Row],[Ruimte code]],"-",Ruimtestaat[[#This Row],[Frequentie werkdagen]]," ",Ruimtestaat[[#This Row],[Vloer code]]))</f>
        <v/>
      </c>
      <c r="AQ699" s="448" t="str">
        <f>_xlfn.IFNA(VLOOKUP($AP699,Programma!$F$3:$G$1101,2,0),"")</f>
        <v/>
      </c>
      <c r="AR699" s="448" t="str">
        <f>_xlfn.IFNA(VLOOKUP($AP699,Programma!$F$3:$H$1101,3,0),"")</f>
        <v/>
      </c>
      <c r="AS699" s="448" t="str">
        <f>_xlfn.IFNA(VLOOKUP($AP699,Programma!$F$3:$I$1101,4,0),"")</f>
        <v/>
      </c>
      <c r="AT699" s="448" t="str">
        <f>_xlfn.IFNA(VLOOKUP($AP699,Programma!$F$3:$J$1101,5,0),"")</f>
        <v/>
      </c>
      <c r="AU699" s="448" t="str">
        <f>_xlfn.IFNA(VLOOKUP($AP699,Programma!$F$3:$K$1101,6,0),"")</f>
        <v/>
      </c>
      <c r="AV699" s="448" t="str">
        <f>_xlfn.IFNA(VLOOKUP($AP699,Programma!$F$3:$L$1101,7,0),"")</f>
        <v/>
      </c>
      <c r="AW699" s="448" t="str">
        <f>_xlfn.IFNA(VLOOKUP($AP699,Programma!$F$3:$M$1101,8,0),"")</f>
        <v/>
      </c>
      <c r="AX699" s="448" t="str">
        <f>_xlfn.IFNA(VLOOKUP($AP699,Programma!$F$3:$N$1101,9,0),"")</f>
        <v/>
      </c>
      <c r="AY699" s="448" t="str">
        <f>_xlfn.IFNA(VLOOKUP($AP699,Programma!$F$3:$O$1101,10,0),"")</f>
        <v/>
      </c>
      <c r="AZ699" s="448" t="str">
        <f>_xlfn.IFNA(VLOOKUP($AP699,Programma!$F$3:$P$1101,11,0),"")</f>
        <v/>
      </c>
      <c r="BA699" s="448" t="str">
        <f>_xlfn.IFNA(VLOOKUP($AP699,Programma!$F$3:$Q$1101,12,0),"")</f>
        <v/>
      </c>
      <c r="BB699" s="448" t="str">
        <f>_xlfn.IFNA(VLOOKUP($AP699,Programma!$F$3:$R$1101,13,0),"")</f>
        <v/>
      </c>
      <c r="BC699" s="448" t="str">
        <f>_xlfn.IFNA(VLOOKUP($AP699,Programma!$F$3:$S$1101,14,0),"")</f>
        <v/>
      </c>
      <c r="BD699" s="448" t="str">
        <f>_xlfn.IFNA(VLOOKUP($AP699,Programma!$F$3:$T$1101,15,0),"")</f>
        <v/>
      </c>
      <c r="BE699" s="448" t="str">
        <f>_xlfn.IFNA(VLOOKUP($AP699,Programma!$F$3:$U$1101,16,0),"")</f>
        <v/>
      </c>
      <c r="BF699" s="448" t="str">
        <f>_xlfn.IFNA(VLOOKUP($AP699,Programma!$F$3:$V$1101,17,0),"")</f>
        <v/>
      </c>
      <c r="BG699" s="448" t="str">
        <f>_xlfn.IFNA(VLOOKUP($AP699,Programma!$F$3:$W$1101,18,0),"")</f>
        <v/>
      </c>
      <c r="BH699" s="448" t="str">
        <f>_xlfn.IFNA(VLOOKUP($AP699,Programma!$F$3:$X$1101,19,0),"")</f>
        <v/>
      </c>
      <c r="BI699" s="448" t="str">
        <f>_xlfn.IFNA(VLOOKUP($AP699,Programma!$F$3:$Y$1101,20,0),"")</f>
        <v/>
      </c>
      <c r="BJ699" s="449"/>
      <c r="BK699" s="446" t="str">
        <f>IF(Ruimtestaat[[#This Row],[Frequentie weekend]]="","",_xlfn.CONCAT(Ruimtestaat[[#This Row],[Ruimte code]],"-",Ruimtestaat[[#This Row],[Frequentie weekend]]," ",Ruimtestaat[[#This Row],[Vloer code]]))</f>
        <v/>
      </c>
      <c r="BL699" s="448" t="str">
        <f>_xlfn.IFNA(VLOOKUP($BK699,Programma!$F$3:$G$1101,2,0),"")</f>
        <v/>
      </c>
      <c r="BM699" s="448" t="str">
        <f>_xlfn.IFNA(VLOOKUP($BK699,Programma!$F$3:$H$1101,3,0),"")</f>
        <v/>
      </c>
      <c r="BN699" s="448" t="str">
        <f>_xlfn.IFNA(VLOOKUP($BK699,Programma!$F$3:$I$1101,4,0),"")</f>
        <v/>
      </c>
      <c r="BO699" s="448" t="str">
        <f>_xlfn.IFNA(VLOOKUP($BK699,Programma!$F$3:$J$1101,5,0),"")</f>
        <v/>
      </c>
      <c r="BP699" s="448" t="str">
        <f>_xlfn.IFNA(VLOOKUP($BK699,Programma!$F$3:$K$1101,6,0),"")</f>
        <v/>
      </c>
      <c r="BQ699" s="448" t="str">
        <f>_xlfn.IFNA(VLOOKUP($BK699,Programma!$F$3:$L$1101,7,0),"")</f>
        <v/>
      </c>
      <c r="BR699" s="448" t="str">
        <f>_xlfn.IFNA(VLOOKUP($BK699,Programma!$F$3:$M$1101,8,0),"")</f>
        <v/>
      </c>
      <c r="BS699" s="448" t="str">
        <f>_xlfn.IFNA(VLOOKUP($BK699,Programma!$F$3:$N$1101,9,0),"")</f>
        <v/>
      </c>
      <c r="BT699" s="448" t="str">
        <f>_xlfn.IFNA(VLOOKUP($BK699,Programma!$F$3:$O$1101,10,0),"")</f>
        <v/>
      </c>
      <c r="BU699" s="448" t="str">
        <f>_xlfn.IFNA(VLOOKUP($BK699,Programma!$F$3:$P$1101,11,0),"")</f>
        <v/>
      </c>
      <c r="BV699" s="448" t="str">
        <f>_xlfn.IFNA(VLOOKUP($BK699,Programma!$F$3:$Q$1101,12,0),"")</f>
        <v/>
      </c>
      <c r="BW699" s="448" t="str">
        <f>_xlfn.IFNA(VLOOKUP($BK699,Programma!$F$3:$R$1101,13,0),"")</f>
        <v/>
      </c>
      <c r="BX699" s="448" t="str">
        <f>_xlfn.IFNA(VLOOKUP($BK699,Programma!$F$3:$S$1101,14,0),"")</f>
        <v/>
      </c>
      <c r="BY699" s="448" t="str">
        <f>_xlfn.IFNA(VLOOKUP($BK699,Programma!$F$3:$T$1101,15,0),"")</f>
        <v/>
      </c>
      <c r="BZ699" s="448" t="str">
        <f>_xlfn.IFNA(VLOOKUP($BK699,Programma!$F$3:$U$1101,16,0),"")</f>
        <v/>
      </c>
      <c r="CA699" s="448" t="str">
        <f>_xlfn.IFNA(VLOOKUP($BK699,Programma!$F$3:$V$1101,17,0),"")</f>
        <v/>
      </c>
      <c r="CB699" s="448" t="str">
        <f>_xlfn.IFNA(VLOOKUP($BK699,Programma!$F$3:$W$1101,18,0),"")</f>
        <v/>
      </c>
      <c r="CC699" s="448" t="str">
        <f>_xlfn.IFNA(VLOOKUP($BK699,Programma!$F$3:$X$1101,19,0),"")</f>
        <v/>
      </c>
      <c r="CD699" s="448" t="str">
        <f>_xlfn.IFNA(VLOOKUP($BK699,Programma!$F$3:$Y$1101,20,0),"")</f>
        <v/>
      </c>
    </row>
    <row r="700" spans="1:82" ht="15" customHeight="1">
      <c r="A700" s="327">
        <v>15</v>
      </c>
      <c r="B700" s="435" t="str">
        <f>VLOOKUP(Ruimtestaat[[#This Row],[Code]],Locaties[[Code]:[Locatie]],2,FALSE)</f>
        <v>IKC  Da Vinci</v>
      </c>
      <c r="C700" s="435" t="str">
        <f>VLOOKUP(Ruimtestaat[[#This Row],[Code]],Locaties[[#All],[Code]:[Adres]],4,FALSE)</f>
        <v>Spitsbergen 17</v>
      </c>
      <c r="D700" s="435" t="str">
        <f>VLOOKUP(Ruimtestaat[[#This Row],[Code]],Locaties[[#All],[Code]:[Postcode]],5,FALSE)</f>
        <v>2721 GP</v>
      </c>
      <c r="E700" s="435" t="str">
        <f>VLOOKUP(Ruimtestaat[[#This Row],[Code]],Locaties[#All],6,FALSE)</f>
        <v>Zoetermeer</v>
      </c>
      <c r="F700" s="330" t="s">
        <v>2154</v>
      </c>
      <c r="I700" s="450" t="s">
        <v>1950</v>
      </c>
      <c r="J700" s="330">
        <v>20</v>
      </c>
      <c r="K700" s="450" t="str">
        <f>VLOOKUP(Ruimtestaat[[#This Row],[Ruimte code]],Ruimtegroepen[[#All],[Code]:[Ruimte omschrijving]],2,FALSE)</f>
        <v>Niet in Onderhoud</v>
      </c>
      <c r="M700" s="330"/>
      <c r="N700" s="439"/>
      <c r="O700" s="439">
        <v>13</v>
      </c>
      <c r="P700" s="439"/>
      <c r="Q700" s="439"/>
      <c r="R700" s="440">
        <f>VLOOKUP(Ruimtestaat[[#This Row],[Ruimte code]],Ruimtegroepen[],4,FALSE)</f>
        <v>0</v>
      </c>
      <c r="S700" s="434"/>
      <c r="T700" s="434"/>
      <c r="U700" s="453">
        <f>IF(S700&gt;0,IF(RIGHT(Ruimtestaat[[#This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0" s="434">
        <f>IF(U700&gt;0,VLOOKUP($J700,Ruimtegroepen[],3,FALSE)*VLOOKUP($L700,Vloersoorten[],3,FALSE)*VLOOKUP($T700,Frequenties[],3,FALSE)*VLOOKUP($A700,Locaties[],3,FALSE),0)</f>
        <v>0</v>
      </c>
      <c r="W700" s="434">
        <f>Ruimtestaat[[#This Row],[Uitvoeringen werkdagen]]*Ruimtestaat[[#This Row],[Oppervlak (netto)]]</f>
        <v>0</v>
      </c>
      <c r="X700" s="441">
        <f>IF(V700&gt;0,Ruimtestaat[[#This Row],[Prest. (m2 /jaar) werkdagen]]/Ruimtestaat[[#This Row],[Norm (m2/uur) werkdagen]],0)</f>
        <v>0</v>
      </c>
      <c r="Y700" s="442">
        <f>Ruimtestaat[[#This Row],[Uitvoeringen werkdagen]]*Ruimtestaat[[#This Row],[Gedeeltelijk]]</f>
        <v>0</v>
      </c>
      <c r="Z700" s="443">
        <f>IF(U700&gt;0,Ruimtestaat[[#This Row],[Prest. (m2 / jaar) werkdagen gedeeld]]/Ruimtestaat[[#This Row],[Norm (m2/uur) werkdagen]],0)</f>
        <v>0</v>
      </c>
      <c r="AA700" s="441">
        <f>Ruimtestaat[[#This Row],[uren / jaar werkdagen gedeeld]]*Tariefsopbouw!$E$35</f>
        <v>0</v>
      </c>
      <c r="AB700" s="441">
        <f>Ruimtestaat[[#This Row],[Uitvoeringen werkdagen]]*Ruimtestaat[[#This Row],[BSO]]</f>
        <v>0</v>
      </c>
      <c r="AC700" s="443">
        <f>IF(U700&gt;0,Ruimtestaat[[#This Row],[Prest. (m2 / jaar) werkdagen BSO]]/Ruimtestaat[[#This Row],[Norm (m2/uur) werkdagen]],0)</f>
        <v>0</v>
      </c>
      <c r="AD700" s="443">
        <f>Ruimtestaat[[#This Row],[uren / jaar werkdagen BSO]]*Tariefsopbouw!$E$35</f>
        <v>0</v>
      </c>
      <c r="AE700" s="444">
        <f>Ruimtestaat[[#This Row],[uren / jaar werkdagen]]*Tariefsopbouw!$E$35</f>
        <v>0</v>
      </c>
      <c r="AF700" s="454"/>
      <c r="AG700" s="455">
        <f>IF(Ruimtestaat[[#This Row],[Frequentie weekend]]&gt;0,VALUE(LEFT(AF700,1))*S700,0)</f>
        <v>0</v>
      </c>
      <c r="AH700" s="455">
        <f>IF($AG700&gt;0,VLOOKUP($J700,Ruimtegroepen[],3,FALSE)*VLOOKUP($L700,Vloersoorten[],3,FALSE)*VLOOKUP($AF700,Frequenties[],3,FALSE)*VLOOKUP(#REF!,Locaties[],3,FALSE),0)</f>
        <v>0</v>
      </c>
      <c r="AI700" s="434">
        <f>Ruimtestaat[[#This Row],[Uitvoeringen weekend]]*Ruimtestaat[[#This Row],[Oppervlak (netto)]]</f>
        <v>0</v>
      </c>
      <c r="AJ700" s="434">
        <f>IF(AH700&gt;0,Ruimtestaat[[#This Row],[Prest. (m2 /jaar) weekend]]/Ruimtestaat[[#This Row],[Norm (m2/uur) weekend]],0)</f>
        <v>0</v>
      </c>
      <c r="AK700" s="444">
        <f>Ruimtestaat[[#This Row],[uren / jaar weekend]]*Tariefsopbouw!$D$40</f>
        <v>0</v>
      </c>
      <c r="AL700" s="441">
        <f>Ruimtestaat[[#This Row],[Prest. (m2 /jaar) weekend]]+Ruimtestaat[[#This Row],[Prest. (m2 /jaar) werkdagen]]</f>
        <v>0</v>
      </c>
      <c r="AM700" s="441">
        <f>Ruimtestaat[[#This Row],[uren / jaar weekend]]+Ruimtestaat[[#This Row],[uren / jaar werkdagen]]</f>
        <v>0</v>
      </c>
      <c r="AN700" s="446">
        <f>Ruimtestaat[[#This Row],[kosten / jaar weekend]]+Ruimtestaat[[#This Row],[kosten / jaar werkdagen]]</f>
        <v>0</v>
      </c>
      <c r="AO700" s="446"/>
      <c r="AP700" s="446" t="str">
        <f>IF(Ruimtestaat[[#This Row],[Frequentie werkdagen]]="","",_xlfn.CONCAT(Ruimtestaat[[#This Row],[Ruimte code]],"-",Ruimtestaat[[#This Row],[Frequentie werkdagen]]," ",Ruimtestaat[[#This Row],[Vloer code]]))</f>
        <v/>
      </c>
      <c r="AQ700" s="448" t="str">
        <f>_xlfn.IFNA(VLOOKUP($AP700,Programma!$F$3:$G$1101,2,0),"")</f>
        <v/>
      </c>
      <c r="AR700" s="448" t="str">
        <f>_xlfn.IFNA(VLOOKUP($AP700,Programma!$F$3:$H$1101,3,0),"")</f>
        <v/>
      </c>
      <c r="AS700" s="448" t="str">
        <f>_xlfn.IFNA(VLOOKUP($AP700,Programma!$F$3:$I$1101,4,0),"")</f>
        <v/>
      </c>
      <c r="AT700" s="448" t="str">
        <f>_xlfn.IFNA(VLOOKUP($AP700,Programma!$F$3:$J$1101,5,0),"")</f>
        <v/>
      </c>
      <c r="AU700" s="448" t="str">
        <f>_xlfn.IFNA(VLOOKUP($AP700,Programma!$F$3:$K$1101,6,0),"")</f>
        <v/>
      </c>
      <c r="AV700" s="448" t="str">
        <f>_xlfn.IFNA(VLOOKUP($AP700,Programma!$F$3:$L$1101,7,0),"")</f>
        <v/>
      </c>
      <c r="AW700" s="448" t="str">
        <f>_xlfn.IFNA(VLOOKUP($AP700,Programma!$F$3:$M$1101,8,0),"")</f>
        <v/>
      </c>
      <c r="AX700" s="448" t="str">
        <f>_xlfn.IFNA(VLOOKUP($AP700,Programma!$F$3:$N$1101,9,0),"")</f>
        <v/>
      </c>
      <c r="AY700" s="448" t="str">
        <f>_xlfn.IFNA(VLOOKUP($AP700,Programma!$F$3:$O$1101,10,0),"")</f>
        <v/>
      </c>
      <c r="AZ700" s="448" t="str">
        <f>_xlfn.IFNA(VLOOKUP($AP700,Programma!$F$3:$P$1101,11,0),"")</f>
        <v/>
      </c>
      <c r="BA700" s="448" t="str">
        <f>_xlfn.IFNA(VLOOKUP($AP700,Programma!$F$3:$Q$1101,12,0),"")</f>
        <v/>
      </c>
      <c r="BB700" s="448" t="str">
        <f>_xlfn.IFNA(VLOOKUP($AP700,Programma!$F$3:$R$1101,13,0),"")</f>
        <v/>
      </c>
      <c r="BC700" s="448" t="str">
        <f>_xlfn.IFNA(VLOOKUP($AP700,Programma!$F$3:$S$1101,14,0),"")</f>
        <v/>
      </c>
      <c r="BD700" s="448" t="str">
        <f>_xlfn.IFNA(VLOOKUP($AP700,Programma!$F$3:$T$1101,15,0),"")</f>
        <v/>
      </c>
      <c r="BE700" s="448" t="str">
        <f>_xlfn.IFNA(VLOOKUP($AP700,Programma!$F$3:$U$1101,16,0),"")</f>
        <v/>
      </c>
      <c r="BF700" s="448" t="str">
        <f>_xlfn.IFNA(VLOOKUP($AP700,Programma!$F$3:$V$1101,17,0),"")</f>
        <v/>
      </c>
      <c r="BG700" s="448" t="str">
        <f>_xlfn.IFNA(VLOOKUP($AP700,Programma!$F$3:$W$1101,18,0),"")</f>
        <v/>
      </c>
      <c r="BH700" s="448" t="str">
        <f>_xlfn.IFNA(VLOOKUP($AP700,Programma!$F$3:$X$1101,19,0),"")</f>
        <v/>
      </c>
      <c r="BI700" s="448" t="str">
        <f>_xlfn.IFNA(VLOOKUP($AP700,Programma!$F$3:$Y$1101,20,0),"")</f>
        <v/>
      </c>
      <c r="BJ700" s="449"/>
      <c r="BK700" s="446" t="str">
        <f>IF(Ruimtestaat[[#This Row],[Frequentie weekend]]="","",_xlfn.CONCAT(Ruimtestaat[[#This Row],[Ruimte code]],"-",Ruimtestaat[[#This Row],[Frequentie weekend]]," ",Ruimtestaat[[#This Row],[Vloer code]]))</f>
        <v/>
      </c>
      <c r="BL700" s="448" t="str">
        <f>_xlfn.IFNA(VLOOKUP($BK700,Programma!$F$3:$G$1101,2,0),"")</f>
        <v/>
      </c>
      <c r="BM700" s="448" t="str">
        <f>_xlfn.IFNA(VLOOKUP($BK700,Programma!$F$3:$H$1101,3,0),"")</f>
        <v/>
      </c>
      <c r="BN700" s="448" t="str">
        <f>_xlfn.IFNA(VLOOKUP($BK700,Programma!$F$3:$I$1101,4,0),"")</f>
        <v/>
      </c>
      <c r="BO700" s="448" t="str">
        <f>_xlfn.IFNA(VLOOKUP($BK700,Programma!$F$3:$J$1101,5,0),"")</f>
        <v/>
      </c>
      <c r="BP700" s="448" t="str">
        <f>_xlfn.IFNA(VLOOKUP($BK700,Programma!$F$3:$K$1101,6,0),"")</f>
        <v/>
      </c>
      <c r="BQ700" s="448" t="str">
        <f>_xlfn.IFNA(VLOOKUP($BK700,Programma!$F$3:$L$1101,7,0),"")</f>
        <v/>
      </c>
      <c r="BR700" s="448" t="str">
        <f>_xlfn.IFNA(VLOOKUP($BK700,Programma!$F$3:$M$1101,8,0),"")</f>
        <v/>
      </c>
      <c r="BS700" s="448" t="str">
        <f>_xlfn.IFNA(VLOOKUP($BK700,Programma!$F$3:$N$1101,9,0),"")</f>
        <v/>
      </c>
      <c r="BT700" s="448" t="str">
        <f>_xlfn.IFNA(VLOOKUP($BK700,Programma!$F$3:$O$1101,10,0),"")</f>
        <v/>
      </c>
      <c r="BU700" s="448" t="str">
        <f>_xlfn.IFNA(VLOOKUP($BK700,Programma!$F$3:$P$1101,11,0),"")</f>
        <v/>
      </c>
      <c r="BV700" s="448" t="str">
        <f>_xlfn.IFNA(VLOOKUP($BK700,Programma!$F$3:$Q$1101,12,0),"")</f>
        <v/>
      </c>
      <c r="BW700" s="448" t="str">
        <f>_xlfn.IFNA(VLOOKUP($BK700,Programma!$F$3:$R$1101,13,0),"")</f>
        <v/>
      </c>
      <c r="BX700" s="448" t="str">
        <f>_xlfn.IFNA(VLOOKUP($BK700,Programma!$F$3:$S$1101,14,0),"")</f>
        <v/>
      </c>
      <c r="BY700" s="448" t="str">
        <f>_xlfn.IFNA(VLOOKUP($BK700,Programma!$F$3:$T$1101,15,0),"")</f>
        <v/>
      </c>
      <c r="BZ700" s="448" t="str">
        <f>_xlfn.IFNA(VLOOKUP($BK700,Programma!$F$3:$U$1101,16,0),"")</f>
        <v/>
      </c>
      <c r="CA700" s="448" t="str">
        <f>_xlfn.IFNA(VLOOKUP($BK700,Programma!$F$3:$V$1101,17,0),"")</f>
        <v/>
      </c>
      <c r="CB700" s="448" t="str">
        <f>_xlfn.IFNA(VLOOKUP($BK700,Programma!$F$3:$W$1101,18,0),"")</f>
        <v/>
      </c>
      <c r="CC700" s="448" t="str">
        <f>_xlfn.IFNA(VLOOKUP($BK700,Programma!$F$3:$X$1101,19,0),"")</f>
        <v/>
      </c>
      <c r="CD700" s="448" t="str">
        <f>_xlfn.IFNA(VLOOKUP($BK700,Programma!$F$3:$Y$1101,20,0),"")</f>
        <v/>
      </c>
    </row>
    <row r="701" spans="1:82" ht="15" customHeight="1">
      <c r="A701" s="327">
        <v>15</v>
      </c>
      <c r="B701" s="435" t="str">
        <f>VLOOKUP(Ruimtestaat[[#This Row],[Code]],Locaties[[Code]:[Locatie]],2,FALSE)</f>
        <v>IKC  Da Vinci</v>
      </c>
      <c r="C701" s="435" t="str">
        <f>VLOOKUP(Ruimtestaat[[#This Row],[Code]],Locaties[[#All],[Code]:[Adres]],4,FALSE)</f>
        <v>Spitsbergen 17</v>
      </c>
      <c r="D701" s="435" t="str">
        <f>VLOOKUP(Ruimtestaat[[#This Row],[Code]],Locaties[[#All],[Code]:[Postcode]],5,FALSE)</f>
        <v>2721 GP</v>
      </c>
      <c r="E701" s="435" t="str">
        <f>VLOOKUP(Ruimtestaat[[#This Row],[Code]],Locaties[#All],6,FALSE)</f>
        <v>Zoetermeer</v>
      </c>
      <c r="F701" s="330" t="s">
        <v>2154</v>
      </c>
      <c r="I701" s="450" t="s">
        <v>1679</v>
      </c>
      <c r="J701" s="330">
        <v>20</v>
      </c>
      <c r="K701" s="450" t="str">
        <f>VLOOKUP(Ruimtestaat[[#This Row],[Ruimte code]],Ruimtegroepen[[#All],[Code]:[Ruimte omschrijving]],2,FALSE)</f>
        <v>Niet in Onderhoud</v>
      </c>
      <c r="M701" s="330"/>
      <c r="N701" s="439"/>
      <c r="O701" s="439">
        <v>58</v>
      </c>
      <c r="P701" s="439"/>
      <c r="Q701" s="439"/>
      <c r="R701" s="440">
        <f>VLOOKUP(Ruimtestaat[[#This Row],[Ruimte code]],Ruimtegroepen[],4,FALSE)</f>
        <v>0</v>
      </c>
      <c r="S701" s="434"/>
      <c r="T701" s="434"/>
      <c r="U701" s="453">
        <f>IF(S701&gt;0,IF(RIGHT(Ruimtestaat[[#This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1" s="434">
        <f>IF(U701&gt;0,VLOOKUP($J701,Ruimtegroepen[],3,FALSE)*VLOOKUP($L701,Vloersoorten[],3,FALSE)*VLOOKUP($T701,Frequenties[],3,FALSE)*VLOOKUP($A701,Locaties[],3,FALSE),0)</f>
        <v>0</v>
      </c>
      <c r="W701" s="434">
        <f>Ruimtestaat[[#This Row],[Uitvoeringen werkdagen]]*Ruimtestaat[[#This Row],[Oppervlak (netto)]]</f>
        <v>0</v>
      </c>
      <c r="X701" s="441">
        <f>IF(V701&gt;0,Ruimtestaat[[#This Row],[Prest. (m2 /jaar) werkdagen]]/Ruimtestaat[[#This Row],[Norm (m2/uur) werkdagen]],0)</f>
        <v>0</v>
      </c>
      <c r="Y701" s="442">
        <f>Ruimtestaat[[#This Row],[Uitvoeringen werkdagen]]*Ruimtestaat[[#This Row],[Gedeeltelijk]]</f>
        <v>0</v>
      </c>
      <c r="Z701" s="443">
        <f>IF(U701&gt;0,Ruimtestaat[[#This Row],[Prest. (m2 / jaar) werkdagen gedeeld]]/Ruimtestaat[[#This Row],[Norm (m2/uur) werkdagen]],0)</f>
        <v>0</v>
      </c>
      <c r="AA701" s="441">
        <f>Ruimtestaat[[#This Row],[uren / jaar werkdagen gedeeld]]*Tariefsopbouw!$E$35</f>
        <v>0</v>
      </c>
      <c r="AB701" s="441">
        <f>Ruimtestaat[[#This Row],[Uitvoeringen werkdagen]]*Ruimtestaat[[#This Row],[BSO]]</f>
        <v>0</v>
      </c>
      <c r="AC701" s="443">
        <f>IF(U701&gt;0,Ruimtestaat[[#This Row],[Prest. (m2 / jaar) werkdagen BSO]]/Ruimtestaat[[#This Row],[Norm (m2/uur) werkdagen]],0)</f>
        <v>0</v>
      </c>
      <c r="AD701" s="443">
        <f>Ruimtestaat[[#This Row],[uren / jaar werkdagen BSO]]*Tariefsopbouw!$E$35</f>
        <v>0</v>
      </c>
      <c r="AE701" s="444">
        <f>Ruimtestaat[[#This Row],[uren / jaar werkdagen]]*Tariefsopbouw!$E$35</f>
        <v>0</v>
      </c>
      <c r="AF701" s="454"/>
      <c r="AG701" s="455">
        <f>IF(Ruimtestaat[[#This Row],[Frequentie weekend]]&gt;0,VALUE(LEFT(AF701,1))*S701,0)</f>
        <v>0</v>
      </c>
      <c r="AH701" s="455">
        <f>IF($AG701&gt;0,VLOOKUP($J701,Ruimtegroepen[],3,FALSE)*VLOOKUP($L701,Vloersoorten[],3,FALSE)*VLOOKUP($AF701,Frequenties[],3,FALSE)*VLOOKUP(#REF!,Locaties[],3,FALSE),0)</f>
        <v>0</v>
      </c>
      <c r="AI701" s="434">
        <f>Ruimtestaat[[#This Row],[Uitvoeringen weekend]]*Ruimtestaat[[#This Row],[Oppervlak (netto)]]</f>
        <v>0</v>
      </c>
      <c r="AJ701" s="434">
        <f>IF(AH701&gt;0,Ruimtestaat[[#This Row],[Prest. (m2 /jaar) weekend]]/Ruimtestaat[[#This Row],[Norm (m2/uur) weekend]],0)</f>
        <v>0</v>
      </c>
      <c r="AK701" s="444">
        <f>Ruimtestaat[[#This Row],[uren / jaar weekend]]*Tariefsopbouw!$D$40</f>
        <v>0</v>
      </c>
      <c r="AL701" s="441">
        <f>Ruimtestaat[[#This Row],[Prest. (m2 /jaar) weekend]]+Ruimtestaat[[#This Row],[Prest. (m2 /jaar) werkdagen]]</f>
        <v>0</v>
      </c>
      <c r="AM701" s="441">
        <f>Ruimtestaat[[#This Row],[uren / jaar weekend]]+Ruimtestaat[[#This Row],[uren / jaar werkdagen]]</f>
        <v>0</v>
      </c>
      <c r="AN701" s="446">
        <f>Ruimtestaat[[#This Row],[kosten / jaar weekend]]+Ruimtestaat[[#This Row],[kosten / jaar werkdagen]]</f>
        <v>0</v>
      </c>
      <c r="AO701" s="446"/>
      <c r="AP701" s="446" t="str">
        <f>IF(Ruimtestaat[[#This Row],[Frequentie werkdagen]]="","",_xlfn.CONCAT(Ruimtestaat[[#This Row],[Ruimte code]],"-",Ruimtestaat[[#This Row],[Frequentie werkdagen]]," ",Ruimtestaat[[#This Row],[Vloer code]]))</f>
        <v/>
      </c>
      <c r="AQ701" s="448" t="str">
        <f>_xlfn.IFNA(VLOOKUP($AP701,Programma!$F$3:$G$1101,2,0),"")</f>
        <v/>
      </c>
      <c r="AR701" s="448" t="str">
        <f>_xlfn.IFNA(VLOOKUP($AP701,Programma!$F$3:$H$1101,3,0),"")</f>
        <v/>
      </c>
      <c r="AS701" s="448" t="str">
        <f>_xlfn.IFNA(VLOOKUP($AP701,Programma!$F$3:$I$1101,4,0),"")</f>
        <v/>
      </c>
      <c r="AT701" s="448" t="str">
        <f>_xlfn.IFNA(VLOOKUP($AP701,Programma!$F$3:$J$1101,5,0),"")</f>
        <v/>
      </c>
      <c r="AU701" s="448" t="str">
        <f>_xlfn.IFNA(VLOOKUP($AP701,Programma!$F$3:$K$1101,6,0),"")</f>
        <v/>
      </c>
      <c r="AV701" s="448" t="str">
        <f>_xlfn.IFNA(VLOOKUP($AP701,Programma!$F$3:$L$1101,7,0),"")</f>
        <v/>
      </c>
      <c r="AW701" s="448" t="str">
        <f>_xlfn.IFNA(VLOOKUP($AP701,Programma!$F$3:$M$1101,8,0),"")</f>
        <v/>
      </c>
      <c r="AX701" s="448" t="str">
        <f>_xlfn.IFNA(VLOOKUP($AP701,Programma!$F$3:$N$1101,9,0),"")</f>
        <v/>
      </c>
      <c r="AY701" s="448" t="str">
        <f>_xlfn.IFNA(VLOOKUP($AP701,Programma!$F$3:$O$1101,10,0),"")</f>
        <v/>
      </c>
      <c r="AZ701" s="448" t="str">
        <f>_xlfn.IFNA(VLOOKUP($AP701,Programma!$F$3:$P$1101,11,0),"")</f>
        <v/>
      </c>
      <c r="BA701" s="448" t="str">
        <f>_xlfn.IFNA(VLOOKUP($AP701,Programma!$F$3:$Q$1101,12,0),"")</f>
        <v/>
      </c>
      <c r="BB701" s="448" t="str">
        <f>_xlfn.IFNA(VLOOKUP($AP701,Programma!$F$3:$R$1101,13,0),"")</f>
        <v/>
      </c>
      <c r="BC701" s="448" t="str">
        <f>_xlfn.IFNA(VLOOKUP($AP701,Programma!$F$3:$S$1101,14,0),"")</f>
        <v/>
      </c>
      <c r="BD701" s="448" t="str">
        <f>_xlfn.IFNA(VLOOKUP($AP701,Programma!$F$3:$T$1101,15,0),"")</f>
        <v/>
      </c>
      <c r="BE701" s="448" t="str">
        <f>_xlfn.IFNA(VLOOKUP($AP701,Programma!$F$3:$U$1101,16,0),"")</f>
        <v/>
      </c>
      <c r="BF701" s="448" t="str">
        <f>_xlfn.IFNA(VLOOKUP($AP701,Programma!$F$3:$V$1101,17,0),"")</f>
        <v/>
      </c>
      <c r="BG701" s="448" t="str">
        <f>_xlfn.IFNA(VLOOKUP($AP701,Programma!$F$3:$W$1101,18,0),"")</f>
        <v/>
      </c>
      <c r="BH701" s="448" t="str">
        <f>_xlfn.IFNA(VLOOKUP($AP701,Programma!$F$3:$X$1101,19,0),"")</f>
        <v/>
      </c>
      <c r="BI701" s="448" t="str">
        <f>_xlfn.IFNA(VLOOKUP($AP701,Programma!$F$3:$Y$1101,20,0),"")</f>
        <v/>
      </c>
      <c r="BJ701" s="449"/>
      <c r="BK701" s="446" t="str">
        <f>IF(Ruimtestaat[[#This Row],[Frequentie weekend]]="","",_xlfn.CONCAT(Ruimtestaat[[#This Row],[Ruimte code]],"-",Ruimtestaat[[#This Row],[Frequentie weekend]]," ",Ruimtestaat[[#This Row],[Vloer code]]))</f>
        <v/>
      </c>
      <c r="BL701" s="448" t="str">
        <f>_xlfn.IFNA(VLOOKUP($BK701,Programma!$F$3:$G$1101,2,0),"")</f>
        <v/>
      </c>
      <c r="BM701" s="448" t="str">
        <f>_xlfn.IFNA(VLOOKUP($BK701,Programma!$F$3:$H$1101,3,0),"")</f>
        <v/>
      </c>
      <c r="BN701" s="448" t="str">
        <f>_xlfn.IFNA(VLOOKUP($BK701,Programma!$F$3:$I$1101,4,0),"")</f>
        <v/>
      </c>
      <c r="BO701" s="448" t="str">
        <f>_xlfn.IFNA(VLOOKUP($BK701,Programma!$F$3:$J$1101,5,0),"")</f>
        <v/>
      </c>
      <c r="BP701" s="448" t="str">
        <f>_xlfn.IFNA(VLOOKUP($BK701,Programma!$F$3:$K$1101,6,0),"")</f>
        <v/>
      </c>
      <c r="BQ701" s="448" t="str">
        <f>_xlfn.IFNA(VLOOKUP($BK701,Programma!$F$3:$L$1101,7,0),"")</f>
        <v/>
      </c>
      <c r="BR701" s="448" t="str">
        <f>_xlfn.IFNA(VLOOKUP($BK701,Programma!$F$3:$M$1101,8,0),"")</f>
        <v/>
      </c>
      <c r="BS701" s="448" t="str">
        <f>_xlfn.IFNA(VLOOKUP($BK701,Programma!$F$3:$N$1101,9,0),"")</f>
        <v/>
      </c>
      <c r="BT701" s="448" t="str">
        <f>_xlfn.IFNA(VLOOKUP($BK701,Programma!$F$3:$O$1101,10,0),"")</f>
        <v/>
      </c>
      <c r="BU701" s="448" t="str">
        <f>_xlfn.IFNA(VLOOKUP($BK701,Programma!$F$3:$P$1101,11,0),"")</f>
        <v/>
      </c>
      <c r="BV701" s="448" t="str">
        <f>_xlfn.IFNA(VLOOKUP($BK701,Programma!$F$3:$Q$1101,12,0),"")</f>
        <v/>
      </c>
      <c r="BW701" s="448" t="str">
        <f>_xlfn.IFNA(VLOOKUP($BK701,Programma!$F$3:$R$1101,13,0),"")</f>
        <v/>
      </c>
      <c r="BX701" s="448" t="str">
        <f>_xlfn.IFNA(VLOOKUP($BK701,Programma!$F$3:$S$1101,14,0),"")</f>
        <v/>
      </c>
      <c r="BY701" s="448" t="str">
        <f>_xlfn.IFNA(VLOOKUP($BK701,Programma!$F$3:$T$1101,15,0),"")</f>
        <v/>
      </c>
      <c r="BZ701" s="448" t="str">
        <f>_xlfn.IFNA(VLOOKUP($BK701,Programma!$F$3:$U$1101,16,0),"")</f>
        <v/>
      </c>
      <c r="CA701" s="448" t="str">
        <f>_xlfn.IFNA(VLOOKUP($BK701,Programma!$F$3:$V$1101,17,0),"")</f>
        <v/>
      </c>
      <c r="CB701" s="448" t="str">
        <f>_xlfn.IFNA(VLOOKUP($BK701,Programma!$F$3:$W$1101,18,0),"")</f>
        <v/>
      </c>
      <c r="CC701" s="448" t="str">
        <f>_xlfn.IFNA(VLOOKUP($BK701,Programma!$F$3:$X$1101,19,0),"")</f>
        <v/>
      </c>
      <c r="CD701" s="448" t="str">
        <f>_xlfn.IFNA(VLOOKUP($BK701,Programma!$F$3:$Y$1101,20,0),"")</f>
        <v/>
      </c>
    </row>
    <row r="702" spans="1:82" ht="15" customHeight="1">
      <c r="A702" s="327">
        <v>15</v>
      </c>
      <c r="B702" s="435" t="str">
        <f>VLOOKUP(Ruimtestaat[[#This Row],[Code]],Locaties[[Code]:[Locatie]],2,FALSE)</f>
        <v>IKC  Da Vinci</v>
      </c>
      <c r="C702" s="435" t="str">
        <f>VLOOKUP(Ruimtestaat[[#This Row],[Code]],Locaties[[#All],[Code]:[Adres]],4,FALSE)</f>
        <v>Spitsbergen 17</v>
      </c>
      <c r="D702" s="435" t="str">
        <f>VLOOKUP(Ruimtestaat[[#This Row],[Code]],Locaties[[#All],[Code]:[Postcode]],5,FALSE)</f>
        <v>2721 GP</v>
      </c>
      <c r="E702" s="435" t="str">
        <f>VLOOKUP(Ruimtestaat[[#This Row],[Code]],Locaties[#All],6,FALSE)</f>
        <v>Zoetermeer</v>
      </c>
      <c r="F702" s="330" t="s">
        <v>2154</v>
      </c>
      <c r="I702" s="450" t="s">
        <v>1679</v>
      </c>
      <c r="J702" s="330">
        <v>20</v>
      </c>
      <c r="K702" s="450" t="str">
        <f>VLOOKUP(Ruimtestaat[[#This Row],[Ruimte code]],Ruimtegroepen[[#All],[Code]:[Ruimte omschrijving]],2,FALSE)</f>
        <v>Niet in Onderhoud</v>
      </c>
      <c r="M702" s="330"/>
      <c r="N702" s="439"/>
      <c r="O702" s="439">
        <v>32</v>
      </c>
      <c r="P702" s="439"/>
      <c r="Q702" s="439"/>
      <c r="R702" s="440">
        <f>VLOOKUP(Ruimtestaat[[#This Row],[Ruimte code]],Ruimtegroepen[],4,FALSE)</f>
        <v>0</v>
      </c>
      <c r="S702" s="434"/>
      <c r="T702" s="434"/>
      <c r="U702" s="453">
        <f>IF(S702&gt;0,IF(RIGHT(Ruimtestaat[[#This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2" s="434">
        <f>IF(U702&gt;0,VLOOKUP($J702,Ruimtegroepen[],3,FALSE)*VLOOKUP($L702,Vloersoorten[],3,FALSE)*VLOOKUP($T702,Frequenties[],3,FALSE)*VLOOKUP($A702,Locaties[],3,FALSE),0)</f>
        <v>0</v>
      </c>
      <c r="W702" s="434">
        <f>Ruimtestaat[[#This Row],[Uitvoeringen werkdagen]]*Ruimtestaat[[#This Row],[Oppervlak (netto)]]</f>
        <v>0</v>
      </c>
      <c r="X702" s="441">
        <f>IF(V702&gt;0,Ruimtestaat[[#This Row],[Prest. (m2 /jaar) werkdagen]]/Ruimtestaat[[#This Row],[Norm (m2/uur) werkdagen]],0)</f>
        <v>0</v>
      </c>
      <c r="Y702" s="442">
        <f>Ruimtestaat[[#This Row],[Uitvoeringen werkdagen]]*Ruimtestaat[[#This Row],[Gedeeltelijk]]</f>
        <v>0</v>
      </c>
      <c r="Z702" s="443">
        <f>IF(U702&gt;0,Ruimtestaat[[#This Row],[Prest. (m2 / jaar) werkdagen gedeeld]]/Ruimtestaat[[#This Row],[Norm (m2/uur) werkdagen]],0)</f>
        <v>0</v>
      </c>
      <c r="AA702" s="441">
        <f>Ruimtestaat[[#This Row],[uren / jaar werkdagen gedeeld]]*Tariefsopbouw!$E$35</f>
        <v>0</v>
      </c>
      <c r="AB702" s="441">
        <f>Ruimtestaat[[#This Row],[Uitvoeringen werkdagen]]*Ruimtestaat[[#This Row],[BSO]]</f>
        <v>0</v>
      </c>
      <c r="AC702" s="443">
        <f>IF(U702&gt;0,Ruimtestaat[[#This Row],[Prest. (m2 / jaar) werkdagen BSO]]/Ruimtestaat[[#This Row],[Norm (m2/uur) werkdagen]],0)</f>
        <v>0</v>
      </c>
      <c r="AD702" s="443">
        <f>Ruimtestaat[[#This Row],[uren / jaar werkdagen BSO]]*Tariefsopbouw!$E$35</f>
        <v>0</v>
      </c>
      <c r="AE702" s="444">
        <f>Ruimtestaat[[#This Row],[uren / jaar werkdagen]]*Tariefsopbouw!$E$35</f>
        <v>0</v>
      </c>
      <c r="AF702" s="454"/>
      <c r="AG702" s="455">
        <f>IF(Ruimtestaat[[#This Row],[Frequentie weekend]]&gt;0,VALUE(LEFT(AF702,1))*S702,0)</f>
        <v>0</v>
      </c>
      <c r="AH702" s="455">
        <f>IF($AG702&gt;0,VLOOKUP($J702,Ruimtegroepen[],3,FALSE)*VLOOKUP($L702,Vloersoorten[],3,FALSE)*VLOOKUP($AF702,Frequenties[],3,FALSE)*VLOOKUP(#REF!,Locaties[],3,FALSE),0)</f>
        <v>0</v>
      </c>
      <c r="AI702" s="434">
        <f>Ruimtestaat[[#This Row],[Uitvoeringen weekend]]*Ruimtestaat[[#This Row],[Oppervlak (netto)]]</f>
        <v>0</v>
      </c>
      <c r="AJ702" s="434">
        <f>IF(AH702&gt;0,Ruimtestaat[[#This Row],[Prest. (m2 /jaar) weekend]]/Ruimtestaat[[#This Row],[Norm (m2/uur) weekend]],0)</f>
        <v>0</v>
      </c>
      <c r="AK702" s="444">
        <f>Ruimtestaat[[#This Row],[uren / jaar weekend]]*Tariefsopbouw!$D$40</f>
        <v>0</v>
      </c>
      <c r="AL702" s="441">
        <f>Ruimtestaat[[#This Row],[Prest. (m2 /jaar) weekend]]+Ruimtestaat[[#This Row],[Prest. (m2 /jaar) werkdagen]]</f>
        <v>0</v>
      </c>
      <c r="AM702" s="441">
        <f>Ruimtestaat[[#This Row],[uren / jaar weekend]]+Ruimtestaat[[#This Row],[uren / jaar werkdagen]]</f>
        <v>0</v>
      </c>
      <c r="AN702" s="446">
        <f>Ruimtestaat[[#This Row],[kosten / jaar weekend]]+Ruimtestaat[[#This Row],[kosten / jaar werkdagen]]</f>
        <v>0</v>
      </c>
      <c r="AO702" s="446"/>
      <c r="AP702" s="446" t="str">
        <f>IF(Ruimtestaat[[#This Row],[Frequentie werkdagen]]="","",_xlfn.CONCAT(Ruimtestaat[[#This Row],[Ruimte code]],"-",Ruimtestaat[[#This Row],[Frequentie werkdagen]]," ",Ruimtestaat[[#This Row],[Vloer code]]))</f>
        <v/>
      </c>
      <c r="AQ702" s="448" t="str">
        <f>_xlfn.IFNA(VLOOKUP($AP702,Programma!$F$3:$G$1101,2,0),"")</f>
        <v/>
      </c>
      <c r="AR702" s="448" t="str">
        <f>_xlfn.IFNA(VLOOKUP($AP702,Programma!$F$3:$H$1101,3,0),"")</f>
        <v/>
      </c>
      <c r="AS702" s="448" t="str">
        <f>_xlfn.IFNA(VLOOKUP($AP702,Programma!$F$3:$I$1101,4,0),"")</f>
        <v/>
      </c>
      <c r="AT702" s="448" t="str">
        <f>_xlfn.IFNA(VLOOKUP($AP702,Programma!$F$3:$J$1101,5,0),"")</f>
        <v/>
      </c>
      <c r="AU702" s="448" t="str">
        <f>_xlfn.IFNA(VLOOKUP($AP702,Programma!$F$3:$K$1101,6,0),"")</f>
        <v/>
      </c>
      <c r="AV702" s="448" t="str">
        <f>_xlfn.IFNA(VLOOKUP($AP702,Programma!$F$3:$L$1101,7,0),"")</f>
        <v/>
      </c>
      <c r="AW702" s="448" t="str">
        <f>_xlfn.IFNA(VLOOKUP($AP702,Programma!$F$3:$M$1101,8,0),"")</f>
        <v/>
      </c>
      <c r="AX702" s="448" t="str">
        <f>_xlfn.IFNA(VLOOKUP($AP702,Programma!$F$3:$N$1101,9,0),"")</f>
        <v/>
      </c>
      <c r="AY702" s="448" t="str">
        <f>_xlfn.IFNA(VLOOKUP($AP702,Programma!$F$3:$O$1101,10,0),"")</f>
        <v/>
      </c>
      <c r="AZ702" s="448" t="str">
        <f>_xlfn.IFNA(VLOOKUP($AP702,Programma!$F$3:$P$1101,11,0),"")</f>
        <v/>
      </c>
      <c r="BA702" s="448" t="str">
        <f>_xlfn.IFNA(VLOOKUP($AP702,Programma!$F$3:$Q$1101,12,0),"")</f>
        <v/>
      </c>
      <c r="BB702" s="448" t="str">
        <f>_xlfn.IFNA(VLOOKUP($AP702,Programma!$F$3:$R$1101,13,0),"")</f>
        <v/>
      </c>
      <c r="BC702" s="448" t="str">
        <f>_xlfn.IFNA(VLOOKUP($AP702,Programma!$F$3:$S$1101,14,0),"")</f>
        <v/>
      </c>
      <c r="BD702" s="448" t="str">
        <f>_xlfn.IFNA(VLOOKUP($AP702,Programma!$F$3:$T$1101,15,0),"")</f>
        <v/>
      </c>
      <c r="BE702" s="448" t="str">
        <f>_xlfn.IFNA(VLOOKUP($AP702,Programma!$F$3:$U$1101,16,0),"")</f>
        <v/>
      </c>
      <c r="BF702" s="448" t="str">
        <f>_xlfn.IFNA(VLOOKUP($AP702,Programma!$F$3:$V$1101,17,0),"")</f>
        <v/>
      </c>
      <c r="BG702" s="448" t="str">
        <f>_xlfn.IFNA(VLOOKUP($AP702,Programma!$F$3:$W$1101,18,0),"")</f>
        <v/>
      </c>
      <c r="BH702" s="448" t="str">
        <f>_xlfn.IFNA(VLOOKUP($AP702,Programma!$F$3:$X$1101,19,0),"")</f>
        <v/>
      </c>
      <c r="BI702" s="448" t="str">
        <f>_xlfn.IFNA(VLOOKUP($AP702,Programma!$F$3:$Y$1101,20,0),"")</f>
        <v/>
      </c>
      <c r="BJ702" s="449"/>
      <c r="BK702" s="446" t="str">
        <f>IF(Ruimtestaat[[#This Row],[Frequentie weekend]]="","",_xlfn.CONCAT(Ruimtestaat[[#This Row],[Ruimte code]],"-",Ruimtestaat[[#This Row],[Frequentie weekend]]," ",Ruimtestaat[[#This Row],[Vloer code]]))</f>
        <v/>
      </c>
      <c r="BL702" s="448" t="str">
        <f>_xlfn.IFNA(VLOOKUP($BK702,Programma!$F$3:$G$1101,2,0),"")</f>
        <v/>
      </c>
      <c r="BM702" s="448" t="str">
        <f>_xlfn.IFNA(VLOOKUP($BK702,Programma!$F$3:$H$1101,3,0),"")</f>
        <v/>
      </c>
      <c r="BN702" s="448" t="str">
        <f>_xlfn.IFNA(VLOOKUP($BK702,Programma!$F$3:$I$1101,4,0),"")</f>
        <v/>
      </c>
      <c r="BO702" s="448" t="str">
        <f>_xlfn.IFNA(VLOOKUP($BK702,Programma!$F$3:$J$1101,5,0),"")</f>
        <v/>
      </c>
      <c r="BP702" s="448" t="str">
        <f>_xlfn.IFNA(VLOOKUP($BK702,Programma!$F$3:$K$1101,6,0),"")</f>
        <v/>
      </c>
      <c r="BQ702" s="448" t="str">
        <f>_xlfn.IFNA(VLOOKUP($BK702,Programma!$F$3:$L$1101,7,0),"")</f>
        <v/>
      </c>
      <c r="BR702" s="448" t="str">
        <f>_xlfn.IFNA(VLOOKUP($BK702,Programma!$F$3:$M$1101,8,0),"")</f>
        <v/>
      </c>
      <c r="BS702" s="448" t="str">
        <f>_xlfn.IFNA(VLOOKUP($BK702,Programma!$F$3:$N$1101,9,0),"")</f>
        <v/>
      </c>
      <c r="BT702" s="448" t="str">
        <f>_xlfn.IFNA(VLOOKUP($BK702,Programma!$F$3:$O$1101,10,0),"")</f>
        <v/>
      </c>
      <c r="BU702" s="448" t="str">
        <f>_xlfn.IFNA(VLOOKUP($BK702,Programma!$F$3:$P$1101,11,0),"")</f>
        <v/>
      </c>
      <c r="BV702" s="448" t="str">
        <f>_xlfn.IFNA(VLOOKUP($BK702,Programma!$F$3:$Q$1101,12,0),"")</f>
        <v/>
      </c>
      <c r="BW702" s="448" t="str">
        <f>_xlfn.IFNA(VLOOKUP($BK702,Programma!$F$3:$R$1101,13,0),"")</f>
        <v/>
      </c>
      <c r="BX702" s="448" t="str">
        <f>_xlfn.IFNA(VLOOKUP($BK702,Programma!$F$3:$S$1101,14,0),"")</f>
        <v/>
      </c>
      <c r="BY702" s="448" t="str">
        <f>_xlfn.IFNA(VLOOKUP($BK702,Programma!$F$3:$T$1101,15,0),"")</f>
        <v/>
      </c>
      <c r="BZ702" s="448" t="str">
        <f>_xlfn.IFNA(VLOOKUP($BK702,Programma!$F$3:$U$1101,16,0),"")</f>
        <v/>
      </c>
      <c r="CA702" s="448" t="str">
        <f>_xlfn.IFNA(VLOOKUP($BK702,Programma!$F$3:$V$1101,17,0),"")</f>
        <v/>
      </c>
      <c r="CB702" s="448" t="str">
        <f>_xlfn.IFNA(VLOOKUP($BK702,Programma!$F$3:$W$1101,18,0),"")</f>
        <v/>
      </c>
      <c r="CC702" s="448" t="str">
        <f>_xlfn.IFNA(VLOOKUP($BK702,Programma!$F$3:$X$1101,19,0),"")</f>
        <v/>
      </c>
      <c r="CD702" s="448" t="str">
        <f>_xlfn.IFNA(VLOOKUP($BK702,Programma!$F$3:$Y$1101,20,0),"")</f>
        <v/>
      </c>
    </row>
    <row r="703" spans="1:82" ht="15" customHeight="1">
      <c r="A703" s="327">
        <v>15</v>
      </c>
      <c r="B703" s="435" t="str">
        <f>VLOOKUP(Ruimtestaat[[#This Row],[Code]],Locaties[[Code]:[Locatie]],2,FALSE)</f>
        <v>IKC  Da Vinci</v>
      </c>
      <c r="C703" s="435" t="str">
        <f>VLOOKUP(Ruimtestaat[[#This Row],[Code]],Locaties[[#All],[Code]:[Adres]],4,FALSE)</f>
        <v>Spitsbergen 17</v>
      </c>
      <c r="D703" s="435" t="str">
        <f>VLOOKUP(Ruimtestaat[[#This Row],[Code]],Locaties[[#All],[Code]:[Postcode]],5,FALSE)</f>
        <v>2721 GP</v>
      </c>
      <c r="E703" s="435" t="str">
        <f>VLOOKUP(Ruimtestaat[[#This Row],[Code]],Locaties[#All],6,FALSE)</f>
        <v>Zoetermeer</v>
      </c>
      <c r="F703" s="330" t="s">
        <v>2154</v>
      </c>
      <c r="I703" s="450" t="s">
        <v>1984</v>
      </c>
      <c r="J703" s="330">
        <v>20</v>
      </c>
      <c r="K703" s="450" t="str">
        <f>VLOOKUP(Ruimtestaat[[#This Row],[Ruimte code]],Ruimtegroepen[[#All],[Code]:[Ruimte omschrijving]],2,FALSE)</f>
        <v>Niet in Onderhoud</v>
      </c>
      <c r="M703" s="330"/>
      <c r="N703" s="439"/>
      <c r="O703" s="439">
        <v>54</v>
      </c>
      <c r="P703" s="439"/>
      <c r="Q703" s="439"/>
      <c r="R703" s="440">
        <f>VLOOKUP(Ruimtestaat[[#This Row],[Ruimte code]],Ruimtegroepen[],4,FALSE)</f>
        <v>0</v>
      </c>
      <c r="S703" s="434"/>
      <c r="T703" s="434"/>
      <c r="U703" s="453">
        <f>IF(S703&gt;0,IF(RIGHT(Ruimtestaat[[#This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3" s="434">
        <f>IF(U703&gt;0,VLOOKUP($J703,Ruimtegroepen[],3,FALSE)*VLOOKUP($L703,Vloersoorten[],3,FALSE)*VLOOKUP($T703,Frequenties[],3,FALSE)*VLOOKUP($A703,Locaties[],3,FALSE),0)</f>
        <v>0</v>
      </c>
      <c r="W703" s="434">
        <f>Ruimtestaat[[#This Row],[Uitvoeringen werkdagen]]*Ruimtestaat[[#This Row],[Oppervlak (netto)]]</f>
        <v>0</v>
      </c>
      <c r="X703" s="441">
        <f>IF(V703&gt;0,Ruimtestaat[[#This Row],[Prest. (m2 /jaar) werkdagen]]/Ruimtestaat[[#This Row],[Norm (m2/uur) werkdagen]],0)</f>
        <v>0</v>
      </c>
      <c r="Y703" s="442">
        <f>Ruimtestaat[[#This Row],[Uitvoeringen werkdagen]]*Ruimtestaat[[#This Row],[Gedeeltelijk]]</f>
        <v>0</v>
      </c>
      <c r="Z703" s="443">
        <f>IF(U703&gt;0,Ruimtestaat[[#This Row],[Prest. (m2 / jaar) werkdagen gedeeld]]/Ruimtestaat[[#This Row],[Norm (m2/uur) werkdagen]],0)</f>
        <v>0</v>
      </c>
      <c r="AA703" s="441">
        <f>Ruimtestaat[[#This Row],[uren / jaar werkdagen gedeeld]]*Tariefsopbouw!$E$35</f>
        <v>0</v>
      </c>
      <c r="AB703" s="441">
        <f>Ruimtestaat[[#This Row],[Uitvoeringen werkdagen]]*Ruimtestaat[[#This Row],[BSO]]</f>
        <v>0</v>
      </c>
      <c r="AC703" s="443">
        <f>IF(U703&gt;0,Ruimtestaat[[#This Row],[Prest. (m2 / jaar) werkdagen BSO]]/Ruimtestaat[[#This Row],[Norm (m2/uur) werkdagen]],0)</f>
        <v>0</v>
      </c>
      <c r="AD703" s="443">
        <f>Ruimtestaat[[#This Row],[uren / jaar werkdagen BSO]]*Tariefsopbouw!$E$35</f>
        <v>0</v>
      </c>
      <c r="AE703" s="444">
        <f>Ruimtestaat[[#This Row],[uren / jaar werkdagen]]*Tariefsopbouw!$E$35</f>
        <v>0</v>
      </c>
      <c r="AF703" s="454"/>
      <c r="AG703" s="455">
        <f>IF(Ruimtestaat[[#This Row],[Frequentie weekend]]&gt;0,VALUE(LEFT(AF703,1))*S703,0)</f>
        <v>0</v>
      </c>
      <c r="AH703" s="455">
        <f>IF($AG703&gt;0,VLOOKUP($J703,Ruimtegroepen[],3,FALSE)*VLOOKUP($L703,Vloersoorten[],3,FALSE)*VLOOKUP($AF703,Frequenties[],3,FALSE)*VLOOKUP(#REF!,Locaties[],3,FALSE),0)</f>
        <v>0</v>
      </c>
      <c r="AI703" s="434">
        <f>Ruimtestaat[[#This Row],[Uitvoeringen weekend]]*Ruimtestaat[[#This Row],[Oppervlak (netto)]]</f>
        <v>0</v>
      </c>
      <c r="AJ703" s="434">
        <f>IF(AH703&gt;0,Ruimtestaat[[#This Row],[Prest. (m2 /jaar) weekend]]/Ruimtestaat[[#This Row],[Norm (m2/uur) weekend]],0)</f>
        <v>0</v>
      </c>
      <c r="AK703" s="444">
        <f>Ruimtestaat[[#This Row],[uren / jaar weekend]]*Tariefsopbouw!$D$40</f>
        <v>0</v>
      </c>
      <c r="AL703" s="441">
        <f>Ruimtestaat[[#This Row],[Prest. (m2 /jaar) weekend]]+Ruimtestaat[[#This Row],[Prest. (m2 /jaar) werkdagen]]</f>
        <v>0</v>
      </c>
      <c r="AM703" s="441">
        <f>Ruimtestaat[[#This Row],[uren / jaar weekend]]+Ruimtestaat[[#This Row],[uren / jaar werkdagen]]</f>
        <v>0</v>
      </c>
      <c r="AN703" s="446">
        <f>Ruimtestaat[[#This Row],[kosten / jaar weekend]]+Ruimtestaat[[#This Row],[kosten / jaar werkdagen]]</f>
        <v>0</v>
      </c>
      <c r="AO703" s="446"/>
      <c r="AP703" s="446" t="str">
        <f>IF(Ruimtestaat[[#This Row],[Frequentie werkdagen]]="","",_xlfn.CONCAT(Ruimtestaat[[#This Row],[Ruimte code]],"-",Ruimtestaat[[#This Row],[Frequentie werkdagen]]," ",Ruimtestaat[[#This Row],[Vloer code]]))</f>
        <v/>
      </c>
      <c r="AQ703" s="448" t="str">
        <f>_xlfn.IFNA(VLOOKUP($AP703,Programma!$F$3:$G$1101,2,0),"")</f>
        <v/>
      </c>
      <c r="AR703" s="448" t="str">
        <f>_xlfn.IFNA(VLOOKUP($AP703,Programma!$F$3:$H$1101,3,0),"")</f>
        <v/>
      </c>
      <c r="AS703" s="448" t="str">
        <f>_xlfn.IFNA(VLOOKUP($AP703,Programma!$F$3:$I$1101,4,0),"")</f>
        <v/>
      </c>
      <c r="AT703" s="448" t="str">
        <f>_xlfn.IFNA(VLOOKUP($AP703,Programma!$F$3:$J$1101,5,0),"")</f>
        <v/>
      </c>
      <c r="AU703" s="448" t="str">
        <f>_xlfn.IFNA(VLOOKUP($AP703,Programma!$F$3:$K$1101,6,0),"")</f>
        <v/>
      </c>
      <c r="AV703" s="448" t="str">
        <f>_xlfn.IFNA(VLOOKUP($AP703,Programma!$F$3:$L$1101,7,0),"")</f>
        <v/>
      </c>
      <c r="AW703" s="448" t="str">
        <f>_xlfn.IFNA(VLOOKUP($AP703,Programma!$F$3:$M$1101,8,0),"")</f>
        <v/>
      </c>
      <c r="AX703" s="448" t="str">
        <f>_xlfn.IFNA(VLOOKUP($AP703,Programma!$F$3:$N$1101,9,0),"")</f>
        <v/>
      </c>
      <c r="AY703" s="448" t="str">
        <f>_xlfn.IFNA(VLOOKUP($AP703,Programma!$F$3:$O$1101,10,0),"")</f>
        <v/>
      </c>
      <c r="AZ703" s="448" t="str">
        <f>_xlfn.IFNA(VLOOKUP($AP703,Programma!$F$3:$P$1101,11,0),"")</f>
        <v/>
      </c>
      <c r="BA703" s="448" t="str">
        <f>_xlfn.IFNA(VLOOKUP($AP703,Programma!$F$3:$Q$1101,12,0),"")</f>
        <v/>
      </c>
      <c r="BB703" s="448" t="str">
        <f>_xlfn.IFNA(VLOOKUP($AP703,Programma!$F$3:$R$1101,13,0),"")</f>
        <v/>
      </c>
      <c r="BC703" s="448" t="str">
        <f>_xlfn.IFNA(VLOOKUP($AP703,Programma!$F$3:$S$1101,14,0),"")</f>
        <v/>
      </c>
      <c r="BD703" s="448" t="str">
        <f>_xlfn.IFNA(VLOOKUP($AP703,Programma!$F$3:$T$1101,15,0),"")</f>
        <v/>
      </c>
      <c r="BE703" s="448" t="str">
        <f>_xlfn.IFNA(VLOOKUP($AP703,Programma!$F$3:$U$1101,16,0),"")</f>
        <v/>
      </c>
      <c r="BF703" s="448" t="str">
        <f>_xlfn.IFNA(VLOOKUP($AP703,Programma!$F$3:$V$1101,17,0),"")</f>
        <v/>
      </c>
      <c r="BG703" s="448" t="str">
        <f>_xlfn.IFNA(VLOOKUP($AP703,Programma!$F$3:$W$1101,18,0),"")</f>
        <v/>
      </c>
      <c r="BH703" s="448" t="str">
        <f>_xlfn.IFNA(VLOOKUP($AP703,Programma!$F$3:$X$1101,19,0),"")</f>
        <v/>
      </c>
      <c r="BI703" s="448" t="str">
        <f>_xlfn.IFNA(VLOOKUP($AP703,Programma!$F$3:$Y$1101,20,0),"")</f>
        <v/>
      </c>
      <c r="BJ703" s="449"/>
      <c r="BK703" s="446" t="str">
        <f>IF(Ruimtestaat[[#This Row],[Frequentie weekend]]="","",_xlfn.CONCAT(Ruimtestaat[[#This Row],[Ruimte code]],"-",Ruimtestaat[[#This Row],[Frequentie weekend]]," ",Ruimtestaat[[#This Row],[Vloer code]]))</f>
        <v/>
      </c>
      <c r="BL703" s="448" t="str">
        <f>_xlfn.IFNA(VLOOKUP($BK703,Programma!$F$3:$G$1101,2,0),"")</f>
        <v/>
      </c>
      <c r="BM703" s="448" t="str">
        <f>_xlfn.IFNA(VLOOKUP($BK703,Programma!$F$3:$H$1101,3,0),"")</f>
        <v/>
      </c>
      <c r="BN703" s="448" t="str">
        <f>_xlfn.IFNA(VLOOKUP($BK703,Programma!$F$3:$I$1101,4,0),"")</f>
        <v/>
      </c>
      <c r="BO703" s="448" t="str">
        <f>_xlfn.IFNA(VLOOKUP($BK703,Programma!$F$3:$J$1101,5,0),"")</f>
        <v/>
      </c>
      <c r="BP703" s="448" t="str">
        <f>_xlfn.IFNA(VLOOKUP($BK703,Programma!$F$3:$K$1101,6,0),"")</f>
        <v/>
      </c>
      <c r="BQ703" s="448" t="str">
        <f>_xlfn.IFNA(VLOOKUP($BK703,Programma!$F$3:$L$1101,7,0),"")</f>
        <v/>
      </c>
      <c r="BR703" s="448" t="str">
        <f>_xlfn.IFNA(VLOOKUP($BK703,Programma!$F$3:$M$1101,8,0),"")</f>
        <v/>
      </c>
      <c r="BS703" s="448" t="str">
        <f>_xlfn.IFNA(VLOOKUP($BK703,Programma!$F$3:$N$1101,9,0),"")</f>
        <v/>
      </c>
      <c r="BT703" s="448" t="str">
        <f>_xlfn.IFNA(VLOOKUP($BK703,Programma!$F$3:$O$1101,10,0),"")</f>
        <v/>
      </c>
      <c r="BU703" s="448" t="str">
        <f>_xlfn.IFNA(VLOOKUP($BK703,Programma!$F$3:$P$1101,11,0),"")</f>
        <v/>
      </c>
      <c r="BV703" s="448" t="str">
        <f>_xlfn.IFNA(VLOOKUP($BK703,Programma!$F$3:$Q$1101,12,0),"")</f>
        <v/>
      </c>
      <c r="BW703" s="448" t="str">
        <f>_xlfn.IFNA(VLOOKUP($BK703,Programma!$F$3:$R$1101,13,0),"")</f>
        <v/>
      </c>
      <c r="BX703" s="448" t="str">
        <f>_xlfn.IFNA(VLOOKUP($BK703,Programma!$F$3:$S$1101,14,0),"")</f>
        <v/>
      </c>
      <c r="BY703" s="448" t="str">
        <f>_xlfn.IFNA(VLOOKUP($BK703,Programma!$F$3:$T$1101,15,0),"")</f>
        <v/>
      </c>
      <c r="BZ703" s="448" t="str">
        <f>_xlfn.IFNA(VLOOKUP($BK703,Programma!$F$3:$U$1101,16,0),"")</f>
        <v/>
      </c>
      <c r="CA703" s="448" t="str">
        <f>_xlfn.IFNA(VLOOKUP($BK703,Programma!$F$3:$V$1101,17,0),"")</f>
        <v/>
      </c>
      <c r="CB703" s="448" t="str">
        <f>_xlfn.IFNA(VLOOKUP($BK703,Programma!$F$3:$W$1101,18,0),"")</f>
        <v/>
      </c>
      <c r="CC703" s="448" t="str">
        <f>_xlfn.IFNA(VLOOKUP($BK703,Programma!$F$3:$X$1101,19,0),"")</f>
        <v/>
      </c>
      <c r="CD703" s="448" t="str">
        <f>_xlfn.IFNA(VLOOKUP($BK703,Programma!$F$3:$Y$1101,20,0),"")</f>
        <v/>
      </c>
    </row>
    <row r="704" spans="1:82" ht="15" customHeight="1">
      <c r="A704" s="327">
        <v>15</v>
      </c>
      <c r="B704" s="435" t="str">
        <f>VLOOKUP(Ruimtestaat[[#This Row],[Code]],Locaties[[Code]:[Locatie]],2,FALSE)</f>
        <v>IKC  Da Vinci</v>
      </c>
      <c r="C704" s="435" t="str">
        <f>VLOOKUP(Ruimtestaat[[#This Row],[Code]],Locaties[[#All],[Code]:[Adres]],4,FALSE)</f>
        <v>Spitsbergen 17</v>
      </c>
      <c r="D704" s="435" t="str">
        <f>VLOOKUP(Ruimtestaat[[#This Row],[Code]],Locaties[[#All],[Code]:[Postcode]],5,FALSE)</f>
        <v>2721 GP</v>
      </c>
      <c r="E704" s="435" t="str">
        <f>VLOOKUP(Ruimtestaat[[#This Row],[Code]],Locaties[#All],6,FALSE)</f>
        <v>Zoetermeer</v>
      </c>
      <c r="F704" s="330" t="s">
        <v>2154</v>
      </c>
      <c r="I704" s="450" t="s">
        <v>1984</v>
      </c>
      <c r="J704" s="330">
        <v>20</v>
      </c>
      <c r="K704" s="450" t="str">
        <f>VLOOKUP(Ruimtestaat[[#This Row],[Ruimte code]],Ruimtegroepen[[#All],[Code]:[Ruimte omschrijving]],2,FALSE)</f>
        <v>Niet in Onderhoud</v>
      </c>
      <c r="M704" s="330"/>
      <c r="N704" s="439"/>
      <c r="O704" s="439">
        <v>54</v>
      </c>
      <c r="P704" s="439"/>
      <c r="Q704" s="439"/>
      <c r="R704" s="440">
        <f>VLOOKUP(Ruimtestaat[[#This Row],[Ruimte code]],Ruimtegroepen[],4,FALSE)</f>
        <v>0</v>
      </c>
      <c r="S704" s="434"/>
      <c r="T704" s="434"/>
      <c r="U704" s="453">
        <f>IF(S704&gt;0,IF(RIGHT(Ruimtestaat[[#This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4" s="434">
        <f>IF(U704&gt;0,VLOOKUP($J704,Ruimtegroepen[],3,FALSE)*VLOOKUP($L704,Vloersoorten[],3,FALSE)*VLOOKUP($T704,Frequenties[],3,FALSE)*VLOOKUP($A704,Locaties[],3,FALSE),0)</f>
        <v>0</v>
      </c>
      <c r="W704" s="434">
        <f>Ruimtestaat[[#This Row],[Uitvoeringen werkdagen]]*Ruimtestaat[[#This Row],[Oppervlak (netto)]]</f>
        <v>0</v>
      </c>
      <c r="X704" s="441">
        <f>IF(V704&gt;0,Ruimtestaat[[#This Row],[Prest. (m2 /jaar) werkdagen]]/Ruimtestaat[[#This Row],[Norm (m2/uur) werkdagen]],0)</f>
        <v>0</v>
      </c>
      <c r="Y704" s="442">
        <f>Ruimtestaat[[#This Row],[Uitvoeringen werkdagen]]*Ruimtestaat[[#This Row],[Gedeeltelijk]]</f>
        <v>0</v>
      </c>
      <c r="Z704" s="443">
        <f>IF(U704&gt;0,Ruimtestaat[[#This Row],[Prest. (m2 / jaar) werkdagen gedeeld]]/Ruimtestaat[[#This Row],[Norm (m2/uur) werkdagen]],0)</f>
        <v>0</v>
      </c>
      <c r="AA704" s="441">
        <f>Ruimtestaat[[#This Row],[uren / jaar werkdagen gedeeld]]*Tariefsopbouw!$E$35</f>
        <v>0</v>
      </c>
      <c r="AB704" s="441">
        <f>Ruimtestaat[[#This Row],[Uitvoeringen werkdagen]]*Ruimtestaat[[#This Row],[BSO]]</f>
        <v>0</v>
      </c>
      <c r="AC704" s="443">
        <f>IF(U704&gt;0,Ruimtestaat[[#This Row],[Prest. (m2 / jaar) werkdagen BSO]]/Ruimtestaat[[#This Row],[Norm (m2/uur) werkdagen]],0)</f>
        <v>0</v>
      </c>
      <c r="AD704" s="443">
        <f>Ruimtestaat[[#This Row],[uren / jaar werkdagen BSO]]*Tariefsopbouw!$E$35</f>
        <v>0</v>
      </c>
      <c r="AE704" s="444">
        <f>Ruimtestaat[[#This Row],[uren / jaar werkdagen]]*Tariefsopbouw!$E$35</f>
        <v>0</v>
      </c>
      <c r="AF704" s="454"/>
      <c r="AG704" s="455">
        <f>IF(Ruimtestaat[[#This Row],[Frequentie weekend]]&gt;0,VALUE(LEFT(AF704,1))*S704,0)</f>
        <v>0</v>
      </c>
      <c r="AH704" s="455">
        <f>IF($AG704&gt;0,VLOOKUP($J704,Ruimtegroepen[],3,FALSE)*VLOOKUP($L704,Vloersoorten[],3,FALSE)*VLOOKUP($AF704,Frequenties[],3,FALSE)*VLOOKUP(#REF!,Locaties[],3,FALSE),0)</f>
        <v>0</v>
      </c>
      <c r="AI704" s="434">
        <f>Ruimtestaat[[#This Row],[Uitvoeringen weekend]]*Ruimtestaat[[#This Row],[Oppervlak (netto)]]</f>
        <v>0</v>
      </c>
      <c r="AJ704" s="434">
        <f>IF(AH704&gt;0,Ruimtestaat[[#This Row],[Prest. (m2 /jaar) weekend]]/Ruimtestaat[[#This Row],[Norm (m2/uur) weekend]],0)</f>
        <v>0</v>
      </c>
      <c r="AK704" s="444">
        <f>Ruimtestaat[[#This Row],[uren / jaar weekend]]*Tariefsopbouw!$D$40</f>
        <v>0</v>
      </c>
      <c r="AL704" s="441">
        <f>Ruimtestaat[[#This Row],[Prest. (m2 /jaar) weekend]]+Ruimtestaat[[#This Row],[Prest. (m2 /jaar) werkdagen]]</f>
        <v>0</v>
      </c>
      <c r="AM704" s="441">
        <f>Ruimtestaat[[#This Row],[uren / jaar weekend]]+Ruimtestaat[[#This Row],[uren / jaar werkdagen]]</f>
        <v>0</v>
      </c>
      <c r="AN704" s="446">
        <f>Ruimtestaat[[#This Row],[kosten / jaar weekend]]+Ruimtestaat[[#This Row],[kosten / jaar werkdagen]]</f>
        <v>0</v>
      </c>
      <c r="AO704" s="446"/>
      <c r="AP704" s="446" t="str">
        <f>IF(Ruimtestaat[[#This Row],[Frequentie werkdagen]]="","",_xlfn.CONCAT(Ruimtestaat[[#This Row],[Ruimte code]],"-",Ruimtestaat[[#This Row],[Frequentie werkdagen]]," ",Ruimtestaat[[#This Row],[Vloer code]]))</f>
        <v/>
      </c>
      <c r="AQ704" s="448" t="str">
        <f>_xlfn.IFNA(VLOOKUP($AP704,Programma!$F$3:$G$1101,2,0),"")</f>
        <v/>
      </c>
      <c r="AR704" s="448" t="str">
        <f>_xlfn.IFNA(VLOOKUP($AP704,Programma!$F$3:$H$1101,3,0),"")</f>
        <v/>
      </c>
      <c r="AS704" s="448" t="str">
        <f>_xlfn.IFNA(VLOOKUP($AP704,Programma!$F$3:$I$1101,4,0),"")</f>
        <v/>
      </c>
      <c r="AT704" s="448" t="str">
        <f>_xlfn.IFNA(VLOOKUP($AP704,Programma!$F$3:$J$1101,5,0),"")</f>
        <v/>
      </c>
      <c r="AU704" s="448" t="str">
        <f>_xlfn.IFNA(VLOOKUP($AP704,Programma!$F$3:$K$1101,6,0),"")</f>
        <v/>
      </c>
      <c r="AV704" s="448" t="str">
        <f>_xlfn.IFNA(VLOOKUP($AP704,Programma!$F$3:$L$1101,7,0),"")</f>
        <v/>
      </c>
      <c r="AW704" s="448" t="str">
        <f>_xlfn.IFNA(VLOOKUP($AP704,Programma!$F$3:$M$1101,8,0),"")</f>
        <v/>
      </c>
      <c r="AX704" s="448" t="str">
        <f>_xlfn.IFNA(VLOOKUP($AP704,Programma!$F$3:$N$1101,9,0),"")</f>
        <v/>
      </c>
      <c r="AY704" s="448" t="str">
        <f>_xlfn.IFNA(VLOOKUP($AP704,Programma!$F$3:$O$1101,10,0),"")</f>
        <v/>
      </c>
      <c r="AZ704" s="448" t="str">
        <f>_xlfn.IFNA(VLOOKUP($AP704,Programma!$F$3:$P$1101,11,0),"")</f>
        <v/>
      </c>
      <c r="BA704" s="448" t="str">
        <f>_xlfn.IFNA(VLOOKUP($AP704,Programma!$F$3:$Q$1101,12,0),"")</f>
        <v/>
      </c>
      <c r="BB704" s="448" t="str">
        <f>_xlfn.IFNA(VLOOKUP($AP704,Programma!$F$3:$R$1101,13,0),"")</f>
        <v/>
      </c>
      <c r="BC704" s="448" t="str">
        <f>_xlfn.IFNA(VLOOKUP($AP704,Programma!$F$3:$S$1101,14,0),"")</f>
        <v/>
      </c>
      <c r="BD704" s="448" t="str">
        <f>_xlfn.IFNA(VLOOKUP($AP704,Programma!$F$3:$T$1101,15,0),"")</f>
        <v/>
      </c>
      <c r="BE704" s="448" t="str">
        <f>_xlfn.IFNA(VLOOKUP($AP704,Programma!$F$3:$U$1101,16,0),"")</f>
        <v/>
      </c>
      <c r="BF704" s="448" t="str">
        <f>_xlfn.IFNA(VLOOKUP($AP704,Programma!$F$3:$V$1101,17,0),"")</f>
        <v/>
      </c>
      <c r="BG704" s="448" t="str">
        <f>_xlfn.IFNA(VLOOKUP($AP704,Programma!$F$3:$W$1101,18,0),"")</f>
        <v/>
      </c>
      <c r="BH704" s="448" t="str">
        <f>_xlfn.IFNA(VLOOKUP($AP704,Programma!$F$3:$X$1101,19,0),"")</f>
        <v/>
      </c>
      <c r="BI704" s="448" t="str">
        <f>_xlfn.IFNA(VLOOKUP($AP704,Programma!$F$3:$Y$1101,20,0),"")</f>
        <v/>
      </c>
      <c r="BJ704" s="449"/>
      <c r="BK704" s="446" t="str">
        <f>IF(Ruimtestaat[[#This Row],[Frequentie weekend]]="","",_xlfn.CONCAT(Ruimtestaat[[#This Row],[Ruimte code]],"-",Ruimtestaat[[#This Row],[Frequentie weekend]]," ",Ruimtestaat[[#This Row],[Vloer code]]))</f>
        <v/>
      </c>
      <c r="BL704" s="448" t="str">
        <f>_xlfn.IFNA(VLOOKUP($BK704,Programma!$F$3:$G$1101,2,0),"")</f>
        <v/>
      </c>
      <c r="BM704" s="448" t="str">
        <f>_xlfn.IFNA(VLOOKUP($BK704,Programma!$F$3:$H$1101,3,0),"")</f>
        <v/>
      </c>
      <c r="BN704" s="448" t="str">
        <f>_xlfn.IFNA(VLOOKUP($BK704,Programma!$F$3:$I$1101,4,0),"")</f>
        <v/>
      </c>
      <c r="BO704" s="448" t="str">
        <f>_xlfn.IFNA(VLOOKUP($BK704,Programma!$F$3:$J$1101,5,0),"")</f>
        <v/>
      </c>
      <c r="BP704" s="448" t="str">
        <f>_xlfn.IFNA(VLOOKUP($BK704,Programma!$F$3:$K$1101,6,0),"")</f>
        <v/>
      </c>
      <c r="BQ704" s="448" t="str">
        <f>_xlfn.IFNA(VLOOKUP($BK704,Programma!$F$3:$L$1101,7,0),"")</f>
        <v/>
      </c>
      <c r="BR704" s="448" t="str">
        <f>_xlfn.IFNA(VLOOKUP($BK704,Programma!$F$3:$M$1101,8,0),"")</f>
        <v/>
      </c>
      <c r="BS704" s="448" t="str">
        <f>_xlfn.IFNA(VLOOKUP($BK704,Programma!$F$3:$N$1101,9,0),"")</f>
        <v/>
      </c>
      <c r="BT704" s="448" t="str">
        <f>_xlfn.IFNA(VLOOKUP($BK704,Programma!$F$3:$O$1101,10,0),"")</f>
        <v/>
      </c>
      <c r="BU704" s="448" t="str">
        <f>_xlfn.IFNA(VLOOKUP($BK704,Programma!$F$3:$P$1101,11,0),"")</f>
        <v/>
      </c>
      <c r="BV704" s="448" t="str">
        <f>_xlfn.IFNA(VLOOKUP($BK704,Programma!$F$3:$Q$1101,12,0),"")</f>
        <v/>
      </c>
      <c r="BW704" s="448" t="str">
        <f>_xlfn.IFNA(VLOOKUP($BK704,Programma!$F$3:$R$1101,13,0),"")</f>
        <v/>
      </c>
      <c r="BX704" s="448" t="str">
        <f>_xlfn.IFNA(VLOOKUP($BK704,Programma!$F$3:$S$1101,14,0),"")</f>
        <v/>
      </c>
      <c r="BY704" s="448" t="str">
        <f>_xlfn.IFNA(VLOOKUP($BK704,Programma!$F$3:$T$1101,15,0),"")</f>
        <v/>
      </c>
      <c r="BZ704" s="448" t="str">
        <f>_xlfn.IFNA(VLOOKUP($BK704,Programma!$F$3:$U$1101,16,0),"")</f>
        <v/>
      </c>
      <c r="CA704" s="448" t="str">
        <f>_xlfn.IFNA(VLOOKUP($BK704,Programma!$F$3:$V$1101,17,0),"")</f>
        <v/>
      </c>
      <c r="CB704" s="448" t="str">
        <f>_xlfn.IFNA(VLOOKUP($BK704,Programma!$F$3:$W$1101,18,0),"")</f>
        <v/>
      </c>
      <c r="CC704" s="448" t="str">
        <f>_xlfn.IFNA(VLOOKUP($BK704,Programma!$F$3:$X$1101,19,0),"")</f>
        <v/>
      </c>
      <c r="CD704" s="448" t="str">
        <f>_xlfn.IFNA(VLOOKUP($BK704,Programma!$F$3:$Y$1101,20,0),"")</f>
        <v/>
      </c>
    </row>
    <row r="705" spans="1:82" ht="15" customHeight="1">
      <c r="A705" s="327">
        <v>15</v>
      </c>
      <c r="B705" s="435" t="str">
        <f>VLOOKUP(Ruimtestaat[[#This Row],[Code]],Locaties[[Code]:[Locatie]],2,FALSE)</f>
        <v>IKC  Da Vinci</v>
      </c>
      <c r="C705" s="435" t="str">
        <f>VLOOKUP(Ruimtestaat[[#This Row],[Code]],Locaties[[#All],[Code]:[Adres]],4,FALSE)</f>
        <v>Spitsbergen 17</v>
      </c>
      <c r="D705" s="435" t="str">
        <f>VLOOKUP(Ruimtestaat[[#This Row],[Code]],Locaties[[#All],[Code]:[Postcode]],5,FALSE)</f>
        <v>2721 GP</v>
      </c>
      <c r="E705" s="435" t="str">
        <f>VLOOKUP(Ruimtestaat[[#This Row],[Code]],Locaties[#All],6,FALSE)</f>
        <v>Zoetermeer</v>
      </c>
      <c r="F705" s="330" t="s">
        <v>2154</v>
      </c>
      <c r="I705" s="450" t="s">
        <v>1985</v>
      </c>
      <c r="J705" s="330">
        <v>16</v>
      </c>
      <c r="K705" s="450" t="str">
        <f>VLOOKUP(Ruimtestaat[[#This Row],[Ruimte code]],Ruimtegroepen[[#All],[Code]:[Ruimte omschrijving]],2,FALSE)</f>
        <v>Leslokalen</v>
      </c>
      <c r="L705" s="434" t="s">
        <v>100</v>
      </c>
      <c r="M705" s="437" t="s">
        <v>1759</v>
      </c>
      <c r="N705" s="439">
        <v>67</v>
      </c>
      <c r="O705" s="439"/>
      <c r="P705" s="439"/>
      <c r="Q705" s="439"/>
      <c r="R705" s="440" t="str">
        <f>VLOOKUP(Ruimtestaat[[#This Row],[Ruimte code]],Ruimtegroepen[],4,FALSE)</f>
        <v>Le</v>
      </c>
      <c r="S705" s="434">
        <v>40</v>
      </c>
      <c r="T705" s="434" t="s">
        <v>2</v>
      </c>
      <c r="U705" s="453">
        <f>IF(S705&gt;0,IF(RIGHT(Ruimtestaat[[#This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05" s="434">
        <f>IF(U705&gt;0,VLOOKUP($J705,Ruimtegroepen[],3,FALSE)*VLOOKUP($L705,Vloersoorten[],3,FALSE)*VLOOKUP($T705,Frequenties[],3,FALSE)*VLOOKUP($A705,Locaties[],3,FALSE),0)</f>
        <v>0</v>
      </c>
      <c r="W705" s="434">
        <f>Ruimtestaat[[#This Row],[Uitvoeringen werkdagen]]*Ruimtestaat[[#This Row],[Oppervlak (netto)]]</f>
        <v>13400</v>
      </c>
      <c r="X705" s="441">
        <f>IF(V705&gt;0,Ruimtestaat[[#This Row],[Prest. (m2 /jaar) werkdagen]]/Ruimtestaat[[#This Row],[Norm (m2/uur) werkdagen]],0)</f>
        <v>0</v>
      </c>
      <c r="Y705" s="442">
        <f>Ruimtestaat[[#This Row],[Uitvoeringen werkdagen]]*Ruimtestaat[[#This Row],[Gedeeltelijk]]</f>
        <v>0</v>
      </c>
      <c r="Z705" s="443" t="e">
        <f>IF(U705&gt;0,Ruimtestaat[[#This Row],[Prest. (m2 / jaar) werkdagen gedeeld]]/Ruimtestaat[[#This Row],[Norm (m2/uur) werkdagen]],0)</f>
        <v>#DIV/0!</v>
      </c>
      <c r="AA705" s="441" t="e">
        <f>Ruimtestaat[[#This Row],[uren / jaar werkdagen gedeeld]]*Tariefsopbouw!$E$35</f>
        <v>#DIV/0!</v>
      </c>
      <c r="AB705" s="441">
        <f>Ruimtestaat[[#This Row],[Uitvoeringen werkdagen]]*Ruimtestaat[[#This Row],[BSO]]</f>
        <v>0</v>
      </c>
      <c r="AC705" s="443" t="e">
        <f>IF(U705&gt;0,Ruimtestaat[[#This Row],[Prest. (m2 / jaar) werkdagen BSO]]/Ruimtestaat[[#This Row],[Norm (m2/uur) werkdagen]],0)</f>
        <v>#DIV/0!</v>
      </c>
      <c r="AD705" s="443" t="e">
        <f>Ruimtestaat[[#This Row],[uren / jaar werkdagen BSO]]*Tariefsopbouw!$E$35</f>
        <v>#DIV/0!</v>
      </c>
      <c r="AE705" s="444">
        <f>Ruimtestaat[[#This Row],[uren / jaar werkdagen]]*Tariefsopbouw!$E$35</f>
        <v>0</v>
      </c>
      <c r="AF705" s="454"/>
      <c r="AG705" s="455">
        <f>IF(Ruimtestaat[[#This Row],[Frequentie weekend]]&gt;0,VALUE(LEFT(AF705,1))*S705,0)</f>
        <v>0</v>
      </c>
      <c r="AH705" s="455">
        <f>IF($AG705&gt;0,VLOOKUP($J705,Ruimtegroepen[],3,FALSE)*VLOOKUP($L705,Vloersoorten[],3,FALSE)*VLOOKUP($AF705,Frequenties[],3,FALSE)*VLOOKUP(#REF!,Locaties[],3,FALSE),0)</f>
        <v>0</v>
      </c>
      <c r="AI705" s="434">
        <f>Ruimtestaat[[#This Row],[Uitvoeringen weekend]]*Ruimtestaat[[#This Row],[Oppervlak (netto)]]</f>
        <v>0</v>
      </c>
      <c r="AJ705" s="434">
        <f>IF(AH705&gt;0,Ruimtestaat[[#This Row],[Prest. (m2 /jaar) weekend]]/Ruimtestaat[[#This Row],[Norm (m2/uur) weekend]],0)</f>
        <v>0</v>
      </c>
      <c r="AK705" s="444">
        <f>Ruimtestaat[[#This Row],[uren / jaar weekend]]*Tariefsopbouw!$D$40</f>
        <v>0</v>
      </c>
      <c r="AL705" s="441">
        <f>Ruimtestaat[[#This Row],[Prest. (m2 /jaar) weekend]]+Ruimtestaat[[#This Row],[Prest. (m2 /jaar) werkdagen]]</f>
        <v>13400</v>
      </c>
      <c r="AM705" s="441">
        <f>Ruimtestaat[[#This Row],[uren / jaar weekend]]+Ruimtestaat[[#This Row],[uren / jaar werkdagen]]</f>
        <v>0</v>
      </c>
      <c r="AN705" s="446">
        <f>Ruimtestaat[[#This Row],[kosten / jaar weekend]]+Ruimtestaat[[#This Row],[kosten / jaar werkdagen]]</f>
        <v>0</v>
      </c>
      <c r="AO705" s="446"/>
      <c r="AP705" s="446" t="str">
        <f>IF(Ruimtestaat[[#This Row],[Frequentie werkdagen]]="","",_xlfn.CONCAT(Ruimtestaat[[#This Row],[Ruimte code]],"-",Ruimtestaat[[#This Row],[Frequentie werkdagen]]," ",Ruimtestaat[[#This Row],[Vloer code]]))</f>
        <v>16-5w L</v>
      </c>
      <c r="AQ705" s="448" t="str">
        <f>_xlfn.IFNA(VLOOKUP($AP705,Programma!$F$3:$G$1101,2,0),"")</f>
        <v>_</v>
      </c>
      <c r="AR705" s="448" t="str">
        <f>_xlfn.IFNA(VLOOKUP($AP705,Programma!$F$3:$H$1101,3,0),"")</f>
        <v>_</v>
      </c>
      <c r="AS705" s="448" t="str">
        <f>_xlfn.IFNA(VLOOKUP($AP705,Programma!$F$3:$I$1101,4,0),"")</f>
        <v>4w</v>
      </c>
      <c r="AT705" s="448" t="str">
        <f>_xlfn.IFNA(VLOOKUP($AP705,Programma!$F$3:$J$1101,5,0),"")</f>
        <v>1w</v>
      </c>
      <c r="AU705" s="448" t="str">
        <f>_xlfn.IFNA(VLOOKUP($AP705,Programma!$F$3:$K$1101,6,0),"")</f>
        <v>_</v>
      </c>
      <c r="AV705" s="448" t="str">
        <f>_xlfn.IFNA(VLOOKUP($AP705,Programma!$F$3:$L$1101,7,0),"")</f>
        <v>_</v>
      </c>
      <c r="AW705" s="448" t="str">
        <f>_xlfn.IFNA(VLOOKUP($AP705,Programma!$F$3:$M$1101,8,0),"")</f>
        <v>_</v>
      </c>
      <c r="AX705" s="448" t="str">
        <f>_xlfn.IFNA(VLOOKUP($AP705,Programma!$F$3:$N$1101,9,0),"")</f>
        <v>_</v>
      </c>
      <c r="AY705" s="448" t="str">
        <f>_xlfn.IFNA(VLOOKUP($AP705,Programma!$F$3:$O$1101,10,0),"")</f>
        <v>5w</v>
      </c>
      <c r="AZ705" s="448" t="str">
        <f>_xlfn.IFNA(VLOOKUP($AP705,Programma!$F$3:$P$1101,11,0),"")</f>
        <v>5w</v>
      </c>
      <c r="BA705" s="448" t="str">
        <f>_xlfn.IFNA(VLOOKUP($AP705,Programma!$F$3:$Q$1101,12,0),"")</f>
        <v>1w</v>
      </c>
      <c r="BB705" s="448" t="str">
        <f>_xlfn.IFNA(VLOOKUP($AP705,Programma!$F$3:$R$1101,13,0),"")</f>
        <v>1w</v>
      </c>
      <c r="BC705" s="448" t="str">
        <f>_xlfn.IFNA(VLOOKUP($AP705,Programma!$F$3:$S$1101,14,0),"")</f>
        <v>1m</v>
      </c>
      <c r="BD705" s="448" t="str">
        <f>_xlfn.IFNA(VLOOKUP($AP705,Programma!$F$3:$T$1101,15,0),"")</f>
        <v>2j</v>
      </c>
      <c r="BE705" s="448" t="str">
        <f>_xlfn.IFNA(VLOOKUP($AP705,Programma!$F$3:$U$1101,16,0),"")</f>
        <v>1j</v>
      </c>
      <c r="BF705" s="448" t="str">
        <f>_xlfn.IFNA(VLOOKUP($AP705,Programma!$F$3:$V$1101,17,0),"")</f>
        <v>_</v>
      </c>
      <c r="BG705" s="448" t="str">
        <f>_xlfn.IFNA(VLOOKUP($AP705,Programma!$F$3:$W$1101,18,0),"")</f>
        <v>_</v>
      </c>
      <c r="BH705" s="448" t="str">
        <f>_xlfn.IFNA(VLOOKUP($AP705,Programma!$F$3:$X$1101,19,0),"")</f>
        <v>_</v>
      </c>
      <c r="BI705" s="448" t="str">
        <f>_xlfn.IFNA(VLOOKUP($AP705,Programma!$F$3:$Y$1101,20,0),"")</f>
        <v>_</v>
      </c>
      <c r="BJ705" s="449"/>
      <c r="BK705" s="446" t="str">
        <f>IF(Ruimtestaat[[#This Row],[Frequentie weekend]]="","",_xlfn.CONCAT(Ruimtestaat[[#This Row],[Ruimte code]],"-",Ruimtestaat[[#This Row],[Frequentie weekend]]," ",Ruimtestaat[[#This Row],[Vloer code]]))</f>
        <v/>
      </c>
      <c r="BL705" s="448" t="str">
        <f>_xlfn.IFNA(VLOOKUP($BK705,Programma!$F$3:$G$1101,2,0),"")</f>
        <v/>
      </c>
      <c r="BM705" s="448" t="str">
        <f>_xlfn.IFNA(VLOOKUP($BK705,Programma!$F$3:$H$1101,3,0),"")</f>
        <v/>
      </c>
      <c r="BN705" s="448" t="str">
        <f>_xlfn.IFNA(VLOOKUP($BK705,Programma!$F$3:$I$1101,4,0),"")</f>
        <v/>
      </c>
      <c r="BO705" s="448" t="str">
        <f>_xlfn.IFNA(VLOOKUP($BK705,Programma!$F$3:$J$1101,5,0),"")</f>
        <v/>
      </c>
      <c r="BP705" s="448" t="str">
        <f>_xlfn.IFNA(VLOOKUP($BK705,Programma!$F$3:$K$1101,6,0),"")</f>
        <v/>
      </c>
      <c r="BQ705" s="448" t="str">
        <f>_xlfn.IFNA(VLOOKUP($BK705,Programma!$F$3:$L$1101,7,0),"")</f>
        <v/>
      </c>
      <c r="BR705" s="448" t="str">
        <f>_xlfn.IFNA(VLOOKUP($BK705,Programma!$F$3:$M$1101,8,0),"")</f>
        <v/>
      </c>
      <c r="BS705" s="448" t="str">
        <f>_xlfn.IFNA(VLOOKUP($BK705,Programma!$F$3:$N$1101,9,0),"")</f>
        <v/>
      </c>
      <c r="BT705" s="448" t="str">
        <f>_xlfn.IFNA(VLOOKUP($BK705,Programma!$F$3:$O$1101,10,0),"")</f>
        <v/>
      </c>
      <c r="BU705" s="448" t="str">
        <f>_xlfn.IFNA(VLOOKUP($BK705,Programma!$F$3:$P$1101,11,0),"")</f>
        <v/>
      </c>
      <c r="BV705" s="448" t="str">
        <f>_xlfn.IFNA(VLOOKUP($BK705,Programma!$F$3:$Q$1101,12,0),"")</f>
        <v/>
      </c>
      <c r="BW705" s="448" t="str">
        <f>_xlfn.IFNA(VLOOKUP($BK705,Programma!$F$3:$R$1101,13,0),"")</f>
        <v/>
      </c>
      <c r="BX705" s="448" t="str">
        <f>_xlfn.IFNA(VLOOKUP($BK705,Programma!$F$3:$S$1101,14,0),"")</f>
        <v/>
      </c>
      <c r="BY705" s="448" t="str">
        <f>_xlfn.IFNA(VLOOKUP($BK705,Programma!$F$3:$T$1101,15,0),"")</f>
        <v/>
      </c>
      <c r="BZ705" s="448" t="str">
        <f>_xlfn.IFNA(VLOOKUP($BK705,Programma!$F$3:$U$1101,16,0),"")</f>
        <v/>
      </c>
      <c r="CA705" s="448" t="str">
        <f>_xlfn.IFNA(VLOOKUP($BK705,Programma!$F$3:$V$1101,17,0),"")</f>
        <v/>
      </c>
      <c r="CB705" s="448" t="str">
        <f>_xlfn.IFNA(VLOOKUP($BK705,Programma!$F$3:$W$1101,18,0),"")</f>
        <v/>
      </c>
      <c r="CC705" s="448" t="str">
        <f>_xlfn.IFNA(VLOOKUP($BK705,Programma!$F$3:$X$1101,19,0),"")</f>
        <v/>
      </c>
      <c r="CD705" s="448" t="str">
        <f>_xlfn.IFNA(VLOOKUP($BK705,Programma!$F$3:$Y$1101,20,0),"")</f>
        <v/>
      </c>
    </row>
    <row r="706" spans="1:82" ht="15" customHeight="1">
      <c r="A706" s="327">
        <v>15</v>
      </c>
      <c r="B706" s="435" t="str">
        <f>VLOOKUP(Ruimtestaat[[#This Row],[Code]],Locaties[[Code]:[Locatie]],2,FALSE)</f>
        <v>IKC  Da Vinci</v>
      </c>
      <c r="C706" s="435" t="str">
        <f>VLOOKUP(Ruimtestaat[[#This Row],[Code]],Locaties[[#All],[Code]:[Adres]],4,FALSE)</f>
        <v>Spitsbergen 17</v>
      </c>
      <c r="D706" s="435" t="str">
        <f>VLOOKUP(Ruimtestaat[[#This Row],[Code]],Locaties[[#All],[Code]:[Postcode]],5,FALSE)</f>
        <v>2721 GP</v>
      </c>
      <c r="E706" s="435" t="str">
        <f>VLOOKUP(Ruimtestaat[[#This Row],[Code]],Locaties[#All],6,FALSE)</f>
        <v>Zoetermeer</v>
      </c>
      <c r="F706" s="330" t="s">
        <v>2154</v>
      </c>
      <c r="I706" s="450" t="s">
        <v>1851</v>
      </c>
      <c r="J706" s="330">
        <v>20</v>
      </c>
      <c r="K706" s="450" t="str">
        <f>VLOOKUP(Ruimtestaat[[#This Row],[Ruimte code]],Ruimtegroepen[[#All],[Code]:[Ruimte omschrijving]],2,FALSE)</f>
        <v>Niet in Onderhoud</v>
      </c>
      <c r="M706" s="330"/>
      <c r="N706" s="439"/>
      <c r="O706" s="439">
        <v>4</v>
      </c>
      <c r="P706" s="439"/>
      <c r="Q706" s="439"/>
      <c r="R706" s="440">
        <f>VLOOKUP(Ruimtestaat[[#This Row],[Ruimte code]],Ruimtegroepen[],4,FALSE)</f>
        <v>0</v>
      </c>
      <c r="S706" s="434"/>
      <c r="T706" s="434"/>
      <c r="U706" s="453">
        <f>IF(S706&gt;0,IF(RIGHT(Ruimtestaat[[#This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6" s="434">
        <f>IF(U706&gt;0,VLOOKUP($J706,Ruimtegroepen[],3,FALSE)*VLOOKUP($L706,Vloersoorten[],3,FALSE)*VLOOKUP($T706,Frequenties[],3,FALSE)*VLOOKUP($A706,Locaties[],3,FALSE),0)</f>
        <v>0</v>
      </c>
      <c r="W706" s="434">
        <f>Ruimtestaat[[#This Row],[Uitvoeringen werkdagen]]*Ruimtestaat[[#This Row],[Oppervlak (netto)]]</f>
        <v>0</v>
      </c>
      <c r="X706" s="441">
        <f>IF(V706&gt;0,Ruimtestaat[[#This Row],[Prest. (m2 /jaar) werkdagen]]/Ruimtestaat[[#This Row],[Norm (m2/uur) werkdagen]],0)</f>
        <v>0</v>
      </c>
      <c r="Y706" s="442">
        <f>Ruimtestaat[[#This Row],[Uitvoeringen werkdagen]]*Ruimtestaat[[#This Row],[Gedeeltelijk]]</f>
        <v>0</v>
      </c>
      <c r="Z706" s="443">
        <f>IF(U706&gt;0,Ruimtestaat[[#This Row],[Prest. (m2 / jaar) werkdagen gedeeld]]/Ruimtestaat[[#This Row],[Norm (m2/uur) werkdagen]],0)</f>
        <v>0</v>
      </c>
      <c r="AA706" s="441">
        <f>Ruimtestaat[[#This Row],[uren / jaar werkdagen gedeeld]]*Tariefsopbouw!$E$35</f>
        <v>0</v>
      </c>
      <c r="AB706" s="441">
        <f>Ruimtestaat[[#This Row],[Uitvoeringen werkdagen]]*Ruimtestaat[[#This Row],[BSO]]</f>
        <v>0</v>
      </c>
      <c r="AC706" s="443">
        <f>IF(U706&gt;0,Ruimtestaat[[#This Row],[Prest. (m2 / jaar) werkdagen BSO]]/Ruimtestaat[[#This Row],[Norm (m2/uur) werkdagen]],0)</f>
        <v>0</v>
      </c>
      <c r="AD706" s="443">
        <f>Ruimtestaat[[#This Row],[uren / jaar werkdagen BSO]]*Tariefsopbouw!$E$35</f>
        <v>0</v>
      </c>
      <c r="AE706" s="444">
        <f>Ruimtestaat[[#This Row],[uren / jaar werkdagen]]*Tariefsopbouw!$E$35</f>
        <v>0</v>
      </c>
      <c r="AF706" s="454"/>
      <c r="AG706" s="455">
        <f>IF(Ruimtestaat[[#This Row],[Frequentie weekend]]&gt;0,VALUE(LEFT(AF706,1))*S706,0)</f>
        <v>0</v>
      </c>
      <c r="AH706" s="455">
        <f>IF($AG706&gt;0,VLOOKUP($J706,Ruimtegroepen[],3,FALSE)*VLOOKUP($L706,Vloersoorten[],3,FALSE)*VLOOKUP($AF706,Frequenties[],3,FALSE)*VLOOKUP(#REF!,Locaties[],3,FALSE),0)</f>
        <v>0</v>
      </c>
      <c r="AI706" s="434">
        <f>Ruimtestaat[[#This Row],[Uitvoeringen weekend]]*Ruimtestaat[[#This Row],[Oppervlak (netto)]]</f>
        <v>0</v>
      </c>
      <c r="AJ706" s="434">
        <f>IF(AH706&gt;0,Ruimtestaat[[#This Row],[Prest. (m2 /jaar) weekend]]/Ruimtestaat[[#This Row],[Norm (m2/uur) weekend]],0)</f>
        <v>0</v>
      </c>
      <c r="AK706" s="444">
        <f>Ruimtestaat[[#This Row],[uren / jaar weekend]]*Tariefsopbouw!$D$40</f>
        <v>0</v>
      </c>
      <c r="AL706" s="441">
        <f>Ruimtestaat[[#This Row],[Prest. (m2 /jaar) weekend]]+Ruimtestaat[[#This Row],[Prest. (m2 /jaar) werkdagen]]</f>
        <v>0</v>
      </c>
      <c r="AM706" s="441">
        <f>Ruimtestaat[[#This Row],[uren / jaar weekend]]+Ruimtestaat[[#This Row],[uren / jaar werkdagen]]</f>
        <v>0</v>
      </c>
      <c r="AN706" s="446">
        <f>Ruimtestaat[[#This Row],[kosten / jaar weekend]]+Ruimtestaat[[#This Row],[kosten / jaar werkdagen]]</f>
        <v>0</v>
      </c>
      <c r="AO706" s="446"/>
      <c r="AP706" s="446" t="str">
        <f>IF(Ruimtestaat[[#This Row],[Frequentie werkdagen]]="","",_xlfn.CONCAT(Ruimtestaat[[#This Row],[Ruimte code]],"-",Ruimtestaat[[#This Row],[Frequentie werkdagen]]," ",Ruimtestaat[[#This Row],[Vloer code]]))</f>
        <v/>
      </c>
      <c r="AQ706" s="448" t="str">
        <f>_xlfn.IFNA(VLOOKUP($AP706,Programma!$F$3:$G$1101,2,0),"")</f>
        <v/>
      </c>
      <c r="AR706" s="448" t="str">
        <f>_xlfn.IFNA(VLOOKUP($AP706,Programma!$F$3:$H$1101,3,0),"")</f>
        <v/>
      </c>
      <c r="AS706" s="448" t="str">
        <f>_xlfn.IFNA(VLOOKUP($AP706,Programma!$F$3:$I$1101,4,0),"")</f>
        <v/>
      </c>
      <c r="AT706" s="448" t="str">
        <f>_xlfn.IFNA(VLOOKUP($AP706,Programma!$F$3:$J$1101,5,0),"")</f>
        <v/>
      </c>
      <c r="AU706" s="448" t="str">
        <f>_xlfn.IFNA(VLOOKUP($AP706,Programma!$F$3:$K$1101,6,0),"")</f>
        <v/>
      </c>
      <c r="AV706" s="448" t="str">
        <f>_xlfn.IFNA(VLOOKUP($AP706,Programma!$F$3:$L$1101,7,0),"")</f>
        <v/>
      </c>
      <c r="AW706" s="448" t="str">
        <f>_xlfn.IFNA(VLOOKUP($AP706,Programma!$F$3:$M$1101,8,0),"")</f>
        <v/>
      </c>
      <c r="AX706" s="448" t="str">
        <f>_xlfn.IFNA(VLOOKUP($AP706,Programma!$F$3:$N$1101,9,0),"")</f>
        <v/>
      </c>
      <c r="AY706" s="448" t="str">
        <f>_xlfn.IFNA(VLOOKUP($AP706,Programma!$F$3:$O$1101,10,0),"")</f>
        <v/>
      </c>
      <c r="AZ706" s="448" t="str">
        <f>_xlfn.IFNA(VLOOKUP($AP706,Programma!$F$3:$P$1101,11,0),"")</f>
        <v/>
      </c>
      <c r="BA706" s="448" t="str">
        <f>_xlfn.IFNA(VLOOKUP($AP706,Programma!$F$3:$Q$1101,12,0),"")</f>
        <v/>
      </c>
      <c r="BB706" s="448" t="str">
        <f>_xlfn.IFNA(VLOOKUP($AP706,Programma!$F$3:$R$1101,13,0),"")</f>
        <v/>
      </c>
      <c r="BC706" s="448" t="str">
        <f>_xlfn.IFNA(VLOOKUP($AP706,Programma!$F$3:$S$1101,14,0),"")</f>
        <v/>
      </c>
      <c r="BD706" s="448" t="str">
        <f>_xlfn.IFNA(VLOOKUP($AP706,Programma!$F$3:$T$1101,15,0),"")</f>
        <v/>
      </c>
      <c r="BE706" s="448" t="str">
        <f>_xlfn.IFNA(VLOOKUP($AP706,Programma!$F$3:$U$1101,16,0),"")</f>
        <v/>
      </c>
      <c r="BF706" s="448" t="str">
        <f>_xlfn.IFNA(VLOOKUP($AP706,Programma!$F$3:$V$1101,17,0),"")</f>
        <v/>
      </c>
      <c r="BG706" s="448" t="str">
        <f>_xlfn.IFNA(VLOOKUP($AP706,Programma!$F$3:$W$1101,18,0),"")</f>
        <v/>
      </c>
      <c r="BH706" s="448" t="str">
        <f>_xlfn.IFNA(VLOOKUP($AP706,Programma!$F$3:$X$1101,19,0),"")</f>
        <v/>
      </c>
      <c r="BI706" s="448" t="str">
        <f>_xlfn.IFNA(VLOOKUP($AP706,Programma!$F$3:$Y$1101,20,0),"")</f>
        <v/>
      </c>
      <c r="BJ706" s="449"/>
      <c r="BK706" s="446" t="str">
        <f>IF(Ruimtestaat[[#This Row],[Frequentie weekend]]="","",_xlfn.CONCAT(Ruimtestaat[[#This Row],[Ruimte code]],"-",Ruimtestaat[[#This Row],[Frequentie weekend]]," ",Ruimtestaat[[#This Row],[Vloer code]]))</f>
        <v/>
      </c>
      <c r="BL706" s="448" t="str">
        <f>_xlfn.IFNA(VLOOKUP($BK706,Programma!$F$3:$G$1101,2,0),"")</f>
        <v/>
      </c>
      <c r="BM706" s="448" t="str">
        <f>_xlfn.IFNA(VLOOKUP($BK706,Programma!$F$3:$H$1101,3,0),"")</f>
        <v/>
      </c>
      <c r="BN706" s="448" t="str">
        <f>_xlfn.IFNA(VLOOKUP($BK706,Programma!$F$3:$I$1101,4,0),"")</f>
        <v/>
      </c>
      <c r="BO706" s="448" t="str">
        <f>_xlfn.IFNA(VLOOKUP($BK706,Programma!$F$3:$J$1101,5,0),"")</f>
        <v/>
      </c>
      <c r="BP706" s="448" t="str">
        <f>_xlfn.IFNA(VLOOKUP($BK706,Programma!$F$3:$K$1101,6,0),"")</f>
        <v/>
      </c>
      <c r="BQ706" s="448" t="str">
        <f>_xlfn.IFNA(VLOOKUP($BK706,Programma!$F$3:$L$1101,7,0),"")</f>
        <v/>
      </c>
      <c r="BR706" s="448" t="str">
        <f>_xlfn.IFNA(VLOOKUP($BK706,Programma!$F$3:$M$1101,8,0),"")</f>
        <v/>
      </c>
      <c r="BS706" s="448" t="str">
        <f>_xlfn.IFNA(VLOOKUP($BK706,Programma!$F$3:$N$1101,9,0),"")</f>
        <v/>
      </c>
      <c r="BT706" s="448" t="str">
        <f>_xlfn.IFNA(VLOOKUP($BK706,Programma!$F$3:$O$1101,10,0),"")</f>
        <v/>
      </c>
      <c r="BU706" s="448" t="str">
        <f>_xlfn.IFNA(VLOOKUP($BK706,Programma!$F$3:$P$1101,11,0),"")</f>
        <v/>
      </c>
      <c r="BV706" s="448" t="str">
        <f>_xlfn.IFNA(VLOOKUP($BK706,Programma!$F$3:$Q$1101,12,0),"")</f>
        <v/>
      </c>
      <c r="BW706" s="448" t="str">
        <f>_xlfn.IFNA(VLOOKUP($BK706,Programma!$F$3:$R$1101,13,0),"")</f>
        <v/>
      </c>
      <c r="BX706" s="448" t="str">
        <f>_xlfn.IFNA(VLOOKUP($BK706,Programma!$F$3:$S$1101,14,0),"")</f>
        <v/>
      </c>
      <c r="BY706" s="448" t="str">
        <f>_xlfn.IFNA(VLOOKUP($BK706,Programma!$F$3:$T$1101,15,0),"")</f>
        <v/>
      </c>
      <c r="BZ706" s="448" t="str">
        <f>_xlfn.IFNA(VLOOKUP($BK706,Programma!$F$3:$U$1101,16,0),"")</f>
        <v/>
      </c>
      <c r="CA706" s="448" t="str">
        <f>_xlfn.IFNA(VLOOKUP($BK706,Programma!$F$3:$V$1101,17,0),"")</f>
        <v/>
      </c>
      <c r="CB706" s="448" t="str">
        <f>_xlfn.IFNA(VLOOKUP($BK706,Programma!$F$3:$W$1101,18,0),"")</f>
        <v/>
      </c>
      <c r="CC706" s="448" t="str">
        <f>_xlfn.IFNA(VLOOKUP($BK706,Programma!$F$3:$X$1101,19,0),"")</f>
        <v/>
      </c>
      <c r="CD706" s="448" t="str">
        <f>_xlfn.IFNA(VLOOKUP($BK706,Programma!$F$3:$Y$1101,20,0),"")</f>
        <v/>
      </c>
    </row>
    <row r="707" spans="1:82" ht="15" customHeight="1">
      <c r="A707" s="327">
        <v>15</v>
      </c>
      <c r="B707" s="435" t="str">
        <f>VLOOKUP(Ruimtestaat[[#This Row],[Code]],Locaties[[Code]:[Locatie]],2,FALSE)</f>
        <v>IKC  Da Vinci</v>
      </c>
      <c r="C707" s="435" t="str">
        <f>VLOOKUP(Ruimtestaat[[#This Row],[Code]],Locaties[[#All],[Code]:[Adres]],4,FALSE)</f>
        <v>Spitsbergen 17</v>
      </c>
      <c r="D707" s="435" t="str">
        <f>VLOOKUP(Ruimtestaat[[#This Row],[Code]],Locaties[[#All],[Code]:[Postcode]],5,FALSE)</f>
        <v>2721 GP</v>
      </c>
      <c r="E707" s="435" t="str">
        <f>VLOOKUP(Ruimtestaat[[#This Row],[Code]],Locaties[#All],6,FALSE)</f>
        <v>Zoetermeer</v>
      </c>
      <c r="F707" s="330" t="s">
        <v>2154</v>
      </c>
      <c r="I707" s="450" t="s">
        <v>1986</v>
      </c>
      <c r="J707" s="330">
        <v>20</v>
      </c>
      <c r="K707" s="450" t="str">
        <f>VLOOKUP(Ruimtestaat[[#This Row],[Ruimte code]],Ruimtegroepen[[#All],[Code]:[Ruimte omschrijving]],2,FALSE)</f>
        <v>Niet in Onderhoud</v>
      </c>
      <c r="M707" s="330"/>
      <c r="N707" s="439"/>
      <c r="O707" s="439">
        <v>4</v>
      </c>
      <c r="P707" s="439"/>
      <c r="Q707" s="439"/>
      <c r="R707" s="440">
        <f>VLOOKUP(Ruimtestaat[[#This Row],[Ruimte code]],Ruimtegroepen[],4,FALSE)</f>
        <v>0</v>
      </c>
      <c r="S707" s="434"/>
      <c r="T707" s="434"/>
      <c r="U707" s="453">
        <f>IF(S707&gt;0,IF(RIGHT(Ruimtestaat[[#This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7" s="434">
        <f>IF(U707&gt;0,VLOOKUP($J707,Ruimtegroepen[],3,FALSE)*VLOOKUP($L707,Vloersoorten[],3,FALSE)*VLOOKUP($T707,Frequenties[],3,FALSE)*VLOOKUP($A707,Locaties[],3,FALSE),0)</f>
        <v>0</v>
      </c>
      <c r="W707" s="434">
        <f>Ruimtestaat[[#This Row],[Uitvoeringen werkdagen]]*Ruimtestaat[[#This Row],[Oppervlak (netto)]]</f>
        <v>0</v>
      </c>
      <c r="X707" s="441">
        <f>IF(V707&gt;0,Ruimtestaat[[#This Row],[Prest. (m2 /jaar) werkdagen]]/Ruimtestaat[[#This Row],[Norm (m2/uur) werkdagen]],0)</f>
        <v>0</v>
      </c>
      <c r="Y707" s="442">
        <f>Ruimtestaat[[#This Row],[Uitvoeringen werkdagen]]*Ruimtestaat[[#This Row],[Gedeeltelijk]]</f>
        <v>0</v>
      </c>
      <c r="Z707" s="443">
        <f>IF(U707&gt;0,Ruimtestaat[[#This Row],[Prest. (m2 / jaar) werkdagen gedeeld]]/Ruimtestaat[[#This Row],[Norm (m2/uur) werkdagen]],0)</f>
        <v>0</v>
      </c>
      <c r="AA707" s="441">
        <f>Ruimtestaat[[#This Row],[uren / jaar werkdagen gedeeld]]*Tariefsopbouw!$E$35</f>
        <v>0</v>
      </c>
      <c r="AB707" s="441">
        <f>Ruimtestaat[[#This Row],[Uitvoeringen werkdagen]]*Ruimtestaat[[#This Row],[BSO]]</f>
        <v>0</v>
      </c>
      <c r="AC707" s="443">
        <f>IF(U707&gt;0,Ruimtestaat[[#This Row],[Prest. (m2 / jaar) werkdagen BSO]]/Ruimtestaat[[#This Row],[Norm (m2/uur) werkdagen]],0)</f>
        <v>0</v>
      </c>
      <c r="AD707" s="443">
        <f>Ruimtestaat[[#This Row],[uren / jaar werkdagen BSO]]*Tariefsopbouw!$E$35</f>
        <v>0</v>
      </c>
      <c r="AE707" s="444">
        <f>Ruimtestaat[[#This Row],[uren / jaar werkdagen]]*Tariefsopbouw!$E$35</f>
        <v>0</v>
      </c>
      <c r="AF707" s="454"/>
      <c r="AG707" s="455">
        <f>IF(Ruimtestaat[[#This Row],[Frequentie weekend]]&gt;0,VALUE(LEFT(AF707,1))*S707,0)</f>
        <v>0</v>
      </c>
      <c r="AH707" s="455">
        <f>IF($AG707&gt;0,VLOOKUP($J707,Ruimtegroepen[],3,FALSE)*VLOOKUP($L707,Vloersoorten[],3,FALSE)*VLOOKUP($AF707,Frequenties[],3,FALSE)*VLOOKUP(#REF!,Locaties[],3,FALSE),0)</f>
        <v>0</v>
      </c>
      <c r="AI707" s="434">
        <f>Ruimtestaat[[#This Row],[Uitvoeringen weekend]]*Ruimtestaat[[#This Row],[Oppervlak (netto)]]</f>
        <v>0</v>
      </c>
      <c r="AJ707" s="434">
        <f>IF(AH707&gt;0,Ruimtestaat[[#This Row],[Prest. (m2 /jaar) weekend]]/Ruimtestaat[[#This Row],[Norm (m2/uur) weekend]],0)</f>
        <v>0</v>
      </c>
      <c r="AK707" s="444">
        <f>Ruimtestaat[[#This Row],[uren / jaar weekend]]*Tariefsopbouw!$D$40</f>
        <v>0</v>
      </c>
      <c r="AL707" s="441">
        <f>Ruimtestaat[[#This Row],[Prest. (m2 /jaar) weekend]]+Ruimtestaat[[#This Row],[Prest. (m2 /jaar) werkdagen]]</f>
        <v>0</v>
      </c>
      <c r="AM707" s="441">
        <f>Ruimtestaat[[#This Row],[uren / jaar weekend]]+Ruimtestaat[[#This Row],[uren / jaar werkdagen]]</f>
        <v>0</v>
      </c>
      <c r="AN707" s="446">
        <f>Ruimtestaat[[#This Row],[kosten / jaar weekend]]+Ruimtestaat[[#This Row],[kosten / jaar werkdagen]]</f>
        <v>0</v>
      </c>
      <c r="AO707" s="446"/>
      <c r="AP707" s="446" t="str">
        <f>IF(Ruimtestaat[[#This Row],[Frequentie werkdagen]]="","",_xlfn.CONCAT(Ruimtestaat[[#This Row],[Ruimte code]],"-",Ruimtestaat[[#This Row],[Frequentie werkdagen]]," ",Ruimtestaat[[#This Row],[Vloer code]]))</f>
        <v/>
      </c>
      <c r="AQ707" s="448" t="str">
        <f>_xlfn.IFNA(VLOOKUP($AP707,Programma!$F$3:$G$1101,2,0),"")</f>
        <v/>
      </c>
      <c r="AR707" s="448" t="str">
        <f>_xlfn.IFNA(VLOOKUP($AP707,Programma!$F$3:$H$1101,3,0),"")</f>
        <v/>
      </c>
      <c r="AS707" s="448" t="str">
        <f>_xlfn.IFNA(VLOOKUP($AP707,Programma!$F$3:$I$1101,4,0),"")</f>
        <v/>
      </c>
      <c r="AT707" s="448" t="str">
        <f>_xlfn.IFNA(VLOOKUP($AP707,Programma!$F$3:$J$1101,5,0),"")</f>
        <v/>
      </c>
      <c r="AU707" s="448" t="str">
        <f>_xlfn.IFNA(VLOOKUP($AP707,Programma!$F$3:$K$1101,6,0),"")</f>
        <v/>
      </c>
      <c r="AV707" s="448" t="str">
        <f>_xlfn.IFNA(VLOOKUP($AP707,Programma!$F$3:$L$1101,7,0),"")</f>
        <v/>
      </c>
      <c r="AW707" s="448" t="str">
        <f>_xlfn.IFNA(VLOOKUP($AP707,Programma!$F$3:$M$1101,8,0),"")</f>
        <v/>
      </c>
      <c r="AX707" s="448" t="str">
        <f>_xlfn.IFNA(VLOOKUP($AP707,Programma!$F$3:$N$1101,9,0),"")</f>
        <v/>
      </c>
      <c r="AY707" s="448" t="str">
        <f>_xlfn.IFNA(VLOOKUP($AP707,Programma!$F$3:$O$1101,10,0),"")</f>
        <v/>
      </c>
      <c r="AZ707" s="448" t="str">
        <f>_xlfn.IFNA(VLOOKUP($AP707,Programma!$F$3:$P$1101,11,0),"")</f>
        <v/>
      </c>
      <c r="BA707" s="448" t="str">
        <f>_xlfn.IFNA(VLOOKUP($AP707,Programma!$F$3:$Q$1101,12,0),"")</f>
        <v/>
      </c>
      <c r="BB707" s="448" t="str">
        <f>_xlfn.IFNA(VLOOKUP($AP707,Programma!$F$3:$R$1101,13,0),"")</f>
        <v/>
      </c>
      <c r="BC707" s="448" t="str">
        <f>_xlfn.IFNA(VLOOKUP($AP707,Programma!$F$3:$S$1101,14,0),"")</f>
        <v/>
      </c>
      <c r="BD707" s="448" t="str">
        <f>_xlfn.IFNA(VLOOKUP($AP707,Programma!$F$3:$T$1101,15,0),"")</f>
        <v/>
      </c>
      <c r="BE707" s="448" t="str">
        <f>_xlfn.IFNA(VLOOKUP($AP707,Programma!$F$3:$U$1101,16,0),"")</f>
        <v/>
      </c>
      <c r="BF707" s="448" t="str">
        <f>_xlfn.IFNA(VLOOKUP($AP707,Programma!$F$3:$V$1101,17,0),"")</f>
        <v/>
      </c>
      <c r="BG707" s="448" t="str">
        <f>_xlfn.IFNA(VLOOKUP($AP707,Programma!$F$3:$W$1101,18,0),"")</f>
        <v/>
      </c>
      <c r="BH707" s="448" t="str">
        <f>_xlfn.IFNA(VLOOKUP($AP707,Programma!$F$3:$X$1101,19,0),"")</f>
        <v/>
      </c>
      <c r="BI707" s="448" t="str">
        <f>_xlfn.IFNA(VLOOKUP($AP707,Programma!$F$3:$Y$1101,20,0),"")</f>
        <v/>
      </c>
      <c r="BJ707" s="449"/>
      <c r="BK707" s="446" t="str">
        <f>IF(Ruimtestaat[[#This Row],[Frequentie weekend]]="","",_xlfn.CONCAT(Ruimtestaat[[#This Row],[Ruimte code]],"-",Ruimtestaat[[#This Row],[Frequentie weekend]]," ",Ruimtestaat[[#This Row],[Vloer code]]))</f>
        <v/>
      </c>
      <c r="BL707" s="448" t="str">
        <f>_xlfn.IFNA(VLOOKUP($BK707,Programma!$F$3:$G$1101,2,0),"")</f>
        <v/>
      </c>
      <c r="BM707" s="448" t="str">
        <f>_xlfn.IFNA(VLOOKUP($BK707,Programma!$F$3:$H$1101,3,0),"")</f>
        <v/>
      </c>
      <c r="BN707" s="448" t="str">
        <f>_xlfn.IFNA(VLOOKUP($BK707,Programma!$F$3:$I$1101,4,0),"")</f>
        <v/>
      </c>
      <c r="BO707" s="448" t="str">
        <f>_xlfn.IFNA(VLOOKUP($BK707,Programma!$F$3:$J$1101,5,0),"")</f>
        <v/>
      </c>
      <c r="BP707" s="448" t="str">
        <f>_xlfn.IFNA(VLOOKUP($BK707,Programma!$F$3:$K$1101,6,0),"")</f>
        <v/>
      </c>
      <c r="BQ707" s="448" t="str">
        <f>_xlfn.IFNA(VLOOKUP($BK707,Programma!$F$3:$L$1101,7,0),"")</f>
        <v/>
      </c>
      <c r="BR707" s="448" t="str">
        <f>_xlfn.IFNA(VLOOKUP($BK707,Programma!$F$3:$M$1101,8,0),"")</f>
        <v/>
      </c>
      <c r="BS707" s="448" t="str">
        <f>_xlfn.IFNA(VLOOKUP($BK707,Programma!$F$3:$N$1101,9,0),"")</f>
        <v/>
      </c>
      <c r="BT707" s="448" t="str">
        <f>_xlfn.IFNA(VLOOKUP($BK707,Programma!$F$3:$O$1101,10,0),"")</f>
        <v/>
      </c>
      <c r="BU707" s="448" t="str">
        <f>_xlfn.IFNA(VLOOKUP($BK707,Programma!$F$3:$P$1101,11,0),"")</f>
        <v/>
      </c>
      <c r="BV707" s="448" t="str">
        <f>_xlfn.IFNA(VLOOKUP($BK707,Programma!$F$3:$Q$1101,12,0),"")</f>
        <v/>
      </c>
      <c r="BW707" s="448" t="str">
        <f>_xlfn.IFNA(VLOOKUP($BK707,Programma!$F$3:$R$1101,13,0),"")</f>
        <v/>
      </c>
      <c r="BX707" s="448" t="str">
        <f>_xlfn.IFNA(VLOOKUP($BK707,Programma!$F$3:$S$1101,14,0),"")</f>
        <v/>
      </c>
      <c r="BY707" s="448" t="str">
        <f>_xlfn.IFNA(VLOOKUP($BK707,Programma!$F$3:$T$1101,15,0),"")</f>
        <v/>
      </c>
      <c r="BZ707" s="448" t="str">
        <f>_xlfn.IFNA(VLOOKUP($BK707,Programma!$F$3:$U$1101,16,0),"")</f>
        <v/>
      </c>
      <c r="CA707" s="448" t="str">
        <f>_xlfn.IFNA(VLOOKUP($BK707,Programma!$F$3:$V$1101,17,0),"")</f>
        <v/>
      </c>
      <c r="CB707" s="448" t="str">
        <f>_xlfn.IFNA(VLOOKUP($BK707,Programma!$F$3:$W$1101,18,0),"")</f>
        <v/>
      </c>
      <c r="CC707" s="448" t="str">
        <f>_xlfn.IFNA(VLOOKUP($BK707,Programma!$F$3:$X$1101,19,0),"")</f>
        <v/>
      </c>
      <c r="CD707" s="448" t="str">
        <f>_xlfn.IFNA(VLOOKUP($BK707,Programma!$F$3:$Y$1101,20,0),"")</f>
        <v/>
      </c>
    </row>
    <row r="708" spans="1:82" ht="15" customHeight="1">
      <c r="A708" s="327">
        <v>15</v>
      </c>
      <c r="B708" s="435" t="str">
        <f>VLOOKUP(Ruimtestaat[[#This Row],[Code]],Locaties[[Code]:[Locatie]],2,FALSE)</f>
        <v>IKC  Da Vinci</v>
      </c>
      <c r="C708" s="435" t="str">
        <f>VLOOKUP(Ruimtestaat[[#This Row],[Code]],Locaties[[#All],[Code]:[Adres]],4,FALSE)</f>
        <v>Spitsbergen 17</v>
      </c>
      <c r="D708" s="435" t="str">
        <f>VLOOKUP(Ruimtestaat[[#This Row],[Code]],Locaties[[#All],[Code]:[Postcode]],5,FALSE)</f>
        <v>2721 GP</v>
      </c>
      <c r="E708" s="435" t="str">
        <f>VLOOKUP(Ruimtestaat[[#This Row],[Code]],Locaties[#All],6,FALSE)</f>
        <v>Zoetermeer</v>
      </c>
      <c r="F708" s="330" t="s">
        <v>2154</v>
      </c>
      <c r="I708" s="450" t="s">
        <v>1986</v>
      </c>
      <c r="J708" s="330">
        <v>20</v>
      </c>
      <c r="K708" s="450" t="str">
        <f>VLOOKUP(Ruimtestaat[[#This Row],[Ruimte code]],Ruimtegroepen[[#All],[Code]:[Ruimte omschrijving]],2,FALSE)</f>
        <v>Niet in Onderhoud</v>
      </c>
      <c r="M708" s="330"/>
      <c r="N708" s="439"/>
      <c r="O708" s="439">
        <v>5</v>
      </c>
      <c r="P708" s="439"/>
      <c r="Q708" s="439"/>
      <c r="R708" s="440">
        <f>VLOOKUP(Ruimtestaat[[#This Row],[Ruimte code]],Ruimtegroepen[],4,FALSE)</f>
        <v>0</v>
      </c>
      <c r="S708" s="434"/>
      <c r="T708" s="434"/>
      <c r="U708" s="453">
        <f>IF(S708&gt;0,IF(RIGHT(Ruimtestaat[[#This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8" s="434">
        <f>IF(U708&gt;0,VLOOKUP($J708,Ruimtegroepen[],3,FALSE)*VLOOKUP($L708,Vloersoorten[],3,FALSE)*VLOOKUP($T708,Frequenties[],3,FALSE)*VLOOKUP($A708,Locaties[],3,FALSE),0)</f>
        <v>0</v>
      </c>
      <c r="W708" s="434">
        <f>Ruimtestaat[[#This Row],[Uitvoeringen werkdagen]]*Ruimtestaat[[#This Row],[Oppervlak (netto)]]</f>
        <v>0</v>
      </c>
      <c r="X708" s="441">
        <f>IF(V708&gt;0,Ruimtestaat[[#This Row],[Prest. (m2 /jaar) werkdagen]]/Ruimtestaat[[#This Row],[Norm (m2/uur) werkdagen]],0)</f>
        <v>0</v>
      </c>
      <c r="Y708" s="442">
        <f>Ruimtestaat[[#This Row],[Uitvoeringen werkdagen]]*Ruimtestaat[[#This Row],[Gedeeltelijk]]</f>
        <v>0</v>
      </c>
      <c r="Z708" s="443">
        <f>IF(U708&gt;0,Ruimtestaat[[#This Row],[Prest. (m2 / jaar) werkdagen gedeeld]]/Ruimtestaat[[#This Row],[Norm (m2/uur) werkdagen]],0)</f>
        <v>0</v>
      </c>
      <c r="AA708" s="441">
        <f>Ruimtestaat[[#This Row],[uren / jaar werkdagen gedeeld]]*Tariefsopbouw!$E$35</f>
        <v>0</v>
      </c>
      <c r="AB708" s="441">
        <f>Ruimtestaat[[#This Row],[Uitvoeringen werkdagen]]*Ruimtestaat[[#This Row],[BSO]]</f>
        <v>0</v>
      </c>
      <c r="AC708" s="443">
        <f>IF(U708&gt;0,Ruimtestaat[[#This Row],[Prest. (m2 / jaar) werkdagen BSO]]/Ruimtestaat[[#This Row],[Norm (m2/uur) werkdagen]],0)</f>
        <v>0</v>
      </c>
      <c r="AD708" s="443">
        <f>Ruimtestaat[[#This Row],[uren / jaar werkdagen BSO]]*Tariefsopbouw!$E$35</f>
        <v>0</v>
      </c>
      <c r="AE708" s="444">
        <f>Ruimtestaat[[#This Row],[uren / jaar werkdagen]]*Tariefsopbouw!$E$35</f>
        <v>0</v>
      </c>
      <c r="AF708" s="454"/>
      <c r="AG708" s="455">
        <f>IF(Ruimtestaat[[#This Row],[Frequentie weekend]]&gt;0,VALUE(LEFT(AF708,1))*S708,0)</f>
        <v>0</v>
      </c>
      <c r="AH708" s="455">
        <f>IF($AG708&gt;0,VLOOKUP($J708,Ruimtegroepen[],3,FALSE)*VLOOKUP($L708,Vloersoorten[],3,FALSE)*VLOOKUP($AF708,Frequenties[],3,FALSE)*VLOOKUP(#REF!,Locaties[],3,FALSE),0)</f>
        <v>0</v>
      </c>
      <c r="AI708" s="434">
        <f>Ruimtestaat[[#This Row],[Uitvoeringen weekend]]*Ruimtestaat[[#This Row],[Oppervlak (netto)]]</f>
        <v>0</v>
      </c>
      <c r="AJ708" s="434">
        <f>IF(AH708&gt;0,Ruimtestaat[[#This Row],[Prest. (m2 /jaar) weekend]]/Ruimtestaat[[#This Row],[Norm (m2/uur) weekend]],0)</f>
        <v>0</v>
      </c>
      <c r="AK708" s="444">
        <f>Ruimtestaat[[#This Row],[uren / jaar weekend]]*Tariefsopbouw!$D$40</f>
        <v>0</v>
      </c>
      <c r="AL708" s="441">
        <f>Ruimtestaat[[#This Row],[Prest. (m2 /jaar) weekend]]+Ruimtestaat[[#This Row],[Prest. (m2 /jaar) werkdagen]]</f>
        <v>0</v>
      </c>
      <c r="AM708" s="441">
        <f>Ruimtestaat[[#This Row],[uren / jaar weekend]]+Ruimtestaat[[#This Row],[uren / jaar werkdagen]]</f>
        <v>0</v>
      </c>
      <c r="AN708" s="446">
        <f>Ruimtestaat[[#This Row],[kosten / jaar weekend]]+Ruimtestaat[[#This Row],[kosten / jaar werkdagen]]</f>
        <v>0</v>
      </c>
      <c r="AO708" s="446"/>
      <c r="AP708" s="446" t="str">
        <f>IF(Ruimtestaat[[#This Row],[Frequentie werkdagen]]="","",_xlfn.CONCAT(Ruimtestaat[[#This Row],[Ruimte code]],"-",Ruimtestaat[[#This Row],[Frequentie werkdagen]]," ",Ruimtestaat[[#This Row],[Vloer code]]))</f>
        <v/>
      </c>
      <c r="AQ708" s="448" t="str">
        <f>_xlfn.IFNA(VLOOKUP($AP708,Programma!$F$3:$G$1101,2,0),"")</f>
        <v/>
      </c>
      <c r="AR708" s="448" t="str">
        <f>_xlfn.IFNA(VLOOKUP($AP708,Programma!$F$3:$H$1101,3,0),"")</f>
        <v/>
      </c>
      <c r="AS708" s="448" t="str">
        <f>_xlfn.IFNA(VLOOKUP($AP708,Programma!$F$3:$I$1101,4,0),"")</f>
        <v/>
      </c>
      <c r="AT708" s="448" t="str">
        <f>_xlfn.IFNA(VLOOKUP($AP708,Programma!$F$3:$J$1101,5,0),"")</f>
        <v/>
      </c>
      <c r="AU708" s="448" t="str">
        <f>_xlfn.IFNA(VLOOKUP($AP708,Programma!$F$3:$K$1101,6,0),"")</f>
        <v/>
      </c>
      <c r="AV708" s="448" t="str">
        <f>_xlfn.IFNA(VLOOKUP($AP708,Programma!$F$3:$L$1101,7,0),"")</f>
        <v/>
      </c>
      <c r="AW708" s="448" t="str">
        <f>_xlfn.IFNA(VLOOKUP($AP708,Programma!$F$3:$M$1101,8,0),"")</f>
        <v/>
      </c>
      <c r="AX708" s="448" t="str">
        <f>_xlfn.IFNA(VLOOKUP($AP708,Programma!$F$3:$N$1101,9,0),"")</f>
        <v/>
      </c>
      <c r="AY708" s="448" t="str">
        <f>_xlfn.IFNA(VLOOKUP($AP708,Programma!$F$3:$O$1101,10,0),"")</f>
        <v/>
      </c>
      <c r="AZ708" s="448" t="str">
        <f>_xlfn.IFNA(VLOOKUP($AP708,Programma!$F$3:$P$1101,11,0),"")</f>
        <v/>
      </c>
      <c r="BA708" s="448" t="str">
        <f>_xlfn.IFNA(VLOOKUP($AP708,Programma!$F$3:$Q$1101,12,0),"")</f>
        <v/>
      </c>
      <c r="BB708" s="448" t="str">
        <f>_xlfn.IFNA(VLOOKUP($AP708,Programma!$F$3:$R$1101,13,0),"")</f>
        <v/>
      </c>
      <c r="BC708" s="448" t="str">
        <f>_xlfn.IFNA(VLOOKUP($AP708,Programma!$F$3:$S$1101,14,0),"")</f>
        <v/>
      </c>
      <c r="BD708" s="448" t="str">
        <f>_xlfn.IFNA(VLOOKUP($AP708,Programma!$F$3:$T$1101,15,0),"")</f>
        <v/>
      </c>
      <c r="BE708" s="448" t="str">
        <f>_xlfn.IFNA(VLOOKUP($AP708,Programma!$F$3:$U$1101,16,0),"")</f>
        <v/>
      </c>
      <c r="BF708" s="448" t="str">
        <f>_xlfn.IFNA(VLOOKUP($AP708,Programma!$F$3:$V$1101,17,0),"")</f>
        <v/>
      </c>
      <c r="BG708" s="448" t="str">
        <f>_xlfn.IFNA(VLOOKUP($AP708,Programma!$F$3:$W$1101,18,0),"")</f>
        <v/>
      </c>
      <c r="BH708" s="448" t="str">
        <f>_xlfn.IFNA(VLOOKUP($AP708,Programma!$F$3:$X$1101,19,0),"")</f>
        <v/>
      </c>
      <c r="BI708" s="448" t="str">
        <f>_xlfn.IFNA(VLOOKUP($AP708,Programma!$F$3:$Y$1101,20,0),"")</f>
        <v/>
      </c>
      <c r="BJ708" s="449"/>
      <c r="BK708" s="446" t="str">
        <f>IF(Ruimtestaat[[#This Row],[Frequentie weekend]]="","",_xlfn.CONCAT(Ruimtestaat[[#This Row],[Ruimte code]],"-",Ruimtestaat[[#This Row],[Frequentie weekend]]," ",Ruimtestaat[[#This Row],[Vloer code]]))</f>
        <v/>
      </c>
      <c r="BL708" s="448" t="str">
        <f>_xlfn.IFNA(VLOOKUP($BK708,Programma!$F$3:$G$1101,2,0),"")</f>
        <v/>
      </c>
      <c r="BM708" s="448" t="str">
        <f>_xlfn.IFNA(VLOOKUP($BK708,Programma!$F$3:$H$1101,3,0),"")</f>
        <v/>
      </c>
      <c r="BN708" s="448" t="str">
        <f>_xlfn.IFNA(VLOOKUP($BK708,Programma!$F$3:$I$1101,4,0),"")</f>
        <v/>
      </c>
      <c r="BO708" s="448" t="str">
        <f>_xlfn.IFNA(VLOOKUP($BK708,Programma!$F$3:$J$1101,5,0),"")</f>
        <v/>
      </c>
      <c r="BP708" s="448" t="str">
        <f>_xlfn.IFNA(VLOOKUP($BK708,Programma!$F$3:$K$1101,6,0),"")</f>
        <v/>
      </c>
      <c r="BQ708" s="448" t="str">
        <f>_xlfn.IFNA(VLOOKUP($BK708,Programma!$F$3:$L$1101,7,0),"")</f>
        <v/>
      </c>
      <c r="BR708" s="448" t="str">
        <f>_xlfn.IFNA(VLOOKUP($BK708,Programma!$F$3:$M$1101,8,0),"")</f>
        <v/>
      </c>
      <c r="BS708" s="448" t="str">
        <f>_xlfn.IFNA(VLOOKUP($BK708,Programma!$F$3:$N$1101,9,0),"")</f>
        <v/>
      </c>
      <c r="BT708" s="448" t="str">
        <f>_xlfn.IFNA(VLOOKUP($BK708,Programma!$F$3:$O$1101,10,0),"")</f>
        <v/>
      </c>
      <c r="BU708" s="448" t="str">
        <f>_xlfn.IFNA(VLOOKUP($BK708,Programma!$F$3:$P$1101,11,0),"")</f>
        <v/>
      </c>
      <c r="BV708" s="448" t="str">
        <f>_xlfn.IFNA(VLOOKUP($BK708,Programma!$F$3:$Q$1101,12,0),"")</f>
        <v/>
      </c>
      <c r="BW708" s="448" t="str">
        <f>_xlfn.IFNA(VLOOKUP($BK708,Programma!$F$3:$R$1101,13,0),"")</f>
        <v/>
      </c>
      <c r="BX708" s="448" t="str">
        <f>_xlfn.IFNA(VLOOKUP($BK708,Programma!$F$3:$S$1101,14,0),"")</f>
        <v/>
      </c>
      <c r="BY708" s="448" t="str">
        <f>_xlfn.IFNA(VLOOKUP($BK708,Programma!$F$3:$T$1101,15,0),"")</f>
        <v/>
      </c>
      <c r="BZ708" s="448" t="str">
        <f>_xlfn.IFNA(VLOOKUP($BK708,Programma!$F$3:$U$1101,16,0),"")</f>
        <v/>
      </c>
      <c r="CA708" s="448" t="str">
        <f>_xlfn.IFNA(VLOOKUP($BK708,Programma!$F$3:$V$1101,17,0),"")</f>
        <v/>
      </c>
      <c r="CB708" s="448" t="str">
        <f>_xlfn.IFNA(VLOOKUP($BK708,Programma!$F$3:$W$1101,18,0),"")</f>
        <v/>
      </c>
      <c r="CC708" s="448" t="str">
        <f>_xlfn.IFNA(VLOOKUP($BK708,Programma!$F$3:$X$1101,19,0),"")</f>
        <v/>
      </c>
      <c r="CD708" s="448" t="str">
        <f>_xlfn.IFNA(VLOOKUP($BK708,Programma!$F$3:$Y$1101,20,0),"")</f>
        <v/>
      </c>
    </row>
    <row r="709" spans="1:82" ht="15" customHeight="1">
      <c r="A709" s="327">
        <v>15</v>
      </c>
      <c r="B709" s="435" t="str">
        <f>VLOOKUP(Ruimtestaat[[#This Row],[Code]],Locaties[[Code]:[Locatie]],2,FALSE)</f>
        <v>IKC  Da Vinci</v>
      </c>
      <c r="C709" s="435" t="str">
        <f>VLOOKUP(Ruimtestaat[[#This Row],[Code]],Locaties[[#All],[Code]:[Adres]],4,FALSE)</f>
        <v>Spitsbergen 17</v>
      </c>
      <c r="D709" s="435" t="str">
        <f>VLOOKUP(Ruimtestaat[[#This Row],[Code]],Locaties[[#All],[Code]:[Postcode]],5,FALSE)</f>
        <v>2721 GP</v>
      </c>
      <c r="E709" s="435" t="str">
        <f>VLOOKUP(Ruimtestaat[[#This Row],[Code]],Locaties[#All],6,FALSE)</f>
        <v>Zoetermeer</v>
      </c>
      <c r="F709" s="330" t="s">
        <v>2154</v>
      </c>
      <c r="I709" s="450" t="s">
        <v>1986</v>
      </c>
      <c r="J709" s="330">
        <v>5</v>
      </c>
      <c r="K709" s="450" t="str">
        <f>VLOOKUP(Ruimtestaat[[#This Row],[Ruimte code]],Ruimtegroepen[[#All],[Code]:[Ruimte omschrijving]],2,FALSE)</f>
        <v>Sanitair</v>
      </c>
      <c r="L709" s="330" t="s">
        <v>101</v>
      </c>
      <c r="M709" s="437" t="s">
        <v>1816</v>
      </c>
      <c r="N709" s="439">
        <v>6</v>
      </c>
      <c r="O709" s="439"/>
      <c r="P709" s="439"/>
      <c r="Q709" s="439"/>
      <c r="R709" s="440" t="str">
        <f>VLOOKUP(Ruimtestaat[[#This Row],[Ruimte code]],Ruimtegroepen[],4,FALSE)</f>
        <v>Sa</v>
      </c>
      <c r="S709" s="434">
        <v>41</v>
      </c>
      <c r="T709" s="434" t="s">
        <v>2</v>
      </c>
      <c r="U709" s="453">
        <f>IF(S709&gt;0,IF(RIGHT(Ruimtestaat[[#This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09" s="434">
        <f>IF(U709&gt;0,VLOOKUP($J709,Ruimtegroepen[],3,FALSE)*VLOOKUP($L709,Vloersoorten[],3,FALSE)*VLOOKUP($T709,Frequenties[],3,FALSE)*VLOOKUP($A709,Locaties[],3,FALSE),0)</f>
        <v>0</v>
      </c>
      <c r="W709" s="434">
        <f>Ruimtestaat[[#This Row],[Uitvoeringen werkdagen]]*Ruimtestaat[[#This Row],[Oppervlak (netto)]]</f>
        <v>1230</v>
      </c>
      <c r="X709" s="441">
        <f>IF(V709&gt;0,Ruimtestaat[[#This Row],[Prest. (m2 /jaar) werkdagen]]/Ruimtestaat[[#This Row],[Norm (m2/uur) werkdagen]],0)</f>
        <v>0</v>
      </c>
      <c r="Y709" s="442">
        <f>Ruimtestaat[[#This Row],[Uitvoeringen werkdagen]]*Ruimtestaat[[#This Row],[Gedeeltelijk]]</f>
        <v>0</v>
      </c>
      <c r="Z709" s="443" t="e">
        <f>IF(U709&gt;0,Ruimtestaat[[#This Row],[Prest. (m2 / jaar) werkdagen gedeeld]]/Ruimtestaat[[#This Row],[Norm (m2/uur) werkdagen]],0)</f>
        <v>#DIV/0!</v>
      </c>
      <c r="AA709" s="441" t="e">
        <f>Ruimtestaat[[#This Row],[uren / jaar werkdagen gedeeld]]*Tariefsopbouw!$E$35</f>
        <v>#DIV/0!</v>
      </c>
      <c r="AB709" s="441">
        <f>Ruimtestaat[[#This Row],[Uitvoeringen werkdagen]]*Ruimtestaat[[#This Row],[BSO]]</f>
        <v>0</v>
      </c>
      <c r="AC709" s="443" t="e">
        <f>IF(U709&gt;0,Ruimtestaat[[#This Row],[Prest. (m2 / jaar) werkdagen BSO]]/Ruimtestaat[[#This Row],[Norm (m2/uur) werkdagen]],0)</f>
        <v>#DIV/0!</v>
      </c>
      <c r="AD709" s="443" t="e">
        <f>Ruimtestaat[[#This Row],[uren / jaar werkdagen BSO]]*Tariefsopbouw!$E$35</f>
        <v>#DIV/0!</v>
      </c>
      <c r="AE709" s="444">
        <f>Ruimtestaat[[#This Row],[uren / jaar werkdagen]]*Tariefsopbouw!$E$35</f>
        <v>0</v>
      </c>
      <c r="AF709" s="454"/>
      <c r="AG709" s="455">
        <f>IF(Ruimtestaat[[#This Row],[Frequentie weekend]]&gt;0,VALUE(LEFT(AF709,1))*S709,0)</f>
        <v>0</v>
      </c>
      <c r="AH709" s="455">
        <f>IF($AG709&gt;0,VLOOKUP($J709,Ruimtegroepen[],3,FALSE)*VLOOKUP($L709,Vloersoorten[],3,FALSE)*VLOOKUP($AF709,Frequenties[],3,FALSE)*VLOOKUP(#REF!,Locaties[],3,FALSE),0)</f>
        <v>0</v>
      </c>
      <c r="AI709" s="434">
        <f>Ruimtestaat[[#This Row],[Uitvoeringen weekend]]*Ruimtestaat[[#This Row],[Oppervlak (netto)]]</f>
        <v>0</v>
      </c>
      <c r="AJ709" s="434">
        <f>IF(AH709&gt;0,Ruimtestaat[[#This Row],[Prest. (m2 /jaar) weekend]]/Ruimtestaat[[#This Row],[Norm (m2/uur) weekend]],0)</f>
        <v>0</v>
      </c>
      <c r="AK709" s="444">
        <f>Ruimtestaat[[#This Row],[uren / jaar weekend]]*Tariefsopbouw!$D$40</f>
        <v>0</v>
      </c>
      <c r="AL709" s="441">
        <f>Ruimtestaat[[#This Row],[Prest. (m2 /jaar) weekend]]+Ruimtestaat[[#This Row],[Prest. (m2 /jaar) werkdagen]]</f>
        <v>1230</v>
      </c>
      <c r="AM709" s="441">
        <f>Ruimtestaat[[#This Row],[uren / jaar weekend]]+Ruimtestaat[[#This Row],[uren / jaar werkdagen]]</f>
        <v>0</v>
      </c>
      <c r="AN709" s="446">
        <f>Ruimtestaat[[#This Row],[kosten / jaar weekend]]+Ruimtestaat[[#This Row],[kosten / jaar werkdagen]]</f>
        <v>0</v>
      </c>
      <c r="AO709" s="446"/>
      <c r="AP709" s="446" t="str">
        <f>IF(Ruimtestaat[[#This Row],[Frequentie werkdagen]]="","",_xlfn.CONCAT(Ruimtestaat[[#This Row],[Ruimte code]],"-",Ruimtestaat[[#This Row],[Frequentie werkdagen]]," ",Ruimtestaat[[#This Row],[Vloer code]]))</f>
        <v>5-5w S</v>
      </c>
      <c r="AQ709" s="448" t="str">
        <f>_xlfn.IFNA(VLOOKUP($AP709,Programma!$F$3:$G$1101,2,0),"")</f>
        <v>_</v>
      </c>
      <c r="AR709" s="448" t="str">
        <f>_xlfn.IFNA(VLOOKUP($AP709,Programma!$F$3:$H$1101,3,0),"")</f>
        <v>_</v>
      </c>
      <c r="AS709" s="448" t="str">
        <f>_xlfn.IFNA(VLOOKUP($AP709,Programma!$F$3:$I$1101,4,0),"")</f>
        <v>_</v>
      </c>
      <c r="AT709" s="448" t="str">
        <f>_xlfn.IFNA(VLOOKUP($AP709,Programma!$F$3:$J$1101,5,0),"")</f>
        <v>4w</v>
      </c>
      <c r="AU709" s="448" t="str">
        <f>_xlfn.IFNA(VLOOKUP($AP709,Programma!$F$3:$K$1101,6,0),"")</f>
        <v>1w</v>
      </c>
      <c r="AV709" s="448" t="str">
        <f>_xlfn.IFNA(VLOOKUP($AP709,Programma!$F$3:$L$1101,7,0),"")</f>
        <v>_</v>
      </c>
      <c r="AW709" s="448" t="str">
        <f>_xlfn.IFNA(VLOOKUP($AP709,Programma!$F$3:$M$1101,8,0),"")</f>
        <v>_</v>
      </c>
      <c r="AX709" s="448" t="str">
        <f>_xlfn.IFNA(VLOOKUP($AP709,Programma!$F$3:$N$1101,9,0),"")</f>
        <v>_</v>
      </c>
      <c r="AY709" s="448" t="str">
        <f>_xlfn.IFNA(VLOOKUP($AP709,Programma!$F$3:$O$1101,10,0),"")</f>
        <v>_</v>
      </c>
      <c r="AZ709" s="448" t="str">
        <f>_xlfn.IFNA(VLOOKUP($AP709,Programma!$F$3:$P$1101,11,0),"")</f>
        <v>_</v>
      </c>
      <c r="BA709" s="448" t="str">
        <f>_xlfn.IFNA(VLOOKUP($AP709,Programma!$F$3:$Q$1101,12,0),"")</f>
        <v>_</v>
      </c>
      <c r="BB709" s="448" t="str">
        <f>_xlfn.IFNA(VLOOKUP($AP709,Programma!$F$3:$R$1101,13,0),"")</f>
        <v>_</v>
      </c>
      <c r="BC709" s="448" t="str">
        <f>_xlfn.IFNA(VLOOKUP($AP709,Programma!$F$3:$S$1101,14,0),"")</f>
        <v>_</v>
      </c>
      <c r="BD709" s="448" t="str">
        <f>_xlfn.IFNA(VLOOKUP($AP709,Programma!$F$3:$T$1101,15,0),"")</f>
        <v>_</v>
      </c>
      <c r="BE709" s="448" t="str">
        <f>_xlfn.IFNA(VLOOKUP($AP709,Programma!$F$3:$U$1101,16,0),"")</f>
        <v>_</v>
      </c>
      <c r="BF709" s="448" t="str">
        <f>_xlfn.IFNA(VLOOKUP($AP709,Programma!$F$3:$V$1101,17,0),"")</f>
        <v>_</v>
      </c>
      <c r="BG709" s="448" t="str">
        <f>_xlfn.IFNA(VLOOKUP($AP709,Programma!$F$3:$W$1101,18,0),"")</f>
        <v>4w</v>
      </c>
      <c r="BH709" s="448" t="str">
        <f>_xlfn.IFNA(VLOOKUP($AP709,Programma!$F$3:$X$1101,19,0),"")</f>
        <v>1w</v>
      </c>
      <c r="BI709" s="448" t="str">
        <f>_xlfn.IFNA(VLOOKUP($AP709,Programma!$F$3:$Y$1101,20,0),"")</f>
        <v>_</v>
      </c>
      <c r="BJ709" s="449"/>
      <c r="BK709" s="446" t="str">
        <f>IF(Ruimtestaat[[#This Row],[Frequentie weekend]]="","",_xlfn.CONCAT(Ruimtestaat[[#This Row],[Ruimte code]],"-",Ruimtestaat[[#This Row],[Frequentie weekend]]," ",Ruimtestaat[[#This Row],[Vloer code]]))</f>
        <v/>
      </c>
      <c r="BL709" s="448" t="str">
        <f>_xlfn.IFNA(VLOOKUP($BK709,Programma!$F$3:$G$1101,2,0),"")</f>
        <v/>
      </c>
      <c r="BM709" s="448" t="str">
        <f>_xlfn.IFNA(VLOOKUP($BK709,Programma!$F$3:$H$1101,3,0),"")</f>
        <v/>
      </c>
      <c r="BN709" s="448" t="str">
        <f>_xlfn.IFNA(VLOOKUP($BK709,Programma!$F$3:$I$1101,4,0),"")</f>
        <v/>
      </c>
      <c r="BO709" s="448" t="str">
        <f>_xlfn.IFNA(VLOOKUP($BK709,Programma!$F$3:$J$1101,5,0),"")</f>
        <v/>
      </c>
      <c r="BP709" s="448" t="str">
        <f>_xlfn.IFNA(VLOOKUP($BK709,Programma!$F$3:$K$1101,6,0),"")</f>
        <v/>
      </c>
      <c r="BQ709" s="448" t="str">
        <f>_xlfn.IFNA(VLOOKUP($BK709,Programma!$F$3:$L$1101,7,0),"")</f>
        <v/>
      </c>
      <c r="BR709" s="448" t="str">
        <f>_xlfn.IFNA(VLOOKUP($BK709,Programma!$F$3:$M$1101,8,0),"")</f>
        <v/>
      </c>
      <c r="BS709" s="448" t="str">
        <f>_xlfn.IFNA(VLOOKUP($BK709,Programma!$F$3:$N$1101,9,0),"")</f>
        <v/>
      </c>
      <c r="BT709" s="448" t="str">
        <f>_xlfn.IFNA(VLOOKUP($BK709,Programma!$F$3:$O$1101,10,0),"")</f>
        <v/>
      </c>
      <c r="BU709" s="448" t="str">
        <f>_xlfn.IFNA(VLOOKUP($BK709,Programma!$F$3:$P$1101,11,0),"")</f>
        <v/>
      </c>
      <c r="BV709" s="448" t="str">
        <f>_xlfn.IFNA(VLOOKUP($BK709,Programma!$F$3:$Q$1101,12,0),"")</f>
        <v/>
      </c>
      <c r="BW709" s="448" t="str">
        <f>_xlfn.IFNA(VLOOKUP($BK709,Programma!$F$3:$R$1101,13,0),"")</f>
        <v/>
      </c>
      <c r="BX709" s="448" t="str">
        <f>_xlfn.IFNA(VLOOKUP($BK709,Programma!$F$3:$S$1101,14,0),"")</f>
        <v/>
      </c>
      <c r="BY709" s="448" t="str">
        <f>_xlfn.IFNA(VLOOKUP($BK709,Programma!$F$3:$T$1101,15,0),"")</f>
        <v/>
      </c>
      <c r="BZ709" s="448" t="str">
        <f>_xlfn.IFNA(VLOOKUP($BK709,Programma!$F$3:$U$1101,16,0),"")</f>
        <v/>
      </c>
      <c r="CA709" s="448" t="str">
        <f>_xlfn.IFNA(VLOOKUP($BK709,Programma!$F$3:$V$1101,17,0),"")</f>
        <v/>
      </c>
      <c r="CB709" s="448" t="str">
        <f>_xlfn.IFNA(VLOOKUP($BK709,Programma!$F$3:$W$1101,18,0),"")</f>
        <v/>
      </c>
      <c r="CC709" s="448" t="str">
        <f>_xlfn.IFNA(VLOOKUP($BK709,Programma!$F$3:$X$1101,19,0),"")</f>
        <v/>
      </c>
      <c r="CD709" s="448" t="str">
        <f>_xlfn.IFNA(VLOOKUP($BK709,Programma!$F$3:$Y$1101,20,0),"")</f>
        <v/>
      </c>
    </row>
    <row r="710" spans="1:82" ht="15" customHeight="1">
      <c r="A710" s="327">
        <v>15</v>
      </c>
      <c r="B710" s="435" t="str">
        <f>VLOOKUP(Ruimtestaat[[#This Row],[Code]],Locaties[[Code]:[Locatie]],2,FALSE)</f>
        <v>IKC  Da Vinci</v>
      </c>
      <c r="C710" s="435" t="str">
        <f>VLOOKUP(Ruimtestaat[[#This Row],[Code]],Locaties[[#All],[Code]:[Adres]],4,FALSE)</f>
        <v>Spitsbergen 17</v>
      </c>
      <c r="D710" s="435" t="str">
        <f>VLOOKUP(Ruimtestaat[[#This Row],[Code]],Locaties[[#All],[Code]:[Postcode]],5,FALSE)</f>
        <v>2721 GP</v>
      </c>
      <c r="E710" s="435" t="str">
        <f>VLOOKUP(Ruimtestaat[[#This Row],[Code]],Locaties[#All],6,FALSE)</f>
        <v>Zoetermeer</v>
      </c>
      <c r="F710" s="330" t="s">
        <v>2154</v>
      </c>
      <c r="I710" s="450" t="s">
        <v>1987</v>
      </c>
      <c r="J710" s="330">
        <v>20</v>
      </c>
      <c r="K710" s="450" t="str">
        <f>VLOOKUP(Ruimtestaat[[#This Row],[Ruimte code]],Ruimtegroepen[[#All],[Code]:[Ruimte omschrijving]],2,FALSE)</f>
        <v>Niet in Onderhoud</v>
      </c>
      <c r="M710" s="330"/>
      <c r="N710" s="439"/>
      <c r="O710" s="439">
        <v>28</v>
      </c>
      <c r="P710" s="439"/>
      <c r="Q710" s="439"/>
      <c r="R710" s="440">
        <f>VLOOKUP(Ruimtestaat[[#This Row],[Ruimte code]],Ruimtegroepen[],4,FALSE)</f>
        <v>0</v>
      </c>
      <c r="S710" s="434"/>
      <c r="T710" s="434"/>
      <c r="U710" s="453">
        <f>IF(S710&gt;0,IF(RIGHT(Ruimtestaat[[#This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0" s="434">
        <f>IF(U710&gt;0,VLOOKUP($J710,Ruimtegroepen[],3,FALSE)*VLOOKUP($L710,Vloersoorten[],3,FALSE)*VLOOKUP($T710,Frequenties[],3,FALSE)*VLOOKUP($A710,Locaties[],3,FALSE),0)</f>
        <v>0</v>
      </c>
      <c r="W710" s="434">
        <f>Ruimtestaat[[#This Row],[Uitvoeringen werkdagen]]*Ruimtestaat[[#This Row],[Oppervlak (netto)]]</f>
        <v>0</v>
      </c>
      <c r="X710" s="441">
        <f>IF(V710&gt;0,Ruimtestaat[[#This Row],[Prest. (m2 /jaar) werkdagen]]/Ruimtestaat[[#This Row],[Norm (m2/uur) werkdagen]],0)</f>
        <v>0</v>
      </c>
      <c r="Y710" s="442">
        <f>Ruimtestaat[[#This Row],[Uitvoeringen werkdagen]]*Ruimtestaat[[#This Row],[Gedeeltelijk]]</f>
        <v>0</v>
      </c>
      <c r="Z710" s="443">
        <f>IF(U710&gt;0,Ruimtestaat[[#This Row],[Prest. (m2 / jaar) werkdagen gedeeld]]/Ruimtestaat[[#This Row],[Norm (m2/uur) werkdagen]],0)</f>
        <v>0</v>
      </c>
      <c r="AA710" s="441">
        <f>Ruimtestaat[[#This Row],[uren / jaar werkdagen gedeeld]]*Tariefsopbouw!$E$35</f>
        <v>0</v>
      </c>
      <c r="AB710" s="441">
        <f>Ruimtestaat[[#This Row],[Uitvoeringen werkdagen]]*Ruimtestaat[[#This Row],[BSO]]</f>
        <v>0</v>
      </c>
      <c r="AC710" s="443">
        <f>IF(U710&gt;0,Ruimtestaat[[#This Row],[Prest. (m2 / jaar) werkdagen BSO]]/Ruimtestaat[[#This Row],[Norm (m2/uur) werkdagen]],0)</f>
        <v>0</v>
      </c>
      <c r="AD710" s="443">
        <f>Ruimtestaat[[#This Row],[uren / jaar werkdagen BSO]]*Tariefsopbouw!$E$35</f>
        <v>0</v>
      </c>
      <c r="AE710" s="444">
        <f>Ruimtestaat[[#This Row],[uren / jaar werkdagen]]*Tariefsopbouw!$E$35</f>
        <v>0</v>
      </c>
      <c r="AF710" s="454"/>
      <c r="AG710" s="455">
        <f>IF(Ruimtestaat[[#This Row],[Frequentie weekend]]&gt;0,VALUE(LEFT(AF710,1))*S710,0)</f>
        <v>0</v>
      </c>
      <c r="AH710" s="455">
        <f>IF($AG710&gt;0,VLOOKUP($J710,Ruimtegroepen[],3,FALSE)*VLOOKUP($L710,Vloersoorten[],3,FALSE)*VLOOKUP($AF710,Frequenties[],3,FALSE)*VLOOKUP(#REF!,Locaties[],3,FALSE),0)</f>
        <v>0</v>
      </c>
      <c r="AI710" s="434">
        <f>Ruimtestaat[[#This Row],[Uitvoeringen weekend]]*Ruimtestaat[[#This Row],[Oppervlak (netto)]]</f>
        <v>0</v>
      </c>
      <c r="AJ710" s="434">
        <f>IF(AH710&gt;0,Ruimtestaat[[#This Row],[Prest. (m2 /jaar) weekend]]/Ruimtestaat[[#This Row],[Norm (m2/uur) weekend]],0)</f>
        <v>0</v>
      </c>
      <c r="AK710" s="444">
        <f>Ruimtestaat[[#This Row],[uren / jaar weekend]]*Tariefsopbouw!$D$40</f>
        <v>0</v>
      </c>
      <c r="AL710" s="441">
        <f>Ruimtestaat[[#This Row],[Prest. (m2 /jaar) weekend]]+Ruimtestaat[[#This Row],[Prest. (m2 /jaar) werkdagen]]</f>
        <v>0</v>
      </c>
      <c r="AM710" s="441">
        <f>Ruimtestaat[[#This Row],[uren / jaar weekend]]+Ruimtestaat[[#This Row],[uren / jaar werkdagen]]</f>
        <v>0</v>
      </c>
      <c r="AN710" s="446">
        <f>Ruimtestaat[[#This Row],[kosten / jaar weekend]]+Ruimtestaat[[#This Row],[kosten / jaar werkdagen]]</f>
        <v>0</v>
      </c>
      <c r="AO710" s="446"/>
      <c r="AP710" s="446" t="str">
        <f>IF(Ruimtestaat[[#This Row],[Frequentie werkdagen]]="","",_xlfn.CONCAT(Ruimtestaat[[#This Row],[Ruimte code]],"-",Ruimtestaat[[#This Row],[Frequentie werkdagen]]," ",Ruimtestaat[[#This Row],[Vloer code]]))</f>
        <v/>
      </c>
      <c r="AQ710" s="448" t="str">
        <f>_xlfn.IFNA(VLOOKUP($AP710,Programma!$F$3:$G$1101,2,0),"")</f>
        <v/>
      </c>
      <c r="AR710" s="448" t="str">
        <f>_xlfn.IFNA(VLOOKUP($AP710,Programma!$F$3:$H$1101,3,0),"")</f>
        <v/>
      </c>
      <c r="AS710" s="448" t="str">
        <f>_xlfn.IFNA(VLOOKUP($AP710,Programma!$F$3:$I$1101,4,0),"")</f>
        <v/>
      </c>
      <c r="AT710" s="448" t="str">
        <f>_xlfn.IFNA(VLOOKUP($AP710,Programma!$F$3:$J$1101,5,0),"")</f>
        <v/>
      </c>
      <c r="AU710" s="448" t="str">
        <f>_xlfn.IFNA(VLOOKUP($AP710,Programma!$F$3:$K$1101,6,0),"")</f>
        <v/>
      </c>
      <c r="AV710" s="448" t="str">
        <f>_xlfn.IFNA(VLOOKUP($AP710,Programma!$F$3:$L$1101,7,0),"")</f>
        <v/>
      </c>
      <c r="AW710" s="448" t="str">
        <f>_xlfn.IFNA(VLOOKUP($AP710,Programma!$F$3:$M$1101,8,0),"")</f>
        <v/>
      </c>
      <c r="AX710" s="448" t="str">
        <f>_xlfn.IFNA(VLOOKUP($AP710,Programma!$F$3:$N$1101,9,0),"")</f>
        <v/>
      </c>
      <c r="AY710" s="448" t="str">
        <f>_xlfn.IFNA(VLOOKUP($AP710,Programma!$F$3:$O$1101,10,0),"")</f>
        <v/>
      </c>
      <c r="AZ710" s="448" t="str">
        <f>_xlfn.IFNA(VLOOKUP($AP710,Programma!$F$3:$P$1101,11,0),"")</f>
        <v/>
      </c>
      <c r="BA710" s="448" t="str">
        <f>_xlfn.IFNA(VLOOKUP($AP710,Programma!$F$3:$Q$1101,12,0),"")</f>
        <v/>
      </c>
      <c r="BB710" s="448" t="str">
        <f>_xlfn.IFNA(VLOOKUP($AP710,Programma!$F$3:$R$1101,13,0),"")</f>
        <v/>
      </c>
      <c r="BC710" s="448" t="str">
        <f>_xlfn.IFNA(VLOOKUP($AP710,Programma!$F$3:$S$1101,14,0),"")</f>
        <v/>
      </c>
      <c r="BD710" s="448" t="str">
        <f>_xlfn.IFNA(VLOOKUP($AP710,Programma!$F$3:$T$1101,15,0),"")</f>
        <v/>
      </c>
      <c r="BE710" s="448" t="str">
        <f>_xlfn.IFNA(VLOOKUP($AP710,Programma!$F$3:$U$1101,16,0),"")</f>
        <v/>
      </c>
      <c r="BF710" s="448" t="str">
        <f>_xlfn.IFNA(VLOOKUP($AP710,Programma!$F$3:$V$1101,17,0),"")</f>
        <v/>
      </c>
      <c r="BG710" s="448" t="str">
        <f>_xlfn.IFNA(VLOOKUP($AP710,Programma!$F$3:$W$1101,18,0),"")</f>
        <v/>
      </c>
      <c r="BH710" s="448" t="str">
        <f>_xlfn.IFNA(VLOOKUP($AP710,Programma!$F$3:$X$1101,19,0),"")</f>
        <v/>
      </c>
      <c r="BI710" s="448" t="str">
        <f>_xlfn.IFNA(VLOOKUP($AP710,Programma!$F$3:$Y$1101,20,0),"")</f>
        <v/>
      </c>
      <c r="BJ710" s="449"/>
      <c r="BK710" s="446" t="str">
        <f>IF(Ruimtestaat[[#This Row],[Frequentie weekend]]="","",_xlfn.CONCAT(Ruimtestaat[[#This Row],[Ruimte code]],"-",Ruimtestaat[[#This Row],[Frequentie weekend]]," ",Ruimtestaat[[#This Row],[Vloer code]]))</f>
        <v/>
      </c>
      <c r="BL710" s="448" t="str">
        <f>_xlfn.IFNA(VLOOKUP($BK710,Programma!$F$3:$G$1101,2,0),"")</f>
        <v/>
      </c>
      <c r="BM710" s="448" t="str">
        <f>_xlfn.IFNA(VLOOKUP($BK710,Programma!$F$3:$H$1101,3,0),"")</f>
        <v/>
      </c>
      <c r="BN710" s="448" t="str">
        <f>_xlfn.IFNA(VLOOKUP($BK710,Programma!$F$3:$I$1101,4,0),"")</f>
        <v/>
      </c>
      <c r="BO710" s="448" t="str">
        <f>_xlfn.IFNA(VLOOKUP($BK710,Programma!$F$3:$J$1101,5,0),"")</f>
        <v/>
      </c>
      <c r="BP710" s="448" t="str">
        <f>_xlfn.IFNA(VLOOKUP($BK710,Programma!$F$3:$K$1101,6,0),"")</f>
        <v/>
      </c>
      <c r="BQ710" s="448" t="str">
        <f>_xlfn.IFNA(VLOOKUP($BK710,Programma!$F$3:$L$1101,7,0),"")</f>
        <v/>
      </c>
      <c r="BR710" s="448" t="str">
        <f>_xlfn.IFNA(VLOOKUP($BK710,Programma!$F$3:$M$1101,8,0),"")</f>
        <v/>
      </c>
      <c r="BS710" s="448" t="str">
        <f>_xlfn.IFNA(VLOOKUP($BK710,Programma!$F$3:$N$1101,9,0),"")</f>
        <v/>
      </c>
      <c r="BT710" s="448" t="str">
        <f>_xlfn.IFNA(VLOOKUP($BK710,Programma!$F$3:$O$1101,10,0),"")</f>
        <v/>
      </c>
      <c r="BU710" s="448" t="str">
        <f>_xlfn.IFNA(VLOOKUP($BK710,Programma!$F$3:$P$1101,11,0),"")</f>
        <v/>
      </c>
      <c r="BV710" s="448" t="str">
        <f>_xlfn.IFNA(VLOOKUP($BK710,Programma!$F$3:$Q$1101,12,0),"")</f>
        <v/>
      </c>
      <c r="BW710" s="448" t="str">
        <f>_xlfn.IFNA(VLOOKUP($BK710,Programma!$F$3:$R$1101,13,0),"")</f>
        <v/>
      </c>
      <c r="BX710" s="448" t="str">
        <f>_xlfn.IFNA(VLOOKUP($BK710,Programma!$F$3:$S$1101,14,0),"")</f>
        <v/>
      </c>
      <c r="BY710" s="448" t="str">
        <f>_xlfn.IFNA(VLOOKUP($BK710,Programma!$F$3:$T$1101,15,0),"")</f>
        <v/>
      </c>
      <c r="BZ710" s="448" t="str">
        <f>_xlfn.IFNA(VLOOKUP($BK710,Programma!$F$3:$U$1101,16,0),"")</f>
        <v/>
      </c>
      <c r="CA710" s="448" t="str">
        <f>_xlfn.IFNA(VLOOKUP($BK710,Programma!$F$3:$V$1101,17,0),"")</f>
        <v/>
      </c>
      <c r="CB710" s="448" t="str">
        <f>_xlfn.IFNA(VLOOKUP($BK710,Programma!$F$3:$W$1101,18,0),"")</f>
        <v/>
      </c>
      <c r="CC710" s="448" t="str">
        <f>_xlfn.IFNA(VLOOKUP($BK710,Programma!$F$3:$X$1101,19,0),"")</f>
        <v/>
      </c>
      <c r="CD710" s="448" t="str">
        <f>_xlfn.IFNA(VLOOKUP($BK710,Programma!$F$3:$Y$1101,20,0),"")</f>
        <v/>
      </c>
    </row>
    <row r="711" spans="1:82" ht="15" customHeight="1">
      <c r="A711" s="327">
        <v>15</v>
      </c>
      <c r="B711" s="435" t="str">
        <f>VLOOKUP(Ruimtestaat[[#This Row],[Code]],Locaties[[Code]:[Locatie]],2,FALSE)</f>
        <v>IKC  Da Vinci</v>
      </c>
      <c r="C711" s="435" t="str">
        <f>VLOOKUP(Ruimtestaat[[#This Row],[Code]],Locaties[[#All],[Code]:[Adres]],4,FALSE)</f>
        <v>Spitsbergen 17</v>
      </c>
      <c r="D711" s="435" t="str">
        <f>VLOOKUP(Ruimtestaat[[#This Row],[Code]],Locaties[[#All],[Code]:[Postcode]],5,FALSE)</f>
        <v>2721 GP</v>
      </c>
      <c r="E711" s="435" t="str">
        <f>VLOOKUP(Ruimtestaat[[#This Row],[Code]],Locaties[#All],6,FALSE)</f>
        <v>Zoetermeer</v>
      </c>
      <c r="F711" s="330" t="s">
        <v>2154</v>
      </c>
      <c r="I711" s="450" t="s">
        <v>1988</v>
      </c>
      <c r="J711" s="330">
        <v>20</v>
      </c>
      <c r="K711" s="450" t="str">
        <f>VLOOKUP(Ruimtestaat[[#This Row],[Ruimte code]],Ruimtegroepen[[#All],[Code]:[Ruimte omschrijving]],2,FALSE)</f>
        <v>Niet in Onderhoud</v>
      </c>
      <c r="M711" s="330"/>
      <c r="N711" s="439"/>
      <c r="O711" s="439">
        <v>12</v>
      </c>
      <c r="P711" s="439"/>
      <c r="Q711" s="439"/>
      <c r="R711" s="440">
        <f>VLOOKUP(Ruimtestaat[[#This Row],[Ruimte code]],Ruimtegroepen[],4,FALSE)</f>
        <v>0</v>
      </c>
      <c r="S711" s="434"/>
      <c r="T711" s="434"/>
      <c r="U711" s="453">
        <f>IF(S711&gt;0,IF(RIGHT(Ruimtestaat[[#This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1" s="434">
        <f>IF(U711&gt;0,VLOOKUP($J711,Ruimtegroepen[],3,FALSE)*VLOOKUP($L711,Vloersoorten[],3,FALSE)*VLOOKUP($T711,Frequenties[],3,FALSE)*VLOOKUP($A711,Locaties[],3,FALSE),0)</f>
        <v>0</v>
      </c>
      <c r="W711" s="434">
        <f>Ruimtestaat[[#This Row],[Uitvoeringen werkdagen]]*Ruimtestaat[[#This Row],[Oppervlak (netto)]]</f>
        <v>0</v>
      </c>
      <c r="X711" s="441">
        <f>IF(V711&gt;0,Ruimtestaat[[#This Row],[Prest. (m2 /jaar) werkdagen]]/Ruimtestaat[[#This Row],[Norm (m2/uur) werkdagen]],0)</f>
        <v>0</v>
      </c>
      <c r="Y711" s="442">
        <f>Ruimtestaat[[#This Row],[Uitvoeringen werkdagen]]*Ruimtestaat[[#This Row],[Gedeeltelijk]]</f>
        <v>0</v>
      </c>
      <c r="Z711" s="443">
        <f>IF(U711&gt;0,Ruimtestaat[[#This Row],[Prest. (m2 / jaar) werkdagen gedeeld]]/Ruimtestaat[[#This Row],[Norm (m2/uur) werkdagen]],0)</f>
        <v>0</v>
      </c>
      <c r="AA711" s="441">
        <f>Ruimtestaat[[#This Row],[uren / jaar werkdagen gedeeld]]*Tariefsopbouw!$E$35</f>
        <v>0</v>
      </c>
      <c r="AB711" s="441">
        <f>Ruimtestaat[[#This Row],[Uitvoeringen werkdagen]]*Ruimtestaat[[#This Row],[BSO]]</f>
        <v>0</v>
      </c>
      <c r="AC711" s="443">
        <f>IF(U711&gt;0,Ruimtestaat[[#This Row],[Prest. (m2 / jaar) werkdagen BSO]]/Ruimtestaat[[#This Row],[Norm (m2/uur) werkdagen]],0)</f>
        <v>0</v>
      </c>
      <c r="AD711" s="443">
        <f>Ruimtestaat[[#This Row],[uren / jaar werkdagen BSO]]*Tariefsopbouw!$E$35</f>
        <v>0</v>
      </c>
      <c r="AE711" s="444">
        <f>Ruimtestaat[[#This Row],[uren / jaar werkdagen]]*Tariefsopbouw!$E$35</f>
        <v>0</v>
      </c>
      <c r="AF711" s="454"/>
      <c r="AG711" s="455">
        <f>IF(Ruimtestaat[[#This Row],[Frequentie weekend]]&gt;0,VALUE(LEFT(AF711,1))*S711,0)</f>
        <v>0</v>
      </c>
      <c r="AH711" s="455">
        <f>IF($AG711&gt;0,VLOOKUP($J711,Ruimtegroepen[],3,FALSE)*VLOOKUP($L711,Vloersoorten[],3,FALSE)*VLOOKUP($AF711,Frequenties[],3,FALSE)*VLOOKUP(#REF!,Locaties[],3,FALSE),0)</f>
        <v>0</v>
      </c>
      <c r="AI711" s="434">
        <f>Ruimtestaat[[#This Row],[Uitvoeringen weekend]]*Ruimtestaat[[#This Row],[Oppervlak (netto)]]</f>
        <v>0</v>
      </c>
      <c r="AJ711" s="434">
        <f>IF(AH711&gt;0,Ruimtestaat[[#This Row],[Prest. (m2 /jaar) weekend]]/Ruimtestaat[[#This Row],[Norm (m2/uur) weekend]],0)</f>
        <v>0</v>
      </c>
      <c r="AK711" s="444">
        <f>Ruimtestaat[[#This Row],[uren / jaar weekend]]*Tariefsopbouw!$D$40</f>
        <v>0</v>
      </c>
      <c r="AL711" s="441">
        <f>Ruimtestaat[[#This Row],[Prest. (m2 /jaar) weekend]]+Ruimtestaat[[#This Row],[Prest. (m2 /jaar) werkdagen]]</f>
        <v>0</v>
      </c>
      <c r="AM711" s="441">
        <f>Ruimtestaat[[#This Row],[uren / jaar weekend]]+Ruimtestaat[[#This Row],[uren / jaar werkdagen]]</f>
        <v>0</v>
      </c>
      <c r="AN711" s="446">
        <f>Ruimtestaat[[#This Row],[kosten / jaar weekend]]+Ruimtestaat[[#This Row],[kosten / jaar werkdagen]]</f>
        <v>0</v>
      </c>
      <c r="AO711" s="446"/>
      <c r="AP711" s="446" t="str">
        <f>IF(Ruimtestaat[[#This Row],[Frequentie werkdagen]]="","",_xlfn.CONCAT(Ruimtestaat[[#This Row],[Ruimte code]],"-",Ruimtestaat[[#This Row],[Frequentie werkdagen]]," ",Ruimtestaat[[#This Row],[Vloer code]]))</f>
        <v/>
      </c>
      <c r="AQ711" s="448" t="str">
        <f>_xlfn.IFNA(VLOOKUP($AP711,Programma!$F$3:$G$1101,2,0),"")</f>
        <v/>
      </c>
      <c r="AR711" s="448" t="str">
        <f>_xlfn.IFNA(VLOOKUP($AP711,Programma!$F$3:$H$1101,3,0),"")</f>
        <v/>
      </c>
      <c r="AS711" s="448" t="str">
        <f>_xlfn.IFNA(VLOOKUP($AP711,Programma!$F$3:$I$1101,4,0),"")</f>
        <v/>
      </c>
      <c r="AT711" s="448" t="str">
        <f>_xlfn.IFNA(VLOOKUP($AP711,Programma!$F$3:$J$1101,5,0),"")</f>
        <v/>
      </c>
      <c r="AU711" s="448" t="str">
        <f>_xlfn.IFNA(VLOOKUP($AP711,Programma!$F$3:$K$1101,6,0),"")</f>
        <v/>
      </c>
      <c r="AV711" s="448" t="str">
        <f>_xlfn.IFNA(VLOOKUP($AP711,Programma!$F$3:$L$1101,7,0),"")</f>
        <v/>
      </c>
      <c r="AW711" s="448" t="str">
        <f>_xlfn.IFNA(VLOOKUP($AP711,Programma!$F$3:$M$1101,8,0),"")</f>
        <v/>
      </c>
      <c r="AX711" s="448" t="str">
        <f>_xlfn.IFNA(VLOOKUP($AP711,Programma!$F$3:$N$1101,9,0),"")</f>
        <v/>
      </c>
      <c r="AY711" s="448" t="str">
        <f>_xlfn.IFNA(VLOOKUP($AP711,Programma!$F$3:$O$1101,10,0),"")</f>
        <v/>
      </c>
      <c r="AZ711" s="448" t="str">
        <f>_xlfn.IFNA(VLOOKUP($AP711,Programma!$F$3:$P$1101,11,0),"")</f>
        <v/>
      </c>
      <c r="BA711" s="448" t="str">
        <f>_xlfn.IFNA(VLOOKUP($AP711,Programma!$F$3:$Q$1101,12,0),"")</f>
        <v/>
      </c>
      <c r="BB711" s="448" t="str">
        <f>_xlfn.IFNA(VLOOKUP($AP711,Programma!$F$3:$R$1101,13,0),"")</f>
        <v/>
      </c>
      <c r="BC711" s="448" t="str">
        <f>_xlfn.IFNA(VLOOKUP($AP711,Programma!$F$3:$S$1101,14,0),"")</f>
        <v/>
      </c>
      <c r="BD711" s="448" t="str">
        <f>_xlfn.IFNA(VLOOKUP($AP711,Programma!$F$3:$T$1101,15,0),"")</f>
        <v/>
      </c>
      <c r="BE711" s="448" t="str">
        <f>_xlfn.IFNA(VLOOKUP($AP711,Programma!$F$3:$U$1101,16,0),"")</f>
        <v/>
      </c>
      <c r="BF711" s="448" t="str">
        <f>_xlfn.IFNA(VLOOKUP($AP711,Programma!$F$3:$V$1101,17,0),"")</f>
        <v/>
      </c>
      <c r="BG711" s="448" t="str">
        <f>_xlfn.IFNA(VLOOKUP($AP711,Programma!$F$3:$W$1101,18,0),"")</f>
        <v/>
      </c>
      <c r="BH711" s="448" t="str">
        <f>_xlfn.IFNA(VLOOKUP($AP711,Programma!$F$3:$X$1101,19,0),"")</f>
        <v/>
      </c>
      <c r="BI711" s="448" t="str">
        <f>_xlfn.IFNA(VLOOKUP($AP711,Programma!$F$3:$Y$1101,20,0),"")</f>
        <v/>
      </c>
      <c r="BJ711" s="449"/>
      <c r="BK711" s="446" t="str">
        <f>IF(Ruimtestaat[[#This Row],[Frequentie weekend]]="","",_xlfn.CONCAT(Ruimtestaat[[#This Row],[Ruimte code]],"-",Ruimtestaat[[#This Row],[Frequentie weekend]]," ",Ruimtestaat[[#This Row],[Vloer code]]))</f>
        <v/>
      </c>
      <c r="BL711" s="448" t="str">
        <f>_xlfn.IFNA(VLOOKUP($BK711,Programma!$F$3:$G$1101,2,0),"")</f>
        <v/>
      </c>
      <c r="BM711" s="448" t="str">
        <f>_xlfn.IFNA(VLOOKUP($BK711,Programma!$F$3:$H$1101,3,0),"")</f>
        <v/>
      </c>
      <c r="BN711" s="448" t="str">
        <f>_xlfn.IFNA(VLOOKUP($BK711,Programma!$F$3:$I$1101,4,0),"")</f>
        <v/>
      </c>
      <c r="BO711" s="448" t="str">
        <f>_xlfn.IFNA(VLOOKUP($BK711,Programma!$F$3:$J$1101,5,0),"")</f>
        <v/>
      </c>
      <c r="BP711" s="448" t="str">
        <f>_xlfn.IFNA(VLOOKUP($BK711,Programma!$F$3:$K$1101,6,0),"")</f>
        <v/>
      </c>
      <c r="BQ711" s="448" t="str">
        <f>_xlfn.IFNA(VLOOKUP($BK711,Programma!$F$3:$L$1101,7,0),"")</f>
        <v/>
      </c>
      <c r="BR711" s="448" t="str">
        <f>_xlfn.IFNA(VLOOKUP($BK711,Programma!$F$3:$M$1101,8,0),"")</f>
        <v/>
      </c>
      <c r="BS711" s="448" t="str">
        <f>_xlfn.IFNA(VLOOKUP($BK711,Programma!$F$3:$N$1101,9,0),"")</f>
        <v/>
      </c>
      <c r="BT711" s="448" t="str">
        <f>_xlfn.IFNA(VLOOKUP($BK711,Programma!$F$3:$O$1101,10,0),"")</f>
        <v/>
      </c>
      <c r="BU711" s="448" t="str">
        <f>_xlfn.IFNA(VLOOKUP($BK711,Programma!$F$3:$P$1101,11,0),"")</f>
        <v/>
      </c>
      <c r="BV711" s="448" t="str">
        <f>_xlfn.IFNA(VLOOKUP($BK711,Programma!$F$3:$Q$1101,12,0),"")</f>
        <v/>
      </c>
      <c r="BW711" s="448" t="str">
        <f>_xlfn.IFNA(VLOOKUP($BK711,Programma!$F$3:$R$1101,13,0),"")</f>
        <v/>
      </c>
      <c r="BX711" s="448" t="str">
        <f>_xlfn.IFNA(VLOOKUP($BK711,Programma!$F$3:$S$1101,14,0),"")</f>
        <v/>
      </c>
      <c r="BY711" s="448" t="str">
        <f>_xlfn.IFNA(VLOOKUP($BK711,Programma!$F$3:$T$1101,15,0),"")</f>
        <v/>
      </c>
      <c r="BZ711" s="448" t="str">
        <f>_xlfn.IFNA(VLOOKUP($BK711,Programma!$F$3:$U$1101,16,0),"")</f>
        <v/>
      </c>
      <c r="CA711" s="448" t="str">
        <f>_xlfn.IFNA(VLOOKUP($BK711,Programma!$F$3:$V$1101,17,0),"")</f>
        <v/>
      </c>
      <c r="CB711" s="448" t="str">
        <f>_xlfn.IFNA(VLOOKUP($BK711,Programma!$F$3:$W$1101,18,0),"")</f>
        <v/>
      </c>
      <c r="CC711" s="448" t="str">
        <f>_xlfn.IFNA(VLOOKUP($BK711,Programma!$F$3:$X$1101,19,0),"")</f>
        <v/>
      </c>
      <c r="CD711" s="448" t="str">
        <f>_xlfn.IFNA(VLOOKUP($BK711,Programma!$F$3:$Y$1101,20,0),"")</f>
        <v/>
      </c>
    </row>
    <row r="712" spans="1:82" ht="15" customHeight="1">
      <c r="A712" s="327">
        <v>15</v>
      </c>
      <c r="B712" s="435" t="str">
        <f>VLOOKUP(Ruimtestaat[[#This Row],[Code]],Locaties[[Code]:[Locatie]],2,FALSE)</f>
        <v>IKC  Da Vinci</v>
      </c>
      <c r="C712" s="435" t="str">
        <f>VLOOKUP(Ruimtestaat[[#This Row],[Code]],Locaties[[#All],[Code]:[Adres]],4,FALSE)</f>
        <v>Spitsbergen 17</v>
      </c>
      <c r="D712" s="435" t="str">
        <f>VLOOKUP(Ruimtestaat[[#This Row],[Code]],Locaties[[#All],[Code]:[Postcode]],5,FALSE)</f>
        <v>2721 GP</v>
      </c>
      <c r="E712" s="435" t="str">
        <f>VLOOKUP(Ruimtestaat[[#This Row],[Code]],Locaties[#All],6,FALSE)</f>
        <v>Zoetermeer</v>
      </c>
      <c r="F712" s="330" t="s">
        <v>2154</v>
      </c>
      <c r="I712" s="450" t="s">
        <v>1988</v>
      </c>
      <c r="J712" s="330">
        <v>20</v>
      </c>
      <c r="K712" s="450" t="str">
        <f>VLOOKUP(Ruimtestaat[[#This Row],[Ruimte code]],Ruimtegroepen[[#All],[Code]:[Ruimte omschrijving]],2,FALSE)</f>
        <v>Niet in Onderhoud</v>
      </c>
      <c r="M712" s="330"/>
      <c r="N712" s="439"/>
      <c r="O712" s="439">
        <v>12</v>
      </c>
      <c r="P712" s="439"/>
      <c r="Q712" s="439"/>
      <c r="R712" s="440">
        <f>VLOOKUP(Ruimtestaat[[#This Row],[Ruimte code]],Ruimtegroepen[],4,FALSE)</f>
        <v>0</v>
      </c>
      <c r="S712" s="434"/>
      <c r="T712" s="434"/>
      <c r="U712" s="453">
        <f>IF(S712&gt;0,IF(RIGHT(Ruimtestaat[[#This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2" s="434">
        <f>IF(U712&gt;0,VLOOKUP($J712,Ruimtegroepen[],3,FALSE)*VLOOKUP($L712,Vloersoorten[],3,FALSE)*VLOOKUP($T712,Frequenties[],3,FALSE)*VLOOKUP($A712,Locaties[],3,FALSE),0)</f>
        <v>0</v>
      </c>
      <c r="W712" s="434">
        <f>Ruimtestaat[[#This Row],[Uitvoeringen werkdagen]]*Ruimtestaat[[#This Row],[Oppervlak (netto)]]</f>
        <v>0</v>
      </c>
      <c r="X712" s="441">
        <f>IF(V712&gt;0,Ruimtestaat[[#This Row],[Prest. (m2 /jaar) werkdagen]]/Ruimtestaat[[#This Row],[Norm (m2/uur) werkdagen]],0)</f>
        <v>0</v>
      </c>
      <c r="Y712" s="442">
        <f>Ruimtestaat[[#This Row],[Uitvoeringen werkdagen]]*Ruimtestaat[[#This Row],[Gedeeltelijk]]</f>
        <v>0</v>
      </c>
      <c r="Z712" s="443">
        <f>IF(U712&gt;0,Ruimtestaat[[#This Row],[Prest. (m2 / jaar) werkdagen gedeeld]]/Ruimtestaat[[#This Row],[Norm (m2/uur) werkdagen]],0)</f>
        <v>0</v>
      </c>
      <c r="AA712" s="441">
        <f>Ruimtestaat[[#This Row],[uren / jaar werkdagen gedeeld]]*Tariefsopbouw!$E$35</f>
        <v>0</v>
      </c>
      <c r="AB712" s="441">
        <f>Ruimtestaat[[#This Row],[Uitvoeringen werkdagen]]*Ruimtestaat[[#This Row],[BSO]]</f>
        <v>0</v>
      </c>
      <c r="AC712" s="443">
        <f>IF(U712&gt;0,Ruimtestaat[[#This Row],[Prest. (m2 / jaar) werkdagen BSO]]/Ruimtestaat[[#This Row],[Norm (m2/uur) werkdagen]],0)</f>
        <v>0</v>
      </c>
      <c r="AD712" s="443">
        <f>Ruimtestaat[[#This Row],[uren / jaar werkdagen BSO]]*Tariefsopbouw!$E$35</f>
        <v>0</v>
      </c>
      <c r="AE712" s="444">
        <f>Ruimtestaat[[#This Row],[uren / jaar werkdagen]]*Tariefsopbouw!$E$35</f>
        <v>0</v>
      </c>
      <c r="AF712" s="454"/>
      <c r="AG712" s="455">
        <f>IF(Ruimtestaat[[#This Row],[Frequentie weekend]]&gt;0,VALUE(LEFT(AF712,1))*S712,0)</f>
        <v>0</v>
      </c>
      <c r="AH712" s="455">
        <f>IF($AG712&gt;0,VLOOKUP($J712,Ruimtegroepen[],3,FALSE)*VLOOKUP($L712,Vloersoorten[],3,FALSE)*VLOOKUP($AF712,Frequenties[],3,FALSE)*VLOOKUP(#REF!,Locaties[],3,FALSE),0)</f>
        <v>0</v>
      </c>
      <c r="AI712" s="434">
        <f>Ruimtestaat[[#This Row],[Uitvoeringen weekend]]*Ruimtestaat[[#This Row],[Oppervlak (netto)]]</f>
        <v>0</v>
      </c>
      <c r="AJ712" s="434">
        <f>IF(AH712&gt;0,Ruimtestaat[[#This Row],[Prest. (m2 /jaar) weekend]]/Ruimtestaat[[#This Row],[Norm (m2/uur) weekend]],0)</f>
        <v>0</v>
      </c>
      <c r="AK712" s="444">
        <f>Ruimtestaat[[#This Row],[uren / jaar weekend]]*Tariefsopbouw!$D$40</f>
        <v>0</v>
      </c>
      <c r="AL712" s="441">
        <f>Ruimtestaat[[#This Row],[Prest. (m2 /jaar) weekend]]+Ruimtestaat[[#This Row],[Prest. (m2 /jaar) werkdagen]]</f>
        <v>0</v>
      </c>
      <c r="AM712" s="441">
        <f>Ruimtestaat[[#This Row],[uren / jaar weekend]]+Ruimtestaat[[#This Row],[uren / jaar werkdagen]]</f>
        <v>0</v>
      </c>
      <c r="AN712" s="446">
        <f>Ruimtestaat[[#This Row],[kosten / jaar weekend]]+Ruimtestaat[[#This Row],[kosten / jaar werkdagen]]</f>
        <v>0</v>
      </c>
      <c r="AO712" s="446"/>
      <c r="AP712" s="446" t="str">
        <f>IF(Ruimtestaat[[#This Row],[Frequentie werkdagen]]="","",_xlfn.CONCAT(Ruimtestaat[[#This Row],[Ruimte code]],"-",Ruimtestaat[[#This Row],[Frequentie werkdagen]]," ",Ruimtestaat[[#This Row],[Vloer code]]))</f>
        <v/>
      </c>
      <c r="AQ712" s="448" t="str">
        <f>_xlfn.IFNA(VLOOKUP($AP712,Programma!$F$3:$G$1101,2,0),"")</f>
        <v/>
      </c>
      <c r="AR712" s="448" t="str">
        <f>_xlfn.IFNA(VLOOKUP($AP712,Programma!$F$3:$H$1101,3,0),"")</f>
        <v/>
      </c>
      <c r="AS712" s="448" t="str">
        <f>_xlfn.IFNA(VLOOKUP($AP712,Programma!$F$3:$I$1101,4,0),"")</f>
        <v/>
      </c>
      <c r="AT712" s="448" t="str">
        <f>_xlfn.IFNA(VLOOKUP($AP712,Programma!$F$3:$J$1101,5,0),"")</f>
        <v/>
      </c>
      <c r="AU712" s="448" t="str">
        <f>_xlfn.IFNA(VLOOKUP($AP712,Programma!$F$3:$K$1101,6,0),"")</f>
        <v/>
      </c>
      <c r="AV712" s="448" t="str">
        <f>_xlfn.IFNA(VLOOKUP($AP712,Programma!$F$3:$L$1101,7,0),"")</f>
        <v/>
      </c>
      <c r="AW712" s="448" t="str">
        <f>_xlfn.IFNA(VLOOKUP($AP712,Programma!$F$3:$M$1101,8,0),"")</f>
        <v/>
      </c>
      <c r="AX712" s="448" t="str">
        <f>_xlfn.IFNA(VLOOKUP($AP712,Programma!$F$3:$N$1101,9,0),"")</f>
        <v/>
      </c>
      <c r="AY712" s="448" t="str">
        <f>_xlfn.IFNA(VLOOKUP($AP712,Programma!$F$3:$O$1101,10,0),"")</f>
        <v/>
      </c>
      <c r="AZ712" s="448" t="str">
        <f>_xlfn.IFNA(VLOOKUP($AP712,Programma!$F$3:$P$1101,11,0),"")</f>
        <v/>
      </c>
      <c r="BA712" s="448" t="str">
        <f>_xlfn.IFNA(VLOOKUP($AP712,Programma!$F$3:$Q$1101,12,0),"")</f>
        <v/>
      </c>
      <c r="BB712" s="448" t="str">
        <f>_xlfn.IFNA(VLOOKUP($AP712,Programma!$F$3:$R$1101,13,0),"")</f>
        <v/>
      </c>
      <c r="BC712" s="448" t="str">
        <f>_xlfn.IFNA(VLOOKUP($AP712,Programma!$F$3:$S$1101,14,0),"")</f>
        <v/>
      </c>
      <c r="BD712" s="448" t="str">
        <f>_xlfn.IFNA(VLOOKUP($AP712,Programma!$F$3:$T$1101,15,0),"")</f>
        <v/>
      </c>
      <c r="BE712" s="448" t="str">
        <f>_xlfn.IFNA(VLOOKUP($AP712,Programma!$F$3:$U$1101,16,0),"")</f>
        <v/>
      </c>
      <c r="BF712" s="448" t="str">
        <f>_xlfn.IFNA(VLOOKUP($AP712,Programma!$F$3:$V$1101,17,0),"")</f>
        <v/>
      </c>
      <c r="BG712" s="448" t="str">
        <f>_xlfn.IFNA(VLOOKUP($AP712,Programma!$F$3:$W$1101,18,0),"")</f>
        <v/>
      </c>
      <c r="BH712" s="448" t="str">
        <f>_xlfn.IFNA(VLOOKUP($AP712,Programma!$F$3:$X$1101,19,0),"")</f>
        <v/>
      </c>
      <c r="BI712" s="448" t="str">
        <f>_xlfn.IFNA(VLOOKUP($AP712,Programma!$F$3:$Y$1101,20,0),"")</f>
        <v/>
      </c>
      <c r="BJ712" s="449"/>
      <c r="BK712" s="446" t="str">
        <f>IF(Ruimtestaat[[#This Row],[Frequentie weekend]]="","",_xlfn.CONCAT(Ruimtestaat[[#This Row],[Ruimte code]],"-",Ruimtestaat[[#This Row],[Frequentie weekend]]," ",Ruimtestaat[[#This Row],[Vloer code]]))</f>
        <v/>
      </c>
      <c r="BL712" s="448" t="str">
        <f>_xlfn.IFNA(VLOOKUP($BK712,Programma!$F$3:$G$1101,2,0),"")</f>
        <v/>
      </c>
      <c r="BM712" s="448" t="str">
        <f>_xlfn.IFNA(VLOOKUP($BK712,Programma!$F$3:$H$1101,3,0),"")</f>
        <v/>
      </c>
      <c r="BN712" s="448" t="str">
        <f>_xlfn.IFNA(VLOOKUP($BK712,Programma!$F$3:$I$1101,4,0),"")</f>
        <v/>
      </c>
      <c r="BO712" s="448" t="str">
        <f>_xlfn.IFNA(VLOOKUP($BK712,Programma!$F$3:$J$1101,5,0),"")</f>
        <v/>
      </c>
      <c r="BP712" s="448" t="str">
        <f>_xlfn.IFNA(VLOOKUP($BK712,Programma!$F$3:$K$1101,6,0),"")</f>
        <v/>
      </c>
      <c r="BQ712" s="448" t="str">
        <f>_xlfn.IFNA(VLOOKUP($BK712,Programma!$F$3:$L$1101,7,0),"")</f>
        <v/>
      </c>
      <c r="BR712" s="448" t="str">
        <f>_xlfn.IFNA(VLOOKUP($BK712,Programma!$F$3:$M$1101,8,0),"")</f>
        <v/>
      </c>
      <c r="BS712" s="448" t="str">
        <f>_xlfn.IFNA(VLOOKUP($BK712,Programma!$F$3:$N$1101,9,0),"")</f>
        <v/>
      </c>
      <c r="BT712" s="448" t="str">
        <f>_xlfn.IFNA(VLOOKUP($BK712,Programma!$F$3:$O$1101,10,0),"")</f>
        <v/>
      </c>
      <c r="BU712" s="448" t="str">
        <f>_xlfn.IFNA(VLOOKUP($BK712,Programma!$F$3:$P$1101,11,0),"")</f>
        <v/>
      </c>
      <c r="BV712" s="448" t="str">
        <f>_xlfn.IFNA(VLOOKUP($BK712,Programma!$F$3:$Q$1101,12,0),"")</f>
        <v/>
      </c>
      <c r="BW712" s="448" t="str">
        <f>_xlfn.IFNA(VLOOKUP($BK712,Programma!$F$3:$R$1101,13,0),"")</f>
        <v/>
      </c>
      <c r="BX712" s="448" t="str">
        <f>_xlfn.IFNA(VLOOKUP($BK712,Programma!$F$3:$S$1101,14,0),"")</f>
        <v/>
      </c>
      <c r="BY712" s="448" t="str">
        <f>_xlfn.IFNA(VLOOKUP($BK712,Programma!$F$3:$T$1101,15,0),"")</f>
        <v/>
      </c>
      <c r="BZ712" s="448" t="str">
        <f>_xlfn.IFNA(VLOOKUP($BK712,Programma!$F$3:$U$1101,16,0),"")</f>
        <v/>
      </c>
      <c r="CA712" s="448" t="str">
        <f>_xlfn.IFNA(VLOOKUP($BK712,Programma!$F$3:$V$1101,17,0),"")</f>
        <v/>
      </c>
      <c r="CB712" s="448" t="str">
        <f>_xlfn.IFNA(VLOOKUP($BK712,Programma!$F$3:$W$1101,18,0),"")</f>
        <v/>
      </c>
      <c r="CC712" s="448" t="str">
        <f>_xlfn.IFNA(VLOOKUP($BK712,Programma!$F$3:$X$1101,19,0),"")</f>
        <v/>
      </c>
      <c r="CD712" s="448" t="str">
        <f>_xlfn.IFNA(VLOOKUP($BK712,Programma!$F$3:$Y$1101,20,0),"")</f>
        <v/>
      </c>
    </row>
    <row r="713" spans="1:82" ht="15" customHeight="1">
      <c r="A713" s="327">
        <v>15</v>
      </c>
      <c r="B713" s="435" t="str">
        <f>VLOOKUP(Ruimtestaat[[#This Row],[Code]],Locaties[[Code]:[Locatie]],2,FALSE)</f>
        <v>IKC  Da Vinci</v>
      </c>
      <c r="C713" s="435" t="str">
        <f>VLOOKUP(Ruimtestaat[[#This Row],[Code]],Locaties[[#All],[Code]:[Adres]],4,FALSE)</f>
        <v>Spitsbergen 17</v>
      </c>
      <c r="D713" s="435" t="str">
        <f>VLOOKUP(Ruimtestaat[[#This Row],[Code]],Locaties[[#All],[Code]:[Postcode]],5,FALSE)</f>
        <v>2721 GP</v>
      </c>
      <c r="E713" s="435" t="str">
        <f>VLOOKUP(Ruimtestaat[[#This Row],[Code]],Locaties[#All],6,FALSE)</f>
        <v>Zoetermeer</v>
      </c>
      <c r="F713" s="330" t="s">
        <v>2154</v>
      </c>
      <c r="I713" s="450" t="s">
        <v>1988</v>
      </c>
      <c r="J713" s="330">
        <v>20</v>
      </c>
      <c r="K713" s="450" t="str">
        <f>VLOOKUP(Ruimtestaat[[#This Row],[Ruimte code]],Ruimtegroepen[[#All],[Code]:[Ruimte omschrijving]],2,FALSE)</f>
        <v>Niet in Onderhoud</v>
      </c>
      <c r="M713" s="330"/>
      <c r="N713" s="439"/>
      <c r="O713" s="439">
        <v>7</v>
      </c>
      <c r="P713" s="439"/>
      <c r="Q713" s="439"/>
      <c r="R713" s="440">
        <f>VLOOKUP(Ruimtestaat[[#This Row],[Ruimte code]],Ruimtegroepen[],4,FALSE)</f>
        <v>0</v>
      </c>
      <c r="S713" s="434"/>
      <c r="T713" s="434"/>
      <c r="U713" s="453">
        <f>IF(S713&gt;0,IF(RIGHT(Ruimtestaat[[#This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3" s="434">
        <f>IF(U713&gt;0,VLOOKUP($J713,Ruimtegroepen[],3,FALSE)*VLOOKUP($L713,Vloersoorten[],3,FALSE)*VLOOKUP($T713,Frequenties[],3,FALSE)*VLOOKUP($A713,Locaties[],3,FALSE),0)</f>
        <v>0</v>
      </c>
      <c r="W713" s="434">
        <f>Ruimtestaat[[#This Row],[Uitvoeringen werkdagen]]*Ruimtestaat[[#This Row],[Oppervlak (netto)]]</f>
        <v>0</v>
      </c>
      <c r="X713" s="441">
        <f>IF(V713&gt;0,Ruimtestaat[[#This Row],[Prest. (m2 /jaar) werkdagen]]/Ruimtestaat[[#This Row],[Norm (m2/uur) werkdagen]],0)</f>
        <v>0</v>
      </c>
      <c r="Y713" s="442">
        <f>Ruimtestaat[[#This Row],[Uitvoeringen werkdagen]]*Ruimtestaat[[#This Row],[Gedeeltelijk]]</f>
        <v>0</v>
      </c>
      <c r="Z713" s="443">
        <f>IF(U713&gt;0,Ruimtestaat[[#This Row],[Prest. (m2 / jaar) werkdagen gedeeld]]/Ruimtestaat[[#This Row],[Norm (m2/uur) werkdagen]],0)</f>
        <v>0</v>
      </c>
      <c r="AA713" s="441">
        <f>Ruimtestaat[[#This Row],[uren / jaar werkdagen gedeeld]]*Tariefsopbouw!$E$35</f>
        <v>0</v>
      </c>
      <c r="AB713" s="441">
        <f>Ruimtestaat[[#This Row],[Uitvoeringen werkdagen]]*Ruimtestaat[[#This Row],[BSO]]</f>
        <v>0</v>
      </c>
      <c r="AC713" s="443">
        <f>IF(U713&gt;0,Ruimtestaat[[#This Row],[Prest. (m2 / jaar) werkdagen BSO]]/Ruimtestaat[[#This Row],[Norm (m2/uur) werkdagen]],0)</f>
        <v>0</v>
      </c>
      <c r="AD713" s="443">
        <f>Ruimtestaat[[#This Row],[uren / jaar werkdagen BSO]]*Tariefsopbouw!$E$35</f>
        <v>0</v>
      </c>
      <c r="AE713" s="444">
        <f>Ruimtestaat[[#This Row],[uren / jaar werkdagen]]*Tariefsopbouw!$E$35</f>
        <v>0</v>
      </c>
      <c r="AF713" s="454"/>
      <c r="AG713" s="455">
        <f>IF(Ruimtestaat[[#This Row],[Frequentie weekend]]&gt;0,VALUE(LEFT(AF713,1))*S713,0)</f>
        <v>0</v>
      </c>
      <c r="AH713" s="455">
        <f>IF($AG713&gt;0,VLOOKUP($J713,Ruimtegroepen[],3,FALSE)*VLOOKUP($L713,Vloersoorten[],3,FALSE)*VLOOKUP($AF713,Frequenties[],3,FALSE)*VLOOKUP(#REF!,Locaties[],3,FALSE),0)</f>
        <v>0</v>
      </c>
      <c r="AI713" s="434">
        <f>Ruimtestaat[[#This Row],[Uitvoeringen weekend]]*Ruimtestaat[[#This Row],[Oppervlak (netto)]]</f>
        <v>0</v>
      </c>
      <c r="AJ713" s="434">
        <f>IF(AH713&gt;0,Ruimtestaat[[#This Row],[Prest. (m2 /jaar) weekend]]/Ruimtestaat[[#This Row],[Norm (m2/uur) weekend]],0)</f>
        <v>0</v>
      </c>
      <c r="AK713" s="444">
        <f>Ruimtestaat[[#This Row],[uren / jaar weekend]]*Tariefsopbouw!$D$40</f>
        <v>0</v>
      </c>
      <c r="AL713" s="441">
        <f>Ruimtestaat[[#This Row],[Prest. (m2 /jaar) weekend]]+Ruimtestaat[[#This Row],[Prest. (m2 /jaar) werkdagen]]</f>
        <v>0</v>
      </c>
      <c r="AM713" s="441">
        <f>Ruimtestaat[[#This Row],[uren / jaar weekend]]+Ruimtestaat[[#This Row],[uren / jaar werkdagen]]</f>
        <v>0</v>
      </c>
      <c r="AN713" s="446">
        <f>Ruimtestaat[[#This Row],[kosten / jaar weekend]]+Ruimtestaat[[#This Row],[kosten / jaar werkdagen]]</f>
        <v>0</v>
      </c>
      <c r="AO713" s="446"/>
      <c r="AP713" s="446" t="str">
        <f>IF(Ruimtestaat[[#This Row],[Frequentie werkdagen]]="","",_xlfn.CONCAT(Ruimtestaat[[#This Row],[Ruimte code]],"-",Ruimtestaat[[#This Row],[Frequentie werkdagen]]," ",Ruimtestaat[[#This Row],[Vloer code]]))</f>
        <v/>
      </c>
      <c r="AQ713" s="448" t="str">
        <f>_xlfn.IFNA(VLOOKUP($AP713,Programma!$F$3:$G$1101,2,0),"")</f>
        <v/>
      </c>
      <c r="AR713" s="448" t="str">
        <f>_xlfn.IFNA(VLOOKUP($AP713,Programma!$F$3:$H$1101,3,0),"")</f>
        <v/>
      </c>
      <c r="AS713" s="448" t="str">
        <f>_xlfn.IFNA(VLOOKUP($AP713,Programma!$F$3:$I$1101,4,0),"")</f>
        <v/>
      </c>
      <c r="AT713" s="448" t="str">
        <f>_xlfn.IFNA(VLOOKUP($AP713,Programma!$F$3:$J$1101,5,0),"")</f>
        <v/>
      </c>
      <c r="AU713" s="448" t="str">
        <f>_xlfn.IFNA(VLOOKUP($AP713,Programma!$F$3:$K$1101,6,0),"")</f>
        <v/>
      </c>
      <c r="AV713" s="448" t="str">
        <f>_xlfn.IFNA(VLOOKUP($AP713,Programma!$F$3:$L$1101,7,0),"")</f>
        <v/>
      </c>
      <c r="AW713" s="448" t="str">
        <f>_xlfn.IFNA(VLOOKUP($AP713,Programma!$F$3:$M$1101,8,0),"")</f>
        <v/>
      </c>
      <c r="AX713" s="448" t="str">
        <f>_xlfn.IFNA(VLOOKUP($AP713,Programma!$F$3:$N$1101,9,0),"")</f>
        <v/>
      </c>
      <c r="AY713" s="448" t="str">
        <f>_xlfn.IFNA(VLOOKUP($AP713,Programma!$F$3:$O$1101,10,0),"")</f>
        <v/>
      </c>
      <c r="AZ713" s="448" t="str">
        <f>_xlfn.IFNA(VLOOKUP($AP713,Programma!$F$3:$P$1101,11,0),"")</f>
        <v/>
      </c>
      <c r="BA713" s="448" t="str">
        <f>_xlfn.IFNA(VLOOKUP($AP713,Programma!$F$3:$Q$1101,12,0),"")</f>
        <v/>
      </c>
      <c r="BB713" s="448" t="str">
        <f>_xlfn.IFNA(VLOOKUP($AP713,Programma!$F$3:$R$1101,13,0),"")</f>
        <v/>
      </c>
      <c r="BC713" s="448" t="str">
        <f>_xlfn.IFNA(VLOOKUP($AP713,Programma!$F$3:$S$1101,14,0),"")</f>
        <v/>
      </c>
      <c r="BD713" s="448" t="str">
        <f>_xlfn.IFNA(VLOOKUP($AP713,Programma!$F$3:$T$1101,15,0),"")</f>
        <v/>
      </c>
      <c r="BE713" s="448" t="str">
        <f>_xlfn.IFNA(VLOOKUP($AP713,Programma!$F$3:$U$1101,16,0),"")</f>
        <v/>
      </c>
      <c r="BF713" s="448" t="str">
        <f>_xlfn.IFNA(VLOOKUP($AP713,Programma!$F$3:$V$1101,17,0),"")</f>
        <v/>
      </c>
      <c r="BG713" s="448" t="str">
        <f>_xlfn.IFNA(VLOOKUP($AP713,Programma!$F$3:$W$1101,18,0),"")</f>
        <v/>
      </c>
      <c r="BH713" s="448" t="str">
        <f>_xlfn.IFNA(VLOOKUP($AP713,Programma!$F$3:$X$1101,19,0),"")</f>
        <v/>
      </c>
      <c r="BI713" s="448" t="str">
        <f>_xlfn.IFNA(VLOOKUP($AP713,Programma!$F$3:$Y$1101,20,0),"")</f>
        <v/>
      </c>
      <c r="BJ713" s="449"/>
      <c r="BK713" s="446" t="str">
        <f>IF(Ruimtestaat[[#This Row],[Frequentie weekend]]="","",_xlfn.CONCAT(Ruimtestaat[[#This Row],[Ruimte code]],"-",Ruimtestaat[[#This Row],[Frequentie weekend]]," ",Ruimtestaat[[#This Row],[Vloer code]]))</f>
        <v/>
      </c>
      <c r="BL713" s="448" t="str">
        <f>_xlfn.IFNA(VLOOKUP($BK713,Programma!$F$3:$G$1101,2,0),"")</f>
        <v/>
      </c>
      <c r="BM713" s="448" t="str">
        <f>_xlfn.IFNA(VLOOKUP($BK713,Programma!$F$3:$H$1101,3,0),"")</f>
        <v/>
      </c>
      <c r="BN713" s="448" t="str">
        <f>_xlfn.IFNA(VLOOKUP($BK713,Programma!$F$3:$I$1101,4,0),"")</f>
        <v/>
      </c>
      <c r="BO713" s="448" t="str">
        <f>_xlfn.IFNA(VLOOKUP($BK713,Programma!$F$3:$J$1101,5,0),"")</f>
        <v/>
      </c>
      <c r="BP713" s="448" t="str">
        <f>_xlfn.IFNA(VLOOKUP($BK713,Programma!$F$3:$K$1101,6,0),"")</f>
        <v/>
      </c>
      <c r="BQ713" s="448" t="str">
        <f>_xlfn.IFNA(VLOOKUP($BK713,Programma!$F$3:$L$1101,7,0),"")</f>
        <v/>
      </c>
      <c r="BR713" s="448" t="str">
        <f>_xlfn.IFNA(VLOOKUP($BK713,Programma!$F$3:$M$1101,8,0),"")</f>
        <v/>
      </c>
      <c r="BS713" s="448" t="str">
        <f>_xlfn.IFNA(VLOOKUP($BK713,Programma!$F$3:$N$1101,9,0),"")</f>
        <v/>
      </c>
      <c r="BT713" s="448" t="str">
        <f>_xlfn.IFNA(VLOOKUP($BK713,Programma!$F$3:$O$1101,10,0),"")</f>
        <v/>
      </c>
      <c r="BU713" s="448" t="str">
        <f>_xlfn.IFNA(VLOOKUP($BK713,Programma!$F$3:$P$1101,11,0),"")</f>
        <v/>
      </c>
      <c r="BV713" s="448" t="str">
        <f>_xlfn.IFNA(VLOOKUP($BK713,Programma!$F$3:$Q$1101,12,0),"")</f>
        <v/>
      </c>
      <c r="BW713" s="448" t="str">
        <f>_xlfn.IFNA(VLOOKUP($BK713,Programma!$F$3:$R$1101,13,0),"")</f>
        <v/>
      </c>
      <c r="BX713" s="448" t="str">
        <f>_xlfn.IFNA(VLOOKUP($BK713,Programma!$F$3:$S$1101,14,0),"")</f>
        <v/>
      </c>
      <c r="BY713" s="448" t="str">
        <f>_xlfn.IFNA(VLOOKUP($BK713,Programma!$F$3:$T$1101,15,0),"")</f>
        <v/>
      </c>
      <c r="BZ713" s="448" t="str">
        <f>_xlfn.IFNA(VLOOKUP($BK713,Programma!$F$3:$U$1101,16,0),"")</f>
        <v/>
      </c>
      <c r="CA713" s="448" t="str">
        <f>_xlfn.IFNA(VLOOKUP($BK713,Programma!$F$3:$V$1101,17,0),"")</f>
        <v/>
      </c>
      <c r="CB713" s="448" t="str">
        <f>_xlfn.IFNA(VLOOKUP($BK713,Programma!$F$3:$W$1101,18,0),"")</f>
        <v/>
      </c>
      <c r="CC713" s="448" t="str">
        <f>_xlfn.IFNA(VLOOKUP($BK713,Programma!$F$3:$X$1101,19,0),"")</f>
        <v/>
      </c>
      <c r="CD713" s="448" t="str">
        <f>_xlfn.IFNA(VLOOKUP($BK713,Programma!$F$3:$Y$1101,20,0),"")</f>
        <v/>
      </c>
    </row>
    <row r="714" spans="1:82" ht="15" customHeight="1">
      <c r="A714" s="327">
        <v>15</v>
      </c>
      <c r="B714" s="435" t="str">
        <f>VLOOKUP(Ruimtestaat[[#This Row],[Code]],Locaties[[Code]:[Locatie]],2,FALSE)</f>
        <v>IKC  Da Vinci</v>
      </c>
      <c r="C714" s="435" t="str">
        <f>VLOOKUP(Ruimtestaat[[#This Row],[Code]],Locaties[[#All],[Code]:[Adres]],4,FALSE)</f>
        <v>Spitsbergen 17</v>
      </c>
      <c r="D714" s="435" t="str">
        <f>VLOOKUP(Ruimtestaat[[#This Row],[Code]],Locaties[[#All],[Code]:[Postcode]],5,FALSE)</f>
        <v>2721 GP</v>
      </c>
      <c r="E714" s="435" t="str">
        <f>VLOOKUP(Ruimtestaat[[#This Row],[Code]],Locaties[#All],6,FALSE)</f>
        <v>Zoetermeer</v>
      </c>
      <c r="F714" s="330" t="s">
        <v>2154</v>
      </c>
      <c r="I714" s="450" t="s">
        <v>1989</v>
      </c>
      <c r="J714" s="330">
        <v>20</v>
      </c>
      <c r="K714" s="450" t="str">
        <f>VLOOKUP(Ruimtestaat[[#This Row],[Ruimte code]],Ruimtegroepen[[#All],[Code]:[Ruimte omschrijving]],2,FALSE)</f>
        <v>Niet in Onderhoud</v>
      </c>
      <c r="M714" s="330"/>
      <c r="N714" s="439"/>
      <c r="O714" s="439">
        <v>11</v>
      </c>
      <c r="P714" s="439"/>
      <c r="Q714" s="439"/>
      <c r="R714" s="440">
        <f>VLOOKUP(Ruimtestaat[[#This Row],[Ruimte code]],Ruimtegroepen[],4,FALSE)</f>
        <v>0</v>
      </c>
      <c r="S714" s="434"/>
      <c r="T714" s="434"/>
      <c r="U714" s="453">
        <f>IF(S714&gt;0,IF(RIGHT(Ruimtestaat[[#This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4" s="434">
        <f>IF(U714&gt;0,VLOOKUP($J714,Ruimtegroepen[],3,FALSE)*VLOOKUP($L714,Vloersoorten[],3,FALSE)*VLOOKUP($T714,Frequenties[],3,FALSE)*VLOOKUP($A714,Locaties[],3,FALSE),0)</f>
        <v>0</v>
      </c>
      <c r="W714" s="434">
        <f>Ruimtestaat[[#This Row],[Uitvoeringen werkdagen]]*Ruimtestaat[[#This Row],[Oppervlak (netto)]]</f>
        <v>0</v>
      </c>
      <c r="X714" s="441">
        <f>IF(V714&gt;0,Ruimtestaat[[#This Row],[Prest. (m2 /jaar) werkdagen]]/Ruimtestaat[[#This Row],[Norm (m2/uur) werkdagen]],0)</f>
        <v>0</v>
      </c>
      <c r="Y714" s="442">
        <f>Ruimtestaat[[#This Row],[Uitvoeringen werkdagen]]*Ruimtestaat[[#This Row],[Gedeeltelijk]]</f>
        <v>0</v>
      </c>
      <c r="Z714" s="443">
        <f>IF(U714&gt;0,Ruimtestaat[[#This Row],[Prest. (m2 / jaar) werkdagen gedeeld]]/Ruimtestaat[[#This Row],[Norm (m2/uur) werkdagen]],0)</f>
        <v>0</v>
      </c>
      <c r="AA714" s="441">
        <f>Ruimtestaat[[#This Row],[uren / jaar werkdagen gedeeld]]*Tariefsopbouw!$E$35</f>
        <v>0</v>
      </c>
      <c r="AB714" s="441">
        <f>Ruimtestaat[[#This Row],[Uitvoeringen werkdagen]]*Ruimtestaat[[#This Row],[BSO]]</f>
        <v>0</v>
      </c>
      <c r="AC714" s="443">
        <f>IF(U714&gt;0,Ruimtestaat[[#This Row],[Prest. (m2 / jaar) werkdagen BSO]]/Ruimtestaat[[#This Row],[Norm (m2/uur) werkdagen]],0)</f>
        <v>0</v>
      </c>
      <c r="AD714" s="443">
        <f>Ruimtestaat[[#This Row],[uren / jaar werkdagen BSO]]*Tariefsopbouw!$E$35</f>
        <v>0</v>
      </c>
      <c r="AE714" s="444">
        <f>Ruimtestaat[[#This Row],[uren / jaar werkdagen]]*Tariefsopbouw!$E$35</f>
        <v>0</v>
      </c>
      <c r="AF714" s="454"/>
      <c r="AG714" s="455">
        <f>IF(Ruimtestaat[[#This Row],[Frequentie weekend]]&gt;0,VALUE(LEFT(AF714,1))*S714,0)</f>
        <v>0</v>
      </c>
      <c r="AH714" s="455">
        <f>IF($AG714&gt;0,VLOOKUP($J714,Ruimtegroepen[],3,FALSE)*VLOOKUP($L714,Vloersoorten[],3,FALSE)*VLOOKUP($AF714,Frequenties[],3,FALSE)*VLOOKUP(#REF!,Locaties[],3,FALSE),0)</f>
        <v>0</v>
      </c>
      <c r="AI714" s="434">
        <f>Ruimtestaat[[#This Row],[Uitvoeringen weekend]]*Ruimtestaat[[#This Row],[Oppervlak (netto)]]</f>
        <v>0</v>
      </c>
      <c r="AJ714" s="434">
        <f>IF(AH714&gt;0,Ruimtestaat[[#This Row],[Prest. (m2 /jaar) weekend]]/Ruimtestaat[[#This Row],[Norm (m2/uur) weekend]],0)</f>
        <v>0</v>
      </c>
      <c r="AK714" s="444">
        <f>Ruimtestaat[[#This Row],[uren / jaar weekend]]*Tariefsopbouw!$D$40</f>
        <v>0</v>
      </c>
      <c r="AL714" s="441">
        <f>Ruimtestaat[[#This Row],[Prest. (m2 /jaar) weekend]]+Ruimtestaat[[#This Row],[Prest. (m2 /jaar) werkdagen]]</f>
        <v>0</v>
      </c>
      <c r="AM714" s="441">
        <f>Ruimtestaat[[#This Row],[uren / jaar weekend]]+Ruimtestaat[[#This Row],[uren / jaar werkdagen]]</f>
        <v>0</v>
      </c>
      <c r="AN714" s="446">
        <f>Ruimtestaat[[#This Row],[kosten / jaar weekend]]+Ruimtestaat[[#This Row],[kosten / jaar werkdagen]]</f>
        <v>0</v>
      </c>
      <c r="AO714" s="446"/>
      <c r="AP714" s="446" t="str">
        <f>IF(Ruimtestaat[[#This Row],[Frequentie werkdagen]]="","",_xlfn.CONCAT(Ruimtestaat[[#This Row],[Ruimte code]],"-",Ruimtestaat[[#This Row],[Frequentie werkdagen]]," ",Ruimtestaat[[#This Row],[Vloer code]]))</f>
        <v/>
      </c>
      <c r="AQ714" s="448" t="str">
        <f>_xlfn.IFNA(VLOOKUP($AP714,Programma!$F$3:$G$1101,2,0),"")</f>
        <v/>
      </c>
      <c r="AR714" s="448" t="str">
        <f>_xlfn.IFNA(VLOOKUP($AP714,Programma!$F$3:$H$1101,3,0),"")</f>
        <v/>
      </c>
      <c r="AS714" s="448" t="str">
        <f>_xlfn.IFNA(VLOOKUP($AP714,Programma!$F$3:$I$1101,4,0),"")</f>
        <v/>
      </c>
      <c r="AT714" s="448" t="str">
        <f>_xlfn.IFNA(VLOOKUP($AP714,Programma!$F$3:$J$1101,5,0),"")</f>
        <v/>
      </c>
      <c r="AU714" s="448" t="str">
        <f>_xlfn.IFNA(VLOOKUP($AP714,Programma!$F$3:$K$1101,6,0),"")</f>
        <v/>
      </c>
      <c r="AV714" s="448" t="str">
        <f>_xlfn.IFNA(VLOOKUP($AP714,Programma!$F$3:$L$1101,7,0),"")</f>
        <v/>
      </c>
      <c r="AW714" s="448" t="str">
        <f>_xlfn.IFNA(VLOOKUP($AP714,Programma!$F$3:$M$1101,8,0),"")</f>
        <v/>
      </c>
      <c r="AX714" s="448" t="str">
        <f>_xlfn.IFNA(VLOOKUP($AP714,Programma!$F$3:$N$1101,9,0),"")</f>
        <v/>
      </c>
      <c r="AY714" s="448" t="str">
        <f>_xlfn.IFNA(VLOOKUP($AP714,Programma!$F$3:$O$1101,10,0),"")</f>
        <v/>
      </c>
      <c r="AZ714" s="448" t="str">
        <f>_xlfn.IFNA(VLOOKUP($AP714,Programma!$F$3:$P$1101,11,0),"")</f>
        <v/>
      </c>
      <c r="BA714" s="448" t="str">
        <f>_xlfn.IFNA(VLOOKUP($AP714,Programma!$F$3:$Q$1101,12,0),"")</f>
        <v/>
      </c>
      <c r="BB714" s="448" t="str">
        <f>_xlfn.IFNA(VLOOKUP($AP714,Programma!$F$3:$R$1101,13,0),"")</f>
        <v/>
      </c>
      <c r="BC714" s="448" t="str">
        <f>_xlfn.IFNA(VLOOKUP($AP714,Programma!$F$3:$S$1101,14,0),"")</f>
        <v/>
      </c>
      <c r="BD714" s="448" t="str">
        <f>_xlfn.IFNA(VLOOKUP($AP714,Programma!$F$3:$T$1101,15,0),"")</f>
        <v/>
      </c>
      <c r="BE714" s="448" t="str">
        <f>_xlfn.IFNA(VLOOKUP($AP714,Programma!$F$3:$U$1101,16,0),"")</f>
        <v/>
      </c>
      <c r="BF714" s="448" t="str">
        <f>_xlfn.IFNA(VLOOKUP($AP714,Programma!$F$3:$V$1101,17,0),"")</f>
        <v/>
      </c>
      <c r="BG714" s="448" t="str">
        <f>_xlfn.IFNA(VLOOKUP($AP714,Programma!$F$3:$W$1101,18,0),"")</f>
        <v/>
      </c>
      <c r="BH714" s="448" t="str">
        <f>_xlfn.IFNA(VLOOKUP($AP714,Programma!$F$3:$X$1101,19,0),"")</f>
        <v/>
      </c>
      <c r="BI714" s="448" t="str">
        <f>_xlfn.IFNA(VLOOKUP($AP714,Programma!$F$3:$Y$1101,20,0),"")</f>
        <v/>
      </c>
      <c r="BJ714" s="449"/>
      <c r="BK714" s="446" t="str">
        <f>IF(Ruimtestaat[[#This Row],[Frequentie weekend]]="","",_xlfn.CONCAT(Ruimtestaat[[#This Row],[Ruimte code]],"-",Ruimtestaat[[#This Row],[Frequentie weekend]]," ",Ruimtestaat[[#This Row],[Vloer code]]))</f>
        <v/>
      </c>
      <c r="BL714" s="448" t="str">
        <f>_xlfn.IFNA(VLOOKUP($BK714,Programma!$F$3:$G$1101,2,0),"")</f>
        <v/>
      </c>
      <c r="BM714" s="448" t="str">
        <f>_xlfn.IFNA(VLOOKUP($BK714,Programma!$F$3:$H$1101,3,0),"")</f>
        <v/>
      </c>
      <c r="BN714" s="448" t="str">
        <f>_xlfn.IFNA(VLOOKUP($BK714,Programma!$F$3:$I$1101,4,0),"")</f>
        <v/>
      </c>
      <c r="BO714" s="448" t="str">
        <f>_xlfn.IFNA(VLOOKUP($BK714,Programma!$F$3:$J$1101,5,0),"")</f>
        <v/>
      </c>
      <c r="BP714" s="448" t="str">
        <f>_xlfn.IFNA(VLOOKUP($BK714,Programma!$F$3:$K$1101,6,0),"")</f>
        <v/>
      </c>
      <c r="BQ714" s="448" t="str">
        <f>_xlfn.IFNA(VLOOKUP($BK714,Programma!$F$3:$L$1101,7,0),"")</f>
        <v/>
      </c>
      <c r="BR714" s="448" t="str">
        <f>_xlfn.IFNA(VLOOKUP($BK714,Programma!$F$3:$M$1101,8,0),"")</f>
        <v/>
      </c>
      <c r="BS714" s="448" t="str">
        <f>_xlfn.IFNA(VLOOKUP($BK714,Programma!$F$3:$N$1101,9,0),"")</f>
        <v/>
      </c>
      <c r="BT714" s="448" t="str">
        <f>_xlfn.IFNA(VLOOKUP($BK714,Programma!$F$3:$O$1101,10,0),"")</f>
        <v/>
      </c>
      <c r="BU714" s="448" t="str">
        <f>_xlfn.IFNA(VLOOKUP($BK714,Programma!$F$3:$P$1101,11,0),"")</f>
        <v/>
      </c>
      <c r="BV714" s="448" t="str">
        <f>_xlfn.IFNA(VLOOKUP($BK714,Programma!$F$3:$Q$1101,12,0),"")</f>
        <v/>
      </c>
      <c r="BW714" s="448" t="str">
        <f>_xlfn.IFNA(VLOOKUP($BK714,Programma!$F$3:$R$1101,13,0),"")</f>
        <v/>
      </c>
      <c r="BX714" s="448" t="str">
        <f>_xlfn.IFNA(VLOOKUP($BK714,Programma!$F$3:$S$1101,14,0),"")</f>
        <v/>
      </c>
      <c r="BY714" s="448" t="str">
        <f>_xlfn.IFNA(VLOOKUP($BK714,Programma!$F$3:$T$1101,15,0),"")</f>
        <v/>
      </c>
      <c r="BZ714" s="448" t="str">
        <f>_xlfn.IFNA(VLOOKUP($BK714,Programma!$F$3:$U$1101,16,0),"")</f>
        <v/>
      </c>
      <c r="CA714" s="448" t="str">
        <f>_xlfn.IFNA(VLOOKUP($BK714,Programma!$F$3:$V$1101,17,0),"")</f>
        <v/>
      </c>
      <c r="CB714" s="448" t="str">
        <f>_xlfn.IFNA(VLOOKUP($BK714,Programma!$F$3:$W$1101,18,0),"")</f>
        <v/>
      </c>
      <c r="CC714" s="448" t="str">
        <f>_xlfn.IFNA(VLOOKUP($BK714,Programma!$F$3:$X$1101,19,0),"")</f>
        <v/>
      </c>
      <c r="CD714" s="448" t="str">
        <f>_xlfn.IFNA(VLOOKUP($BK714,Programma!$F$3:$Y$1101,20,0),"")</f>
        <v/>
      </c>
    </row>
    <row r="715" spans="1:82" ht="15" customHeight="1">
      <c r="A715" s="327">
        <v>15</v>
      </c>
      <c r="B715" s="435" t="str">
        <f>VLOOKUP(Ruimtestaat[[#This Row],[Code]],Locaties[[Code]:[Locatie]],2,FALSE)</f>
        <v>IKC  Da Vinci</v>
      </c>
      <c r="C715" s="435" t="str">
        <f>VLOOKUP(Ruimtestaat[[#This Row],[Code]],Locaties[[#All],[Code]:[Adres]],4,FALSE)</f>
        <v>Spitsbergen 17</v>
      </c>
      <c r="D715" s="435" t="str">
        <f>VLOOKUP(Ruimtestaat[[#This Row],[Code]],Locaties[[#All],[Code]:[Postcode]],5,FALSE)</f>
        <v>2721 GP</v>
      </c>
      <c r="E715" s="435" t="str">
        <f>VLOOKUP(Ruimtestaat[[#This Row],[Code]],Locaties[#All],6,FALSE)</f>
        <v>Zoetermeer</v>
      </c>
      <c r="F715" s="330" t="s">
        <v>2154</v>
      </c>
      <c r="I715" s="450" t="s">
        <v>1990</v>
      </c>
      <c r="J715" s="330">
        <v>20</v>
      </c>
      <c r="K715" s="450" t="str">
        <f>VLOOKUP(Ruimtestaat[[#This Row],[Ruimte code]],Ruimtegroepen[[#All],[Code]:[Ruimte omschrijving]],2,FALSE)</f>
        <v>Niet in Onderhoud</v>
      </c>
      <c r="M715" s="330"/>
      <c r="N715" s="439"/>
      <c r="O715" s="439">
        <v>19</v>
      </c>
      <c r="P715" s="439"/>
      <c r="Q715" s="439"/>
      <c r="R715" s="440">
        <f>VLOOKUP(Ruimtestaat[[#This Row],[Ruimte code]],Ruimtegroepen[],4,FALSE)</f>
        <v>0</v>
      </c>
      <c r="S715" s="434"/>
      <c r="T715" s="434"/>
      <c r="U715" s="453">
        <f>IF(S715&gt;0,IF(RIGHT(Ruimtestaat[[#This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5" s="434">
        <f>IF(U715&gt;0,VLOOKUP($J715,Ruimtegroepen[],3,FALSE)*VLOOKUP($L715,Vloersoorten[],3,FALSE)*VLOOKUP($T715,Frequenties[],3,FALSE)*VLOOKUP($A715,Locaties[],3,FALSE),0)</f>
        <v>0</v>
      </c>
      <c r="W715" s="434">
        <f>Ruimtestaat[[#This Row],[Uitvoeringen werkdagen]]*Ruimtestaat[[#This Row],[Oppervlak (netto)]]</f>
        <v>0</v>
      </c>
      <c r="X715" s="441">
        <f>IF(V715&gt;0,Ruimtestaat[[#This Row],[Prest. (m2 /jaar) werkdagen]]/Ruimtestaat[[#This Row],[Norm (m2/uur) werkdagen]],0)</f>
        <v>0</v>
      </c>
      <c r="Y715" s="442">
        <f>Ruimtestaat[[#This Row],[Uitvoeringen werkdagen]]*Ruimtestaat[[#This Row],[Gedeeltelijk]]</f>
        <v>0</v>
      </c>
      <c r="Z715" s="443">
        <f>IF(U715&gt;0,Ruimtestaat[[#This Row],[Prest. (m2 / jaar) werkdagen gedeeld]]/Ruimtestaat[[#This Row],[Norm (m2/uur) werkdagen]],0)</f>
        <v>0</v>
      </c>
      <c r="AA715" s="441">
        <f>Ruimtestaat[[#This Row],[uren / jaar werkdagen gedeeld]]*Tariefsopbouw!$E$35</f>
        <v>0</v>
      </c>
      <c r="AB715" s="441">
        <f>Ruimtestaat[[#This Row],[Uitvoeringen werkdagen]]*Ruimtestaat[[#This Row],[BSO]]</f>
        <v>0</v>
      </c>
      <c r="AC715" s="443">
        <f>IF(U715&gt;0,Ruimtestaat[[#This Row],[Prest. (m2 / jaar) werkdagen BSO]]/Ruimtestaat[[#This Row],[Norm (m2/uur) werkdagen]],0)</f>
        <v>0</v>
      </c>
      <c r="AD715" s="443">
        <f>Ruimtestaat[[#This Row],[uren / jaar werkdagen BSO]]*Tariefsopbouw!$E$35</f>
        <v>0</v>
      </c>
      <c r="AE715" s="444">
        <f>Ruimtestaat[[#This Row],[uren / jaar werkdagen]]*Tariefsopbouw!$E$35</f>
        <v>0</v>
      </c>
      <c r="AF715" s="454"/>
      <c r="AG715" s="455">
        <f>IF(Ruimtestaat[[#This Row],[Frequentie weekend]]&gt;0,VALUE(LEFT(AF715,1))*S715,0)</f>
        <v>0</v>
      </c>
      <c r="AH715" s="455">
        <f>IF($AG715&gt;0,VLOOKUP($J715,Ruimtegroepen[],3,FALSE)*VLOOKUP($L715,Vloersoorten[],3,FALSE)*VLOOKUP($AF715,Frequenties[],3,FALSE)*VLOOKUP(#REF!,Locaties[],3,FALSE),0)</f>
        <v>0</v>
      </c>
      <c r="AI715" s="434">
        <f>Ruimtestaat[[#This Row],[Uitvoeringen weekend]]*Ruimtestaat[[#This Row],[Oppervlak (netto)]]</f>
        <v>0</v>
      </c>
      <c r="AJ715" s="434">
        <f>IF(AH715&gt;0,Ruimtestaat[[#This Row],[Prest. (m2 /jaar) weekend]]/Ruimtestaat[[#This Row],[Norm (m2/uur) weekend]],0)</f>
        <v>0</v>
      </c>
      <c r="AK715" s="444">
        <f>Ruimtestaat[[#This Row],[uren / jaar weekend]]*Tariefsopbouw!$D$40</f>
        <v>0</v>
      </c>
      <c r="AL715" s="441">
        <f>Ruimtestaat[[#This Row],[Prest. (m2 /jaar) weekend]]+Ruimtestaat[[#This Row],[Prest. (m2 /jaar) werkdagen]]</f>
        <v>0</v>
      </c>
      <c r="AM715" s="441">
        <f>Ruimtestaat[[#This Row],[uren / jaar weekend]]+Ruimtestaat[[#This Row],[uren / jaar werkdagen]]</f>
        <v>0</v>
      </c>
      <c r="AN715" s="446">
        <f>Ruimtestaat[[#This Row],[kosten / jaar weekend]]+Ruimtestaat[[#This Row],[kosten / jaar werkdagen]]</f>
        <v>0</v>
      </c>
      <c r="AO715" s="446"/>
      <c r="AP715" s="446" t="str">
        <f>IF(Ruimtestaat[[#This Row],[Frequentie werkdagen]]="","",_xlfn.CONCAT(Ruimtestaat[[#This Row],[Ruimte code]],"-",Ruimtestaat[[#This Row],[Frequentie werkdagen]]," ",Ruimtestaat[[#This Row],[Vloer code]]))</f>
        <v/>
      </c>
      <c r="AQ715" s="448" t="str">
        <f>_xlfn.IFNA(VLOOKUP($AP715,Programma!$F$3:$G$1101,2,0),"")</f>
        <v/>
      </c>
      <c r="AR715" s="448" t="str">
        <f>_xlfn.IFNA(VLOOKUP($AP715,Programma!$F$3:$H$1101,3,0),"")</f>
        <v/>
      </c>
      <c r="AS715" s="448" t="str">
        <f>_xlfn.IFNA(VLOOKUP($AP715,Programma!$F$3:$I$1101,4,0),"")</f>
        <v/>
      </c>
      <c r="AT715" s="448" t="str">
        <f>_xlfn.IFNA(VLOOKUP($AP715,Programma!$F$3:$J$1101,5,0),"")</f>
        <v/>
      </c>
      <c r="AU715" s="448" t="str">
        <f>_xlfn.IFNA(VLOOKUP($AP715,Programma!$F$3:$K$1101,6,0),"")</f>
        <v/>
      </c>
      <c r="AV715" s="448" t="str">
        <f>_xlfn.IFNA(VLOOKUP($AP715,Programma!$F$3:$L$1101,7,0),"")</f>
        <v/>
      </c>
      <c r="AW715" s="448" t="str">
        <f>_xlfn.IFNA(VLOOKUP($AP715,Programma!$F$3:$M$1101,8,0),"")</f>
        <v/>
      </c>
      <c r="AX715" s="448" t="str">
        <f>_xlfn.IFNA(VLOOKUP($AP715,Programma!$F$3:$N$1101,9,0),"")</f>
        <v/>
      </c>
      <c r="AY715" s="448" t="str">
        <f>_xlfn.IFNA(VLOOKUP($AP715,Programma!$F$3:$O$1101,10,0),"")</f>
        <v/>
      </c>
      <c r="AZ715" s="448" t="str">
        <f>_xlfn.IFNA(VLOOKUP($AP715,Programma!$F$3:$P$1101,11,0),"")</f>
        <v/>
      </c>
      <c r="BA715" s="448" t="str">
        <f>_xlfn.IFNA(VLOOKUP($AP715,Programma!$F$3:$Q$1101,12,0),"")</f>
        <v/>
      </c>
      <c r="BB715" s="448" t="str">
        <f>_xlfn.IFNA(VLOOKUP($AP715,Programma!$F$3:$R$1101,13,0),"")</f>
        <v/>
      </c>
      <c r="BC715" s="448" t="str">
        <f>_xlfn.IFNA(VLOOKUP($AP715,Programma!$F$3:$S$1101,14,0),"")</f>
        <v/>
      </c>
      <c r="BD715" s="448" t="str">
        <f>_xlfn.IFNA(VLOOKUP($AP715,Programma!$F$3:$T$1101,15,0),"")</f>
        <v/>
      </c>
      <c r="BE715" s="448" t="str">
        <f>_xlfn.IFNA(VLOOKUP($AP715,Programma!$F$3:$U$1101,16,0),"")</f>
        <v/>
      </c>
      <c r="BF715" s="448" t="str">
        <f>_xlfn.IFNA(VLOOKUP($AP715,Programma!$F$3:$V$1101,17,0),"")</f>
        <v/>
      </c>
      <c r="BG715" s="448" t="str">
        <f>_xlfn.IFNA(VLOOKUP($AP715,Programma!$F$3:$W$1101,18,0),"")</f>
        <v/>
      </c>
      <c r="BH715" s="448" t="str">
        <f>_xlfn.IFNA(VLOOKUP($AP715,Programma!$F$3:$X$1101,19,0),"")</f>
        <v/>
      </c>
      <c r="BI715" s="448" t="str">
        <f>_xlfn.IFNA(VLOOKUP($AP715,Programma!$F$3:$Y$1101,20,0),"")</f>
        <v/>
      </c>
      <c r="BJ715" s="449"/>
      <c r="BK715" s="446" t="str">
        <f>IF(Ruimtestaat[[#This Row],[Frequentie weekend]]="","",_xlfn.CONCAT(Ruimtestaat[[#This Row],[Ruimte code]],"-",Ruimtestaat[[#This Row],[Frequentie weekend]]," ",Ruimtestaat[[#This Row],[Vloer code]]))</f>
        <v/>
      </c>
      <c r="BL715" s="448" t="str">
        <f>_xlfn.IFNA(VLOOKUP($BK715,Programma!$F$3:$G$1101,2,0),"")</f>
        <v/>
      </c>
      <c r="BM715" s="448" t="str">
        <f>_xlfn.IFNA(VLOOKUP($BK715,Programma!$F$3:$H$1101,3,0),"")</f>
        <v/>
      </c>
      <c r="BN715" s="448" t="str">
        <f>_xlfn.IFNA(VLOOKUP($BK715,Programma!$F$3:$I$1101,4,0),"")</f>
        <v/>
      </c>
      <c r="BO715" s="448" t="str">
        <f>_xlfn.IFNA(VLOOKUP($BK715,Programma!$F$3:$J$1101,5,0),"")</f>
        <v/>
      </c>
      <c r="BP715" s="448" t="str">
        <f>_xlfn.IFNA(VLOOKUP($BK715,Programma!$F$3:$K$1101,6,0),"")</f>
        <v/>
      </c>
      <c r="BQ715" s="448" t="str">
        <f>_xlfn.IFNA(VLOOKUP($BK715,Programma!$F$3:$L$1101,7,0),"")</f>
        <v/>
      </c>
      <c r="BR715" s="448" t="str">
        <f>_xlfn.IFNA(VLOOKUP($BK715,Programma!$F$3:$M$1101,8,0),"")</f>
        <v/>
      </c>
      <c r="BS715" s="448" t="str">
        <f>_xlfn.IFNA(VLOOKUP($BK715,Programma!$F$3:$N$1101,9,0),"")</f>
        <v/>
      </c>
      <c r="BT715" s="448" t="str">
        <f>_xlfn.IFNA(VLOOKUP($BK715,Programma!$F$3:$O$1101,10,0),"")</f>
        <v/>
      </c>
      <c r="BU715" s="448" t="str">
        <f>_xlfn.IFNA(VLOOKUP($BK715,Programma!$F$3:$P$1101,11,0),"")</f>
        <v/>
      </c>
      <c r="BV715" s="448" t="str">
        <f>_xlfn.IFNA(VLOOKUP($BK715,Programma!$F$3:$Q$1101,12,0),"")</f>
        <v/>
      </c>
      <c r="BW715" s="448" t="str">
        <f>_xlfn.IFNA(VLOOKUP($BK715,Programma!$F$3:$R$1101,13,0),"")</f>
        <v/>
      </c>
      <c r="BX715" s="448" t="str">
        <f>_xlfn.IFNA(VLOOKUP($BK715,Programma!$F$3:$S$1101,14,0),"")</f>
        <v/>
      </c>
      <c r="BY715" s="448" t="str">
        <f>_xlfn.IFNA(VLOOKUP($BK715,Programma!$F$3:$T$1101,15,0),"")</f>
        <v/>
      </c>
      <c r="BZ715" s="448" t="str">
        <f>_xlfn.IFNA(VLOOKUP($BK715,Programma!$F$3:$U$1101,16,0),"")</f>
        <v/>
      </c>
      <c r="CA715" s="448" t="str">
        <f>_xlfn.IFNA(VLOOKUP($BK715,Programma!$F$3:$V$1101,17,0),"")</f>
        <v/>
      </c>
      <c r="CB715" s="448" t="str">
        <f>_xlfn.IFNA(VLOOKUP($BK715,Programma!$F$3:$W$1101,18,0),"")</f>
        <v/>
      </c>
      <c r="CC715" s="448" t="str">
        <f>_xlfn.IFNA(VLOOKUP($BK715,Programma!$F$3:$X$1101,19,0),"")</f>
        <v/>
      </c>
      <c r="CD715" s="448" t="str">
        <f>_xlfn.IFNA(VLOOKUP($BK715,Programma!$F$3:$Y$1101,20,0),"")</f>
        <v/>
      </c>
    </row>
    <row r="716" spans="1:82" ht="15" customHeight="1">
      <c r="A716" s="327">
        <v>15</v>
      </c>
      <c r="B716" s="435" t="str">
        <f>VLOOKUP(Ruimtestaat[[#This Row],[Code]],Locaties[[Code]:[Locatie]],2,FALSE)</f>
        <v>IKC  Da Vinci</v>
      </c>
      <c r="C716" s="435" t="str">
        <f>VLOOKUP(Ruimtestaat[[#This Row],[Code]],Locaties[[#All],[Code]:[Adres]],4,FALSE)</f>
        <v>Spitsbergen 17</v>
      </c>
      <c r="D716" s="435" t="str">
        <f>VLOOKUP(Ruimtestaat[[#This Row],[Code]],Locaties[[#All],[Code]:[Postcode]],5,FALSE)</f>
        <v>2721 GP</v>
      </c>
      <c r="E716" s="435" t="str">
        <f>VLOOKUP(Ruimtestaat[[#This Row],[Code]],Locaties[#All],6,FALSE)</f>
        <v>Zoetermeer</v>
      </c>
      <c r="F716" s="330" t="s">
        <v>2154</v>
      </c>
      <c r="I716" s="450" t="s">
        <v>1991</v>
      </c>
      <c r="J716" s="330">
        <v>20</v>
      </c>
      <c r="K716" s="450" t="str">
        <f>VLOOKUP(Ruimtestaat[[#This Row],[Ruimte code]],Ruimtegroepen[[#All],[Code]:[Ruimte omschrijving]],2,FALSE)</f>
        <v>Niet in Onderhoud</v>
      </c>
      <c r="M716" s="330"/>
      <c r="N716" s="439"/>
      <c r="O716" s="439">
        <v>68</v>
      </c>
      <c r="P716" s="439"/>
      <c r="Q716" s="439"/>
      <c r="R716" s="440">
        <f>VLOOKUP(Ruimtestaat[[#This Row],[Ruimte code]],Ruimtegroepen[],4,FALSE)</f>
        <v>0</v>
      </c>
      <c r="S716" s="434"/>
      <c r="T716" s="434"/>
      <c r="U716" s="453">
        <f>IF(S716&gt;0,IF(RIGHT(Ruimtestaat[[#This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6" s="434">
        <f>IF(U716&gt;0,VLOOKUP($J716,Ruimtegroepen[],3,FALSE)*VLOOKUP($L716,Vloersoorten[],3,FALSE)*VLOOKUP($T716,Frequenties[],3,FALSE)*VLOOKUP($A716,Locaties[],3,FALSE),0)</f>
        <v>0</v>
      </c>
      <c r="W716" s="434">
        <f>Ruimtestaat[[#This Row],[Uitvoeringen werkdagen]]*Ruimtestaat[[#This Row],[Oppervlak (netto)]]</f>
        <v>0</v>
      </c>
      <c r="X716" s="441">
        <f>IF(V716&gt;0,Ruimtestaat[[#This Row],[Prest. (m2 /jaar) werkdagen]]/Ruimtestaat[[#This Row],[Norm (m2/uur) werkdagen]],0)</f>
        <v>0</v>
      </c>
      <c r="Y716" s="442">
        <f>Ruimtestaat[[#This Row],[Uitvoeringen werkdagen]]*Ruimtestaat[[#This Row],[Gedeeltelijk]]</f>
        <v>0</v>
      </c>
      <c r="Z716" s="443">
        <f>IF(U716&gt;0,Ruimtestaat[[#This Row],[Prest. (m2 / jaar) werkdagen gedeeld]]/Ruimtestaat[[#This Row],[Norm (m2/uur) werkdagen]],0)</f>
        <v>0</v>
      </c>
      <c r="AA716" s="441">
        <f>Ruimtestaat[[#This Row],[uren / jaar werkdagen gedeeld]]*Tariefsopbouw!$E$35</f>
        <v>0</v>
      </c>
      <c r="AB716" s="441">
        <f>Ruimtestaat[[#This Row],[Uitvoeringen werkdagen]]*Ruimtestaat[[#This Row],[BSO]]</f>
        <v>0</v>
      </c>
      <c r="AC716" s="443">
        <f>IF(U716&gt;0,Ruimtestaat[[#This Row],[Prest. (m2 / jaar) werkdagen BSO]]/Ruimtestaat[[#This Row],[Norm (m2/uur) werkdagen]],0)</f>
        <v>0</v>
      </c>
      <c r="AD716" s="443">
        <f>Ruimtestaat[[#This Row],[uren / jaar werkdagen BSO]]*Tariefsopbouw!$E$35</f>
        <v>0</v>
      </c>
      <c r="AE716" s="444">
        <f>Ruimtestaat[[#This Row],[uren / jaar werkdagen]]*Tariefsopbouw!$E$35</f>
        <v>0</v>
      </c>
      <c r="AF716" s="454"/>
      <c r="AG716" s="455">
        <f>IF(Ruimtestaat[[#This Row],[Frequentie weekend]]&gt;0,VALUE(LEFT(AF716,1))*S716,0)</f>
        <v>0</v>
      </c>
      <c r="AH716" s="455">
        <f>IF($AG716&gt;0,VLOOKUP($J716,Ruimtegroepen[],3,FALSE)*VLOOKUP($L716,Vloersoorten[],3,FALSE)*VLOOKUP($AF716,Frequenties[],3,FALSE)*VLOOKUP(#REF!,Locaties[],3,FALSE),0)</f>
        <v>0</v>
      </c>
      <c r="AI716" s="434">
        <f>Ruimtestaat[[#This Row],[Uitvoeringen weekend]]*Ruimtestaat[[#This Row],[Oppervlak (netto)]]</f>
        <v>0</v>
      </c>
      <c r="AJ716" s="434">
        <f>IF(AH716&gt;0,Ruimtestaat[[#This Row],[Prest. (m2 /jaar) weekend]]/Ruimtestaat[[#This Row],[Norm (m2/uur) weekend]],0)</f>
        <v>0</v>
      </c>
      <c r="AK716" s="444">
        <f>Ruimtestaat[[#This Row],[uren / jaar weekend]]*Tariefsopbouw!$D$40</f>
        <v>0</v>
      </c>
      <c r="AL716" s="441">
        <f>Ruimtestaat[[#This Row],[Prest. (m2 /jaar) weekend]]+Ruimtestaat[[#This Row],[Prest. (m2 /jaar) werkdagen]]</f>
        <v>0</v>
      </c>
      <c r="AM716" s="441">
        <f>Ruimtestaat[[#This Row],[uren / jaar weekend]]+Ruimtestaat[[#This Row],[uren / jaar werkdagen]]</f>
        <v>0</v>
      </c>
      <c r="AN716" s="446">
        <f>Ruimtestaat[[#This Row],[kosten / jaar weekend]]+Ruimtestaat[[#This Row],[kosten / jaar werkdagen]]</f>
        <v>0</v>
      </c>
      <c r="AO716" s="446"/>
      <c r="AP716" s="446" t="str">
        <f>IF(Ruimtestaat[[#This Row],[Frequentie werkdagen]]="","",_xlfn.CONCAT(Ruimtestaat[[#This Row],[Ruimte code]],"-",Ruimtestaat[[#This Row],[Frequentie werkdagen]]," ",Ruimtestaat[[#This Row],[Vloer code]]))</f>
        <v/>
      </c>
      <c r="AQ716" s="448" t="str">
        <f>_xlfn.IFNA(VLOOKUP($AP716,Programma!$F$3:$G$1101,2,0),"")</f>
        <v/>
      </c>
      <c r="AR716" s="448" t="str">
        <f>_xlfn.IFNA(VLOOKUP($AP716,Programma!$F$3:$H$1101,3,0),"")</f>
        <v/>
      </c>
      <c r="AS716" s="448" t="str">
        <f>_xlfn.IFNA(VLOOKUP($AP716,Programma!$F$3:$I$1101,4,0),"")</f>
        <v/>
      </c>
      <c r="AT716" s="448" t="str">
        <f>_xlfn.IFNA(VLOOKUP($AP716,Programma!$F$3:$J$1101,5,0),"")</f>
        <v/>
      </c>
      <c r="AU716" s="448" t="str">
        <f>_xlfn.IFNA(VLOOKUP($AP716,Programma!$F$3:$K$1101,6,0),"")</f>
        <v/>
      </c>
      <c r="AV716" s="448" t="str">
        <f>_xlfn.IFNA(VLOOKUP($AP716,Programma!$F$3:$L$1101,7,0),"")</f>
        <v/>
      </c>
      <c r="AW716" s="448" t="str">
        <f>_xlfn.IFNA(VLOOKUP($AP716,Programma!$F$3:$M$1101,8,0),"")</f>
        <v/>
      </c>
      <c r="AX716" s="448" t="str">
        <f>_xlfn.IFNA(VLOOKUP($AP716,Programma!$F$3:$N$1101,9,0),"")</f>
        <v/>
      </c>
      <c r="AY716" s="448" t="str">
        <f>_xlfn.IFNA(VLOOKUP($AP716,Programma!$F$3:$O$1101,10,0),"")</f>
        <v/>
      </c>
      <c r="AZ716" s="448" t="str">
        <f>_xlfn.IFNA(VLOOKUP($AP716,Programma!$F$3:$P$1101,11,0),"")</f>
        <v/>
      </c>
      <c r="BA716" s="448" t="str">
        <f>_xlfn.IFNA(VLOOKUP($AP716,Programma!$F$3:$Q$1101,12,0),"")</f>
        <v/>
      </c>
      <c r="BB716" s="448" t="str">
        <f>_xlfn.IFNA(VLOOKUP($AP716,Programma!$F$3:$R$1101,13,0),"")</f>
        <v/>
      </c>
      <c r="BC716" s="448" t="str">
        <f>_xlfn.IFNA(VLOOKUP($AP716,Programma!$F$3:$S$1101,14,0),"")</f>
        <v/>
      </c>
      <c r="BD716" s="448" t="str">
        <f>_xlfn.IFNA(VLOOKUP($AP716,Programma!$F$3:$T$1101,15,0),"")</f>
        <v/>
      </c>
      <c r="BE716" s="448" t="str">
        <f>_xlfn.IFNA(VLOOKUP($AP716,Programma!$F$3:$U$1101,16,0),"")</f>
        <v/>
      </c>
      <c r="BF716" s="448" t="str">
        <f>_xlfn.IFNA(VLOOKUP($AP716,Programma!$F$3:$V$1101,17,0),"")</f>
        <v/>
      </c>
      <c r="BG716" s="448" t="str">
        <f>_xlfn.IFNA(VLOOKUP($AP716,Programma!$F$3:$W$1101,18,0),"")</f>
        <v/>
      </c>
      <c r="BH716" s="448" t="str">
        <f>_xlfn.IFNA(VLOOKUP($AP716,Programma!$F$3:$X$1101,19,0),"")</f>
        <v/>
      </c>
      <c r="BI716" s="448" t="str">
        <f>_xlfn.IFNA(VLOOKUP($AP716,Programma!$F$3:$Y$1101,20,0),"")</f>
        <v/>
      </c>
      <c r="BJ716" s="449"/>
      <c r="BK716" s="446" t="str">
        <f>IF(Ruimtestaat[[#This Row],[Frequentie weekend]]="","",_xlfn.CONCAT(Ruimtestaat[[#This Row],[Ruimte code]],"-",Ruimtestaat[[#This Row],[Frequentie weekend]]," ",Ruimtestaat[[#This Row],[Vloer code]]))</f>
        <v/>
      </c>
      <c r="BL716" s="448" t="str">
        <f>_xlfn.IFNA(VLOOKUP($BK716,Programma!$F$3:$G$1101,2,0),"")</f>
        <v/>
      </c>
      <c r="BM716" s="448" t="str">
        <f>_xlfn.IFNA(VLOOKUP($BK716,Programma!$F$3:$H$1101,3,0),"")</f>
        <v/>
      </c>
      <c r="BN716" s="448" t="str">
        <f>_xlfn.IFNA(VLOOKUP($BK716,Programma!$F$3:$I$1101,4,0),"")</f>
        <v/>
      </c>
      <c r="BO716" s="448" t="str">
        <f>_xlfn.IFNA(VLOOKUP($BK716,Programma!$F$3:$J$1101,5,0),"")</f>
        <v/>
      </c>
      <c r="BP716" s="448" t="str">
        <f>_xlfn.IFNA(VLOOKUP($BK716,Programma!$F$3:$K$1101,6,0),"")</f>
        <v/>
      </c>
      <c r="BQ716" s="448" t="str">
        <f>_xlfn.IFNA(VLOOKUP($BK716,Programma!$F$3:$L$1101,7,0),"")</f>
        <v/>
      </c>
      <c r="BR716" s="448" t="str">
        <f>_xlfn.IFNA(VLOOKUP($BK716,Programma!$F$3:$M$1101,8,0),"")</f>
        <v/>
      </c>
      <c r="BS716" s="448" t="str">
        <f>_xlfn.IFNA(VLOOKUP($BK716,Programma!$F$3:$N$1101,9,0),"")</f>
        <v/>
      </c>
      <c r="BT716" s="448" t="str">
        <f>_xlfn.IFNA(VLOOKUP($BK716,Programma!$F$3:$O$1101,10,0),"")</f>
        <v/>
      </c>
      <c r="BU716" s="448" t="str">
        <f>_xlfn.IFNA(VLOOKUP($BK716,Programma!$F$3:$P$1101,11,0),"")</f>
        <v/>
      </c>
      <c r="BV716" s="448" t="str">
        <f>_xlfn.IFNA(VLOOKUP($BK716,Programma!$F$3:$Q$1101,12,0),"")</f>
        <v/>
      </c>
      <c r="BW716" s="448" t="str">
        <f>_xlfn.IFNA(VLOOKUP($BK716,Programma!$F$3:$R$1101,13,0),"")</f>
        <v/>
      </c>
      <c r="BX716" s="448" t="str">
        <f>_xlfn.IFNA(VLOOKUP($BK716,Programma!$F$3:$S$1101,14,0),"")</f>
        <v/>
      </c>
      <c r="BY716" s="448" t="str">
        <f>_xlfn.IFNA(VLOOKUP($BK716,Programma!$F$3:$T$1101,15,0),"")</f>
        <v/>
      </c>
      <c r="BZ716" s="448" t="str">
        <f>_xlfn.IFNA(VLOOKUP($BK716,Programma!$F$3:$U$1101,16,0),"")</f>
        <v/>
      </c>
      <c r="CA716" s="448" t="str">
        <f>_xlfn.IFNA(VLOOKUP($BK716,Programma!$F$3:$V$1101,17,0),"")</f>
        <v/>
      </c>
      <c r="CB716" s="448" t="str">
        <f>_xlfn.IFNA(VLOOKUP($BK716,Programma!$F$3:$W$1101,18,0),"")</f>
        <v/>
      </c>
      <c r="CC716" s="448" t="str">
        <f>_xlfn.IFNA(VLOOKUP($BK716,Programma!$F$3:$X$1101,19,0),"")</f>
        <v/>
      </c>
      <c r="CD716" s="448" t="str">
        <f>_xlfn.IFNA(VLOOKUP($BK716,Programma!$F$3:$Y$1101,20,0),"")</f>
        <v/>
      </c>
    </row>
    <row r="717" spans="1:82" ht="15" customHeight="1">
      <c r="A717" s="327">
        <v>15</v>
      </c>
      <c r="B717" s="435" t="str">
        <f>VLOOKUP(Ruimtestaat[[#This Row],[Code]],Locaties[[Code]:[Locatie]],2,FALSE)</f>
        <v>IKC  Da Vinci</v>
      </c>
      <c r="C717" s="435" t="str">
        <f>VLOOKUP(Ruimtestaat[[#This Row],[Code]],Locaties[[#All],[Code]:[Adres]],4,FALSE)</f>
        <v>Spitsbergen 17</v>
      </c>
      <c r="D717" s="435" t="str">
        <f>VLOOKUP(Ruimtestaat[[#This Row],[Code]],Locaties[[#All],[Code]:[Postcode]],5,FALSE)</f>
        <v>2721 GP</v>
      </c>
      <c r="E717" s="435" t="str">
        <f>VLOOKUP(Ruimtestaat[[#This Row],[Code]],Locaties[#All],6,FALSE)</f>
        <v>Zoetermeer</v>
      </c>
      <c r="F717" s="330" t="s">
        <v>2154</v>
      </c>
      <c r="I717" s="450" t="s">
        <v>1992</v>
      </c>
      <c r="J717" s="330">
        <v>20</v>
      </c>
      <c r="K717" s="450" t="str">
        <f>VLOOKUP(Ruimtestaat[[#This Row],[Ruimte code]],Ruimtegroepen[[#All],[Code]:[Ruimte omschrijving]],2,FALSE)</f>
        <v>Niet in Onderhoud</v>
      </c>
      <c r="M717" s="330"/>
      <c r="N717" s="439"/>
      <c r="O717" s="439">
        <v>57</v>
      </c>
      <c r="P717" s="439"/>
      <c r="Q717" s="439"/>
      <c r="R717" s="440">
        <f>VLOOKUP(Ruimtestaat[[#This Row],[Ruimte code]],Ruimtegroepen[],4,FALSE)</f>
        <v>0</v>
      </c>
      <c r="S717" s="434"/>
      <c r="T717" s="434"/>
      <c r="U717" s="453">
        <f>IF(S717&gt;0,IF(RIGHT(Ruimtestaat[[#This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7" s="434">
        <f>IF(U717&gt;0,VLOOKUP($J717,Ruimtegroepen[],3,FALSE)*VLOOKUP($L717,Vloersoorten[],3,FALSE)*VLOOKUP($T717,Frequenties[],3,FALSE)*VLOOKUP($A717,Locaties[],3,FALSE),0)</f>
        <v>0</v>
      </c>
      <c r="W717" s="434">
        <f>Ruimtestaat[[#This Row],[Uitvoeringen werkdagen]]*Ruimtestaat[[#This Row],[Oppervlak (netto)]]</f>
        <v>0</v>
      </c>
      <c r="X717" s="441">
        <f>IF(V717&gt;0,Ruimtestaat[[#This Row],[Prest. (m2 /jaar) werkdagen]]/Ruimtestaat[[#This Row],[Norm (m2/uur) werkdagen]],0)</f>
        <v>0</v>
      </c>
      <c r="Y717" s="442">
        <f>Ruimtestaat[[#This Row],[Uitvoeringen werkdagen]]*Ruimtestaat[[#This Row],[Gedeeltelijk]]</f>
        <v>0</v>
      </c>
      <c r="Z717" s="443">
        <f>IF(U717&gt;0,Ruimtestaat[[#This Row],[Prest. (m2 / jaar) werkdagen gedeeld]]/Ruimtestaat[[#This Row],[Norm (m2/uur) werkdagen]],0)</f>
        <v>0</v>
      </c>
      <c r="AA717" s="441">
        <f>Ruimtestaat[[#This Row],[uren / jaar werkdagen gedeeld]]*Tariefsopbouw!$E$35</f>
        <v>0</v>
      </c>
      <c r="AB717" s="441">
        <f>Ruimtestaat[[#This Row],[Uitvoeringen werkdagen]]*Ruimtestaat[[#This Row],[BSO]]</f>
        <v>0</v>
      </c>
      <c r="AC717" s="443">
        <f>IF(U717&gt;0,Ruimtestaat[[#This Row],[Prest. (m2 / jaar) werkdagen BSO]]/Ruimtestaat[[#This Row],[Norm (m2/uur) werkdagen]],0)</f>
        <v>0</v>
      </c>
      <c r="AD717" s="443">
        <f>Ruimtestaat[[#This Row],[uren / jaar werkdagen BSO]]*Tariefsopbouw!$E$35</f>
        <v>0</v>
      </c>
      <c r="AE717" s="444">
        <f>Ruimtestaat[[#This Row],[uren / jaar werkdagen]]*Tariefsopbouw!$E$35</f>
        <v>0</v>
      </c>
      <c r="AF717" s="454"/>
      <c r="AG717" s="455">
        <f>IF(Ruimtestaat[[#This Row],[Frequentie weekend]]&gt;0,VALUE(LEFT(AF717,1))*S717,0)</f>
        <v>0</v>
      </c>
      <c r="AH717" s="455">
        <f>IF($AG717&gt;0,VLOOKUP($J717,Ruimtegroepen[],3,FALSE)*VLOOKUP($L717,Vloersoorten[],3,FALSE)*VLOOKUP($AF717,Frequenties[],3,FALSE)*VLOOKUP(#REF!,Locaties[],3,FALSE),0)</f>
        <v>0</v>
      </c>
      <c r="AI717" s="434">
        <f>Ruimtestaat[[#This Row],[Uitvoeringen weekend]]*Ruimtestaat[[#This Row],[Oppervlak (netto)]]</f>
        <v>0</v>
      </c>
      <c r="AJ717" s="434">
        <f>IF(AH717&gt;0,Ruimtestaat[[#This Row],[Prest. (m2 /jaar) weekend]]/Ruimtestaat[[#This Row],[Norm (m2/uur) weekend]],0)</f>
        <v>0</v>
      </c>
      <c r="AK717" s="444">
        <f>Ruimtestaat[[#This Row],[uren / jaar weekend]]*Tariefsopbouw!$D$40</f>
        <v>0</v>
      </c>
      <c r="AL717" s="441">
        <f>Ruimtestaat[[#This Row],[Prest. (m2 /jaar) weekend]]+Ruimtestaat[[#This Row],[Prest. (m2 /jaar) werkdagen]]</f>
        <v>0</v>
      </c>
      <c r="AM717" s="441">
        <f>Ruimtestaat[[#This Row],[uren / jaar weekend]]+Ruimtestaat[[#This Row],[uren / jaar werkdagen]]</f>
        <v>0</v>
      </c>
      <c r="AN717" s="446">
        <f>Ruimtestaat[[#This Row],[kosten / jaar weekend]]+Ruimtestaat[[#This Row],[kosten / jaar werkdagen]]</f>
        <v>0</v>
      </c>
      <c r="AO717" s="446"/>
      <c r="AP717" s="446" t="str">
        <f>IF(Ruimtestaat[[#This Row],[Frequentie werkdagen]]="","",_xlfn.CONCAT(Ruimtestaat[[#This Row],[Ruimte code]],"-",Ruimtestaat[[#This Row],[Frequentie werkdagen]]," ",Ruimtestaat[[#This Row],[Vloer code]]))</f>
        <v/>
      </c>
      <c r="AQ717" s="448" t="str">
        <f>_xlfn.IFNA(VLOOKUP($AP717,Programma!$F$3:$G$1101,2,0),"")</f>
        <v/>
      </c>
      <c r="AR717" s="448" t="str">
        <f>_xlfn.IFNA(VLOOKUP($AP717,Programma!$F$3:$H$1101,3,0),"")</f>
        <v/>
      </c>
      <c r="AS717" s="448" t="str">
        <f>_xlfn.IFNA(VLOOKUP($AP717,Programma!$F$3:$I$1101,4,0),"")</f>
        <v/>
      </c>
      <c r="AT717" s="448" t="str">
        <f>_xlfn.IFNA(VLOOKUP($AP717,Programma!$F$3:$J$1101,5,0),"")</f>
        <v/>
      </c>
      <c r="AU717" s="448" t="str">
        <f>_xlfn.IFNA(VLOOKUP($AP717,Programma!$F$3:$K$1101,6,0),"")</f>
        <v/>
      </c>
      <c r="AV717" s="448" t="str">
        <f>_xlfn.IFNA(VLOOKUP($AP717,Programma!$F$3:$L$1101,7,0),"")</f>
        <v/>
      </c>
      <c r="AW717" s="448" t="str">
        <f>_xlfn.IFNA(VLOOKUP($AP717,Programma!$F$3:$M$1101,8,0),"")</f>
        <v/>
      </c>
      <c r="AX717" s="448" t="str">
        <f>_xlfn.IFNA(VLOOKUP($AP717,Programma!$F$3:$N$1101,9,0),"")</f>
        <v/>
      </c>
      <c r="AY717" s="448" t="str">
        <f>_xlfn.IFNA(VLOOKUP($AP717,Programma!$F$3:$O$1101,10,0),"")</f>
        <v/>
      </c>
      <c r="AZ717" s="448" t="str">
        <f>_xlfn.IFNA(VLOOKUP($AP717,Programma!$F$3:$P$1101,11,0),"")</f>
        <v/>
      </c>
      <c r="BA717" s="448" t="str">
        <f>_xlfn.IFNA(VLOOKUP($AP717,Programma!$F$3:$Q$1101,12,0),"")</f>
        <v/>
      </c>
      <c r="BB717" s="448" t="str">
        <f>_xlfn.IFNA(VLOOKUP($AP717,Programma!$F$3:$R$1101,13,0),"")</f>
        <v/>
      </c>
      <c r="BC717" s="448" t="str">
        <f>_xlfn.IFNA(VLOOKUP($AP717,Programma!$F$3:$S$1101,14,0),"")</f>
        <v/>
      </c>
      <c r="BD717" s="448" t="str">
        <f>_xlfn.IFNA(VLOOKUP($AP717,Programma!$F$3:$T$1101,15,0),"")</f>
        <v/>
      </c>
      <c r="BE717" s="448" t="str">
        <f>_xlfn.IFNA(VLOOKUP($AP717,Programma!$F$3:$U$1101,16,0),"")</f>
        <v/>
      </c>
      <c r="BF717" s="448" t="str">
        <f>_xlfn.IFNA(VLOOKUP($AP717,Programma!$F$3:$V$1101,17,0),"")</f>
        <v/>
      </c>
      <c r="BG717" s="448" t="str">
        <f>_xlfn.IFNA(VLOOKUP($AP717,Programma!$F$3:$W$1101,18,0),"")</f>
        <v/>
      </c>
      <c r="BH717" s="448" t="str">
        <f>_xlfn.IFNA(VLOOKUP($AP717,Programma!$F$3:$X$1101,19,0),"")</f>
        <v/>
      </c>
      <c r="BI717" s="448" t="str">
        <f>_xlfn.IFNA(VLOOKUP($AP717,Programma!$F$3:$Y$1101,20,0),"")</f>
        <v/>
      </c>
      <c r="BJ717" s="449"/>
      <c r="BK717" s="446" t="str">
        <f>IF(Ruimtestaat[[#This Row],[Frequentie weekend]]="","",_xlfn.CONCAT(Ruimtestaat[[#This Row],[Ruimte code]],"-",Ruimtestaat[[#This Row],[Frequentie weekend]]," ",Ruimtestaat[[#This Row],[Vloer code]]))</f>
        <v/>
      </c>
      <c r="BL717" s="448" t="str">
        <f>_xlfn.IFNA(VLOOKUP($BK717,Programma!$F$3:$G$1101,2,0),"")</f>
        <v/>
      </c>
      <c r="BM717" s="448" t="str">
        <f>_xlfn.IFNA(VLOOKUP($BK717,Programma!$F$3:$H$1101,3,0),"")</f>
        <v/>
      </c>
      <c r="BN717" s="448" t="str">
        <f>_xlfn.IFNA(VLOOKUP($BK717,Programma!$F$3:$I$1101,4,0),"")</f>
        <v/>
      </c>
      <c r="BO717" s="448" t="str">
        <f>_xlfn.IFNA(VLOOKUP($BK717,Programma!$F$3:$J$1101,5,0),"")</f>
        <v/>
      </c>
      <c r="BP717" s="448" t="str">
        <f>_xlfn.IFNA(VLOOKUP($BK717,Programma!$F$3:$K$1101,6,0),"")</f>
        <v/>
      </c>
      <c r="BQ717" s="448" t="str">
        <f>_xlfn.IFNA(VLOOKUP($BK717,Programma!$F$3:$L$1101,7,0),"")</f>
        <v/>
      </c>
      <c r="BR717" s="448" t="str">
        <f>_xlfn.IFNA(VLOOKUP($BK717,Programma!$F$3:$M$1101,8,0),"")</f>
        <v/>
      </c>
      <c r="BS717" s="448" t="str">
        <f>_xlfn.IFNA(VLOOKUP($BK717,Programma!$F$3:$N$1101,9,0),"")</f>
        <v/>
      </c>
      <c r="BT717" s="448" t="str">
        <f>_xlfn.IFNA(VLOOKUP($BK717,Programma!$F$3:$O$1101,10,0),"")</f>
        <v/>
      </c>
      <c r="BU717" s="448" t="str">
        <f>_xlfn.IFNA(VLOOKUP($BK717,Programma!$F$3:$P$1101,11,0),"")</f>
        <v/>
      </c>
      <c r="BV717" s="448" t="str">
        <f>_xlfn.IFNA(VLOOKUP($BK717,Programma!$F$3:$Q$1101,12,0),"")</f>
        <v/>
      </c>
      <c r="BW717" s="448" t="str">
        <f>_xlfn.IFNA(VLOOKUP($BK717,Programma!$F$3:$R$1101,13,0),"")</f>
        <v/>
      </c>
      <c r="BX717" s="448" t="str">
        <f>_xlfn.IFNA(VLOOKUP($BK717,Programma!$F$3:$S$1101,14,0),"")</f>
        <v/>
      </c>
      <c r="BY717" s="448" t="str">
        <f>_xlfn.IFNA(VLOOKUP($BK717,Programma!$F$3:$T$1101,15,0),"")</f>
        <v/>
      </c>
      <c r="BZ717" s="448" t="str">
        <f>_xlfn.IFNA(VLOOKUP($BK717,Programma!$F$3:$U$1101,16,0),"")</f>
        <v/>
      </c>
      <c r="CA717" s="448" t="str">
        <f>_xlfn.IFNA(VLOOKUP($BK717,Programma!$F$3:$V$1101,17,0),"")</f>
        <v/>
      </c>
      <c r="CB717" s="448" t="str">
        <f>_xlfn.IFNA(VLOOKUP($BK717,Programma!$F$3:$W$1101,18,0),"")</f>
        <v/>
      </c>
      <c r="CC717" s="448" t="str">
        <f>_xlfn.IFNA(VLOOKUP($BK717,Programma!$F$3:$X$1101,19,0),"")</f>
        <v/>
      </c>
      <c r="CD717" s="448" t="str">
        <f>_xlfn.IFNA(VLOOKUP($BK717,Programma!$F$3:$Y$1101,20,0),"")</f>
        <v/>
      </c>
    </row>
    <row r="718" spans="1:82" ht="15" customHeight="1">
      <c r="A718" s="327">
        <v>15</v>
      </c>
      <c r="B718" s="435" t="str">
        <f>VLOOKUP(Ruimtestaat[[#This Row],[Code]],Locaties[[Code]:[Locatie]],2,FALSE)</f>
        <v>IKC  Da Vinci</v>
      </c>
      <c r="C718" s="435" t="str">
        <f>VLOOKUP(Ruimtestaat[[#This Row],[Code]],Locaties[[#All],[Code]:[Adres]],4,FALSE)</f>
        <v>Spitsbergen 17</v>
      </c>
      <c r="D718" s="435" t="str">
        <f>VLOOKUP(Ruimtestaat[[#This Row],[Code]],Locaties[[#All],[Code]:[Postcode]],5,FALSE)</f>
        <v>2721 GP</v>
      </c>
      <c r="E718" s="435" t="str">
        <f>VLOOKUP(Ruimtestaat[[#This Row],[Code]],Locaties[#All],6,FALSE)</f>
        <v>Zoetermeer</v>
      </c>
      <c r="F718" s="330" t="s">
        <v>2154</v>
      </c>
      <c r="I718" s="450" t="s">
        <v>1992</v>
      </c>
      <c r="J718" s="330">
        <v>20</v>
      </c>
      <c r="K718" s="450" t="str">
        <f>VLOOKUP(Ruimtestaat[[#This Row],[Ruimte code]],Ruimtegroepen[[#All],[Code]:[Ruimte omschrijving]],2,FALSE)</f>
        <v>Niet in Onderhoud</v>
      </c>
      <c r="M718" s="330"/>
      <c r="N718" s="439"/>
      <c r="O718" s="439">
        <v>56</v>
      </c>
      <c r="P718" s="439"/>
      <c r="Q718" s="439"/>
      <c r="R718" s="440">
        <f>VLOOKUP(Ruimtestaat[[#This Row],[Ruimte code]],Ruimtegroepen[],4,FALSE)</f>
        <v>0</v>
      </c>
      <c r="S718" s="434"/>
      <c r="T718" s="434"/>
      <c r="U718" s="453">
        <f>IF(S718&gt;0,IF(RIGHT(Ruimtestaat[[#This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8" s="434">
        <f>IF(U718&gt;0,VLOOKUP($J718,Ruimtegroepen[],3,FALSE)*VLOOKUP($L718,Vloersoorten[],3,FALSE)*VLOOKUP($T718,Frequenties[],3,FALSE)*VLOOKUP($A718,Locaties[],3,FALSE),0)</f>
        <v>0</v>
      </c>
      <c r="W718" s="434">
        <f>Ruimtestaat[[#This Row],[Uitvoeringen werkdagen]]*Ruimtestaat[[#This Row],[Oppervlak (netto)]]</f>
        <v>0</v>
      </c>
      <c r="X718" s="441">
        <f>IF(V718&gt;0,Ruimtestaat[[#This Row],[Prest. (m2 /jaar) werkdagen]]/Ruimtestaat[[#This Row],[Norm (m2/uur) werkdagen]],0)</f>
        <v>0</v>
      </c>
      <c r="Y718" s="442">
        <f>Ruimtestaat[[#This Row],[Uitvoeringen werkdagen]]*Ruimtestaat[[#This Row],[Gedeeltelijk]]</f>
        <v>0</v>
      </c>
      <c r="Z718" s="443">
        <f>IF(U718&gt;0,Ruimtestaat[[#This Row],[Prest. (m2 / jaar) werkdagen gedeeld]]/Ruimtestaat[[#This Row],[Norm (m2/uur) werkdagen]],0)</f>
        <v>0</v>
      </c>
      <c r="AA718" s="441">
        <f>Ruimtestaat[[#This Row],[uren / jaar werkdagen gedeeld]]*Tariefsopbouw!$E$35</f>
        <v>0</v>
      </c>
      <c r="AB718" s="441">
        <f>Ruimtestaat[[#This Row],[Uitvoeringen werkdagen]]*Ruimtestaat[[#This Row],[BSO]]</f>
        <v>0</v>
      </c>
      <c r="AC718" s="443">
        <f>IF(U718&gt;0,Ruimtestaat[[#This Row],[Prest. (m2 / jaar) werkdagen BSO]]/Ruimtestaat[[#This Row],[Norm (m2/uur) werkdagen]],0)</f>
        <v>0</v>
      </c>
      <c r="AD718" s="443">
        <f>Ruimtestaat[[#This Row],[uren / jaar werkdagen BSO]]*Tariefsopbouw!$E$35</f>
        <v>0</v>
      </c>
      <c r="AE718" s="444">
        <f>Ruimtestaat[[#This Row],[uren / jaar werkdagen]]*Tariefsopbouw!$E$35</f>
        <v>0</v>
      </c>
      <c r="AF718" s="454"/>
      <c r="AG718" s="455">
        <f>IF(Ruimtestaat[[#This Row],[Frequentie weekend]]&gt;0,VALUE(LEFT(AF718,1))*S718,0)</f>
        <v>0</v>
      </c>
      <c r="AH718" s="455">
        <f>IF($AG718&gt;0,VLOOKUP($J718,Ruimtegroepen[],3,FALSE)*VLOOKUP($L718,Vloersoorten[],3,FALSE)*VLOOKUP($AF718,Frequenties[],3,FALSE)*VLOOKUP(#REF!,Locaties[],3,FALSE),0)</f>
        <v>0</v>
      </c>
      <c r="AI718" s="434">
        <f>Ruimtestaat[[#This Row],[Uitvoeringen weekend]]*Ruimtestaat[[#This Row],[Oppervlak (netto)]]</f>
        <v>0</v>
      </c>
      <c r="AJ718" s="434">
        <f>IF(AH718&gt;0,Ruimtestaat[[#This Row],[Prest. (m2 /jaar) weekend]]/Ruimtestaat[[#This Row],[Norm (m2/uur) weekend]],0)</f>
        <v>0</v>
      </c>
      <c r="AK718" s="444">
        <f>Ruimtestaat[[#This Row],[uren / jaar weekend]]*Tariefsopbouw!$D$40</f>
        <v>0</v>
      </c>
      <c r="AL718" s="441">
        <f>Ruimtestaat[[#This Row],[Prest. (m2 /jaar) weekend]]+Ruimtestaat[[#This Row],[Prest. (m2 /jaar) werkdagen]]</f>
        <v>0</v>
      </c>
      <c r="AM718" s="441">
        <f>Ruimtestaat[[#This Row],[uren / jaar weekend]]+Ruimtestaat[[#This Row],[uren / jaar werkdagen]]</f>
        <v>0</v>
      </c>
      <c r="AN718" s="446">
        <f>Ruimtestaat[[#This Row],[kosten / jaar weekend]]+Ruimtestaat[[#This Row],[kosten / jaar werkdagen]]</f>
        <v>0</v>
      </c>
      <c r="AO718" s="446"/>
      <c r="AP718" s="446" t="str">
        <f>IF(Ruimtestaat[[#This Row],[Frequentie werkdagen]]="","",_xlfn.CONCAT(Ruimtestaat[[#This Row],[Ruimte code]],"-",Ruimtestaat[[#This Row],[Frequentie werkdagen]]," ",Ruimtestaat[[#This Row],[Vloer code]]))</f>
        <v/>
      </c>
      <c r="AQ718" s="448" t="str">
        <f>_xlfn.IFNA(VLOOKUP($AP718,Programma!$F$3:$G$1101,2,0),"")</f>
        <v/>
      </c>
      <c r="AR718" s="448" t="str">
        <f>_xlfn.IFNA(VLOOKUP($AP718,Programma!$F$3:$H$1101,3,0),"")</f>
        <v/>
      </c>
      <c r="AS718" s="448" t="str">
        <f>_xlfn.IFNA(VLOOKUP($AP718,Programma!$F$3:$I$1101,4,0),"")</f>
        <v/>
      </c>
      <c r="AT718" s="448" t="str">
        <f>_xlfn.IFNA(VLOOKUP($AP718,Programma!$F$3:$J$1101,5,0),"")</f>
        <v/>
      </c>
      <c r="AU718" s="448" t="str">
        <f>_xlfn.IFNA(VLOOKUP($AP718,Programma!$F$3:$K$1101,6,0),"")</f>
        <v/>
      </c>
      <c r="AV718" s="448" t="str">
        <f>_xlfn.IFNA(VLOOKUP($AP718,Programma!$F$3:$L$1101,7,0),"")</f>
        <v/>
      </c>
      <c r="AW718" s="448" t="str">
        <f>_xlfn.IFNA(VLOOKUP($AP718,Programma!$F$3:$M$1101,8,0),"")</f>
        <v/>
      </c>
      <c r="AX718" s="448" t="str">
        <f>_xlfn.IFNA(VLOOKUP($AP718,Programma!$F$3:$N$1101,9,0),"")</f>
        <v/>
      </c>
      <c r="AY718" s="448" t="str">
        <f>_xlfn.IFNA(VLOOKUP($AP718,Programma!$F$3:$O$1101,10,0),"")</f>
        <v/>
      </c>
      <c r="AZ718" s="448" t="str">
        <f>_xlfn.IFNA(VLOOKUP($AP718,Programma!$F$3:$P$1101,11,0),"")</f>
        <v/>
      </c>
      <c r="BA718" s="448" t="str">
        <f>_xlfn.IFNA(VLOOKUP($AP718,Programma!$F$3:$Q$1101,12,0),"")</f>
        <v/>
      </c>
      <c r="BB718" s="448" t="str">
        <f>_xlfn.IFNA(VLOOKUP($AP718,Programma!$F$3:$R$1101,13,0),"")</f>
        <v/>
      </c>
      <c r="BC718" s="448" t="str">
        <f>_xlfn.IFNA(VLOOKUP($AP718,Programma!$F$3:$S$1101,14,0),"")</f>
        <v/>
      </c>
      <c r="BD718" s="448" t="str">
        <f>_xlfn.IFNA(VLOOKUP($AP718,Programma!$F$3:$T$1101,15,0),"")</f>
        <v/>
      </c>
      <c r="BE718" s="448" t="str">
        <f>_xlfn.IFNA(VLOOKUP($AP718,Programma!$F$3:$U$1101,16,0),"")</f>
        <v/>
      </c>
      <c r="BF718" s="448" t="str">
        <f>_xlfn.IFNA(VLOOKUP($AP718,Programma!$F$3:$V$1101,17,0),"")</f>
        <v/>
      </c>
      <c r="BG718" s="448" t="str">
        <f>_xlfn.IFNA(VLOOKUP($AP718,Programma!$F$3:$W$1101,18,0),"")</f>
        <v/>
      </c>
      <c r="BH718" s="448" t="str">
        <f>_xlfn.IFNA(VLOOKUP($AP718,Programma!$F$3:$X$1101,19,0),"")</f>
        <v/>
      </c>
      <c r="BI718" s="448" t="str">
        <f>_xlfn.IFNA(VLOOKUP($AP718,Programma!$F$3:$Y$1101,20,0),"")</f>
        <v/>
      </c>
      <c r="BJ718" s="449"/>
      <c r="BK718" s="446" t="str">
        <f>IF(Ruimtestaat[[#This Row],[Frequentie weekend]]="","",_xlfn.CONCAT(Ruimtestaat[[#This Row],[Ruimte code]],"-",Ruimtestaat[[#This Row],[Frequentie weekend]]," ",Ruimtestaat[[#This Row],[Vloer code]]))</f>
        <v/>
      </c>
      <c r="BL718" s="448" t="str">
        <f>_xlfn.IFNA(VLOOKUP($BK718,Programma!$F$3:$G$1101,2,0),"")</f>
        <v/>
      </c>
      <c r="BM718" s="448" t="str">
        <f>_xlfn.IFNA(VLOOKUP($BK718,Programma!$F$3:$H$1101,3,0),"")</f>
        <v/>
      </c>
      <c r="BN718" s="448" t="str">
        <f>_xlfn.IFNA(VLOOKUP($BK718,Programma!$F$3:$I$1101,4,0),"")</f>
        <v/>
      </c>
      <c r="BO718" s="448" t="str">
        <f>_xlfn.IFNA(VLOOKUP($BK718,Programma!$F$3:$J$1101,5,0),"")</f>
        <v/>
      </c>
      <c r="BP718" s="448" t="str">
        <f>_xlfn.IFNA(VLOOKUP($BK718,Programma!$F$3:$K$1101,6,0),"")</f>
        <v/>
      </c>
      <c r="BQ718" s="448" t="str">
        <f>_xlfn.IFNA(VLOOKUP($BK718,Programma!$F$3:$L$1101,7,0),"")</f>
        <v/>
      </c>
      <c r="BR718" s="448" t="str">
        <f>_xlfn.IFNA(VLOOKUP($BK718,Programma!$F$3:$M$1101,8,0),"")</f>
        <v/>
      </c>
      <c r="BS718" s="448" t="str">
        <f>_xlfn.IFNA(VLOOKUP($BK718,Programma!$F$3:$N$1101,9,0),"")</f>
        <v/>
      </c>
      <c r="BT718" s="448" t="str">
        <f>_xlfn.IFNA(VLOOKUP($BK718,Programma!$F$3:$O$1101,10,0),"")</f>
        <v/>
      </c>
      <c r="BU718" s="448" t="str">
        <f>_xlfn.IFNA(VLOOKUP($BK718,Programma!$F$3:$P$1101,11,0),"")</f>
        <v/>
      </c>
      <c r="BV718" s="448" t="str">
        <f>_xlfn.IFNA(VLOOKUP($BK718,Programma!$F$3:$Q$1101,12,0),"")</f>
        <v/>
      </c>
      <c r="BW718" s="448" t="str">
        <f>_xlfn.IFNA(VLOOKUP($BK718,Programma!$F$3:$R$1101,13,0),"")</f>
        <v/>
      </c>
      <c r="BX718" s="448" t="str">
        <f>_xlfn.IFNA(VLOOKUP($BK718,Programma!$F$3:$S$1101,14,0),"")</f>
        <v/>
      </c>
      <c r="BY718" s="448" t="str">
        <f>_xlfn.IFNA(VLOOKUP($BK718,Programma!$F$3:$T$1101,15,0),"")</f>
        <v/>
      </c>
      <c r="BZ718" s="448" t="str">
        <f>_xlfn.IFNA(VLOOKUP($BK718,Programma!$F$3:$U$1101,16,0),"")</f>
        <v/>
      </c>
      <c r="CA718" s="448" t="str">
        <f>_xlfn.IFNA(VLOOKUP($BK718,Programma!$F$3:$V$1101,17,0),"")</f>
        <v/>
      </c>
      <c r="CB718" s="448" t="str">
        <f>_xlfn.IFNA(VLOOKUP($BK718,Programma!$F$3:$W$1101,18,0),"")</f>
        <v/>
      </c>
      <c r="CC718" s="448" t="str">
        <f>_xlfn.IFNA(VLOOKUP($BK718,Programma!$F$3:$X$1101,19,0),"")</f>
        <v/>
      </c>
      <c r="CD718" s="448" t="str">
        <f>_xlfn.IFNA(VLOOKUP($BK718,Programma!$F$3:$Y$1101,20,0),"")</f>
        <v/>
      </c>
    </row>
    <row r="719" spans="1:82" ht="15" customHeight="1">
      <c r="A719" s="327">
        <v>15</v>
      </c>
      <c r="B719" s="435" t="str">
        <f>VLOOKUP(Ruimtestaat[[#This Row],[Code]],Locaties[[Code]:[Locatie]],2,FALSE)</f>
        <v>IKC  Da Vinci</v>
      </c>
      <c r="C719" s="435" t="str">
        <f>VLOOKUP(Ruimtestaat[[#This Row],[Code]],Locaties[[#All],[Code]:[Adres]],4,FALSE)</f>
        <v>Spitsbergen 17</v>
      </c>
      <c r="D719" s="435" t="str">
        <f>VLOOKUP(Ruimtestaat[[#This Row],[Code]],Locaties[[#All],[Code]:[Postcode]],5,FALSE)</f>
        <v>2721 GP</v>
      </c>
      <c r="E719" s="435" t="str">
        <f>VLOOKUP(Ruimtestaat[[#This Row],[Code]],Locaties[#All],6,FALSE)</f>
        <v>Zoetermeer</v>
      </c>
      <c r="F719" s="330" t="s">
        <v>2154</v>
      </c>
      <c r="I719" s="450" t="s">
        <v>1993</v>
      </c>
      <c r="J719" s="330">
        <v>20</v>
      </c>
      <c r="K719" s="450" t="str">
        <f>VLOOKUP(Ruimtestaat[[#This Row],[Ruimte code]],Ruimtegroepen[[#All],[Code]:[Ruimte omschrijving]],2,FALSE)</f>
        <v>Niet in Onderhoud</v>
      </c>
      <c r="M719" s="330"/>
      <c r="N719" s="439"/>
      <c r="O719" s="439">
        <v>63</v>
      </c>
      <c r="P719" s="439"/>
      <c r="Q719" s="439"/>
      <c r="R719" s="440">
        <f>VLOOKUP(Ruimtestaat[[#This Row],[Ruimte code]],Ruimtegroepen[],4,FALSE)</f>
        <v>0</v>
      </c>
      <c r="S719" s="434"/>
      <c r="T719" s="434"/>
      <c r="U719" s="453">
        <f>IF(S719&gt;0,IF(RIGHT(Ruimtestaat[[#This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9" s="434">
        <f>IF(U719&gt;0,VLOOKUP($J719,Ruimtegroepen[],3,FALSE)*VLOOKUP($L719,Vloersoorten[],3,FALSE)*VLOOKUP($T719,Frequenties[],3,FALSE)*VLOOKUP($A719,Locaties[],3,FALSE),0)</f>
        <v>0</v>
      </c>
      <c r="W719" s="434">
        <f>Ruimtestaat[[#This Row],[Uitvoeringen werkdagen]]*Ruimtestaat[[#This Row],[Oppervlak (netto)]]</f>
        <v>0</v>
      </c>
      <c r="X719" s="441">
        <f>IF(V719&gt;0,Ruimtestaat[[#This Row],[Prest. (m2 /jaar) werkdagen]]/Ruimtestaat[[#This Row],[Norm (m2/uur) werkdagen]],0)</f>
        <v>0</v>
      </c>
      <c r="Y719" s="442">
        <f>Ruimtestaat[[#This Row],[Uitvoeringen werkdagen]]*Ruimtestaat[[#This Row],[Gedeeltelijk]]</f>
        <v>0</v>
      </c>
      <c r="Z719" s="443">
        <f>IF(U719&gt;0,Ruimtestaat[[#This Row],[Prest. (m2 / jaar) werkdagen gedeeld]]/Ruimtestaat[[#This Row],[Norm (m2/uur) werkdagen]],0)</f>
        <v>0</v>
      </c>
      <c r="AA719" s="441">
        <f>Ruimtestaat[[#This Row],[uren / jaar werkdagen gedeeld]]*Tariefsopbouw!$E$35</f>
        <v>0</v>
      </c>
      <c r="AB719" s="441">
        <f>Ruimtestaat[[#This Row],[Uitvoeringen werkdagen]]*Ruimtestaat[[#This Row],[BSO]]</f>
        <v>0</v>
      </c>
      <c r="AC719" s="443">
        <f>IF(U719&gt;0,Ruimtestaat[[#This Row],[Prest. (m2 / jaar) werkdagen BSO]]/Ruimtestaat[[#This Row],[Norm (m2/uur) werkdagen]],0)</f>
        <v>0</v>
      </c>
      <c r="AD719" s="443">
        <f>Ruimtestaat[[#This Row],[uren / jaar werkdagen BSO]]*Tariefsopbouw!$E$35</f>
        <v>0</v>
      </c>
      <c r="AE719" s="444">
        <f>Ruimtestaat[[#This Row],[uren / jaar werkdagen]]*Tariefsopbouw!$E$35</f>
        <v>0</v>
      </c>
      <c r="AF719" s="454"/>
      <c r="AG719" s="455">
        <f>IF(Ruimtestaat[[#This Row],[Frequentie weekend]]&gt;0,VALUE(LEFT(AF719,1))*S719,0)</f>
        <v>0</v>
      </c>
      <c r="AH719" s="455">
        <f>IF($AG719&gt;0,VLOOKUP($J719,Ruimtegroepen[],3,FALSE)*VLOOKUP($L719,Vloersoorten[],3,FALSE)*VLOOKUP($AF719,Frequenties[],3,FALSE)*VLOOKUP(#REF!,Locaties[],3,FALSE),0)</f>
        <v>0</v>
      </c>
      <c r="AI719" s="434">
        <f>Ruimtestaat[[#This Row],[Uitvoeringen weekend]]*Ruimtestaat[[#This Row],[Oppervlak (netto)]]</f>
        <v>0</v>
      </c>
      <c r="AJ719" s="434">
        <f>IF(AH719&gt;0,Ruimtestaat[[#This Row],[Prest. (m2 /jaar) weekend]]/Ruimtestaat[[#This Row],[Norm (m2/uur) weekend]],0)</f>
        <v>0</v>
      </c>
      <c r="AK719" s="444">
        <f>Ruimtestaat[[#This Row],[uren / jaar weekend]]*Tariefsopbouw!$D$40</f>
        <v>0</v>
      </c>
      <c r="AL719" s="441">
        <f>Ruimtestaat[[#This Row],[Prest. (m2 /jaar) weekend]]+Ruimtestaat[[#This Row],[Prest. (m2 /jaar) werkdagen]]</f>
        <v>0</v>
      </c>
      <c r="AM719" s="441">
        <f>Ruimtestaat[[#This Row],[uren / jaar weekend]]+Ruimtestaat[[#This Row],[uren / jaar werkdagen]]</f>
        <v>0</v>
      </c>
      <c r="AN719" s="446">
        <f>Ruimtestaat[[#This Row],[kosten / jaar weekend]]+Ruimtestaat[[#This Row],[kosten / jaar werkdagen]]</f>
        <v>0</v>
      </c>
      <c r="AO719" s="446"/>
      <c r="AP719" s="446" t="str">
        <f>IF(Ruimtestaat[[#This Row],[Frequentie werkdagen]]="","",_xlfn.CONCAT(Ruimtestaat[[#This Row],[Ruimte code]],"-",Ruimtestaat[[#This Row],[Frequentie werkdagen]]," ",Ruimtestaat[[#This Row],[Vloer code]]))</f>
        <v/>
      </c>
      <c r="AQ719" s="448" t="str">
        <f>_xlfn.IFNA(VLOOKUP($AP719,Programma!$F$3:$G$1101,2,0),"")</f>
        <v/>
      </c>
      <c r="AR719" s="448" t="str">
        <f>_xlfn.IFNA(VLOOKUP($AP719,Programma!$F$3:$H$1101,3,0),"")</f>
        <v/>
      </c>
      <c r="AS719" s="448" t="str">
        <f>_xlfn.IFNA(VLOOKUP($AP719,Programma!$F$3:$I$1101,4,0),"")</f>
        <v/>
      </c>
      <c r="AT719" s="448" t="str">
        <f>_xlfn.IFNA(VLOOKUP($AP719,Programma!$F$3:$J$1101,5,0),"")</f>
        <v/>
      </c>
      <c r="AU719" s="448" t="str">
        <f>_xlfn.IFNA(VLOOKUP($AP719,Programma!$F$3:$K$1101,6,0),"")</f>
        <v/>
      </c>
      <c r="AV719" s="448" t="str">
        <f>_xlfn.IFNA(VLOOKUP($AP719,Programma!$F$3:$L$1101,7,0),"")</f>
        <v/>
      </c>
      <c r="AW719" s="448" t="str">
        <f>_xlfn.IFNA(VLOOKUP($AP719,Programma!$F$3:$M$1101,8,0),"")</f>
        <v/>
      </c>
      <c r="AX719" s="448" t="str">
        <f>_xlfn.IFNA(VLOOKUP($AP719,Programma!$F$3:$N$1101,9,0),"")</f>
        <v/>
      </c>
      <c r="AY719" s="448" t="str">
        <f>_xlfn.IFNA(VLOOKUP($AP719,Programma!$F$3:$O$1101,10,0),"")</f>
        <v/>
      </c>
      <c r="AZ719" s="448" t="str">
        <f>_xlfn.IFNA(VLOOKUP($AP719,Programma!$F$3:$P$1101,11,0),"")</f>
        <v/>
      </c>
      <c r="BA719" s="448" t="str">
        <f>_xlfn.IFNA(VLOOKUP($AP719,Programma!$F$3:$Q$1101,12,0),"")</f>
        <v/>
      </c>
      <c r="BB719" s="448" t="str">
        <f>_xlfn.IFNA(VLOOKUP($AP719,Programma!$F$3:$R$1101,13,0),"")</f>
        <v/>
      </c>
      <c r="BC719" s="448" t="str">
        <f>_xlfn.IFNA(VLOOKUP($AP719,Programma!$F$3:$S$1101,14,0),"")</f>
        <v/>
      </c>
      <c r="BD719" s="448" t="str">
        <f>_xlfn.IFNA(VLOOKUP($AP719,Programma!$F$3:$T$1101,15,0),"")</f>
        <v/>
      </c>
      <c r="BE719" s="448" t="str">
        <f>_xlfn.IFNA(VLOOKUP($AP719,Programma!$F$3:$U$1101,16,0),"")</f>
        <v/>
      </c>
      <c r="BF719" s="448" t="str">
        <f>_xlfn.IFNA(VLOOKUP($AP719,Programma!$F$3:$V$1101,17,0),"")</f>
        <v/>
      </c>
      <c r="BG719" s="448" t="str">
        <f>_xlfn.IFNA(VLOOKUP($AP719,Programma!$F$3:$W$1101,18,0),"")</f>
        <v/>
      </c>
      <c r="BH719" s="448" t="str">
        <f>_xlfn.IFNA(VLOOKUP($AP719,Programma!$F$3:$X$1101,19,0),"")</f>
        <v/>
      </c>
      <c r="BI719" s="448" t="str">
        <f>_xlfn.IFNA(VLOOKUP($AP719,Programma!$F$3:$Y$1101,20,0),"")</f>
        <v/>
      </c>
      <c r="BJ719" s="449"/>
      <c r="BK719" s="446" t="str">
        <f>IF(Ruimtestaat[[#This Row],[Frequentie weekend]]="","",_xlfn.CONCAT(Ruimtestaat[[#This Row],[Ruimte code]],"-",Ruimtestaat[[#This Row],[Frequentie weekend]]," ",Ruimtestaat[[#This Row],[Vloer code]]))</f>
        <v/>
      </c>
      <c r="BL719" s="448" t="str">
        <f>_xlfn.IFNA(VLOOKUP($BK719,Programma!$F$3:$G$1101,2,0),"")</f>
        <v/>
      </c>
      <c r="BM719" s="448" t="str">
        <f>_xlfn.IFNA(VLOOKUP($BK719,Programma!$F$3:$H$1101,3,0),"")</f>
        <v/>
      </c>
      <c r="BN719" s="448" t="str">
        <f>_xlfn.IFNA(VLOOKUP($BK719,Programma!$F$3:$I$1101,4,0),"")</f>
        <v/>
      </c>
      <c r="BO719" s="448" t="str">
        <f>_xlfn.IFNA(VLOOKUP($BK719,Programma!$F$3:$J$1101,5,0),"")</f>
        <v/>
      </c>
      <c r="BP719" s="448" t="str">
        <f>_xlfn.IFNA(VLOOKUP($BK719,Programma!$F$3:$K$1101,6,0),"")</f>
        <v/>
      </c>
      <c r="BQ719" s="448" t="str">
        <f>_xlfn.IFNA(VLOOKUP($BK719,Programma!$F$3:$L$1101,7,0),"")</f>
        <v/>
      </c>
      <c r="BR719" s="448" t="str">
        <f>_xlfn.IFNA(VLOOKUP($BK719,Programma!$F$3:$M$1101,8,0),"")</f>
        <v/>
      </c>
      <c r="BS719" s="448" t="str">
        <f>_xlfn.IFNA(VLOOKUP($BK719,Programma!$F$3:$N$1101,9,0),"")</f>
        <v/>
      </c>
      <c r="BT719" s="448" t="str">
        <f>_xlfn.IFNA(VLOOKUP($BK719,Programma!$F$3:$O$1101,10,0),"")</f>
        <v/>
      </c>
      <c r="BU719" s="448" t="str">
        <f>_xlfn.IFNA(VLOOKUP($BK719,Programma!$F$3:$P$1101,11,0),"")</f>
        <v/>
      </c>
      <c r="BV719" s="448" t="str">
        <f>_xlfn.IFNA(VLOOKUP($BK719,Programma!$F$3:$Q$1101,12,0),"")</f>
        <v/>
      </c>
      <c r="BW719" s="448" t="str">
        <f>_xlfn.IFNA(VLOOKUP($BK719,Programma!$F$3:$R$1101,13,0),"")</f>
        <v/>
      </c>
      <c r="BX719" s="448" t="str">
        <f>_xlfn.IFNA(VLOOKUP($BK719,Programma!$F$3:$S$1101,14,0),"")</f>
        <v/>
      </c>
      <c r="BY719" s="448" t="str">
        <f>_xlfn.IFNA(VLOOKUP($BK719,Programma!$F$3:$T$1101,15,0),"")</f>
        <v/>
      </c>
      <c r="BZ719" s="448" t="str">
        <f>_xlfn.IFNA(VLOOKUP($BK719,Programma!$F$3:$U$1101,16,0),"")</f>
        <v/>
      </c>
      <c r="CA719" s="448" t="str">
        <f>_xlfn.IFNA(VLOOKUP($BK719,Programma!$F$3:$V$1101,17,0),"")</f>
        <v/>
      </c>
      <c r="CB719" s="448" t="str">
        <f>_xlfn.IFNA(VLOOKUP($BK719,Programma!$F$3:$W$1101,18,0),"")</f>
        <v/>
      </c>
      <c r="CC719" s="448" t="str">
        <f>_xlfn.IFNA(VLOOKUP($BK719,Programma!$F$3:$X$1101,19,0),"")</f>
        <v/>
      </c>
      <c r="CD719" s="448" t="str">
        <f>_xlfn.IFNA(VLOOKUP($BK719,Programma!$F$3:$Y$1101,20,0),"")</f>
        <v/>
      </c>
    </row>
    <row r="720" spans="1:82" ht="15" customHeight="1">
      <c r="A720" s="327">
        <v>15</v>
      </c>
      <c r="B720" s="435" t="str">
        <f>VLOOKUP(Ruimtestaat[[#This Row],[Code]],Locaties[[Code]:[Locatie]],2,FALSE)</f>
        <v>IKC  Da Vinci</v>
      </c>
      <c r="C720" s="435" t="str">
        <f>VLOOKUP(Ruimtestaat[[#This Row],[Code]],Locaties[[#All],[Code]:[Adres]],4,FALSE)</f>
        <v>Spitsbergen 17</v>
      </c>
      <c r="D720" s="435" t="str">
        <f>VLOOKUP(Ruimtestaat[[#This Row],[Code]],Locaties[[#All],[Code]:[Postcode]],5,FALSE)</f>
        <v>2721 GP</v>
      </c>
      <c r="E720" s="435" t="str">
        <f>VLOOKUP(Ruimtestaat[[#This Row],[Code]],Locaties[#All],6,FALSE)</f>
        <v>Zoetermeer</v>
      </c>
      <c r="F720" s="330" t="s">
        <v>2154</v>
      </c>
      <c r="I720" s="450" t="s">
        <v>1994</v>
      </c>
      <c r="J720" s="330">
        <v>20</v>
      </c>
      <c r="K720" s="450" t="str">
        <f>VLOOKUP(Ruimtestaat[[#This Row],[Ruimte code]],Ruimtegroepen[[#All],[Code]:[Ruimte omschrijving]],2,FALSE)</f>
        <v>Niet in Onderhoud</v>
      </c>
      <c r="M720" s="330"/>
      <c r="N720" s="439"/>
      <c r="O720" s="439">
        <v>51</v>
      </c>
      <c r="P720" s="439"/>
      <c r="Q720" s="439"/>
      <c r="R720" s="440">
        <f>VLOOKUP(Ruimtestaat[[#This Row],[Ruimte code]],Ruimtegroepen[],4,FALSE)</f>
        <v>0</v>
      </c>
      <c r="S720" s="434"/>
      <c r="T720" s="434"/>
      <c r="U720" s="453">
        <f>IF(S720&gt;0,IF(RIGHT(Ruimtestaat[[#This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0" s="434">
        <f>IF(U720&gt;0,VLOOKUP($J720,Ruimtegroepen[],3,FALSE)*VLOOKUP($L720,Vloersoorten[],3,FALSE)*VLOOKUP($T720,Frequenties[],3,FALSE)*VLOOKUP($A720,Locaties[],3,FALSE),0)</f>
        <v>0</v>
      </c>
      <c r="W720" s="434">
        <f>Ruimtestaat[[#This Row],[Uitvoeringen werkdagen]]*Ruimtestaat[[#This Row],[Oppervlak (netto)]]</f>
        <v>0</v>
      </c>
      <c r="X720" s="441">
        <f>IF(V720&gt;0,Ruimtestaat[[#This Row],[Prest. (m2 /jaar) werkdagen]]/Ruimtestaat[[#This Row],[Norm (m2/uur) werkdagen]],0)</f>
        <v>0</v>
      </c>
      <c r="Y720" s="442">
        <f>Ruimtestaat[[#This Row],[Uitvoeringen werkdagen]]*Ruimtestaat[[#This Row],[Gedeeltelijk]]</f>
        <v>0</v>
      </c>
      <c r="Z720" s="443">
        <f>IF(U720&gt;0,Ruimtestaat[[#This Row],[Prest. (m2 / jaar) werkdagen gedeeld]]/Ruimtestaat[[#This Row],[Norm (m2/uur) werkdagen]],0)</f>
        <v>0</v>
      </c>
      <c r="AA720" s="441">
        <f>Ruimtestaat[[#This Row],[uren / jaar werkdagen gedeeld]]*Tariefsopbouw!$E$35</f>
        <v>0</v>
      </c>
      <c r="AB720" s="441">
        <f>Ruimtestaat[[#This Row],[Uitvoeringen werkdagen]]*Ruimtestaat[[#This Row],[BSO]]</f>
        <v>0</v>
      </c>
      <c r="AC720" s="443">
        <f>IF(U720&gt;0,Ruimtestaat[[#This Row],[Prest. (m2 / jaar) werkdagen BSO]]/Ruimtestaat[[#This Row],[Norm (m2/uur) werkdagen]],0)</f>
        <v>0</v>
      </c>
      <c r="AD720" s="443">
        <f>Ruimtestaat[[#This Row],[uren / jaar werkdagen BSO]]*Tariefsopbouw!$E$35</f>
        <v>0</v>
      </c>
      <c r="AE720" s="444">
        <f>Ruimtestaat[[#This Row],[uren / jaar werkdagen]]*Tariefsopbouw!$E$35</f>
        <v>0</v>
      </c>
      <c r="AF720" s="454"/>
      <c r="AG720" s="455">
        <f>IF(Ruimtestaat[[#This Row],[Frequentie weekend]]&gt;0,VALUE(LEFT(AF720,1))*S720,0)</f>
        <v>0</v>
      </c>
      <c r="AH720" s="455">
        <f>IF($AG720&gt;0,VLOOKUP($J720,Ruimtegroepen[],3,FALSE)*VLOOKUP($L720,Vloersoorten[],3,FALSE)*VLOOKUP($AF720,Frequenties[],3,FALSE)*VLOOKUP(#REF!,Locaties[],3,FALSE),0)</f>
        <v>0</v>
      </c>
      <c r="AI720" s="434">
        <f>Ruimtestaat[[#This Row],[Uitvoeringen weekend]]*Ruimtestaat[[#This Row],[Oppervlak (netto)]]</f>
        <v>0</v>
      </c>
      <c r="AJ720" s="434">
        <f>IF(AH720&gt;0,Ruimtestaat[[#This Row],[Prest. (m2 /jaar) weekend]]/Ruimtestaat[[#This Row],[Norm (m2/uur) weekend]],0)</f>
        <v>0</v>
      </c>
      <c r="AK720" s="444">
        <f>Ruimtestaat[[#This Row],[uren / jaar weekend]]*Tariefsopbouw!$D$40</f>
        <v>0</v>
      </c>
      <c r="AL720" s="441">
        <f>Ruimtestaat[[#This Row],[Prest. (m2 /jaar) weekend]]+Ruimtestaat[[#This Row],[Prest. (m2 /jaar) werkdagen]]</f>
        <v>0</v>
      </c>
      <c r="AM720" s="441">
        <f>Ruimtestaat[[#This Row],[uren / jaar weekend]]+Ruimtestaat[[#This Row],[uren / jaar werkdagen]]</f>
        <v>0</v>
      </c>
      <c r="AN720" s="446">
        <f>Ruimtestaat[[#This Row],[kosten / jaar weekend]]+Ruimtestaat[[#This Row],[kosten / jaar werkdagen]]</f>
        <v>0</v>
      </c>
      <c r="AO720" s="446"/>
      <c r="AP720" s="446" t="str">
        <f>IF(Ruimtestaat[[#This Row],[Frequentie werkdagen]]="","",_xlfn.CONCAT(Ruimtestaat[[#This Row],[Ruimte code]],"-",Ruimtestaat[[#This Row],[Frequentie werkdagen]]," ",Ruimtestaat[[#This Row],[Vloer code]]))</f>
        <v/>
      </c>
      <c r="AQ720" s="448" t="str">
        <f>_xlfn.IFNA(VLOOKUP($AP720,Programma!$F$3:$G$1101,2,0),"")</f>
        <v/>
      </c>
      <c r="AR720" s="448" t="str">
        <f>_xlfn.IFNA(VLOOKUP($AP720,Programma!$F$3:$H$1101,3,0),"")</f>
        <v/>
      </c>
      <c r="AS720" s="448" t="str">
        <f>_xlfn.IFNA(VLOOKUP($AP720,Programma!$F$3:$I$1101,4,0),"")</f>
        <v/>
      </c>
      <c r="AT720" s="448" t="str">
        <f>_xlfn.IFNA(VLOOKUP($AP720,Programma!$F$3:$J$1101,5,0),"")</f>
        <v/>
      </c>
      <c r="AU720" s="448" t="str">
        <f>_xlfn.IFNA(VLOOKUP($AP720,Programma!$F$3:$K$1101,6,0),"")</f>
        <v/>
      </c>
      <c r="AV720" s="448" t="str">
        <f>_xlfn.IFNA(VLOOKUP($AP720,Programma!$F$3:$L$1101,7,0),"")</f>
        <v/>
      </c>
      <c r="AW720" s="448" t="str">
        <f>_xlfn.IFNA(VLOOKUP($AP720,Programma!$F$3:$M$1101,8,0),"")</f>
        <v/>
      </c>
      <c r="AX720" s="448" t="str">
        <f>_xlfn.IFNA(VLOOKUP($AP720,Programma!$F$3:$N$1101,9,0),"")</f>
        <v/>
      </c>
      <c r="AY720" s="448" t="str">
        <f>_xlfn.IFNA(VLOOKUP($AP720,Programma!$F$3:$O$1101,10,0),"")</f>
        <v/>
      </c>
      <c r="AZ720" s="448" t="str">
        <f>_xlfn.IFNA(VLOOKUP($AP720,Programma!$F$3:$P$1101,11,0),"")</f>
        <v/>
      </c>
      <c r="BA720" s="448" t="str">
        <f>_xlfn.IFNA(VLOOKUP($AP720,Programma!$F$3:$Q$1101,12,0),"")</f>
        <v/>
      </c>
      <c r="BB720" s="448" t="str">
        <f>_xlfn.IFNA(VLOOKUP($AP720,Programma!$F$3:$R$1101,13,0),"")</f>
        <v/>
      </c>
      <c r="BC720" s="448" t="str">
        <f>_xlfn.IFNA(VLOOKUP($AP720,Programma!$F$3:$S$1101,14,0),"")</f>
        <v/>
      </c>
      <c r="BD720" s="448" t="str">
        <f>_xlfn.IFNA(VLOOKUP($AP720,Programma!$F$3:$T$1101,15,0),"")</f>
        <v/>
      </c>
      <c r="BE720" s="448" t="str">
        <f>_xlfn.IFNA(VLOOKUP($AP720,Programma!$F$3:$U$1101,16,0),"")</f>
        <v/>
      </c>
      <c r="BF720" s="448" t="str">
        <f>_xlfn.IFNA(VLOOKUP($AP720,Programma!$F$3:$V$1101,17,0),"")</f>
        <v/>
      </c>
      <c r="BG720" s="448" t="str">
        <f>_xlfn.IFNA(VLOOKUP($AP720,Programma!$F$3:$W$1101,18,0),"")</f>
        <v/>
      </c>
      <c r="BH720" s="448" t="str">
        <f>_xlfn.IFNA(VLOOKUP($AP720,Programma!$F$3:$X$1101,19,0),"")</f>
        <v/>
      </c>
      <c r="BI720" s="448" t="str">
        <f>_xlfn.IFNA(VLOOKUP($AP720,Programma!$F$3:$Y$1101,20,0),"")</f>
        <v/>
      </c>
      <c r="BJ720" s="449"/>
      <c r="BK720" s="446" t="str">
        <f>IF(Ruimtestaat[[#This Row],[Frequentie weekend]]="","",_xlfn.CONCAT(Ruimtestaat[[#This Row],[Ruimte code]],"-",Ruimtestaat[[#This Row],[Frequentie weekend]]," ",Ruimtestaat[[#This Row],[Vloer code]]))</f>
        <v/>
      </c>
      <c r="BL720" s="448" t="str">
        <f>_xlfn.IFNA(VLOOKUP($BK720,Programma!$F$3:$G$1101,2,0),"")</f>
        <v/>
      </c>
      <c r="BM720" s="448" t="str">
        <f>_xlfn.IFNA(VLOOKUP($BK720,Programma!$F$3:$H$1101,3,0),"")</f>
        <v/>
      </c>
      <c r="BN720" s="448" t="str">
        <f>_xlfn.IFNA(VLOOKUP($BK720,Programma!$F$3:$I$1101,4,0),"")</f>
        <v/>
      </c>
      <c r="BO720" s="448" t="str">
        <f>_xlfn.IFNA(VLOOKUP($BK720,Programma!$F$3:$J$1101,5,0),"")</f>
        <v/>
      </c>
      <c r="BP720" s="448" t="str">
        <f>_xlfn.IFNA(VLOOKUP($BK720,Programma!$F$3:$K$1101,6,0),"")</f>
        <v/>
      </c>
      <c r="BQ720" s="448" t="str">
        <f>_xlfn.IFNA(VLOOKUP($BK720,Programma!$F$3:$L$1101,7,0),"")</f>
        <v/>
      </c>
      <c r="BR720" s="448" t="str">
        <f>_xlfn.IFNA(VLOOKUP($BK720,Programma!$F$3:$M$1101,8,0),"")</f>
        <v/>
      </c>
      <c r="BS720" s="448" t="str">
        <f>_xlfn.IFNA(VLOOKUP($BK720,Programma!$F$3:$N$1101,9,0),"")</f>
        <v/>
      </c>
      <c r="BT720" s="448" t="str">
        <f>_xlfn.IFNA(VLOOKUP($BK720,Programma!$F$3:$O$1101,10,0),"")</f>
        <v/>
      </c>
      <c r="BU720" s="448" t="str">
        <f>_xlfn.IFNA(VLOOKUP($BK720,Programma!$F$3:$P$1101,11,0),"")</f>
        <v/>
      </c>
      <c r="BV720" s="448" t="str">
        <f>_xlfn.IFNA(VLOOKUP($BK720,Programma!$F$3:$Q$1101,12,0),"")</f>
        <v/>
      </c>
      <c r="BW720" s="448" t="str">
        <f>_xlfn.IFNA(VLOOKUP($BK720,Programma!$F$3:$R$1101,13,0),"")</f>
        <v/>
      </c>
      <c r="BX720" s="448" t="str">
        <f>_xlfn.IFNA(VLOOKUP($BK720,Programma!$F$3:$S$1101,14,0),"")</f>
        <v/>
      </c>
      <c r="BY720" s="448" t="str">
        <f>_xlfn.IFNA(VLOOKUP($BK720,Programma!$F$3:$T$1101,15,0),"")</f>
        <v/>
      </c>
      <c r="BZ720" s="448" t="str">
        <f>_xlfn.IFNA(VLOOKUP($BK720,Programma!$F$3:$U$1101,16,0),"")</f>
        <v/>
      </c>
      <c r="CA720" s="448" t="str">
        <f>_xlfn.IFNA(VLOOKUP($BK720,Programma!$F$3:$V$1101,17,0),"")</f>
        <v/>
      </c>
      <c r="CB720" s="448" t="str">
        <f>_xlfn.IFNA(VLOOKUP($BK720,Programma!$F$3:$W$1101,18,0),"")</f>
        <v/>
      </c>
      <c r="CC720" s="448" t="str">
        <f>_xlfn.IFNA(VLOOKUP($BK720,Programma!$F$3:$X$1101,19,0),"")</f>
        <v/>
      </c>
      <c r="CD720" s="448" t="str">
        <f>_xlfn.IFNA(VLOOKUP($BK720,Programma!$F$3:$Y$1101,20,0),"")</f>
        <v/>
      </c>
    </row>
    <row r="721" spans="1:82" ht="15" customHeight="1">
      <c r="A721" s="327">
        <v>15</v>
      </c>
      <c r="B721" s="435" t="str">
        <f>VLOOKUP(Ruimtestaat[[#This Row],[Code]],Locaties[[Code]:[Locatie]],2,FALSE)</f>
        <v>IKC  Da Vinci</v>
      </c>
      <c r="C721" s="435" t="str">
        <f>VLOOKUP(Ruimtestaat[[#This Row],[Code]],Locaties[[#All],[Code]:[Adres]],4,FALSE)</f>
        <v>Spitsbergen 17</v>
      </c>
      <c r="D721" s="435" t="str">
        <f>VLOOKUP(Ruimtestaat[[#This Row],[Code]],Locaties[[#All],[Code]:[Postcode]],5,FALSE)</f>
        <v>2721 GP</v>
      </c>
      <c r="E721" s="435" t="str">
        <f>VLOOKUP(Ruimtestaat[[#This Row],[Code]],Locaties[#All],6,FALSE)</f>
        <v>Zoetermeer</v>
      </c>
      <c r="F721" s="330" t="s">
        <v>2154</v>
      </c>
      <c r="I721" s="450" t="s">
        <v>1995</v>
      </c>
      <c r="J721" s="330">
        <v>20</v>
      </c>
      <c r="K721" s="450" t="str">
        <f>VLOOKUP(Ruimtestaat[[#This Row],[Ruimte code]],Ruimtegroepen[[#All],[Code]:[Ruimte omschrijving]],2,FALSE)</f>
        <v>Niet in Onderhoud</v>
      </c>
      <c r="M721" s="330"/>
      <c r="N721" s="439"/>
      <c r="O721" s="439">
        <v>13</v>
      </c>
      <c r="P721" s="439"/>
      <c r="Q721" s="439"/>
      <c r="R721" s="440">
        <f>VLOOKUP(Ruimtestaat[[#This Row],[Ruimte code]],Ruimtegroepen[],4,FALSE)</f>
        <v>0</v>
      </c>
      <c r="S721" s="434"/>
      <c r="T721" s="434"/>
      <c r="U721" s="453">
        <f>IF(S721&gt;0,IF(RIGHT(Ruimtestaat[[#This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1" s="434">
        <f>IF(U721&gt;0,VLOOKUP($J721,Ruimtegroepen[],3,FALSE)*VLOOKUP($L721,Vloersoorten[],3,FALSE)*VLOOKUP($T721,Frequenties[],3,FALSE)*VLOOKUP($A721,Locaties[],3,FALSE),0)</f>
        <v>0</v>
      </c>
      <c r="W721" s="434">
        <f>Ruimtestaat[[#This Row],[Uitvoeringen werkdagen]]*Ruimtestaat[[#This Row],[Oppervlak (netto)]]</f>
        <v>0</v>
      </c>
      <c r="X721" s="441">
        <f>IF(V721&gt;0,Ruimtestaat[[#This Row],[Prest. (m2 /jaar) werkdagen]]/Ruimtestaat[[#This Row],[Norm (m2/uur) werkdagen]],0)</f>
        <v>0</v>
      </c>
      <c r="Y721" s="442">
        <f>Ruimtestaat[[#This Row],[Uitvoeringen werkdagen]]*Ruimtestaat[[#This Row],[Gedeeltelijk]]</f>
        <v>0</v>
      </c>
      <c r="Z721" s="443">
        <f>IF(U721&gt;0,Ruimtestaat[[#This Row],[Prest. (m2 / jaar) werkdagen gedeeld]]/Ruimtestaat[[#This Row],[Norm (m2/uur) werkdagen]],0)</f>
        <v>0</v>
      </c>
      <c r="AA721" s="441">
        <f>Ruimtestaat[[#This Row],[uren / jaar werkdagen gedeeld]]*Tariefsopbouw!$E$35</f>
        <v>0</v>
      </c>
      <c r="AB721" s="441">
        <f>Ruimtestaat[[#This Row],[Uitvoeringen werkdagen]]*Ruimtestaat[[#This Row],[BSO]]</f>
        <v>0</v>
      </c>
      <c r="AC721" s="443">
        <f>IF(U721&gt;0,Ruimtestaat[[#This Row],[Prest. (m2 / jaar) werkdagen BSO]]/Ruimtestaat[[#This Row],[Norm (m2/uur) werkdagen]],0)</f>
        <v>0</v>
      </c>
      <c r="AD721" s="443">
        <f>Ruimtestaat[[#This Row],[uren / jaar werkdagen BSO]]*Tariefsopbouw!$E$35</f>
        <v>0</v>
      </c>
      <c r="AE721" s="444">
        <f>Ruimtestaat[[#This Row],[uren / jaar werkdagen]]*Tariefsopbouw!$E$35</f>
        <v>0</v>
      </c>
      <c r="AF721" s="454"/>
      <c r="AG721" s="455">
        <f>IF(Ruimtestaat[[#This Row],[Frequentie weekend]]&gt;0,VALUE(LEFT(AF721,1))*S721,0)</f>
        <v>0</v>
      </c>
      <c r="AH721" s="455">
        <f>IF($AG721&gt;0,VLOOKUP($J721,Ruimtegroepen[],3,FALSE)*VLOOKUP($L721,Vloersoorten[],3,FALSE)*VLOOKUP($AF721,Frequenties[],3,FALSE)*VLOOKUP(#REF!,Locaties[],3,FALSE),0)</f>
        <v>0</v>
      </c>
      <c r="AI721" s="434">
        <f>Ruimtestaat[[#This Row],[Uitvoeringen weekend]]*Ruimtestaat[[#This Row],[Oppervlak (netto)]]</f>
        <v>0</v>
      </c>
      <c r="AJ721" s="434">
        <f>IF(AH721&gt;0,Ruimtestaat[[#This Row],[Prest. (m2 /jaar) weekend]]/Ruimtestaat[[#This Row],[Norm (m2/uur) weekend]],0)</f>
        <v>0</v>
      </c>
      <c r="AK721" s="444">
        <f>Ruimtestaat[[#This Row],[uren / jaar weekend]]*Tariefsopbouw!$D$40</f>
        <v>0</v>
      </c>
      <c r="AL721" s="441">
        <f>Ruimtestaat[[#This Row],[Prest. (m2 /jaar) weekend]]+Ruimtestaat[[#This Row],[Prest. (m2 /jaar) werkdagen]]</f>
        <v>0</v>
      </c>
      <c r="AM721" s="441">
        <f>Ruimtestaat[[#This Row],[uren / jaar weekend]]+Ruimtestaat[[#This Row],[uren / jaar werkdagen]]</f>
        <v>0</v>
      </c>
      <c r="AN721" s="446">
        <f>Ruimtestaat[[#This Row],[kosten / jaar weekend]]+Ruimtestaat[[#This Row],[kosten / jaar werkdagen]]</f>
        <v>0</v>
      </c>
      <c r="AO721" s="446"/>
      <c r="AP721" s="446" t="str">
        <f>IF(Ruimtestaat[[#This Row],[Frequentie werkdagen]]="","",_xlfn.CONCAT(Ruimtestaat[[#This Row],[Ruimte code]],"-",Ruimtestaat[[#This Row],[Frequentie werkdagen]]," ",Ruimtestaat[[#This Row],[Vloer code]]))</f>
        <v/>
      </c>
      <c r="AQ721" s="448" t="str">
        <f>_xlfn.IFNA(VLOOKUP($AP721,Programma!$F$3:$G$1101,2,0),"")</f>
        <v/>
      </c>
      <c r="AR721" s="448" t="str">
        <f>_xlfn.IFNA(VLOOKUP($AP721,Programma!$F$3:$H$1101,3,0),"")</f>
        <v/>
      </c>
      <c r="AS721" s="448" t="str">
        <f>_xlfn.IFNA(VLOOKUP($AP721,Programma!$F$3:$I$1101,4,0),"")</f>
        <v/>
      </c>
      <c r="AT721" s="448" t="str">
        <f>_xlfn.IFNA(VLOOKUP($AP721,Programma!$F$3:$J$1101,5,0),"")</f>
        <v/>
      </c>
      <c r="AU721" s="448" t="str">
        <f>_xlfn.IFNA(VLOOKUP($AP721,Programma!$F$3:$K$1101,6,0),"")</f>
        <v/>
      </c>
      <c r="AV721" s="448" t="str">
        <f>_xlfn.IFNA(VLOOKUP($AP721,Programma!$F$3:$L$1101,7,0),"")</f>
        <v/>
      </c>
      <c r="AW721" s="448" t="str">
        <f>_xlfn.IFNA(VLOOKUP($AP721,Programma!$F$3:$M$1101,8,0),"")</f>
        <v/>
      </c>
      <c r="AX721" s="448" t="str">
        <f>_xlfn.IFNA(VLOOKUP($AP721,Programma!$F$3:$N$1101,9,0),"")</f>
        <v/>
      </c>
      <c r="AY721" s="448" t="str">
        <f>_xlfn.IFNA(VLOOKUP($AP721,Programma!$F$3:$O$1101,10,0),"")</f>
        <v/>
      </c>
      <c r="AZ721" s="448" t="str">
        <f>_xlfn.IFNA(VLOOKUP($AP721,Programma!$F$3:$P$1101,11,0),"")</f>
        <v/>
      </c>
      <c r="BA721" s="448" t="str">
        <f>_xlfn.IFNA(VLOOKUP($AP721,Programma!$F$3:$Q$1101,12,0),"")</f>
        <v/>
      </c>
      <c r="BB721" s="448" t="str">
        <f>_xlfn.IFNA(VLOOKUP($AP721,Programma!$F$3:$R$1101,13,0),"")</f>
        <v/>
      </c>
      <c r="BC721" s="448" t="str">
        <f>_xlfn.IFNA(VLOOKUP($AP721,Programma!$F$3:$S$1101,14,0),"")</f>
        <v/>
      </c>
      <c r="BD721" s="448" t="str">
        <f>_xlfn.IFNA(VLOOKUP($AP721,Programma!$F$3:$T$1101,15,0),"")</f>
        <v/>
      </c>
      <c r="BE721" s="448" t="str">
        <f>_xlfn.IFNA(VLOOKUP($AP721,Programma!$F$3:$U$1101,16,0),"")</f>
        <v/>
      </c>
      <c r="BF721" s="448" t="str">
        <f>_xlfn.IFNA(VLOOKUP($AP721,Programma!$F$3:$V$1101,17,0),"")</f>
        <v/>
      </c>
      <c r="BG721" s="448" t="str">
        <f>_xlfn.IFNA(VLOOKUP($AP721,Programma!$F$3:$W$1101,18,0),"")</f>
        <v/>
      </c>
      <c r="BH721" s="448" t="str">
        <f>_xlfn.IFNA(VLOOKUP($AP721,Programma!$F$3:$X$1101,19,0),"")</f>
        <v/>
      </c>
      <c r="BI721" s="448" t="str">
        <f>_xlfn.IFNA(VLOOKUP($AP721,Programma!$F$3:$Y$1101,20,0),"")</f>
        <v/>
      </c>
      <c r="BJ721" s="449"/>
      <c r="BK721" s="446" t="str">
        <f>IF(Ruimtestaat[[#This Row],[Frequentie weekend]]="","",_xlfn.CONCAT(Ruimtestaat[[#This Row],[Ruimte code]],"-",Ruimtestaat[[#This Row],[Frequentie weekend]]," ",Ruimtestaat[[#This Row],[Vloer code]]))</f>
        <v/>
      </c>
      <c r="BL721" s="448" t="str">
        <f>_xlfn.IFNA(VLOOKUP($BK721,Programma!$F$3:$G$1101,2,0),"")</f>
        <v/>
      </c>
      <c r="BM721" s="448" t="str">
        <f>_xlfn.IFNA(VLOOKUP($BK721,Programma!$F$3:$H$1101,3,0),"")</f>
        <v/>
      </c>
      <c r="BN721" s="448" t="str">
        <f>_xlfn.IFNA(VLOOKUP($BK721,Programma!$F$3:$I$1101,4,0),"")</f>
        <v/>
      </c>
      <c r="BO721" s="448" t="str">
        <f>_xlfn.IFNA(VLOOKUP($BK721,Programma!$F$3:$J$1101,5,0),"")</f>
        <v/>
      </c>
      <c r="BP721" s="448" t="str">
        <f>_xlfn.IFNA(VLOOKUP($BK721,Programma!$F$3:$K$1101,6,0),"")</f>
        <v/>
      </c>
      <c r="BQ721" s="448" t="str">
        <f>_xlfn.IFNA(VLOOKUP($BK721,Programma!$F$3:$L$1101,7,0),"")</f>
        <v/>
      </c>
      <c r="BR721" s="448" t="str">
        <f>_xlfn.IFNA(VLOOKUP($BK721,Programma!$F$3:$M$1101,8,0),"")</f>
        <v/>
      </c>
      <c r="BS721" s="448" t="str">
        <f>_xlfn.IFNA(VLOOKUP($BK721,Programma!$F$3:$N$1101,9,0),"")</f>
        <v/>
      </c>
      <c r="BT721" s="448" t="str">
        <f>_xlfn.IFNA(VLOOKUP($BK721,Programma!$F$3:$O$1101,10,0),"")</f>
        <v/>
      </c>
      <c r="BU721" s="448" t="str">
        <f>_xlfn.IFNA(VLOOKUP($BK721,Programma!$F$3:$P$1101,11,0),"")</f>
        <v/>
      </c>
      <c r="BV721" s="448" t="str">
        <f>_xlfn.IFNA(VLOOKUP($BK721,Programma!$F$3:$Q$1101,12,0),"")</f>
        <v/>
      </c>
      <c r="BW721" s="448" t="str">
        <f>_xlfn.IFNA(VLOOKUP($BK721,Programma!$F$3:$R$1101,13,0),"")</f>
        <v/>
      </c>
      <c r="BX721" s="448" t="str">
        <f>_xlfn.IFNA(VLOOKUP($BK721,Programma!$F$3:$S$1101,14,0),"")</f>
        <v/>
      </c>
      <c r="BY721" s="448" t="str">
        <f>_xlfn.IFNA(VLOOKUP($BK721,Programma!$F$3:$T$1101,15,0),"")</f>
        <v/>
      </c>
      <c r="BZ721" s="448" t="str">
        <f>_xlfn.IFNA(VLOOKUP($BK721,Programma!$F$3:$U$1101,16,0),"")</f>
        <v/>
      </c>
      <c r="CA721" s="448" t="str">
        <f>_xlfn.IFNA(VLOOKUP($BK721,Programma!$F$3:$V$1101,17,0),"")</f>
        <v/>
      </c>
      <c r="CB721" s="448" t="str">
        <f>_xlfn.IFNA(VLOOKUP($BK721,Programma!$F$3:$W$1101,18,0),"")</f>
        <v/>
      </c>
      <c r="CC721" s="448" t="str">
        <f>_xlfn.IFNA(VLOOKUP($BK721,Programma!$F$3:$X$1101,19,0),"")</f>
        <v/>
      </c>
      <c r="CD721" s="448" t="str">
        <f>_xlfn.IFNA(VLOOKUP($BK721,Programma!$F$3:$Y$1101,20,0),"")</f>
        <v/>
      </c>
    </row>
    <row r="722" spans="1:82" ht="15" customHeight="1">
      <c r="A722" s="327">
        <v>15</v>
      </c>
      <c r="B722" s="435" t="str">
        <f>VLOOKUP(Ruimtestaat[[#This Row],[Code]],Locaties[[Code]:[Locatie]],2,FALSE)</f>
        <v>IKC  Da Vinci</v>
      </c>
      <c r="C722" s="435" t="str">
        <f>VLOOKUP(Ruimtestaat[[#This Row],[Code]],Locaties[[#All],[Code]:[Adres]],4,FALSE)</f>
        <v>Spitsbergen 17</v>
      </c>
      <c r="D722" s="435" t="str">
        <f>VLOOKUP(Ruimtestaat[[#This Row],[Code]],Locaties[[#All],[Code]:[Postcode]],5,FALSE)</f>
        <v>2721 GP</v>
      </c>
      <c r="E722" s="435" t="str">
        <f>VLOOKUP(Ruimtestaat[[#This Row],[Code]],Locaties[#All],6,FALSE)</f>
        <v>Zoetermeer</v>
      </c>
      <c r="F722" s="330" t="s">
        <v>2154</v>
      </c>
      <c r="I722" s="450" t="s">
        <v>1857</v>
      </c>
      <c r="J722" s="330">
        <v>20</v>
      </c>
      <c r="K722" s="450" t="str">
        <f>VLOOKUP(Ruimtestaat[[#This Row],[Ruimte code]],Ruimtegroepen[[#All],[Code]:[Ruimte omschrijving]],2,FALSE)</f>
        <v>Niet in Onderhoud</v>
      </c>
      <c r="M722" s="330"/>
      <c r="N722" s="439"/>
      <c r="O722" s="439">
        <v>12</v>
      </c>
      <c r="P722" s="439"/>
      <c r="Q722" s="439"/>
      <c r="R722" s="440">
        <f>VLOOKUP(Ruimtestaat[[#This Row],[Ruimte code]],Ruimtegroepen[],4,FALSE)</f>
        <v>0</v>
      </c>
      <c r="S722" s="434"/>
      <c r="T722" s="434"/>
      <c r="U722" s="453">
        <f>IF(S722&gt;0,IF(RIGHT(Ruimtestaat[[#This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2" s="434">
        <f>IF(U722&gt;0,VLOOKUP($J722,Ruimtegroepen[],3,FALSE)*VLOOKUP($L722,Vloersoorten[],3,FALSE)*VLOOKUP($T722,Frequenties[],3,FALSE)*VLOOKUP($A722,Locaties[],3,FALSE),0)</f>
        <v>0</v>
      </c>
      <c r="W722" s="434">
        <f>Ruimtestaat[[#This Row],[Uitvoeringen werkdagen]]*Ruimtestaat[[#This Row],[Oppervlak (netto)]]</f>
        <v>0</v>
      </c>
      <c r="X722" s="441">
        <f>IF(V722&gt;0,Ruimtestaat[[#This Row],[Prest. (m2 /jaar) werkdagen]]/Ruimtestaat[[#This Row],[Norm (m2/uur) werkdagen]],0)</f>
        <v>0</v>
      </c>
      <c r="Y722" s="442">
        <f>Ruimtestaat[[#This Row],[Uitvoeringen werkdagen]]*Ruimtestaat[[#This Row],[Gedeeltelijk]]</f>
        <v>0</v>
      </c>
      <c r="Z722" s="443">
        <f>IF(U722&gt;0,Ruimtestaat[[#This Row],[Prest. (m2 / jaar) werkdagen gedeeld]]/Ruimtestaat[[#This Row],[Norm (m2/uur) werkdagen]],0)</f>
        <v>0</v>
      </c>
      <c r="AA722" s="441">
        <f>Ruimtestaat[[#This Row],[uren / jaar werkdagen gedeeld]]*Tariefsopbouw!$E$35</f>
        <v>0</v>
      </c>
      <c r="AB722" s="441">
        <f>Ruimtestaat[[#This Row],[Uitvoeringen werkdagen]]*Ruimtestaat[[#This Row],[BSO]]</f>
        <v>0</v>
      </c>
      <c r="AC722" s="443">
        <f>IF(U722&gt;0,Ruimtestaat[[#This Row],[Prest. (m2 / jaar) werkdagen BSO]]/Ruimtestaat[[#This Row],[Norm (m2/uur) werkdagen]],0)</f>
        <v>0</v>
      </c>
      <c r="AD722" s="443">
        <f>Ruimtestaat[[#This Row],[uren / jaar werkdagen BSO]]*Tariefsopbouw!$E$35</f>
        <v>0</v>
      </c>
      <c r="AE722" s="444">
        <f>Ruimtestaat[[#This Row],[uren / jaar werkdagen]]*Tariefsopbouw!$E$35</f>
        <v>0</v>
      </c>
      <c r="AF722" s="454"/>
      <c r="AG722" s="455">
        <f>IF(Ruimtestaat[[#This Row],[Frequentie weekend]]&gt;0,VALUE(LEFT(AF722,1))*S722,0)</f>
        <v>0</v>
      </c>
      <c r="AH722" s="455">
        <f>IF($AG722&gt;0,VLOOKUP($J722,Ruimtegroepen[],3,FALSE)*VLOOKUP($L722,Vloersoorten[],3,FALSE)*VLOOKUP($AF722,Frequenties[],3,FALSE)*VLOOKUP(#REF!,Locaties[],3,FALSE),0)</f>
        <v>0</v>
      </c>
      <c r="AI722" s="434">
        <f>Ruimtestaat[[#This Row],[Uitvoeringen weekend]]*Ruimtestaat[[#This Row],[Oppervlak (netto)]]</f>
        <v>0</v>
      </c>
      <c r="AJ722" s="434">
        <f>IF(AH722&gt;0,Ruimtestaat[[#This Row],[Prest. (m2 /jaar) weekend]]/Ruimtestaat[[#This Row],[Norm (m2/uur) weekend]],0)</f>
        <v>0</v>
      </c>
      <c r="AK722" s="444">
        <f>Ruimtestaat[[#This Row],[uren / jaar weekend]]*Tariefsopbouw!$D$40</f>
        <v>0</v>
      </c>
      <c r="AL722" s="441">
        <f>Ruimtestaat[[#This Row],[Prest. (m2 /jaar) weekend]]+Ruimtestaat[[#This Row],[Prest. (m2 /jaar) werkdagen]]</f>
        <v>0</v>
      </c>
      <c r="AM722" s="441">
        <f>Ruimtestaat[[#This Row],[uren / jaar weekend]]+Ruimtestaat[[#This Row],[uren / jaar werkdagen]]</f>
        <v>0</v>
      </c>
      <c r="AN722" s="446">
        <f>Ruimtestaat[[#This Row],[kosten / jaar weekend]]+Ruimtestaat[[#This Row],[kosten / jaar werkdagen]]</f>
        <v>0</v>
      </c>
      <c r="AO722" s="446"/>
      <c r="AP722" s="446" t="str">
        <f>IF(Ruimtestaat[[#This Row],[Frequentie werkdagen]]="","",_xlfn.CONCAT(Ruimtestaat[[#This Row],[Ruimte code]],"-",Ruimtestaat[[#This Row],[Frequentie werkdagen]]," ",Ruimtestaat[[#This Row],[Vloer code]]))</f>
        <v/>
      </c>
      <c r="AQ722" s="448" t="str">
        <f>_xlfn.IFNA(VLOOKUP($AP722,Programma!$F$3:$G$1101,2,0),"")</f>
        <v/>
      </c>
      <c r="AR722" s="448" t="str">
        <f>_xlfn.IFNA(VLOOKUP($AP722,Programma!$F$3:$H$1101,3,0),"")</f>
        <v/>
      </c>
      <c r="AS722" s="448" t="str">
        <f>_xlfn.IFNA(VLOOKUP($AP722,Programma!$F$3:$I$1101,4,0),"")</f>
        <v/>
      </c>
      <c r="AT722" s="448" t="str">
        <f>_xlfn.IFNA(VLOOKUP($AP722,Programma!$F$3:$J$1101,5,0),"")</f>
        <v/>
      </c>
      <c r="AU722" s="448" t="str">
        <f>_xlfn.IFNA(VLOOKUP($AP722,Programma!$F$3:$K$1101,6,0),"")</f>
        <v/>
      </c>
      <c r="AV722" s="448" t="str">
        <f>_xlfn.IFNA(VLOOKUP($AP722,Programma!$F$3:$L$1101,7,0),"")</f>
        <v/>
      </c>
      <c r="AW722" s="448" t="str">
        <f>_xlfn.IFNA(VLOOKUP($AP722,Programma!$F$3:$M$1101,8,0),"")</f>
        <v/>
      </c>
      <c r="AX722" s="448" t="str">
        <f>_xlfn.IFNA(VLOOKUP($AP722,Programma!$F$3:$N$1101,9,0),"")</f>
        <v/>
      </c>
      <c r="AY722" s="448" t="str">
        <f>_xlfn.IFNA(VLOOKUP($AP722,Programma!$F$3:$O$1101,10,0),"")</f>
        <v/>
      </c>
      <c r="AZ722" s="448" t="str">
        <f>_xlfn.IFNA(VLOOKUP($AP722,Programma!$F$3:$P$1101,11,0),"")</f>
        <v/>
      </c>
      <c r="BA722" s="448" t="str">
        <f>_xlfn.IFNA(VLOOKUP($AP722,Programma!$F$3:$Q$1101,12,0),"")</f>
        <v/>
      </c>
      <c r="BB722" s="448" t="str">
        <f>_xlfn.IFNA(VLOOKUP($AP722,Programma!$F$3:$R$1101,13,0),"")</f>
        <v/>
      </c>
      <c r="BC722" s="448" t="str">
        <f>_xlfn.IFNA(VLOOKUP($AP722,Programma!$F$3:$S$1101,14,0),"")</f>
        <v/>
      </c>
      <c r="BD722" s="448" t="str">
        <f>_xlfn.IFNA(VLOOKUP($AP722,Programma!$F$3:$T$1101,15,0),"")</f>
        <v/>
      </c>
      <c r="BE722" s="448" t="str">
        <f>_xlfn.IFNA(VLOOKUP($AP722,Programma!$F$3:$U$1101,16,0),"")</f>
        <v/>
      </c>
      <c r="BF722" s="448" t="str">
        <f>_xlfn.IFNA(VLOOKUP($AP722,Programma!$F$3:$V$1101,17,0),"")</f>
        <v/>
      </c>
      <c r="BG722" s="448" t="str">
        <f>_xlfn.IFNA(VLOOKUP($AP722,Programma!$F$3:$W$1101,18,0),"")</f>
        <v/>
      </c>
      <c r="BH722" s="448" t="str">
        <f>_xlfn.IFNA(VLOOKUP($AP722,Programma!$F$3:$X$1101,19,0),"")</f>
        <v/>
      </c>
      <c r="BI722" s="448" t="str">
        <f>_xlfn.IFNA(VLOOKUP($AP722,Programma!$F$3:$Y$1101,20,0),"")</f>
        <v/>
      </c>
      <c r="BJ722" s="449"/>
      <c r="BK722" s="446" t="str">
        <f>IF(Ruimtestaat[[#This Row],[Frequentie weekend]]="","",_xlfn.CONCAT(Ruimtestaat[[#This Row],[Ruimte code]],"-",Ruimtestaat[[#This Row],[Frequentie weekend]]," ",Ruimtestaat[[#This Row],[Vloer code]]))</f>
        <v/>
      </c>
      <c r="BL722" s="448" t="str">
        <f>_xlfn.IFNA(VLOOKUP($BK722,Programma!$F$3:$G$1101,2,0),"")</f>
        <v/>
      </c>
      <c r="BM722" s="448" t="str">
        <f>_xlfn.IFNA(VLOOKUP($BK722,Programma!$F$3:$H$1101,3,0),"")</f>
        <v/>
      </c>
      <c r="BN722" s="448" t="str">
        <f>_xlfn.IFNA(VLOOKUP($BK722,Programma!$F$3:$I$1101,4,0),"")</f>
        <v/>
      </c>
      <c r="BO722" s="448" t="str">
        <f>_xlfn.IFNA(VLOOKUP($BK722,Programma!$F$3:$J$1101,5,0),"")</f>
        <v/>
      </c>
      <c r="BP722" s="448" t="str">
        <f>_xlfn.IFNA(VLOOKUP($BK722,Programma!$F$3:$K$1101,6,0),"")</f>
        <v/>
      </c>
      <c r="BQ722" s="448" t="str">
        <f>_xlfn.IFNA(VLOOKUP($BK722,Programma!$F$3:$L$1101,7,0),"")</f>
        <v/>
      </c>
      <c r="BR722" s="448" t="str">
        <f>_xlfn.IFNA(VLOOKUP($BK722,Programma!$F$3:$M$1101,8,0),"")</f>
        <v/>
      </c>
      <c r="BS722" s="448" t="str">
        <f>_xlfn.IFNA(VLOOKUP($BK722,Programma!$F$3:$N$1101,9,0),"")</f>
        <v/>
      </c>
      <c r="BT722" s="448" t="str">
        <f>_xlfn.IFNA(VLOOKUP($BK722,Programma!$F$3:$O$1101,10,0),"")</f>
        <v/>
      </c>
      <c r="BU722" s="448" t="str">
        <f>_xlfn.IFNA(VLOOKUP($BK722,Programma!$F$3:$P$1101,11,0),"")</f>
        <v/>
      </c>
      <c r="BV722" s="448" t="str">
        <f>_xlfn.IFNA(VLOOKUP($BK722,Programma!$F$3:$Q$1101,12,0),"")</f>
        <v/>
      </c>
      <c r="BW722" s="448" t="str">
        <f>_xlfn.IFNA(VLOOKUP($BK722,Programma!$F$3:$R$1101,13,0),"")</f>
        <v/>
      </c>
      <c r="BX722" s="448" t="str">
        <f>_xlfn.IFNA(VLOOKUP($BK722,Programma!$F$3:$S$1101,14,0),"")</f>
        <v/>
      </c>
      <c r="BY722" s="448" t="str">
        <f>_xlfn.IFNA(VLOOKUP($BK722,Programma!$F$3:$T$1101,15,0),"")</f>
        <v/>
      </c>
      <c r="BZ722" s="448" t="str">
        <f>_xlfn.IFNA(VLOOKUP($BK722,Programma!$F$3:$U$1101,16,0),"")</f>
        <v/>
      </c>
      <c r="CA722" s="448" t="str">
        <f>_xlfn.IFNA(VLOOKUP($BK722,Programma!$F$3:$V$1101,17,0),"")</f>
        <v/>
      </c>
      <c r="CB722" s="448" t="str">
        <f>_xlfn.IFNA(VLOOKUP($BK722,Programma!$F$3:$W$1101,18,0),"")</f>
        <v/>
      </c>
      <c r="CC722" s="448" t="str">
        <f>_xlfn.IFNA(VLOOKUP($BK722,Programma!$F$3:$X$1101,19,0),"")</f>
        <v/>
      </c>
      <c r="CD722" s="448" t="str">
        <f>_xlfn.IFNA(VLOOKUP($BK722,Programma!$F$3:$Y$1101,20,0),"")</f>
        <v/>
      </c>
    </row>
    <row r="723" spans="1:82" ht="15" customHeight="1">
      <c r="A723" s="327">
        <v>15</v>
      </c>
      <c r="B723" s="435" t="str">
        <f>VLOOKUP(Ruimtestaat[[#This Row],[Code]],Locaties[[Code]:[Locatie]],2,FALSE)</f>
        <v>IKC  Da Vinci</v>
      </c>
      <c r="C723" s="435" t="str">
        <f>VLOOKUP(Ruimtestaat[[#This Row],[Code]],Locaties[[#All],[Code]:[Adres]],4,FALSE)</f>
        <v>Spitsbergen 17</v>
      </c>
      <c r="D723" s="435" t="str">
        <f>VLOOKUP(Ruimtestaat[[#This Row],[Code]],Locaties[[#All],[Code]:[Postcode]],5,FALSE)</f>
        <v>2721 GP</v>
      </c>
      <c r="E723" s="435" t="str">
        <f>VLOOKUP(Ruimtestaat[[#This Row],[Code]],Locaties[#All],6,FALSE)</f>
        <v>Zoetermeer</v>
      </c>
      <c r="F723" s="330" t="s">
        <v>2154</v>
      </c>
      <c r="I723" s="450" t="s">
        <v>1857</v>
      </c>
      <c r="J723" s="330">
        <v>20</v>
      </c>
      <c r="K723" s="450" t="str">
        <f>VLOOKUP(Ruimtestaat[[#This Row],[Ruimte code]],Ruimtegroepen[[#All],[Code]:[Ruimte omschrijving]],2,FALSE)</f>
        <v>Niet in Onderhoud</v>
      </c>
      <c r="M723" s="330"/>
      <c r="N723" s="439"/>
      <c r="O723" s="439">
        <v>7</v>
      </c>
      <c r="P723" s="439"/>
      <c r="Q723" s="439"/>
      <c r="R723" s="440">
        <f>VLOOKUP(Ruimtestaat[[#This Row],[Ruimte code]],Ruimtegroepen[],4,FALSE)</f>
        <v>0</v>
      </c>
      <c r="S723" s="434"/>
      <c r="T723" s="434"/>
      <c r="U723" s="453">
        <f>IF(S723&gt;0,IF(RIGHT(Ruimtestaat[[#This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3" s="434">
        <f>IF(U723&gt;0,VLOOKUP($J723,Ruimtegroepen[],3,FALSE)*VLOOKUP($L723,Vloersoorten[],3,FALSE)*VLOOKUP($T723,Frequenties[],3,FALSE)*VLOOKUP($A723,Locaties[],3,FALSE),0)</f>
        <v>0</v>
      </c>
      <c r="W723" s="434">
        <f>Ruimtestaat[[#This Row],[Uitvoeringen werkdagen]]*Ruimtestaat[[#This Row],[Oppervlak (netto)]]</f>
        <v>0</v>
      </c>
      <c r="X723" s="441">
        <f>IF(V723&gt;0,Ruimtestaat[[#This Row],[Prest. (m2 /jaar) werkdagen]]/Ruimtestaat[[#This Row],[Norm (m2/uur) werkdagen]],0)</f>
        <v>0</v>
      </c>
      <c r="Y723" s="442">
        <f>Ruimtestaat[[#This Row],[Uitvoeringen werkdagen]]*Ruimtestaat[[#This Row],[Gedeeltelijk]]</f>
        <v>0</v>
      </c>
      <c r="Z723" s="443">
        <f>IF(U723&gt;0,Ruimtestaat[[#This Row],[Prest. (m2 / jaar) werkdagen gedeeld]]/Ruimtestaat[[#This Row],[Norm (m2/uur) werkdagen]],0)</f>
        <v>0</v>
      </c>
      <c r="AA723" s="441">
        <f>Ruimtestaat[[#This Row],[uren / jaar werkdagen gedeeld]]*Tariefsopbouw!$E$35</f>
        <v>0</v>
      </c>
      <c r="AB723" s="441">
        <f>Ruimtestaat[[#This Row],[Uitvoeringen werkdagen]]*Ruimtestaat[[#This Row],[BSO]]</f>
        <v>0</v>
      </c>
      <c r="AC723" s="443">
        <f>IF(U723&gt;0,Ruimtestaat[[#This Row],[Prest. (m2 / jaar) werkdagen BSO]]/Ruimtestaat[[#This Row],[Norm (m2/uur) werkdagen]],0)</f>
        <v>0</v>
      </c>
      <c r="AD723" s="443">
        <f>Ruimtestaat[[#This Row],[uren / jaar werkdagen BSO]]*Tariefsopbouw!$E$35</f>
        <v>0</v>
      </c>
      <c r="AE723" s="444">
        <f>Ruimtestaat[[#This Row],[uren / jaar werkdagen]]*Tariefsopbouw!$E$35</f>
        <v>0</v>
      </c>
      <c r="AF723" s="454"/>
      <c r="AG723" s="455">
        <f>IF(Ruimtestaat[[#This Row],[Frequentie weekend]]&gt;0,VALUE(LEFT(AF723,1))*S723,0)</f>
        <v>0</v>
      </c>
      <c r="AH723" s="455">
        <f>IF($AG723&gt;0,VLOOKUP($J723,Ruimtegroepen[],3,FALSE)*VLOOKUP($L723,Vloersoorten[],3,FALSE)*VLOOKUP($AF723,Frequenties[],3,FALSE)*VLOOKUP(#REF!,Locaties[],3,FALSE),0)</f>
        <v>0</v>
      </c>
      <c r="AI723" s="434">
        <f>Ruimtestaat[[#This Row],[Uitvoeringen weekend]]*Ruimtestaat[[#This Row],[Oppervlak (netto)]]</f>
        <v>0</v>
      </c>
      <c r="AJ723" s="434">
        <f>IF(AH723&gt;0,Ruimtestaat[[#This Row],[Prest. (m2 /jaar) weekend]]/Ruimtestaat[[#This Row],[Norm (m2/uur) weekend]],0)</f>
        <v>0</v>
      </c>
      <c r="AK723" s="444">
        <f>Ruimtestaat[[#This Row],[uren / jaar weekend]]*Tariefsopbouw!$D$40</f>
        <v>0</v>
      </c>
      <c r="AL723" s="441">
        <f>Ruimtestaat[[#This Row],[Prest. (m2 /jaar) weekend]]+Ruimtestaat[[#This Row],[Prest. (m2 /jaar) werkdagen]]</f>
        <v>0</v>
      </c>
      <c r="AM723" s="441">
        <f>Ruimtestaat[[#This Row],[uren / jaar weekend]]+Ruimtestaat[[#This Row],[uren / jaar werkdagen]]</f>
        <v>0</v>
      </c>
      <c r="AN723" s="446">
        <f>Ruimtestaat[[#This Row],[kosten / jaar weekend]]+Ruimtestaat[[#This Row],[kosten / jaar werkdagen]]</f>
        <v>0</v>
      </c>
      <c r="AO723" s="446"/>
      <c r="AP723" s="446" t="str">
        <f>IF(Ruimtestaat[[#This Row],[Frequentie werkdagen]]="","",_xlfn.CONCAT(Ruimtestaat[[#This Row],[Ruimte code]],"-",Ruimtestaat[[#This Row],[Frequentie werkdagen]]," ",Ruimtestaat[[#This Row],[Vloer code]]))</f>
        <v/>
      </c>
      <c r="AQ723" s="448" t="str">
        <f>_xlfn.IFNA(VLOOKUP($AP723,Programma!$F$3:$G$1101,2,0),"")</f>
        <v/>
      </c>
      <c r="AR723" s="448" t="str">
        <f>_xlfn.IFNA(VLOOKUP($AP723,Programma!$F$3:$H$1101,3,0),"")</f>
        <v/>
      </c>
      <c r="AS723" s="448" t="str">
        <f>_xlfn.IFNA(VLOOKUP($AP723,Programma!$F$3:$I$1101,4,0),"")</f>
        <v/>
      </c>
      <c r="AT723" s="448" t="str">
        <f>_xlfn.IFNA(VLOOKUP($AP723,Programma!$F$3:$J$1101,5,0),"")</f>
        <v/>
      </c>
      <c r="AU723" s="448" t="str">
        <f>_xlfn.IFNA(VLOOKUP($AP723,Programma!$F$3:$K$1101,6,0),"")</f>
        <v/>
      </c>
      <c r="AV723" s="448" t="str">
        <f>_xlfn.IFNA(VLOOKUP($AP723,Programma!$F$3:$L$1101,7,0),"")</f>
        <v/>
      </c>
      <c r="AW723" s="448" t="str">
        <f>_xlfn.IFNA(VLOOKUP($AP723,Programma!$F$3:$M$1101,8,0),"")</f>
        <v/>
      </c>
      <c r="AX723" s="448" t="str">
        <f>_xlfn.IFNA(VLOOKUP($AP723,Programma!$F$3:$N$1101,9,0),"")</f>
        <v/>
      </c>
      <c r="AY723" s="448" t="str">
        <f>_xlfn.IFNA(VLOOKUP($AP723,Programma!$F$3:$O$1101,10,0),"")</f>
        <v/>
      </c>
      <c r="AZ723" s="448" t="str">
        <f>_xlfn.IFNA(VLOOKUP($AP723,Programma!$F$3:$P$1101,11,0),"")</f>
        <v/>
      </c>
      <c r="BA723" s="448" t="str">
        <f>_xlfn.IFNA(VLOOKUP($AP723,Programma!$F$3:$Q$1101,12,0),"")</f>
        <v/>
      </c>
      <c r="BB723" s="448" t="str">
        <f>_xlfn.IFNA(VLOOKUP($AP723,Programma!$F$3:$R$1101,13,0),"")</f>
        <v/>
      </c>
      <c r="BC723" s="448" t="str">
        <f>_xlfn.IFNA(VLOOKUP($AP723,Programma!$F$3:$S$1101,14,0),"")</f>
        <v/>
      </c>
      <c r="BD723" s="448" t="str">
        <f>_xlfn.IFNA(VLOOKUP($AP723,Programma!$F$3:$T$1101,15,0),"")</f>
        <v/>
      </c>
      <c r="BE723" s="448" t="str">
        <f>_xlfn.IFNA(VLOOKUP($AP723,Programma!$F$3:$U$1101,16,0),"")</f>
        <v/>
      </c>
      <c r="BF723" s="448" t="str">
        <f>_xlfn.IFNA(VLOOKUP($AP723,Programma!$F$3:$V$1101,17,0),"")</f>
        <v/>
      </c>
      <c r="BG723" s="448" t="str">
        <f>_xlfn.IFNA(VLOOKUP($AP723,Programma!$F$3:$W$1101,18,0),"")</f>
        <v/>
      </c>
      <c r="BH723" s="448" t="str">
        <f>_xlfn.IFNA(VLOOKUP($AP723,Programma!$F$3:$X$1101,19,0),"")</f>
        <v/>
      </c>
      <c r="BI723" s="448" t="str">
        <f>_xlfn.IFNA(VLOOKUP($AP723,Programma!$F$3:$Y$1101,20,0),"")</f>
        <v/>
      </c>
      <c r="BJ723" s="449"/>
      <c r="BK723" s="446" t="str">
        <f>IF(Ruimtestaat[[#This Row],[Frequentie weekend]]="","",_xlfn.CONCAT(Ruimtestaat[[#This Row],[Ruimte code]],"-",Ruimtestaat[[#This Row],[Frequentie weekend]]," ",Ruimtestaat[[#This Row],[Vloer code]]))</f>
        <v/>
      </c>
      <c r="BL723" s="448" t="str">
        <f>_xlfn.IFNA(VLOOKUP($BK723,Programma!$F$3:$G$1101,2,0),"")</f>
        <v/>
      </c>
      <c r="BM723" s="448" t="str">
        <f>_xlfn.IFNA(VLOOKUP($BK723,Programma!$F$3:$H$1101,3,0),"")</f>
        <v/>
      </c>
      <c r="BN723" s="448" t="str">
        <f>_xlfn.IFNA(VLOOKUP($BK723,Programma!$F$3:$I$1101,4,0),"")</f>
        <v/>
      </c>
      <c r="BO723" s="448" t="str">
        <f>_xlfn.IFNA(VLOOKUP($BK723,Programma!$F$3:$J$1101,5,0),"")</f>
        <v/>
      </c>
      <c r="BP723" s="448" t="str">
        <f>_xlfn.IFNA(VLOOKUP($BK723,Programma!$F$3:$K$1101,6,0),"")</f>
        <v/>
      </c>
      <c r="BQ723" s="448" t="str">
        <f>_xlfn.IFNA(VLOOKUP($BK723,Programma!$F$3:$L$1101,7,0),"")</f>
        <v/>
      </c>
      <c r="BR723" s="448" t="str">
        <f>_xlfn.IFNA(VLOOKUP($BK723,Programma!$F$3:$M$1101,8,0),"")</f>
        <v/>
      </c>
      <c r="BS723" s="448" t="str">
        <f>_xlfn.IFNA(VLOOKUP($BK723,Programma!$F$3:$N$1101,9,0),"")</f>
        <v/>
      </c>
      <c r="BT723" s="448" t="str">
        <f>_xlfn.IFNA(VLOOKUP($BK723,Programma!$F$3:$O$1101,10,0),"")</f>
        <v/>
      </c>
      <c r="BU723" s="448" t="str">
        <f>_xlfn.IFNA(VLOOKUP($BK723,Programma!$F$3:$P$1101,11,0),"")</f>
        <v/>
      </c>
      <c r="BV723" s="448" t="str">
        <f>_xlfn.IFNA(VLOOKUP($BK723,Programma!$F$3:$Q$1101,12,0),"")</f>
        <v/>
      </c>
      <c r="BW723" s="448" t="str">
        <f>_xlfn.IFNA(VLOOKUP($BK723,Programma!$F$3:$R$1101,13,0),"")</f>
        <v/>
      </c>
      <c r="BX723" s="448" t="str">
        <f>_xlfn.IFNA(VLOOKUP($BK723,Programma!$F$3:$S$1101,14,0),"")</f>
        <v/>
      </c>
      <c r="BY723" s="448" t="str">
        <f>_xlfn.IFNA(VLOOKUP($BK723,Programma!$F$3:$T$1101,15,0),"")</f>
        <v/>
      </c>
      <c r="BZ723" s="448" t="str">
        <f>_xlfn.IFNA(VLOOKUP($BK723,Programma!$F$3:$U$1101,16,0),"")</f>
        <v/>
      </c>
      <c r="CA723" s="448" t="str">
        <f>_xlfn.IFNA(VLOOKUP($BK723,Programma!$F$3:$V$1101,17,0),"")</f>
        <v/>
      </c>
      <c r="CB723" s="448" t="str">
        <f>_xlfn.IFNA(VLOOKUP($BK723,Programma!$F$3:$W$1101,18,0),"")</f>
        <v/>
      </c>
      <c r="CC723" s="448" t="str">
        <f>_xlfn.IFNA(VLOOKUP($BK723,Programma!$F$3:$X$1101,19,0),"")</f>
        <v/>
      </c>
      <c r="CD723" s="448" t="str">
        <f>_xlfn.IFNA(VLOOKUP($BK723,Programma!$F$3:$Y$1101,20,0),"")</f>
        <v/>
      </c>
    </row>
    <row r="724" spans="1:82" ht="15" customHeight="1">
      <c r="A724" s="327">
        <v>15</v>
      </c>
      <c r="B724" s="435" t="str">
        <f>VLOOKUP(Ruimtestaat[[#This Row],[Code]],Locaties[[Code]:[Locatie]],2,FALSE)</f>
        <v>IKC  Da Vinci</v>
      </c>
      <c r="C724" s="435" t="str">
        <f>VLOOKUP(Ruimtestaat[[#This Row],[Code]],Locaties[[#All],[Code]:[Adres]],4,FALSE)</f>
        <v>Spitsbergen 17</v>
      </c>
      <c r="D724" s="435" t="str">
        <f>VLOOKUP(Ruimtestaat[[#This Row],[Code]],Locaties[[#All],[Code]:[Postcode]],5,FALSE)</f>
        <v>2721 GP</v>
      </c>
      <c r="E724" s="435" t="str">
        <f>VLOOKUP(Ruimtestaat[[#This Row],[Code]],Locaties[#All],6,FALSE)</f>
        <v>Zoetermeer</v>
      </c>
      <c r="F724" s="330" t="s">
        <v>2154</v>
      </c>
      <c r="I724" s="450" t="s">
        <v>1996</v>
      </c>
      <c r="J724" s="330">
        <v>20</v>
      </c>
      <c r="K724" s="450" t="str">
        <f>VLOOKUP(Ruimtestaat[[#This Row],[Ruimte code]],Ruimtegroepen[[#All],[Code]:[Ruimte omschrijving]],2,FALSE)</f>
        <v>Niet in Onderhoud</v>
      </c>
      <c r="M724" s="330"/>
      <c r="N724" s="439"/>
      <c r="O724" s="439">
        <v>11</v>
      </c>
      <c r="P724" s="439"/>
      <c r="Q724" s="439"/>
      <c r="R724" s="440">
        <f>VLOOKUP(Ruimtestaat[[#This Row],[Ruimte code]],Ruimtegroepen[],4,FALSE)</f>
        <v>0</v>
      </c>
      <c r="S724" s="434"/>
      <c r="T724" s="434"/>
      <c r="U724" s="453">
        <f>IF(S724&gt;0,IF(RIGHT(Ruimtestaat[[#This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4" s="434">
        <f>IF(U724&gt;0,VLOOKUP($J724,Ruimtegroepen[],3,FALSE)*VLOOKUP($L724,Vloersoorten[],3,FALSE)*VLOOKUP($T724,Frequenties[],3,FALSE)*VLOOKUP($A724,Locaties[],3,FALSE),0)</f>
        <v>0</v>
      </c>
      <c r="W724" s="434">
        <f>Ruimtestaat[[#This Row],[Uitvoeringen werkdagen]]*Ruimtestaat[[#This Row],[Oppervlak (netto)]]</f>
        <v>0</v>
      </c>
      <c r="X724" s="441">
        <f>IF(V724&gt;0,Ruimtestaat[[#This Row],[Prest. (m2 /jaar) werkdagen]]/Ruimtestaat[[#This Row],[Norm (m2/uur) werkdagen]],0)</f>
        <v>0</v>
      </c>
      <c r="Y724" s="442">
        <f>Ruimtestaat[[#This Row],[Uitvoeringen werkdagen]]*Ruimtestaat[[#This Row],[Gedeeltelijk]]</f>
        <v>0</v>
      </c>
      <c r="Z724" s="443">
        <f>IF(U724&gt;0,Ruimtestaat[[#This Row],[Prest. (m2 / jaar) werkdagen gedeeld]]/Ruimtestaat[[#This Row],[Norm (m2/uur) werkdagen]],0)</f>
        <v>0</v>
      </c>
      <c r="AA724" s="441">
        <f>Ruimtestaat[[#This Row],[uren / jaar werkdagen gedeeld]]*Tariefsopbouw!$E$35</f>
        <v>0</v>
      </c>
      <c r="AB724" s="441">
        <f>Ruimtestaat[[#This Row],[Uitvoeringen werkdagen]]*Ruimtestaat[[#This Row],[BSO]]</f>
        <v>0</v>
      </c>
      <c r="AC724" s="443">
        <f>IF(U724&gt;0,Ruimtestaat[[#This Row],[Prest. (m2 / jaar) werkdagen BSO]]/Ruimtestaat[[#This Row],[Norm (m2/uur) werkdagen]],0)</f>
        <v>0</v>
      </c>
      <c r="AD724" s="443">
        <f>Ruimtestaat[[#This Row],[uren / jaar werkdagen BSO]]*Tariefsopbouw!$E$35</f>
        <v>0</v>
      </c>
      <c r="AE724" s="444">
        <f>Ruimtestaat[[#This Row],[uren / jaar werkdagen]]*Tariefsopbouw!$E$35</f>
        <v>0</v>
      </c>
      <c r="AF724" s="454"/>
      <c r="AG724" s="455">
        <f>IF(Ruimtestaat[[#This Row],[Frequentie weekend]]&gt;0,VALUE(LEFT(AF724,1))*S724,0)</f>
        <v>0</v>
      </c>
      <c r="AH724" s="455">
        <f>IF($AG724&gt;0,VLOOKUP($J724,Ruimtegroepen[],3,FALSE)*VLOOKUP($L724,Vloersoorten[],3,FALSE)*VLOOKUP($AF724,Frequenties[],3,FALSE)*VLOOKUP(#REF!,Locaties[],3,FALSE),0)</f>
        <v>0</v>
      </c>
      <c r="AI724" s="434">
        <f>Ruimtestaat[[#This Row],[Uitvoeringen weekend]]*Ruimtestaat[[#This Row],[Oppervlak (netto)]]</f>
        <v>0</v>
      </c>
      <c r="AJ724" s="434">
        <f>IF(AH724&gt;0,Ruimtestaat[[#This Row],[Prest. (m2 /jaar) weekend]]/Ruimtestaat[[#This Row],[Norm (m2/uur) weekend]],0)</f>
        <v>0</v>
      </c>
      <c r="AK724" s="444">
        <f>Ruimtestaat[[#This Row],[uren / jaar weekend]]*Tariefsopbouw!$D$40</f>
        <v>0</v>
      </c>
      <c r="AL724" s="441">
        <f>Ruimtestaat[[#This Row],[Prest. (m2 /jaar) weekend]]+Ruimtestaat[[#This Row],[Prest. (m2 /jaar) werkdagen]]</f>
        <v>0</v>
      </c>
      <c r="AM724" s="441">
        <f>Ruimtestaat[[#This Row],[uren / jaar weekend]]+Ruimtestaat[[#This Row],[uren / jaar werkdagen]]</f>
        <v>0</v>
      </c>
      <c r="AN724" s="446">
        <f>Ruimtestaat[[#This Row],[kosten / jaar weekend]]+Ruimtestaat[[#This Row],[kosten / jaar werkdagen]]</f>
        <v>0</v>
      </c>
      <c r="AO724" s="446"/>
      <c r="AP724" s="446" t="str">
        <f>IF(Ruimtestaat[[#This Row],[Frequentie werkdagen]]="","",_xlfn.CONCAT(Ruimtestaat[[#This Row],[Ruimte code]],"-",Ruimtestaat[[#This Row],[Frequentie werkdagen]]," ",Ruimtestaat[[#This Row],[Vloer code]]))</f>
        <v/>
      </c>
      <c r="AQ724" s="448" t="str">
        <f>_xlfn.IFNA(VLOOKUP($AP724,Programma!$F$3:$G$1101,2,0),"")</f>
        <v/>
      </c>
      <c r="AR724" s="448" t="str">
        <f>_xlfn.IFNA(VLOOKUP($AP724,Programma!$F$3:$H$1101,3,0),"")</f>
        <v/>
      </c>
      <c r="AS724" s="448" t="str">
        <f>_xlfn.IFNA(VLOOKUP($AP724,Programma!$F$3:$I$1101,4,0),"")</f>
        <v/>
      </c>
      <c r="AT724" s="448" t="str">
        <f>_xlfn.IFNA(VLOOKUP($AP724,Programma!$F$3:$J$1101,5,0),"")</f>
        <v/>
      </c>
      <c r="AU724" s="448" t="str">
        <f>_xlfn.IFNA(VLOOKUP($AP724,Programma!$F$3:$K$1101,6,0),"")</f>
        <v/>
      </c>
      <c r="AV724" s="448" t="str">
        <f>_xlfn.IFNA(VLOOKUP($AP724,Programma!$F$3:$L$1101,7,0),"")</f>
        <v/>
      </c>
      <c r="AW724" s="448" t="str">
        <f>_xlfn.IFNA(VLOOKUP($AP724,Programma!$F$3:$M$1101,8,0),"")</f>
        <v/>
      </c>
      <c r="AX724" s="448" t="str">
        <f>_xlfn.IFNA(VLOOKUP($AP724,Programma!$F$3:$N$1101,9,0),"")</f>
        <v/>
      </c>
      <c r="AY724" s="448" t="str">
        <f>_xlfn.IFNA(VLOOKUP($AP724,Programma!$F$3:$O$1101,10,0),"")</f>
        <v/>
      </c>
      <c r="AZ724" s="448" t="str">
        <f>_xlfn.IFNA(VLOOKUP($AP724,Programma!$F$3:$P$1101,11,0),"")</f>
        <v/>
      </c>
      <c r="BA724" s="448" t="str">
        <f>_xlfn.IFNA(VLOOKUP($AP724,Programma!$F$3:$Q$1101,12,0),"")</f>
        <v/>
      </c>
      <c r="BB724" s="448" t="str">
        <f>_xlfn.IFNA(VLOOKUP($AP724,Programma!$F$3:$R$1101,13,0),"")</f>
        <v/>
      </c>
      <c r="BC724" s="448" t="str">
        <f>_xlfn.IFNA(VLOOKUP($AP724,Programma!$F$3:$S$1101,14,0),"")</f>
        <v/>
      </c>
      <c r="BD724" s="448" t="str">
        <f>_xlfn.IFNA(VLOOKUP($AP724,Programma!$F$3:$T$1101,15,0),"")</f>
        <v/>
      </c>
      <c r="BE724" s="448" t="str">
        <f>_xlfn.IFNA(VLOOKUP($AP724,Programma!$F$3:$U$1101,16,0),"")</f>
        <v/>
      </c>
      <c r="BF724" s="448" t="str">
        <f>_xlfn.IFNA(VLOOKUP($AP724,Programma!$F$3:$V$1101,17,0),"")</f>
        <v/>
      </c>
      <c r="BG724" s="448" t="str">
        <f>_xlfn.IFNA(VLOOKUP($AP724,Programma!$F$3:$W$1101,18,0),"")</f>
        <v/>
      </c>
      <c r="BH724" s="448" t="str">
        <f>_xlfn.IFNA(VLOOKUP($AP724,Programma!$F$3:$X$1101,19,0),"")</f>
        <v/>
      </c>
      <c r="BI724" s="448" t="str">
        <f>_xlfn.IFNA(VLOOKUP($AP724,Programma!$F$3:$Y$1101,20,0),"")</f>
        <v/>
      </c>
      <c r="BJ724" s="449"/>
      <c r="BK724" s="446" t="str">
        <f>IF(Ruimtestaat[[#This Row],[Frequentie weekend]]="","",_xlfn.CONCAT(Ruimtestaat[[#This Row],[Ruimte code]],"-",Ruimtestaat[[#This Row],[Frequentie weekend]]," ",Ruimtestaat[[#This Row],[Vloer code]]))</f>
        <v/>
      </c>
      <c r="BL724" s="448" t="str">
        <f>_xlfn.IFNA(VLOOKUP($BK724,Programma!$F$3:$G$1101,2,0),"")</f>
        <v/>
      </c>
      <c r="BM724" s="448" t="str">
        <f>_xlfn.IFNA(VLOOKUP($BK724,Programma!$F$3:$H$1101,3,0),"")</f>
        <v/>
      </c>
      <c r="BN724" s="448" t="str">
        <f>_xlfn.IFNA(VLOOKUP($BK724,Programma!$F$3:$I$1101,4,0),"")</f>
        <v/>
      </c>
      <c r="BO724" s="448" t="str">
        <f>_xlfn.IFNA(VLOOKUP($BK724,Programma!$F$3:$J$1101,5,0),"")</f>
        <v/>
      </c>
      <c r="BP724" s="448" t="str">
        <f>_xlfn.IFNA(VLOOKUP($BK724,Programma!$F$3:$K$1101,6,0),"")</f>
        <v/>
      </c>
      <c r="BQ724" s="448" t="str">
        <f>_xlfn.IFNA(VLOOKUP($BK724,Programma!$F$3:$L$1101,7,0),"")</f>
        <v/>
      </c>
      <c r="BR724" s="448" t="str">
        <f>_xlfn.IFNA(VLOOKUP($BK724,Programma!$F$3:$M$1101,8,0),"")</f>
        <v/>
      </c>
      <c r="BS724" s="448" t="str">
        <f>_xlfn.IFNA(VLOOKUP($BK724,Programma!$F$3:$N$1101,9,0),"")</f>
        <v/>
      </c>
      <c r="BT724" s="448" t="str">
        <f>_xlfn.IFNA(VLOOKUP($BK724,Programma!$F$3:$O$1101,10,0),"")</f>
        <v/>
      </c>
      <c r="BU724" s="448" t="str">
        <f>_xlfn.IFNA(VLOOKUP($BK724,Programma!$F$3:$P$1101,11,0),"")</f>
        <v/>
      </c>
      <c r="BV724" s="448" t="str">
        <f>_xlfn.IFNA(VLOOKUP($BK724,Programma!$F$3:$Q$1101,12,0),"")</f>
        <v/>
      </c>
      <c r="BW724" s="448" t="str">
        <f>_xlfn.IFNA(VLOOKUP($BK724,Programma!$F$3:$R$1101,13,0),"")</f>
        <v/>
      </c>
      <c r="BX724" s="448" t="str">
        <f>_xlfn.IFNA(VLOOKUP($BK724,Programma!$F$3:$S$1101,14,0),"")</f>
        <v/>
      </c>
      <c r="BY724" s="448" t="str">
        <f>_xlfn.IFNA(VLOOKUP($BK724,Programma!$F$3:$T$1101,15,0),"")</f>
        <v/>
      </c>
      <c r="BZ724" s="448" t="str">
        <f>_xlfn.IFNA(VLOOKUP($BK724,Programma!$F$3:$U$1101,16,0),"")</f>
        <v/>
      </c>
      <c r="CA724" s="448" t="str">
        <f>_xlfn.IFNA(VLOOKUP($BK724,Programma!$F$3:$V$1101,17,0),"")</f>
        <v/>
      </c>
      <c r="CB724" s="448" t="str">
        <f>_xlfn.IFNA(VLOOKUP($BK724,Programma!$F$3:$W$1101,18,0),"")</f>
        <v/>
      </c>
      <c r="CC724" s="448" t="str">
        <f>_xlfn.IFNA(VLOOKUP($BK724,Programma!$F$3:$X$1101,19,0),"")</f>
        <v/>
      </c>
      <c r="CD724" s="448" t="str">
        <f>_xlfn.IFNA(VLOOKUP($BK724,Programma!$F$3:$Y$1101,20,0),"")</f>
        <v/>
      </c>
    </row>
    <row r="725" spans="1:82" ht="15" customHeight="1">
      <c r="A725" s="327">
        <v>15</v>
      </c>
      <c r="B725" s="435" t="str">
        <f>VLOOKUP(Ruimtestaat[[#This Row],[Code]],Locaties[[Code]:[Locatie]],2,FALSE)</f>
        <v>IKC  Da Vinci</v>
      </c>
      <c r="C725" s="435" t="str">
        <f>VLOOKUP(Ruimtestaat[[#This Row],[Code]],Locaties[[#All],[Code]:[Adres]],4,FALSE)</f>
        <v>Spitsbergen 17</v>
      </c>
      <c r="D725" s="435" t="str">
        <f>VLOOKUP(Ruimtestaat[[#This Row],[Code]],Locaties[[#All],[Code]:[Postcode]],5,FALSE)</f>
        <v>2721 GP</v>
      </c>
      <c r="E725" s="435" t="str">
        <f>VLOOKUP(Ruimtestaat[[#This Row],[Code]],Locaties[#All],6,FALSE)</f>
        <v>Zoetermeer</v>
      </c>
      <c r="F725" s="330" t="s">
        <v>2154</v>
      </c>
      <c r="I725" s="450" t="s">
        <v>1996</v>
      </c>
      <c r="J725" s="330">
        <v>20</v>
      </c>
      <c r="K725" s="450" t="str">
        <f>VLOOKUP(Ruimtestaat[[#This Row],[Ruimte code]],Ruimtegroepen[[#All],[Code]:[Ruimte omschrijving]],2,FALSE)</f>
        <v>Niet in Onderhoud</v>
      </c>
      <c r="M725" s="330"/>
      <c r="N725" s="439"/>
      <c r="O725" s="439">
        <v>11</v>
      </c>
      <c r="P725" s="439"/>
      <c r="Q725" s="439"/>
      <c r="R725" s="440">
        <f>VLOOKUP(Ruimtestaat[[#This Row],[Ruimte code]],Ruimtegroepen[],4,FALSE)</f>
        <v>0</v>
      </c>
      <c r="S725" s="434"/>
      <c r="T725" s="434"/>
      <c r="U725" s="453">
        <f>IF(S725&gt;0,IF(RIGHT(Ruimtestaat[[#This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5" s="434">
        <f>IF(U725&gt;0,VLOOKUP($J725,Ruimtegroepen[],3,FALSE)*VLOOKUP($L725,Vloersoorten[],3,FALSE)*VLOOKUP($T725,Frequenties[],3,FALSE)*VLOOKUP($A725,Locaties[],3,FALSE),0)</f>
        <v>0</v>
      </c>
      <c r="W725" s="434">
        <f>Ruimtestaat[[#This Row],[Uitvoeringen werkdagen]]*Ruimtestaat[[#This Row],[Oppervlak (netto)]]</f>
        <v>0</v>
      </c>
      <c r="X725" s="441">
        <f>IF(V725&gt;0,Ruimtestaat[[#This Row],[Prest. (m2 /jaar) werkdagen]]/Ruimtestaat[[#This Row],[Norm (m2/uur) werkdagen]],0)</f>
        <v>0</v>
      </c>
      <c r="Y725" s="442">
        <f>Ruimtestaat[[#This Row],[Uitvoeringen werkdagen]]*Ruimtestaat[[#This Row],[Gedeeltelijk]]</f>
        <v>0</v>
      </c>
      <c r="Z725" s="443">
        <f>IF(U725&gt;0,Ruimtestaat[[#This Row],[Prest. (m2 / jaar) werkdagen gedeeld]]/Ruimtestaat[[#This Row],[Norm (m2/uur) werkdagen]],0)</f>
        <v>0</v>
      </c>
      <c r="AA725" s="441">
        <f>Ruimtestaat[[#This Row],[uren / jaar werkdagen gedeeld]]*Tariefsopbouw!$E$35</f>
        <v>0</v>
      </c>
      <c r="AB725" s="441">
        <f>Ruimtestaat[[#This Row],[Uitvoeringen werkdagen]]*Ruimtestaat[[#This Row],[BSO]]</f>
        <v>0</v>
      </c>
      <c r="AC725" s="443">
        <f>IF(U725&gt;0,Ruimtestaat[[#This Row],[Prest. (m2 / jaar) werkdagen BSO]]/Ruimtestaat[[#This Row],[Norm (m2/uur) werkdagen]],0)</f>
        <v>0</v>
      </c>
      <c r="AD725" s="443">
        <f>Ruimtestaat[[#This Row],[uren / jaar werkdagen BSO]]*Tariefsopbouw!$E$35</f>
        <v>0</v>
      </c>
      <c r="AE725" s="444">
        <f>Ruimtestaat[[#This Row],[uren / jaar werkdagen]]*Tariefsopbouw!$E$35</f>
        <v>0</v>
      </c>
      <c r="AF725" s="454"/>
      <c r="AG725" s="455">
        <f>IF(Ruimtestaat[[#This Row],[Frequentie weekend]]&gt;0,VALUE(LEFT(AF725,1))*S725,0)</f>
        <v>0</v>
      </c>
      <c r="AH725" s="455">
        <f>IF($AG725&gt;0,VLOOKUP($J725,Ruimtegroepen[],3,FALSE)*VLOOKUP($L725,Vloersoorten[],3,FALSE)*VLOOKUP($AF725,Frequenties[],3,FALSE)*VLOOKUP(#REF!,Locaties[],3,FALSE),0)</f>
        <v>0</v>
      </c>
      <c r="AI725" s="434">
        <f>Ruimtestaat[[#This Row],[Uitvoeringen weekend]]*Ruimtestaat[[#This Row],[Oppervlak (netto)]]</f>
        <v>0</v>
      </c>
      <c r="AJ725" s="434">
        <f>IF(AH725&gt;0,Ruimtestaat[[#This Row],[Prest. (m2 /jaar) weekend]]/Ruimtestaat[[#This Row],[Norm (m2/uur) weekend]],0)</f>
        <v>0</v>
      </c>
      <c r="AK725" s="444">
        <f>Ruimtestaat[[#This Row],[uren / jaar weekend]]*Tariefsopbouw!$D$40</f>
        <v>0</v>
      </c>
      <c r="AL725" s="441">
        <f>Ruimtestaat[[#This Row],[Prest. (m2 /jaar) weekend]]+Ruimtestaat[[#This Row],[Prest. (m2 /jaar) werkdagen]]</f>
        <v>0</v>
      </c>
      <c r="AM725" s="441">
        <f>Ruimtestaat[[#This Row],[uren / jaar weekend]]+Ruimtestaat[[#This Row],[uren / jaar werkdagen]]</f>
        <v>0</v>
      </c>
      <c r="AN725" s="446">
        <f>Ruimtestaat[[#This Row],[kosten / jaar weekend]]+Ruimtestaat[[#This Row],[kosten / jaar werkdagen]]</f>
        <v>0</v>
      </c>
      <c r="AO725" s="446"/>
      <c r="AP725" s="446" t="str">
        <f>IF(Ruimtestaat[[#This Row],[Frequentie werkdagen]]="","",_xlfn.CONCAT(Ruimtestaat[[#This Row],[Ruimte code]],"-",Ruimtestaat[[#This Row],[Frequentie werkdagen]]," ",Ruimtestaat[[#This Row],[Vloer code]]))</f>
        <v/>
      </c>
      <c r="AQ725" s="448" t="str">
        <f>_xlfn.IFNA(VLOOKUP($AP725,Programma!$F$3:$G$1101,2,0),"")</f>
        <v/>
      </c>
      <c r="AR725" s="448" t="str">
        <f>_xlfn.IFNA(VLOOKUP($AP725,Programma!$F$3:$H$1101,3,0),"")</f>
        <v/>
      </c>
      <c r="AS725" s="448" t="str">
        <f>_xlfn.IFNA(VLOOKUP($AP725,Programma!$F$3:$I$1101,4,0),"")</f>
        <v/>
      </c>
      <c r="AT725" s="448" t="str">
        <f>_xlfn.IFNA(VLOOKUP($AP725,Programma!$F$3:$J$1101,5,0),"")</f>
        <v/>
      </c>
      <c r="AU725" s="448" t="str">
        <f>_xlfn.IFNA(VLOOKUP($AP725,Programma!$F$3:$K$1101,6,0),"")</f>
        <v/>
      </c>
      <c r="AV725" s="448" t="str">
        <f>_xlfn.IFNA(VLOOKUP($AP725,Programma!$F$3:$L$1101,7,0),"")</f>
        <v/>
      </c>
      <c r="AW725" s="448" t="str">
        <f>_xlfn.IFNA(VLOOKUP($AP725,Programma!$F$3:$M$1101,8,0),"")</f>
        <v/>
      </c>
      <c r="AX725" s="448" t="str">
        <f>_xlfn.IFNA(VLOOKUP($AP725,Programma!$F$3:$N$1101,9,0),"")</f>
        <v/>
      </c>
      <c r="AY725" s="448" t="str">
        <f>_xlfn.IFNA(VLOOKUP($AP725,Programma!$F$3:$O$1101,10,0),"")</f>
        <v/>
      </c>
      <c r="AZ725" s="448" t="str">
        <f>_xlfn.IFNA(VLOOKUP($AP725,Programma!$F$3:$P$1101,11,0),"")</f>
        <v/>
      </c>
      <c r="BA725" s="448" t="str">
        <f>_xlfn.IFNA(VLOOKUP($AP725,Programma!$F$3:$Q$1101,12,0),"")</f>
        <v/>
      </c>
      <c r="BB725" s="448" t="str">
        <f>_xlfn.IFNA(VLOOKUP($AP725,Programma!$F$3:$R$1101,13,0),"")</f>
        <v/>
      </c>
      <c r="BC725" s="448" t="str">
        <f>_xlfn.IFNA(VLOOKUP($AP725,Programma!$F$3:$S$1101,14,0),"")</f>
        <v/>
      </c>
      <c r="BD725" s="448" t="str">
        <f>_xlfn.IFNA(VLOOKUP($AP725,Programma!$F$3:$T$1101,15,0),"")</f>
        <v/>
      </c>
      <c r="BE725" s="448" t="str">
        <f>_xlfn.IFNA(VLOOKUP($AP725,Programma!$F$3:$U$1101,16,0),"")</f>
        <v/>
      </c>
      <c r="BF725" s="448" t="str">
        <f>_xlfn.IFNA(VLOOKUP($AP725,Programma!$F$3:$V$1101,17,0),"")</f>
        <v/>
      </c>
      <c r="BG725" s="448" t="str">
        <f>_xlfn.IFNA(VLOOKUP($AP725,Programma!$F$3:$W$1101,18,0),"")</f>
        <v/>
      </c>
      <c r="BH725" s="448" t="str">
        <f>_xlfn.IFNA(VLOOKUP($AP725,Programma!$F$3:$X$1101,19,0),"")</f>
        <v/>
      </c>
      <c r="BI725" s="448" t="str">
        <f>_xlfn.IFNA(VLOOKUP($AP725,Programma!$F$3:$Y$1101,20,0),"")</f>
        <v/>
      </c>
      <c r="BJ725" s="449"/>
      <c r="BK725" s="446" t="str">
        <f>IF(Ruimtestaat[[#This Row],[Frequentie weekend]]="","",_xlfn.CONCAT(Ruimtestaat[[#This Row],[Ruimte code]],"-",Ruimtestaat[[#This Row],[Frequentie weekend]]," ",Ruimtestaat[[#This Row],[Vloer code]]))</f>
        <v/>
      </c>
      <c r="BL725" s="448" t="str">
        <f>_xlfn.IFNA(VLOOKUP($BK725,Programma!$F$3:$G$1101,2,0),"")</f>
        <v/>
      </c>
      <c r="BM725" s="448" t="str">
        <f>_xlfn.IFNA(VLOOKUP($BK725,Programma!$F$3:$H$1101,3,0),"")</f>
        <v/>
      </c>
      <c r="BN725" s="448" t="str">
        <f>_xlfn.IFNA(VLOOKUP($BK725,Programma!$F$3:$I$1101,4,0),"")</f>
        <v/>
      </c>
      <c r="BO725" s="448" t="str">
        <f>_xlfn.IFNA(VLOOKUP($BK725,Programma!$F$3:$J$1101,5,0),"")</f>
        <v/>
      </c>
      <c r="BP725" s="448" t="str">
        <f>_xlfn.IFNA(VLOOKUP($BK725,Programma!$F$3:$K$1101,6,0),"")</f>
        <v/>
      </c>
      <c r="BQ725" s="448" t="str">
        <f>_xlfn.IFNA(VLOOKUP($BK725,Programma!$F$3:$L$1101,7,0),"")</f>
        <v/>
      </c>
      <c r="BR725" s="448" t="str">
        <f>_xlfn.IFNA(VLOOKUP($BK725,Programma!$F$3:$M$1101,8,0),"")</f>
        <v/>
      </c>
      <c r="BS725" s="448" t="str">
        <f>_xlfn.IFNA(VLOOKUP($BK725,Programma!$F$3:$N$1101,9,0),"")</f>
        <v/>
      </c>
      <c r="BT725" s="448" t="str">
        <f>_xlfn.IFNA(VLOOKUP($BK725,Programma!$F$3:$O$1101,10,0),"")</f>
        <v/>
      </c>
      <c r="BU725" s="448" t="str">
        <f>_xlfn.IFNA(VLOOKUP($BK725,Programma!$F$3:$P$1101,11,0),"")</f>
        <v/>
      </c>
      <c r="BV725" s="448" t="str">
        <f>_xlfn.IFNA(VLOOKUP($BK725,Programma!$F$3:$Q$1101,12,0),"")</f>
        <v/>
      </c>
      <c r="BW725" s="448" t="str">
        <f>_xlfn.IFNA(VLOOKUP($BK725,Programma!$F$3:$R$1101,13,0),"")</f>
        <v/>
      </c>
      <c r="BX725" s="448" t="str">
        <f>_xlfn.IFNA(VLOOKUP($BK725,Programma!$F$3:$S$1101,14,0),"")</f>
        <v/>
      </c>
      <c r="BY725" s="448" t="str">
        <f>_xlfn.IFNA(VLOOKUP($BK725,Programma!$F$3:$T$1101,15,0),"")</f>
        <v/>
      </c>
      <c r="BZ725" s="448" t="str">
        <f>_xlfn.IFNA(VLOOKUP($BK725,Programma!$F$3:$U$1101,16,0),"")</f>
        <v/>
      </c>
      <c r="CA725" s="448" t="str">
        <f>_xlfn.IFNA(VLOOKUP($BK725,Programma!$F$3:$V$1101,17,0),"")</f>
        <v/>
      </c>
      <c r="CB725" s="448" t="str">
        <f>_xlfn.IFNA(VLOOKUP($BK725,Programma!$F$3:$W$1101,18,0),"")</f>
        <v/>
      </c>
      <c r="CC725" s="448" t="str">
        <f>_xlfn.IFNA(VLOOKUP($BK725,Programma!$F$3:$X$1101,19,0),"")</f>
        <v/>
      </c>
      <c r="CD725" s="448" t="str">
        <f>_xlfn.IFNA(VLOOKUP($BK725,Programma!$F$3:$Y$1101,20,0),"")</f>
        <v/>
      </c>
    </row>
    <row r="726" spans="1:82" ht="15" customHeight="1">
      <c r="A726" s="327">
        <v>15</v>
      </c>
      <c r="B726" s="435" t="str">
        <f>VLOOKUP(Ruimtestaat[[#This Row],[Code]],Locaties[[Code]:[Locatie]],2,FALSE)</f>
        <v>IKC  Da Vinci</v>
      </c>
      <c r="C726" s="435" t="str">
        <f>VLOOKUP(Ruimtestaat[[#This Row],[Code]],Locaties[[#All],[Code]:[Adres]],4,FALSE)</f>
        <v>Spitsbergen 17</v>
      </c>
      <c r="D726" s="435" t="str">
        <f>VLOOKUP(Ruimtestaat[[#This Row],[Code]],Locaties[[#All],[Code]:[Postcode]],5,FALSE)</f>
        <v>2721 GP</v>
      </c>
      <c r="E726" s="435" t="str">
        <f>VLOOKUP(Ruimtestaat[[#This Row],[Code]],Locaties[#All],6,FALSE)</f>
        <v>Zoetermeer</v>
      </c>
      <c r="F726" s="330" t="s">
        <v>2154</v>
      </c>
      <c r="I726" s="450" t="s">
        <v>1996</v>
      </c>
      <c r="J726" s="330">
        <v>20</v>
      </c>
      <c r="K726" s="450" t="str">
        <f>VLOOKUP(Ruimtestaat[[#This Row],[Ruimte code]],Ruimtegroepen[[#All],[Code]:[Ruimte omschrijving]],2,FALSE)</f>
        <v>Niet in Onderhoud</v>
      </c>
      <c r="M726" s="330"/>
      <c r="N726" s="439"/>
      <c r="O726" s="439">
        <v>13</v>
      </c>
      <c r="P726" s="439"/>
      <c r="Q726" s="439"/>
      <c r="R726" s="440">
        <f>VLOOKUP(Ruimtestaat[[#This Row],[Ruimte code]],Ruimtegroepen[],4,FALSE)</f>
        <v>0</v>
      </c>
      <c r="S726" s="434"/>
      <c r="T726" s="434"/>
      <c r="U726" s="453">
        <f>IF(S726&gt;0,IF(RIGHT(Ruimtestaat[[#This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6" s="434">
        <f>IF(U726&gt;0,VLOOKUP($J726,Ruimtegroepen[],3,FALSE)*VLOOKUP($L726,Vloersoorten[],3,FALSE)*VLOOKUP($T726,Frequenties[],3,FALSE)*VLOOKUP($A726,Locaties[],3,FALSE),0)</f>
        <v>0</v>
      </c>
      <c r="W726" s="434">
        <f>Ruimtestaat[[#This Row],[Uitvoeringen werkdagen]]*Ruimtestaat[[#This Row],[Oppervlak (netto)]]</f>
        <v>0</v>
      </c>
      <c r="X726" s="441">
        <f>IF(V726&gt;0,Ruimtestaat[[#This Row],[Prest. (m2 /jaar) werkdagen]]/Ruimtestaat[[#This Row],[Norm (m2/uur) werkdagen]],0)</f>
        <v>0</v>
      </c>
      <c r="Y726" s="442">
        <f>Ruimtestaat[[#This Row],[Uitvoeringen werkdagen]]*Ruimtestaat[[#This Row],[Gedeeltelijk]]</f>
        <v>0</v>
      </c>
      <c r="Z726" s="443">
        <f>IF(U726&gt;0,Ruimtestaat[[#This Row],[Prest. (m2 / jaar) werkdagen gedeeld]]/Ruimtestaat[[#This Row],[Norm (m2/uur) werkdagen]],0)</f>
        <v>0</v>
      </c>
      <c r="AA726" s="441">
        <f>Ruimtestaat[[#This Row],[uren / jaar werkdagen gedeeld]]*Tariefsopbouw!$E$35</f>
        <v>0</v>
      </c>
      <c r="AB726" s="441">
        <f>Ruimtestaat[[#This Row],[Uitvoeringen werkdagen]]*Ruimtestaat[[#This Row],[BSO]]</f>
        <v>0</v>
      </c>
      <c r="AC726" s="443">
        <f>IF(U726&gt;0,Ruimtestaat[[#This Row],[Prest. (m2 / jaar) werkdagen BSO]]/Ruimtestaat[[#This Row],[Norm (m2/uur) werkdagen]],0)</f>
        <v>0</v>
      </c>
      <c r="AD726" s="443">
        <f>Ruimtestaat[[#This Row],[uren / jaar werkdagen BSO]]*Tariefsopbouw!$E$35</f>
        <v>0</v>
      </c>
      <c r="AE726" s="444">
        <f>Ruimtestaat[[#This Row],[uren / jaar werkdagen]]*Tariefsopbouw!$E$35</f>
        <v>0</v>
      </c>
      <c r="AF726" s="454"/>
      <c r="AG726" s="455">
        <f>IF(Ruimtestaat[[#This Row],[Frequentie weekend]]&gt;0,VALUE(LEFT(AF726,1))*S726,0)</f>
        <v>0</v>
      </c>
      <c r="AH726" s="455">
        <f>IF($AG726&gt;0,VLOOKUP($J726,Ruimtegroepen[],3,FALSE)*VLOOKUP($L726,Vloersoorten[],3,FALSE)*VLOOKUP($AF726,Frequenties[],3,FALSE)*VLOOKUP(#REF!,Locaties[],3,FALSE),0)</f>
        <v>0</v>
      </c>
      <c r="AI726" s="434">
        <f>Ruimtestaat[[#This Row],[Uitvoeringen weekend]]*Ruimtestaat[[#This Row],[Oppervlak (netto)]]</f>
        <v>0</v>
      </c>
      <c r="AJ726" s="434">
        <f>IF(AH726&gt;0,Ruimtestaat[[#This Row],[Prest. (m2 /jaar) weekend]]/Ruimtestaat[[#This Row],[Norm (m2/uur) weekend]],0)</f>
        <v>0</v>
      </c>
      <c r="AK726" s="444">
        <f>Ruimtestaat[[#This Row],[uren / jaar weekend]]*Tariefsopbouw!$D$40</f>
        <v>0</v>
      </c>
      <c r="AL726" s="441">
        <f>Ruimtestaat[[#This Row],[Prest. (m2 /jaar) weekend]]+Ruimtestaat[[#This Row],[Prest. (m2 /jaar) werkdagen]]</f>
        <v>0</v>
      </c>
      <c r="AM726" s="441">
        <f>Ruimtestaat[[#This Row],[uren / jaar weekend]]+Ruimtestaat[[#This Row],[uren / jaar werkdagen]]</f>
        <v>0</v>
      </c>
      <c r="AN726" s="446">
        <f>Ruimtestaat[[#This Row],[kosten / jaar weekend]]+Ruimtestaat[[#This Row],[kosten / jaar werkdagen]]</f>
        <v>0</v>
      </c>
      <c r="AO726" s="446"/>
      <c r="AP726" s="446" t="str">
        <f>IF(Ruimtestaat[[#This Row],[Frequentie werkdagen]]="","",_xlfn.CONCAT(Ruimtestaat[[#This Row],[Ruimte code]],"-",Ruimtestaat[[#This Row],[Frequentie werkdagen]]," ",Ruimtestaat[[#This Row],[Vloer code]]))</f>
        <v/>
      </c>
      <c r="AQ726" s="448" t="str">
        <f>_xlfn.IFNA(VLOOKUP($AP726,Programma!$F$3:$G$1101,2,0),"")</f>
        <v/>
      </c>
      <c r="AR726" s="448" t="str">
        <f>_xlfn.IFNA(VLOOKUP($AP726,Programma!$F$3:$H$1101,3,0),"")</f>
        <v/>
      </c>
      <c r="AS726" s="448" t="str">
        <f>_xlfn.IFNA(VLOOKUP($AP726,Programma!$F$3:$I$1101,4,0),"")</f>
        <v/>
      </c>
      <c r="AT726" s="448" t="str">
        <f>_xlfn.IFNA(VLOOKUP($AP726,Programma!$F$3:$J$1101,5,0),"")</f>
        <v/>
      </c>
      <c r="AU726" s="448" t="str">
        <f>_xlfn.IFNA(VLOOKUP($AP726,Programma!$F$3:$K$1101,6,0),"")</f>
        <v/>
      </c>
      <c r="AV726" s="448" t="str">
        <f>_xlfn.IFNA(VLOOKUP($AP726,Programma!$F$3:$L$1101,7,0),"")</f>
        <v/>
      </c>
      <c r="AW726" s="448" t="str">
        <f>_xlfn.IFNA(VLOOKUP($AP726,Programma!$F$3:$M$1101,8,0),"")</f>
        <v/>
      </c>
      <c r="AX726" s="448" t="str">
        <f>_xlfn.IFNA(VLOOKUP($AP726,Programma!$F$3:$N$1101,9,0),"")</f>
        <v/>
      </c>
      <c r="AY726" s="448" t="str">
        <f>_xlfn.IFNA(VLOOKUP($AP726,Programma!$F$3:$O$1101,10,0),"")</f>
        <v/>
      </c>
      <c r="AZ726" s="448" t="str">
        <f>_xlfn.IFNA(VLOOKUP($AP726,Programma!$F$3:$P$1101,11,0),"")</f>
        <v/>
      </c>
      <c r="BA726" s="448" t="str">
        <f>_xlfn.IFNA(VLOOKUP($AP726,Programma!$F$3:$Q$1101,12,0),"")</f>
        <v/>
      </c>
      <c r="BB726" s="448" t="str">
        <f>_xlfn.IFNA(VLOOKUP($AP726,Programma!$F$3:$R$1101,13,0),"")</f>
        <v/>
      </c>
      <c r="BC726" s="448" t="str">
        <f>_xlfn.IFNA(VLOOKUP($AP726,Programma!$F$3:$S$1101,14,0),"")</f>
        <v/>
      </c>
      <c r="BD726" s="448" t="str">
        <f>_xlfn.IFNA(VLOOKUP($AP726,Programma!$F$3:$T$1101,15,0),"")</f>
        <v/>
      </c>
      <c r="BE726" s="448" t="str">
        <f>_xlfn.IFNA(VLOOKUP($AP726,Programma!$F$3:$U$1101,16,0),"")</f>
        <v/>
      </c>
      <c r="BF726" s="448" t="str">
        <f>_xlfn.IFNA(VLOOKUP($AP726,Programma!$F$3:$V$1101,17,0),"")</f>
        <v/>
      </c>
      <c r="BG726" s="448" t="str">
        <f>_xlfn.IFNA(VLOOKUP($AP726,Programma!$F$3:$W$1101,18,0),"")</f>
        <v/>
      </c>
      <c r="BH726" s="448" t="str">
        <f>_xlfn.IFNA(VLOOKUP($AP726,Programma!$F$3:$X$1101,19,0),"")</f>
        <v/>
      </c>
      <c r="BI726" s="448" t="str">
        <f>_xlfn.IFNA(VLOOKUP($AP726,Programma!$F$3:$Y$1101,20,0),"")</f>
        <v/>
      </c>
      <c r="BJ726" s="449"/>
      <c r="BK726" s="446" t="str">
        <f>IF(Ruimtestaat[[#This Row],[Frequentie weekend]]="","",_xlfn.CONCAT(Ruimtestaat[[#This Row],[Ruimte code]],"-",Ruimtestaat[[#This Row],[Frequentie weekend]]," ",Ruimtestaat[[#This Row],[Vloer code]]))</f>
        <v/>
      </c>
      <c r="BL726" s="448" t="str">
        <f>_xlfn.IFNA(VLOOKUP($BK726,Programma!$F$3:$G$1101,2,0),"")</f>
        <v/>
      </c>
      <c r="BM726" s="448" t="str">
        <f>_xlfn.IFNA(VLOOKUP($BK726,Programma!$F$3:$H$1101,3,0),"")</f>
        <v/>
      </c>
      <c r="BN726" s="448" t="str">
        <f>_xlfn.IFNA(VLOOKUP($BK726,Programma!$F$3:$I$1101,4,0),"")</f>
        <v/>
      </c>
      <c r="BO726" s="448" t="str">
        <f>_xlfn.IFNA(VLOOKUP($BK726,Programma!$F$3:$J$1101,5,0),"")</f>
        <v/>
      </c>
      <c r="BP726" s="448" t="str">
        <f>_xlfn.IFNA(VLOOKUP($BK726,Programma!$F$3:$K$1101,6,0),"")</f>
        <v/>
      </c>
      <c r="BQ726" s="448" t="str">
        <f>_xlfn.IFNA(VLOOKUP($BK726,Programma!$F$3:$L$1101,7,0),"")</f>
        <v/>
      </c>
      <c r="BR726" s="448" t="str">
        <f>_xlfn.IFNA(VLOOKUP($BK726,Programma!$F$3:$M$1101,8,0),"")</f>
        <v/>
      </c>
      <c r="BS726" s="448" t="str">
        <f>_xlfn.IFNA(VLOOKUP($BK726,Programma!$F$3:$N$1101,9,0),"")</f>
        <v/>
      </c>
      <c r="BT726" s="448" t="str">
        <f>_xlfn.IFNA(VLOOKUP($BK726,Programma!$F$3:$O$1101,10,0),"")</f>
        <v/>
      </c>
      <c r="BU726" s="448" t="str">
        <f>_xlfn.IFNA(VLOOKUP($BK726,Programma!$F$3:$P$1101,11,0),"")</f>
        <v/>
      </c>
      <c r="BV726" s="448" t="str">
        <f>_xlfn.IFNA(VLOOKUP($BK726,Programma!$F$3:$Q$1101,12,0),"")</f>
        <v/>
      </c>
      <c r="BW726" s="448" t="str">
        <f>_xlfn.IFNA(VLOOKUP($BK726,Programma!$F$3:$R$1101,13,0),"")</f>
        <v/>
      </c>
      <c r="BX726" s="448" t="str">
        <f>_xlfn.IFNA(VLOOKUP($BK726,Programma!$F$3:$S$1101,14,0),"")</f>
        <v/>
      </c>
      <c r="BY726" s="448" t="str">
        <f>_xlfn.IFNA(VLOOKUP($BK726,Programma!$F$3:$T$1101,15,0),"")</f>
        <v/>
      </c>
      <c r="BZ726" s="448" t="str">
        <f>_xlfn.IFNA(VLOOKUP($BK726,Programma!$F$3:$U$1101,16,0),"")</f>
        <v/>
      </c>
      <c r="CA726" s="448" t="str">
        <f>_xlfn.IFNA(VLOOKUP($BK726,Programma!$F$3:$V$1101,17,0),"")</f>
        <v/>
      </c>
      <c r="CB726" s="448" t="str">
        <f>_xlfn.IFNA(VLOOKUP($BK726,Programma!$F$3:$W$1101,18,0),"")</f>
        <v/>
      </c>
      <c r="CC726" s="448" t="str">
        <f>_xlfn.IFNA(VLOOKUP($BK726,Programma!$F$3:$X$1101,19,0),"")</f>
        <v/>
      </c>
      <c r="CD726" s="448" t="str">
        <f>_xlfn.IFNA(VLOOKUP($BK726,Programma!$F$3:$Y$1101,20,0),"")</f>
        <v/>
      </c>
    </row>
    <row r="727" spans="1:82" ht="15" customHeight="1">
      <c r="A727" s="327">
        <v>15</v>
      </c>
      <c r="B727" s="435" t="str">
        <f>VLOOKUP(Ruimtestaat[[#This Row],[Code]],Locaties[[Code]:[Locatie]],2,FALSE)</f>
        <v>IKC  Da Vinci</v>
      </c>
      <c r="C727" s="435" t="str">
        <f>VLOOKUP(Ruimtestaat[[#This Row],[Code]],Locaties[[#All],[Code]:[Adres]],4,FALSE)</f>
        <v>Spitsbergen 17</v>
      </c>
      <c r="D727" s="435" t="str">
        <f>VLOOKUP(Ruimtestaat[[#This Row],[Code]],Locaties[[#All],[Code]:[Postcode]],5,FALSE)</f>
        <v>2721 GP</v>
      </c>
      <c r="E727" s="435" t="str">
        <f>VLOOKUP(Ruimtestaat[[#This Row],[Code]],Locaties[#All],6,FALSE)</f>
        <v>Zoetermeer</v>
      </c>
      <c r="F727" s="330" t="s">
        <v>2154</v>
      </c>
      <c r="I727" s="450" t="s">
        <v>1996</v>
      </c>
      <c r="J727" s="330">
        <v>20</v>
      </c>
      <c r="K727" s="450" t="str">
        <f>VLOOKUP(Ruimtestaat[[#This Row],[Ruimte code]],Ruimtegroepen[[#All],[Code]:[Ruimte omschrijving]],2,FALSE)</f>
        <v>Niet in Onderhoud</v>
      </c>
      <c r="M727" s="330"/>
      <c r="N727" s="439"/>
      <c r="O727" s="439">
        <v>12</v>
      </c>
      <c r="P727" s="439"/>
      <c r="Q727" s="439"/>
      <c r="R727" s="440">
        <f>VLOOKUP(Ruimtestaat[[#This Row],[Ruimte code]],Ruimtegroepen[],4,FALSE)</f>
        <v>0</v>
      </c>
      <c r="S727" s="434"/>
      <c r="T727" s="434"/>
      <c r="U727" s="453">
        <f>IF(S727&gt;0,IF(RIGHT(Ruimtestaat[[#This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7" s="434">
        <f>IF(U727&gt;0,VLOOKUP($J727,Ruimtegroepen[],3,FALSE)*VLOOKUP($L727,Vloersoorten[],3,FALSE)*VLOOKUP($T727,Frequenties[],3,FALSE)*VLOOKUP($A727,Locaties[],3,FALSE),0)</f>
        <v>0</v>
      </c>
      <c r="W727" s="434">
        <f>Ruimtestaat[[#This Row],[Uitvoeringen werkdagen]]*Ruimtestaat[[#This Row],[Oppervlak (netto)]]</f>
        <v>0</v>
      </c>
      <c r="X727" s="441">
        <f>IF(V727&gt;0,Ruimtestaat[[#This Row],[Prest. (m2 /jaar) werkdagen]]/Ruimtestaat[[#This Row],[Norm (m2/uur) werkdagen]],0)</f>
        <v>0</v>
      </c>
      <c r="Y727" s="442">
        <f>Ruimtestaat[[#This Row],[Uitvoeringen werkdagen]]*Ruimtestaat[[#This Row],[Gedeeltelijk]]</f>
        <v>0</v>
      </c>
      <c r="Z727" s="443">
        <f>IF(U727&gt;0,Ruimtestaat[[#This Row],[Prest. (m2 / jaar) werkdagen gedeeld]]/Ruimtestaat[[#This Row],[Norm (m2/uur) werkdagen]],0)</f>
        <v>0</v>
      </c>
      <c r="AA727" s="441">
        <f>Ruimtestaat[[#This Row],[uren / jaar werkdagen gedeeld]]*Tariefsopbouw!$E$35</f>
        <v>0</v>
      </c>
      <c r="AB727" s="441">
        <f>Ruimtestaat[[#This Row],[Uitvoeringen werkdagen]]*Ruimtestaat[[#This Row],[BSO]]</f>
        <v>0</v>
      </c>
      <c r="AC727" s="443">
        <f>IF(U727&gt;0,Ruimtestaat[[#This Row],[Prest. (m2 / jaar) werkdagen BSO]]/Ruimtestaat[[#This Row],[Norm (m2/uur) werkdagen]],0)</f>
        <v>0</v>
      </c>
      <c r="AD727" s="443">
        <f>Ruimtestaat[[#This Row],[uren / jaar werkdagen BSO]]*Tariefsopbouw!$E$35</f>
        <v>0</v>
      </c>
      <c r="AE727" s="444">
        <f>Ruimtestaat[[#This Row],[uren / jaar werkdagen]]*Tariefsopbouw!$E$35</f>
        <v>0</v>
      </c>
      <c r="AF727" s="454"/>
      <c r="AG727" s="455">
        <f>IF(Ruimtestaat[[#This Row],[Frequentie weekend]]&gt;0,VALUE(LEFT(AF727,1))*S727,0)</f>
        <v>0</v>
      </c>
      <c r="AH727" s="455">
        <f>IF($AG727&gt;0,VLOOKUP($J727,Ruimtegroepen[],3,FALSE)*VLOOKUP($L727,Vloersoorten[],3,FALSE)*VLOOKUP($AF727,Frequenties[],3,FALSE)*VLOOKUP(#REF!,Locaties[],3,FALSE),0)</f>
        <v>0</v>
      </c>
      <c r="AI727" s="434">
        <f>Ruimtestaat[[#This Row],[Uitvoeringen weekend]]*Ruimtestaat[[#This Row],[Oppervlak (netto)]]</f>
        <v>0</v>
      </c>
      <c r="AJ727" s="434">
        <f>IF(AH727&gt;0,Ruimtestaat[[#This Row],[Prest. (m2 /jaar) weekend]]/Ruimtestaat[[#This Row],[Norm (m2/uur) weekend]],0)</f>
        <v>0</v>
      </c>
      <c r="AK727" s="444">
        <f>Ruimtestaat[[#This Row],[uren / jaar weekend]]*Tariefsopbouw!$D$40</f>
        <v>0</v>
      </c>
      <c r="AL727" s="441">
        <f>Ruimtestaat[[#This Row],[Prest. (m2 /jaar) weekend]]+Ruimtestaat[[#This Row],[Prest. (m2 /jaar) werkdagen]]</f>
        <v>0</v>
      </c>
      <c r="AM727" s="441">
        <f>Ruimtestaat[[#This Row],[uren / jaar weekend]]+Ruimtestaat[[#This Row],[uren / jaar werkdagen]]</f>
        <v>0</v>
      </c>
      <c r="AN727" s="446">
        <f>Ruimtestaat[[#This Row],[kosten / jaar weekend]]+Ruimtestaat[[#This Row],[kosten / jaar werkdagen]]</f>
        <v>0</v>
      </c>
      <c r="AO727" s="446"/>
      <c r="AP727" s="446" t="str">
        <f>IF(Ruimtestaat[[#This Row],[Frequentie werkdagen]]="","",_xlfn.CONCAT(Ruimtestaat[[#This Row],[Ruimte code]],"-",Ruimtestaat[[#This Row],[Frequentie werkdagen]]," ",Ruimtestaat[[#This Row],[Vloer code]]))</f>
        <v/>
      </c>
      <c r="AQ727" s="448" t="str">
        <f>_xlfn.IFNA(VLOOKUP($AP727,Programma!$F$3:$G$1101,2,0),"")</f>
        <v/>
      </c>
      <c r="AR727" s="448" t="str">
        <f>_xlfn.IFNA(VLOOKUP($AP727,Programma!$F$3:$H$1101,3,0),"")</f>
        <v/>
      </c>
      <c r="AS727" s="448" t="str">
        <f>_xlfn.IFNA(VLOOKUP($AP727,Programma!$F$3:$I$1101,4,0),"")</f>
        <v/>
      </c>
      <c r="AT727" s="448" t="str">
        <f>_xlfn.IFNA(VLOOKUP($AP727,Programma!$F$3:$J$1101,5,0),"")</f>
        <v/>
      </c>
      <c r="AU727" s="448" t="str">
        <f>_xlfn.IFNA(VLOOKUP($AP727,Programma!$F$3:$K$1101,6,0),"")</f>
        <v/>
      </c>
      <c r="AV727" s="448" t="str">
        <f>_xlfn.IFNA(VLOOKUP($AP727,Programma!$F$3:$L$1101,7,0),"")</f>
        <v/>
      </c>
      <c r="AW727" s="448" t="str">
        <f>_xlfn.IFNA(VLOOKUP($AP727,Programma!$F$3:$M$1101,8,0),"")</f>
        <v/>
      </c>
      <c r="AX727" s="448" t="str">
        <f>_xlfn.IFNA(VLOOKUP($AP727,Programma!$F$3:$N$1101,9,0),"")</f>
        <v/>
      </c>
      <c r="AY727" s="448" t="str">
        <f>_xlfn.IFNA(VLOOKUP($AP727,Programma!$F$3:$O$1101,10,0),"")</f>
        <v/>
      </c>
      <c r="AZ727" s="448" t="str">
        <f>_xlfn.IFNA(VLOOKUP($AP727,Programma!$F$3:$P$1101,11,0),"")</f>
        <v/>
      </c>
      <c r="BA727" s="448" t="str">
        <f>_xlfn.IFNA(VLOOKUP($AP727,Programma!$F$3:$Q$1101,12,0),"")</f>
        <v/>
      </c>
      <c r="BB727" s="448" t="str">
        <f>_xlfn.IFNA(VLOOKUP($AP727,Programma!$F$3:$R$1101,13,0),"")</f>
        <v/>
      </c>
      <c r="BC727" s="448" t="str">
        <f>_xlfn.IFNA(VLOOKUP($AP727,Programma!$F$3:$S$1101,14,0),"")</f>
        <v/>
      </c>
      <c r="BD727" s="448" t="str">
        <f>_xlfn.IFNA(VLOOKUP($AP727,Programma!$F$3:$T$1101,15,0),"")</f>
        <v/>
      </c>
      <c r="BE727" s="448" t="str">
        <f>_xlfn.IFNA(VLOOKUP($AP727,Programma!$F$3:$U$1101,16,0),"")</f>
        <v/>
      </c>
      <c r="BF727" s="448" t="str">
        <f>_xlfn.IFNA(VLOOKUP($AP727,Programma!$F$3:$V$1101,17,0),"")</f>
        <v/>
      </c>
      <c r="BG727" s="448" t="str">
        <f>_xlfn.IFNA(VLOOKUP($AP727,Programma!$F$3:$W$1101,18,0),"")</f>
        <v/>
      </c>
      <c r="BH727" s="448" t="str">
        <f>_xlfn.IFNA(VLOOKUP($AP727,Programma!$F$3:$X$1101,19,0),"")</f>
        <v/>
      </c>
      <c r="BI727" s="448" t="str">
        <f>_xlfn.IFNA(VLOOKUP($AP727,Programma!$F$3:$Y$1101,20,0),"")</f>
        <v/>
      </c>
      <c r="BJ727" s="449"/>
      <c r="BK727" s="446" t="str">
        <f>IF(Ruimtestaat[[#This Row],[Frequentie weekend]]="","",_xlfn.CONCAT(Ruimtestaat[[#This Row],[Ruimte code]],"-",Ruimtestaat[[#This Row],[Frequentie weekend]]," ",Ruimtestaat[[#This Row],[Vloer code]]))</f>
        <v/>
      </c>
      <c r="BL727" s="448" t="str">
        <f>_xlfn.IFNA(VLOOKUP($BK727,Programma!$F$3:$G$1101,2,0),"")</f>
        <v/>
      </c>
      <c r="BM727" s="448" t="str">
        <f>_xlfn.IFNA(VLOOKUP($BK727,Programma!$F$3:$H$1101,3,0),"")</f>
        <v/>
      </c>
      <c r="BN727" s="448" t="str">
        <f>_xlfn.IFNA(VLOOKUP($BK727,Programma!$F$3:$I$1101,4,0),"")</f>
        <v/>
      </c>
      <c r="BO727" s="448" t="str">
        <f>_xlfn.IFNA(VLOOKUP($BK727,Programma!$F$3:$J$1101,5,0),"")</f>
        <v/>
      </c>
      <c r="BP727" s="448" t="str">
        <f>_xlfn.IFNA(VLOOKUP($BK727,Programma!$F$3:$K$1101,6,0),"")</f>
        <v/>
      </c>
      <c r="BQ727" s="448" t="str">
        <f>_xlfn.IFNA(VLOOKUP($BK727,Programma!$F$3:$L$1101,7,0),"")</f>
        <v/>
      </c>
      <c r="BR727" s="448" t="str">
        <f>_xlfn.IFNA(VLOOKUP($BK727,Programma!$F$3:$M$1101,8,0),"")</f>
        <v/>
      </c>
      <c r="BS727" s="448" t="str">
        <f>_xlfn.IFNA(VLOOKUP($BK727,Programma!$F$3:$N$1101,9,0),"")</f>
        <v/>
      </c>
      <c r="BT727" s="448" t="str">
        <f>_xlfn.IFNA(VLOOKUP($BK727,Programma!$F$3:$O$1101,10,0),"")</f>
        <v/>
      </c>
      <c r="BU727" s="448" t="str">
        <f>_xlfn.IFNA(VLOOKUP($BK727,Programma!$F$3:$P$1101,11,0),"")</f>
        <v/>
      </c>
      <c r="BV727" s="448" t="str">
        <f>_xlfn.IFNA(VLOOKUP($BK727,Programma!$F$3:$Q$1101,12,0),"")</f>
        <v/>
      </c>
      <c r="BW727" s="448" t="str">
        <f>_xlfn.IFNA(VLOOKUP($BK727,Programma!$F$3:$R$1101,13,0),"")</f>
        <v/>
      </c>
      <c r="BX727" s="448" t="str">
        <f>_xlfn.IFNA(VLOOKUP($BK727,Programma!$F$3:$S$1101,14,0),"")</f>
        <v/>
      </c>
      <c r="BY727" s="448" t="str">
        <f>_xlfn.IFNA(VLOOKUP($BK727,Programma!$F$3:$T$1101,15,0),"")</f>
        <v/>
      </c>
      <c r="BZ727" s="448" t="str">
        <f>_xlfn.IFNA(VLOOKUP($BK727,Programma!$F$3:$U$1101,16,0),"")</f>
        <v/>
      </c>
      <c r="CA727" s="448" t="str">
        <f>_xlfn.IFNA(VLOOKUP($BK727,Programma!$F$3:$V$1101,17,0),"")</f>
        <v/>
      </c>
      <c r="CB727" s="448" t="str">
        <f>_xlfn.IFNA(VLOOKUP($BK727,Programma!$F$3:$W$1101,18,0),"")</f>
        <v/>
      </c>
      <c r="CC727" s="448" t="str">
        <f>_xlfn.IFNA(VLOOKUP($BK727,Programma!$F$3:$X$1101,19,0),"")</f>
        <v/>
      </c>
      <c r="CD727" s="448" t="str">
        <f>_xlfn.IFNA(VLOOKUP($BK727,Programma!$F$3:$Y$1101,20,0),"")</f>
        <v/>
      </c>
    </row>
    <row r="728" spans="1:82" ht="15" customHeight="1">
      <c r="A728" s="327">
        <v>15</v>
      </c>
      <c r="B728" s="435" t="str">
        <f>VLOOKUP(Ruimtestaat[[#This Row],[Code]],Locaties[[Code]:[Locatie]],2,FALSE)</f>
        <v>IKC  Da Vinci</v>
      </c>
      <c r="C728" s="435" t="str">
        <f>VLOOKUP(Ruimtestaat[[#This Row],[Code]],Locaties[[#All],[Code]:[Adres]],4,FALSE)</f>
        <v>Spitsbergen 17</v>
      </c>
      <c r="D728" s="435" t="str">
        <f>VLOOKUP(Ruimtestaat[[#This Row],[Code]],Locaties[[#All],[Code]:[Postcode]],5,FALSE)</f>
        <v>2721 GP</v>
      </c>
      <c r="E728" s="435" t="str">
        <f>VLOOKUP(Ruimtestaat[[#This Row],[Code]],Locaties[#All],6,FALSE)</f>
        <v>Zoetermeer</v>
      </c>
      <c r="F728" s="330" t="s">
        <v>2154</v>
      </c>
      <c r="I728" s="450" t="s">
        <v>1996</v>
      </c>
      <c r="J728" s="330">
        <v>20</v>
      </c>
      <c r="K728" s="450" t="str">
        <f>VLOOKUP(Ruimtestaat[[#This Row],[Ruimte code]],Ruimtegroepen[[#All],[Code]:[Ruimte omschrijving]],2,FALSE)</f>
        <v>Niet in Onderhoud</v>
      </c>
      <c r="M728" s="330"/>
      <c r="N728" s="439"/>
      <c r="O728" s="439">
        <v>11</v>
      </c>
      <c r="P728" s="439"/>
      <c r="Q728" s="439"/>
      <c r="R728" s="440">
        <f>VLOOKUP(Ruimtestaat[[#This Row],[Ruimte code]],Ruimtegroepen[],4,FALSE)</f>
        <v>0</v>
      </c>
      <c r="S728" s="434"/>
      <c r="T728" s="434"/>
      <c r="U728" s="453">
        <f>IF(S728&gt;0,IF(RIGHT(Ruimtestaat[[#This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8" s="434">
        <f>IF(U728&gt;0,VLOOKUP($J728,Ruimtegroepen[],3,FALSE)*VLOOKUP($L728,Vloersoorten[],3,FALSE)*VLOOKUP($T728,Frequenties[],3,FALSE)*VLOOKUP($A728,Locaties[],3,FALSE),0)</f>
        <v>0</v>
      </c>
      <c r="W728" s="434">
        <f>Ruimtestaat[[#This Row],[Uitvoeringen werkdagen]]*Ruimtestaat[[#This Row],[Oppervlak (netto)]]</f>
        <v>0</v>
      </c>
      <c r="X728" s="441">
        <f>IF(V728&gt;0,Ruimtestaat[[#This Row],[Prest. (m2 /jaar) werkdagen]]/Ruimtestaat[[#This Row],[Norm (m2/uur) werkdagen]],0)</f>
        <v>0</v>
      </c>
      <c r="Y728" s="442">
        <f>Ruimtestaat[[#This Row],[Uitvoeringen werkdagen]]*Ruimtestaat[[#This Row],[Gedeeltelijk]]</f>
        <v>0</v>
      </c>
      <c r="Z728" s="443">
        <f>IF(U728&gt;0,Ruimtestaat[[#This Row],[Prest. (m2 / jaar) werkdagen gedeeld]]/Ruimtestaat[[#This Row],[Norm (m2/uur) werkdagen]],0)</f>
        <v>0</v>
      </c>
      <c r="AA728" s="441">
        <f>Ruimtestaat[[#This Row],[uren / jaar werkdagen gedeeld]]*Tariefsopbouw!$E$35</f>
        <v>0</v>
      </c>
      <c r="AB728" s="441">
        <f>Ruimtestaat[[#This Row],[Uitvoeringen werkdagen]]*Ruimtestaat[[#This Row],[BSO]]</f>
        <v>0</v>
      </c>
      <c r="AC728" s="443">
        <f>IF(U728&gt;0,Ruimtestaat[[#This Row],[Prest. (m2 / jaar) werkdagen BSO]]/Ruimtestaat[[#This Row],[Norm (m2/uur) werkdagen]],0)</f>
        <v>0</v>
      </c>
      <c r="AD728" s="443">
        <f>Ruimtestaat[[#This Row],[uren / jaar werkdagen BSO]]*Tariefsopbouw!$E$35</f>
        <v>0</v>
      </c>
      <c r="AE728" s="444">
        <f>Ruimtestaat[[#This Row],[uren / jaar werkdagen]]*Tariefsopbouw!$E$35</f>
        <v>0</v>
      </c>
      <c r="AF728" s="454"/>
      <c r="AG728" s="455">
        <f>IF(Ruimtestaat[[#This Row],[Frequentie weekend]]&gt;0,VALUE(LEFT(AF728,1))*S728,0)</f>
        <v>0</v>
      </c>
      <c r="AH728" s="455">
        <f>IF($AG728&gt;0,VLOOKUP($J728,Ruimtegroepen[],3,FALSE)*VLOOKUP($L728,Vloersoorten[],3,FALSE)*VLOOKUP($AF728,Frequenties[],3,FALSE)*VLOOKUP(#REF!,Locaties[],3,FALSE),0)</f>
        <v>0</v>
      </c>
      <c r="AI728" s="434">
        <f>Ruimtestaat[[#This Row],[Uitvoeringen weekend]]*Ruimtestaat[[#This Row],[Oppervlak (netto)]]</f>
        <v>0</v>
      </c>
      <c r="AJ728" s="434">
        <f>IF(AH728&gt;0,Ruimtestaat[[#This Row],[Prest. (m2 /jaar) weekend]]/Ruimtestaat[[#This Row],[Norm (m2/uur) weekend]],0)</f>
        <v>0</v>
      </c>
      <c r="AK728" s="444">
        <f>Ruimtestaat[[#This Row],[uren / jaar weekend]]*Tariefsopbouw!$D$40</f>
        <v>0</v>
      </c>
      <c r="AL728" s="441">
        <f>Ruimtestaat[[#This Row],[Prest. (m2 /jaar) weekend]]+Ruimtestaat[[#This Row],[Prest. (m2 /jaar) werkdagen]]</f>
        <v>0</v>
      </c>
      <c r="AM728" s="441">
        <f>Ruimtestaat[[#This Row],[uren / jaar weekend]]+Ruimtestaat[[#This Row],[uren / jaar werkdagen]]</f>
        <v>0</v>
      </c>
      <c r="AN728" s="446">
        <f>Ruimtestaat[[#This Row],[kosten / jaar weekend]]+Ruimtestaat[[#This Row],[kosten / jaar werkdagen]]</f>
        <v>0</v>
      </c>
      <c r="AO728" s="446"/>
      <c r="AP728" s="446" t="str">
        <f>IF(Ruimtestaat[[#This Row],[Frequentie werkdagen]]="","",_xlfn.CONCAT(Ruimtestaat[[#This Row],[Ruimte code]],"-",Ruimtestaat[[#This Row],[Frequentie werkdagen]]," ",Ruimtestaat[[#This Row],[Vloer code]]))</f>
        <v/>
      </c>
      <c r="AQ728" s="448" t="str">
        <f>_xlfn.IFNA(VLOOKUP($AP728,Programma!$F$3:$G$1101,2,0),"")</f>
        <v/>
      </c>
      <c r="AR728" s="448" t="str">
        <f>_xlfn.IFNA(VLOOKUP($AP728,Programma!$F$3:$H$1101,3,0),"")</f>
        <v/>
      </c>
      <c r="AS728" s="448" t="str">
        <f>_xlfn.IFNA(VLOOKUP($AP728,Programma!$F$3:$I$1101,4,0),"")</f>
        <v/>
      </c>
      <c r="AT728" s="448" t="str">
        <f>_xlfn.IFNA(VLOOKUP($AP728,Programma!$F$3:$J$1101,5,0),"")</f>
        <v/>
      </c>
      <c r="AU728" s="448" t="str">
        <f>_xlfn.IFNA(VLOOKUP($AP728,Programma!$F$3:$K$1101,6,0),"")</f>
        <v/>
      </c>
      <c r="AV728" s="448" t="str">
        <f>_xlfn.IFNA(VLOOKUP($AP728,Programma!$F$3:$L$1101,7,0),"")</f>
        <v/>
      </c>
      <c r="AW728" s="448" t="str">
        <f>_xlfn.IFNA(VLOOKUP($AP728,Programma!$F$3:$M$1101,8,0),"")</f>
        <v/>
      </c>
      <c r="AX728" s="448" t="str">
        <f>_xlfn.IFNA(VLOOKUP($AP728,Programma!$F$3:$N$1101,9,0),"")</f>
        <v/>
      </c>
      <c r="AY728" s="448" t="str">
        <f>_xlfn.IFNA(VLOOKUP($AP728,Programma!$F$3:$O$1101,10,0),"")</f>
        <v/>
      </c>
      <c r="AZ728" s="448" t="str">
        <f>_xlfn.IFNA(VLOOKUP($AP728,Programma!$F$3:$P$1101,11,0),"")</f>
        <v/>
      </c>
      <c r="BA728" s="448" t="str">
        <f>_xlfn.IFNA(VLOOKUP($AP728,Programma!$F$3:$Q$1101,12,0),"")</f>
        <v/>
      </c>
      <c r="BB728" s="448" t="str">
        <f>_xlfn.IFNA(VLOOKUP($AP728,Programma!$F$3:$R$1101,13,0),"")</f>
        <v/>
      </c>
      <c r="BC728" s="448" t="str">
        <f>_xlfn.IFNA(VLOOKUP($AP728,Programma!$F$3:$S$1101,14,0),"")</f>
        <v/>
      </c>
      <c r="BD728" s="448" t="str">
        <f>_xlfn.IFNA(VLOOKUP($AP728,Programma!$F$3:$T$1101,15,0),"")</f>
        <v/>
      </c>
      <c r="BE728" s="448" t="str">
        <f>_xlfn.IFNA(VLOOKUP($AP728,Programma!$F$3:$U$1101,16,0),"")</f>
        <v/>
      </c>
      <c r="BF728" s="448" t="str">
        <f>_xlfn.IFNA(VLOOKUP($AP728,Programma!$F$3:$V$1101,17,0),"")</f>
        <v/>
      </c>
      <c r="BG728" s="448" t="str">
        <f>_xlfn.IFNA(VLOOKUP($AP728,Programma!$F$3:$W$1101,18,0),"")</f>
        <v/>
      </c>
      <c r="BH728" s="448" t="str">
        <f>_xlfn.IFNA(VLOOKUP($AP728,Programma!$F$3:$X$1101,19,0),"")</f>
        <v/>
      </c>
      <c r="BI728" s="448" t="str">
        <f>_xlfn.IFNA(VLOOKUP($AP728,Programma!$F$3:$Y$1101,20,0),"")</f>
        <v/>
      </c>
      <c r="BJ728" s="449"/>
      <c r="BK728" s="446" t="str">
        <f>IF(Ruimtestaat[[#This Row],[Frequentie weekend]]="","",_xlfn.CONCAT(Ruimtestaat[[#This Row],[Ruimte code]],"-",Ruimtestaat[[#This Row],[Frequentie weekend]]," ",Ruimtestaat[[#This Row],[Vloer code]]))</f>
        <v/>
      </c>
      <c r="BL728" s="448" t="str">
        <f>_xlfn.IFNA(VLOOKUP($BK728,Programma!$F$3:$G$1101,2,0),"")</f>
        <v/>
      </c>
      <c r="BM728" s="448" t="str">
        <f>_xlfn.IFNA(VLOOKUP($BK728,Programma!$F$3:$H$1101,3,0),"")</f>
        <v/>
      </c>
      <c r="BN728" s="448" t="str">
        <f>_xlfn.IFNA(VLOOKUP($BK728,Programma!$F$3:$I$1101,4,0),"")</f>
        <v/>
      </c>
      <c r="BO728" s="448" t="str">
        <f>_xlfn.IFNA(VLOOKUP($BK728,Programma!$F$3:$J$1101,5,0),"")</f>
        <v/>
      </c>
      <c r="BP728" s="448" t="str">
        <f>_xlfn.IFNA(VLOOKUP($BK728,Programma!$F$3:$K$1101,6,0),"")</f>
        <v/>
      </c>
      <c r="BQ728" s="448" t="str">
        <f>_xlfn.IFNA(VLOOKUP($BK728,Programma!$F$3:$L$1101,7,0),"")</f>
        <v/>
      </c>
      <c r="BR728" s="448" t="str">
        <f>_xlfn.IFNA(VLOOKUP($BK728,Programma!$F$3:$M$1101,8,0),"")</f>
        <v/>
      </c>
      <c r="BS728" s="448" t="str">
        <f>_xlfn.IFNA(VLOOKUP($BK728,Programma!$F$3:$N$1101,9,0),"")</f>
        <v/>
      </c>
      <c r="BT728" s="448" t="str">
        <f>_xlfn.IFNA(VLOOKUP($BK728,Programma!$F$3:$O$1101,10,0),"")</f>
        <v/>
      </c>
      <c r="BU728" s="448" t="str">
        <f>_xlfn.IFNA(VLOOKUP($BK728,Programma!$F$3:$P$1101,11,0),"")</f>
        <v/>
      </c>
      <c r="BV728" s="448" t="str">
        <f>_xlfn.IFNA(VLOOKUP($BK728,Programma!$F$3:$Q$1101,12,0),"")</f>
        <v/>
      </c>
      <c r="BW728" s="448" t="str">
        <f>_xlfn.IFNA(VLOOKUP($BK728,Programma!$F$3:$R$1101,13,0),"")</f>
        <v/>
      </c>
      <c r="BX728" s="448" t="str">
        <f>_xlfn.IFNA(VLOOKUP($BK728,Programma!$F$3:$S$1101,14,0),"")</f>
        <v/>
      </c>
      <c r="BY728" s="448" t="str">
        <f>_xlfn.IFNA(VLOOKUP($BK728,Programma!$F$3:$T$1101,15,0),"")</f>
        <v/>
      </c>
      <c r="BZ728" s="448" t="str">
        <f>_xlfn.IFNA(VLOOKUP($BK728,Programma!$F$3:$U$1101,16,0),"")</f>
        <v/>
      </c>
      <c r="CA728" s="448" t="str">
        <f>_xlfn.IFNA(VLOOKUP($BK728,Programma!$F$3:$V$1101,17,0),"")</f>
        <v/>
      </c>
      <c r="CB728" s="448" t="str">
        <f>_xlfn.IFNA(VLOOKUP($BK728,Programma!$F$3:$W$1101,18,0),"")</f>
        <v/>
      </c>
      <c r="CC728" s="448" t="str">
        <f>_xlfn.IFNA(VLOOKUP($BK728,Programma!$F$3:$X$1101,19,0),"")</f>
        <v/>
      </c>
      <c r="CD728" s="448" t="str">
        <f>_xlfn.IFNA(VLOOKUP($BK728,Programma!$F$3:$Y$1101,20,0),"")</f>
        <v/>
      </c>
    </row>
    <row r="729" spans="1:82" ht="15" customHeight="1">
      <c r="A729" s="327">
        <v>15</v>
      </c>
      <c r="B729" s="435" t="str">
        <f>VLOOKUP(Ruimtestaat[[#This Row],[Code]],Locaties[[Code]:[Locatie]],2,FALSE)</f>
        <v>IKC  Da Vinci</v>
      </c>
      <c r="C729" s="435" t="str">
        <f>VLOOKUP(Ruimtestaat[[#This Row],[Code]],Locaties[[#All],[Code]:[Adres]],4,FALSE)</f>
        <v>Spitsbergen 17</v>
      </c>
      <c r="D729" s="435" t="str">
        <f>VLOOKUP(Ruimtestaat[[#This Row],[Code]],Locaties[[#All],[Code]:[Postcode]],5,FALSE)</f>
        <v>2721 GP</v>
      </c>
      <c r="E729" s="435" t="str">
        <f>VLOOKUP(Ruimtestaat[[#This Row],[Code]],Locaties[#All],6,FALSE)</f>
        <v>Zoetermeer</v>
      </c>
      <c r="F729" s="330" t="s">
        <v>2154</v>
      </c>
      <c r="I729" s="450" t="s">
        <v>1726</v>
      </c>
      <c r="J729" s="330">
        <v>20</v>
      </c>
      <c r="K729" s="450" t="str">
        <f>VLOOKUP(Ruimtestaat[[#This Row],[Ruimte code]],Ruimtegroepen[[#All],[Code]:[Ruimte omschrijving]],2,FALSE)</f>
        <v>Niet in Onderhoud</v>
      </c>
      <c r="M729" s="330"/>
      <c r="N729" s="439"/>
      <c r="O729" s="439">
        <v>47</v>
      </c>
      <c r="P729" s="439"/>
      <c r="Q729" s="439"/>
      <c r="R729" s="440">
        <f>VLOOKUP(Ruimtestaat[[#This Row],[Ruimte code]],Ruimtegroepen[],4,FALSE)</f>
        <v>0</v>
      </c>
      <c r="S729" s="434"/>
      <c r="T729" s="434"/>
      <c r="U729" s="453">
        <f>IF(S729&gt;0,IF(RIGHT(Ruimtestaat[[#This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9" s="434">
        <f>IF(U729&gt;0,VLOOKUP($J729,Ruimtegroepen[],3,FALSE)*VLOOKUP($L729,Vloersoorten[],3,FALSE)*VLOOKUP($T729,Frequenties[],3,FALSE)*VLOOKUP($A729,Locaties[],3,FALSE),0)</f>
        <v>0</v>
      </c>
      <c r="W729" s="434">
        <f>Ruimtestaat[[#This Row],[Uitvoeringen werkdagen]]*Ruimtestaat[[#This Row],[Oppervlak (netto)]]</f>
        <v>0</v>
      </c>
      <c r="X729" s="441">
        <f>IF(V729&gt;0,Ruimtestaat[[#This Row],[Prest. (m2 /jaar) werkdagen]]/Ruimtestaat[[#This Row],[Norm (m2/uur) werkdagen]],0)</f>
        <v>0</v>
      </c>
      <c r="Y729" s="442">
        <f>Ruimtestaat[[#This Row],[Uitvoeringen werkdagen]]*Ruimtestaat[[#This Row],[Gedeeltelijk]]</f>
        <v>0</v>
      </c>
      <c r="Z729" s="443">
        <f>IF(U729&gt;0,Ruimtestaat[[#This Row],[Prest. (m2 / jaar) werkdagen gedeeld]]/Ruimtestaat[[#This Row],[Norm (m2/uur) werkdagen]],0)</f>
        <v>0</v>
      </c>
      <c r="AA729" s="441">
        <f>Ruimtestaat[[#This Row],[uren / jaar werkdagen gedeeld]]*Tariefsopbouw!$E$35</f>
        <v>0</v>
      </c>
      <c r="AB729" s="441">
        <f>Ruimtestaat[[#This Row],[Uitvoeringen werkdagen]]*Ruimtestaat[[#This Row],[BSO]]</f>
        <v>0</v>
      </c>
      <c r="AC729" s="443">
        <f>IF(U729&gt;0,Ruimtestaat[[#This Row],[Prest. (m2 / jaar) werkdagen BSO]]/Ruimtestaat[[#This Row],[Norm (m2/uur) werkdagen]],0)</f>
        <v>0</v>
      </c>
      <c r="AD729" s="443">
        <f>Ruimtestaat[[#This Row],[uren / jaar werkdagen BSO]]*Tariefsopbouw!$E$35</f>
        <v>0</v>
      </c>
      <c r="AE729" s="444">
        <f>Ruimtestaat[[#This Row],[uren / jaar werkdagen]]*Tariefsopbouw!$E$35</f>
        <v>0</v>
      </c>
      <c r="AF729" s="454"/>
      <c r="AG729" s="455">
        <f>IF(Ruimtestaat[[#This Row],[Frequentie weekend]]&gt;0,VALUE(LEFT(AF729,1))*S729,0)</f>
        <v>0</v>
      </c>
      <c r="AH729" s="455">
        <f>IF($AG729&gt;0,VLOOKUP($J729,Ruimtegroepen[],3,FALSE)*VLOOKUP($L729,Vloersoorten[],3,FALSE)*VLOOKUP($AF729,Frequenties[],3,FALSE)*VLOOKUP(#REF!,Locaties[],3,FALSE),0)</f>
        <v>0</v>
      </c>
      <c r="AI729" s="434">
        <f>Ruimtestaat[[#This Row],[Uitvoeringen weekend]]*Ruimtestaat[[#This Row],[Oppervlak (netto)]]</f>
        <v>0</v>
      </c>
      <c r="AJ729" s="434">
        <f>IF(AH729&gt;0,Ruimtestaat[[#This Row],[Prest. (m2 /jaar) weekend]]/Ruimtestaat[[#This Row],[Norm (m2/uur) weekend]],0)</f>
        <v>0</v>
      </c>
      <c r="AK729" s="444">
        <f>Ruimtestaat[[#This Row],[uren / jaar weekend]]*Tariefsopbouw!$D$40</f>
        <v>0</v>
      </c>
      <c r="AL729" s="441">
        <f>Ruimtestaat[[#This Row],[Prest. (m2 /jaar) weekend]]+Ruimtestaat[[#This Row],[Prest. (m2 /jaar) werkdagen]]</f>
        <v>0</v>
      </c>
      <c r="AM729" s="441">
        <f>Ruimtestaat[[#This Row],[uren / jaar weekend]]+Ruimtestaat[[#This Row],[uren / jaar werkdagen]]</f>
        <v>0</v>
      </c>
      <c r="AN729" s="446">
        <f>Ruimtestaat[[#This Row],[kosten / jaar weekend]]+Ruimtestaat[[#This Row],[kosten / jaar werkdagen]]</f>
        <v>0</v>
      </c>
      <c r="AO729" s="446"/>
      <c r="AP729" s="446" t="str">
        <f>IF(Ruimtestaat[[#This Row],[Frequentie werkdagen]]="","",_xlfn.CONCAT(Ruimtestaat[[#This Row],[Ruimte code]],"-",Ruimtestaat[[#This Row],[Frequentie werkdagen]]," ",Ruimtestaat[[#This Row],[Vloer code]]))</f>
        <v/>
      </c>
      <c r="AQ729" s="448" t="str">
        <f>_xlfn.IFNA(VLOOKUP($AP729,Programma!$F$3:$G$1101,2,0),"")</f>
        <v/>
      </c>
      <c r="AR729" s="448" t="str">
        <f>_xlfn.IFNA(VLOOKUP($AP729,Programma!$F$3:$H$1101,3,0),"")</f>
        <v/>
      </c>
      <c r="AS729" s="448" t="str">
        <f>_xlfn.IFNA(VLOOKUP($AP729,Programma!$F$3:$I$1101,4,0),"")</f>
        <v/>
      </c>
      <c r="AT729" s="448" t="str">
        <f>_xlfn.IFNA(VLOOKUP($AP729,Programma!$F$3:$J$1101,5,0),"")</f>
        <v/>
      </c>
      <c r="AU729" s="448" t="str">
        <f>_xlfn.IFNA(VLOOKUP($AP729,Programma!$F$3:$K$1101,6,0),"")</f>
        <v/>
      </c>
      <c r="AV729" s="448" t="str">
        <f>_xlfn.IFNA(VLOOKUP($AP729,Programma!$F$3:$L$1101,7,0),"")</f>
        <v/>
      </c>
      <c r="AW729" s="448" t="str">
        <f>_xlfn.IFNA(VLOOKUP($AP729,Programma!$F$3:$M$1101,8,0),"")</f>
        <v/>
      </c>
      <c r="AX729" s="448" t="str">
        <f>_xlfn.IFNA(VLOOKUP($AP729,Programma!$F$3:$N$1101,9,0),"")</f>
        <v/>
      </c>
      <c r="AY729" s="448" t="str">
        <f>_xlfn.IFNA(VLOOKUP($AP729,Programma!$F$3:$O$1101,10,0),"")</f>
        <v/>
      </c>
      <c r="AZ729" s="448" t="str">
        <f>_xlfn.IFNA(VLOOKUP($AP729,Programma!$F$3:$P$1101,11,0),"")</f>
        <v/>
      </c>
      <c r="BA729" s="448" t="str">
        <f>_xlfn.IFNA(VLOOKUP($AP729,Programma!$F$3:$Q$1101,12,0),"")</f>
        <v/>
      </c>
      <c r="BB729" s="448" t="str">
        <f>_xlfn.IFNA(VLOOKUP($AP729,Programma!$F$3:$R$1101,13,0),"")</f>
        <v/>
      </c>
      <c r="BC729" s="448" t="str">
        <f>_xlfn.IFNA(VLOOKUP($AP729,Programma!$F$3:$S$1101,14,0),"")</f>
        <v/>
      </c>
      <c r="BD729" s="448" t="str">
        <f>_xlfn.IFNA(VLOOKUP($AP729,Programma!$F$3:$T$1101,15,0),"")</f>
        <v/>
      </c>
      <c r="BE729" s="448" t="str">
        <f>_xlfn.IFNA(VLOOKUP($AP729,Programma!$F$3:$U$1101,16,0),"")</f>
        <v/>
      </c>
      <c r="BF729" s="448" t="str">
        <f>_xlfn.IFNA(VLOOKUP($AP729,Programma!$F$3:$V$1101,17,0),"")</f>
        <v/>
      </c>
      <c r="BG729" s="448" t="str">
        <f>_xlfn.IFNA(VLOOKUP($AP729,Programma!$F$3:$W$1101,18,0),"")</f>
        <v/>
      </c>
      <c r="BH729" s="448" t="str">
        <f>_xlfn.IFNA(VLOOKUP($AP729,Programma!$F$3:$X$1101,19,0),"")</f>
        <v/>
      </c>
      <c r="BI729" s="448" t="str">
        <f>_xlfn.IFNA(VLOOKUP($AP729,Programma!$F$3:$Y$1101,20,0),"")</f>
        <v/>
      </c>
      <c r="BJ729" s="449"/>
      <c r="BK729" s="446" t="str">
        <f>IF(Ruimtestaat[[#This Row],[Frequentie weekend]]="","",_xlfn.CONCAT(Ruimtestaat[[#This Row],[Ruimte code]],"-",Ruimtestaat[[#This Row],[Frequentie weekend]]," ",Ruimtestaat[[#This Row],[Vloer code]]))</f>
        <v/>
      </c>
      <c r="BL729" s="448" t="str">
        <f>_xlfn.IFNA(VLOOKUP($BK729,Programma!$F$3:$G$1101,2,0),"")</f>
        <v/>
      </c>
      <c r="BM729" s="448" t="str">
        <f>_xlfn.IFNA(VLOOKUP($BK729,Programma!$F$3:$H$1101,3,0),"")</f>
        <v/>
      </c>
      <c r="BN729" s="448" t="str">
        <f>_xlfn.IFNA(VLOOKUP($BK729,Programma!$F$3:$I$1101,4,0),"")</f>
        <v/>
      </c>
      <c r="BO729" s="448" t="str">
        <f>_xlfn.IFNA(VLOOKUP($BK729,Programma!$F$3:$J$1101,5,0),"")</f>
        <v/>
      </c>
      <c r="BP729" s="448" t="str">
        <f>_xlfn.IFNA(VLOOKUP($BK729,Programma!$F$3:$K$1101,6,0),"")</f>
        <v/>
      </c>
      <c r="BQ729" s="448" t="str">
        <f>_xlfn.IFNA(VLOOKUP($BK729,Programma!$F$3:$L$1101,7,0),"")</f>
        <v/>
      </c>
      <c r="BR729" s="448" t="str">
        <f>_xlfn.IFNA(VLOOKUP($BK729,Programma!$F$3:$M$1101,8,0),"")</f>
        <v/>
      </c>
      <c r="BS729" s="448" t="str">
        <f>_xlfn.IFNA(VLOOKUP($BK729,Programma!$F$3:$N$1101,9,0),"")</f>
        <v/>
      </c>
      <c r="BT729" s="448" t="str">
        <f>_xlfn.IFNA(VLOOKUP($BK729,Programma!$F$3:$O$1101,10,0),"")</f>
        <v/>
      </c>
      <c r="BU729" s="448" t="str">
        <f>_xlfn.IFNA(VLOOKUP($BK729,Programma!$F$3:$P$1101,11,0),"")</f>
        <v/>
      </c>
      <c r="BV729" s="448" t="str">
        <f>_xlfn.IFNA(VLOOKUP($BK729,Programma!$F$3:$Q$1101,12,0),"")</f>
        <v/>
      </c>
      <c r="BW729" s="448" t="str">
        <f>_xlfn.IFNA(VLOOKUP($BK729,Programma!$F$3:$R$1101,13,0),"")</f>
        <v/>
      </c>
      <c r="BX729" s="448" t="str">
        <f>_xlfn.IFNA(VLOOKUP($BK729,Programma!$F$3:$S$1101,14,0),"")</f>
        <v/>
      </c>
      <c r="BY729" s="448" t="str">
        <f>_xlfn.IFNA(VLOOKUP($BK729,Programma!$F$3:$T$1101,15,0),"")</f>
        <v/>
      </c>
      <c r="BZ729" s="448" t="str">
        <f>_xlfn.IFNA(VLOOKUP($BK729,Programma!$F$3:$U$1101,16,0),"")</f>
        <v/>
      </c>
      <c r="CA729" s="448" t="str">
        <f>_xlfn.IFNA(VLOOKUP($BK729,Programma!$F$3:$V$1101,17,0),"")</f>
        <v/>
      </c>
      <c r="CB729" s="448" t="str">
        <f>_xlfn.IFNA(VLOOKUP($BK729,Programma!$F$3:$W$1101,18,0),"")</f>
        <v/>
      </c>
      <c r="CC729" s="448" t="str">
        <f>_xlfn.IFNA(VLOOKUP($BK729,Programma!$F$3:$X$1101,19,0),"")</f>
        <v/>
      </c>
      <c r="CD729" s="448" t="str">
        <f>_xlfn.IFNA(VLOOKUP($BK729,Programma!$F$3:$Y$1101,20,0),"")</f>
        <v/>
      </c>
    </row>
    <row r="730" spans="1:82" ht="15" customHeight="1">
      <c r="A730" s="327">
        <v>15</v>
      </c>
      <c r="B730" s="435" t="str">
        <f>VLOOKUP(Ruimtestaat[[#This Row],[Code]],Locaties[[Code]:[Locatie]],2,FALSE)</f>
        <v>IKC  Da Vinci</v>
      </c>
      <c r="C730" s="435" t="str">
        <f>VLOOKUP(Ruimtestaat[[#This Row],[Code]],Locaties[[#All],[Code]:[Adres]],4,FALSE)</f>
        <v>Spitsbergen 17</v>
      </c>
      <c r="D730" s="435" t="str">
        <f>VLOOKUP(Ruimtestaat[[#This Row],[Code]],Locaties[[#All],[Code]:[Postcode]],5,FALSE)</f>
        <v>2721 GP</v>
      </c>
      <c r="E730" s="435" t="str">
        <f>VLOOKUP(Ruimtestaat[[#This Row],[Code]],Locaties[#All],6,FALSE)</f>
        <v>Zoetermeer</v>
      </c>
      <c r="F730" s="330" t="s">
        <v>2154</v>
      </c>
      <c r="I730" s="450" t="s">
        <v>1726</v>
      </c>
      <c r="J730" s="330">
        <v>20</v>
      </c>
      <c r="K730" s="450" t="str">
        <f>VLOOKUP(Ruimtestaat[[#This Row],[Ruimte code]],Ruimtegroepen[[#All],[Code]:[Ruimte omschrijving]],2,FALSE)</f>
        <v>Niet in Onderhoud</v>
      </c>
      <c r="M730" s="330"/>
      <c r="N730" s="439"/>
      <c r="O730" s="439">
        <v>91</v>
      </c>
      <c r="P730" s="439"/>
      <c r="Q730" s="439"/>
      <c r="R730" s="440">
        <f>VLOOKUP(Ruimtestaat[[#This Row],[Ruimte code]],Ruimtegroepen[],4,FALSE)</f>
        <v>0</v>
      </c>
      <c r="S730" s="434"/>
      <c r="T730" s="434"/>
      <c r="U730" s="453">
        <f>IF(S730&gt;0,IF(RIGHT(Ruimtestaat[[#This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0" s="434">
        <f>IF(U730&gt;0,VLOOKUP($J730,Ruimtegroepen[],3,FALSE)*VLOOKUP($L730,Vloersoorten[],3,FALSE)*VLOOKUP($T730,Frequenties[],3,FALSE)*VLOOKUP($A730,Locaties[],3,FALSE),0)</f>
        <v>0</v>
      </c>
      <c r="W730" s="434">
        <f>Ruimtestaat[[#This Row],[Uitvoeringen werkdagen]]*Ruimtestaat[[#This Row],[Oppervlak (netto)]]</f>
        <v>0</v>
      </c>
      <c r="X730" s="441">
        <f>IF(V730&gt;0,Ruimtestaat[[#This Row],[Prest. (m2 /jaar) werkdagen]]/Ruimtestaat[[#This Row],[Norm (m2/uur) werkdagen]],0)</f>
        <v>0</v>
      </c>
      <c r="Y730" s="442">
        <f>Ruimtestaat[[#This Row],[Uitvoeringen werkdagen]]*Ruimtestaat[[#This Row],[Gedeeltelijk]]</f>
        <v>0</v>
      </c>
      <c r="Z730" s="443">
        <f>IF(U730&gt;0,Ruimtestaat[[#This Row],[Prest. (m2 / jaar) werkdagen gedeeld]]/Ruimtestaat[[#This Row],[Norm (m2/uur) werkdagen]],0)</f>
        <v>0</v>
      </c>
      <c r="AA730" s="441">
        <f>Ruimtestaat[[#This Row],[uren / jaar werkdagen gedeeld]]*Tariefsopbouw!$E$35</f>
        <v>0</v>
      </c>
      <c r="AB730" s="441">
        <f>Ruimtestaat[[#This Row],[Uitvoeringen werkdagen]]*Ruimtestaat[[#This Row],[BSO]]</f>
        <v>0</v>
      </c>
      <c r="AC730" s="443">
        <f>IF(U730&gt;0,Ruimtestaat[[#This Row],[Prest. (m2 / jaar) werkdagen BSO]]/Ruimtestaat[[#This Row],[Norm (m2/uur) werkdagen]],0)</f>
        <v>0</v>
      </c>
      <c r="AD730" s="443">
        <f>Ruimtestaat[[#This Row],[uren / jaar werkdagen BSO]]*Tariefsopbouw!$E$35</f>
        <v>0</v>
      </c>
      <c r="AE730" s="444">
        <f>Ruimtestaat[[#This Row],[uren / jaar werkdagen]]*Tariefsopbouw!$E$35</f>
        <v>0</v>
      </c>
      <c r="AF730" s="454"/>
      <c r="AG730" s="455">
        <f>IF(Ruimtestaat[[#This Row],[Frequentie weekend]]&gt;0,VALUE(LEFT(AF730,1))*S730,0)</f>
        <v>0</v>
      </c>
      <c r="AH730" s="455">
        <f>IF($AG730&gt;0,VLOOKUP($J730,Ruimtegroepen[],3,FALSE)*VLOOKUP($L730,Vloersoorten[],3,FALSE)*VLOOKUP($AF730,Frequenties[],3,FALSE)*VLOOKUP(#REF!,Locaties[],3,FALSE),0)</f>
        <v>0</v>
      </c>
      <c r="AI730" s="434">
        <f>Ruimtestaat[[#This Row],[Uitvoeringen weekend]]*Ruimtestaat[[#This Row],[Oppervlak (netto)]]</f>
        <v>0</v>
      </c>
      <c r="AJ730" s="434">
        <f>IF(AH730&gt;0,Ruimtestaat[[#This Row],[Prest. (m2 /jaar) weekend]]/Ruimtestaat[[#This Row],[Norm (m2/uur) weekend]],0)</f>
        <v>0</v>
      </c>
      <c r="AK730" s="444">
        <f>Ruimtestaat[[#This Row],[uren / jaar weekend]]*Tariefsopbouw!$D$40</f>
        <v>0</v>
      </c>
      <c r="AL730" s="441">
        <f>Ruimtestaat[[#This Row],[Prest. (m2 /jaar) weekend]]+Ruimtestaat[[#This Row],[Prest. (m2 /jaar) werkdagen]]</f>
        <v>0</v>
      </c>
      <c r="AM730" s="441">
        <f>Ruimtestaat[[#This Row],[uren / jaar weekend]]+Ruimtestaat[[#This Row],[uren / jaar werkdagen]]</f>
        <v>0</v>
      </c>
      <c r="AN730" s="446">
        <f>Ruimtestaat[[#This Row],[kosten / jaar weekend]]+Ruimtestaat[[#This Row],[kosten / jaar werkdagen]]</f>
        <v>0</v>
      </c>
      <c r="AO730" s="446"/>
      <c r="AP730" s="446" t="str">
        <f>IF(Ruimtestaat[[#This Row],[Frequentie werkdagen]]="","",_xlfn.CONCAT(Ruimtestaat[[#This Row],[Ruimte code]],"-",Ruimtestaat[[#This Row],[Frequentie werkdagen]]," ",Ruimtestaat[[#This Row],[Vloer code]]))</f>
        <v/>
      </c>
      <c r="AQ730" s="448" t="str">
        <f>_xlfn.IFNA(VLOOKUP($AP730,Programma!$F$3:$G$1101,2,0),"")</f>
        <v/>
      </c>
      <c r="AR730" s="448" t="str">
        <f>_xlfn.IFNA(VLOOKUP($AP730,Programma!$F$3:$H$1101,3,0),"")</f>
        <v/>
      </c>
      <c r="AS730" s="448" t="str">
        <f>_xlfn.IFNA(VLOOKUP($AP730,Programma!$F$3:$I$1101,4,0),"")</f>
        <v/>
      </c>
      <c r="AT730" s="448" t="str">
        <f>_xlfn.IFNA(VLOOKUP($AP730,Programma!$F$3:$J$1101,5,0),"")</f>
        <v/>
      </c>
      <c r="AU730" s="448" t="str">
        <f>_xlfn.IFNA(VLOOKUP($AP730,Programma!$F$3:$K$1101,6,0),"")</f>
        <v/>
      </c>
      <c r="AV730" s="448" t="str">
        <f>_xlfn.IFNA(VLOOKUP($AP730,Programma!$F$3:$L$1101,7,0),"")</f>
        <v/>
      </c>
      <c r="AW730" s="448" t="str">
        <f>_xlfn.IFNA(VLOOKUP($AP730,Programma!$F$3:$M$1101,8,0),"")</f>
        <v/>
      </c>
      <c r="AX730" s="448" t="str">
        <f>_xlfn.IFNA(VLOOKUP($AP730,Programma!$F$3:$N$1101,9,0),"")</f>
        <v/>
      </c>
      <c r="AY730" s="448" t="str">
        <f>_xlfn.IFNA(VLOOKUP($AP730,Programma!$F$3:$O$1101,10,0),"")</f>
        <v/>
      </c>
      <c r="AZ730" s="448" t="str">
        <f>_xlfn.IFNA(VLOOKUP($AP730,Programma!$F$3:$P$1101,11,0),"")</f>
        <v/>
      </c>
      <c r="BA730" s="448" t="str">
        <f>_xlfn.IFNA(VLOOKUP($AP730,Programma!$F$3:$Q$1101,12,0),"")</f>
        <v/>
      </c>
      <c r="BB730" s="448" t="str">
        <f>_xlfn.IFNA(VLOOKUP($AP730,Programma!$F$3:$R$1101,13,0),"")</f>
        <v/>
      </c>
      <c r="BC730" s="448" t="str">
        <f>_xlfn.IFNA(VLOOKUP($AP730,Programma!$F$3:$S$1101,14,0),"")</f>
        <v/>
      </c>
      <c r="BD730" s="448" t="str">
        <f>_xlfn.IFNA(VLOOKUP($AP730,Programma!$F$3:$T$1101,15,0),"")</f>
        <v/>
      </c>
      <c r="BE730" s="448" t="str">
        <f>_xlfn.IFNA(VLOOKUP($AP730,Programma!$F$3:$U$1101,16,0),"")</f>
        <v/>
      </c>
      <c r="BF730" s="448" t="str">
        <f>_xlfn.IFNA(VLOOKUP($AP730,Programma!$F$3:$V$1101,17,0),"")</f>
        <v/>
      </c>
      <c r="BG730" s="448" t="str">
        <f>_xlfn.IFNA(VLOOKUP($AP730,Programma!$F$3:$W$1101,18,0),"")</f>
        <v/>
      </c>
      <c r="BH730" s="448" t="str">
        <f>_xlfn.IFNA(VLOOKUP($AP730,Programma!$F$3:$X$1101,19,0),"")</f>
        <v/>
      </c>
      <c r="BI730" s="448" t="str">
        <f>_xlfn.IFNA(VLOOKUP($AP730,Programma!$F$3:$Y$1101,20,0),"")</f>
        <v/>
      </c>
      <c r="BJ730" s="449"/>
      <c r="BK730" s="446" t="str">
        <f>IF(Ruimtestaat[[#This Row],[Frequentie weekend]]="","",_xlfn.CONCAT(Ruimtestaat[[#This Row],[Ruimte code]],"-",Ruimtestaat[[#This Row],[Frequentie weekend]]," ",Ruimtestaat[[#This Row],[Vloer code]]))</f>
        <v/>
      </c>
      <c r="BL730" s="448" t="str">
        <f>_xlfn.IFNA(VLOOKUP($BK730,Programma!$F$3:$G$1101,2,0),"")</f>
        <v/>
      </c>
      <c r="BM730" s="448" t="str">
        <f>_xlfn.IFNA(VLOOKUP($BK730,Programma!$F$3:$H$1101,3,0),"")</f>
        <v/>
      </c>
      <c r="BN730" s="448" t="str">
        <f>_xlfn.IFNA(VLOOKUP($BK730,Programma!$F$3:$I$1101,4,0),"")</f>
        <v/>
      </c>
      <c r="BO730" s="448" t="str">
        <f>_xlfn.IFNA(VLOOKUP($BK730,Programma!$F$3:$J$1101,5,0),"")</f>
        <v/>
      </c>
      <c r="BP730" s="448" t="str">
        <f>_xlfn.IFNA(VLOOKUP($BK730,Programma!$F$3:$K$1101,6,0),"")</f>
        <v/>
      </c>
      <c r="BQ730" s="448" t="str">
        <f>_xlfn.IFNA(VLOOKUP($BK730,Programma!$F$3:$L$1101,7,0),"")</f>
        <v/>
      </c>
      <c r="BR730" s="448" t="str">
        <f>_xlfn.IFNA(VLOOKUP($BK730,Programma!$F$3:$M$1101,8,0),"")</f>
        <v/>
      </c>
      <c r="BS730" s="448" t="str">
        <f>_xlfn.IFNA(VLOOKUP($BK730,Programma!$F$3:$N$1101,9,0),"")</f>
        <v/>
      </c>
      <c r="BT730" s="448" t="str">
        <f>_xlfn.IFNA(VLOOKUP($BK730,Programma!$F$3:$O$1101,10,0),"")</f>
        <v/>
      </c>
      <c r="BU730" s="448" t="str">
        <f>_xlfn.IFNA(VLOOKUP($BK730,Programma!$F$3:$P$1101,11,0),"")</f>
        <v/>
      </c>
      <c r="BV730" s="448" t="str">
        <f>_xlfn.IFNA(VLOOKUP($BK730,Programma!$F$3:$Q$1101,12,0),"")</f>
        <v/>
      </c>
      <c r="BW730" s="448" t="str">
        <f>_xlfn.IFNA(VLOOKUP($BK730,Programma!$F$3:$R$1101,13,0),"")</f>
        <v/>
      </c>
      <c r="BX730" s="448" t="str">
        <f>_xlfn.IFNA(VLOOKUP($BK730,Programma!$F$3:$S$1101,14,0),"")</f>
        <v/>
      </c>
      <c r="BY730" s="448" t="str">
        <f>_xlfn.IFNA(VLOOKUP($BK730,Programma!$F$3:$T$1101,15,0),"")</f>
        <v/>
      </c>
      <c r="BZ730" s="448" t="str">
        <f>_xlfn.IFNA(VLOOKUP($BK730,Programma!$F$3:$U$1101,16,0),"")</f>
        <v/>
      </c>
      <c r="CA730" s="448" t="str">
        <f>_xlfn.IFNA(VLOOKUP($BK730,Programma!$F$3:$V$1101,17,0),"")</f>
        <v/>
      </c>
      <c r="CB730" s="448" t="str">
        <f>_xlfn.IFNA(VLOOKUP($BK730,Programma!$F$3:$W$1101,18,0),"")</f>
        <v/>
      </c>
      <c r="CC730" s="448" t="str">
        <f>_xlfn.IFNA(VLOOKUP($BK730,Programma!$F$3:$X$1101,19,0),"")</f>
        <v/>
      </c>
      <c r="CD730" s="448" t="str">
        <f>_xlfn.IFNA(VLOOKUP($BK730,Programma!$F$3:$Y$1101,20,0),"")</f>
        <v/>
      </c>
    </row>
    <row r="731" spans="1:82" ht="15" customHeight="1">
      <c r="A731" s="327">
        <v>15</v>
      </c>
      <c r="B731" s="435" t="str">
        <f>VLOOKUP(Ruimtestaat[[#This Row],[Code]],Locaties[[Code]:[Locatie]],2,FALSE)</f>
        <v>IKC  Da Vinci</v>
      </c>
      <c r="C731" s="435" t="str">
        <f>VLOOKUP(Ruimtestaat[[#This Row],[Code]],Locaties[[#All],[Code]:[Adres]],4,FALSE)</f>
        <v>Spitsbergen 17</v>
      </c>
      <c r="D731" s="435" t="str">
        <f>VLOOKUP(Ruimtestaat[[#This Row],[Code]],Locaties[[#All],[Code]:[Postcode]],5,FALSE)</f>
        <v>2721 GP</v>
      </c>
      <c r="E731" s="435" t="str">
        <f>VLOOKUP(Ruimtestaat[[#This Row],[Code]],Locaties[#All],6,FALSE)</f>
        <v>Zoetermeer</v>
      </c>
      <c r="F731" s="330" t="s">
        <v>2154</v>
      </c>
      <c r="I731" s="450" t="s">
        <v>1997</v>
      </c>
      <c r="J731" s="330">
        <v>20</v>
      </c>
      <c r="K731" s="450" t="str">
        <f>VLOOKUP(Ruimtestaat[[#This Row],[Ruimte code]],Ruimtegroepen[[#All],[Code]:[Ruimte omschrijving]],2,FALSE)</f>
        <v>Niet in Onderhoud</v>
      </c>
      <c r="M731" s="330"/>
      <c r="N731" s="439"/>
      <c r="O731" s="439">
        <v>18</v>
      </c>
      <c r="P731" s="439"/>
      <c r="Q731" s="439"/>
      <c r="R731" s="440">
        <f>VLOOKUP(Ruimtestaat[[#This Row],[Ruimte code]],Ruimtegroepen[],4,FALSE)</f>
        <v>0</v>
      </c>
      <c r="S731" s="434"/>
      <c r="T731" s="434"/>
      <c r="U731" s="453">
        <f>IF(S731&gt;0,IF(RIGHT(Ruimtestaat[[#This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1" s="434">
        <f>IF(U731&gt;0,VLOOKUP($J731,Ruimtegroepen[],3,FALSE)*VLOOKUP($L731,Vloersoorten[],3,FALSE)*VLOOKUP($T731,Frequenties[],3,FALSE)*VLOOKUP($A731,Locaties[],3,FALSE),0)</f>
        <v>0</v>
      </c>
      <c r="W731" s="434">
        <f>Ruimtestaat[[#This Row],[Uitvoeringen werkdagen]]*Ruimtestaat[[#This Row],[Oppervlak (netto)]]</f>
        <v>0</v>
      </c>
      <c r="X731" s="441">
        <f>IF(V731&gt;0,Ruimtestaat[[#This Row],[Prest. (m2 /jaar) werkdagen]]/Ruimtestaat[[#This Row],[Norm (m2/uur) werkdagen]],0)</f>
        <v>0</v>
      </c>
      <c r="Y731" s="442">
        <f>Ruimtestaat[[#This Row],[Uitvoeringen werkdagen]]*Ruimtestaat[[#This Row],[Gedeeltelijk]]</f>
        <v>0</v>
      </c>
      <c r="Z731" s="443">
        <f>IF(U731&gt;0,Ruimtestaat[[#This Row],[Prest. (m2 / jaar) werkdagen gedeeld]]/Ruimtestaat[[#This Row],[Norm (m2/uur) werkdagen]],0)</f>
        <v>0</v>
      </c>
      <c r="AA731" s="441">
        <f>Ruimtestaat[[#This Row],[uren / jaar werkdagen gedeeld]]*Tariefsopbouw!$E$35</f>
        <v>0</v>
      </c>
      <c r="AB731" s="441">
        <f>Ruimtestaat[[#This Row],[Uitvoeringen werkdagen]]*Ruimtestaat[[#This Row],[BSO]]</f>
        <v>0</v>
      </c>
      <c r="AC731" s="443">
        <f>IF(U731&gt;0,Ruimtestaat[[#This Row],[Prest. (m2 / jaar) werkdagen BSO]]/Ruimtestaat[[#This Row],[Norm (m2/uur) werkdagen]],0)</f>
        <v>0</v>
      </c>
      <c r="AD731" s="443">
        <f>Ruimtestaat[[#This Row],[uren / jaar werkdagen BSO]]*Tariefsopbouw!$E$35</f>
        <v>0</v>
      </c>
      <c r="AE731" s="444">
        <f>Ruimtestaat[[#This Row],[uren / jaar werkdagen]]*Tariefsopbouw!$E$35</f>
        <v>0</v>
      </c>
      <c r="AF731" s="454"/>
      <c r="AG731" s="455">
        <f>IF(Ruimtestaat[[#This Row],[Frequentie weekend]]&gt;0,VALUE(LEFT(AF731,1))*S731,0)</f>
        <v>0</v>
      </c>
      <c r="AH731" s="455">
        <f>IF($AG731&gt;0,VLOOKUP($J731,Ruimtegroepen[],3,FALSE)*VLOOKUP($L731,Vloersoorten[],3,FALSE)*VLOOKUP($AF731,Frequenties[],3,FALSE)*VLOOKUP(#REF!,Locaties[],3,FALSE),0)</f>
        <v>0</v>
      </c>
      <c r="AI731" s="434">
        <f>Ruimtestaat[[#This Row],[Uitvoeringen weekend]]*Ruimtestaat[[#This Row],[Oppervlak (netto)]]</f>
        <v>0</v>
      </c>
      <c r="AJ731" s="434">
        <f>IF(AH731&gt;0,Ruimtestaat[[#This Row],[Prest. (m2 /jaar) weekend]]/Ruimtestaat[[#This Row],[Norm (m2/uur) weekend]],0)</f>
        <v>0</v>
      </c>
      <c r="AK731" s="444">
        <f>Ruimtestaat[[#This Row],[uren / jaar weekend]]*Tariefsopbouw!$D$40</f>
        <v>0</v>
      </c>
      <c r="AL731" s="441">
        <f>Ruimtestaat[[#This Row],[Prest. (m2 /jaar) weekend]]+Ruimtestaat[[#This Row],[Prest. (m2 /jaar) werkdagen]]</f>
        <v>0</v>
      </c>
      <c r="AM731" s="441">
        <f>Ruimtestaat[[#This Row],[uren / jaar weekend]]+Ruimtestaat[[#This Row],[uren / jaar werkdagen]]</f>
        <v>0</v>
      </c>
      <c r="AN731" s="446">
        <f>Ruimtestaat[[#This Row],[kosten / jaar weekend]]+Ruimtestaat[[#This Row],[kosten / jaar werkdagen]]</f>
        <v>0</v>
      </c>
      <c r="AO731" s="446"/>
      <c r="AP731" s="446" t="str">
        <f>IF(Ruimtestaat[[#This Row],[Frequentie werkdagen]]="","",_xlfn.CONCAT(Ruimtestaat[[#This Row],[Ruimte code]],"-",Ruimtestaat[[#This Row],[Frequentie werkdagen]]," ",Ruimtestaat[[#This Row],[Vloer code]]))</f>
        <v/>
      </c>
      <c r="AQ731" s="448" t="str">
        <f>_xlfn.IFNA(VLOOKUP($AP731,Programma!$F$3:$G$1101,2,0),"")</f>
        <v/>
      </c>
      <c r="AR731" s="448" t="str">
        <f>_xlfn.IFNA(VLOOKUP($AP731,Programma!$F$3:$H$1101,3,0),"")</f>
        <v/>
      </c>
      <c r="AS731" s="448" t="str">
        <f>_xlfn.IFNA(VLOOKUP($AP731,Programma!$F$3:$I$1101,4,0),"")</f>
        <v/>
      </c>
      <c r="AT731" s="448" t="str">
        <f>_xlfn.IFNA(VLOOKUP($AP731,Programma!$F$3:$J$1101,5,0),"")</f>
        <v/>
      </c>
      <c r="AU731" s="448" t="str">
        <f>_xlfn.IFNA(VLOOKUP($AP731,Programma!$F$3:$K$1101,6,0),"")</f>
        <v/>
      </c>
      <c r="AV731" s="448" t="str">
        <f>_xlfn.IFNA(VLOOKUP($AP731,Programma!$F$3:$L$1101,7,0),"")</f>
        <v/>
      </c>
      <c r="AW731" s="448" t="str">
        <f>_xlfn.IFNA(VLOOKUP($AP731,Programma!$F$3:$M$1101,8,0),"")</f>
        <v/>
      </c>
      <c r="AX731" s="448" t="str">
        <f>_xlfn.IFNA(VLOOKUP($AP731,Programma!$F$3:$N$1101,9,0),"")</f>
        <v/>
      </c>
      <c r="AY731" s="448" t="str">
        <f>_xlfn.IFNA(VLOOKUP($AP731,Programma!$F$3:$O$1101,10,0),"")</f>
        <v/>
      </c>
      <c r="AZ731" s="448" t="str">
        <f>_xlfn.IFNA(VLOOKUP($AP731,Programma!$F$3:$P$1101,11,0),"")</f>
        <v/>
      </c>
      <c r="BA731" s="448" t="str">
        <f>_xlfn.IFNA(VLOOKUP($AP731,Programma!$F$3:$Q$1101,12,0),"")</f>
        <v/>
      </c>
      <c r="BB731" s="448" t="str">
        <f>_xlfn.IFNA(VLOOKUP($AP731,Programma!$F$3:$R$1101,13,0),"")</f>
        <v/>
      </c>
      <c r="BC731" s="448" t="str">
        <f>_xlfn.IFNA(VLOOKUP($AP731,Programma!$F$3:$S$1101,14,0),"")</f>
        <v/>
      </c>
      <c r="BD731" s="448" t="str">
        <f>_xlfn.IFNA(VLOOKUP($AP731,Programma!$F$3:$T$1101,15,0),"")</f>
        <v/>
      </c>
      <c r="BE731" s="448" t="str">
        <f>_xlfn.IFNA(VLOOKUP($AP731,Programma!$F$3:$U$1101,16,0),"")</f>
        <v/>
      </c>
      <c r="BF731" s="448" t="str">
        <f>_xlfn.IFNA(VLOOKUP($AP731,Programma!$F$3:$V$1101,17,0),"")</f>
        <v/>
      </c>
      <c r="BG731" s="448" t="str">
        <f>_xlfn.IFNA(VLOOKUP($AP731,Programma!$F$3:$W$1101,18,0),"")</f>
        <v/>
      </c>
      <c r="BH731" s="448" t="str">
        <f>_xlfn.IFNA(VLOOKUP($AP731,Programma!$F$3:$X$1101,19,0),"")</f>
        <v/>
      </c>
      <c r="BI731" s="448" t="str">
        <f>_xlfn.IFNA(VLOOKUP($AP731,Programma!$F$3:$Y$1101,20,0),"")</f>
        <v/>
      </c>
      <c r="BJ731" s="449"/>
      <c r="BK731" s="446" t="str">
        <f>IF(Ruimtestaat[[#This Row],[Frequentie weekend]]="","",_xlfn.CONCAT(Ruimtestaat[[#This Row],[Ruimte code]],"-",Ruimtestaat[[#This Row],[Frequentie weekend]]," ",Ruimtestaat[[#This Row],[Vloer code]]))</f>
        <v/>
      </c>
      <c r="BL731" s="448" t="str">
        <f>_xlfn.IFNA(VLOOKUP($BK731,Programma!$F$3:$G$1101,2,0),"")</f>
        <v/>
      </c>
      <c r="BM731" s="448" t="str">
        <f>_xlfn.IFNA(VLOOKUP($BK731,Programma!$F$3:$H$1101,3,0),"")</f>
        <v/>
      </c>
      <c r="BN731" s="448" t="str">
        <f>_xlfn.IFNA(VLOOKUP($BK731,Programma!$F$3:$I$1101,4,0),"")</f>
        <v/>
      </c>
      <c r="BO731" s="448" t="str">
        <f>_xlfn.IFNA(VLOOKUP($BK731,Programma!$F$3:$J$1101,5,0),"")</f>
        <v/>
      </c>
      <c r="BP731" s="448" t="str">
        <f>_xlfn.IFNA(VLOOKUP($BK731,Programma!$F$3:$K$1101,6,0),"")</f>
        <v/>
      </c>
      <c r="BQ731" s="448" t="str">
        <f>_xlfn.IFNA(VLOOKUP($BK731,Programma!$F$3:$L$1101,7,0),"")</f>
        <v/>
      </c>
      <c r="BR731" s="448" t="str">
        <f>_xlfn.IFNA(VLOOKUP($BK731,Programma!$F$3:$M$1101,8,0),"")</f>
        <v/>
      </c>
      <c r="BS731" s="448" t="str">
        <f>_xlfn.IFNA(VLOOKUP($BK731,Programma!$F$3:$N$1101,9,0),"")</f>
        <v/>
      </c>
      <c r="BT731" s="448" t="str">
        <f>_xlfn.IFNA(VLOOKUP($BK731,Programma!$F$3:$O$1101,10,0),"")</f>
        <v/>
      </c>
      <c r="BU731" s="448" t="str">
        <f>_xlfn.IFNA(VLOOKUP($BK731,Programma!$F$3:$P$1101,11,0),"")</f>
        <v/>
      </c>
      <c r="BV731" s="448" t="str">
        <f>_xlfn.IFNA(VLOOKUP($BK731,Programma!$F$3:$Q$1101,12,0),"")</f>
        <v/>
      </c>
      <c r="BW731" s="448" t="str">
        <f>_xlfn.IFNA(VLOOKUP($BK731,Programma!$F$3:$R$1101,13,0),"")</f>
        <v/>
      </c>
      <c r="BX731" s="448" t="str">
        <f>_xlfn.IFNA(VLOOKUP($BK731,Programma!$F$3:$S$1101,14,0),"")</f>
        <v/>
      </c>
      <c r="BY731" s="448" t="str">
        <f>_xlfn.IFNA(VLOOKUP($BK731,Programma!$F$3:$T$1101,15,0),"")</f>
        <v/>
      </c>
      <c r="BZ731" s="448" t="str">
        <f>_xlfn.IFNA(VLOOKUP($BK731,Programma!$F$3:$U$1101,16,0),"")</f>
        <v/>
      </c>
      <c r="CA731" s="448" t="str">
        <f>_xlfn.IFNA(VLOOKUP($BK731,Programma!$F$3:$V$1101,17,0),"")</f>
        <v/>
      </c>
      <c r="CB731" s="448" t="str">
        <f>_xlfn.IFNA(VLOOKUP($BK731,Programma!$F$3:$W$1101,18,0),"")</f>
        <v/>
      </c>
      <c r="CC731" s="448" t="str">
        <f>_xlfn.IFNA(VLOOKUP($BK731,Programma!$F$3:$X$1101,19,0),"")</f>
        <v/>
      </c>
      <c r="CD731" s="448" t="str">
        <f>_xlfn.IFNA(VLOOKUP($BK731,Programma!$F$3:$Y$1101,20,0),"")</f>
        <v/>
      </c>
    </row>
    <row r="732" spans="1:82" ht="15" customHeight="1">
      <c r="A732" s="327">
        <v>15</v>
      </c>
      <c r="B732" s="435" t="str">
        <f>VLOOKUP(Ruimtestaat[[#This Row],[Code]],Locaties[[Code]:[Locatie]],2,FALSE)</f>
        <v>IKC  Da Vinci</v>
      </c>
      <c r="C732" s="435" t="str">
        <f>VLOOKUP(Ruimtestaat[[#This Row],[Code]],Locaties[[#All],[Code]:[Adres]],4,FALSE)</f>
        <v>Spitsbergen 17</v>
      </c>
      <c r="D732" s="435" t="str">
        <f>VLOOKUP(Ruimtestaat[[#This Row],[Code]],Locaties[[#All],[Code]:[Postcode]],5,FALSE)</f>
        <v>2721 GP</v>
      </c>
      <c r="E732" s="435" t="str">
        <f>VLOOKUP(Ruimtestaat[[#This Row],[Code]],Locaties[#All],6,FALSE)</f>
        <v>Zoetermeer</v>
      </c>
      <c r="F732" s="330" t="s">
        <v>2154</v>
      </c>
      <c r="I732" s="450" t="s">
        <v>1697</v>
      </c>
      <c r="J732" s="330">
        <v>20</v>
      </c>
      <c r="K732" s="450" t="str">
        <f>VLOOKUP(Ruimtestaat[[#This Row],[Ruimte code]],Ruimtegroepen[[#All],[Code]:[Ruimte omschrijving]],2,FALSE)</f>
        <v>Niet in Onderhoud</v>
      </c>
      <c r="M732" s="330"/>
      <c r="N732" s="439"/>
      <c r="O732" s="439">
        <v>10</v>
      </c>
      <c r="P732" s="439"/>
      <c r="Q732" s="439"/>
      <c r="R732" s="440">
        <f>VLOOKUP(Ruimtestaat[[#This Row],[Ruimte code]],Ruimtegroepen[],4,FALSE)</f>
        <v>0</v>
      </c>
      <c r="S732" s="434"/>
      <c r="T732" s="434"/>
      <c r="U732" s="453">
        <f>IF(S732&gt;0,IF(RIGHT(Ruimtestaat[[#This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2" s="434">
        <f>IF(U732&gt;0,VLOOKUP($J732,Ruimtegroepen[],3,FALSE)*VLOOKUP($L732,Vloersoorten[],3,FALSE)*VLOOKUP($T732,Frequenties[],3,FALSE)*VLOOKUP($A732,Locaties[],3,FALSE),0)</f>
        <v>0</v>
      </c>
      <c r="W732" s="434">
        <f>Ruimtestaat[[#This Row],[Uitvoeringen werkdagen]]*Ruimtestaat[[#This Row],[Oppervlak (netto)]]</f>
        <v>0</v>
      </c>
      <c r="X732" s="441">
        <f>IF(V732&gt;0,Ruimtestaat[[#This Row],[Prest. (m2 /jaar) werkdagen]]/Ruimtestaat[[#This Row],[Norm (m2/uur) werkdagen]],0)</f>
        <v>0</v>
      </c>
      <c r="Y732" s="442">
        <f>Ruimtestaat[[#This Row],[Uitvoeringen werkdagen]]*Ruimtestaat[[#This Row],[Gedeeltelijk]]</f>
        <v>0</v>
      </c>
      <c r="Z732" s="443">
        <f>IF(U732&gt;0,Ruimtestaat[[#This Row],[Prest. (m2 / jaar) werkdagen gedeeld]]/Ruimtestaat[[#This Row],[Norm (m2/uur) werkdagen]],0)</f>
        <v>0</v>
      </c>
      <c r="AA732" s="441">
        <f>Ruimtestaat[[#This Row],[uren / jaar werkdagen gedeeld]]*Tariefsopbouw!$E$35</f>
        <v>0</v>
      </c>
      <c r="AB732" s="441">
        <f>Ruimtestaat[[#This Row],[Uitvoeringen werkdagen]]*Ruimtestaat[[#This Row],[BSO]]</f>
        <v>0</v>
      </c>
      <c r="AC732" s="443">
        <f>IF(U732&gt;0,Ruimtestaat[[#This Row],[Prest. (m2 / jaar) werkdagen BSO]]/Ruimtestaat[[#This Row],[Norm (m2/uur) werkdagen]],0)</f>
        <v>0</v>
      </c>
      <c r="AD732" s="443">
        <f>Ruimtestaat[[#This Row],[uren / jaar werkdagen BSO]]*Tariefsopbouw!$E$35</f>
        <v>0</v>
      </c>
      <c r="AE732" s="444">
        <f>Ruimtestaat[[#This Row],[uren / jaar werkdagen]]*Tariefsopbouw!$E$35</f>
        <v>0</v>
      </c>
      <c r="AF732" s="454"/>
      <c r="AG732" s="455">
        <f>IF(Ruimtestaat[[#This Row],[Frequentie weekend]]&gt;0,VALUE(LEFT(AF732,1))*S732,0)</f>
        <v>0</v>
      </c>
      <c r="AH732" s="455">
        <f>IF($AG732&gt;0,VLOOKUP($J732,Ruimtegroepen[],3,FALSE)*VLOOKUP($L732,Vloersoorten[],3,FALSE)*VLOOKUP($AF732,Frequenties[],3,FALSE)*VLOOKUP(#REF!,Locaties[],3,FALSE),0)</f>
        <v>0</v>
      </c>
      <c r="AI732" s="434">
        <f>Ruimtestaat[[#This Row],[Uitvoeringen weekend]]*Ruimtestaat[[#This Row],[Oppervlak (netto)]]</f>
        <v>0</v>
      </c>
      <c r="AJ732" s="434">
        <f>IF(AH732&gt;0,Ruimtestaat[[#This Row],[Prest. (m2 /jaar) weekend]]/Ruimtestaat[[#This Row],[Norm (m2/uur) weekend]],0)</f>
        <v>0</v>
      </c>
      <c r="AK732" s="444">
        <f>Ruimtestaat[[#This Row],[uren / jaar weekend]]*Tariefsopbouw!$D$40</f>
        <v>0</v>
      </c>
      <c r="AL732" s="441">
        <f>Ruimtestaat[[#This Row],[Prest. (m2 /jaar) weekend]]+Ruimtestaat[[#This Row],[Prest. (m2 /jaar) werkdagen]]</f>
        <v>0</v>
      </c>
      <c r="AM732" s="441">
        <f>Ruimtestaat[[#This Row],[uren / jaar weekend]]+Ruimtestaat[[#This Row],[uren / jaar werkdagen]]</f>
        <v>0</v>
      </c>
      <c r="AN732" s="446">
        <f>Ruimtestaat[[#This Row],[kosten / jaar weekend]]+Ruimtestaat[[#This Row],[kosten / jaar werkdagen]]</f>
        <v>0</v>
      </c>
      <c r="AO732" s="446"/>
      <c r="AP732" s="446" t="str">
        <f>IF(Ruimtestaat[[#This Row],[Frequentie werkdagen]]="","",_xlfn.CONCAT(Ruimtestaat[[#This Row],[Ruimte code]],"-",Ruimtestaat[[#This Row],[Frequentie werkdagen]]," ",Ruimtestaat[[#This Row],[Vloer code]]))</f>
        <v/>
      </c>
      <c r="AQ732" s="448" t="str">
        <f>_xlfn.IFNA(VLOOKUP($AP732,Programma!$F$3:$G$1101,2,0),"")</f>
        <v/>
      </c>
      <c r="AR732" s="448" t="str">
        <f>_xlfn.IFNA(VLOOKUP($AP732,Programma!$F$3:$H$1101,3,0),"")</f>
        <v/>
      </c>
      <c r="AS732" s="448" t="str">
        <f>_xlfn.IFNA(VLOOKUP($AP732,Programma!$F$3:$I$1101,4,0),"")</f>
        <v/>
      </c>
      <c r="AT732" s="448" t="str">
        <f>_xlfn.IFNA(VLOOKUP($AP732,Programma!$F$3:$J$1101,5,0),"")</f>
        <v/>
      </c>
      <c r="AU732" s="448" t="str">
        <f>_xlfn.IFNA(VLOOKUP($AP732,Programma!$F$3:$K$1101,6,0),"")</f>
        <v/>
      </c>
      <c r="AV732" s="448" t="str">
        <f>_xlfn.IFNA(VLOOKUP($AP732,Programma!$F$3:$L$1101,7,0),"")</f>
        <v/>
      </c>
      <c r="AW732" s="448" t="str">
        <f>_xlfn.IFNA(VLOOKUP($AP732,Programma!$F$3:$M$1101,8,0),"")</f>
        <v/>
      </c>
      <c r="AX732" s="448" t="str">
        <f>_xlfn.IFNA(VLOOKUP($AP732,Programma!$F$3:$N$1101,9,0),"")</f>
        <v/>
      </c>
      <c r="AY732" s="448" t="str">
        <f>_xlfn.IFNA(VLOOKUP($AP732,Programma!$F$3:$O$1101,10,0),"")</f>
        <v/>
      </c>
      <c r="AZ732" s="448" t="str">
        <f>_xlfn.IFNA(VLOOKUP($AP732,Programma!$F$3:$P$1101,11,0),"")</f>
        <v/>
      </c>
      <c r="BA732" s="448" t="str">
        <f>_xlfn.IFNA(VLOOKUP($AP732,Programma!$F$3:$Q$1101,12,0),"")</f>
        <v/>
      </c>
      <c r="BB732" s="448" t="str">
        <f>_xlfn.IFNA(VLOOKUP($AP732,Programma!$F$3:$R$1101,13,0),"")</f>
        <v/>
      </c>
      <c r="BC732" s="448" t="str">
        <f>_xlfn.IFNA(VLOOKUP($AP732,Programma!$F$3:$S$1101,14,0),"")</f>
        <v/>
      </c>
      <c r="BD732" s="448" t="str">
        <f>_xlfn.IFNA(VLOOKUP($AP732,Programma!$F$3:$T$1101,15,0),"")</f>
        <v/>
      </c>
      <c r="BE732" s="448" t="str">
        <f>_xlfn.IFNA(VLOOKUP($AP732,Programma!$F$3:$U$1101,16,0),"")</f>
        <v/>
      </c>
      <c r="BF732" s="448" t="str">
        <f>_xlfn.IFNA(VLOOKUP($AP732,Programma!$F$3:$V$1101,17,0),"")</f>
        <v/>
      </c>
      <c r="BG732" s="448" t="str">
        <f>_xlfn.IFNA(VLOOKUP($AP732,Programma!$F$3:$W$1101,18,0),"")</f>
        <v/>
      </c>
      <c r="BH732" s="448" t="str">
        <f>_xlfn.IFNA(VLOOKUP($AP732,Programma!$F$3:$X$1101,19,0),"")</f>
        <v/>
      </c>
      <c r="BI732" s="448" t="str">
        <f>_xlfn.IFNA(VLOOKUP($AP732,Programma!$F$3:$Y$1101,20,0),"")</f>
        <v/>
      </c>
      <c r="BJ732" s="449"/>
      <c r="BK732" s="446" t="str">
        <f>IF(Ruimtestaat[[#This Row],[Frequentie weekend]]="","",_xlfn.CONCAT(Ruimtestaat[[#This Row],[Ruimte code]],"-",Ruimtestaat[[#This Row],[Frequentie weekend]]," ",Ruimtestaat[[#This Row],[Vloer code]]))</f>
        <v/>
      </c>
      <c r="BL732" s="448" t="str">
        <f>_xlfn.IFNA(VLOOKUP($BK732,Programma!$F$3:$G$1101,2,0),"")</f>
        <v/>
      </c>
      <c r="BM732" s="448" t="str">
        <f>_xlfn.IFNA(VLOOKUP($BK732,Programma!$F$3:$H$1101,3,0),"")</f>
        <v/>
      </c>
      <c r="BN732" s="448" t="str">
        <f>_xlfn.IFNA(VLOOKUP($BK732,Programma!$F$3:$I$1101,4,0),"")</f>
        <v/>
      </c>
      <c r="BO732" s="448" t="str">
        <f>_xlfn.IFNA(VLOOKUP($BK732,Programma!$F$3:$J$1101,5,0),"")</f>
        <v/>
      </c>
      <c r="BP732" s="448" t="str">
        <f>_xlfn.IFNA(VLOOKUP($BK732,Programma!$F$3:$K$1101,6,0),"")</f>
        <v/>
      </c>
      <c r="BQ732" s="448" t="str">
        <f>_xlfn.IFNA(VLOOKUP($BK732,Programma!$F$3:$L$1101,7,0),"")</f>
        <v/>
      </c>
      <c r="BR732" s="448" t="str">
        <f>_xlfn.IFNA(VLOOKUP($BK732,Programma!$F$3:$M$1101,8,0),"")</f>
        <v/>
      </c>
      <c r="BS732" s="448" t="str">
        <f>_xlfn.IFNA(VLOOKUP($BK732,Programma!$F$3:$N$1101,9,0),"")</f>
        <v/>
      </c>
      <c r="BT732" s="448" t="str">
        <f>_xlfn.IFNA(VLOOKUP($BK732,Programma!$F$3:$O$1101,10,0),"")</f>
        <v/>
      </c>
      <c r="BU732" s="448" t="str">
        <f>_xlfn.IFNA(VLOOKUP($BK732,Programma!$F$3:$P$1101,11,0),"")</f>
        <v/>
      </c>
      <c r="BV732" s="448" t="str">
        <f>_xlfn.IFNA(VLOOKUP($BK732,Programma!$F$3:$Q$1101,12,0),"")</f>
        <v/>
      </c>
      <c r="BW732" s="448" t="str">
        <f>_xlfn.IFNA(VLOOKUP($BK732,Programma!$F$3:$R$1101,13,0),"")</f>
        <v/>
      </c>
      <c r="BX732" s="448" t="str">
        <f>_xlfn.IFNA(VLOOKUP($BK732,Programma!$F$3:$S$1101,14,0),"")</f>
        <v/>
      </c>
      <c r="BY732" s="448" t="str">
        <f>_xlfn.IFNA(VLOOKUP($BK732,Programma!$F$3:$T$1101,15,0),"")</f>
        <v/>
      </c>
      <c r="BZ732" s="448" t="str">
        <f>_xlfn.IFNA(VLOOKUP($BK732,Programma!$F$3:$U$1101,16,0),"")</f>
        <v/>
      </c>
      <c r="CA732" s="448" t="str">
        <f>_xlfn.IFNA(VLOOKUP($BK732,Programma!$F$3:$V$1101,17,0),"")</f>
        <v/>
      </c>
      <c r="CB732" s="448" t="str">
        <f>_xlfn.IFNA(VLOOKUP($BK732,Programma!$F$3:$W$1101,18,0),"")</f>
        <v/>
      </c>
      <c r="CC732" s="448" t="str">
        <f>_xlfn.IFNA(VLOOKUP($BK732,Programma!$F$3:$X$1101,19,0),"")</f>
        <v/>
      </c>
      <c r="CD732" s="448" t="str">
        <f>_xlfn.IFNA(VLOOKUP($BK732,Programma!$F$3:$Y$1101,20,0),"")</f>
        <v/>
      </c>
    </row>
    <row r="733" spans="1:82" ht="15" customHeight="1">
      <c r="A733" s="327">
        <v>15</v>
      </c>
      <c r="B733" s="435" t="str">
        <f>VLOOKUP(Ruimtestaat[[#This Row],[Code]],Locaties[[Code]:[Locatie]],2,FALSE)</f>
        <v>IKC  Da Vinci</v>
      </c>
      <c r="C733" s="435" t="str">
        <f>VLOOKUP(Ruimtestaat[[#This Row],[Code]],Locaties[[#All],[Code]:[Adres]],4,FALSE)</f>
        <v>Spitsbergen 17</v>
      </c>
      <c r="D733" s="435" t="str">
        <f>VLOOKUP(Ruimtestaat[[#This Row],[Code]],Locaties[[#All],[Code]:[Postcode]],5,FALSE)</f>
        <v>2721 GP</v>
      </c>
      <c r="E733" s="435" t="str">
        <f>VLOOKUP(Ruimtestaat[[#This Row],[Code]],Locaties[#All],6,FALSE)</f>
        <v>Zoetermeer</v>
      </c>
      <c r="F733" s="330" t="s">
        <v>2154</v>
      </c>
      <c r="I733" s="450" t="s">
        <v>1697</v>
      </c>
      <c r="J733" s="330">
        <v>20</v>
      </c>
      <c r="K733" s="450" t="str">
        <f>VLOOKUP(Ruimtestaat[[#This Row],[Ruimte code]],Ruimtegroepen[[#All],[Code]:[Ruimte omschrijving]],2,FALSE)</f>
        <v>Niet in Onderhoud</v>
      </c>
      <c r="M733" s="330"/>
      <c r="N733" s="439"/>
      <c r="O733" s="439">
        <v>11</v>
      </c>
      <c r="P733" s="439"/>
      <c r="Q733" s="439"/>
      <c r="R733" s="440">
        <f>VLOOKUP(Ruimtestaat[[#This Row],[Ruimte code]],Ruimtegroepen[],4,FALSE)</f>
        <v>0</v>
      </c>
      <c r="S733" s="434"/>
      <c r="T733" s="434"/>
      <c r="U733" s="453">
        <f>IF(S733&gt;0,IF(RIGHT(Ruimtestaat[[#This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3" s="434">
        <f>IF(U733&gt;0,VLOOKUP($J733,Ruimtegroepen[],3,FALSE)*VLOOKUP($L733,Vloersoorten[],3,FALSE)*VLOOKUP($T733,Frequenties[],3,FALSE)*VLOOKUP($A733,Locaties[],3,FALSE),0)</f>
        <v>0</v>
      </c>
      <c r="W733" s="434">
        <f>Ruimtestaat[[#This Row],[Uitvoeringen werkdagen]]*Ruimtestaat[[#This Row],[Oppervlak (netto)]]</f>
        <v>0</v>
      </c>
      <c r="X733" s="441">
        <f>IF(V733&gt;0,Ruimtestaat[[#This Row],[Prest. (m2 /jaar) werkdagen]]/Ruimtestaat[[#This Row],[Norm (m2/uur) werkdagen]],0)</f>
        <v>0</v>
      </c>
      <c r="Y733" s="442">
        <f>Ruimtestaat[[#This Row],[Uitvoeringen werkdagen]]*Ruimtestaat[[#This Row],[Gedeeltelijk]]</f>
        <v>0</v>
      </c>
      <c r="Z733" s="443">
        <f>IF(U733&gt;0,Ruimtestaat[[#This Row],[Prest. (m2 / jaar) werkdagen gedeeld]]/Ruimtestaat[[#This Row],[Norm (m2/uur) werkdagen]],0)</f>
        <v>0</v>
      </c>
      <c r="AA733" s="441">
        <f>Ruimtestaat[[#This Row],[uren / jaar werkdagen gedeeld]]*Tariefsopbouw!$E$35</f>
        <v>0</v>
      </c>
      <c r="AB733" s="441">
        <f>Ruimtestaat[[#This Row],[Uitvoeringen werkdagen]]*Ruimtestaat[[#This Row],[BSO]]</f>
        <v>0</v>
      </c>
      <c r="AC733" s="443">
        <f>IF(U733&gt;0,Ruimtestaat[[#This Row],[Prest. (m2 / jaar) werkdagen BSO]]/Ruimtestaat[[#This Row],[Norm (m2/uur) werkdagen]],0)</f>
        <v>0</v>
      </c>
      <c r="AD733" s="443">
        <f>Ruimtestaat[[#This Row],[uren / jaar werkdagen BSO]]*Tariefsopbouw!$E$35</f>
        <v>0</v>
      </c>
      <c r="AE733" s="444">
        <f>Ruimtestaat[[#This Row],[uren / jaar werkdagen]]*Tariefsopbouw!$E$35</f>
        <v>0</v>
      </c>
      <c r="AF733" s="454"/>
      <c r="AG733" s="455">
        <f>IF(Ruimtestaat[[#This Row],[Frequentie weekend]]&gt;0,VALUE(LEFT(AF733,1))*S733,0)</f>
        <v>0</v>
      </c>
      <c r="AH733" s="455">
        <f>IF($AG733&gt;0,VLOOKUP($J733,Ruimtegroepen[],3,FALSE)*VLOOKUP($L733,Vloersoorten[],3,FALSE)*VLOOKUP($AF733,Frequenties[],3,FALSE)*VLOOKUP(#REF!,Locaties[],3,FALSE),0)</f>
        <v>0</v>
      </c>
      <c r="AI733" s="434">
        <f>Ruimtestaat[[#This Row],[Uitvoeringen weekend]]*Ruimtestaat[[#This Row],[Oppervlak (netto)]]</f>
        <v>0</v>
      </c>
      <c r="AJ733" s="434">
        <f>IF(AH733&gt;0,Ruimtestaat[[#This Row],[Prest. (m2 /jaar) weekend]]/Ruimtestaat[[#This Row],[Norm (m2/uur) weekend]],0)</f>
        <v>0</v>
      </c>
      <c r="AK733" s="444">
        <f>Ruimtestaat[[#This Row],[uren / jaar weekend]]*Tariefsopbouw!$D$40</f>
        <v>0</v>
      </c>
      <c r="AL733" s="441">
        <f>Ruimtestaat[[#This Row],[Prest. (m2 /jaar) weekend]]+Ruimtestaat[[#This Row],[Prest. (m2 /jaar) werkdagen]]</f>
        <v>0</v>
      </c>
      <c r="AM733" s="441">
        <f>Ruimtestaat[[#This Row],[uren / jaar weekend]]+Ruimtestaat[[#This Row],[uren / jaar werkdagen]]</f>
        <v>0</v>
      </c>
      <c r="AN733" s="446">
        <f>Ruimtestaat[[#This Row],[kosten / jaar weekend]]+Ruimtestaat[[#This Row],[kosten / jaar werkdagen]]</f>
        <v>0</v>
      </c>
      <c r="AO733" s="446"/>
      <c r="AP733" s="446" t="str">
        <f>IF(Ruimtestaat[[#This Row],[Frequentie werkdagen]]="","",_xlfn.CONCAT(Ruimtestaat[[#This Row],[Ruimte code]],"-",Ruimtestaat[[#This Row],[Frequentie werkdagen]]," ",Ruimtestaat[[#This Row],[Vloer code]]))</f>
        <v/>
      </c>
      <c r="AQ733" s="448" t="str">
        <f>_xlfn.IFNA(VLOOKUP($AP733,Programma!$F$3:$G$1101,2,0),"")</f>
        <v/>
      </c>
      <c r="AR733" s="448" t="str">
        <f>_xlfn.IFNA(VLOOKUP($AP733,Programma!$F$3:$H$1101,3,0),"")</f>
        <v/>
      </c>
      <c r="AS733" s="448" t="str">
        <f>_xlfn.IFNA(VLOOKUP($AP733,Programma!$F$3:$I$1101,4,0),"")</f>
        <v/>
      </c>
      <c r="AT733" s="448" t="str">
        <f>_xlfn.IFNA(VLOOKUP($AP733,Programma!$F$3:$J$1101,5,0),"")</f>
        <v/>
      </c>
      <c r="AU733" s="448" t="str">
        <f>_xlfn.IFNA(VLOOKUP($AP733,Programma!$F$3:$K$1101,6,0),"")</f>
        <v/>
      </c>
      <c r="AV733" s="448" t="str">
        <f>_xlfn.IFNA(VLOOKUP($AP733,Programma!$F$3:$L$1101,7,0),"")</f>
        <v/>
      </c>
      <c r="AW733" s="448" t="str">
        <f>_xlfn.IFNA(VLOOKUP($AP733,Programma!$F$3:$M$1101,8,0),"")</f>
        <v/>
      </c>
      <c r="AX733" s="448" t="str">
        <f>_xlfn.IFNA(VLOOKUP($AP733,Programma!$F$3:$N$1101,9,0),"")</f>
        <v/>
      </c>
      <c r="AY733" s="448" t="str">
        <f>_xlfn.IFNA(VLOOKUP($AP733,Programma!$F$3:$O$1101,10,0),"")</f>
        <v/>
      </c>
      <c r="AZ733" s="448" t="str">
        <f>_xlfn.IFNA(VLOOKUP($AP733,Programma!$F$3:$P$1101,11,0),"")</f>
        <v/>
      </c>
      <c r="BA733" s="448" t="str">
        <f>_xlfn.IFNA(VLOOKUP($AP733,Programma!$F$3:$Q$1101,12,0),"")</f>
        <v/>
      </c>
      <c r="BB733" s="448" t="str">
        <f>_xlfn.IFNA(VLOOKUP($AP733,Programma!$F$3:$R$1101,13,0),"")</f>
        <v/>
      </c>
      <c r="BC733" s="448" t="str">
        <f>_xlfn.IFNA(VLOOKUP($AP733,Programma!$F$3:$S$1101,14,0),"")</f>
        <v/>
      </c>
      <c r="BD733" s="448" t="str">
        <f>_xlfn.IFNA(VLOOKUP($AP733,Programma!$F$3:$T$1101,15,0),"")</f>
        <v/>
      </c>
      <c r="BE733" s="448" t="str">
        <f>_xlfn.IFNA(VLOOKUP($AP733,Programma!$F$3:$U$1101,16,0),"")</f>
        <v/>
      </c>
      <c r="BF733" s="448" t="str">
        <f>_xlfn.IFNA(VLOOKUP($AP733,Programma!$F$3:$V$1101,17,0),"")</f>
        <v/>
      </c>
      <c r="BG733" s="448" t="str">
        <f>_xlfn.IFNA(VLOOKUP($AP733,Programma!$F$3:$W$1101,18,0),"")</f>
        <v/>
      </c>
      <c r="BH733" s="448" t="str">
        <f>_xlfn.IFNA(VLOOKUP($AP733,Programma!$F$3:$X$1101,19,0),"")</f>
        <v/>
      </c>
      <c r="BI733" s="448" t="str">
        <f>_xlfn.IFNA(VLOOKUP($AP733,Programma!$F$3:$Y$1101,20,0),"")</f>
        <v/>
      </c>
      <c r="BJ733" s="449"/>
      <c r="BK733" s="446" t="str">
        <f>IF(Ruimtestaat[[#This Row],[Frequentie weekend]]="","",_xlfn.CONCAT(Ruimtestaat[[#This Row],[Ruimte code]],"-",Ruimtestaat[[#This Row],[Frequentie weekend]]," ",Ruimtestaat[[#This Row],[Vloer code]]))</f>
        <v/>
      </c>
      <c r="BL733" s="448" t="str">
        <f>_xlfn.IFNA(VLOOKUP($BK733,Programma!$F$3:$G$1101,2,0),"")</f>
        <v/>
      </c>
      <c r="BM733" s="448" t="str">
        <f>_xlfn.IFNA(VLOOKUP($BK733,Programma!$F$3:$H$1101,3,0),"")</f>
        <v/>
      </c>
      <c r="BN733" s="448" t="str">
        <f>_xlfn.IFNA(VLOOKUP($BK733,Programma!$F$3:$I$1101,4,0),"")</f>
        <v/>
      </c>
      <c r="BO733" s="448" t="str">
        <f>_xlfn.IFNA(VLOOKUP($BK733,Programma!$F$3:$J$1101,5,0),"")</f>
        <v/>
      </c>
      <c r="BP733" s="448" t="str">
        <f>_xlfn.IFNA(VLOOKUP($BK733,Programma!$F$3:$K$1101,6,0),"")</f>
        <v/>
      </c>
      <c r="BQ733" s="448" t="str">
        <f>_xlfn.IFNA(VLOOKUP($BK733,Programma!$F$3:$L$1101,7,0),"")</f>
        <v/>
      </c>
      <c r="BR733" s="448" t="str">
        <f>_xlfn.IFNA(VLOOKUP($BK733,Programma!$F$3:$M$1101,8,0),"")</f>
        <v/>
      </c>
      <c r="BS733" s="448" t="str">
        <f>_xlfn.IFNA(VLOOKUP($BK733,Programma!$F$3:$N$1101,9,0),"")</f>
        <v/>
      </c>
      <c r="BT733" s="448" t="str">
        <f>_xlfn.IFNA(VLOOKUP($BK733,Programma!$F$3:$O$1101,10,0),"")</f>
        <v/>
      </c>
      <c r="BU733" s="448" t="str">
        <f>_xlfn.IFNA(VLOOKUP($BK733,Programma!$F$3:$P$1101,11,0),"")</f>
        <v/>
      </c>
      <c r="BV733" s="448" t="str">
        <f>_xlfn.IFNA(VLOOKUP($BK733,Programma!$F$3:$Q$1101,12,0),"")</f>
        <v/>
      </c>
      <c r="BW733" s="448" t="str">
        <f>_xlfn.IFNA(VLOOKUP($BK733,Programma!$F$3:$R$1101,13,0),"")</f>
        <v/>
      </c>
      <c r="BX733" s="448" t="str">
        <f>_xlfn.IFNA(VLOOKUP($BK733,Programma!$F$3:$S$1101,14,0),"")</f>
        <v/>
      </c>
      <c r="BY733" s="448" t="str">
        <f>_xlfn.IFNA(VLOOKUP($BK733,Programma!$F$3:$T$1101,15,0),"")</f>
        <v/>
      </c>
      <c r="BZ733" s="448" t="str">
        <f>_xlfn.IFNA(VLOOKUP($BK733,Programma!$F$3:$U$1101,16,0),"")</f>
        <v/>
      </c>
      <c r="CA733" s="448" t="str">
        <f>_xlfn.IFNA(VLOOKUP($BK733,Programma!$F$3:$V$1101,17,0),"")</f>
        <v/>
      </c>
      <c r="CB733" s="448" t="str">
        <f>_xlfn.IFNA(VLOOKUP($BK733,Programma!$F$3:$W$1101,18,0),"")</f>
        <v/>
      </c>
      <c r="CC733" s="448" t="str">
        <f>_xlfn.IFNA(VLOOKUP($BK733,Programma!$F$3:$X$1101,19,0),"")</f>
        <v/>
      </c>
      <c r="CD733" s="448" t="str">
        <f>_xlfn.IFNA(VLOOKUP($BK733,Programma!$F$3:$Y$1101,20,0),"")</f>
        <v/>
      </c>
    </row>
    <row r="734" spans="1:82" ht="15" customHeight="1">
      <c r="A734" s="327">
        <v>15</v>
      </c>
      <c r="B734" s="435" t="str">
        <f>VLOOKUP(Ruimtestaat[[#This Row],[Code]],Locaties[[Code]:[Locatie]],2,FALSE)</f>
        <v>IKC  Da Vinci</v>
      </c>
      <c r="C734" s="435" t="str">
        <f>VLOOKUP(Ruimtestaat[[#This Row],[Code]],Locaties[[#All],[Code]:[Adres]],4,FALSE)</f>
        <v>Spitsbergen 17</v>
      </c>
      <c r="D734" s="435" t="str">
        <f>VLOOKUP(Ruimtestaat[[#This Row],[Code]],Locaties[[#All],[Code]:[Postcode]],5,FALSE)</f>
        <v>2721 GP</v>
      </c>
      <c r="E734" s="435" t="str">
        <f>VLOOKUP(Ruimtestaat[[#This Row],[Code]],Locaties[#All],6,FALSE)</f>
        <v>Zoetermeer</v>
      </c>
      <c r="F734" s="330" t="s">
        <v>2154</v>
      </c>
      <c r="I734" s="450" t="s">
        <v>1998</v>
      </c>
      <c r="J734" s="330">
        <v>20</v>
      </c>
      <c r="K734" s="450" t="str">
        <f>VLOOKUP(Ruimtestaat[[#This Row],[Ruimte code]],Ruimtegroepen[[#All],[Code]:[Ruimte omschrijving]],2,FALSE)</f>
        <v>Niet in Onderhoud</v>
      </c>
      <c r="M734" s="330"/>
      <c r="N734" s="439"/>
      <c r="O734" s="439">
        <v>11</v>
      </c>
      <c r="P734" s="439"/>
      <c r="Q734" s="439"/>
      <c r="R734" s="440">
        <f>VLOOKUP(Ruimtestaat[[#This Row],[Ruimte code]],Ruimtegroepen[],4,FALSE)</f>
        <v>0</v>
      </c>
      <c r="S734" s="434"/>
      <c r="T734" s="434"/>
      <c r="U734" s="453">
        <f>IF(S734&gt;0,IF(RIGHT(Ruimtestaat[[#This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4" s="434">
        <f>IF(U734&gt;0,VLOOKUP($J734,Ruimtegroepen[],3,FALSE)*VLOOKUP($L734,Vloersoorten[],3,FALSE)*VLOOKUP($T734,Frequenties[],3,FALSE)*VLOOKUP($A734,Locaties[],3,FALSE),0)</f>
        <v>0</v>
      </c>
      <c r="W734" s="434">
        <f>Ruimtestaat[[#This Row],[Uitvoeringen werkdagen]]*Ruimtestaat[[#This Row],[Oppervlak (netto)]]</f>
        <v>0</v>
      </c>
      <c r="X734" s="441">
        <f>IF(V734&gt;0,Ruimtestaat[[#This Row],[Prest. (m2 /jaar) werkdagen]]/Ruimtestaat[[#This Row],[Norm (m2/uur) werkdagen]],0)</f>
        <v>0</v>
      </c>
      <c r="Y734" s="442">
        <f>Ruimtestaat[[#This Row],[Uitvoeringen werkdagen]]*Ruimtestaat[[#This Row],[Gedeeltelijk]]</f>
        <v>0</v>
      </c>
      <c r="Z734" s="443">
        <f>IF(U734&gt;0,Ruimtestaat[[#This Row],[Prest. (m2 / jaar) werkdagen gedeeld]]/Ruimtestaat[[#This Row],[Norm (m2/uur) werkdagen]],0)</f>
        <v>0</v>
      </c>
      <c r="AA734" s="441">
        <f>Ruimtestaat[[#This Row],[uren / jaar werkdagen gedeeld]]*Tariefsopbouw!$E$35</f>
        <v>0</v>
      </c>
      <c r="AB734" s="441">
        <f>Ruimtestaat[[#This Row],[Uitvoeringen werkdagen]]*Ruimtestaat[[#This Row],[BSO]]</f>
        <v>0</v>
      </c>
      <c r="AC734" s="443">
        <f>IF(U734&gt;0,Ruimtestaat[[#This Row],[Prest. (m2 / jaar) werkdagen BSO]]/Ruimtestaat[[#This Row],[Norm (m2/uur) werkdagen]],0)</f>
        <v>0</v>
      </c>
      <c r="AD734" s="443">
        <f>Ruimtestaat[[#This Row],[uren / jaar werkdagen BSO]]*Tariefsopbouw!$E$35</f>
        <v>0</v>
      </c>
      <c r="AE734" s="444">
        <f>Ruimtestaat[[#This Row],[uren / jaar werkdagen]]*Tariefsopbouw!$E$35</f>
        <v>0</v>
      </c>
      <c r="AF734" s="454"/>
      <c r="AG734" s="455">
        <f>IF(Ruimtestaat[[#This Row],[Frequentie weekend]]&gt;0,VALUE(LEFT(AF734,1))*S734,0)</f>
        <v>0</v>
      </c>
      <c r="AH734" s="455">
        <f>IF($AG734&gt;0,VLOOKUP($J734,Ruimtegroepen[],3,FALSE)*VLOOKUP($L734,Vloersoorten[],3,FALSE)*VLOOKUP($AF734,Frequenties[],3,FALSE)*VLOOKUP(#REF!,Locaties[],3,FALSE),0)</f>
        <v>0</v>
      </c>
      <c r="AI734" s="434">
        <f>Ruimtestaat[[#This Row],[Uitvoeringen weekend]]*Ruimtestaat[[#This Row],[Oppervlak (netto)]]</f>
        <v>0</v>
      </c>
      <c r="AJ734" s="434">
        <f>IF(AH734&gt;0,Ruimtestaat[[#This Row],[Prest. (m2 /jaar) weekend]]/Ruimtestaat[[#This Row],[Norm (m2/uur) weekend]],0)</f>
        <v>0</v>
      </c>
      <c r="AK734" s="444">
        <f>Ruimtestaat[[#This Row],[uren / jaar weekend]]*Tariefsopbouw!$D$40</f>
        <v>0</v>
      </c>
      <c r="AL734" s="441">
        <f>Ruimtestaat[[#This Row],[Prest. (m2 /jaar) weekend]]+Ruimtestaat[[#This Row],[Prest. (m2 /jaar) werkdagen]]</f>
        <v>0</v>
      </c>
      <c r="AM734" s="441">
        <f>Ruimtestaat[[#This Row],[uren / jaar weekend]]+Ruimtestaat[[#This Row],[uren / jaar werkdagen]]</f>
        <v>0</v>
      </c>
      <c r="AN734" s="446">
        <f>Ruimtestaat[[#This Row],[kosten / jaar weekend]]+Ruimtestaat[[#This Row],[kosten / jaar werkdagen]]</f>
        <v>0</v>
      </c>
      <c r="AO734" s="446"/>
      <c r="AP734" s="446" t="str">
        <f>IF(Ruimtestaat[[#This Row],[Frequentie werkdagen]]="","",_xlfn.CONCAT(Ruimtestaat[[#This Row],[Ruimte code]],"-",Ruimtestaat[[#This Row],[Frequentie werkdagen]]," ",Ruimtestaat[[#This Row],[Vloer code]]))</f>
        <v/>
      </c>
      <c r="AQ734" s="448" t="str">
        <f>_xlfn.IFNA(VLOOKUP($AP734,Programma!$F$3:$G$1101,2,0),"")</f>
        <v/>
      </c>
      <c r="AR734" s="448" t="str">
        <f>_xlfn.IFNA(VLOOKUP($AP734,Programma!$F$3:$H$1101,3,0),"")</f>
        <v/>
      </c>
      <c r="AS734" s="448" t="str">
        <f>_xlfn.IFNA(VLOOKUP($AP734,Programma!$F$3:$I$1101,4,0),"")</f>
        <v/>
      </c>
      <c r="AT734" s="448" t="str">
        <f>_xlfn.IFNA(VLOOKUP($AP734,Programma!$F$3:$J$1101,5,0),"")</f>
        <v/>
      </c>
      <c r="AU734" s="448" t="str">
        <f>_xlfn.IFNA(VLOOKUP($AP734,Programma!$F$3:$K$1101,6,0),"")</f>
        <v/>
      </c>
      <c r="AV734" s="448" t="str">
        <f>_xlfn.IFNA(VLOOKUP($AP734,Programma!$F$3:$L$1101,7,0),"")</f>
        <v/>
      </c>
      <c r="AW734" s="448" t="str">
        <f>_xlfn.IFNA(VLOOKUP($AP734,Programma!$F$3:$M$1101,8,0),"")</f>
        <v/>
      </c>
      <c r="AX734" s="448" t="str">
        <f>_xlfn.IFNA(VLOOKUP($AP734,Programma!$F$3:$N$1101,9,0),"")</f>
        <v/>
      </c>
      <c r="AY734" s="448" t="str">
        <f>_xlfn.IFNA(VLOOKUP($AP734,Programma!$F$3:$O$1101,10,0),"")</f>
        <v/>
      </c>
      <c r="AZ734" s="448" t="str">
        <f>_xlfn.IFNA(VLOOKUP($AP734,Programma!$F$3:$P$1101,11,0),"")</f>
        <v/>
      </c>
      <c r="BA734" s="448" t="str">
        <f>_xlfn.IFNA(VLOOKUP($AP734,Programma!$F$3:$Q$1101,12,0),"")</f>
        <v/>
      </c>
      <c r="BB734" s="448" t="str">
        <f>_xlfn.IFNA(VLOOKUP($AP734,Programma!$F$3:$R$1101,13,0),"")</f>
        <v/>
      </c>
      <c r="BC734" s="448" t="str">
        <f>_xlfn.IFNA(VLOOKUP($AP734,Programma!$F$3:$S$1101,14,0),"")</f>
        <v/>
      </c>
      <c r="BD734" s="448" t="str">
        <f>_xlfn.IFNA(VLOOKUP($AP734,Programma!$F$3:$T$1101,15,0),"")</f>
        <v/>
      </c>
      <c r="BE734" s="448" t="str">
        <f>_xlfn.IFNA(VLOOKUP($AP734,Programma!$F$3:$U$1101,16,0),"")</f>
        <v/>
      </c>
      <c r="BF734" s="448" t="str">
        <f>_xlfn.IFNA(VLOOKUP($AP734,Programma!$F$3:$V$1101,17,0),"")</f>
        <v/>
      </c>
      <c r="BG734" s="448" t="str">
        <f>_xlfn.IFNA(VLOOKUP($AP734,Programma!$F$3:$W$1101,18,0),"")</f>
        <v/>
      </c>
      <c r="BH734" s="448" t="str">
        <f>_xlfn.IFNA(VLOOKUP($AP734,Programma!$F$3:$X$1101,19,0),"")</f>
        <v/>
      </c>
      <c r="BI734" s="448" t="str">
        <f>_xlfn.IFNA(VLOOKUP($AP734,Programma!$F$3:$Y$1101,20,0),"")</f>
        <v/>
      </c>
      <c r="BJ734" s="449"/>
      <c r="BK734" s="446" t="str">
        <f>IF(Ruimtestaat[[#This Row],[Frequentie weekend]]="","",_xlfn.CONCAT(Ruimtestaat[[#This Row],[Ruimte code]],"-",Ruimtestaat[[#This Row],[Frequentie weekend]]," ",Ruimtestaat[[#This Row],[Vloer code]]))</f>
        <v/>
      </c>
      <c r="BL734" s="448" t="str">
        <f>_xlfn.IFNA(VLOOKUP($BK734,Programma!$F$3:$G$1101,2,0),"")</f>
        <v/>
      </c>
      <c r="BM734" s="448" t="str">
        <f>_xlfn.IFNA(VLOOKUP($BK734,Programma!$F$3:$H$1101,3,0),"")</f>
        <v/>
      </c>
      <c r="BN734" s="448" t="str">
        <f>_xlfn.IFNA(VLOOKUP($BK734,Programma!$F$3:$I$1101,4,0),"")</f>
        <v/>
      </c>
      <c r="BO734" s="448" t="str">
        <f>_xlfn.IFNA(VLOOKUP($BK734,Programma!$F$3:$J$1101,5,0),"")</f>
        <v/>
      </c>
      <c r="BP734" s="448" t="str">
        <f>_xlfn.IFNA(VLOOKUP($BK734,Programma!$F$3:$K$1101,6,0),"")</f>
        <v/>
      </c>
      <c r="BQ734" s="448" t="str">
        <f>_xlfn.IFNA(VLOOKUP($BK734,Programma!$F$3:$L$1101,7,0),"")</f>
        <v/>
      </c>
      <c r="BR734" s="448" t="str">
        <f>_xlfn.IFNA(VLOOKUP($BK734,Programma!$F$3:$M$1101,8,0),"")</f>
        <v/>
      </c>
      <c r="BS734" s="448" t="str">
        <f>_xlfn.IFNA(VLOOKUP($BK734,Programma!$F$3:$N$1101,9,0),"")</f>
        <v/>
      </c>
      <c r="BT734" s="448" t="str">
        <f>_xlfn.IFNA(VLOOKUP($BK734,Programma!$F$3:$O$1101,10,0),"")</f>
        <v/>
      </c>
      <c r="BU734" s="448" t="str">
        <f>_xlfn.IFNA(VLOOKUP($BK734,Programma!$F$3:$P$1101,11,0),"")</f>
        <v/>
      </c>
      <c r="BV734" s="448" t="str">
        <f>_xlfn.IFNA(VLOOKUP($BK734,Programma!$F$3:$Q$1101,12,0),"")</f>
        <v/>
      </c>
      <c r="BW734" s="448" t="str">
        <f>_xlfn.IFNA(VLOOKUP($BK734,Programma!$F$3:$R$1101,13,0),"")</f>
        <v/>
      </c>
      <c r="BX734" s="448" t="str">
        <f>_xlfn.IFNA(VLOOKUP($BK734,Programma!$F$3:$S$1101,14,0),"")</f>
        <v/>
      </c>
      <c r="BY734" s="448" t="str">
        <f>_xlfn.IFNA(VLOOKUP($BK734,Programma!$F$3:$T$1101,15,0),"")</f>
        <v/>
      </c>
      <c r="BZ734" s="448" t="str">
        <f>_xlfn.IFNA(VLOOKUP($BK734,Programma!$F$3:$U$1101,16,0),"")</f>
        <v/>
      </c>
      <c r="CA734" s="448" t="str">
        <f>_xlfn.IFNA(VLOOKUP($BK734,Programma!$F$3:$V$1101,17,0),"")</f>
        <v/>
      </c>
      <c r="CB734" s="448" t="str">
        <f>_xlfn.IFNA(VLOOKUP($BK734,Programma!$F$3:$W$1101,18,0),"")</f>
        <v/>
      </c>
      <c r="CC734" s="448" t="str">
        <f>_xlfn.IFNA(VLOOKUP($BK734,Programma!$F$3:$X$1101,19,0),"")</f>
        <v/>
      </c>
      <c r="CD734" s="448" t="str">
        <f>_xlfn.IFNA(VLOOKUP($BK734,Programma!$F$3:$Y$1101,20,0),"")</f>
        <v/>
      </c>
    </row>
    <row r="735" spans="1:82" ht="15" customHeight="1">
      <c r="A735" s="327">
        <v>15</v>
      </c>
      <c r="B735" s="435" t="str">
        <f>VLOOKUP(Ruimtestaat[[#This Row],[Code]],Locaties[[Code]:[Locatie]],2,FALSE)</f>
        <v>IKC  Da Vinci</v>
      </c>
      <c r="C735" s="435" t="str">
        <f>VLOOKUP(Ruimtestaat[[#This Row],[Code]],Locaties[[#All],[Code]:[Adres]],4,FALSE)</f>
        <v>Spitsbergen 17</v>
      </c>
      <c r="D735" s="435" t="str">
        <f>VLOOKUP(Ruimtestaat[[#This Row],[Code]],Locaties[[#All],[Code]:[Postcode]],5,FALSE)</f>
        <v>2721 GP</v>
      </c>
      <c r="E735" s="435" t="str">
        <f>VLOOKUP(Ruimtestaat[[#This Row],[Code]],Locaties[#All],6,FALSE)</f>
        <v>Zoetermeer</v>
      </c>
      <c r="F735" s="330" t="s">
        <v>2154</v>
      </c>
      <c r="I735" s="450" t="s">
        <v>1868</v>
      </c>
      <c r="J735" s="330">
        <v>20</v>
      </c>
      <c r="K735" s="450" t="str">
        <f>VLOOKUP(Ruimtestaat[[#This Row],[Ruimte code]],Ruimtegroepen[[#All],[Code]:[Ruimte omschrijving]],2,FALSE)</f>
        <v>Niet in Onderhoud</v>
      </c>
      <c r="M735" s="330"/>
      <c r="N735" s="439"/>
      <c r="O735" s="439">
        <v>18</v>
      </c>
      <c r="P735" s="439"/>
      <c r="Q735" s="439"/>
      <c r="R735" s="440">
        <f>VLOOKUP(Ruimtestaat[[#This Row],[Ruimte code]],Ruimtegroepen[],4,FALSE)</f>
        <v>0</v>
      </c>
      <c r="S735" s="434"/>
      <c r="T735" s="434"/>
      <c r="U735" s="453">
        <f>IF(S735&gt;0,IF(RIGHT(Ruimtestaat[[#This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5" s="434">
        <f>IF(U735&gt;0,VLOOKUP($J735,Ruimtegroepen[],3,FALSE)*VLOOKUP($L735,Vloersoorten[],3,FALSE)*VLOOKUP($T735,Frequenties[],3,FALSE)*VLOOKUP($A735,Locaties[],3,FALSE),0)</f>
        <v>0</v>
      </c>
      <c r="W735" s="434">
        <f>Ruimtestaat[[#This Row],[Uitvoeringen werkdagen]]*Ruimtestaat[[#This Row],[Oppervlak (netto)]]</f>
        <v>0</v>
      </c>
      <c r="X735" s="441">
        <f>IF(V735&gt;0,Ruimtestaat[[#This Row],[Prest. (m2 /jaar) werkdagen]]/Ruimtestaat[[#This Row],[Norm (m2/uur) werkdagen]],0)</f>
        <v>0</v>
      </c>
      <c r="Y735" s="442">
        <f>Ruimtestaat[[#This Row],[Uitvoeringen werkdagen]]*Ruimtestaat[[#This Row],[Gedeeltelijk]]</f>
        <v>0</v>
      </c>
      <c r="Z735" s="443">
        <f>IF(U735&gt;0,Ruimtestaat[[#This Row],[Prest. (m2 / jaar) werkdagen gedeeld]]/Ruimtestaat[[#This Row],[Norm (m2/uur) werkdagen]],0)</f>
        <v>0</v>
      </c>
      <c r="AA735" s="441">
        <f>Ruimtestaat[[#This Row],[uren / jaar werkdagen gedeeld]]*Tariefsopbouw!$E$35</f>
        <v>0</v>
      </c>
      <c r="AB735" s="441">
        <f>Ruimtestaat[[#This Row],[Uitvoeringen werkdagen]]*Ruimtestaat[[#This Row],[BSO]]</f>
        <v>0</v>
      </c>
      <c r="AC735" s="443">
        <f>IF(U735&gt;0,Ruimtestaat[[#This Row],[Prest. (m2 / jaar) werkdagen BSO]]/Ruimtestaat[[#This Row],[Norm (m2/uur) werkdagen]],0)</f>
        <v>0</v>
      </c>
      <c r="AD735" s="443">
        <f>Ruimtestaat[[#This Row],[uren / jaar werkdagen BSO]]*Tariefsopbouw!$E$35</f>
        <v>0</v>
      </c>
      <c r="AE735" s="444">
        <f>Ruimtestaat[[#This Row],[uren / jaar werkdagen]]*Tariefsopbouw!$E$35</f>
        <v>0</v>
      </c>
      <c r="AF735" s="454"/>
      <c r="AG735" s="455">
        <f>IF(Ruimtestaat[[#This Row],[Frequentie weekend]]&gt;0,VALUE(LEFT(AF735,1))*S735,0)</f>
        <v>0</v>
      </c>
      <c r="AH735" s="455">
        <f>IF($AG735&gt;0,VLOOKUP($J735,Ruimtegroepen[],3,FALSE)*VLOOKUP($L735,Vloersoorten[],3,FALSE)*VLOOKUP($AF735,Frequenties[],3,FALSE)*VLOOKUP(#REF!,Locaties[],3,FALSE),0)</f>
        <v>0</v>
      </c>
      <c r="AI735" s="434">
        <f>Ruimtestaat[[#This Row],[Uitvoeringen weekend]]*Ruimtestaat[[#This Row],[Oppervlak (netto)]]</f>
        <v>0</v>
      </c>
      <c r="AJ735" s="434">
        <f>IF(AH735&gt;0,Ruimtestaat[[#This Row],[Prest. (m2 /jaar) weekend]]/Ruimtestaat[[#This Row],[Norm (m2/uur) weekend]],0)</f>
        <v>0</v>
      </c>
      <c r="AK735" s="444">
        <f>Ruimtestaat[[#This Row],[uren / jaar weekend]]*Tariefsopbouw!$D$40</f>
        <v>0</v>
      </c>
      <c r="AL735" s="441">
        <f>Ruimtestaat[[#This Row],[Prest. (m2 /jaar) weekend]]+Ruimtestaat[[#This Row],[Prest. (m2 /jaar) werkdagen]]</f>
        <v>0</v>
      </c>
      <c r="AM735" s="441">
        <f>Ruimtestaat[[#This Row],[uren / jaar weekend]]+Ruimtestaat[[#This Row],[uren / jaar werkdagen]]</f>
        <v>0</v>
      </c>
      <c r="AN735" s="446">
        <f>Ruimtestaat[[#This Row],[kosten / jaar weekend]]+Ruimtestaat[[#This Row],[kosten / jaar werkdagen]]</f>
        <v>0</v>
      </c>
      <c r="AO735" s="446"/>
      <c r="AP735" s="446" t="str">
        <f>IF(Ruimtestaat[[#This Row],[Frequentie werkdagen]]="","",_xlfn.CONCAT(Ruimtestaat[[#This Row],[Ruimte code]],"-",Ruimtestaat[[#This Row],[Frequentie werkdagen]]," ",Ruimtestaat[[#This Row],[Vloer code]]))</f>
        <v/>
      </c>
      <c r="AQ735" s="448" t="str">
        <f>_xlfn.IFNA(VLOOKUP($AP735,Programma!$F$3:$G$1101,2,0),"")</f>
        <v/>
      </c>
      <c r="AR735" s="448" t="str">
        <f>_xlfn.IFNA(VLOOKUP($AP735,Programma!$F$3:$H$1101,3,0),"")</f>
        <v/>
      </c>
      <c r="AS735" s="448" t="str">
        <f>_xlfn.IFNA(VLOOKUP($AP735,Programma!$F$3:$I$1101,4,0),"")</f>
        <v/>
      </c>
      <c r="AT735" s="448" t="str">
        <f>_xlfn.IFNA(VLOOKUP($AP735,Programma!$F$3:$J$1101,5,0),"")</f>
        <v/>
      </c>
      <c r="AU735" s="448" t="str">
        <f>_xlfn.IFNA(VLOOKUP($AP735,Programma!$F$3:$K$1101,6,0),"")</f>
        <v/>
      </c>
      <c r="AV735" s="448" t="str">
        <f>_xlfn.IFNA(VLOOKUP($AP735,Programma!$F$3:$L$1101,7,0),"")</f>
        <v/>
      </c>
      <c r="AW735" s="448" t="str">
        <f>_xlfn.IFNA(VLOOKUP($AP735,Programma!$F$3:$M$1101,8,0),"")</f>
        <v/>
      </c>
      <c r="AX735" s="448" t="str">
        <f>_xlfn.IFNA(VLOOKUP($AP735,Programma!$F$3:$N$1101,9,0),"")</f>
        <v/>
      </c>
      <c r="AY735" s="448" t="str">
        <f>_xlfn.IFNA(VLOOKUP($AP735,Programma!$F$3:$O$1101,10,0),"")</f>
        <v/>
      </c>
      <c r="AZ735" s="448" t="str">
        <f>_xlfn.IFNA(VLOOKUP($AP735,Programma!$F$3:$P$1101,11,0),"")</f>
        <v/>
      </c>
      <c r="BA735" s="448" t="str">
        <f>_xlfn.IFNA(VLOOKUP($AP735,Programma!$F$3:$Q$1101,12,0),"")</f>
        <v/>
      </c>
      <c r="BB735" s="448" t="str">
        <f>_xlfn.IFNA(VLOOKUP($AP735,Programma!$F$3:$R$1101,13,0),"")</f>
        <v/>
      </c>
      <c r="BC735" s="448" t="str">
        <f>_xlfn.IFNA(VLOOKUP($AP735,Programma!$F$3:$S$1101,14,0),"")</f>
        <v/>
      </c>
      <c r="BD735" s="448" t="str">
        <f>_xlfn.IFNA(VLOOKUP($AP735,Programma!$F$3:$T$1101,15,0),"")</f>
        <v/>
      </c>
      <c r="BE735" s="448" t="str">
        <f>_xlfn.IFNA(VLOOKUP($AP735,Programma!$F$3:$U$1101,16,0),"")</f>
        <v/>
      </c>
      <c r="BF735" s="448" t="str">
        <f>_xlfn.IFNA(VLOOKUP($AP735,Programma!$F$3:$V$1101,17,0),"")</f>
        <v/>
      </c>
      <c r="BG735" s="448" t="str">
        <f>_xlfn.IFNA(VLOOKUP($AP735,Programma!$F$3:$W$1101,18,0),"")</f>
        <v/>
      </c>
      <c r="BH735" s="448" t="str">
        <f>_xlfn.IFNA(VLOOKUP($AP735,Programma!$F$3:$X$1101,19,0),"")</f>
        <v/>
      </c>
      <c r="BI735" s="448" t="str">
        <f>_xlfn.IFNA(VLOOKUP($AP735,Programma!$F$3:$Y$1101,20,0),"")</f>
        <v/>
      </c>
      <c r="BJ735" s="449"/>
      <c r="BK735" s="446" t="str">
        <f>IF(Ruimtestaat[[#This Row],[Frequentie weekend]]="","",_xlfn.CONCAT(Ruimtestaat[[#This Row],[Ruimte code]],"-",Ruimtestaat[[#This Row],[Frequentie weekend]]," ",Ruimtestaat[[#This Row],[Vloer code]]))</f>
        <v/>
      </c>
      <c r="BL735" s="448" t="str">
        <f>_xlfn.IFNA(VLOOKUP($BK735,Programma!$F$3:$G$1101,2,0),"")</f>
        <v/>
      </c>
      <c r="BM735" s="448" t="str">
        <f>_xlfn.IFNA(VLOOKUP($BK735,Programma!$F$3:$H$1101,3,0),"")</f>
        <v/>
      </c>
      <c r="BN735" s="448" t="str">
        <f>_xlfn.IFNA(VLOOKUP($BK735,Programma!$F$3:$I$1101,4,0),"")</f>
        <v/>
      </c>
      <c r="BO735" s="448" t="str">
        <f>_xlfn.IFNA(VLOOKUP($BK735,Programma!$F$3:$J$1101,5,0),"")</f>
        <v/>
      </c>
      <c r="BP735" s="448" t="str">
        <f>_xlfn.IFNA(VLOOKUP($BK735,Programma!$F$3:$K$1101,6,0),"")</f>
        <v/>
      </c>
      <c r="BQ735" s="448" t="str">
        <f>_xlfn.IFNA(VLOOKUP($BK735,Programma!$F$3:$L$1101,7,0),"")</f>
        <v/>
      </c>
      <c r="BR735" s="448" t="str">
        <f>_xlfn.IFNA(VLOOKUP($BK735,Programma!$F$3:$M$1101,8,0),"")</f>
        <v/>
      </c>
      <c r="BS735" s="448" t="str">
        <f>_xlfn.IFNA(VLOOKUP($BK735,Programma!$F$3:$N$1101,9,0),"")</f>
        <v/>
      </c>
      <c r="BT735" s="448" t="str">
        <f>_xlfn.IFNA(VLOOKUP($BK735,Programma!$F$3:$O$1101,10,0),"")</f>
        <v/>
      </c>
      <c r="BU735" s="448" t="str">
        <f>_xlfn.IFNA(VLOOKUP($BK735,Programma!$F$3:$P$1101,11,0),"")</f>
        <v/>
      </c>
      <c r="BV735" s="448" t="str">
        <f>_xlfn.IFNA(VLOOKUP($BK735,Programma!$F$3:$Q$1101,12,0),"")</f>
        <v/>
      </c>
      <c r="BW735" s="448" t="str">
        <f>_xlfn.IFNA(VLOOKUP($BK735,Programma!$F$3:$R$1101,13,0),"")</f>
        <v/>
      </c>
      <c r="BX735" s="448" t="str">
        <f>_xlfn.IFNA(VLOOKUP($BK735,Programma!$F$3:$S$1101,14,0),"")</f>
        <v/>
      </c>
      <c r="BY735" s="448" t="str">
        <f>_xlfn.IFNA(VLOOKUP($BK735,Programma!$F$3:$T$1101,15,0),"")</f>
        <v/>
      </c>
      <c r="BZ735" s="448" t="str">
        <f>_xlfn.IFNA(VLOOKUP($BK735,Programma!$F$3:$U$1101,16,0),"")</f>
        <v/>
      </c>
      <c r="CA735" s="448" t="str">
        <f>_xlfn.IFNA(VLOOKUP($BK735,Programma!$F$3:$V$1101,17,0),"")</f>
        <v/>
      </c>
      <c r="CB735" s="448" t="str">
        <f>_xlfn.IFNA(VLOOKUP($BK735,Programma!$F$3:$W$1101,18,0),"")</f>
        <v/>
      </c>
      <c r="CC735" s="448" t="str">
        <f>_xlfn.IFNA(VLOOKUP($BK735,Programma!$F$3:$X$1101,19,0),"")</f>
        <v/>
      </c>
      <c r="CD735" s="448" t="str">
        <f>_xlfn.IFNA(VLOOKUP($BK735,Programma!$F$3:$Y$1101,20,0),"")</f>
        <v/>
      </c>
    </row>
    <row r="736" spans="1:82" ht="15" customHeight="1">
      <c r="A736" s="327">
        <v>15</v>
      </c>
      <c r="B736" s="435" t="str">
        <f>VLOOKUP(Ruimtestaat[[#This Row],[Code]],Locaties[[Code]:[Locatie]],2,FALSE)</f>
        <v>IKC  Da Vinci</v>
      </c>
      <c r="C736" s="435" t="str">
        <f>VLOOKUP(Ruimtestaat[[#This Row],[Code]],Locaties[[#All],[Code]:[Adres]],4,FALSE)</f>
        <v>Spitsbergen 17</v>
      </c>
      <c r="D736" s="435" t="str">
        <f>VLOOKUP(Ruimtestaat[[#This Row],[Code]],Locaties[[#All],[Code]:[Postcode]],5,FALSE)</f>
        <v>2721 GP</v>
      </c>
      <c r="E736" s="435" t="str">
        <f>VLOOKUP(Ruimtestaat[[#This Row],[Code]],Locaties[#All],6,FALSE)</f>
        <v>Zoetermeer</v>
      </c>
      <c r="F736" s="330" t="s">
        <v>2154</v>
      </c>
      <c r="I736" s="450" t="s">
        <v>1999</v>
      </c>
      <c r="J736" s="330">
        <v>20</v>
      </c>
      <c r="K736" s="450" t="str">
        <f>VLOOKUP(Ruimtestaat[[#This Row],[Ruimte code]],Ruimtegroepen[[#All],[Code]:[Ruimte omschrijving]],2,FALSE)</f>
        <v>Niet in Onderhoud</v>
      </c>
      <c r="M736" s="330"/>
      <c r="N736" s="439"/>
      <c r="O736" s="439">
        <v>29</v>
      </c>
      <c r="P736" s="439"/>
      <c r="Q736" s="439"/>
      <c r="R736" s="440">
        <f>VLOOKUP(Ruimtestaat[[#This Row],[Ruimte code]],Ruimtegroepen[],4,FALSE)</f>
        <v>0</v>
      </c>
      <c r="S736" s="434"/>
      <c r="T736" s="434"/>
      <c r="U736" s="453">
        <f>IF(S736&gt;0,IF(RIGHT(Ruimtestaat[[#This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6" s="434">
        <f>IF(U736&gt;0,VLOOKUP($J736,Ruimtegroepen[],3,FALSE)*VLOOKUP($L736,Vloersoorten[],3,FALSE)*VLOOKUP($T736,Frequenties[],3,FALSE)*VLOOKUP($A736,Locaties[],3,FALSE),0)</f>
        <v>0</v>
      </c>
      <c r="W736" s="434">
        <f>Ruimtestaat[[#This Row],[Uitvoeringen werkdagen]]*Ruimtestaat[[#This Row],[Oppervlak (netto)]]</f>
        <v>0</v>
      </c>
      <c r="X736" s="441">
        <f>IF(V736&gt;0,Ruimtestaat[[#This Row],[Prest. (m2 /jaar) werkdagen]]/Ruimtestaat[[#This Row],[Norm (m2/uur) werkdagen]],0)</f>
        <v>0</v>
      </c>
      <c r="Y736" s="442">
        <f>Ruimtestaat[[#This Row],[Uitvoeringen werkdagen]]*Ruimtestaat[[#This Row],[Gedeeltelijk]]</f>
        <v>0</v>
      </c>
      <c r="Z736" s="443">
        <f>IF(U736&gt;0,Ruimtestaat[[#This Row],[Prest. (m2 / jaar) werkdagen gedeeld]]/Ruimtestaat[[#This Row],[Norm (m2/uur) werkdagen]],0)</f>
        <v>0</v>
      </c>
      <c r="AA736" s="441">
        <f>Ruimtestaat[[#This Row],[uren / jaar werkdagen gedeeld]]*Tariefsopbouw!$E$35</f>
        <v>0</v>
      </c>
      <c r="AB736" s="441">
        <f>Ruimtestaat[[#This Row],[Uitvoeringen werkdagen]]*Ruimtestaat[[#This Row],[BSO]]</f>
        <v>0</v>
      </c>
      <c r="AC736" s="443">
        <f>IF(U736&gt;0,Ruimtestaat[[#This Row],[Prest. (m2 / jaar) werkdagen BSO]]/Ruimtestaat[[#This Row],[Norm (m2/uur) werkdagen]],0)</f>
        <v>0</v>
      </c>
      <c r="AD736" s="443">
        <f>Ruimtestaat[[#This Row],[uren / jaar werkdagen BSO]]*Tariefsopbouw!$E$35</f>
        <v>0</v>
      </c>
      <c r="AE736" s="444">
        <f>Ruimtestaat[[#This Row],[uren / jaar werkdagen]]*Tariefsopbouw!$E$35</f>
        <v>0</v>
      </c>
      <c r="AF736" s="454"/>
      <c r="AG736" s="455">
        <f>IF(Ruimtestaat[[#This Row],[Frequentie weekend]]&gt;0,VALUE(LEFT(AF736,1))*S736,0)</f>
        <v>0</v>
      </c>
      <c r="AH736" s="455">
        <f>IF($AG736&gt;0,VLOOKUP($J736,Ruimtegroepen[],3,FALSE)*VLOOKUP($L736,Vloersoorten[],3,FALSE)*VLOOKUP($AF736,Frequenties[],3,FALSE)*VLOOKUP(#REF!,Locaties[],3,FALSE),0)</f>
        <v>0</v>
      </c>
      <c r="AI736" s="434">
        <f>Ruimtestaat[[#This Row],[Uitvoeringen weekend]]*Ruimtestaat[[#This Row],[Oppervlak (netto)]]</f>
        <v>0</v>
      </c>
      <c r="AJ736" s="434">
        <f>IF(AH736&gt;0,Ruimtestaat[[#This Row],[Prest. (m2 /jaar) weekend]]/Ruimtestaat[[#This Row],[Norm (m2/uur) weekend]],0)</f>
        <v>0</v>
      </c>
      <c r="AK736" s="444">
        <f>Ruimtestaat[[#This Row],[uren / jaar weekend]]*Tariefsopbouw!$D$40</f>
        <v>0</v>
      </c>
      <c r="AL736" s="441">
        <f>Ruimtestaat[[#This Row],[Prest. (m2 /jaar) weekend]]+Ruimtestaat[[#This Row],[Prest. (m2 /jaar) werkdagen]]</f>
        <v>0</v>
      </c>
      <c r="AM736" s="441">
        <f>Ruimtestaat[[#This Row],[uren / jaar weekend]]+Ruimtestaat[[#This Row],[uren / jaar werkdagen]]</f>
        <v>0</v>
      </c>
      <c r="AN736" s="446">
        <f>Ruimtestaat[[#This Row],[kosten / jaar weekend]]+Ruimtestaat[[#This Row],[kosten / jaar werkdagen]]</f>
        <v>0</v>
      </c>
      <c r="AO736" s="446"/>
      <c r="AP736" s="446" t="str">
        <f>IF(Ruimtestaat[[#This Row],[Frequentie werkdagen]]="","",_xlfn.CONCAT(Ruimtestaat[[#This Row],[Ruimte code]],"-",Ruimtestaat[[#This Row],[Frequentie werkdagen]]," ",Ruimtestaat[[#This Row],[Vloer code]]))</f>
        <v/>
      </c>
      <c r="AQ736" s="448" t="str">
        <f>_xlfn.IFNA(VLOOKUP($AP736,Programma!$F$3:$G$1101,2,0),"")</f>
        <v/>
      </c>
      <c r="AR736" s="448" t="str">
        <f>_xlfn.IFNA(VLOOKUP($AP736,Programma!$F$3:$H$1101,3,0),"")</f>
        <v/>
      </c>
      <c r="AS736" s="448" t="str">
        <f>_xlfn.IFNA(VLOOKUP($AP736,Programma!$F$3:$I$1101,4,0),"")</f>
        <v/>
      </c>
      <c r="AT736" s="448" t="str">
        <f>_xlfn.IFNA(VLOOKUP($AP736,Programma!$F$3:$J$1101,5,0),"")</f>
        <v/>
      </c>
      <c r="AU736" s="448" t="str">
        <f>_xlfn.IFNA(VLOOKUP($AP736,Programma!$F$3:$K$1101,6,0),"")</f>
        <v/>
      </c>
      <c r="AV736" s="448" t="str">
        <f>_xlfn.IFNA(VLOOKUP($AP736,Programma!$F$3:$L$1101,7,0),"")</f>
        <v/>
      </c>
      <c r="AW736" s="448" t="str">
        <f>_xlfn.IFNA(VLOOKUP($AP736,Programma!$F$3:$M$1101,8,0),"")</f>
        <v/>
      </c>
      <c r="AX736" s="448" t="str">
        <f>_xlfn.IFNA(VLOOKUP($AP736,Programma!$F$3:$N$1101,9,0),"")</f>
        <v/>
      </c>
      <c r="AY736" s="448" t="str">
        <f>_xlfn.IFNA(VLOOKUP($AP736,Programma!$F$3:$O$1101,10,0),"")</f>
        <v/>
      </c>
      <c r="AZ736" s="448" t="str">
        <f>_xlfn.IFNA(VLOOKUP($AP736,Programma!$F$3:$P$1101,11,0),"")</f>
        <v/>
      </c>
      <c r="BA736" s="448" t="str">
        <f>_xlfn.IFNA(VLOOKUP($AP736,Programma!$F$3:$Q$1101,12,0),"")</f>
        <v/>
      </c>
      <c r="BB736" s="448" t="str">
        <f>_xlfn.IFNA(VLOOKUP($AP736,Programma!$F$3:$R$1101,13,0),"")</f>
        <v/>
      </c>
      <c r="BC736" s="448" t="str">
        <f>_xlfn.IFNA(VLOOKUP($AP736,Programma!$F$3:$S$1101,14,0),"")</f>
        <v/>
      </c>
      <c r="BD736" s="448" t="str">
        <f>_xlfn.IFNA(VLOOKUP($AP736,Programma!$F$3:$T$1101,15,0),"")</f>
        <v/>
      </c>
      <c r="BE736" s="448" t="str">
        <f>_xlfn.IFNA(VLOOKUP($AP736,Programma!$F$3:$U$1101,16,0),"")</f>
        <v/>
      </c>
      <c r="BF736" s="448" t="str">
        <f>_xlfn.IFNA(VLOOKUP($AP736,Programma!$F$3:$V$1101,17,0),"")</f>
        <v/>
      </c>
      <c r="BG736" s="448" t="str">
        <f>_xlfn.IFNA(VLOOKUP($AP736,Programma!$F$3:$W$1101,18,0),"")</f>
        <v/>
      </c>
      <c r="BH736" s="448" t="str">
        <f>_xlfn.IFNA(VLOOKUP($AP736,Programma!$F$3:$X$1101,19,0),"")</f>
        <v/>
      </c>
      <c r="BI736" s="448" t="str">
        <f>_xlfn.IFNA(VLOOKUP($AP736,Programma!$F$3:$Y$1101,20,0),"")</f>
        <v/>
      </c>
      <c r="BJ736" s="449"/>
      <c r="BK736" s="446" t="str">
        <f>IF(Ruimtestaat[[#This Row],[Frequentie weekend]]="","",_xlfn.CONCAT(Ruimtestaat[[#This Row],[Ruimte code]],"-",Ruimtestaat[[#This Row],[Frequentie weekend]]," ",Ruimtestaat[[#This Row],[Vloer code]]))</f>
        <v/>
      </c>
      <c r="BL736" s="448" t="str">
        <f>_xlfn.IFNA(VLOOKUP($BK736,Programma!$F$3:$G$1101,2,0),"")</f>
        <v/>
      </c>
      <c r="BM736" s="448" t="str">
        <f>_xlfn.IFNA(VLOOKUP($BK736,Programma!$F$3:$H$1101,3,0),"")</f>
        <v/>
      </c>
      <c r="BN736" s="448" t="str">
        <f>_xlfn.IFNA(VLOOKUP($BK736,Programma!$F$3:$I$1101,4,0),"")</f>
        <v/>
      </c>
      <c r="BO736" s="448" t="str">
        <f>_xlfn.IFNA(VLOOKUP($BK736,Programma!$F$3:$J$1101,5,0),"")</f>
        <v/>
      </c>
      <c r="BP736" s="448" t="str">
        <f>_xlfn.IFNA(VLOOKUP($BK736,Programma!$F$3:$K$1101,6,0),"")</f>
        <v/>
      </c>
      <c r="BQ736" s="448" t="str">
        <f>_xlfn.IFNA(VLOOKUP($BK736,Programma!$F$3:$L$1101,7,0),"")</f>
        <v/>
      </c>
      <c r="BR736" s="448" t="str">
        <f>_xlfn.IFNA(VLOOKUP($BK736,Programma!$F$3:$M$1101,8,0),"")</f>
        <v/>
      </c>
      <c r="BS736" s="448" t="str">
        <f>_xlfn.IFNA(VLOOKUP($BK736,Programma!$F$3:$N$1101,9,0),"")</f>
        <v/>
      </c>
      <c r="BT736" s="448" t="str">
        <f>_xlfn.IFNA(VLOOKUP($BK736,Programma!$F$3:$O$1101,10,0),"")</f>
        <v/>
      </c>
      <c r="BU736" s="448" t="str">
        <f>_xlfn.IFNA(VLOOKUP($BK736,Programma!$F$3:$P$1101,11,0),"")</f>
        <v/>
      </c>
      <c r="BV736" s="448" t="str">
        <f>_xlfn.IFNA(VLOOKUP($BK736,Programma!$F$3:$Q$1101,12,0),"")</f>
        <v/>
      </c>
      <c r="BW736" s="448" t="str">
        <f>_xlfn.IFNA(VLOOKUP($BK736,Programma!$F$3:$R$1101,13,0),"")</f>
        <v/>
      </c>
      <c r="BX736" s="448" t="str">
        <f>_xlfn.IFNA(VLOOKUP($BK736,Programma!$F$3:$S$1101,14,0),"")</f>
        <v/>
      </c>
      <c r="BY736" s="448" t="str">
        <f>_xlfn.IFNA(VLOOKUP($BK736,Programma!$F$3:$T$1101,15,0),"")</f>
        <v/>
      </c>
      <c r="BZ736" s="448" t="str">
        <f>_xlfn.IFNA(VLOOKUP($BK736,Programma!$F$3:$U$1101,16,0),"")</f>
        <v/>
      </c>
      <c r="CA736" s="448" t="str">
        <f>_xlfn.IFNA(VLOOKUP($BK736,Programma!$F$3:$V$1101,17,0),"")</f>
        <v/>
      </c>
      <c r="CB736" s="448" t="str">
        <f>_xlfn.IFNA(VLOOKUP($BK736,Programma!$F$3:$W$1101,18,0),"")</f>
        <v/>
      </c>
      <c r="CC736" s="448" t="str">
        <f>_xlfn.IFNA(VLOOKUP($BK736,Programma!$F$3:$X$1101,19,0),"")</f>
        <v/>
      </c>
      <c r="CD736" s="448" t="str">
        <f>_xlfn.IFNA(VLOOKUP($BK736,Programma!$F$3:$Y$1101,20,0),"")</f>
        <v/>
      </c>
    </row>
    <row r="737" spans="1:82" ht="15" customHeight="1">
      <c r="A737" s="327">
        <v>15</v>
      </c>
      <c r="B737" s="435" t="str">
        <f>VLOOKUP(Ruimtestaat[[#This Row],[Code]],Locaties[[Code]:[Locatie]],2,FALSE)</f>
        <v>IKC  Da Vinci</v>
      </c>
      <c r="C737" s="435" t="str">
        <f>VLOOKUP(Ruimtestaat[[#This Row],[Code]],Locaties[[#All],[Code]:[Adres]],4,FALSE)</f>
        <v>Spitsbergen 17</v>
      </c>
      <c r="D737" s="435" t="str">
        <f>VLOOKUP(Ruimtestaat[[#This Row],[Code]],Locaties[[#All],[Code]:[Postcode]],5,FALSE)</f>
        <v>2721 GP</v>
      </c>
      <c r="E737" s="435" t="str">
        <f>VLOOKUP(Ruimtestaat[[#This Row],[Code]],Locaties[#All],6,FALSE)</f>
        <v>Zoetermeer</v>
      </c>
      <c r="F737" s="330" t="s">
        <v>2154</v>
      </c>
      <c r="I737" s="450" t="s">
        <v>1999</v>
      </c>
      <c r="J737" s="330">
        <v>20</v>
      </c>
      <c r="K737" s="450" t="str">
        <f>VLOOKUP(Ruimtestaat[[#This Row],[Ruimte code]],Ruimtegroepen[[#All],[Code]:[Ruimte omschrijving]],2,FALSE)</f>
        <v>Niet in Onderhoud</v>
      </c>
      <c r="M737" s="330"/>
      <c r="N737" s="439"/>
      <c r="O737" s="439">
        <v>30</v>
      </c>
      <c r="P737" s="439"/>
      <c r="Q737" s="439"/>
      <c r="R737" s="440">
        <f>VLOOKUP(Ruimtestaat[[#This Row],[Ruimte code]],Ruimtegroepen[],4,FALSE)</f>
        <v>0</v>
      </c>
      <c r="S737" s="434"/>
      <c r="T737" s="434"/>
      <c r="U737" s="453">
        <f>IF(S737&gt;0,IF(RIGHT(Ruimtestaat[[#This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7" s="434">
        <f>IF(U737&gt;0,VLOOKUP($J737,Ruimtegroepen[],3,FALSE)*VLOOKUP($L737,Vloersoorten[],3,FALSE)*VLOOKUP($T737,Frequenties[],3,FALSE)*VLOOKUP($A737,Locaties[],3,FALSE),0)</f>
        <v>0</v>
      </c>
      <c r="W737" s="434">
        <f>Ruimtestaat[[#This Row],[Uitvoeringen werkdagen]]*Ruimtestaat[[#This Row],[Oppervlak (netto)]]</f>
        <v>0</v>
      </c>
      <c r="X737" s="441">
        <f>IF(V737&gt;0,Ruimtestaat[[#This Row],[Prest. (m2 /jaar) werkdagen]]/Ruimtestaat[[#This Row],[Norm (m2/uur) werkdagen]],0)</f>
        <v>0</v>
      </c>
      <c r="Y737" s="442">
        <f>Ruimtestaat[[#This Row],[Uitvoeringen werkdagen]]*Ruimtestaat[[#This Row],[Gedeeltelijk]]</f>
        <v>0</v>
      </c>
      <c r="Z737" s="443">
        <f>IF(U737&gt;0,Ruimtestaat[[#This Row],[Prest. (m2 / jaar) werkdagen gedeeld]]/Ruimtestaat[[#This Row],[Norm (m2/uur) werkdagen]],0)</f>
        <v>0</v>
      </c>
      <c r="AA737" s="441">
        <f>Ruimtestaat[[#This Row],[uren / jaar werkdagen gedeeld]]*Tariefsopbouw!$E$35</f>
        <v>0</v>
      </c>
      <c r="AB737" s="441">
        <f>Ruimtestaat[[#This Row],[Uitvoeringen werkdagen]]*Ruimtestaat[[#This Row],[BSO]]</f>
        <v>0</v>
      </c>
      <c r="AC737" s="443">
        <f>IF(U737&gt;0,Ruimtestaat[[#This Row],[Prest. (m2 / jaar) werkdagen BSO]]/Ruimtestaat[[#This Row],[Norm (m2/uur) werkdagen]],0)</f>
        <v>0</v>
      </c>
      <c r="AD737" s="443">
        <f>Ruimtestaat[[#This Row],[uren / jaar werkdagen BSO]]*Tariefsopbouw!$E$35</f>
        <v>0</v>
      </c>
      <c r="AE737" s="444">
        <f>Ruimtestaat[[#This Row],[uren / jaar werkdagen]]*Tariefsopbouw!$E$35</f>
        <v>0</v>
      </c>
      <c r="AF737" s="454"/>
      <c r="AG737" s="455">
        <f>IF(Ruimtestaat[[#This Row],[Frequentie weekend]]&gt;0,VALUE(LEFT(AF737,1))*S737,0)</f>
        <v>0</v>
      </c>
      <c r="AH737" s="455">
        <f>IF($AG737&gt;0,VLOOKUP($J737,Ruimtegroepen[],3,FALSE)*VLOOKUP($L737,Vloersoorten[],3,FALSE)*VLOOKUP($AF737,Frequenties[],3,FALSE)*VLOOKUP(#REF!,Locaties[],3,FALSE),0)</f>
        <v>0</v>
      </c>
      <c r="AI737" s="434">
        <f>Ruimtestaat[[#This Row],[Uitvoeringen weekend]]*Ruimtestaat[[#This Row],[Oppervlak (netto)]]</f>
        <v>0</v>
      </c>
      <c r="AJ737" s="434">
        <f>IF(AH737&gt;0,Ruimtestaat[[#This Row],[Prest. (m2 /jaar) weekend]]/Ruimtestaat[[#This Row],[Norm (m2/uur) weekend]],0)</f>
        <v>0</v>
      </c>
      <c r="AK737" s="444">
        <f>Ruimtestaat[[#This Row],[uren / jaar weekend]]*Tariefsopbouw!$D$40</f>
        <v>0</v>
      </c>
      <c r="AL737" s="441">
        <f>Ruimtestaat[[#This Row],[Prest. (m2 /jaar) weekend]]+Ruimtestaat[[#This Row],[Prest. (m2 /jaar) werkdagen]]</f>
        <v>0</v>
      </c>
      <c r="AM737" s="441">
        <f>Ruimtestaat[[#This Row],[uren / jaar weekend]]+Ruimtestaat[[#This Row],[uren / jaar werkdagen]]</f>
        <v>0</v>
      </c>
      <c r="AN737" s="446">
        <f>Ruimtestaat[[#This Row],[kosten / jaar weekend]]+Ruimtestaat[[#This Row],[kosten / jaar werkdagen]]</f>
        <v>0</v>
      </c>
      <c r="AO737" s="446"/>
      <c r="AP737" s="446" t="str">
        <f>IF(Ruimtestaat[[#This Row],[Frequentie werkdagen]]="","",_xlfn.CONCAT(Ruimtestaat[[#This Row],[Ruimte code]],"-",Ruimtestaat[[#This Row],[Frequentie werkdagen]]," ",Ruimtestaat[[#This Row],[Vloer code]]))</f>
        <v/>
      </c>
      <c r="AQ737" s="448" t="str">
        <f>_xlfn.IFNA(VLOOKUP($AP737,Programma!$F$3:$G$1101,2,0),"")</f>
        <v/>
      </c>
      <c r="AR737" s="448" t="str">
        <f>_xlfn.IFNA(VLOOKUP($AP737,Programma!$F$3:$H$1101,3,0),"")</f>
        <v/>
      </c>
      <c r="AS737" s="448" t="str">
        <f>_xlfn.IFNA(VLOOKUP($AP737,Programma!$F$3:$I$1101,4,0),"")</f>
        <v/>
      </c>
      <c r="AT737" s="448" t="str">
        <f>_xlfn.IFNA(VLOOKUP($AP737,Programma!$F$3:$J$1101,5,0),"")</f>
        <v/>
      </c>
      <c r="AU737" s="448" t="str">
        <f>_xlfn.IFNA(VLOOKUP($AP737,Programma!$F$3:$K$1101,6,0),"")</f>
        <v/>
      </c>
      <c r="AV737" s="448" t="str">
        <f>_xlfn.IFNA(VLOOKUP($AP737,Programma!$F$3:$L$1101,7,0),"")</f>
        <v/>
      </c>
      <c r="AW737" s="448" t="str">
        <f>_xlfn.IFNA(VLOOKUP($AP737,Programma!$F$3:$M$1101,8,0),"")</f>
        <v/>
      </c>
      <c r="AX737" s="448" t="str">
        <f>_xlfn.IFNA(VLOOKUP($AP737,Programma!$F$3:$N$1101,9,0),"")</f>
        <v/>
      </c>
      <c r="AY737" s="448" t="str">
        <f>_xlfn.IFNA(VLOOKUP($AP737,Programma!$F$3:$O$1101,10,0),"")</f>
        <v/>
      </c>
      <c r="AZ737" s="448" t="str">
        <f>_xlfn.IFNA(VLOOKUP($AP737,Programma!$F$3:$P$1101,11,0),"")</f>
        <v/>
      </c>
      <c r="BA737" s="448" t="str">
        <f>_xlfn.IFNA(VLOOKUP($AP737,Programma!$F$3:$Q$1101,12,0),"")</f>
        <v/>
      </c>
      <c r="BB737" s="448" t="str">
        <f>_xlfn.IFNA(VLOOKUP($AP737,Programma!$F$3:$R$1101,13,0),"")</f>
        <v/>
      </c>
      <c r="BC737" s="448" t="str">
        <f>_xlfn.IFNA(VLOOKUP($AP737,Programma!$F$3:$S$1101,14,0),"")</f>
        <v/>
      </c>
      <c r="BD737" s="448" t="str">
        <f>_xlfn.IFNA(VLOOKUP($AP737,Programma!$F$3:$T$1101,15,0),"")</f>
        <v/>
      </c>
      <c r="BE737" s="448" t="str">
        <f>_xlfn.IFNA(VLOOKUP($AP737,Programma!$F$3:$U$1101,16,0),"")</f>
        <v/>
      </c>
      <c r="BF737" s="448" t="str">
        <f>_xlfn.IFNA(VLOOKUP($AP737,Programma!$F$3:$V$1101,17,0),"")</f>
        <v/>
      </c>
      <c r="BG737" s="448" t="str">
        <f>_xlfn.IFNA(VLOOKUP($AP737,Programma!$F$3:$W$1101,18,0),"")</f>
        <v/>
      </c>
      <c r="BH737" s="448" t="str">
        <f>_xlfn.IFNA(VLOOKUP($AP737,Programma!$F$3:$X$1101,19,0),"")</f>
        <v/>
      </c>
      <c r="BI737" s="448" t="str">
        <f>_xlfn.IFNA(VLOOKUP($AP737,Programma!$F$3:$Y$1101,20,0),"")</f>
        <v/>
      </c>
      <c r="BJ737" s="449"/>
      <c r="BK737" s="446" t="str">
        <f>IF(Ruimtestaat[[#This Row],[Frequentie weekend]]="","",_xlfn.CONCAT(Ruimtestaat[[#This Row],[Ruimte code]],"-",Ruimtestaat[[#This Row],[Frequentie weekend]]," ",Ruimtestaat[[#This Row],[Vloer code]]))</f>
        <v/>
      </c>
      <c r="BL737" s="448" t="str">
        <f>_xlfn.IFNA(VLOOKUP($BK737,Programma!$F$3:$G$1101,2,0),"")</f>
        <v/>
      </c>
      <c r="BM737" s="448" t="str">
        <f>_xlfn.IFNA(VLOOKUP($BK737,Programma!$F$3:$H$1101,3,0),"")</f>
        <v/>
      </c>
      <c r="BN737" s="448" t="str">
        <f>_xlfn.IFNA(VLOOKUP($BK737,Programma!$F$3:$I$1101,4,0),"")</f>
        <v/>
      </c>
      <c r="BO737" s="448" t="str">
        <f>_xlfn.IFNA(VLOOKUP($BK737,Programma!$F$3:$J$1101,5,0),"")</f>
        <v/>
      </c>
      <c r="BP737" s="448" t="str">
        <f>_xlfn.IFNA(VLOOKUP($BK737,Programma!$F$3:$K$1101,6,0),"")</f>
        <v/>
      </c>
      <c r="BQ737" s="448" t="str">
        <f>_xlfn.IFNA(VLOOKUP($BK737,Programma!$F$3:$L$1101,7,0),"")</f>
        <v/>
      </c>
      <c r="BR737" s="448" t="str">
        <f>_xlfn.IFNA(VLOOKUP($BK737,Programma!$F$3:$M$1101,8,0),"")</f>
        <v/>
      </c>
      <c r="BS737" s="448" t="str">
        <f>_xlfn.IFNA(VLOOKUP($BK737,Programma!$F$3:$N$1101,9,0),"")</f>
        <v/>
      </c>
      <c r="BT737" s="448" t="str">
        <f>_xlfn.IFNA(VLOOKUP($BK737,Programma!$F$3:$O$1101,10,0),"")</f>
        <v/>
      </c>
      <c r="BU737" s="448" t="str">
        <f>_xlfn.IFNA(VLOOKUP($BK737,Programma!$F$3:$P$1101,11,0),"")</f>
        <v/>
      </c>
      <c r="BV737" s="448" t="str">
        <f>_xlfn.IFNA(VLOOKUP($BK737,Programma!$F$3:$Q$1101,12,0),"")</f>
        <v/>
      </c>
      <c r="BW737" s="448" t="str">
        <f>_xlfn.IFNA(VLOOKUP($BK737,Programma!$F$3:$R$1101,13,0),"")</f>
        <v/>
      </c>
      <c r="BX737" s="448" t="str">
        <f>_xlfn.IFNA(VLOOKUP($BK737,Programma!$F$3:$S$1101,14,0),"")</f>
        <v/>
      </c>
      <c r="BY737" s="448" t="str">
        <f>_xlfn.IFNA(VLOOKUP($BK737,Programma!$F$3:$T$1101,15,0),"")</f>
        <v/>
      </c>
      <c r="BZ737" s="448" t="str">
        <f>_xlfn.IFNA(VLOOKUP($BK737,Programma!$F$3:$U$1101,16,0),"")</f>
        <v/>
      </c>
      <c r="CA737" s="448" t="str">
        <f>_xlfn.IFNA(VLOOKUP($BK737,Programma!$F$3:$V$1101,17,0),"")</f>
        <v/>
      </c>
      <c r="CB737" s="448" t="str">
        <f>_xlfn.IFNA(VLOOKUP($BK737,Programma!$F$3:$W$1101,18,0),"")</f>
        <v/>
      </c>
      <c r="CC737" s="448" t="str">
        <f>_xlfn.IFNA(VLOOKUP($BK737,Programma!$F$3:$X$1101,19,0),"")</f>
        <v/>
      </c>
      <c r="CD737" s="448" t="str">
        <f>_xlfn.IFNA(VLOOKUP($BK737,Programma!$F$3:$Y$1101,20,0),"")</f>
        <v/>
      </c>
    </row>
    <row r="738" spans="1:82" ht="15" customHeight="1">
      <c r="A738" s="327">
        <v>15</v>
      </c>
      <c r="B738" s="435" t="str">
        <f>VLOOKUP(Ruimtestaat[[#This Row],[Code]],Locaties[[Code]:[Locatie]],2,FALSE)</f>
        <v>IKC  Da Vinci</v>
      </c>
      <c r="C738" s="435" t="str">
        <f>VLOOKUP(Ruimtestaat[[#This Row],[Code]],Locaties[[#All],[Code]:[Adres]],4,FALSE)</f>
        <v>Spitsbergen 17</v>
      </c>
      <c r="D738" s="435" t="str">
        <f>VLOOKUP(Ruimtestaat[[#This Row],[Code]],Locaties[[#All],[Code]:[Postcode]],5,FALSE)</f>
        <v>2721 GP</v>
      </c>
      <c r="E738" s="435" t="str">
        <f>VLOOKUP(Ruimtestaat[[#This Row],[Code]],Locaties[#All],6,FALSE)</f>
        <v>Zoetermeer</v>
      </c>
      <c r="F738" s="330" t="s">
        <v>2154</v>
      </c>
      <c r="I738" s="450" t="s">
        <v>1999</v>
      </c>
      <c r="J738" s="330">
        <v>20</v>
      </c>
      <c r="K738" s="450" t="str">
        <f>VLOOKUP(Ruimtestaat[[#This Row],[Ruimte code]],Ruimtegroepen[[#All],[Code]:[Ruimte omschrijving]],2,FALSE)</f>
        <v>Niet in Onderhoud</v>
      </c>
      <c r="M738" s="330"/>
      <c r="N738" s="439"/>
      <c r="O738" s="439">
        <v>32</v>
      </c>
      <c r="P738" s="439"/>
      <c r="Q738" s="439"/>
      <c r="R738" s="440">
        <f>VLOOKUP(Ruimtestaat[[#This Row],[Ruimte code]],Ruimtegroepen[],4,FALSE)</f>
        <v>0</v>
      </c>
      <c r="S738" s="434"/>
      <c r="T738" s="434"/>
      <c r="U738" s="453">
        <f>IF(S738&gt;0,IF(RIGHT(Ruimtestaat[[#This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8" s="434">
        <f>IF(U738&gt;0,VLOOKUP($J738,Ruimtegroepen[],3,FALSE)*VLOOKUP($L738,Vloersoorten[],3,FALSE)*VLOOKUP($T738,Frequenties[],3,FALSE)*VLOOKUP($A738,Locaties[],3,FALSE),0)</f>
        <v>0</v>
      </c>
      <c r="W738" s="434">
        <f>Ruimtestaat[[#This Row],[Uitvoeringen werkdagen]]*Ruimtestaat[[#This Row],[Oppervlak (netto)]]</f>
        <v>0</v>
      </c>
      <c r="X738" s="441">
        <f>IF(V738&gt;0,Ruimtestaat[[#This Row],[Prest. (m2 /jaar) werkdagen]]/Ruimtestaat[[#This Row],[Norm (m2/uur) werkdagen]],0)</f>
        <v>0</v>
      </c>
      <c r="Y738" s="442">
        <f>Ruimtestaat[[#This Row],[Uitvoeringen werkdagen]]*Ruimtestaat[[#This Row],[Gedeeltelijk]]</f>
        <v>0</v>
      </c>
      <c r="Z738" s="443">
        <f>IF(U738&gt;0,Ruimtestaat[[#This Row],[Prest. (m2 / jaar) werkdagen gedeeld]]/Ruimtestaat[[#This Row],[Norm (m2/uur) werkdagen]],0)</f>
        <v>0</v>
      </c>
      <c r="AA738" s="441">
        <f>Ruimtestaat[[#This Row],[uren / jaar werkdagen gedeeld]]*Tariefsopbouw!$E$35</f>
        <v>0</v>
      </c>
      <c r="AB738" s="441">
        <f>Ruimtestaat[[#This Row],[Uitvoeringen werkdagen]]*Ruimtestaat[[#This Row],[BSO]]</f>
        <v>0</v>
      </c>
      <c r="AC738" s="443">
        <f>IF(U738&gt;0,Ruimtestaat[[#This Row],[Prest. (m2 / jaar) werkdagen BSO]]/Ruimtestaat[[#This Row],[Norm (m2/uur) werkdagen]],0)</f>
        <v>0</v>
      </c>
      <c r="AD738" s="443">
        <f>Ruimtestaat[[#This Row],[uren / jaar werkdagen BSO]]*Tariefsopbouw!$E$35</f>
        <v>0</v>
      </c>
      <c r="AE738" s="444">
        <f>Ruimtestaat[[#This Row],[uren / jaar werkdagen]]*Tariefsopbouw!$E$35</f>
        <v>0</v>
      </c>
      <c r="AF738" s="454"/>
      <c r="AG738" s="455">
        <f>IF(Ruimtestaat[[#This Row],[Frequentie weekend]]&gt;0,VALUE(LEFT(AF738,1))*S738,0)</f>
        <v>0</v>
      </c>
      <c r="AH738" s="455">
        <f>IF($AG738&gt;0,VLOOKUP($J738,Ruimtegroepen[],3,FALSE)*VLOOKUP($L738,Vloersoorten[],3,FALSE)*VLOOKUP($AF738,Frequenties[],3,FALSE)*VLOOKUP(#REF!,Locaties[],3,FALSE),0)</f>
        <v>0</v>
      </c>
      <c r="AI738" s="434">
        <f>Ruimtestaat[[#This Row],[Uitvoeringen weekend]]*Ruimtestaat[[#This Row],[Oppervlak (netto)]]</f>
        <v>0</v>
      </c>
      <c r="AJ738" s="434">
        <f>IF(AH738&gt;0,Ruimtestaat[[#This Row],[Prest. (m2 /jaar) weekend]]/Ruimtestaat[[#This Row],[Norm (m2/uur) weekend]],0)</f>
        <v>0</v>
      </c>
      <c r="AK738" s="444">
        <f>Ruimtestaat[[#This Row],[uren / jaar weekend]]*Tariefsopbouw!$D$40</f>
        <v>0</v>
      </c>
      <c r="AL738" s="441">
        <f>Ruimtestaat[[#This Row],[Prest. (m2 /jaar) weekend]]+Ruimtestaat[[#This Row],[Prest. (m2 /jaar) werkdagen]]</f>
        <v>0</v>
      </c>
      <c r="AM738" s="441">
        <f>Ruimtestaat[[#This Row],[uren / jaar weekend]]+Ruimtestaat[[#This Row],[uren / jaar werkdagen]]</f>
        <v>0</v>
      </c>
      <c r="AN738" s="446">
        <f>Ruimtestaat[[#This Row],[kosten / jaar weekend]]+Ruimtestaat[[#This Row],[kosten / jaar werkdagen]]</f>
        <v>0</v>
      </c>
      <c r="AO738" s="446"/>
      <c r="AP738" s="446" t="str">
        <f>IF(Ruimtestaat[[#This Row],[Frequentie werkdagen]]="","",_xlfn.CONCAT(Ruimtestaat[[#This Row],[Ruimte code]],"-",Ruimtestaat[[#This Row],[Frequentie werkdagen]]," ",Ruimtestaat[[#This Row],[Vloer code]]))</f>
        <v/>
      </c>
      <c r="AQ738" s="448" t="str">
        <f>_xlfn.IFNA(VLOOKUP($AP738,Programma!$F$3:$G$1101,2,0),"")</f>
        <v/>
      </c>
      <c r="AR738" s="448" t="str">
        <f>_xlfn.IFNA(VLOOKUP($AP738,Programma!$F$3:$H$1101,3,0),"")</f>
        <v/>
      </c>
      <c r="AS738" s="448" t="str">
        <f>_xlfn.IFNA(VLOOKUP($AP738,Programma!$F$3:$I$1101,4,0),"")</f>
        <v/>
      </c>
      <c r="AT738" s="448" t="str">
        <f>_xlfn.IFNA(VLOOKUP($AP738,Programma!$F$3:$J$1101,5,0),"")</f>
        <v/>
      </c>
      <c r="AU738" s="448" t="str">
        <f>_xlfn.IFNA(VLOOKUP($AP738,Programma!$F$3:$K$1101,6,0),"")</f>
        <v/>
      </c>
      <c r="AV738" s="448" t="str">
        <f>_xlfn.IFNA(VLOOKUP($AP738,Programma!$F$3:$L$1101,7,0),"")</f>
        <v/>
      </c>
      <c r="AW738" s="448" t="str">
        <f>_xlfn.IFNA(VLOOKUP($AP738,Programma!$F$3:$M$1101,8,0),"")</f>
        <v/>
      </c>
      <c r="AX738" s="448" t="str">
        <f>_xlfn.IFNA(VLOOKUP($AP738,Programma!$F$3:$N$1101,9,0),"")</f>
        <v/>
      </c>
      <c r="AY738" s="448" t="str">
        <f>_xlfn.IFNA(VLOOKUP($AP738,Programma!$F$3:$O$1101,10,0),"")</f>
        <v/>
      </c>
      <c r="AZ738" s="448" t="str">
        <f>_xlfn.IFNA(VLOOKUP($AP738,Programma!$F$3:$P$1101,11,0),"")</f>
        <v/>
      </c>
      <c r="BA738" s="448" t="str">
        <f>_xlfn.IFNA(VLOOKUP($AP738,Programma!$F$3:$Q$1101,12,0),"")</f>
        <v/>
      </c>
      <c r="BB738" s="448" t="str">
        <f>_xlfn.IFNA(VLOOKUP($AP738,Programma!$F$3:$R$1101,13,0),"")</f>
        <v/>
      </c>
      <c r="BC738" s="448" t="str">
        <f>_xlfn.IFNA(VLOOKUP($AP738,Programma!$F$3:$S$1101,14,0),"")</f>
        <v/>
      </c>
      <c r="BD738" s="448" t="str">
        <f>_xlfn.IFNA(VLOOKUP($AP738,Programma!$F$3:$T$1101,15,0),"")</f>
        <v/>
      </c>
      <c r="BE738" s="448" t="str">
        <f>_xlfn.IFNA(VLOOKUP($AP738,Programma!$F$3:$U$1101,16,0),"")</f>
        <v/>
      </c>
      <c r="BF738" s="448" t="str">
        <f>_xlfn.IFNA(VLOOKUP($AP738,Programma!$F$3:$V$1101,17,0),"")</f>
        <v/>
      </c>
      <c r="BG738" s="448" t="str">
        <f>_xlfn.IFNA(VLOOKUP($AP738,Programma!$F$3:$W$1101,18,0),"")</f>
        <v/>
      </c>
      <c r="BH738" s="448" t="str">
        <f>_xlfn.IFNA(VLOOKUP($AP738,Programma!$F$3:$X$1101,19,0),"")</f>
        <v/>
      </c>
      <c r="BI738" s="448" t="str">
        <f>_xlfn.IFNA(VLOOKUP($AP738,Programma!$F$3:$Y$1101,20,0),"")</f>
        <v/>
      </c>
      <c r="BJ738" s="449"/>
      <c r="BK738" s="446" t="str">
        <f>IF(Ruimtestaat[[#This Row],[Frequentie weekend]]="","",_xlfn.CONCAT(Ruimtestaat[[#This Row],[Ruimte code]],"-",Ruimtestaat[[#This Row],[Frequentie weekend]]," ",Ruimtestaat[[#This Row],[Vloer code]]))</f>
        <v/>
      </c>
      <c r="BL738" s="448" t="str">
        <f>_xlfn.IFNA(VLOOKUP($BK738,Programma!$F$3:$G$1101,2,0),"")</f>
        <v/>
      </c>
      <c r="BM738" s="448" t="str">
        <f>_xlfn.IFNA(VLOOKUP($BK738,Programma!$F$3:$H$1101,3,0),"")</f>
        <v/>
      </c>
      <c r="BN738" s="448" t="str">
        <f>_xlfn.IFNA(VLOOKUP($BK738,Programma!$F$3:$I$1101,4,0),"")</f>
        <v/>
      </c>
      <c r="BO738" s="448" t="str">
        <f>_xlfn.IFNA(VLOOKUP($BK738,Programma!$F$3:$J$1101,5,0),"")</f>
        <v/>
      </c>
      <c r="BP738" s="448" t="str">
        <f>_xlfn.IFNA(VLOOKUP($BK738,Programma!$F$3:$K$1101,6,0),"")</f>
        <v/>
      </c>
      <c r="BQ738" s="448" t="str">
        <f>_xlfn.IFNA(VLOOKUP($BK738,Programma!$F$3:$L$1101,7,0),"")</f>
        <v/>
      </c>
      <c r="BR738" s="448" t="str">
        <f>_xlfn.IFNA(VLOOKUP($BK738,Programma!$F$3:$M$1101,8,0),"")</f>
        <v/>
      </c>
      <c r="BS738" s="448" t="str">
        <f>_xlfn.IFNA(VLOOKUP($BK738,Programma!$F$3:$N$1101,9,0),"")</f>
        <v/>
      </c>
      <c r="BT738" s="448" t="str">
        <f>_xlfn.IFNA(VLOOKUP($BK738,Programma!$F$3:$O$1101,10,0),"")</f>
        <v/>
      </c>
      <c r="BU738" s="448" t="str">
        <f>_xlfn.IFNA(VLOOKUP($BK738,Programma!$F$3:$P$1101,11,0),"")</f>
        <v/>
      </c>
      <c r="BV738" s="448" t="str">
        <f>_xlfn.IFNA(VLOOKUP($BK738,Programma!$F$3:$Q$1101,12,0),"")</f>
        <v/>
      </c>
      <c r="BW738" s="448" t="str">
        <f>_xlfn.IFNA(VLOOKUP($BK738,Programma!$F$3:$R$1101,13,0),"")</f>
        <v/>
      </c>
      <c r="BX738" s="448" t="str">
        <f>_xlfn.IFNA(VLOOKUP($BK738,Programma!$F$3:$S$1101,14,0),"")</f>
        <v/>
      </c>
      <c r="BY738" s="448" t="str">
        <f>_xlfn.IFNA(VLOOKUP($BK738,Programma!$F$3:$T$1101,15,0),"")</f>
        <v/>
      </c>
      <c r="BZ738" s="448" t="str">
        <f>_xlfn.IFNA(VLOOKUP($BK738,Programma!$F$3:$U$1101,16,0),"")</f>
        <v/>
      </c>
      <c r="CA738" s="448" t="str">
        <f>_xlfn.IFNA(VLOOKUP($BK738,Programma!$F$3:$V$1101,17,0),"")</f>
        <v/>
      </c>
      <c r="CB738" s="448" t="str">
        <f>_xlfn.IFNA(VLOOKUP($BK738,Programma!$F$3:$W$1101,18,0),"")</f>
        <v/>
      </c>
      <c r="CC738" s="448" t="str">
        <f>_xlfn.IFNA(VLOOKUP($BK738,Programma!$F$3:$X$1101,19,0),"")</f>
        <v/>
      </c>
      <c r="CD738" s="448" t="str">
        <f>_xlfn.IFNA(VLOOKUP($BK738,Programma!$F$3:$Y$1101,20,0),"")</f>
        <v/>
      </c>
    </row>
    <row r="739" spans="1:82" ht="15" customHeight="1">
      <c r="A739" s="327">
        <v>15</v>
      </c>
      <c r="B739" s="435" t="str">
        <f>VLOOKUP(Ruimtestaat[[#This Row],[Code]],Locaties[[Code]:[Locatie]],2,FALSE)</f>
        <v>IKC  Da Vinci</v>
      </c>
      <c r="C739" s="435" t="str">
        <f>VLOOKUP(Ruimtestaat[[#This Row],[Code]],Locaties[[#All],[Code]:[Adres]],4,FALSE)</f>
        <v>Spitsbergen 17</v>
      </c>
      <c r="D739" s="435" t="str">
        <f>VLOOKUP(Ruimtestaat[[#This Row],[Code]],Locaties[[#All],[Code]:[Postcode]],5,FALSE)</f>
        <v>2721 GP</v>
      </c>
      <c r="E739" s="435" t="str">
        <f>VLOOKUP(Ruimtestaat[[#This Row],[Code]],Locaties[#All],6,FALSE)</f>
        <v>Zoetermeer</v>
      </c>
      <c r="F739" s="330" t="s">
        <v>2154</v>
      </c>
      <c r="I739" s="450" t="s">
        <v>1720</v>
      </c>
      <c r="J739" s="330">
        <v>20</v>
      </c>
      <c r="K739" s="450" t="str">
        <f>VLOOKUP(Ruimtestaat[[#This Row],[Ruimte code]],Ruimtegroepen[[#All],[Code]:[Ruimte omschrijving]],2,FALSE)</f>
        <v>Niet in Onderhoud</v>
      </c>
      <c r="M739" s="330"/>
      <c r="N739" s="439"/>
      <c r="O739" s="439">
        <v>3</v>
      </c>
      <c r="P739" s="439"/>
      <c r="Q739" s="439"/>
      <c r="R739" s="440">
        <f>VLOOKUP(Ruimtestaat[[#This Row],[Ruimte code]],Ruimtegroepen[],4,FALSE)</f>
        <v>0</v>
      </c>
      <c r="S739" s="434"/>
      <c r="T739" s="434"/>
      <c r="U739" s="453">
        <f>IF(S739&gt;0,IF(RIGHT(Ruimtestaat[[#This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9" s="434">
        <f>IF(U739&gt;0,VLOOKUP($J739,Ruimtegroepen[],3,FALSE)*VLOOKUP($L739,Vloersoorten[],3,FALSE)*VLOOKUP($T739,Frequenties[],3,FALSE)*VLOOKUP($A739,Locaties[],3,FALSE),0)</f>
        <v>0</v>
      </c>
      <c r="W739" s="434">
        <f>Ruimtestaat[[#This Row],[Uitvoeringen werkdagen]]*Ruimtestaat[[#This Row],[Oppervlak (netto)]]</f>
        <v>0</v>
      </c>
      <c r="X739" s="441">
        <f>IF(V739&gt;0,Ruimtestaat[[#This Row],[Prest. (m2 /jaar) werkdagen]]/Ruimtestaat[[#This Row],[Norm (m2/uur) werkdagen]],0)</f>
        <v>0</v>
      </c>
      <c r="Y739" s="442">
        <f>Ruimtestaat[[#This Row],[Uitvoeringen werkdagen]]*Ruimtestaat[[#This Row],[Gedeeltelijk]]</f>
        <v>0</v>
      </c>
      <c r="Z739" s="443">
        <f>IF(U739&gt;0,Ruimtestaat[[#This Row],[Prest. (m2 / jaar) werkdagen gedeeld]]/Ruimtestaat[[#This Row],[Norm (m2/uur) werkdagen]],0)</f>
        <v>0</v>
      </c>
      <c r="AA739" s="441">
        <f>Ruimtestaat[[#This Row],[uren / jaar werkdagen gedeeld]]*Tariefsopbouw!$E$35</f>
        <v>0</v>
      </c>
      <c r="AB739" s="441">
        <f>Ruimtestaat[[#This Row],[Uitvoeringen werkdagen]]*Ruimtestaat[[#This Row],[BSO]]</f>
        <v>0</v>
      </c>
      <c r="AC739" s="443">
        <f>IF(U739&gt;0,Ruimtestaat[[#This Row],[Prest. (m2 / jaar) werkdagen BSO]]/Ruimtestaat[[#This Row],[Norm (m2/uur) werkdagen]],0)</f>
        <v>0</v>
      </c>
      <c r="AD739" s="443">
        <f>Ruimtestaat[[#This Row],[uren / jaar werkdagen BSO]]*Tariefsopbouw!$E$35</f>
        <v>0</v>
      </c>
      <c r="AE739" s="444">
        <f>Ruimtestaat[[#This Row],[uren / jaar werkdagen]]*Tariefsopbouw!$E$35</f>
        <v>0</v>
      </c>
      <c r="AF739" s="454"/>
      <c r="AG739" s="455">
        <f>IF(Ruimtestaat[[#This Row],[Frequentie weekend]]&gt;0,VALUE(LEFT(AF739,1))*S739,0)</f>
        <v>0</v>
      </c>
      <c r="AH739" s="455">
        <f>IF($AG739&gt;0,VLOOKUP($J739,Ruimtegroepen[],3,FALSE)*VLOOKUP($L739,Vloersoorten[],3,FALSE)*VLOOKUP($AF739,Frequenties[],3,FALSE)*VLOOKUP(#REF!,Locaties[],3,FALSE),0)</f>
        <v>0</v>
      </c>
      <c r="AI739" s="434">
        <f>Ruimtestaat[[#This Row],[Uitvoeringen weekend]]*Ruimtestaat[[#This Row],[Oppervlak (netto)]]</f>
        <v>0</v>
      </c>
      <c r="AJ739" s="434">
        <f>IF(AH739&gt;0,Ruimtestaat[[#This Row],[Prest. (m2 /jaar) weekend]]/Ruimtestaat[[#This Row],[Norm (m2/uur) weekend]],0)</f>
        <v>0</v>
      </c>
      <c r="AK739" s="444">
        <f>Ruimtestaat[[#This Row],[uren / jaar weekend]]*Tariefsopbouw!$D$40</f>
        <v>0</v>
      </c>
      <c r="AL739" s="441">
        <f>Ruimtestaat[[#This Row],[Prest. (m2 /jaar) weekend]]+Ruimtestaat[[#This Row],[Prest. (m2 /jaar) werkdagen]]</f>
        <v>0</v>
      </c>
      <c r="AM739" s="441">
        <f>Ruimtestaat[[#This Row],[uren / jaar weekend]]+Ruimtestaat[[#This Row],[uren / jaar werkdagen]]</f>
        <v>0</v>
      </c>
      <c r="AN739" s="446">
        <f>Ruimtestaat[[#This Row],[kosten / jaar weekend]]+Ruimtestaat[[#This Row],[kosten / jaar werkdagen]]</f>
        <v>0</v>
      </c>
      <c r="AO739" s="446"/>
      <c r="AP739" s="446" t="str">
        <f>IF(Ruimtestaat[[#This Row],[Frequentie werkdagen]]="","",_xlfn.CONCAT(Ruimtestaat[[#This Row],[Ruimte code]],"-",Ruimtestaat[[#This Row],[Frequentie werkdagen]]," ",Ruimtestaat[[#This Row],[Vloer code]]))</f>
        <v/>
      </c>
      <c r="AQ739" s="448" t="str">
        <f>_xlfn.IFNA(VLOOKUP($AP739,Programma!$F$3:$G$1101,2,0),"")</f>
        <v/>
      </c>
      <c r="AR739" s="448" t="str">
        <f>_xlfn.IFNA(VLOOKUP($AP739,Programma!$F$3:$H$1101,3,0),"")</f>
        <v/>
      </c>
      <c r="AS739" s="448" t="str">
        <f>_xlfn.IFNA(VLOOKUP($AP739,Programma!$F$3:$I$1101,4,0),"")</f>
        <v/>
      </c>
      <c r="AT739" s="448" t="str">
        <f>_xlfn.IFNA(VLOOKUP($AP739,Programma!$F$3:$J$1101,5,0),"")</f>
        <v/>
      </c>
      <c r="AU739" s="448" t="str">
        <f>_xlfn.IFNA(VLOOKUP($AP739,Programma!$F$3:$K$1101,6,0),"")</f>
        <v/>
      </c>
      <c r="AV739" s="448" t="str">
        <f>_xlfn.IFNA(VLOOKUP($AP739,Programma!$F$3:$L$1101,7,0),"")</f>
        <v/>
      </c>
      <c r="AW739" s="448" t="str">
        <f>_xlfn.IFNA(VLOOKUP($AP739,Programma!$F$3:$M$1101,8,0),"")</f>
        <v/>
      </c>
      <c r="AX739" s="448" t="str">
        <f>_xlfn.IFNA(VLOOKUP($AP739,Programma!$F$3:$N$1101,9,0),"")</f>
        <v/>
      </c>
      <c r="AY739" s="448" t="str">
        <f>_xlfn.IFNA(VLOOKUP($AP739,Programma!$F$3:$O$1101,10,0),"")</f>
        <v/>
      </c>
      <c r="AZ739" s="448" t="str">
        <f>_xlfn.IFNA(VLOOKUP($AP739,Programma!$F$3:$P$1101,11,0),"")</f>
        <v/>
      </c>
      <c r="BA739" s="448" t="str">
        <f>_xlfn.IFNA(VLOOKUP($AP739,Programma!$F$3:$Q$1101,12,0),"")</f>
        <v/>
      </c>
      <c r="BB739" s="448" t="str">
        <f>_xlfn.IFNA(VLOOKUP($AP739,Programma!$F$3:$R$1101,13,0),"")</f>
        <v/>
      </c>
      <c r="BC739" s="448" t="str">
        <f>_xlfn.IFNA(VLOOKUP($AP739,Programma!$F$3:$S$1101,14,0),"")</f>
        <v/>
      </c>
      <c r="BD739" s="448" t="str">
        <f>_xlfn.IFNA(VLOOKUP($AP739,Programma!$F$3:$T$1101,15,0),"")</f>
        <v/>
      </c>
      <c r="BE739" s="448" t="str">
        <f>_xlfn.IFNA(VLOOKUP($AP739,Programma!$F$3:$U$1101,16,0),"")</f>
        <v/>
      </c>
      <c r="BF739" s="448" t="str">
        <f>_xlfn.IFNA(VLOOKUP($AP739,Programma!$F$3:$V$1101,17,0),"")</f>
        <v/>
      </c>
      <c r="BG739" s="448" t="str">
        <f>_xlfn.IFNA(VLOOKUP($AP739,Programma!$F$3:$W$1101,18,0),"")</f>
        <v/>
      </c>
      <c r="BH739" s="448" t="str">
        <f>_xlfn.IFNA(VLOOKUP($AP739,Programma!$F$3:$X$1101,19,0),"")</f>
        <v/>
      </c>
      <c r="BI739" s="448" t="str">
        <f>_xlfn.IFNA(VLOOKUP($AP739,Programma!$F$3:$Y$1101,20,0),"")</f>
        <v/>
      </c>
      <c r="BJ739" s="449"/>
      <c r="BK739" s="446" t="str">
        <f>IF(Ruimtestaat[[#This Row],[Frequentie weekend]]="","",_xlfn.CONCAT(Ruimtestaat[[#This Row],[Ruimte code]],"-",Ruimtestaat[[#This Row],[Frequentie weekend]]," ",Ruimtestaat[[#This Row],[Vloer code]]))</f>
        <v/>
      </c>
      <c r="BL739" s="448" t="str">
        <f>_xlfn.IFNA(VLOOKUP($BK739,Programma!$F$3:$G$1101,2,0),"")</f>
        <v/>
      </c>
      <c r="BM739" s="448" t="str">
        <f>_xlfn.IFNA(VLOOKUP($BK739,Programma!$F$3:$H$1101,3,0),"")</f>
        <v/>
      </c>
      <c r="BN739" s="448" t="str">
        <f>_xlfn.IFNA(VLOOKUP($BK739,Programma!$F$3:$I$1101,4,0),"")</f>
        <v/>
      </c>
      <c r="BO739" s="448" t="str">
        <f>_xlfn.IFNA(VLOOKUP($BK739,Programma!$F$3:$J$1101,5,0),"")</f>
        <v/>
      </c>
      <c r="BP739" s="448" t="str">
        <f>_xlfn.IFNA(VLOOKUP($BK739,Programma!$F$3:$K$1101,6,0),"")</f>
        <v/>
      </c>
      <c r="BQ739" s="448" t="str">
        <f>_xlfn.IFNA(VLOOKUP($BK739,Programma!$F$3:$L$1101,7,0),"")</f>
        <v/>
      </c>
      <c r="BR739" s="448" t="str">
        <f>_xlfn.IFNA(VLOOKUP($BK739,Programma!$F$3:$M$1101,8,0),"")</f>
        <v/>
      </c>
      <c r="BS739" s="448" t="str">
        <f>_xlfn.IFNA(VLOOKUP($BK739,Programma!$F$3:$N$1101,9,0),"")</f>
        <v/>
      </c>
      <c r="BT739" s="448" t="str">
        <f>_xlfn.IFNA(VLOOKUP($BK739,Programma!$F$3:$O$1101,10,0),"")</f>
        <v/>
      </c>
      <c r="BU739" s="448" t="str">
        <f>_xlfn.IFNA(VLOOKUP($BK739,Programma!$F$3:$P$1101,11,0),"")</f>
        <v/>
      </c>
      <c r="BV739" s="448" t="str">
        <f>_xlfn.IFNA(VLOOKUP($BK739,Programma!$F$3:$Q$1101,12,0),"")</f>
        <v/>
      </c>
      <c r="BW739" s="448" t="str">
        <f>_xlfn.IFNA(VLOOKUP($BK739,Programma!$F$3:$R$1101,13,0),"")</f>
        <v/>
      </c>
      <c r="BX739" s="448" t="str">
        <f>_xlfn.IFNA(VLOOKUP($BK739,Programma!$F$3:$S$1101,14,0),"")</f>
        <v/>
      </c>
      <c r="BY739" s="448" t="str">
        <f>_xlfn.IFNA(VLOOKUP($BK739,Programma!$F$3:$T$1101,15,0),"")</f>
        <v/>
      </c>
      <c r="BZ739" s="448" t="str">
        <f>_xlfn.IFNA(VLOOKUP($BK739,Programma!$F$3:$U$1101,16,0),"")</f>
        <v/>
      </c>
      <c r="CA739" s="448" t="str">
        <f>_xlfn.IFNA(VLOOKUP($BK739,Programma!$F$3:$V$1101,17,0),"")</f>
        <v/>
      </c>
      <c r="CB739" s="448" t="str">
        <f>_xlfn.IFNA(VLOOKUP($BK739,Programma!$F$3:$W$1101,18,0),"")</f>
        <v/>
      </c>
      <c r="CC739" s="448" t="str">
        <f>_xlfn.IFNA(VLOOKUP($BK739,Programma!$F$3:$X$1101,19,0),"")</f>
        <v/>
      </c>
      <c r="CD739" s="448" t="str">
        <f>_xlfn.IFNA(VLOOKUP($BK739,Programma!$F$3:$Y$1101,20,0),"")</f>
        <v/>
      </c>
    </row>
    <row r="740" spans="1:82" ht="15" customHeight="1">
      <c r="A740" s="327">
        <v>15</v>
      </c>
      <c r="B740" s="435" t="str">
        <f>VLOOKUP(Ruimtestaat[[#This Row],[Code]],Locaties[[Code]:[Locatie]],2,FALSE)</f>
        <v>IKC  Da Vinci</v>
      </c>
      <c r="C740" s="435" t="str">
        <f>VLOOKUP(Ruimtestaat[[#This Row],[Code]],Locaties[[#All],[Code]:[Adres]],4,FALSE)</f>
        <v>Spitsbergen 17</v>
      </c>
      <c r="D740" s="435" t="str">
        <f>VLOOKUP(Ruimtestaat[[#This Row],[Code]],Locaties[[#All],[Code]:[Postcode]],5,FALSE)</f>
        <v>2721 GP</v>
      </c>
      <c r="E740" s="435" t="str">
        <f>VLOOKUP(Ruimtestaat[[#This Row],[Code]],Locaties[#All],6,FALSE)</f>
        <v>Zoetermeer</v>
      </c>
      <c r="F740" s="330" t="s">
        <v>2154</v>
      </c>
      <c r="I740" s="450" t="s">
        <v>1720</v>
      </c>
      <c r="J740" s="330">
        <v>20</v>
      </c>
      <c r="K740" s="450" t="str">
        <f>VLOOKUP(Ruimtestaat[[#This Row],[Ruimte code]],Ruimtegroepen[[#All],[Code]:[Ruimte omschrijving]],2,FALSE)</f>
        <v>Niet in Onderhoud</v>
      </c>
      <c r="M740" s="330"/>
      <c r="N740" s="439"/>
      <c r="O740" s="439">
        <v>6</v>
      </c>
      <c r="P740" s="439"/>
      <c r="Q740" s="439"/>
      <c r="R740" s="440">
        <f>VLOOKUP(Ruimtestaat[[#This Row],[Ruimte code]],Ruimtegroepen[],4,FALSE)</f>
        <v>0</v>
      </c>
      <c r="S740" s="434"/>
      <c r="T740" s="434"/>
      <c r="U740" s="453">
        <f>IF(S740&gt;0,IF(RIGHT(Ruimtestaat[[#This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0" s="434">
        <f>IF(U740&gt;0,VLOOKUP($J740,Ruimtegroepen[],3,FALSE)*VLOOKUP($L740,Vloersoorten[],3,FALSE)*VLOOKUP($T740,Frequenties[],3,FALSE)*VLOOKUP($A740,Locaties[],3,FALSE),0)</f>
        <v>0</v>
      </c>
      <c r="W740" s="434">
        <f>Ruimtestaat[[#This Row],[Uitvoeringen werkdagen]]*Ruimtestaat[[#This Row],[Oppervlak (netto)]]</f>
        <v>0</v>
      </c>
      <c r="X740" s="441">
        <f>IF(V740&gt;0,Ruimtestaat[[#This Row],[Prest. (m2 /jaar) werkdagen]]/Ruimtestaat[[#This Row],[Norm (m2/uur) werkdagen]],0)</f>
        <v>0</v>
      </c>
      <c r="Y740" s="442">
        <f>Ruimtestaat[[#This Row],[Uitvoeringen werkdagen]]*Ruimtestaat[[#This Row],[Gedeeltelijk]]</f>
        <v>0</v>
      </c>
      <c r="Z740" s="443">
        <f>IF(U740&gt;0,Ruimtestaat[[#This Row],[Prest. (m2 / jaar) werkdagen gedeeld]]/Ruimtestaat[[#This Row],[Norm (m2/uur) werkdagen]],0)</f>
        <v>0</v>
      </c>
      <c r="AA740" s="441">
        <f>Ruimtestaat[[#This Row],[uren / jaar werkdagen gedeeld]]*Tariefsopbouw!$E$35</f>
        <v>0</v>
      </c>
      <c r="AB740" s="441">
        <f>Ruimtestaat[[#This Row],[Uitvoeringen werkdagen]]*Ruimtestaat[[#This Row],[BSO]]</f>
        <v>0</v>
      </c>
      <c r="AC740" s="443">
        <f>IF(U740&gt;0,Ruimtestaat[[#This Row],[Prest. (m2 / jaar) werkdagen BSO]]/Ruimtestaat[[#This Row],[Norm (m2/uur) werkdagen]],0)</f>
        <v>0</v>
      </c>
      <c r="AD740" s="443">
        <f>Ruimtestaat[[#This Row],[uren / jaar werkdagen BSO]]*Tariefsopbouw!$E$35</f>
        <v>0</v>
      </c>
      <c r="AE740" s="444">
        <f>Ruimtestaat[[#This Row],[uren / jaar werkdagen]]*Tariefsopbouw!$E$35</f>
        <v>0</v>
      </c>
      <c r="AF740" s="454"/>
      <c r="AG740" s="455">
        <f>IF(Ruimtestaat[[#This Row],[Frequentie weekend]]&gt;0,VALUE(LEFT(AF740,1))*S740,0)</f>
        <v>0</v>
      </c>
      <c r="AH740" s="455">
        <f>IF($AG740&gt;0,VLOOKUP($J740,Ruimtegroepen[],3,FALSE)*VLOOKUP($L740,Vloersoorten[],3,FALSE)*VLOOKUP($AF740,Frequenties[],3,FALSE)*VLOOKUP(#REF!,Locaties[],3,FALSE),0)</f>
        <v>0</v>
      </c>
      <c r="AI740" s="434">
        <f>Ruimtestaat[[#This Row],[Uitvoeringen weekend]]*Ruimtestaat[[#This Row],[Oppervlak (netto)]]</f>
        <v>0</v>
      </c>
      <c r="AJ740" s="434">
        <f>IF(AH740&gt;0,Ruimtestaat[[#This Row],[Prest. (m2 /jaar) weekend]]/Ruimtestaat[[#This Row],[Norm (m2/uur) weekend]],0)</f>
        <v>0</v>
      </c>
      <c r="AK740" s="444">
        <f>Ruimtestaat[[#This Row],[uren / jaar weekend]]*Tariefsopbouw!$D$40</f>
        <v>0</v>
      </c>
      <c r="AL740" s="441">
        <f>Ruimtestaat[[#This Row],[Prest. (m2 /jaar) weekend]]+Ruimtestaat[[#This Row],[Prest. (m2 /jaar) werkdagen]]</f>
        <v>0</v>
      </c>
      <c r="AM740" s="441">
        <f>Ruimtestaat[[#This Row],[uren / jaar weekend]]+Ruimtestaat[[#This Row],[uren / jaar werkdagen]]</f>
        <v>0</v>
      </c>
      <c r="AN740" s="446">
        <f>Ruimtestaat[[#This Row],[kosten / jaar weekend]]+Ruimtestaat[[#This Row],[kosten / jaar werkdagen]]</f>
        <v>0</v>
      </c>
      <c r="AO740" s="446"/>
      <c r="AP740" s="446" t="str">
        <f>IF(Ruimtestaat[[#This Row],[Frequentie werkdagen]]="","",_xlfn.CONCAT(Ruimtestaat[[#This Row],[Ruimte code]],"-",Ruimtestaat[[#This Row],[Frequentie werkdagen]]," ",Ruimtestaat[[#This Row],[Vloer code]]))</f>
        <v/>
      </c>
      <c r="AQ740" s="448" t="str">
        <f>_xlfn.IFNA(VLOOKUP($AP740,Programma!$F$3:$G$1101,2,0),"")</f>
        <v/>
      </c>
      <c r="AR740" s="448" t="str">
        <f>_xlfn.IFNA(VLOOKUP($AP740,Programma!$F$3:$H$1101,3,0),"")</f>
        <v/>
      </c>
      <c r="AS740" s="448" t="str">
        <f>_xlfn.IFNA(VLOOKUP($AP740,Programma!$F$3:$I$1101,4,0),"")</f>
        <v/>
      </c>
      <c r="AT740" s="448" t="str">
        <f>_xlfn.IFNA(VLOOKUP($AP740,Programma!$F$3:$J$1101,5,0),"")</f>
        <v/>
      </c>
      <c r="AU740" s="448" t="str">
        <f>_xlfn.IFNA(VLOOKUP($AP740,Programma!$F$3:$K$1101,6,0),"")</f>
        <v/>
      </c>
      <c r="AV740" s="448" t="str">
        <f>_xlfn.IFNA(VLOOKUP($AP740,Programma!$F$3:$L$1101,7,0),"")</f>
        <v/>
      </c>
      <c r="AW740" s="448" t="str">
        <f>_xlfn.IFNA(VLOOKUP($AP740,Programma!$F$3:$M$1101,8,0),"")</f>
        <v/>
      </c>
      <c r="AX740" s="448" t="str">
        <f>_xlfn.IFNA(VLOOKUP($AP740,Programma!$F$3:$N$1101,9,0),"")</f>
        <v/>
      </c>
      <c r="AY740" s="448" t="str">
        <f>_xlfn.IFNA(VLOOKUP($AP740,Programma!$F$3:$O$1101,10,0),"")</f>
        <v/>
      </c>
      <c r="AZ740" s="448" t="str">
        <f>_xlfn.IFNA(VLOOKUP($AP740,Programma!$F$3:$P$1101,11,0),"")</f>
        <v/>
      </c>
      <c r="BA740" s="448" t="str">
        <f>_xlfn.IFNA(VLOOKUP($AP740,Programma!$F$3:$Q$1101,12,0),"")</f>
        <v/>
      </c>
      <c r="BB740" s="448" t="str">
        <f>_xlfn.IFNA(VLOOKUP($AP740,Programma!$F$3:$R$1101,13,0),"")</f>
        <v/>
      </c>
      <c r="BC740" s="448" t="str">
        <f>_xlfn.IFNA(VLOOKUP($AP740,Programma!$F$3:$S$1101,14,0),"")</f>
        <v/>
      </c>
      <c r="BD740" s="448" t="str">
        <f>_xlfn.IFNA(VLOOKUP($AP740,Programma!$F$3:$T$1101,15,0),"")</f>
        <v/>
      </c>
      <c r="BE740" s="448" t="str">
        <f>_xlfn.IFNA(VLOOKUP($AP740,Programma!$F$3:$U$1101,16,0),"")</f>
        <v/>
      </c>
      <c r="BF740" s="448" t="str">
        <f>_xlfn.IFNA(VLOOKUP($AP740,Programma!$F$3:$V$1101,17,0),"")</f>
        <v/>
      </c>
      <c r="BG740" s="448" t="str">
        <f>_xlfn.IFNA(VLOOKUP($AP740,Programma!$F$3:$W$1101,18,0),"")</f>
        <v/>
      </c>
      <c r="BH740" s="448" t="str">
        <f>_xlfn.IFNA(VLOOKUP($AP740,Programma!$F$3:$X$1101,19,0),"")</f>
        <v/>
      </c>
      <c r="BI740" s="448" t="str">
        <f>_xlfn.IFNA(VLOOKUP($AP740,Programma!$F$3:$Y$1101,20,0),"")</f>
        <v/>
      </c>
      <c r="BJ740" s="449"/>
      <c r="BK740" s="446" t="str">
        <f>IF(Ruimtestaat[[#This Row],[Frequentie weekend]]="","",_xlfn.CONCAT(Ruimtestaat[[#This Row],[Ruimte code]],"-",Ruimtestaat[[#This Row],[Frequentie weekend]]," ",Ruimtestaat[[#This Row],[Vloer code]]))</f>
        <v/>
      </c>
      <c r="BL740" s="448" t="str">
        <f>_xlfn.IFNA(VLOOKUP($BK740,Programma!$F$3:$G$1101,2,0),"")</f>
        <v/>
      </c>
      <c r="BM740" s="448" t="str">
        <f>_xlfn.IFNA(VLOOKUP($BK740,Programma!$F$3:$H$1101,3,0),"")</f>
        <v/>
      </c>
      <c r="BN740" s="448" t="str">
        <f>_xlfn.IFNA(VLOOKUP($BK740,Programma!$F$3:$I$1101,4,0),"")</f>
        <v/>
      </c>
      <c r="BO740" s="448" t="str">
        <f>_xlfn.IFNA(VLOOKUP($BK740,Programma!$F$3:$J$1101,5,0),"")</f>
        <v/>
      </c>
      <c r="BP740" s="448" t="str">
        <f>_xlfn.IFNA(VLOOKUP($BK740,Programma!$F$3:$K$1101,6,0),"")</f>
        <v/>
      </c>
      <c r="BQ740" s="448" t="str">
        <f>_xlfn.IFNA(VLOOKUP($BK740,Programma!$F$3:$L$1101,7,0),"")</f>
        <v/>
      </c>
      <c r="BR740" s="448" t="str">
        <f>_xlfn.IFNA(VLOOKUP($BK740,Programma!$F$3:$M$1101,8,0),"")</f>
        <v/>
      </c>
      <c r="BS740" s="448" t="str">
        <f>_xlfn.IFNA(VLOOKUP($BK740,Programma!$F$3:$N$1101,9,0),"")</f>
        <v/>
      </c>
      <c r="BT740" s="448" t="str">
        <f>_xlfn.IFNA(VLOOKUP($BK740,Programma!$F$3:$O$1101,10,0),"")</f>
        <v/>
      </c>
      <c r="BU740" s="448" t="str">
        <f>_xlfn.IFNA(VLOOKUP($BK740,Programma!$F$3:$P$1101,11,0),"")</f>
        <v/>
      </c>
      <c r="BV740" s="448" t="str">
        <f>_xlfn.IFNA(VLOOKUP($BK740,Programma!$F$3:$Q$1101,12,0),"")</f>
        <v/>
      </c>
      <c r="BW740" s="448" t="str">
        <f>_xlfn.IFNA(VLOOKUP($BK740,Programma!$F$3:$R$1101,13,0),"")</f>
        <v/>
      </c>
      <c r="BX740" s="448" t="str">
        <f>_xlfn.IFNA(VLOOKUP($BK740,Programma!$F$3:$S$1101,14,0),"")</f>
        <v/>
      </c>
      <c r="BY740" s="448" t="str">
        <f>_xlfn.IFNA(VLOOKUP($BK740,Programma!$F$3:$T$1101,15,0),"")</f>
        <v/>
      </c>
      <c r="BZ740" s="448" t="str">
        <f>_xlfn.IFNA(VLOOKUP($BK740,Programma!$F$3:$U$1101,16,0),"")</f>
        <v/>
      </c>
      <c r="CA740" s="448" t="str">
        <f>_xlfn.IFNA(VLOOKUP($BK740,Programma!$F$3:$V$1101,17,0),"")</f>
        <v/>
      </c>
      <c r="CB740" s="448" t="str">
        <f>_xlfn.IFNA(VLOOKUP($BK740,Programma!$F$3:$W$1101,18,0),"")</f>
        <v/>
      </c>
      <c r="CC740" s="448" t="str">
        <f>_xlfn.IFNA(VLOOKUP($BK740,Programma!$F$3:$X$1101,19,0),"")</f>
        <v/>
      </c>
      <c r="CD740" s="448" t="str">
        <f>_xlfn.IFNA(VLOOKUP($BK740,Programma!$F$3:$Y$1101,20,0),"")</f>
        <v/>
      </c>
    </row>
    <row r="741" spans="1:82" ht="15" customHeight="1">
      <c r="A741" s="327">
        <v>15</v>
      </c>
      <c r="B741" s="435" t="str">
        <f>VLOOKUP(Ruimtestaat[[#This Row],[Code]],Locaties[[Code]:[Locatie]],2,FALSE)</f>
        <v>IKC  Da Vinci</v>
      </c>
      <c r="C741" s="435" t="str">
        <f>VLOOKUP(Ruimtestaat[[#This Row],[Code]],Locaties[[#All],[Code]:[Adres]],4,FALSE)</f>
        <v>Spitsbergen 17</v>
      </c>
      <c r="D741" s="435" t="str">
        <f>VLOOKUP(Ruimtestaat[[#This Row],[Code]],Locaties[[#All],[Code]:[Postcode]],5,FALSE)</f>
        <v>2721 GP</v>
      </c>
      <c r="E741" s="435" t="str">
        <f>VLOOKUP(Ruimtestaat[[#This Row],[Code]],Locaties[#All],6,FALSE)</f>
        <v>Zoetermeer</v>
      </c>
      <c r="F741" s="330" t="s">
        <v>2154</v>
      </c>
      <c r="I741" s="450" t="s">
        <v>1720</v>
      </c>
      <c r="J741" s="330">
        <v>20</v>
      </c>
      <c r="K741" s="450" t="str">
        <f>VLOOKUP(Ruimtestaat[[#This Row],[Ruimte code]],Ruimtegroepen[[#All],[Code]:[Ruimte omschrijving]],2,FALSE)</f>
        <v>Niet in Onderhoud</v>
      </c>
      <c r="M741" s="330"/>
      <c r="N741" s="439"/>
      <c r="O741" s="439">
        <v>8</v>
      </c>
      <c r="P741" s="439"/>
      <c r="Q741" s="439"/>
      <c r="R741" s="440">
        <f>VLOOKUP(Ruimtestaat[[#This Row],[Ruimte code]],Ruimtegroepen[],4,FALSE)</f>
        <v>0</v>
      </c>
      <c r="S741" s="434"/>
      <c r="T741" s="434"/>
      <c r="U741" s="453">
        <f>IF(S741&gt;0,IF(RIGHT(Ruimtestaat[[#This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1" s="434">
        <f>IF(U741&gt;0,VLOOKUP($J741,Ruimtegroepen[],3,FALSE)*VLOOKUP($L741,Vloersoorten[],3,FALSE)*VLOOKUP($T741,Frequenties[],3,FALSE)*VLOOKUP($A741,Locaties[],3,FALSE),0)</f>
        <v>0</v>
      </c>
      <c r="W741" s="434">
        <f>Ruimtestaat[[#This Row],[Uitvoeringen werkdagen]]*Ruimtestaat[[#This Row],[Oppervlak (netto)]]</f>
        <v>0</v>
      </c>
      <c r="X741" s="441">
        <f>IF(V741&gt;0,Ruimtestaat[[#This Row],[Prest. (m2 /jaar) werkdagen]]/Ruimtestaat[[#This Row],[Norm (m2/uur) werkdagen]],0)</f>
        <v>0</v>
      </c>
      <c r="Y741" s="442">
        <f>Ruimtestaat[[#This Row],[Uitvoeringen werkdagen]]*Ruimtestaat[[#This Row],[Gedeeltelijk]]</f>
        <v>0</v>
      </c>
      <c r="Z741" s="443">
        <f>IF(U741&gt;0,Ruimtestaat[[#This Row],[Prest. (m2 / jaar) werkdagen gedeeld]]/Ruimtestaat[[#This Row],[Norm (m2/uur) werkdagen]],0)</f>
        <v>0</v>
      </c>
      <c r="AA741" s="441">
        <f>Ruimtestaat[[#This Row],[uren / jaar werkdagen gedeeld]]*Tariefsopbouw!$E$35</f>
        <v>0</v>
      </c>
      <c r="AB741" s="441">
        <f>Ruimtestaat[[#This Row],[Uitvoeringen werkdagen]]*Ruimtestaat[[#This Row],[BSO]]</f>
        <v>0</v>
      </c>
      <c r="AC741" s="443">
        <f>IF(U741&gt;0,Ruimtestaat[[#This Row],[Prest. (m2 / jaar) werkdagen BSO]]/Ruimtestaat[[#This Row],[Norm (m2/uur) werkdagen]],0)</f>
        <v>0</v>
      </c>
      <c r="AD741" s="443">
        <f>Ruimtestaat[[#This Row],[uren / jaar werkdagen BSO]]*Tariefsopbouw!$E$35</f>
        <v>0</v>
      </c>
      <c r="AE741" s="444">
        <f>Ruimtestaat[[#This Row],[uren / jaar werkdagen]]*Tariefsopbouw!$E$35</f>
        <v>0</v>
      </c>
      <c r="AF741" s="454"/>
      <c r="AG741" s="455">
        <f>IF(Ruimtestaat[[#This Row],[Frequentie weekend]]&gt;0,VALUE(LEFT(AF741,1))*S741,0)</f>
        <v>0</v>
      </c>
      <c r="AH741" s="455">
        <f>IF($AG741&gt;0,VLOOKUP($J741,Ruimtegroepen[],3,FALSE)*VLOOKUP($L741,Vloersoorten[],3,FALSE)*VLOOKUP($AF741,Frequenties[],3,FALSE)*VLOOKUP(#REF!,Locaties[],3,FALSE),0)</f>
        <v>0</v>
      </c>
      <c r="AI741" s="434">
        <f>Ruimtestaat[[#This Row],[Uitvoeringen weekend]]*Ruimtestaat[[#This Row],[Oppervlak (netto)]]</f>
        <v>0</v>
      </c>
      <c r="AJ741" s="434">
        <f>IF(AH741&gt;0,Ruimtestaat[[#This Row],[Prest. (m2 /jaar) weekend]]/Ruimtestaat[[#This Row],[Norm (m2/uur) weekend]],0)</f>
        <v>0</v>
      </c>
      <c r="AK741" s="444">
        <f>Ruimtestaat[[#This Row],[uren / jaar weekend]]*Tariefsopbouw!$D$40</f>
        <v>0</v>
      </c>
      <c r="AL741" s="441">
        <f>Ruimtestaat[[#This Row],[Prest. (m2 /jaar) weekend]]+Ruimtestaat[[#This Row],[Prest. (m2 /jaar) werkdagen]]</f>
        <v>0</v>
      </c>
      <c r="AM741" s="441">
        <f>Ruimtestaat[[#This Row],[uren / jaar weekend]]+Ruimtestaat[[#This Row],[uren / jaar werkdagen]]</f>
        <v>0</v>
      </c>
      <c r="AN741" s="446">
        <f>Ruimtestaat[[#This Row],[kosten / jaar weekend]]+Ruimtestaat[[#This Row],[kosten / jaar werkdagen]]</f>
        <v>0</v>
      </c>
      <c r="AO741" s="446"/>
      <c r="AP741" s="446" t="str">
        <f>IF(Ruimtestaat[[#This Row],[Frequentie werkdagen]]="","",_xlfn.CONCAT(Ruimtestaat[[#This Row],[Ruimte code]],"-",Ruimtestaat[[#This Row],[Frequentie werkdagen]]," ",Ruimtestaat[[#This Row],[Vloer code]]))</f>
        <v/>
      </c>
      <c r="AQ741" s="448" t="str">
        <f>_xlfn.IFNA(VLOOKUP($AP741,Programma!$F$3:$G$1101,2,0),"")</f>
        <v/>
      </c>
      <c r="AR741" s="448" t="str">
        <f>_xlfn.IFNA(VLOOKUP($AP741,Programma!$F$3:$H$1101,3,0),"")</f>
        <v/>
      </c>
      <c r="AS741" s="448" t="str">
        <f>_xlfn.IFNA(VLOOKUP($AP741,Programma!$F$3:$I$1101,4,0),"")</f>
        <v/>
      </c>
      <c r="AT741" s="448" t="str">
        <f>_xlfn.IFNA(VLOOKUP($AP741,Programma!$F$3:$J$1101,5,0),"")</f>
        <v/>
      </c>
      <c r="AU741" s="448" t="str">
        <f>_xlfn.IFNA(VLOOKUP($AP741,Programma!$F$3:$K$1101,6,0),"")</f>
        <v/>
      </c>
      <c r="AV741" s="448" t="str">
        <f>_xlfn.IFNA(VLOOKUP($AP741,Programma!$F$3:$L$1101,7,0),"")</f>
        <v/>
      </c>
      <c r="AW741" s="448" t="str">
        <f>_xlfn.IFNA(VLOOKUP($AP741,Programma!$F$3:$M$1101,8,0),"")</f>
        <v/>
      </c>
      <c r="AX741" s="448" t="str">
        <f>_xlfn.IFNA(VLOOKUP($AP741,Programma!$F$3:$N$1101,9,0),"")</f>
        <v/>
      </c>
      <c r="AY741" s="448" t="str">
        <f>_xlfn.IFNA(VLOOKUP($AP741,Programma!$F$3:$O$1101,10,0),"")</f>
        <v/>
      </c>
      <c r="AZ741" s="448" t="str">
        <f>_xlfn.IFNA(VLOOKUP($AP741,Programma!$F$3:$P$1101,11,0),"")</f>
        <v/>
      </c>
      <c r="BA741" s="448" t="str">
        <f>_xlfn.IFNA(VLOOKUP($AP741,Programma!$F$3:$Q$1101,12,0),"")</f>
        <v/>
      </c>
      <c r="BB741" s="448" t="str">
        <f>_xlfn.IFNA(VLOOKUP($AP741,Programma!$F$3:$R$1101,13,0),"")</f>
        <v/>
      </c>
      <c r="BC741" s="448" t="str">
        <f>_xlfn.IFNA(VLOOKUP($AP741,Programma!$F$3:$S$1101,14,0),"")</f>
        <v/>
      </c>
      <c r="BD741" s="448" t="str">
        <f>_xlfn.IFNA(VLOOKUP($AP741,Programma!$F$3:$T$1101,15,0),"")</f>
        <v/>
      </c>
      <c r="BE741" s="448" t="str">
        <f>_xlfn.IFNA(VLOOKUP($AP741,Programma!$F$3:$U$1101,16,0),"")</f>
        <v/>
      </c>
      <c r="BF741" s="448" t="str">
        <f>_xlfn.IFNA(VLOOKUP($AP741,Programma!$F$3:$V$1101,17,0),"")</f>
        <v/>
      </c>
      <c r="BG741" s="448" t="str">
        <f>_xlfn.IFNA(VLOOKUP($AP741,Programma!$F$3:$W$1101,18,0),"")</f>
        <v/>
      </c>
      <c r="BH741" s="448" t="str">
        <f>_xlfn.IFNA(VLOOKUP($AP741,Programma!$F$3:$X$1101,19,0),"")</f>
        <v/>
      </c>
      <c r="BI741" s="448" t="str">
        <f>_xlfn.IFNA(VLOOKUP($AP741,Programma!$F$3:$Y$1101,20,0),"")</f>
        <v/>
      </c>
      <c r="BJ741" s="449"/>
      <c r="BK741" s="446" t="str">
        <f>IF(Ruimtestaat[[#This Row],[Frequentie weekend]]="","",_xlfn.CONCAT(Ruimtestaat[[#This Row],[Ruimte code]],"-",Ruimtestaat[[#This Row],[Frequentie weekend]]," ",Ruimtestaat[[#This Row],[Vloer code]]))</f>
        <v/>
      </c>
      <c r="BL741" s="448" t="str">
        <f>_xlfn.IFNA(VLOOKUP($BK741,Programma!$F$3:$G$1101,2,0),"")</f>
        <v/>
      </c>
      <c r="BM741" s="448" t="str">
        <f>_xlfn.IFNA(VLOOKUP($BK741,Programma!$F$3:$H$1101,3,0),"")</f>
        <v/>
      </c>
      <c r="BN741" s="448" t="str">
        <f>_xlfn.IFNA(VLOOKUP($BK741,Programma!$F$3:$I$1101,4,0),"")</f>
        <v/>
      </c>
      <c r="BO741" s="448" t="str">
        <f>_xlfn.IFNA(VLOOKUP($BK741,Programma!$F$3:$J$1101,5,0),"")</f>
        <v/>
      </c>
      <c r="BP741" s="448" t="str">
        <f>_xlfn.IFNA(VLOOKUP($BK741,Programma!$F$3:$K$1101,6,0),"")</f>
        <v/>
      </c>
      <c r="BQ741" s="448" t="str">
        <f>_xlfn.IFNA(VLOOKUP($BK741,Programma!$F$3:$L$1101,7,0),"")</f>
        <v/>
      </c>
      <c r="BR741" s="448" t="str">
        <f>_xlfn.IFNA(VLOOKUP($BK741,Programma!$F$3:$M$1101,8,0),"")</f>
        <v/>
      </c>
      <c r="BS741" s="448" t="str">
        <f>_xlfn.IFNA(VLOOKUP($BK741,Programma!$F$3:$N$1101,9,0),"")</f>
        <v/>
      </c>
      <c r="BT741" s="448" t="str">
        <f>_xlfn.IFNA(VLOOKUP($BK741,Programma!$F$3:$O$1101,10,0),"")</f>
        <v/>
      </c>
      <c r="BU741" s="448" t="str">
        <f>_xlfn.IFNA(VLOOKUP($BK741,Programma!$F$3:$P$1101,11,0),"")</f>
        <v/>
      </c>
      <c r="BV741" s="448" t="str">
        <f>_xlfn.IFNA(VLOOKUP($BK741,Programma!$F$3:$Q$1101,12,0),"")</f>
        <v/>
      </c>
      <c r="BW741" s="448" t="str">
        <f>_xlfn.IFNA(VLOOKUP($BK741,Programma!$F$3:$R$1101,13,0),"")</f>
        <v/>
      </c>
      <c r="BX741" s="448" t="str">
        <f>_xlfn.IFNA(VLOOKUP($BK741,Programma!$F$3:$S$1101,14,0),"")</f>
        <v/>
      </c>
      <c r="BY741" s="448" t="str">
        <f>_xlfn.IFNA(VLOOKUP($BK741,Programma!$F$3:$T$1101,15,0),"")</f>
        <v/>
      </c>
      <c r="BZ741" s="448" t="str">
        <f>_xlfn.IFNA(VLOOKUP($BK741,Programma!$F$3:$U$1101,16,0),"")</f>
        <v/>
      </c>
      <c r="CA741" s="448" t="str">
        <f>_xlfn.IFNA(VLOOKUP($BK741,Programma!$F$3:$V$1101,17,0),"")</f>
        <v/>
      </c>
      <c r="CB741" s="448" t="str">
        <f>_xlfn.IFNA(VLOOKUP($BK741,Programma!$F$3:$W$1101,18,0),"")</f>
        <v/>
      </c>
      <c r="CC741" s="448" t="str">
        <f>_xlfn.IFNA(VLOOKUP($BK741,Programma!$F$3:$X$1101,19,0),"")</f>
        <v/>
      </c>
      <c r="CD741" s="448" t="str">
        <f>_xlfn.IFNA(VLOOKUP($BK741,Programma!$F$3:$Y$1101,20,0),"")</f>
        <v/>
      </c>
    </row>
    <row r="742" spans="1:82" ht="15" customHeight="1">
      <c r="A742" s="327">
        <v>15</v>
      </c>
      <c r="B742" s="435" t="str">
        <f>VLOOKUP(Ruimtestaat[[#This Row],[Code]],Locaties[[Code]:[Locatie]],2,FALSE)</f>
        <v>IKC  Da Vinci</v>
      </c>
      <c r="C742" s="435" t="str">
        <f>VLOOKUP(Ruimtestaat[[#This Row],[Code]],Locaties[[#All],[Code]:[Adres]],4,FALSE)</f>
        <v>Spitsbergen 17</v>
      </c>
      <c r="D742" s="435" t="str">
        <f>VLOOKUP(Ruimtestaat[[#This Row],[Code]],Locaties[[#All],[Code]:[Postcode]],5,FALSE)</f>
        <v>2721 GP</v>
      </c>
      <c r="E742" s="435" t="str">
        <f>VLOOKUP(Ruimtestaat[[#This Row],[Code]],Locaties[#All],6,FALSE)</f>
        <v>Zoetermeer</v>
      </c>
      <c r="F742" s="330" t="s">
        <v>2154</v>
      </c>
      <c r="I742" s="450" t="s">
        <v>1720</v>
      </c>
      <c r="J742" s="330">
        <v>20</v>
      </c>
      <c r="K742" s="450" t="str">
        <f>VLOOKUP(Ruimtestaat[[#This Row],[Ruimte code]],Ruimtegroepen[[#All],[Code]:[Ruimte omschrijving]],2,FALSE)</f>
        <v>Niet in Onderhoud</v>
      </c>
      <c r="M742" s="330"/>
      <c r="N742" s="439"/>
      <c r="O742" s="439">
        <v>10</v>
      </c>
      <c r="P742" s="439"/>
      <c r="Q742" s="439"/>
      <c r="R742" s="440">
        <f>VLOOKUP(Ruimtestaat[[#This Row],[Ruimte code]],Ruimtegroepen[],4,FALSE)</f>
        <v>0</v>
      </c>
      <c r="S742" s="434"/>
      <c r="T742" s="434"/>
      <c r="U742" s="453">
        <f>IF(S742&gt;0,IF(RIGHT(Ruimtestaat[[#This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2" s="434">
        <f>IF(U742&gt;0,VLOOKUP($J742,Ruimtegroepen[],3,FALSE)*VLOOKUP($L742,Vloersoorten[],3,FALSE)*VLOOKUP($T742,Frequenties[],3,FALSE)*VLOOKUP($A742,Locaties[],3,FALSE),0)</f>
        <v>0</v>
      </c>
      <c r="W742" s="434">
        <f>Ruimtestaat[[#This Row],[Uitvoeringen werkdagen]]*Ruimtestaat[[#This Row],[Oppervlak (netto)]]</f>
        <v>0</v>
      </c>
      <c r="X742" s="441">
        <f>IF(V742&gt;0,Ruimtestaat[[#This Row],[Prest. (m2 /jaar) werkdagen]]/Ruimtestaat[[#This Row],[Norm (m2/uur) werkdagen]],0)</f>
        <v>0</v>
      </c>
      <c r="Y742" s="442">
        <f>Ruimtestaat[[#This Row],[Uitvoeringen werkdagen]]*Ruimtestaat[[#This Row],[Gedeeltelijk]]</f>
        <v>0</v>
      </c>
      <c r="Z742" s="443">
        <f>IF(U742&gt;0,Ruimtestaat[[#This Row],[Prest. (m2 / jaar) werkdagen gedeeld]]/Ruimtestaat[[#This Row],[Norm (m2/uur) werkdagen]],0)</f>
        <v>0</v>
      </c>
      <c r="AA742" s="441">
        <f>Ruimtestaat[[#This Row],[uren / jaar werkdagen gedeeld]]*Tariefsopbouw!$E$35</f>
        <v>0</v>
      </c>
      <c r="AB742" s="441">
        <f>Ruimtestaat[[#This Row],[Uitvoeringen werkdagen]]*Ruimtestaat[[#This Row],[BSO]]</f>
        <v>0</v>
      </c>
      <c r="AC742" s="443">
        <f>IF(U742&gt;0,Ruimtestaat[[#This Row],[Prest. (m2 / jaar) werkdagen BSO]]/Ruimtestaat[[#This Row],[Norm (m2/uur) werkdagen]],0)</f>
        <v>0</v>
      </c>
      <c r="AD742" s="443">
        <f>Ruimtestaat[[#This Row],[uren / jaar werkdagen BSO]]*Tariefsopbouw!$E$35</f>
        <v>0</v>
      </c>
      <c r="AE742" s="444">
        <f>Ruimtestaat[[#This Row],[uren / jaar werkdagen]]*Tariefsopbouw!$E$35</f>
        <v>0</v>
      </c>
      <c r="AF742" s="454"/>
      <c r="AG742" s="455">
        <f>IF(Ruimtestaat[[#This Row],[Frequentie weekend]]&gt;0,VALUE(LEFT(AF742,1))*S742,0)</f>
        <v>0</v>
      </c>
      <c r="AH742" s="455">
        <f>IF($AG742&gt;0,VLOOKUP($J742,Ruimtegroepen[],3,FALSE)*VLOOKUP($L742,Vloersoorten[],3,FALSE)*VLOOKUP($AF742,Frequenties[],3,FALSE)*VLOOKUP(#REF!,Locaties[],3,FALSE),0)</f>
        <v>0</v>
      </c>
      <c r="AI742" s="434">
        <f>Ruimtestaat[[#This Row],[Uitvoeringen weekend]]*Ruimtestaat[[#This Row],[Oppervlak (netto)]]</f>
        <v>0</v>
      </c>
      <c r="AJ742" s="434">
        <f>IF(AH742&gt;0,Ruimtestaat[[#This Row],[Prest. (m2 /jaar) weekend]]/Ruimtestaat[[#This Row],[Norm (m2/uur) weekend]],0)</f>
        <v>0</v>
      </c>
      <c r="AK742" s="444">
        <f>Ruimtestaat[[#This Row],[uren / jaar weekend]]*Tariefsopbouw!$D$40</f>
        <v>0</v>
      </c>
      <c r="AL742" s="441">
        <f>Ruimtestaat[[#This Row],[Prest. (m2 /jaar) weekend]]+Ruimtestaat[[#This Row],[Prest. (m2 /jaar) werkdagen]]</f>
        <v>0</v>
      </c>
      <c r="AM742" s="441">
        <f>Ruimtestaat[[#This Row],[uren / jaar weekend]]+Ruimtestaat[[#This Row],[uren / jaar werkdagen]]</f>
        <v>0</v>
      </c>
      <c r="AN742" s="446">
        <f>Ruimtestaat[[#This Row],[kosten / jaar weekend]]+Ruimtestaat[[#This Row],[kosten / jaar werkdagen]]</f>
        <v>0</v>
      </c>
      <c r="AO742" s="446"/>
      <c r="AP742" s="446" t="str">
        <f>IF(Ruimtestaat[[#This Row],[Frequentie werkdagen]]="","",_xlfn.CONCAT(Ruimtestaat[[#This Row],[Ruimte code]],"-",Ruimtestaat[[#This Row],[Frequentie werkdagen]]," ",Ruimtestaat[[#This Row],[Vloer code]]))</f>
        <v/>
      </c>
      <c r="AQ742" s="448" t="str">
        <f>_xlfn.IFNA(VLOOKUP($AP742,Programma!$F$3:$G$1101,2,0),"")</f>
        <v/>
      </c>
      <c r="AR742" s="448" t="str">
        <f>_xlfn.IFNA(VLOOKUP($AP742,Programma!$F$3:$H$1101,3,0),"")</f>
        <v/>
      </c>
      <c r="AS742" s="448" t="str">
        <f>_xlfn.IFNA(VLOOKUP($AP742,Programma!$F$3:$I$1101,4,0),"")</f>
        <v/>
      </c>
      <c r="AT742" s="448" t="str">
        <f>_xlfn.IFNA(VLOOKUP($AP742,Programma!$F$3:$J$1101,5,0),"")</f>
        <v/>
      </c>
      <c r="AU742" s="448" t="str">
        <f>_xlfn.IFNA(VLOOKUP($AP742,Programma!$F$3:$K$1101,6,0),"")</f>
        <v/>
      </c>
      <c r="AV742" s="448" t="str">
        <f>_xlfn.IFNA(VLOOKUP($AP742,Programma!$F$3:$L$1101,7,0),"")</f>
        <v/>
      </c>
      <c r="AW742" s="448" t="str">
        <f>_xlfn.IFNA(VLOOKUP($AP742,Programma!$F$3:$M$1101,8,0),"")</f>
        <v/>
      </c>
      <c r="AX742" s="448" t="str">
        <f>_xlfn.IFNA(VLOOKUP($AP742,Programma!$F$3:$N$1101,9,0),"")</f>
        <v/>
      </c>
      <c r="AY742" s="448" t="str">
        <f>_xlfn.IFNA(VLOOKUP($AP742,Programma!$F$3:$O$1101,10,0),"")</f>
        <v/>
      </c>
      <c r="AZ742" s="448" t="str">
        <f>_xlfn.IFNA(VLOOKUP($AP742,Programma!$F$3:$P$1101,11,0),"")</f>
        <v/>
      </c>
      <c r="BA742" s="448" t="str">
        <f>_xlfn.IFNA(VLOOKUP($AP742,Programma!$F$3:$Q$1101,12,0),"")</f>
        <v/>
      </c>
      <c r="BB742" s="448" t="str">
        <f>_xlfn.IFNA(VLOOKUP($AP742,Programma!$F$3:$R$1101,13,0),"")</f>
        <v/>
      </c>
      <c r="BC742" s="448" t="str">
        <f>_xlfn.IFNA(VLOOKUP($AP742,Programma!$F$3:$S$1101,14,0),"")</f>
        <v/>
      </c>
      <c r="BD742" s="448" t="str">
        <f>_xlfn.IFNA(VLOOKUP($AP742,Programma!$F$3:$T$1101,15,0),"")</f>
        <v/>
      </c>
      <c r="BE742" s="448" t="str">
        <f>_xlfn.IFNA(VLOOKUP($AP742,Programma!$F$3:$U$1101,16,0),"")</f>
        <v/>
      </c>
      <c r="BF742" s="448" t="str">
        <f>_xlfn.IFNA(VLOOKUP($AP742,Programma!$F$3:$V$1101,17,0),"")</f>
        <v/>
      </c>
      <c r="BG742" s="448" t="str">
        <f>_xlfn.IFNA(VLOOKUP($AP742,Programma!$F$3:$W$1101,18,0),"")</f>
        <v/>
      </c>
      <c r="BH742" s="448" t="str">
        <f>_xlfn.IFNA(VLOOKUP($AP742,Programma!$F$3:$X$1101,19,0),"")</f>
        <v/>
      </c>
      <c r="BI742" s="448" t="str">
        <f>_xlfn.IFNA(VLOOKUP($AP742,Programma!$F$3:$Y$1101,20,0),"")</f>
        <v/>
      </c>
      <c r="BJ742" s="449"/>
      <c r="BK742" s="446" t="str">
        <f>IF(Ruimtestaat[[#This Row],[Frequentie weekend]]="","",_xlfn.CONCAT(Ruimtestaat[[#This Row],[Ruimte code]],"-",Ruimtestaat[[#This Row],[Frequentie weekend]]," ",Ruimtestaat[[#This Row],[Vloer code]]))</f>
        <v/>
      </c>
      <c r="BL742" s="448" t="str">
        <f>_xlfn.IFNA(VLOOKUP($BK742,Programma!$F$3:$G$1101,2,0),"")</f>
        <v/>
      </c>
      <c r="BM742" s="448" t="str">
        <f>_xlfn.IFNA(VLOOKUP($BK742,Programma!$F$3:$H$1101,3,0),"")</f>
        <v/>
      </c>
      <c r="BN742" s="448" t="str">
        <f>_xlfn.IFNA(VLOOKUP($BK742,Programma!$F$3:$I$1101,4,0),"")</f>
        <v/>
      </c>
      <c r="BO742" s="448" t="str">
        <f>_xlfn.IFNA(VLOOKUP($BK742,Programma!$F$3:$J$1101,5,0),"")</f>
        <v/>
      </c>
      <c r="BP742" s="448" t="str">
        <f>_xlfn.IFNA(VLOOKUP($BK742,Programma!$F$3:$K$1101,6,0),"")</f>
        <v/>
      </c>
      <c r="BQ742" s="448" t="str">
        <f>_xlfn.IFNA(VLOOKUP($BK742,Programma!$F$3:$L$1101,7,0),"")</f>
        <v/>
      </c>
      <c r="BR742" s="448" t="str">
        <f>_xlfn.IFNA(VLOOKUP($BK742,Programma!$F$3:$M$1101,8,0),"")</f>
        <v/>
      </c>
      <c r="BS742" s="448" t="str">
        <f>_xlfn.IFNA(VLOOKUP($BK742,Programma!$F$3:$N$1101,9,0),"")</f>
        <v/>
      </c>
      <c r="BT742" s="448" t="str">
        <f>_xlfn.IFNA(VLOOKUP($BK742,Programma!$F$3:$O$1101,10,0),"")</f>
        <v/>
      </c>
      <c r="BU742" s="448" t="str">
        <f>_xlfn.IFNA(VLOOKUP($BK742,Programma!$F$3:$P$1101,11,0),"")</f>
        <v/>
      </c>
      <c r="BV742" s="448" t="str">
        <f>_xlfn.IFNA(VLOOKUP($BK742,Programma!$F$3:$Q$1101,12,0),"")</f>
        <v/>
      </c>
      <c r="BW742" s="448" t="str">
        <f>_xlfn.IFNA(VLOOKUP($BK742,Programma!$F$3:$R$1101,13,0),"")</f>
        <v/>
      </c>
      <c r="BX742" s="448" t="str">
        <f>_xlfn.IFNA(VLOOKUP($BK742,Programma!$F$3:$S$1101,14,0),"")</f>
        <v/>
      </c>
      <c r="BY742" s="448" t="str">
        <f>_xlfn.IFNA(VLOOKUP($BK742,Programma!$F$3:$T$1101,15,0),"")</f>
        <v/>
      </c>
      <c r="BZ742" s="448" t="str">
        <f>_xlfn.IFNA(VLOOKUP($BK742,Programma!$F$3:$U$1101,16,0),"")</f>
        <v/>
      </c>
      <c r="CA742" s="448" t="str">
        <f>_xlfn.IFNA(VLOOKUP($BK742,Programma!$F$3:$V$1101,17,0),"")</f>
        <v/>
      </c>
      <c r="CB742" s="448" t="str">
        <f>_xlfn.IFNA(VLOOKUP($BK742,Programma!$F$3:$W$1101,18,0),"")</f>
        <v/>
      </c>
      <c r="CC742" s="448" t="str">
        <f>_xlfn.IFNA(VLOOKUP($BK742,Programma!$F$3:$X$1101,19,0),"")</f>
        <v/>
      </c>
      <c r="CD742" s="448" t="str">
        <f>_xlfn.IFNA(VLOOKUP($BK742,Programma!$F$3:$Y$1101,20,0),"")</f>
        <v/>
      </c>
    </row>
    <row r="743" spans="1:82" ht="15" customHeight="1">
      <c r="A743" s="327">
        <v>15</v>
      </c>
      <c r="B743" s="435" t="str">
        <f>VLOOKUP(Ruimtestaat[[#This Row],[Code]],Locaties[[Code]:[Locatie]],2,FALSE)</f>
        <v>IKC  Da Vinci</v>
      </c>
      <c r="C743" s="435" t="str">
        <f>VLOOKUP(Ruimtestaat[[#This Row],[Code]],Locaties[[#All],[Code]:[Adres]],4,FALSE)</f>
        <v>Spitsbergen 17</v>
      </c>
      <c r="D743" s="435" t="str">
        <f>VLOOKUP(Ruimtestaat[[#This Row],[Code]],Locaties[[#All],[Code]:[Postcode]],5,FALSE)</f>
        <v>2721 GP</v>
      </c>
      <c r="E743" s="435" t="str">
        <f>VLOOKUP(Ruimtestaat[[#This Row],[Code]],Locaties[#All],6,FALSE)</f>
        <v>Zoetermeer</v>
      </c>
      <c r="F743" s="330" t="s">
        <v>2154</v>
      </c>
      <c r="I743" s="450" t="s">
        <v>1895</v>
      </c>
      <c r="J743" s="330">
        <v>20</v>
      </c>
      <c r="K743" s="450" t="str">
        <f>VLOOKUP(Ruimtestaat[[#This Row],[Ruimte code]],Ruimtegroepen[[#All],[Code]:[Ruimte omschrijving]],2,FALSE)</f>
        <v>Niet in Onderhoud</v>
      </c>
      <c r="M743" s="330"/>
      <c r="N743" s="439"/>
      <c r="O743" s="439">
        <v>6</v>
      </c>
      <c r="P743" s="439"/>
      <c r="Q743" s="439"/>
      <c r="R743" s="440">
        <f>VLOOKUP(Ruimtestaat[[#This Row],[Ruimte code]],Ruimtegroepen[],4,FALSE)</f>
        <v>0</v>
      </c>
      <c r="S743" s="434"/>
      <c r="T743" s="434"/>
      <c r="U743" s="453">
        <f>IF(S743&gt;0,IF(RIGHT(Ruimtestaat[[#This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3" s="434">
        <f>IF(U743&gt;0,VLOOKUP($J743,Ruimtegroepen[],3,FALSE)*VLOOKUP($L743,Vloersoorten[],3,FALSE)*VLOOKUP($T743,Frequenties[],3,FALSE)*VLOOKUP($A743,Locaties[],3,FALSE),0)</f>
        <v>0</v>
      </c>
      <c r="W743" s="434">
        <f>Ruimtestaat[[#This Row],[Uitvoeringen werkdagen]]*Ruimtestaat[[#This Row],[Oppervlak (netto)]]</f>
        <v>0</v>
      </c>
      <c r="X743" s="441">
        <f>IF(V743&gt;0,Ruimtestaat[[#This Row],[Prest. (m2 /jaar) werkdagen]]/Ruimtestaat[[#This Row],[Norm (m2/uur) werkdagen]],0)</f>
        <v>0</v>
      </c>
      <c r="Y743" s="442">
        <f>Ruimtestaat[[#This Row],[Uitvoeringen werkdagen]]*Ruimtestaat[[#This Row],[Gedeeltelijk]]</f>
        <v>0</v>
      </c>
      <c r="Z743" s="443">
        <f>IF(U743&gt;0,Ruimtestaat[[#This Row],[Prest. (m2 / jaar) werkdagen gedeeld]]/Ruimtestaat[[#This Row],[Norm (m2/uur) werkdagen]],0)</f>
        <v>0</v>
      </c>
      <c r="AA743" s="441">
        <f>Ruimtestaat[[#This Row],[uren / jaar werkdagen gedeeld]]*Tariefsopbouw!$E$35</f>
        <v>0</v>
      </c>
      <c r="AB743" s="441">
        <f>Ruimtestaat[[#This Row],[Uitvoeringen werkdagen]]*Ruimtestaat[[#This Row],[BSO]]</f>
        <v>0</v>
      </c>
      <c r="AC743" s="443">
        <f>IF(U743&gt;0,Ruimtestaat[[#This Row],[Prest. (m2 / jaar) werkdagen BSO]]/Ruimtestaat[[#This Row],[Norm (m2/uur) werkdagen]],0)</f>
        <v>0</v>
      </c>
      <c r="AD743" s="443">
        <f>Ruimtestaat[[#This Row],[uren / jaar werkdagen BSO]]*Tariefsopbouw!$E$35</f>
        <v>0</v>
      </c>
      <c r="AE743" s="444">
        <f>Ruimtestaat[[#This Row],[uren / jaar werkdagen]]*Tariefsopbouw!$E$35</f>
        <v>0</v>
      </c>
      <c r="AF743" s="454"/>
      <c r="AG743" s="455">
        <f>IF(Ruimtestaat[[#This Row],[Frequentie weekend]]&gt;0,VALUE(LEFT(AF743,1))*S743,0)</f>
        <v>0</v>
      </c>
      <c r="AH743" s="455">
        <f>IF($AG743&gt;0,VLOOKUP($J743,Ruimtegroepen[],3,FALSE)*VLOOKUP($L743,Vloersoorten[],3,FALSE)*VLOOKUP($AF743,Frequenties[],3,FALSE)*VLOOKUP(#REF!,Locaties[],3,FALSE),0)</f>
        <v>0</v>
      </c>
      <c r="AI743" s="434">
        <f>Ruimtestaat[[#This Row],[Uitvoeringen weekend]]*Ruimtestaat[[#This Row],[Oppervlak (netto)]]</f>
        <v>0</v>
      </c>
      <c r="AJ743" s="434">
        <f>IF(AH743&gt;0,Ruimtestaat[[#This Row],[Prest. (m2 /jaar) weekend]]/Ruimtestaat[[#This Row],[Norm (m2/uur) weekend]],0)</f>
        <v>0</v>
      </c>
      <c r="AK743" s="444">
        <f>Ruimtestaat[[#This Row],[uren / jaar weekend]]*Tariefsopbouw!$D$40</f>
        <v>0</v>
      </c>
      <c r="AL743" s="441">
        <f>Ruimtestaat[[#This Row],[Prest. (m2 /jaar) weekend]]+Ruimtestaat[[#This Row],[Prest. (m2 /jaar) werkdagen]]</f>
        <v>0</v>
      </c>
      <c r="AM743" s="441">
        <f>Ruimtestaat[[#This Row],[uren / jaar weekend]]+Ruimtestaat[[#This Row],[uren / jaar werkdagen]]</f>
        <v>0</v>
      </c>
      <c r="AN743" s="446">
        <f>Ruimtestaat[[#This Row],[kosten / jaar weekend]]+Ruimtestaat[[#This Row],[kosten / jaar werkdagen]]</f>
        <v>0</v>
      </c>
      <c r="AO743" s="446"/>
      <c r="AP743" s="446" t="str">
        <f>IF(Ruimtestaat[[#This Row],[Frequentie werkdagen]]="","",_xlfn.CONCAT(Ruimtestaat[[#This Row],[Ruimte code]],"-",Ruimtestaat[[#This Row],[Frequentie werkdagen]]," ",Ruimtestaat[[#This Row],[Vloer code]]))</f>
        <v/>
      </c>
      <c r="AQ743" s="448" t="str">
        <f>_xlfn.IFNA(VLOOKUP($AP743,Programma!$F$3:$G$1101,2,0),"")</f>
        <v/>
      </c>
      <c r="AR743" s="448" t="str">
        <f>_xlfn.IFNA(VLOOKUP($AP743,Programma!$F$3:$H$1101,3,0),"")</f>
        <v/>
      </c>
      <c r="AS743" s="448" t="str">
        <f>_xlfn.IFNA(VLOOKUP($AP743,Programma!$F$3:$I$1101,4,0),"")</f>
        <v/>
      </c>
      <c r="AT743" s="448" t="str">
        <f>_xlfn.IFNA(VLOOKUP($AP743,Programma!$F$3:$J$1101,5,0),"")</f>
        <v/>
      </c>
      <c r="AU743" s="448" t="str">
        <f>_xlfn.IFNA(VLOOKUP($AP743,Programma!$F$3:$K$1101,6,0),"")</f>
        <v/>
      </c>
      <c r="AV743" s="448" t="str">
        <f>_xlfn.IFNA(VLOOKUP($AP743,Programma!$F$3:$L$1101,7,0),"")</f>
        <v/>
      </c>
      <c r="AW743" s="448" t="str">
        <f>_xlfn.IFNA(VLOOKUP($AP743,Programma!$F$3:$M$1101,8,0),"")</f>
        <v/>
      </c>
      <c r="AX743" s="448" t="str">
        <f>_xlfn.IFNA(VLOOKUP($AP743,Programma!$F$3:$N$1101,9,0),"")</f>
        <v/>
      </c>
      <c r="AY743" s="448" t="str">
        <f>_xlfn.IFNA(VLOOKUP($AP743,Programma!$F$3:$O$1101,10,0),"")</f>
        <v/>
      </c>
      <c r="AZ743" s="448" t="str">
        <f>_xlfn.IFNA(VLOOKUP($AP743,Programma!$F$3:$P$1101,11,0),"")</f>
        <v/>
      </c>
      <c r="BA743" s="448" t="str">
        <f>_xlfn.IFNA(VLOOKUP($AP743,Programma!$F$3:$Q$1101,12,0),"")</f>
        <v/>
      </c>
      <c r="BB743" s="448" t="str">
        <f>_xlfn.IFNA(VLOOKUP($AP743,Programma!$F$3:$R$1101,13,0),"")</f>
        <v/>
      </c>
      <c r="BC743" s="448" t="str">
        <f>_xlfn.IFNA(VLOOKUP($AP743,Programma!$F$3:$S$1101,14,0),"")</f>
        <v/>
      </c>
      <c r="BD743" s="448" t="str">
        <f>_xlfn.IFNA(VLOOKUP($AP743,Programma!$F$3:$T$1101,15,0),"")</f>
        <v/>
      </c>
      <c r="BE743" s="448" t="str">
        <f>_xlfn.IFNA(VLOOKUP($AP743,Programma!$F$3:$U$1101,16,0),"")</f>
        <v/>
      </c>
      <c r="BF743" s="448" t="str">
        <f>_xlfn.IFNA(VLOOKUP($AP743,Programma!$F$3:$V$1101,17,0),"")</f>
        <v/>
      </c>
      <c r="BG743" s="448" t="str">
        <f>_xlfn.IFNA(VLOOKUP($AP743,Programma!$F$3:$W$1101,18,0),"")</f>
        <v/>
      </c>
      <c r="BH743" s="448" t="str">
        <f>_xlfn.IFNA(VLOOKUP($AP743,Programma!$F$3:$X$1101,19,0),"")</f>
        <v/>
      </c>
      <c r="BI743" s="448" t="str">
        <f>_xlfn.IFNA(VLOOKUP($AP743,Programma!$F$3:$Y$1101,20,0),"")</f>
        <v/>
      </c>
      <c r="BJ743" s="449"/>
      <c r="BK743" s="446" t="str">
        <f>IF(Ruimtestaat[[#This Row],[Frequentie weekend]]="","",_xlfn.CONCAT(Ruimtestaat[[#This Row],[Ruimte code]],"-",Ruimtestaat[[#This Row],[Frequentie weekend]]," ",Ruimtestaat[[#This Row],[Vloer code]]))</f>
        <v/>
      </c>
      <c r="BL743" s="448" t="str">
        <f>_xlfn.IFNA(VLOOKUP($BK743,Programma!$F$3:$G$1101,2,0),"")</f>
        <v/>
      </c>
      <c r="BM743" s="448" t="str">
        <f>_xlfn.IFNA(VLOOKUP($BK743,Programma!$F$3:$H$1101,3,0),"")</f>
        <v/>
      </c>
      <c r="BN743" s="448" t="str">
        <f>_xlfn.IFNA(VLOOKUP($BK743,Programma!$F$3:$I$1101,4,0),"")</f>
        <v/>
      </c>
      <c r="BO743" s="448" t="str">
        <f>_xlfn.IFNA(VLOOKUP($BK743,Programma!$F$3:$J$1101,5,0),"")</f>
        <v/>
      </c>
      <c r="BP743" s="448" t="str">
        <f>_xlfn.IFNA(VLOOKUP($BK743,Programma!$F$3:$K$1101,6,0),"")</f>
        <v/>
      </c>
      <c r="BQ743" s="448" t="str">
        <f>_xlfn.IFNA(VLOOKUP($BK743,Programma!$F$3:$L$1101,7,0),"")</f>
        <v/>
      </c>
      <c r="BR743" s="448" t="str">
        <f>_xlfn.IFNA(VLOOKUP($BK743,Programma!$F$3:$M$1101,8,0),"")</f>
        <v/>
      </c>
      <c r="BS743" s="448" t="str">
        <f>_xlfn.IFNA(VLOOKUP($BK743,Programma!$F$3:$N$1101,9,0),"")</f>
        <v/>
      </c>
      <c r="BT743" s="448" t="str">
        <f>_xlfn.IFNA(VLOOKUP($BK743,Programma!$F$3:$O$1101,10,0),"")</f>
        <v/>
      </c>
      <c r="BU743" s="448" t="str">
        <f>_xlfn.IFNA(VLOOKUP($BK743,Programma!$F$3:$P$1101,11,0),"")</f>
        <v/>
      </c>
      <c r="BV743" s="448" t="str">
        <f>_xlfn.IFNA(VLOOKUP($BK743,Programma!$F$3:$Q$1101,12,0),"")</f>
        <v/>
      </c>
      <c r="BW743" s="448" t="str">
        <f>_xlfn.IFNA(VLOOKUP($BK743,Programma!$F$3:$R$1101,13,0),"")</f>
        <v/>
      </c>
      <c r="BX743" s="448" t="str">
        <f>_xlfn.IFNA(VLOOKUP($BK743,Programma!$F$3:$S$1101,14,0),"")</f>
        <v/>
      </c>
      <c r="BY743" s="448" t="str">
        <f>_xlfn.IFNA(VLOOKUP($BK743,Programma!$F$3:$T$1101,15,0),"")</f>
        <v/>
      </c>
      <c r="BZ743" s="448" t="str">
        <f>_xlfn.IFNA(VLOOKUP($BK743,Programma!$F$3:$U$1101,16,0),"")</f>
        <v/>
      </c>
      <c r="CA743" s="448" t="str">
        <f>_xlfn.IFNA(VLOOKUP($BK743,Programma!$F$3:$V$1101,17,0),"")</f>
        <v/>
      </c>
      <c r="CB743" s="448" t="str">
        <f>_xlfn.IFNA(VLOOKUP($BK743,Programma!$F$3:$W$1101,18,0),"")</f>
        <v/>
      </c>
      <c r="CC743" s="448" t="str">
        <f>_xlfn.IFNA(VLOOKUP($BK743,Programma!$F$3:$X$1101,19,0),"")</f>
        <v/>
      </c>
      <c r="CD743" s="448" t="str">
        <f>_xlfn.IFNA(VLOOKUP($BK743,Programma!$F$3:$Y$1101,20,0),"")</f>
        <v/>
      </c>
    </row>
    <row r="744" spans="1:82" ht="15" customHeight="1">
      <c r="A744" s="327">
        <v>15</v>
      </c>
      <c r="B744" s="435" t="str">
        <f>VLOOKUP(Ruimtestaat[[#This Row],[Code]],Locaties[[Code]:[Locatie]],2,FALSE)</f>
        <v>IKC  Da Vinci</v>
      </c>
      <c r="C744" s="435" t="str">
        <f>VLOOKUP(Ruimtestaat[[#This Row],[Code]],Locaties[[#All],[Code]:[Adres]],4,FALSE)</f>
        <v>Spitsbergen 17</v>
      </c>
      <c r="D744" s="435" t="str">
        <f>VLOOKUP(Ruimtestaat[[#This Row],[Code]],Locaties[[#All],[Code]:[Postcode]],5,FALSE)</f>
        <v>2721 GP</v>
      </c>
      <c r="E744" s="435" t="str">
        <f>VLOOKUP(Ruimtestaat[[#This Row],[Code]],Locaties[#All],6,FALSE)</f>
        <v>Zoetermeer</v>
      </c>
      <c r="F744" s="330" t="s">
        <v>2154</v>
      </c>
      <c r="I744" s="450" t="s">
        <v>2000</v>
      </c>
      <c r="J744" s="330">
        <v>20</v>
      </c>
      <c r="K744" s="450" t="str">
        <f>VLOOKUP(Ruimtestaat[[#This Row],[Ruimte code]],Ruimtegroepen[[#All],[Code]:[Ruimte omschrijving]],2,FALSE)</f>
        <v>Niet in Onderhoud</v>
      </c>
      <c r="M744" s="330"/>
      <c r="N744" s="439"/>
      <c r="O744" s="439">
        <v>9</v>
      </c>
      <c r="P744" s="439"/>
      <c r="Q744" s="439"/>
      <c r="R744" s="440">
        <f>VLOOKUP(Ruimtestaat[[#This Row],[Ruimte code]],Ruimtegroepen[],4,FALSE)</f>
        <v>0</v>
      </c>
      <c r="S744" s="434"/>
      <c r="T744" s="434"/>
      <c r="U744" s="453">
        <f>IF(S744&gt;0,IF(RIGHT(Ruimtestaat[[#This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4" s="434">
        <f>IF(U744&gt;0,VLOOKUP($J744,Ruimtegroepen[],3,FALSE)*VLOOKUP($L744,Vloersoorten[],3,FALSE)*VLOOKUP($T744,Frequenties[],3,FALSE)*VLOOKUP($A744,Locaties[],3,FALSE),0)</f>
        <v>0</v>
      </c>
      <c r="W744" s="434">
        <f>Ruimtestaat[[#This Row],[Uitvoeringen werkdagen]]*Ruimtestaat[[#This Row],[Oppervlak (netto)]]</f>
        <v>0</v>
      </c>
      <c r="X744" s="441">
        <f>IF(V744&gt;0,Ruimtestaat[[#This Row],[Prest. (m2 /jaar) werkdagen]]/Ruimtestaat[[#This Row],[Norm (m2/uur) werkdagen]],0)</f>
        <v>0</v>
      </c>
      <c r="Y744" s="442">
        <f>Ruimtestaat[[#This Row],[Uitvoeringen werkdagen]]*Ruimtestaat[[#This Row],[Gedeeltelijk]]</f>
        <v>0</v>
      </c>
      <c r="Z744" s="443">
        <f>IF(U744&gt;0,Ruimtestaat[[#This Row],[Prest. (m2 / jaar) werkdagen gedeeld]]/Ruimtestaat[[#This Row],[Norm (m2/uur) werkdagen]],0)</f>
        <v>0</v>
      </c>
      <c r="AA744" s="441">
        <f>Ruimtestaat[[#This Row],[uren / jaar werkdagen gedeeld]]*Tariefsopbouw!$E$35</f>
        <v>0</v>
      </c>
      <c r="AB744" s="441">
        <f>Ruimtestaat[[#This Row],[Uitvoeringen werkdagen]]*Ruimtestaat[[#This Row],[BSO]]</f>
        <v>0</v>
      </c>
      <c r="AC744" s="443">
        <f>IF(U744&gt;0,Ruimtestaat[[#This Row],[Prest. (m2 / jaar) werkdagen BSO]]/Ruimtestaat[[#This Row],[Norm (m2/uur) werkdagen]],0)</f>
        <v>0</v>
      </c>
      <c r="AD744" s="443">
        <f>Ruimtestaat[[#This Row],[uren / jaar werkdagen BSO]]*Tariefsopbouw!$E$35</f>
        <v>0</v>
      </c>
      <c r="AE744" s="444">
        <f>Ruimtestaat[[#This Row],[uren / jaar werkdagen]]*Tariefsopbouw!$E$35</f>
        <v>0</v>
      </c>
      <c r="AF744" s="454"/>
      <c r="AG744" s="455">
        <f>IF(Ruimtestaat[[#This Row],[Frequentie weekend]]&gt;0,VALUE(LEFT(AF744,1))*S744,0)</f>
        <v>0</v>
      </c>
      <c r="AH744" s="455">
        <f>IF($AG744&gt;0,VLOOKUP($J744,Ruimtegroepen[],3,FALSE)*VLOOKUP($L744,Vloersoorten[],3,FALSE)*VLOOKUP($AF744,Frequenties[],3,FALSE)*VLOOKUP(#REF!,Locaties[],3,FALSE),0)</f>
        <v>0</v>
      </c>
      <c r="AI744" s="434">
        <f>Ruimtestaat[[#This Row],[Uitvoeringen weekend]]*Ruimtestaat[[#This Row],[Oppervlak (netto)]]</f>
        <v>0</v>
      </c>
      <c r="AJ744" s="434">
        <f>IF(AH744&gt;0,Ruimtestaat[[#This Row],[Prest. (m2 /jaar) weekend]]/Ruimtestaat[[#This Row],[Norm (m2/uur) weekend]],0)</f>
        <v>0</v>
      </c>
      <c r="AK744" s="444">
        <f>Ruimtestaat[[#This Row],[uren / jaar weekend]]*Tariefsopbouw!$D$40</f>
        <v>0</v>
      </c>
      <c r="AL744" s="441">
        <f>Ruimtestaat[[#This Row],[Prest. (m2 /jaar) weekend]]+Ruimtestaat[[#This Row],[Prest. (m2 /jaar) werkdagen]]</f>
        <v>0</v>
      </c>
      <c r="AM744" s="441">
        <f>Ruimtestaat[[#This Row],[uren / jaar weekend]]+Ruimtestaat[[#This Row],[uren / jaar werkdagen]]</f>
        <v>0</v>
      </c>
      <c r="AN744" s="446">
        <f>Ruimtestaat[[#This Row],[kosten / jaar weekend]]+Ruimtestaat[[#This Row],[kosten / jaar werkdagen]]</f>
        <v>0</v>
      </c>
      <c r="AO744" s="446"/>
      <c r="AP744" s="446" t="str">
        <f>IF(Ruimtestaat[[#This Row],[Frequentie werkdagen]]="","",_xlfn.CONCAT(Ruimtestaat[[#This Row],[Ruimte code]],"-",Ruimtestaat[[#This Row],[Frequentie werkdagen]]," ",Ruimtestaat[[#This Row],[Vloer code]]))</f>
        <v/>
      </c>
      <c r="AQ744" s="448" t="str">
        <f>_xlfn.IFNA(VLOOKUP($AP744,Programma!$F$3:$G$1101,2,0),"")</f>
        <v/>
      </c>
      <c r="AR744" s="448" t="str">
        <f>_xlfn.IFNA(VLOOKUP($AP744,Programma!$F$3:$H$1101,3,0),"")</f>
        <v/>
      </c>
      <c r="AS744" s="448" t="str">
        <f>_xlfn.IFNA(VLOOKUP($AP744,Programma!$F$3:$I$1101,4,0),"")</f>
        <v/>
      </c>
      <c r="AT744" s="448" t="str">
        <f>_xlfn.IFNA(VLOOKUP($AP744,Programma!$F$3:$J$1101,5,0),"")</f>
        <v/>
      </c>
      <c r="AU744" s="448" t="str">
        <f>_xlfn.IFNA(VLOOKUP($AP744,Programma!$F$3:$K$1101,6,0),"")</f>
        <v/>
      </c>
      <c r="AV744" s="448" t="str">
        <f>_xlfn.IFNA(VLOOKUP($AP744,Programma!$F$3:$L$1101,7,0),"")</f>
        <v/>
      </c>
      <c r="AW744" s="448" t="str">
        <f>_xlfn.IFNA(VLOOKUP($AP744,Programma!$F$3:$M$1101,8,0),"")</f>
        <v/>
      </c>
      <c r="AX744" s="448" t="str">
        <f>_xlfn.IFNA(VLOOKUP($AP744,Programma!$F$3:$N$1101,9,0),"")</f>
        <v/>
      </c>
      <c r="AY744" s="448" t="str">
        <f>_xlfn.IFNA(VLOOKUP($AP744,Programma!$F$3:$O$1101,10,0),"")</f>
        <v/>
      </c>
      <c r="AZ744" s="448" t="str">
        <f>_xlfn.IFNA(VLOOKUP($AP744,Programma!$F$3:$P$1101,11,0),"")</f>
        <v/>
      </c>
      <c r="BA744" s="448" t="str">
        <f>_xlfn.IFNA(VLOOKUP($AP744,Programma!$F$3:$Q$1101,12,0),"")</f>
        <v/>
      </c>
      <c r="BB744" s="448" t="str">
        <f>_xlfn.IFNA(VLOOKUP($AP744,Programma!$F$3:$R$1101,13,0),"")</f>
        <v/>
      </c>
      <c r="BC744" s="448" t="str">
        <f>_xlfn.IFNA(VLOOKUP($AP744,Programma!$F$3:$S$1101,14,0),"")</f>
        <v/>
      </c>
      <c r="BD744" s="448" t="str">
        <f>_xlfn.IFNA(VLOOKUP($AP744,Programma!$F$3:$T$1101,15,0),"")</f>
        <v/>
      </c>
      <c r="BE744" s="448" t="str">
        <f>_xlfn.IFNA(VLOOKUP($AP744,Programma!$F$3:$U$1101,16,0),"")</f>
        <v/>
      </c>
      <c r="BF744" s="448" t="str">
        <f>_xlfn.IFNA(VLOOKUP($AP744,Programma!$F$3:$V$1101,17,0),"")</f>
        <v/>
      </c>
      <c r="BG744" s="448" t="str">
        <f>_xlfn.IFNA(VLOOKUP($AP744,Programma!$F$3:$W$1101,18,0),"")</f>
        <v/>
      </c>
      <c r="BH744" s="448" t="str">
        <f>_xlfn.IFNA(VLOOKUP($AP744,Programma!$F$3:$X$1101,19,0),"")</f>
        <v/>
      </c>
      <c r="BI744" s="448" t="str">
        <f>_xlfn.IFNA(VLOOKUP($AP744,Programma!$F$3:$Y$1101,20,0),"")</f>
        <v/>
      </c>
      <c r="BJ744" s="449"/>
      <c r="BK744" s="446" t="str">
        <f>IF(Ruimtestaat[[#This Row],[Frequentie weekend]]="","",_xlfn.CONCAT(Ruimtestaat[[#This Row],[Ruimte code]],"-",Ruimtestaat[[#This Row],[Frequentie weekend]]," ",Ruimtestaat[[#This Row],[Vloer code]]))</f>
        <v/>
      </c>
      <c r="BL744" s="448" t="str">
        <f>_xlfn.IFNA(VLOOKUP($BK744,Programma!$F$3:$G$1101,2,0),"")</f>
        <v/>
      </c>
      <c r="BM744" s="448" t="str">
        <f>_xlfn.IFNA(VLOOKUP($BK744,Programma!$F$3:$H$1101,3,0),"")</f>
        <v/>
      </c>
      <c r="BN744" s="448" t="str">
        <f>_xlfn.IFNA(VLOOKUP($BK744,Programma!$F$3:$I$1101,4,0),"")</f>
        <v/>
      </c>
      <c r="BO744" s="448" t="str">
        <f>_xlfn.IFNA(VLOOKUP($BK744,Programma!$F$3:$J$1101,5,0),"")</f>
        <v/>
      </c>
      <c r="BP744" s="448" t="str">
        <f>_xlfn.IFNA(VLOOKUP($BK744,Programma!$F$3:$K$1101,6,0),"")</f>
        <v/>
      </c>
      <c r="BQ744" s="448" t="str">
        <f>_xlfn.IFNA(VLOOKUP($BK744,Programma!$F$3:$L$1101,7,0),"")</f>
        <v/>
      </c>
      <c r="BR744" s="448" t="str">
        <f>_xlfn.IFNA(VLOOKUP($BK744,Programma!$F$3:$M$1101,8,0),"")</f>
        <v/>
      </c>
      <c r="BS744" s="448" t="str">
        <f>_xlfn.IFNA(VLOOKUP($BK744,Programma!$F$3:$N$1101,9,0),"")</f>
        <v/>
      </c>
      <c r="BT744" s="448" t="str">
        <f>_xlfn.IFNA(VLOOKUP($BK744,Programma!$F$3:$O$1101,10,0),"")</f>
        <v/>
      </c>
      <c r="BU744" s="448" t="str">
        <f>_xlfn.IFNA(VLOOKUP($BK744,Programma!$F$3:$P$1101,11,0),"")</f>
        <v/>
      </c>
      <c r="BV744" s="448" t="str">
        <f>_xlfn.IFNA(VLOOKUP($BK744,Programma!$F$3:$Q$1101,12,0),"")</f>
        <v/>
      </c>
      <c r="BW744" s="448" t="str">
        <f>_xlfn.IFNA(VLOOKUP($BK744,Programma!$F$3:$R$1101,13,0),"")</f>
        <v/>
      </c>
      <c r="BX744" s="448" t="str">
        <f>_xlfn.IFNA(VLOOKUP($BK744,Programma!$F$3:$S$1101,14,0),"")</f>
        <v/>
      </c>
      <c r="BY744" s="448" t="str">
        <f>_xlfn.IFNA(VLOOKUP($BK744,Programma!$F$3:$T$1101,15,0),"")</f>
        <v/>
      </c>
      <c r="BZ744" s="448" t="str">
        <f>_xlfn.IFNA(VLOOKUP($BK744,Programma!$F$3:$U$1101,16,0),"")</f>
        <v/>
      </c>
      <c r="CA744" s="448" t="str">
        <f>_xlfn.IFNA(VLOOKUP($BK744,Programma!$F$3:$V$1101,17,0),"")</f>
        <v/>
      </c>
      <c r="CB744" s="448" t="str">
        <f>_xlfn.IFNA(VLOOKUP($BK744,Programma!$F$3:$W$1101,18,0),"")</f>
        <v/>
      </c>
      <c r="CC744" s="448" t="str">
        <f>_xlfn.IFNA(VLOOKUP($BK744,Programma!$F$3:$X$1101,19,0),"")</f>
        <v/>
      </c>
      <c r="CD744" s="448" t="str">
        <f>_xlfn.IFNA(VLOOKUP($BK744,Programma!$F$3:$Y$1101,20,0),"")</f>
        <v/>
      </c>
    </row>
    <row r="745" spans="1:82" ht="15" customHeight="1">
      <c r="A745" s="327">
        <v>15</v>
      </c>
      <c r="B745" s="435" t="str">
        <f>VLOOKUP(Ruimtestaat[[#This Row],[Code]],Locaties[[Code]:[Locatie]],2,FALSE)</f>
        <v>IKC  Da Vinci</v>
      </c>
      <c r="C745" s="435" t="str">
        <f>VLOOKUP(Ruimtestaat[[#This Row],[Code]],Locaties[[#All],[Code]:[Adres]],4,FALSE)</f>
        <v>Spitsbergen 17</v>
      </c>
      <c r="D745" s="435" t="str">
        <f>VLOOKUP(Ruimtestaat[[#This Row],[Code]],Locaties[[#All],[Code]:[Postcode]],5,FALSE)</f>
        <v>2721 GP</v>
      </c>
      <c r="E745" s="435" t="str">
        <f>VLOOKUP(Ruimtestaat[[#This Row],[Code]],Locaties[#All],6,FALSE)</f>
        <v>Zoetermeer</v>
      </c>
      <c r="F745" s="330" t="s">
        <v>2154</v>
      </c>
      <c r="I745" s="450" t="s">
        <v>2000</v>
      </c>
      <c r="J745" s="330">
        <v>20</v>
      </c>
      <c r="K745" s="450" t="str">
        <f>VLOOKUP(Ruimtestaat[[#This Row],[Ruimte code]],Ruimtegroepen[[#All],[Code]:[Ruimte omschrijving]],2,FALSE)</f>
        <v>Niet in Onderhoud</v>
      </c>
      <c r="M745" s="330"/>
      <c r="N745" s="439"/>
      <c r="O745" s="439">
        <v>5</v>
      </c>
      <c r="P745" s="439"/>
      <c r="Q745" s="439"/>
      <c r="R745" s="440">
        <f>VLOOKUP(Ruimtestaat[[#This Row],[Ruimte code]],Ruimtegroepen[],4,FALSE)</f>
        <v>0</v>
      </c>
      <c r="S745" s="434"/>
      <c r="T745" s="434"/>
      <c r="U745" s="453">
        <f>IF(S745&gt;0,IF(RIGHT(Ruimtestaat[[#This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5" s="434">
        <f>IF(U745&gt;0,VLOOKUP($J745,Ruimtegroepen[],3,FALSE)*VLOOKUP($L745,Vloersoorten[],3,FALSE)*VLOOKUP($T745,Frequenties[],3,FALSE)*VLOOKUP($A745,Locaties[],3,FALSE),0)</f>
        <v>0</v>
      </c>
      <c r="W745" s="434">
        <f>Ruimtestaat[[#This Row],[Uitvoeringen werkdagen]]*Ruimtestaat[[#This Row],[Oppervlak (netto)]]</f>
        <v>0</v>
      </c>
      <c r="X745" s="441">
        <f>IF(V745&gt;0,Ruimtestaat[[#This Row],[Prest. (m2 /jaar) werkdagen]]/Ruimtestaat[[#This Row],[Norm (m2/uur) werkdagen]],0)</f>
        <v>0</v>
      </c>
      <c r="Y745" s="442">
        <f>Ruimtestaat[[#This Row],[Uitvoeringen werkdagen]]*Ruimtestaat[[#This Row],[Gedeeltelijk]]</f>
        <v>0</v>
      </c>
      <c r="Z745" s="443">
        <f>IF(U745&gt;0,Ruimtestaat[[#This Row],[Prest. (m2 / jaar) werkdagen gedeeld]]/Ruimtestaat[[#This Row],[Norm (m2/uur) werkdagen]],0)</f>
        <v>0</v>
      </c>
      <c r="AA745" s="441">
        <f>Ruimtestaat[[#This Row],[uren / jaar werkdagen gedeeld]]*Tariefsopbouw!$E$35</f>
        <v>0</v>
      </c>
      <c r="AB745" s="441">
        <f>Ruimtestaat[[#This Row],[Uitvoeringen werkdagen]]*Ruimtestaat[[#This Row],[BSO]]</f>
        <v>0</v>
      </c>
      <c r="AC745" s="443">
        <f>IF(U745&gt;0,Ruimtestaat[[#This Row],[Prest. (m2 / jaar) werkdagen BSO]]/Ruimtestaat[[#This Row],[Norm (m2/uur) werkdagen]],0)</f>
        <v>0</v>
      </c>
      <c r="AD745" s="443">
        <f>Ruimtestaat[[#This Row],[uren / jaar werkdagen BSO]]*Tariefsopbouw!$E$35</f>
        <v>0</v>
      </c>
      <c r="AE745" s="444">
        <f>Ruimtestaat[[#This Row],[uren / jaar werkdagen]]*Tariefsopbouw!$E$35</f>
        <v>0</v>
      </c>
      <c r="AF745" s="454"/>
      <c r="AG745" s="455">
        <f>IF(Ruimtestaat[[#This Row],[Frequentie weekend]]&gt;0,VALUE(LEFT(AF745,1))*S745,0)</f>
        <v>0</v>
      </c>
      <c r="AH745" s="455">
        <f>IF($AG745&gt;0,VLOOKUP($J745,Ruimtegroepen[],3,FALSE)*VLOOKUP($L745,Vloersoorten[],3,FALSE)*VLOOKUP($AF745,Frequenties[],3,FALSE)*VLOOKUP(#REF!,Locaties[],3,FALSE),0)</f>
        <v>0</v>
      </c>
      <c r="AI745" s="434">
        <f>Ruimtestaat[[#This Row],[Uitvoeringen weekend]]*Ruimtestaat[[#This Row],[Oppervlak (netto)]]</f>
        <v>0</v>
      </c>
      <c r="AJ745" s="434">
        <f>IF(AH745&gt;0,Ruimtestaat[[#This Row],[Prest. (m2 /jaar) weekend]]/Ruimtestaat[[#This Row],[Norm (m2/uur) weekend]],0)</f>
        <v>0</v>
      </c>
      <c r="AK745" s="444">
        <f>Ruimtestaat[[#This Row],[uren / jaar weekend]]*Tariefsopbouw!$D$40</f>
        <v>0</v>
      </c>
      <c r="AL745" s="441">
        <f>Ruimtestaat[[#This Row],[Prest. (m2 /jaar) weekend]]+Ruimtestaat[[#This Row],[Prest. (m2 /jaar) werkdagen]]</f>
        <v>0</v>
      </c>
      <c r="AM745" s="441">
        <f>Ruimtestaat[[#This Row],[uren / jaar weekend]]+Ruimtestaat[[#This Row],[uren / jaar werkdagen]]</f>
        <v>0</v>
      </c>
      <c r="AN745" s="446">
        <f>Ruimtestaat[[#This Row],[kosten / jaar weekend]]+Ruimtestaat[[#This Row],[kosten / jaar werkdagen]]</f>
        <v>0</v>
      </c>
      <c r="AO745" s="446"/>
      <c r="AP745" s="446" t="str">
        <f>IF(Ruimtestaat[[#This Row],[Frequentie werkdagen]]="","",_xlfn.CONCAT(Ruimtestaat[[#This Row],[Ruimte code]],"-",Ruimtestaat[[#This Row],[Frequentie werkdagen]]," ",Ruimtestaat[[#This Row],[Vloer code]]))</f>
        <v/>
      </c>
      <c r="AQ745" s="448" t="str">
        <f>_xlfn.IFNA(VLOOKUP($AP745,Programma!$F$3:$G$1101,2,0),"")</f>
        <v/>
      </c>
      <c r="AR745" s="448" t="str">
        <f>_xlfn.IFNA(VLOOKUP($AP745,Programma!$F$3:$H$1101,3,0),"")</f>
        <v/>
      </c>
      <c r="AS745" s="448" t="str">
        <f>_xlfn.IFNA(VLOOKUP($AP745,Programma!$F$3:$I$1101,4,0),"")</f>
        <v/>
      </c>
      <c r="AT745" s="448" t="str">
        <f>_xlfn.IFNA(VLOOKUP($AP745,Programma!$F$3:$J$1101,5,0),"")</f>
        <v/>
      </c>
      <c r="AU745" s="448" t="str">
        <f>_xlfn.IFNA(VLOOKUP($AP745,Programma!$F$3:$K$1101,6,0),"")</f>
        <v/>
      </c>
      <c r="AV745" s="448" t="str">
        <f>_xlfn.IFNA(VLOOKUP($AP745,Programma!$F$3:$L$1101,7,0),"")</f>
        <v/>
      </c>
      <c r="AW745" s="448" t="str">
        <f>_xlfn.IFNA(VLOOKUP($AP745,Programma!$F$3:$M$1101,8,0),"")</f>
        <v/>
      </c>
      <c r="AX745" s="448" t="str">
        <f>_xlfn.IFNA(VLOOKUP($AP745,Programma!$F$3:$N$1101,9,0),"")</f>
        <v/>
      </c>
      <c r="AY745" s="448" t="str">
        <f>_xlfn.IFNA(VLOOKUP($AP745,Programma!$F$3:$O$1101,10,0),"")</f>
        <v/>
      </c>
      <c r="AZ745" s="448" t="str">
        <f>_xlfn.IFNA(VLOOKUP($AP745,Programma!$F$3:$P$1101,11,0),"")</f>
        <v/>
      </c>
      <c r="BA745" s="448" t="str">
        <f>_xlfn.IFNA(VLOOKUP($AP745,Programma!$F$3:$Q$1101,12,0),"")</f>
        <v/>
      </c>
      <c r="BB745" s="448" t="str">
        <f>_xlfn.IFNA(VLOOKUP($AP745,Programma!$F$3:$R$1101,13,0),"")</f>
        <v/>
      </c>
      <c r="BC745" s="448" t="str">
        <f>_xlfn.IFNA(VLOOKUP($AP745,Programma!$F$3:$S$1101,14,0),"")</f>
        <v/>
      </c>
      <c r="BD745" s="448" t="str">
        <f>_xlfn.IFNA(VLOOKUP($AP745,Programma!$F$3:$T$1101,15,0),"")</f>
        <v/>
      </c>
      <c r="BE745" s="448" t="str">
        <f>_xlfn.IFNA(VLOOKUP($AP745,Programma!$F$3:$U$1101,16,0),"")</f>
        <v/>
      </c>
      <c r="BF745" s="448" t="str">
        <f>_xlfn.IFNA(VLOOKUP($AP745,Programma!$F$3:$V$1101,17,0),"")</f>
        <v/>
      </c>
      <c r="BG745" s="448" t="str">
        <f>_xlfn.IFNA(VLOOKUP($AP745,Programma!$F$3:$W$1101,18,0),"")</f>
        <v/>
      </c>
      <c r="BH745" s="448" t="str">
        <f>_xlfn.IFNA(VLOOKUP($AP745,Programma!$F$3:$X$1101,19,0),"")</f>
        <v/>
      </c>
      <c r="BI745" s="448" t="str">
        <f>_xlfn.IFNA(VLOOKUP($AP745,Programma!$F$3:$Y$1101,20,0),"")</f>
        <v/>
      </c>
      <c r="BJ745" s="449"/>
      <c r="BK745" s="446" t="str">
        <f>IF(Ruimtestaat[[#This Row],[Frequentie weekend]]="","",_xlfn.CONCAT(Ruimtestaat[[#This Row],[Ruimte code]],"-",Ruimtestaat[[#This Row],[Frequentie weekend]]," ",Ruimtestaat[[#This Row],[Vloer code]]))</f>
        <v/>
      </c>
      <c r="BL745" s="448" t="str">
        <f>_xlfn.IFNA(VLOOKUP($BK745,Programma!$F$3:$G$1101,2,0),"")</f>
        <v/>
      </c>
      <c r="BM745" s="448" t="str">
        <f>_xlfn.IFNA(VLOOKUP($BK745,Programma!$F$3:$H$1101,3,0),"")</f>
        <v/>
      </c>
      <c r="BN745" s="448" t="str">
        <f>_xlfn.IFNA(VLOOKUP($BK745,Programma!$F$3:$I$1101,4,0),"")</f>
        <v/>
      </c>
      <c r="BO745" s="448" t="str">
        <f>_xlfn.IFNA(VLOOKUP($BK745,Programma!$F$3:$J$1101,5,0),"")</f>
        <v/>
      </c>
      <c r="BP745" s="448" t="str">
        <f>_xlfn.IFNA(VLOOKUP($BK745,Programma!$F$3:$K$1101,6,0),"")</f>
        <v/>
      </c>
      <c r="BQ745" s="448" t="str">
        <f>_xlfn.IFNA(VLOOKUP($BK745,Programma!$F$3:$L$1101,7,0),"")</f>
        <v/>
      </c>
      <c r="BR745" s="448" t="str">
        <f>_xlfn.IFNA(VLOOKUP($BK745,Programma!$F$3:$M$1101,8,0),"")</f>
        <v/>
      </c>
      <c r="BS745" s="448" t="str">
        <f>_xlfn.IFNA(VLOOKUP($BK745,Programma!$F$3:$N$1101,9,0),"")</f>
        <v/>
      </c>
      <c r="BT745" s="448" t="str">
        <f>_xlfn.IFNA(VLOOKUP($BK745,Programma!$F$3:$O$1101,10,0),"")</f>
        <v/>
      </c>
      <c r="BU745" s="448" t="str">
        <f>_xlfn.IFNA(VLOOKUP($BK745,Programma!$F$3:$P$1101,11,0),"")</f>
        <v/>
      </c>
      <c r="BV745" s="448" t="str">
        <f>_xlfn.IFNA(VLOOKUP($BK745,Programma!$F$3:$Q$1101,12,0),"")</f>
        <v/>
      </c>
      <c r="BW745" s="448" t="str">
        <f>_xlfn.IFNA(VLOOKUP($BK745,Programma!$F$3:$R$1101,13,0),"")</f>
        <v/>
      </c>
      <c r="BX745" s="448" t="str">
        <f>_xlfn.IFNA(VLOOKUP($BK745,Programma!$F$3:$S$1101,14,0),"")</f>
        <v/>
      </c>
      <c r="BY745" s="448" t="str">
        <f>_xlfn.IFNA(VLOOKUP($BK745,Programma!$F$3:$T$1101,15,0),"")</f>
        <v/>
      </c>
      <c r="BZ745" s="448" t="str">
        <f>_xlfn.IFNA(VLOOKUP($BK745,Programma!$F$3:$U$1101,16,0),"")</f>
        <v/>
      </c>
      <c r="CA745" s="448" t="str">
        <f>_xlfn.IFNA(VLOOKUP($BK745,Programma!$F$3:$V$1101,17,0),"")</f>
        <v/>
      </c>
      <c r="CB745" s="448" t="str">
        <f>_xlfn.IFNA(VLOOKUP($BK745,Programma!$F$3:$W$1101,18,0),"")</f>
        <v/>
      </c>
      <c r="CC745" s="448" t="str">
        <f>_xlfn.IFNA(VLOOKUP($BK745,Programma!$F$3:$X$1101,19,0),"")</f>
        <v/>
      </c>
      <c r="CD745" s="448" t="str">
        <f>_xlfn.IFNA(VLOOKUP($BK745,Programma!$F$3:$Y$1101,20,0),"")</f>
        <v/>
      </c>
    </row>
    <row r="746" spans="1:82" ht="15" customHeight="1">
      <c r="A746" s="327">
        <v>15</v>
      </c>
      <c r="B746" s="435" t="str">
        <f>VLOOKUP(Ruimtestaat[[#This Row],[Code]],Locaties[[Code]:[Locatie]],2,FALSE)</f>
        <v>IKC  Da Vinci</v>
      </c>
      <c r="C746" s="435" t="str">
        <f>VLOOKUP(Ruimtestaat[[#This Row],[Code]],Locaties[[#All],[Code]:[Adres]],4,FALSE)</f>
        <v>Spitsbergen 17</v>
      </c>
      <c r="D746" s="435" t="str">
        <f>VLOOKUP(Ruimtestaat[[#This Row],[Code]],Locaties[[#All],[Code]:[Postcode]],5,FALSE)</f>
        <v>2721 GP</v>
      </c>
      <c r="E746" s="435" t="str">
        <f>VLOOKUP(Ruimtestaat[[#This Row],[Code]],Locaties[#All],6,FALSE)</f>
        <v>Zoetermeer</v>
      </c>
      <c r="F746" s="330" t="s">
        <v>2154</v>
      </c>
      <c r="I746" s="450" t="s">
        <v>2000</v>
      </c>
      <c r="J746" s="330">
        <v>20</v>
      </c>
      <c r="K746" s="450" t="str">
        <f>VLOOKUP(Ruimtestaat[[#This Row],[Ruimte code]],Ruimtegroepen[[#All],[Code]:[Ruimte omschrijving]],2,FALSE)</f>
        <v>Niet in Onderhoud</v>
      </c>
      <c r="M746" s="330"/>
      <c r="N746" s="439"/>
      <c r="O746" s="439">
        <v>11</v>
      </c>
      <c r="P746" s="439"/>
      <c r="Q746" s="439"/>
      <c r="R746" s="440">
        <f>VLOOKUP(Ruimtestaat[[#This Row],[Ruimte code]],Ruimtegroepen[],4,FALSE)</f>
        <v>0</v>
      </c>
      <c r="S746" s="434"/>
      <c r="T746" s="434"/>
      <c r="U746" s="453">
        <f>IF(S746&gt;0,IF(RIGHT(Ruimtestaat[[#This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6" s="434">
        <f>IF(U746&gt;0,VLOOKUP($J746,Ruimtegroepen[],3,FALSE)*VLOOKUP($L746,Vloersoorten[],3,FALSE)*VLOOKUP($T746,Frequenties[],3,FALSE)*VLOOKUP($A746,Locaties[],3,FALSE),0)</f>
        <v>0</v>
      </c>
      <c r="W746" s="434">
        <f>Ruimtestaat[[#This Row],[Uitvoeringen werkdagen]]*Ruimtestaat[[#This Row],[Oppervlak (netto)]]</f>
        <v>0</v>
      </c>
      <c r="X746" s="441">
        <f>IF(V746&gt;0,Ruimtestaat[[#This Row],[Prest. (m2 /jaar) werkdagen]]/Ruimtestaat[[#This Row],[Norm (m2/uur) werkdagen]],0)</f>
        <v>0</v>
      </c>
      <c r="Y746" s="442">
        <f>Ruimtestaat[[#This Row],[Uitvoeringen werkdagen]]*Ruimtestaat[[#This Row],[Gedeeltelijk]]</f>
        <v>0</v>
      </c>
      <c r="Z746" s="443">
        <f>IF(U746&gt;0,Ruimtestaat[[#This Row],[Prest. (m2 / jaar) werkdagen gedeeld]]/Ruimtestaat[[#This Row],[Norm (m2/uur) werkdagen]],0)</f>
        <v>0</v>
      </c>
      <c r="AA746" s="441">
        <f>Ruimtestaat[[#This Row],[uren / jaar werkdagen gedeeld]]*Tariefsopbouw!$E$35</f>
        <v>0</v>
      </c>
      <c r="AB746" s="441">
        <f>Ruimtestaat[[#This Row],[Uitvoeringen werkdagen]]*Ruimtestaat[[#This Row],[BSO]]</f>
        <v>0</v>
      </c>
      <c r="AC746" s="443">
        <f>IF(U746&gt;0,Ruimtestaat[[#This Row],[Prest. (m2 / jaar) werkdagen BSO]]/Ruimtestaat[[#This Row],[Norm (m2/uur) werkdagen]],0)</f>
        <v>0</v>
      </c>
      <c r="AD746" s="443">
        <f>Ruimtestaat[[#This Row],[uren / jaar werkdagen BSO]]*Tariefsopbouw!$E$35</f>
        <v>0</v>
      </c>
      <c r="AE746" s="444">
        <f>Ruimtestaat[[#This Row],[uren / jaar werkdagen]]*Tariefsopbouw!$E$35</f>
        <v>0</v>
      </c>
      <c r="AF746" s="454"/>
      <c r="AG746" s="455">
        <f>IF(Ruimtestaat[[#This Row],[Frequentie weekend]]&gt;0,VALUE(LEFT(AF746,1))*S746,0)</f>
        <v>0</v>
      </c>
      <c r="AH746" s="455">
        <f>IF($AG746&gt;0,VLOOKUP($J746,Ruimtegroepen[],3,FALSE)*VLOOKUP($L746,Vloersoorten[],3,FALSE)*VLOOKUP($AF746,Frequenties[],3,FALSE)*VLOOKUP(#REF!,Locaties[],3,FALSE),0)</f>
        <v>0</v>
      </c>
      <c r="AI746" s="434">
        <f>Ruimtestaat[[#This Row],[Uitvoeringen weekend]]*Ruimtestaat[[#This Row],[Oppervlak (netto)]]</f>
        <v>0</v>
      </c>
      <c r="AJ746" s="434">
        <f>IF(AH746&gt;0,Ruimtestaat[[#This Row],[Prest. (m2 /jaar) weekend]]/Ruimtestaat[[#This Row],[Norm (m2/uur) weekend]],0)</f>
        <v>0</v>
      </c>
      <c r="AK746" s="444">
        <f>Ruimtestaat[[#This Row],[uren / jaar weekend]]*Tariefsopbouw!$D$40</f>
        <v>0</v>
      </c>
      <c r="AL746" s="441">
        <f>Ruimtestaat[[#This Row],[Prest. (m2 /jaar) weekend]]+Ruimtestaat[[#This Row],[Prest. (m2 /jaar) werkdagen]]</f>
        <v>0</v>
      </c>
      <c r="AM746" s="441">
        <f>Ruimtestaat[[#This Row],[uren / jaar weekend]]+Ruimtestaat[[#This Row],[uren / jaar werkdagen]]</f>
        <v>0</v>
      </c>
      <c r="AN746" s="446">
        <f>Ruimtestaat[[#This Row],[kosten / jaar weekend]]+Ruimtestaat[[#This Row],[kosten / jaar werkdagen]]</f>
        <v>0</v>
      </c>
      <c r="AO746" s="446"/>
      <c r="AP746" s="446" t="str">
        <f>IF(Ruimtestaat[[#This Row],[Frequentie werkdagen]]="","",_xlfn.CONCAT(Ruimtestaat[[#This Row],[Ruimte code]],"-",Ruimtestaat[[#This Row],[Frequentie werkdagen]]," ",Ruimtestaat[[#This Row],[Vloer code]]))</f>
        <v/>
      </c>
      <c r="AQ746" s="448" t="str">
        <f>_xlfn.IFNA(VLOOKUP($AP746,Programma!$F$3:$G$1101,2,0),"")</f>
        <v/>
      </c>
      <c r="AR746" s="448" t="str">
        <f>_xlfn.IFNA(VLOOKUP($AP746,Programma!$F$3:$H$1101,3,0),"")</f>
        <v/>
      </c>
      <c r="AS746" s="448" t="str">
        <f>_xlfn.IFNA(VLOOKUP($AP746,Programma!$F$3:$I$1101,4,0),"")</f>
        <v/>
      </c>
      <c r="AT746" s="448" t="str">
        <f>_xlfn.IFNA(VLOOKUP($AP746,Programma!$F$3:$J$1101,5,0),"")</f>
        <v/>
      </c>
      <c r="AU746" s="448" t="str">
        <f>_xlfn.IFNA(VLOOKUP($AP746,Programma!$F$3:$K$1101,6,0),"")</f>
        <v/>
      </c>
      <c r="AV746" s="448" t="str">
        <f>_xlfn.IFNA(VLOOKUP($AP746,Programma!$F$3:$L$1101,7,0),"")</f>
        <v/>
      </c>
      <c r="AW746" s="448" t="str">
        <f>_xlfn.IFNA(VLOOKUP($AP746,Programma!$F$3:$M$1101,8,0),"")</f>
        <v/>
      </c>
      <c r="AX746" s="448" t="str">
        <f>_xlfn.IFNA(VLOOKUP($AP746,Programma!$F$3:$N$1101,9,0),"")</f>
        <v/>
      </c>
      <c r="AY746" s="448" t="str">
        <f>_xlfn.IFNA(VLOOKUP($AP746,Programma!$F$3:$O$1101,10,0),"")</f>
        <v/>
      </c>
      <c r="AZ746" s="448" t="str">
        <f>_xlfn.IFNA(VLOOKUP($AP746,Programma!$F$3:$P$1101,11,0),"")</f>
        <v/>
      </c>
      <c r="BA746" s="448" t="str">
        <f>_xlfn.IFNA(VLOOKUP($AP746,Programma!$F$3:$Q$1101,12,0),"")</f>
        <v/>
      </c>
      <c r="BB746" s="448" t="str">
        <f>_xlfn.IFNA(VLOOKUP($AP746,Programma!$F$3:$R$1101,13,0),"")</f>
        <v/>
      </c>
      <c r="BC746" s="448" t="str">
        <f>_xlfn.IFNA(VLOOKUP($AP746,Programma!$F$3:$S$1101,14,0),"")</f>
        <v/>
      </c>
      <c r="BD746" s="448" t="str">
        <f>_xlfn.IFNA(VLOOKUP($AP746,Programma!$F$3:$T$1101,15,0),"")</f>
        <v/>
      </c>
      <c r="BE746" s="448" t="str">
        <f>_xlfn.IFNA(VLOOKUP($AP746,Programma!$F$3:$U$1101,16,0),"")</f>
        <v/>
      </c>
      <c r="BF746" s="448" t="str">
        <f>_xlfn.IFNA(VLOOKUP($AP746,Programma!$F$3:$V$1101,17,0),"")</f>
        <v/>
      </c>
      <c r="BG746" s="448" t="str">
        <f>_xlfn.IFNA(VLOOKUP($AP746,Programma!$F$3:$W$1101,18,0),"")</f>
        <v/>
      </c>
      <c r="BH746" s="448" t="str">
        <f>_xlfn.IFNA(VLOOKUP($AP746,Programma!$F$3:$X$1101,19,0),"")</f>
        <v/>
      </c>
      <c r="BI746" s="448" t="str">
        <f>_xlfn.IFNA(VLOOKUP($AP746,Programma!$F$3:$Y$1101,20,0),"")</f>
        <v/>
      </c>
      <c r="BJ746" s="449"/>
      <c r="BK746" s="446" t="str">
        <f>IF(Ruimtestaat[[#This Row],[Frequentie weekend]]="","",_xlfn.CONCAT(Ruimtestaat[[#This Row],[Ruimte code]],"-",Ruimtestaat[[#This Row],[Frequentie weekend]]," ",Ruimtestaat[[#This Row],[Vloer code]]))</f>
        <v/>
      </c>
      <c r="BL746" s="448" t="str">
        <f>_xlfn.IFNA(VLOOKUP($BK746,Programma!$F$3:$G$1101,2,0),"")</f>
        <v/>
      </c>
      <c r="BM746" s="448" t="str">
        <f>_xlfn.IFNA(VLOOKUP($BK746,Programma!$F$3:$H$1101,3,0),"")</f>
        <v/>
      </c>
      <c r="BN746" s="448" t="str">
        <f>_xlfn.IFNA(VLOOKUP($BK746,Programma!$F$3:$I$1101,4,0),"")</f>
        <v/>
      </c>
      <c r="BO746" s="448" t="str">
        <f>_xlfn.IFNA(VLOOKUP($BK746,Programma!$F$3:$J$1101,5,0),"")</f>
        <v/>
      </c>
      <c r="BP746" s="448" t="str">
        <f>_xlfn.IFNA(VLOOKUP($BK746,Programma!$F$3:$K$1101,6,0),"")</f>
        <v/>
      </c>
      <c r="BQ746" s="448" t="str">
        <f>_xlfn.IFNA(VLOOKUP($BK746,Programma!$F$3:$L$1101,7,0),"")</f>
        <v/>
      </c>
      <c r="BR746" s="448" t="str">
        <f>_xlfn.IFNA(VLOOKUP($BK746,Programma!$F$3:$M$1101,8,0),"")</f>
        <v/>
      </c>
      <c r="BS746" s="448" t="str">
        <f>_xlfn.IFNA(VLOOKUP($BK746,Programma!$F$3:$N$1101,9,0),"")</f>
        <v/>
      </c>
      <c r="BT746" s="448" t="str">
        <f>_xlfn.IFNA(VLOOKUP($BK746,Programma!$F$3:$O$1101,10,0),"")</f>
        <v/>
      </c>
      <c r="BU746" s="448" t="str">
        <f>_xlfn.IFNA(VLOOKUP($BK746,Programma!$F$3:$P$1101,11,0),"")</f>
        <v/>
      </c>
      <c r="BV746" s="448" t="str">
        <f>_xlfn.IFNA(VLOOKUP($BK746,Programma!$F$3:$Q$1101,12,0),"")</f>
        <v/>
      </c>
      <c r="BW746" s="448" t="str">
        <f>_xlfn.IFNA(VLOOKUP($BK746,Programma!$F$3:$R$1101,13,0),"")</f>
        <v/>
      </c>
      <c r="BX746" s="448" t="str">
        <f>_xlfn.IFNA(VLOOKUP($BK746,Programma!$F$3:$S$1101,14,0),"")</f>
        <v/>
      </c>
      <c r="BY746" s="448" t="str">
        <f>_xlfn.IFNA(VLOOKUP($BK746,Programma!$F$3:$T$1101,15,0),"")</f>
        <v/>
      </c>
      <c r="BZ746" s="448" t="str">
        <f>_xlfn.IFNA(VLOOKUP($BK746,Programma!$F$3:$U$1101,16,0),"")</f>
        <v/>
      </c>
      <c r="CA746" s="448" t="str">
        <f>_xlfn.IFNA(VLOOKUP($BK746,Programma!$F$3:$V$1101,17,0),"")</f>
        <v/>
      </c>
      <c r="CB746" s="448" t="str">
        <f>_xlfn.IFNA(VLOOKUP($BK746,Programma!$F$3:$W$1101,18,0),"")</f>
        <v/>
      </c>
      <c r="CC746" s="448" t="str">
        <f>_xlfn.IFNA(VLOOKUP($BK746,Programma!$F$3:$X$1101,19,0),"")</f>
        <v/>
      </c>
      <c r="CD746" s="448" t="str">
        <f>_xlfn.IFNA(VLOOKUP($BK746,Programma!$F$3:$Y$1101,20,0),"")</f>
        <v/>
      </c>
    </row>
    <row r="747" spans="1:82" ht="15" customHeight="1">
      <c r="A747" s="327">
        <v>15</v>
      </c>
      <c r="B747" s="435" t="str">
        <f>VLOOKUP(Ruimtestaat[[#This Row],[Code]],Locaties[[Code]:[Locatie]],2,FALSE)</f>
        <v>IKC  Da Vinci</v>
      </c>
      <c r="C747" s="435" t="str">
        <f>VLOOKUP(Ruimtestaat[[#This Row],[Code]],Locaties[[#All],[Code]:[Adres]],4,FALSE)</f>
        <v>Spitsbergen 17</v>
      </c>
      <c r="D747" s="435" t="str">
        <f>VLOOKUP(Ruimtestaat[[#This Row],[Code]],Locaties[[#All],[Code]:[Postcode]],5,FALSE)</f>
        <v>2721 GP</v>
      </c>
      <c r="E747" s="435" t="str">
        <f>VLOOKUP(Ruimtestaat[[#This Row],[Code]],Locaties[#All],6,FALSE)</f>
        <v>Zoetermeer</v>
      </c>
      <c r="F747" s="330" t="s">
        <v>2154</v>
      </c>
      <c r="I747" s="450" t="s">
        <v>2000</v>
      </c>
      <c r="J747" s="330">
        <v>20</v>
      </c>
      <c r="K747" s="450" t="str">
        <f>VLOOKUP(Ruimtestaat[[#This Row],[Ruimte code]],Ruimtegroepen[[#All],[Code]:[Ruimte omschrijving]],2,FALSE)</f>
        <v>Niet in Onderhoud</v>
      </c>
      <c r="M747" s="330"/>
      <c r="N747" s="439"/>
      <c r="O747" s="439">
        <v>8</v>
      </c>
      <c r="P747" s="439"/>
      <c r="Q747" s="439"/>
      <c r="R747" s="440">
        <f>VLOOKUP(Ruimtestaat[[#This Row],[Ruimte code]],Ruimtegroepen[],4,FALSE)</f>
        <v>0</v>
      </c>
      <c r="S747" s="434"/>
      <c r="T747" s="434"/>
      <c r="U747" s="453">
        <f>IF(S747&gt;0,IF(RIGHT(Ruimtestaat[[#This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7" s="434">
        <f>IF(U747&gt;0,VLOOKUP($J747,Ruimtegroepen[],3,FALSE)*VLOOKUP($L747,Vloersoorten[],3,FALSE)*VLOOKUP($T747,Frequenties[],3,FALSE)*VLOOKUP($A747,Locaties[],3,FALSE),0)</f>
        <v>0</v>
      </c>
      <c r="W747" s="434">
        <f>Ruimtestaat[[#This Row],[Uitvoeringen werkdagen]]*Ruimtestaat[[#This Row],[Oppervlak (netto)]]</f>
        <v>0</v>
      </c>
      <c r="X747" s="441">
        <f>IF(V747&gt;0,Ruimtestaat[[#This Row],[Prest. (m2 /jaar) werkdagen]]/Ruimtestaat[[#This Row],[Norm (m2/uur) werkdagen]],0)</f>
        <v>0</v>
      </c>
      <c r="Y747" s="442">
        <f>Ruimtestaat[[#This Row],[Uitvoeringen werkdagen]]*Ruimtestaat[[#This Row],[Gedeeltelijk]]</f>
        <v>0</v>
      </c>
      <c r="Z747" s="443">
        <f>IF(U747&gt;0,Ruimtestaat[[#This Row],[Prest. (m2 / jaar) werkdagen gedeeld]]/Ruimtestaat[[#This Row],[Norm (m2/uur) werkdagen]],0)</f>
        <v>0</v>
      </c>
      <c r="AA747" s="441">
        <f>Ruimtestaat[[#This Row],[uren / jaar werkdagen gedeeld]]*Tariefsopbouw!$E$35</f>
        <v>0</v>
      </c>
      <c r="AB747" s="441">
        <f>Ruimtestaat[[#This Row],[Uitvoeringen werkdagen]]*Ruimtestaat[[#This Row],[BSO]]</f>
        <v>0</v>
      </c>
      <c r="AC747" s="443">
        <f>IF(U747&gt;0,Ruimtestaat[[#This Row],[Prest. (m2 / jaar) werkdagen BSO]]/Ruimtestaat[[#This Row],[Norm (m2/uur) werkdagen]],0)</f>
        <v>0</v>
      </c>
      <c r="AD747" s="443">
        <f>Ruimtestaat[[#This Row],[uren / jaar werkdagen BSO]]*Tariefsopbouw!$E$35</f>
        <v>0</v>
      </c>
      <c r="AE747" s="444">
        <f>Ruimtestaat[[#This Row],[uren / jaar werkdagen]]*Tariefsopbouw!$E$35</f>
        <v>0</v>
      </c>
      <c r="AF747" s="454"/>
      <c r="AG747" s="455">
        <f>IF(Ruimtestaat[[#This Row],[Frequentie weekend]]&gt;0,VALUE(LEFT(AF747,1))*S747,0)</f>
        <v>0</v>
      </c>
      <c r="AH747" s="455">
        <f>IF($AG747&gt;0,VLOOKUP($J747,Ruimtegroepen[],3,FALSE)*VLOOKUP($L747,Vloersoorten[],3,FALSE)*VLOOKUP($AF747,Frequenties[],3,FALSE)*VLOOKUP(#REF!,Locaties[],3,FALSE),0)</f>
        <v>0</v>
      </c>
      <c r="AI747" s="434">
        <f>Ruimtestaat[[#This Row],[Uitvoeringen weekend]]*Ruimtestaat[[#This Row],[Oppervlak (netto)]]</f>
        <v>0</v>
      </c>
      <c r="AJ747" s="434">
        <f>IF(AH747&gt;0,Ruimtestaat[[#This Row],[Prest. (m2 /jaar) weekend]]/Ruimtestaat[[#This Row],[Norm (m2/uur) weekend]],0)</f>
        <v>0</v>
      </c>
      <c r="AK747" s="444">
        <f>Ruimtestaat[[#This Row],[uren / jaar weekend]]*Tariefsopbouw!$D$40</f>
        <v>0</v>
      </c>
      <c r="AL747" s="441">
        <f>Ruimtestaat[[#This Row],[Prest. (m2 /jaar) weekend]]+Ruimtestaat[[#This Row],[Prest. (m2 /jaar) werkdagen]]</f>
        <v>0</v>
      </c>
      <c r="AM747" s="441">
        <f>Ruimtestaat[[#This Row],[uren / jaar weekend]]+Ruimtestaat[[#This Row],[uren / jaar werkdagen]]</f>
        <v>0</v>
      </c>
      <c r="AN747" s="446">
        <f>Ruimtestaat[[#This Row],[kosten / jaar weekend]]+Ruimtestaat[[#This Row],[kosten / jaar werkdagen]]</f>
        <v>0</v>
      </c>
      <c r="AO747" s="446"/>
      <c r="AP747" s="446" t="str">
        <f>IF(Ruimtestaat[[#This Row],[Frequentie werkdagen]]="","",_xlfn.CONCAT(Ruimtestaat[[#This Row],[Ruimte code]],"-",Ruimtestaat[[#This Row],[Frequentie werkdagen]]," ",Ruimtestaat[[#This Row],[Vloer code]]))</f>
        <v/>
      </c>
      <c r="AQ747" s="448" t="str">
        <f>_xlfn.IFNA(VLOOKUP($AP747,Programma!$F$3:$G$1101,2,0),"")</f>
        <v/>
      </c>
      <c r="AR747" s="448" t="str">
        <f>_xlfn.IFNA(VLOOKUP($AP747,Programma!$F$3:$H$1101,3,0),"")</f>
        <v/>
      </c>
      <c r="AS747" s="448" t="str">
        <f>_xlfn.IFNA(VLOOKUP($AP747,Programma!$F$3:$I$1101,4,0),"")</f>
        <v/>
      </c>
      <c r="AT747" s="448" t="str">
        <f>_xlfn.IFNA(VLOOKUP($AP747,Programma!$F$3:$J$1101,5,0),"")</f>
        <v/>
      </c>
      <c r="AU747" s="448" t="str">
        <f>_xlfn.IFNA(VLOOKUP($AP747,Programma!$F$3:$K$1101,6,0),"")</f>
        <v/>
      </c>
      <c r="AV747" s="448" t="str">
        <f>_xlfn.IFNA(VLOOKUP($AP747,Programma!$F$3:$L$1101,7,0),"")</f>
        <v/>
      </c>
      <c r="AW747" s="448" t="str">
        <f>_xlfn.IFNA(VLOOKUP($AP747,Programma!$F$3:$M$1101,8,0),"")</f>
        <v/>
      </c>
      <c r="AX747" s="448" t="str">
        <f>_xlfn.IFNA(VLOOKUP($AP747,Programma!$F$3:$N$1101,9,0),"")</f>
        <v/>
      </c>
      <c r="AY747" s="448" t="str">
        <f>_xlfn.IFNA(VLOOKUP($AP747,Programma!$F$3:$O$1101,10,0),"")</f>
        <v/>
      </c>
      <c r="AZ747" s="448" t="str">
        <f>_xlfn.IFNA(VLOOKUP($AP747,Programma!$F$3:$P$1101,11,0),"")</f>
        <v/>
      </c>
      <c r="BA747" s="448" t="str">
        <f>_xlfn.IFNA(VLOOKUP($AP747,Programma!$F$3:$Q$1101,12,0),"")</f>
        <v/>
      </c>
      <c r="BB747" s="448" t="str">
        <f>_xlfn.IFNA(VLOOKUP($AP747,Programma!$F$3:$R$1101,13,0),"")</f>
        <v/>
      </c>
      <c r="BC747" s="448" t="str">
        <f>_xlfn.IFNA(VLOOKUP($AP747,Programma!$F$3:$S$1101,14,0),"")</f>
        <v/>
      </c>
      <c r="BD747" s="448" t="str">
        <f>_xlfn.IFNA(VLOOKUP($AP747,Programma!$F$3:$T$1101,15,0),"")</f>
        <v/>
      </c>
      <c r="BE747" s="448" t="str">
        <f>_xlfn.IFNA(VLOOKUP($AP747,Programma!$F$3:$U$1101,16,0),"")</f>
        <v/>
      </c>
      <c r="BF747" s="448" t="str">
        <f>_xlfn.IFNA(VLOOKUP($AP747,Programma!$F$3:$V$1101,17,0),"")</f>
        <v/>
      </c>
      <c r="BG747" s="448" t="str">
        <f>_xlfn.IFNA(VLOOKUP($AP747,Programma!$F$3:$W$1101,18,0),"")</f>
        <v/>
      </c>
      <c r="BH747" s="448" t="str">
        <f>_xlfn.IFNA(VLOOKUP($AP747,Programma!$F$3:$X$1101,19,0),"")</f>
        <v/>
      </c>
      <c r="BI747" s="448" t="str">
        <f>_xlfn.IFNA(VLOOKUP($AP747,Programma!$F$3:$Y$1101,20,0),"")</f>
        <v/>
      </c>
      <c r="BJ747" s="449"/>
      <c r="BK747" s="446" t="str">
        <f>IF(Ruimtestaat[[#This Row],[Frequentie weekend]]="","",_xlfn.CONCAT(Ruimtestaat[[#This Row],[Ruimte code]],"-",Ruimtestaat[[#This Row],[Frequentie weekend]]," ",Ruimtestaat[[#This Row],[Vloer code]]))</f>
        <v/>
      </c>
      <c r="BL747" s="448" t="str">
        <f>_xlfn.IFNA(VLOOKUP($BK747,Programma!$F$3:$G$1101,2,0),"")</f>
        <v/>
      </c>
      <c r="BM747" s="448" t="str">
        <f>_xlfn.IFNA(VLOOKUP($BK747,Programma!$F$3:$H$1101,3,0),"")</f>
        <v/>
      </c>
      <c r="BN747" s="448" t="str">
        <f>_xlfn.IFNA(VLOOKUP($BK747,Programma!$F$3:$I$1101,4,0),"")</f>
        <v/>
      </c>
      <c r="BO747" s="448" t="str">
        <f>_xlfn.IFNA(VLOOKUP($BK747,Programma!$F$3:$J$1101,5,0),"")</f>
        <v/>
      </c>
      <c r="BP747" s="448" t="str">
        <f>_xlfn.IFNA(VLOOKUP($BK747,Programma!$F$3:$K$1101,6,0),"")</f>
        <v/>
      </c>
      <c r="BQ747" s="448" t="str">
        <f>_xlfn.IFNA(VLOOKUP($BK747,Programma!$F$3:$L$1101,7,0),"")</f>
        <v/>
      </c>
      <c r="BR747" s="448" t="str">
        <f>_xlfn.IFNA(VLOOKUP($BK747,Programma!$F$3:$M$1101,8,0),"")</f>
        <v/>
      </c>
      <c r="BS747" s="448" t="str">
        <f>_xlfn.IFNA(VLOOKUP($BK747,Programma!$F$3:$N$1101,9,0),"")</f>
        <v/>
      </c>
      <c r="BT747" s="448" t="str">
        <f>_xlfn.IFNA(VLOOKUP($BK747,Programma!$F$3:$O$1101,10,0),"")</f>
        <v/>
      </c>
      <c r="BU747" s="448" t="str">
        <f>_xlfn.IFNA(VLOOKUP($BK747,Programma!$F$3:$P$1101,11,0),"")</f>
        <v/>
      </c>
      <c r="BV747" s="448" t="str">
        <f>_xlfn.IFNA(VLOOKUP($BK747,Programma!$F$3:$Q$1101,12,0),"")</f>
        <v/>
      </c>
      <c r="BW747" s="448" t="str">
        <f>_xlfn.IFNA(VLOOKUP($BK747,Programma!$F$3:$R$1101,13,0),"")</f>
        <v/>
      </c>
      <c r="BX747" s="448" t="str">
        <f>_xlfn.IFNA(VLOOKUP($BK747,Programma!$F$3:$S$1101,14,0),"")</f>
        <v/>
      </c>
      <c r="BY747" s="448" t="str">
        <f>_xlfn.IFNA(VLOOKUP($BK747,Programma!$F$3:$T$1101,15,0),"")</f>
        <v/>
      </c>
      <c r="BZ747" s="448" t="str">
        <f>_xlfn.IFNA(VLOOKUP($BK747,Programma!$F$3:$U$1101,16,0),"")</f>
        <v/>
      </c>
      <c r="CA747" s="448" t="str">
        <f>_xlfn.IFNA(VLOOKUP($BK747,Programma!$F$3:$V$1101,17,0),"")</f>
        <v/>
      </c>
      <c r="CB747" s="448" t="str">
        <f>_xlfn.IFNA(VLOOKUP($BK747,Programma!$F$3:$W$1101,18,0),"")</f>
        <v/>
      </c>
      <c r="CC747" s="448" t="str">
        <f>_xlfn.IFNA(VLOOKUP($BK747,Programma!$F$3:$X$1101,19,0),"")</f>
        <v/>
      </c>
      <c r="CD747" s="448" t="str">
        <f>_xlfn.IFNA(VLOOKUP($BK747,Programma!$F$3:$Y$1101,20,0),"")</f>
        <v/>
      </c>
    </row>
    <row r="748" spans="1:82" ht="15" customHeight="1">
      <c r="A748" s="327">
        <v>15</v>
      </c>
      <c r="B748" s="435" t="str">
        <f>VLOOKUP(Ruimtestaat[[#This Row],[Code]],Locaties[[Code]:[Locatie]],2,FALSE)</f>
        <v>IKC  Da Vinci</v>
      </c>
      <c r="C748" s="435" t="str">
        <f>VLOOKUP(Ruimtestaat[[#This Row],[Code]],Locaties[[#All],[Code]:[Adres]],4,FALSE)</f>
        <v>Spitsbergen 17</v>
      </c>
      <c r="D748" s="435" t="str">
        <f>VLOOKUP(Ruimtestaat[[#This Row],[Code]],Locaties[[#All],[Code]:[Postcode]],5,FALSE)</f>
        <v>2721 GP</v>
      </c>
      <c r="E748" s="435" t="str">
        <f>VLOOKUP(Ruimtestaat[[#This Row],[Code]],Locaties[#All],6,FALSE)</f>
        <v>Zoetermeer</v>
      </c>
      <c r="F748" s="330" t="s">
        <v>2154</v>
      </c>
      <c r="I748" s="450" t="s">
        <v>2000</v>
      </c>
      <c r="J748" s="330">
        <v>5</v>
      </c>
      <c r="K748" s="450" t="str">
        <f>VLOOKUP(Ruimtestaat[[#This Row],[Ruimte code]],Ruimtegroepen[[#All],[Code]:[Ruimte omschrijving]],2,FALSE)</f>
        <v>Sanitair</v>
      </c>
      <c r="L748" s="330" t="s">
        <v>101</v>
      </c>
      <c r="M748" s="437" t="s">
        <v>1816</v>
      </c>
      <c r="N748" s="439">
        <v>6</v>
      </c>
      <c r="O748" s="439"/>
      <c r="P748" s="439"/>
      <c r="Q748" s="439"/>
      <c r="R748" s="440" t="str">
        <f>VLOOKUP(Ruimtestaat[[#This Row],[Ruimte code]],Ruimtegroepen[],4,FALSE)</f>
        <v>Sa</v>
      </c>
      <c r="S748" s="434">
        <v>41</v>
      </c>
      <c r="T748" s="434" t="s">
        <v>2</v>
      </c>
      <c r="U748" s="453">
        <f>IF(S748&gt;0,IF(RIGHT(Ruimtestaat[[#This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48" s="434">
        <f>IF(U748&gt;0,VLOOKUP($J748,Ruimtegroepen[],3,FALSE)*VLOOKUP($L748,Vloersoorten[],3,FALSE)*VLOOKUP($T748,Frequenties[],3,FALSE)*VLOOKUP($A748,Locaties[],3,FALSE),0)</f>
        <v>0</v>
      </c>
      <c r="W748" s="434">
        <f>Ruimtestaat[[#This Row],[Uitvoeringen werkdagen]]*Ruimtestaat[[#This Row],[Oppervlak (netto)]]</f>
        <v>1230</v>
      </c>
      <c r="X748" s="441">
        <f>IF(V748&gt;0,Ruimtestaat[[#This Row],[Prest. (m2 /jaar) werkdagen]]/Ruimtestaat[[#This Row],[Norm (m2/uur) werkdagen]],0)</f>
        <v>0</v>
      </c>
      <c r="Y748" s="442">
        <f>Ruimtestaat[[#This Row],[Uitvoeringen werkdagen]]*Ruimtestaat[[#This Row],[Gedeeltelijk]]</f>
        <v>0</v>
      </c>
      <c r="Z748" s="443" t="e">
        <f>IF(U748&gt;0,Ruimtestaat[[#This Row],[Prest. (m2 / jaar) werkdagen gedeeld]]/Ruimtestaat[[#This Row],[Norm (m2/uur) werkdagen]],0)</f>
        <v>#DIV/0!</v>
      </c>
      <c r="AA748" s="441" t="e">
        <f>Ruimtestaat[[#This Row],[uren / jaar werkdagen gedeeld]]*Tariefsopbouw!$E$35</f>
        <v>#DIV/0!</v>
      </c>
      <c r="AB748" s="441">
        <f>Ruimtestaat[[#This Row],[Uitvoeringen werkdagen]]*Ruimtestaat[[#This Row],[BSO]]</f>
        <v>0</v>
      </c>
      <c r="AC748" s="443" t="e">
        <f>IF(U748&gt;0,Ruimtestaat[[#This Row],[Prest. (m2 / jaar) werkdagen BSO]]/Ruimtestaat[[#This Row],[Norm (m2/uur) werkdagen]],0)</f>
        <v>#DIV/0!</v>
      </c>
      <c r="AD748" s="443" t="e">
        <f>Ruimtestaat[[#This Row],[uren / jaar werkdagen BSO]]*Tariefsopbouw!$E$35</f>
        <v>#DIV/0!</v>
      </c>
      <c r="AE748" s="444">
        <f>Ruimtestaat[[#This Row],[uren / jaar werkdagen]]*Tariefsopbouw!$E$35</f>
        <v>0</v>
      </c>
      <c r="AF748" s="454"/>
      <c r="AG748" s="455">
        <f>IF(Ruimtestaat[[#This Row],[Frequentie weekend]]&gt;0,VALUE(LEFT(AF748,1))*S748,0)</f>
        <v>0</v>
      </c>
      <c r="AH748" s="455">
        <f>IF($AG748&gt;0,VLOOKUP($J748,Ruimtegroepen[],3,FALSE)*VLOOKUP($L748,Vloersoorten[],3,FALSE)*VLOOKUP($AF748,Frequenties[],3,FALSE)*VLOOKUP(#REF!,Locaties[],3,FALSE),0)</f>
        <v>0</v>
      </c>
      <c r="AI748" s="434">
        <f>Ruimtestaat[[#This Row],[Uitvoeringen weekend]]*Ruimtestaat[[#This Row],[Oppervlak (netto)]]</f>
        <v>0</v>
      </c>
      <c r="AJ748" s="434">
        <f>IF(AH748&gt;0,Ruimtestaat[[#This Row],[Prest. (m2 /jaar) weekend]]/Ruimtestaat[[#This Row],[Norm (m2/uur) weekend]],0)</f>
        <v>0</v>
      </c>
      <c r="AK748" s="444">
        <f>Ruimtestaat[[#This Row],[uren / jaar weekend]]*Tariefsopbouw!$D$40</f>
        <v>0</v>
      </c>
      <c r="AL748" s="441">
        <f>Ruimtestaat[[#This Row],[Prest. (m2 /jaar) weekend]]+Ruimtestaat[[#This Row],[Prest. (m2 /jaar) werkdagen]]</f>
        <v>1230</v>
      </c>
      <c r="AM748" s="441">
        <f>Ruimtestaat[[#This Row],[uren / jaar weekend]]+Ruimtestaat[[#This Row],[uren / jaar werkdagen]]</f>
        <v>0</v>
      </c>
      <c r="AN748" s="446">
        <f>Ruimtestaat[[#This Row],[kosten / jaar weekend]]+Ruimtestaat[[#This Row],[kosten / jaar werkdagen]]</f>
        <v>0</v>
      </c>
      <c r="AO748" s="446"/>
      <c r="AP748" s="446" t="str">
        <f>IF(Ruimtestaat[[#This Row],[Frequentie werkdagen]]="","",_xlfn.CONCAT(Ruimtestaat[[#This Row],[Ruimte code]],"-",Ruimtestaat[[#This Row],[Frequentie werkdagen]]," ",Ruimtestaat[[#This Row],[Vloer code]]))</f>
        <v>5-5w S</v>
      </c>
      <c r="AQ748" s="448" t="str">
        <f>_xlfn.IFNA(VLOOKUP($AP748,Programma!$F$3:$G$1101,2,0),"")</f>
        <v>_</v>
      </c>
      <c r="AR748" s="448" t="str">
        <f>_xlfn.IFNA(VLOOKUP($AP748,Programma!$F$3:$H$1101,3,0),"")</f>
        <v>_</v>
      </c>
      <c r="AS748" s="448" t="str">
        <f>_xlfn.IFNA(VLOOKUP($AP748,Programma!$F$3:$I$1101,4,0),"")</f>
        <v>_</v>
      </c>
      <c r="AT748" s="448" t="str">
        <f>_xlfn.IFNA(VLOOKUP($AP748,Programma!$F$3:$J$1101,5,0),"")</f>
        <v>4w</v>
      </c>
      <c r="AU748" s="448" t="str">
        <f>_xlfn.IFNA(VLOOKUP($AP748,Programma!$F$3:$K$1101,6,0),"")</f>
        <v>1w</v>
      </c>
      <c r="AV748" s="448" t="str">
        <f>_xlfn.IFNA(VLOOKUP($AP748,Programma!$F$3:$L$1101,7,0),"")</f>
        <v>_</v>
      </c>
      <c r="AW748" s="448" t="str">
        <f>_xlfn.IFNA(VLOOKUP($AP748,Programma!$F$3:$M$1101,8,0),"")</f>
        <v>_</v>
      </c>
      <c r="AX748" s="448" t="str">
        <f>_xlfn.IFNA(VLOOKUP($AP748,Programma!$F$3:$N$1101,9,0),"")</f>
        <v>_</v>
      </c>
      <c r="AY748" s="448" t="str">
        <f>_xlfn.IFNA(VLOOKUP($AP748,Programma!$F$3:$O$1101,10,0),"")</f>
        <v>_</v>
      </c>
      <c r="AZ748" s="448" t="str">
        <f>_xlfn.IFNA(VLOOKUP($AP748,Programma!$F$3:$P$1101,11,0),"")</f>
        <v>_</v>
      </c>
      <c r="BA748" s="448" t="str">
        <f>_xlfn.IFNA(VLOOKUP($AP748,Programma!$F$3:$Q$1101,12,0),"")</f>
        <v>_</v>
      </c>
      <c r="BB748" s="448" t="str">
        <f>_xlfn.IFNA(VLOOKUP($AP748,Programma!$F$3:$R$1101,13,0),"")</f>
        <v>_</v>
      </c>
      <c r="BC748" s="448" t="str">
        <f>_xlfn.IFNA(VLOOKUP($AP748,Programma!$F$3:$S$1101,14,0),"")</f>
        <v>_</v>
      </c>
      <c r="BD748" s="448" t="str">
        <f>_xlfn.IFNA(VLOOKUP($AP748,Programma!$F$3:$T$1101,15,0),"")</f>
        <v>_</v>
      </c>
      <c r="BE748" s="448" t="str">
        <f>_xlfn.IFNA(VLOOKUP($AP748,Programma!$F$3:$U$1101,16,0),"")</f>
        <v>_</v>
      </c>
      <c r="BF748" s="448" t="str">
        <f>_xlfn.IFNA(VLOOKUP($AP748,Programma!$F$3:$V$1101,17,0),"")</f>
        <v>_</v>
      </c>
      <c r="BG748" s="448" t="str">
        <f>_xlfn.IFNA(VLOOKUP($AP748,Programma!$F$3:$W$1101,18,0),"")</f>
        <v>4w</v>
      </c>
      <c r="BH748" s="448" t="str">
        <f>_xlfn.IFNA(VLOOKUP($AP748,Programma!$F$3:$X$1101,19,0),"")</f>
        <v>1w</v>
      </c>
      <c r="BI748" s="448" t="str">
        <f>_xlfn.IFNA(VLOOKUP($AP748,Programma!$F$3:$Y$1101,20,0),"")</f>
        <v>_</v>
      </c>
      <c r="BJ748" s="449"/>
      <c r="BK748" s="446" t="str">
        <f>IF(Ruimtestaat[[#This Row],[Frequentie weekend]]="","",_xlfn.CONCAT(Ruimtestaat[[#This Row],[Ruimte code]],"-",Ruimtestaat[[#This Row],[Frequentie weekend]]," ",Ruimtestaat[[#This Row],[Vloer code]]))</f>
        <v/>
      </c>
      <c r="BL748" s="448" t="str">
        <f>_xlfn.IFNA(VLOOKUP($BK748,Programma!$F$3:$G$1101,2,0),"")</f>
        <v/>
      </c>
      <c r="BM748" s="448" t="str">
        <f>_xlfn.IFNA(VLOOKUP($BK748,Programma!$F$3:$H$1101,3,0),"")</f>
        <v/>
      </c>
      <c r="BN748" s="448" t="str">
        <f>_xlfn.IFNA(VLOOKUP($BK748,Programma!$F$3:$I$1101,4,0),"")</f>
        <v/>
      </c>
      <c r="BO748" s="448" t="str">
        <f>_xlfn.IFNA(VLOOKUP($BK748,Programma!$F$3:$J$1101,5,0),"")</f>
        <v/>
      </c>
      <c r="BP748" s="448" t="str">
        <f>_xlfn.IFNA(VLOOKUP($BK748,Programma!$F$3:$K$1101,6,0),"")</f>
        <v/>
      </c>
      <c r="BQ748" s="448" t="str">
        <f>_xlfn.IFNA(VLOOKUP($BK748,Programma!$F$3:$L$1101,7,0),"")</f>
        <v/>
      </c>
      <c r="BR748" s="448" t="str">
        <f>_xlfn.IFNA(VLOOKUP($BK748,Programma!$F$3:$M$1101,8,0),"")</f>
        <v/>
      </c>
      <c r="BS748" s="448" t="str">
        <f>_xlfn.IFNA(VLOOKUP($BK748,Programma!$F$3:$N$1101,9,0),"")</f>
        <v/>
      </c>
      <c r="BT748" s="448" t="str">
        <f>_xlfn.IFNA(VLOOKUP($BK748,Programma!$F$3:$O$1101,10,0),"")</f>
        <v/>
      </c>
      <c r="BU748" s="448" t="str">
        <f>_xlfn.IFNA(VLOOKUP($BK748,Programma!$F$3:$P$1101,11,0),"")</f>
        <v/>
      </c>
      <c r="BV748" s="448" t="str">
        <f>_xlfn.IFNA(VLOOKUP($BK748,Programma!$F$3:$Q$1101,12,0),"")</f>
        <v/>
      </c>
      <c r="BW748" s="448" t="str">
        <f>_xlfn.IFNA(VLOOKUP($BK748,Programma!$F$3:$R$1101,13,0),"")</f>
        <v/>
      </c>
      <c r="BX748" s="448" t="str">
        <f>_xlfn.IFNA(VLOOKUP($BK748,Programma!$F$3:$S$1101,14,0),"")</f>
        <v/>
      </c>
      <c r="BY748" s="448" t="str">
        <f>_xlfn.IFNA(VLOOKUP($BK748,Programma!$F$3:$T$1101,15,0),"")</f>
        <v/>
      </c>
      <c r="BZ748" s="448" t="str">
        <f>_xlfn.IFNA(VLOOKUP($BK748,Programma!$F$3:$U$1101,16,0),"")</f>
        <v/>
      </c>
      <c r="CA748" s="448" t="str">
        <f>_xlfn.IFNA(VLOOKUP($BK748,Programma!$F$3:$V$1101,17,0),"")</f>
        <v/>
      </c>
      <c r="CB748" s="448" t="str">
        <f>_xlfn.IFNA(VLOOKUP($BK748,Programma!$F$3:$W$1101,18,0),"")</f>
        <v/>
      </c>
      <c r="CC748" s="448" t="str">
        <f>_xlfn.IFNA(VLOOKUP($BK748,Programma!$F$3:$X$1101,19,0),"")</f>
        <v/>
      </c>
      <c r="CD748" s="448" t="str">
        <f>_xlfn.IFNA(VLOOKUP($BK748,Programma!$F$3:$Y$1101,20,0),"")</f>
        <v/>
      </c>
    </row>
    <row r="749" spans="1:82" ht="15" customHeight="1">
      <c r="A749" s="327">
        <v>15</v>
      </c>
      <c r="B749" s="435" t="str">
        <f>VLOOKUP(Ruimtestaat[[#This Row],[Code]],Locaties[[Code]:[Locatie]],2,FALSE)</f>
        <v>IKC  Da Vinci</v>
      </c>
      <c r="C749" s="435" t="str">
        <f>VLOOKUP(Ruimtestaat[[#This Row],[Code]],Locaties[[#All],[Code]:[Adres]],4,FALSE)</f>
        <v>Spitsbergen 17</v>
      </c>
      <c r="D749" s="435" t="str">
        <f>VLOOKUP(Ruimtestaat[[#This Row],[Code]],Locaties[[#All],[Code]:[Postcode]],5,FALSE)</f>
        <v>2721 GP</v>
      </c>
      <c r="E749" s="435" t="str">
        <f>VLOOKUP(Ruimtestaat[[#This Row],[Code]],Locaties[#All],6,FALSE)</f>
        <v>Zoetermeer</v>
      </c>
      <c r="F749" s="330" t="s">
        <v>2154</v>
      </c>
      <c r="I749" s="450" t="s">
        <v>2000</v>
      </c>
      <c r="J749" s="330">
        <v>5</v>
      </c>
      <c r="K749" s="450" t="str">
        <f>VLOOKUP(Ruimtestaat[[#This Row],[Ruimte code]],Ruimtegroepen[[#All],[Code]:[Ruimte omschrijving]],2,FALSE)</f>
        <v>Sanitair</v>
      </c>
      <c r="L749" s="330" t="s">
        <v>101</v>
      </c>
      <c r="M749" s="437" t="s">
        <v>1816</v>
      </c>
      <c r="N749" s="439">
        <v>6</v>
      </c>
      <c r="O749" s="439"/>
      <c r="P749" s="439"/>
      <c r="Q749" s="439"/>
      <c r="R749" s="440" t="str">
        <f>VLOOKUP(Ruimtestaat[[#This Row],[Ruimte code]],Ruimtegroepen[],4,FALSE)</f>
        <v>Sa</v>
      </c>
      <c r="S749" s="434">
        <v>41</v>
      </c>
      <c r="T749" s="434" t="s">
        <v>2</v>
      </c>
      <c r="U749" s="453">
        <f>IF(S749&gt;0,IF(RIGHT(Ruimtestaat[[#This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49" s="434">
        <f>IF(U749&gt;0,VLOOKUP($J749,Ruimtegroepen[],3,FALSE)*VLOOKUP($L749,Vloersoorten[],3,FALSE)*VLOOKUP($T749,Frequenties[],3,FALSE)*VLOOKUP($A749,Locaties[],3,FALSE),0)</f>
        <v>0</v>
      </c>
      <c r="W749" s="434">
        <f>Ruimtestaat[[#This Row],[Uitvoeringen werkdagen]]*Ruimtestaat[[#This Row],[Oppervlak (netto)]]</f>
        <v>1230</v>
      </c>
      <c r="X749" s="441">
        <f>IF(V749&gt;0,Ruimtestaat[[#This Row],[Prest. (m2 /jaar) werkdagen]]/Ruimtestaat[[#This Row],[Norm (m2/uur) werkdagen]],0)</f>
        <v>0</v>
      </c>
      <c r="Y749" s="442">
        <f>Ruimtestaat[[#This Row],[Uitvoeringen werkdagen]]*Ruimtestaat[[#This Row],[Gedeeltelijk]]</f>
        <v>0</v>
      </c>
      <c r="Z749" s="443" t="e">
        <f>IF(U749&gt;0,Ruimtestaat[[#This Row],[Prest. (m2 / jaar) werkdagen gedeeld]]/Ruimtestaat[[#This Row],[Norm (m2/uur) werkdagen]],0)</f>
        <v>#DIV/0!</v>
      </c>
      <c r="AA749" s="441" t="e">
        <f>Ruimtestaat[[#This Row],[uren / jaar werkdagen gedeeld]]*Tariefsopbouw!$E$35</f>
        <v>#DIV/0!</v>
      </c>
      <c r="AB749" s="441">
        <f>Ruimtestaat[[#This Row],[Uitvoeringen werkdagen]]*Ruimtestaat[[#This Row],[BSO]]</f>
        <v>0</v>
      </c>
      <c r="AC749" s="443" t="e">
        <f>IF(U749&gt;0,Ruimtestaat[[#This Row],[Prest. (m2 / jaar) werkdagen BSO]]/Ruimtestaat[[#This Row],[Norm (m2/uur) werkdagen]],0)</f>
        <v>#DIV/0!</v>
      </c>
      <c r="AD749" s="443" t="e">
        <f>Ruimtestaat[[#This Row],[uren / jaar werkdagen BSO]]*Tariefsopbouw!$E$35</f>
        <v>#DIV/0!</v>
      </c>
      <c r="AE749" s="444">
        <f>Ruimtestaat[[#This Row],[uren / jaar werkdagen]]*Tariefsopbouw!$E$35</f>
        <v>0</v>
      </c>
      <c r="AF749" s="454"/>
      <c r="AG749" s="455">
        <f>IF(Ruimtestaat[[#This Row],[Frequentie weekend]]&gt;0,VALUE(LEFT(AF749,1))*S749,0)</f>
        <v>0</v>
      </c>
      <c r="AH749" s="455">
        <f>IF($AG749&gt;0,VLOOKUP($J749,Ruimtegroepen[],3,FALSE)*VLOOKUP($L749,Vloersoorten[],3,FALSE)*VLOOKUP($AF749,Frequenties[],3,FALSE)*VLOOKUP(#REF!,Locaties[],3,FALSE),0)</f>
        <v>0</v>
      </c>
      <c r="AI749" s="434">
        <f>Ruimtestaat[[#This Row],[Uitvoeringen weekend]]*Ruimtestaat[[#This Row],[Oppervlak (netto)]]</f>
        <v>0</v>
      </c>
      <c r="AJ749" s="434">
        <f>IF(AH749&gt;0,Ruimtestaat[[#This Row],[Prest. (m2 /jaar) weekend]]/Ruimtestaat[[#This Row],[Norm (m2/uur) weekend]],0)</f>
        <v>0</v>
      </c>
      <c r="AK749" s="444">
        <f>Ruimtestaat[[#This Row],[uren / jaar weekend]]*Tariefsopbouw!$D$40</f>
        <v>0</v>
      </c>
      <c r="AL749" s="441">
        <f>Ruimtestaat[[#This Row],[Prest. (m2 /jaar) weekend]]+Ruimtestaat[[#This Row],[Prest. (m2 /jaar) werkdagen]]</f>
        <v>1230</v>
      </c>
      <c r="AM749" s="441">
        <f>Ruimtestaat[[#This Row],[uren / jaar weekend]]+Ruimtestaat[[#This Row],[uren / jaar werkdagen]]</f>
        <v>0</v>
      </c>
      <c r="AN749" s="446">
        <f>Ruimtestaat[[#This Row],[kosten / jaar weekend]]+Ruimtestaat[[#This Row],[kosten / jaar werkdagen]]</f>
        <v>0</v>
      </c>
      <c r="AO749" s="446"/>
      <c r="AP749" s="446" t="str">
        <f>IF(Ruimtestaat[[#This Row],[Frequentie werkdagen]]="","",_xlfn.CONCAT(Ruimtestaat[[#This Row],[Ruimte code]],"-",Ruimtestaat[[#This Row],[Frequentie werkdagen]]," ",Ruimtestaat[[#This Row],[Vloer code]]))</f>
        <v>5-5w S</v>
      </c>
      <c r="AQ749" s="448" t="str">
        <f>_xlfn.IFNA(VLOOKUP($AP749,Programma!$F$3:$G$1101,2,0),"")</f>
        <v>_</v>
      </c>
      <c r="AR749" s="448" t="str">
        <f>_xlfn.IFNA(VLOOKUP($AP749,Programma!$F$3:$H$1101,3,0),"")</f>
        <v>_</v>
      </c>
      <c r="AS749" s="448" t="str">
        <f>_xlfn.IFNA(VLOOKUP($AP749,Programma!$F$3:$I$1101,4,0),"")</f>
        <v>_</v>
      </c>
      <c r="AT749" s="448" t="str">
        <f>_xlfn.IFNA(VLOOKUP($AP749,Programma!$F$3:$J$1101,5,0),"")</f>
        <v>4w</v>
      </c>
      <c r="AU749" s="448" t="str">
        <f>_xlfn.IFNA(VLOOKUP($AP749,Programma!$F$3:$K$1101,6,0),"")</f>
        <v>1w</v>
      </c>
      <c r="AV749" s="448" t="str">
        <f>_xlfn.IFNA(VLOOKUP($AP749,Programma!$F$3:$L$1101,7,0),"")</f>
        <v>_</v>
      </c>
      <c r="AW749" s="448" t="str">
        <f>_xlfn.IFNA(VLOOKUP($AP749,Programma!$F$3:$M$1101,8,0),"")</f>
        <v>_</v>
      </c>
      <c r="AX749" s="448" t="str">
        <f>_xlfn.IFNA(VLOOKUP($AP749,Programma!$F$3:$N$1101,9,0),"")</f>
        <v>_</v>
      </c>
      <c r="AY749" s="448" t="str">
        <f>_xlfn.IFNA(VLOOKUP($AP749,Programma!$F$3:$O$1101,10,0),"")</f>
        <v>_</v>
      </c>
      <c r="AZ749" s="448" t="str">
        <f>_xlfn.IFNA(VLOOKUP($AP749,Programma!$F$3:$P$1101,11,0),"")</f>
        <v>_</v>
      </c>
      <c r="BA749" s="448" t="str">
        <f>_xlfn.IFNA(VLOOKUP($AP749,Programma!$F$3:$Q$1101,12,0),"")</f>
        <v>_</v>
      </c>
      <c r="BB749" s="448" t="str">
        <f>_xlfn.IFNA(VLOOKUP($AP749,Programma!$F$3:$R$1101,13,0),"")</f>
        <v>_</v>
      </c>
      <c r="BC749" s="448" t="str">
        <f>_xlfn.IFNA(VLOOKUP($AP749,Programma!$F$3:$S$1101,14,0),"")</f>
        <v>_</v>
      </c>
      <c r="BD749" s="448" t="str">
        <f>_xlfn.IFNA(VLOOKUP($AP749,Programma!$F$3:$T$1101,15,0),"")</f>
        <v>_</v>
      </c>
      <c r="BE749" s="448" t="str">
        <f>_xlfn.IFNA(VLOOKUP($AP749,Programma!$F$3:$U$1101,16,0),"")</f>
        <v>_</v>
      </c>
      <c r="BF749" s="448" t="str">
        <f>_xlfn.IFNA(VLOOKUP($AP749,Programma!$F$3:$V$1101,17,0),"")</f>
        <v>_</v>
      </c>
      <c r="BG749" s="448" t="str">
        <f>_xlfn.IFNA(VLOOKUP($AP749,Programma!$F$3:$W$1101,18,0),"")</f>
        <v>4w</v>
      </c>
      <c r="BH749" s="448" t="str">
        <f>_xlfn.IFNA(VLOOKUP($AP749,Programma!$F$3:$X$1101,19,0),"")</f>
        <v>1w</v>
      </c>
      <c r="BI749" s="448" t="str">
        <f>_xlfn.IFNA(VLOOKUP($AP749,Programma!$F$3:$Y$1101,20,0),"")</f>
        <v>_</v>
      </c>
      <c r="BJ749" s="449"/>
      <c r="BK749" s="446" t="str">
        <f>IF(Ruimtestaat[[#This Row],[Frequentie weekend]]="","",_xlfn.CONCAT(Ruimtestaat[[#This Row],[Ruimte code]],"-",Ruimtestaat[[#This Row],[Frequentie weekend]]," ",Ruimtestaat[[#This Row],[Vloer code]]))</f>
        <v/>
      </c>
      <c r="BL749" s="448" t="str">
        <f>_xlfn.IFNA(VLOOKUP($BK749,Programma!$F$3:$G$1101,2,0),"")</f>
        <v/>
      </c>
      <c r="BM749" s="448" t="str">
        <f>_xlfn.IFNA(VLOOKUP($BK749,Programma!$F$3:$H$1101,3,0),"")</f>
        <v/>
      </c>
      <c r="BN749" s="448" t="str">
        <f>_xlfn.IFNA(VLOOKUP($BK749,Programma!$F$3:$I$1101,4,0),"")</f>
        <v/>
      </c>
      <c r="BO749" s="448" t="str">
        <f>_xlfn.IFNA(VLOOKUP($BK749,Programma!$F$3:$J$1101,5,0),"")</f>
        <v/>
      </c>
      <c r="BP749" s="448" t="str">
        <f>_xlfn.IFNA(VLOOKUP($BK749,Programma!$F$3:$K$1101,6,0),"")</f>
        <v/>
      </c>
      <c r="BQ749" s="448" t="str">
        <f>_xlfn.IFNA(VLOOKUP($BK749,Programma!$F$3:$L$1101,7,0),"")</f>
        <v/>
      </c>
      <c r="BR749" s="448" t="str">
        <f>_xlfn.IFNA(VLOOKUP($BK749,Programma!$F$3:$M$1101,8,0),"")</f>
        <v/>
      </c>
      <c r="BS749" s="448" t="str">
        <f>_xlfn.IFNA(VLOOKUP($BK749,Programma!$F$3:$N$1101,9,0),"")</f>
        <v/>
      </c>
      <c r="BT749" s="448" t="str">
        <f>_xlfn.IFNA(VLOOKUP($BK749,Programma!$F$3:$O$1101,10,0),"")</f>
        <v/>
      </c>
      <c r="BU749" s="448" t="str">
        <f>_xlfn.IFNA(VLOOKUP($BK749,Programma!$F$3:$P$1101,11,0),"")</f>
        <v/>
      </c>
      <c r="BV749" s="448" t="str">
        <f>_xlfn.IFNA(VLOOKUP($BK749,Programma!$F$3:$Q$1101,12,0),"")</f>
        <v/>
      </c>
      <c r="BW749" s="448" t="str">
        <f>_xlfn.IFNA(VLOOKUP($BK749,Programma!$F$3:$R$1101,13,0),"")</f>
        <v/>
      </c>
      <c r="BX749" s="448" t="str">
        <f>_xlfn.IFNA(VLOOKUP($BK749,Programma!$F$3:$S$1101,14,0),"")</f>
        <v/>
      </c>
      <c r="BY749" s="448" t="str">
        <f>_xlfn.IFNA(VLOOKUP($BK749,Programma!$F$3:$T$1101,15,0),"")</f>
        <v/>
      </c>
      <c r="BZ749" s="448" t="str">
        <f>_xlfn.IFNA(VLOOKUP($BK749,Programma!$F$3:$U$1101,16,0),"")</f>
        <v/>
      </c>
      <c r="CA749" s="448" t="str">
        <f>_xlfn.IFNA(VLOOKUP($BK749,Programma!$F$3:$V$1101,17,0),"")</f>
        <v/>
      </c>
      <c r="CB749" s="448" t="str">
        <f>_xlfn.IFNA(VLOOKUP($BK749,Programma!$F$3:$W$1101,18,0),"")</f>
        <v/>
      </c>
      <c r="CC749" s="448" t="str">
        <f>_xlfn.IFNA(VLOOKUP($BK749,Programma!$F$3:$X$1101,19,0),"")</f>
        <v/>
      </c>
      <c r="CD749" s="448" t="str">
        <f>_xlfn.IFNA(VLOOKUP($BK749,Programma!$F$3:$Y$1101,20,0),"")</f>
        <v/>
      </c>
    </row>
    <row r="750" spans="1:82" ht="15" customHeight="1">
      <c r="A750" s="327">
        <v>15</v>
      </c>
      <c r="B750" s="435" t="str">
        <f>VLOOKUP(Ruimtestaat[[#This Row],[Code]],Locaties[[Code]:[Locatie]],2,FALSE)</f>
        <v>IKC  Da Vinci</v>
      </c>
      <c r="C750" s="435" t="str">
        <f>VLOOKUP(Ruimtestaat[[#This Row],[Code]],Locaties[[#All],[Code]:[Adres]],4,FALSE)</f>
        <v>Spitsbergen 17</v>
      </c>
      <c r="D750" s="435" t="str">
        <f>VLOOKUP(Ruimtestaat[[#This Row],[Code]],Locaties[[#All],[Code]:[Postcode]],5,FALSE)</f>
        <v>2721 GP</v>
      </c>
      <c r="E750" s="435" t="str">
        <f>VLOOKUP(Ruimtestaat[[#This Row],[Code]],Locaties[#All],6,FALSE)</f>
        <v>Zoetermeer</v>
      </c>
      <c r="F750" s="330" t="s">
        <v>2154</v>
      </c>
      <c r="I750" s="450" t="s">
        <v>2001</v>
      </c>
      <c r="J750" s="330">
        <v>20</v>
      </c>
      <c r="K750" s="450" t="str">
        <f>VLOOKUP(Ruimtestaat[[#This Row],[Ruimte code]],Ruimtegroepen[[#All],[Code]:[Ruimte omschrijving]],2,FALSE)</f>
        <v>Niet in Onderhoud</v>
      </c>
      <c r="M750" s="330"/>
      <c r="N750" s="439"/>
      <c r="O750" s="439">
        <v>6</v>
      </c>
      <c r="P750" s="439"/>
      <c r="Q750" s="439"/>
      <c r="R750" s="440">
        <f>VLOOKUP(Ruimtestaat[[#This Row],[Ruimte code]],Ruimtegroepen[],4,FALSE)</f>
        <v>0</v>
      </c>
      <c r="S750" s="434"/>
      <c r="T750" s="434"/>
      <c r="U750" s="453">
        <f>IF(S750&gt;0,IF(RIGHT(Ruimtestaat[[#This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0" s="434">
        <f>IF(U750&gt;0,VLOOKUP($J750,Ruimtegroepen[],3,FALSE)*VLOOKUP($L750,Vloersoorten[],3,FALSE)*VLOOKUP($T750,Frequenties[],3,FALSE)*VLOOKUP($A750,Locaties[],3,FALSE),0)</f>
        <v>0</v>
      </c>
      <c r="W750" s="434">
        <f>Ruimtestaat[[#This Row],[Uitvoeringen werkdagen]]*Ruimtestaat[[#This Row],[Oppervlak (netto)]]</f>
        <v>0</v>
      </c>
      <c r="X750" s="441">
        <f>IF(V750&gt;0,Ruimtestaat[[#This Row],[Prest. (m2 /jaar) werkdagen]]/Ruimtestaat[[#This Row],[Norm (m2/uur) werkdagen]],0)</f>
        <v>0</v>
      </c>
      <c r="Y750" s="442">
        <f>Ruimtestaat[[#This Row],[Uitvoeringen werkdagen]]*Ruimtestaat[[#This Row],[Gedeeltelijk]]</f>
        <v>0</v>
      </c>
      <c r="Z750" s="443">
        <f>IF(U750&gt;0,Ruimtestaat[[#This Row],[Prest. (m2 / jaar) werkdagen gedeeld]]/Ruimtestaat[[#This Row],[Norm (m2/uur) werkdagen]],0)</f>
        <v>0</v>
      </c>
      <c r="AA750" s="441">
        <f>Ruimtestaat[[#This Row],[uren / jaar werkdagen gedeeld]]*Tariefsopbouw!$E$35</f>
        <v>0</v>
      </c>
      <c r="AB750" s="441">
        <f>Ruimtestaat[[#This Row],[Uitvoeringen werkdagen]]*Ruimtestaat[[#This Row],[BSO]]</f>
        <v>0</v>
      </c>
      <c r="AC750" s="443">
        <f>IF(U750&gt;0,Ruimtestaat[[#This Row],[Prest. (m2 / jaar) werkdagen BSO]]/Ruimtestaat[[#This Row],[Norm (m2/uur) werkdagen]],0)</f>
        <v>0</v>
      </c>
      <c r="AD750" s="443">
        <f>Ruimtestaat[[#This Row],[uren / jaar werkdagen BSO]]*Tariefsopbouw!$E$35</f>
        <v>0</v>
      </c>
      <c r="AE750" s="444">
        <f>Ruimtestaat[[#This Row],[uren / jaar werkdagen]]*Tariefsopbouw!$E$35</f>
        <v>0</v>
      </c>
      <c r="AF750" s="454"/>
      <c r="AG750" s="455">
        <f>IF(Ruimtestaat[[#This Row],[Frequentie weekend]]&gt;0,VALUE(LEFT(AF750,1))*S750,0)</f>
        <v>0</v>
      </c>
      <c r="AH750" s="455">
        <f>IF($AG750&gt;0,VLOOKUP($J750,Ruimtegroepen[],3,FALSE)*VLOOKUP($L750,Vloersoorten[],3,FALSE)*VLOOKUP($AF750,Frequenties[],3,FALSE)*VLOOKUP(#REF!,Locaties[],3,FALSE),0)</f>
        <v>0</v>
      </c>
      <c r="AI750" s="434">
        <f>Ruimtestaat[[#This Row],[Uitvoeringen weekend]]*Ruimtestaat[[#This Row],[Oppervlak (netto)]]</f>
        <v>0</v>
      </c>
      <c r="AJ750" s="434">
        <f>IF(AH750&gt;0,Ruimtestaat[[#This Row],[Prest. (m2 /jaar) weekend]]/Ruimtestaat[[#This Row],[Norm (m2/uur) weekend]],0)</f>
        <v>0</v>
      </c>
      <c r="AK750" s="444">
        <f>Ruimtestaat[[#This Row],[uren / jaar weekend]]*Tariefsopbouw!$D$40</f>
        <v>0</v>
      </c>
      <c r="AL750" s="441">
        <f>Ruimtestaat[[#This Row],[Prest. (m2 /jaar) weekend]]+Ruimtestaat[[#This Row],[Prest. (m2 /jaar) werkdagen]]</f>
        <v>0</v>
      </c>
      <c r="AM750" s="441">
        <f>Ruimtestaat[[#This Row],[uren / jaar weekend]]+Ruimtestaat[[#This Row],[uren / jaar werkdagen]]</f>
        <v>0</v>
      </c>
      <c r="AN750" s="446">
        <f>Ruimtestaat[[#This Row],[kosten / jaar weekend]]+Ruimtestaat[[#This Row],[kosten / jaar werkdagen]]</f>
        <v>0</v>
      </c>
      <c r="AO750" s="446"/>
      <c r="AP750" s="446" t="str">
        <f>IF(Ruimtestaat[[#This Row],[Frequentie werkdagen]]="","",_xlfn.CONCAT(Ruimtestaat[[#This Row],[Ruimte code]],"-",Ruimtestaat[[#This Row],[Frequentie werkdagen]]," ",Ruimtestaat[[#This Row],[Vloer code]]))</f>
        <v/>
      </c>
      <c r="AQ750" s="448" t="str">
        <f>_xlfn.IFNA(VLOOKUP($AP750,Programma!$F$3:$G$1101,2,0),"")</f>
        <v/>
      </c>
      <c r="AR750" s="448" t="str">
        <f>_xlfn.IFNA(VLOOKUP($AP750,Programma!$F$3:$H$1101,3,0),"")</f>
        <v/>
      </c>
      <c r="AS750" s="448" t="str">
        <f>_xlfn.IFNA(VLOOKUP($AP750,Programma!$F$3:$I$1101,4,0),"")</f>
        <v/>
      </c>
      <c r="AT750" s="448" t="str">
        <f>_xlfn.IFNA(VLOOKUP($AP750,Programma!$F$3:$J$1101,5,0),"")</f>
        <v/>
      </c>
      <c r="AU750" s="448" t="str">
        <f>_xlfn.IFNA(VLOOKUP($AP750,Programma!$F$3:$K$1101,6,0),"")</f>
        <v/>
      </c>
      <c r="AV750" s="448" t="str">
        <f>_xlfn.IFNA(VLOOKUP($AP750,Programma!$F$3:$L$1101,7,0),"")</f>
        <v/>
      </c>
      <c r="AW750" s="448" t="str">
        <f>_xlfn.IFNA(VLOOKUP($AP750,Programma!$F$3:$M$1101,8,0),"")</f>
        <v/>
      </c>
      <c r="AX750" s="448" t="str">
        <f>_xlfn.IFNA(VLOOKUP($AP750,Programma!$F$3:$N$1101,9,0),"")</f>
        <v/>
      </c>
      <c r="AY750" s="448" t="str">
        <f>_xlfn.IFNA(VLOOKUP($AP750,Programma!$F$3:$O$1101,10,0),"")</f>
        <v/>
      </c>
      <c r="AZ750" s="448" t="str">
        <f>_xlfn.IFNA(VLOOKUP($AP750,Programma!$F$3:$P$1101,11,0),"")</f>
        <v/>
      </c>
      <c r="BA750" s="448" t="str">
        <f>_xlfn.IFNA(VLOOKUP($AP750,Programma!$F$3:$Q$1101,12,0),"")</f>
        <v/>
      </c>
      <c r="BB750" s="448" t="str">
        <f>_xlfn.IFNA(VLOOKUP($AP750,Programma!$F$3:$R$1101,13,0),"")</f>
        <v/>
      </c>
      <c r="BC750" s="448" t="str">
        <f>_xlfn.IFNA(VLOOKUP($AP750,Programma!$F$3:$S$1101,14,0),"")</f>
        <v/>
      </c>
      <c r="BD750" s="448" t="str">
        <f>_xlfn.IFNA(VLOOKUP($AP750,Programma!$F$3:$T$1101,15,0),"")</f>
        <v/>
      </c>
      <c r="BE750" s="448" t="str">
        <f>_xlfn.IFNA(VLOOKUP($AP750,Programma!$F$3:$U$1101,16,0),"")</f>
        <v/>
      </c>
      <c r="BF750" s="448" t="str">
        <f>_xlfn.IFNA(VLOOKUP($AP750,Programma!$F$3:$V$1101,17,0),"")</f>
        <v/>
      </c>
      <c r="BG750" s="448" t="str">
        <f>_xlfn.IFNA(VLOOKUP($AP750,Programma!$F$3:$W$1101,18,0),"")</f>
        <v/>
      </c>
      <c r="BH750" s="448" t="str">
        <f>_xlfn.IFNA(VLOOKUP($AP750,Programma!$F$3:$X$1101,19,0),"")</f>
        <v/>
      </c>
      <c r="BI750" s="448" t="str">
        <f>_xlfn.IFNA(VLOOKUP($AP750,Programma!$F$3:$Y$1101,20,0),"")</f>
        <v/>
      </c>
      <c r="BJ750" s="449"/>
      <c r="BK750" s="446" t="str">
        <f>IF(Ruimtestaat[[#This Row],[Frequentie weekend]]="","",_xlfn.CONCAT(Ruimtestaat[[#This Row],[Ruimte code]],"-",Ruimtestaat[[#This Row],[Frequentie weekend]]," ",Ruimtestaat[[#This Row],[Vloer code]]))</f>
        <v/>
      </c>
      <c r="BL750" s="448" t="str">
        <f>_xlfn.IFNA(VLOOKUP($BK750,Programma!$F$3:$G$1101,2,0),"")</f>
        <v/>
      </c>
      <c r="BM750" s="448" t="str">
        <f>_xlfn.IFNA(VLOOKUP($BK750,Programma!$F$3:$H$1101,3,0),"")</f>
        <v/>
      </c>
      <c r="BN750" s="448" t="str">
        <f>_xlfn.IFNA(VLOOKUP($BK750,Programma!$F$3:$I$1101,4,0),"")</f>
        <v/>
      </c>
      <c r="BO750" s="448" t="str">
        <f>_xlfn.IFNA(VLOOKUP($BK750,Programma!$F$3:$J$1101,5,0),"")</f>
        <v/>
      </c>
      <c r="BP750" s="448" t="str">
        <f>_xlfn.IFNA(VLOOKUP($BK750,Programma!$F$3:$K$1101,6,0),"")</f>
        <v/>
      </c>
      <c r="BQ750" s="448" t="str">
        <f>_xlfn.IFNA(VLOOKUP($BK750,Programma!$F$3:$L$1101,7,0),"")</f>
        <v/>
      </c>
      <c r="BR750" s="448" t="str">
        <f>_xlfn.IFNA(VLOOKUP($BK750,Programma!$F$3:$M$1101,8,0),"")</f>
        <v/>
      </c>
      <c r="BS750" s="448" t="str">
        <f>_xlfn.IFNA(VLOOKUP($BK750,Programma!$F$3:$N$1101,9,0),"")</f>
        <v/>
      </c>
      <c r="BT750" s="448" t="str">
        <f>_xlfn.IFNA(VLOOKUP($BK750,Programma!$F$3:$O$1101,10,0),"")</f>
        <v/>
      </c>
      <c r="BU750" s="448" t="str">
        <f>_xlfn.IFNA(VLOOKUP($BK750,Programma!$F$3:$P$1101,11,0),"")</f>
        <v/>
      </c>
      <c r="BV750" s="448" t="str">
        <f>_xlfn.IFNA(VLOOKUP($BK750,Programma!$F$3:$Q$1101,12,0),"")</f>
        <v/>
      </c>
      <c r="BW750" s="448" t="str">
        <f>_xlfn.IFNA(VLOOKUP($BK750,Programma!$F$3:$R$1101,13,0),"")</f>
        <v/>
      </c>
      <c r="BX750" s="448" t="str">
        <f>_xlfn.IFNA(VLOOKUP($BK750,Programma!$F$3:$S$1101,14,0),"")</f>
        <v/>
      </c>
      <c r="BY750" s="448" t="str">
        <f>_xlfn.IFNA(VLOOKUP($BK750,Programma!$F$3:$T$1101,15,0),"")</f>
        <v/>
      </c>
      <c r="BZ750" s="448" t="str">
        <f>_xlfn.IFNA(VLOOKUP($BK750,Programma!$F$3:$U$1101,16,0),"")</f>
        <v/>
      </c>
      <c r="CA750" s="448" t="str">
        <f>_xlfn.IFNA(VLOOKUP($BK750,Programma!$F$3:$V$1101,17,0),"")</f>
        <v/>
      </c>
      <c r="CB750" s="448" t="str">
        <f>_xlfn.IFNA(VLOOKUP($BK750,Programma!$F$3:$W$1101,18,0),"")</f>
        <v/>
      </c>
      <c r="CC750" s="448" t="str">
        <f>_xlfn.IFNA(VLOOKUP($BK750,Programma!$F$3:$X$1101,19,0),"")</f>
        <v/>
      </c>
      <c r="CD750" s="448" t="str">
        <f>_xlfn.IFNA(VLOOKUP($BK750,Programma!$F$3:$Y$1101,20,0),"")</f>
        <v/>
      </c>
    </row>
    <row r="751" spans="1:82" ht="15" customHeight="1">
      <c r="A751" s="327">
        <v>15</v>
      </c>
      <c r="B751" s="435" t="str">
        <f>VLOOKUP(Ruimtestaat[[#This Row],[Code]],Locaties[[Code]:[Locatie]],2,FALSE)</f>
        <v>IKC  Da Vinci</v>
      </c>
      <c r="C751" s="435" t="str">
        <f>VLOOKUP(Ruimtestaat[[#This Row],[Code]],Locaties[[#All],[Code]:[Adres]],4,FALSE)</f>
        <v>Spitsbergen 17</v>
      </c>
      <c r="D751" s="435" t="str">
        <f>VLOOKUP(Ruimtestaat[[#This Row],[Code]],Locaties[[#All],[Code]:[Postcode]],5,FALSE)</f>
        <v>2721 GP</v>
      </c>
      <c r="E751" s="435" t="str">
        <f>VLOOKUP(Ruimtestaat[[#This Row],[Code]],Locaties[#All],6,FALSE)</f>
        <v>Zoetermeer</v>
      </c>
      <c r="F751" s="330" t="s">
        <v>2154</v>
      </c>
      <c r="I751" s="450" t="s">
        <v>2001</v>
      </c>
      <c r="J751" s="330">
        <v>20</v>
      </c>
      <c r="K751" s="450" t="str">
        <f>VLOOKUP(Ruimtestaat[[#This Row],[Ruimte code]],Ruimtegroepen[[#All],[Code]:[Ruimte omschrijving]],2,FALSE)</f>
        <v>Niet in Onderhoud</v>
      </c>
      <c r="M751" s="330"/>
      <c r="N751" s="439"/>
      <c r="O751" s="439">
        <v>5</v>
      </c>
      <c r="P751" s="439"/>
      <c r="Q751" s="439"/>
      <c r="R751" s="440">
        <f>VLOOKUP(Ruimtestaat[[#This Row],[Ruimte code]],Ruimtegroepen[],4,FALSE)</f>
        <v>0</v>
      </c>
      <c r="S751" s="434"/>
      <c r="T751" s="434"/>
      <c r="U751" s="453">
        <f>IF(S751&gt;0,IF(RIGHT(Ruimtestaat[[#This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1" s="434">
        <f>IF(U751&gt;0,VLOOKUP($J751,Ruimtegroepen[],3,FALSE)*VLOOKUP($L751,Vloersoorten[],3,FALSE)*VLOOKUP($T751,Frequenties[],3,FALSE)*VLOOKUP($A751,Locaties[],3,FALSE),0)</f>
        <v>0</v>
      </c>
      <c r="W751" s="434">
        <f>Ruimtestaat[[#This Row],[Uitvoeringen werkdagen]]*Ruimtestaat[[#This Row],[Oppervlak (netto)]]</f>
        <v>0</v>
      </c>
      <c r="X751" s="441">
        <f>IF(V751&gt;0,Ruimtestaat[[#This Row],[Prest. (m2 /jaar) werkdagen]]/Ruimtestaat[[#This Row],[Norm (m2/uur) werkdagen]],0)</f>
        <v>0</v>
      </c>
      <c r="Y751" s="442">
        <f>Ruimtestaat[[#This Row],[Uitvoeringen werkdagen]]*Ruimtestaat[[#This Row],[Gedeeltelijk]]</f>
        <v>0</v>
      </c>
      <c r="Z751" s="443">
        <f>IF(U751&gt;0,Ruimtestaat[[#This Row],[Prest. (m2 / jaar) werkdagen gedeeld]]/Ruimtestaat[[#This Row],[Norm (m2/uur) werkdagen]],0)</f>
        <v>0</v>
      </c>
      <c r="AA751" s="441">
        <f>Ruimtestaat[[#This Row],[uren / jaar werkdagen gedeeld]]*Tariefsopbouw!$E$35</f>
        <v>0</v>
      </c>
      <c r="AB751" s="441">
        <f>Ruimtestaat[[#This Row],[Uitvoeringen werkdagen]]*Ruimtestaat[[#This Row],[BSO]]</f>
        <v>0</v>
      </c>
      <c r="AC751" s="443">
        <f>IF(U751&gt;0,Ruimtestaat[[#This Row],[Prest. (m2 / jaar) werkdagen BSO]]/Ruimtestaat[[#This Row],[Norm (m2/uur) werkdagen]],0)</f>
        <v>0</v>
      </c>
      <c r="AD751" s="443">
        <f>Ruimtestaat[[#This Row],[uren / jaar werkdagen BSO]]*Tariefsopbouw!$E$35</f>
        <v>0</v>
      </c>
      <c r="AE751" s="444">
        <f>Ruimtestaat[[#This Row],[uren / jaar werkdagen]]*Tariefsopbouw!$E$35</f>
        <v>0</v>
      </c>
      <c r="AF751" s="454"/>
      <c r="AG751" s="455">
        <f>IF(Ruimtestaat[[#This Row],[Frequentie weekend]]&gt;0,VALUE(LEFT(AF751,1))*S751,0)</f>
        <v>0</v>
      </c>
      <c r="AH751" s="455">
        <f>IF($AG751&gt;0,VLOOKUP($J751,Ruimtegroepen[],3,FALSE)*VLOOKUP($L751,Vloersoorten[],3,FALSE)*VLOOKUP($AF751,Frequenties[],3,FALSE)*VLOOKUP(#REF!,Locaties[],3,FALSE),0)</f>
        <v>0</v>
      </c>
      <c r="AI751" s="434">
        <f>Ruimtestaat[[#This Row],[Uitvoeringen weekend]]*Ruimtestaat[[#This Row],[Oppervlak (netto)]]</f>
        <v>0</v>
      </c>
      <c r="AJ751" s="434">
        <f>IF(AH751&gt;0,Ruimtestaat[[#This Row],[Prest. (m2 /jaar) weekend]]/Ruimtestaat[[#This Row],[Norm (m2/uur) weekend]],0)</f>
        <v>0</v>
      </c>
      <c r="AK751" s="444">
        <f>Ruimtestaat[[#This Row],[uren / jaar weekend]]*Tariefsopbouw!$D$40</f>
        <v>0</v>
      </c>
      <c r="AL751" s="441">
        <f>Ruimtestaat[[#This Row],[Prest. (m2 /jaar) weekend]]+Ruimtestaat[[#This Row],[Prest. (m2 /jaar) werkdagen]]</f>
        <v>0</v>
      </c>
      <c r="AM751" s="441">
        <f>Ruimtestaat[[#This Row],[uren / jaar weekend]]+Ruimtestaat[[#This Row],[uren / jaar werkdagen]]</f>
        <v>0</v>
      </c>
      <c r="AN751" s="446">
        <f>Ruimtestaat[[#This Row],[kosten / jaar weekend]]+Ruimtestaat[[#This Row],[kosten / jaar werkdagen]]</f>
        <v>0</v>
      </c>
      <c r="AO751" s="446"/>
      <c r="AP751" s="446" t="str">
        <f>IF(Ruimtestaat[[#This Row],[Frequentie werkdagen]]="","",_xlfn.CONCAT(Ruimtestaat[[#This Row],[Ruimte code]],"-",Ruimtestaat[[#This Row],[Frequentie werkdagen]]," ",Ruimtestaat[[#This Row],[Vloer code]]))</f>
        <v/>
      </c>
      <c r="AQ751" s="448" t="str">
        <f>_xlfn.IFNA(VLOOKUP($AP751,Programma!$F$3:$G$1101,2,0),"")</f>
        <v/>
      </c>
      <c r="AR751" s="448" t="str">
        <f>_xlfn.IFNA(VLOOKUP($AP751,Programma!$F$3:$H$1101,3,0),"")</f>
        <v/>
      </c>
      <c r="AS751" s="448" t="str">
        <f>_xlfn.IFNA(VLOOKUP($AP751,Programma!$F$3:$I$1101,4,0),"")</f>
        <v/>
      </c>
      <c r="AT751" s="448" t="str">
        <f>_xlfn.IFNA(VLOOKUP($AP751,Programma!$F$3:$J$1101,5,0),"")</f>
        <v/>
      </c>
      <c r="AU751" s="448" t="str">
        <f>_xlfn.IFNA(VLOOKUP($AP751,Programma!$F$3:$K$1101,6,0),"")</f>
        <v/>
      </c>
      <c r="AV751" s="448" t="str">
        <f>_xlfn.IFNA(VLOOKUP($AP751,Programma!$F$3:$L$1101,7,0),"")</f>
        <v/>
      </c>
      <c r="AW751" s="448" t="str">
        <f>_xlfn.IFNA(VLOOKUP($AP751,Programma!$F$3:$M$1101,8,0),"")</f>
        <v/>
      </c>
      <c r="AX751" s="448" t="str">
        <f>_xlfn.IFNA(VLOOKUP($AP751,Programma!$F$3:$N$1101,9,0),"")</f>
        <v/>
      </c>
      <c r="AY751" s="448" t="str">
        <f>_xlfn.IFNA(VLOOKUP($AP751,Programma!$F$3:$O$1101,10,0),"")</f>
        <v/>
      </c>
      <c r="AZ751" s="448" t="str">
        <f>_xlfn.IFNA(VLOOKUP($AP751,Programma!$F$3:$P$1101,11,0),"")</f>
        <v/>
      </c>
      <c r="BA751" s="448" t="str">
        <f>_xlfn.IFNA(VLOOKUP($AP751,Programma!$F$3:$Q$1101,12,0),"")</f>
        <v/>
      </c>
      <c r="BB751" s="448" t="str">
        <f>_xlfn.IFNA(VLOOKUP($AP751,Programma!$F$3:$R$1101,13,0),"")</f>
        <v/>
      </c>
      <c r="BC751" s="448" t="str">
        <f>_xlfn.IFNA(VLOOKUP($AP751,Programma!$F$3:$S$1101,14,0),"")</f>
        <v/>
      </c>
      <c r="BD751" s="448" t="str">
        <f>_xlfn.IFNA(VLOOKUP($AP751,Programma!$F$3:$T$1101,15,0),"")</f>
        <v/>
      </c>
      <c r="BE751" s="448" t="str">
        <f>_xlfn.IFNA(VLOOKUP($AP751,Programma!$F$3:$U$1101,16,0),"")</f>
        <v/>
      </c>
      <c r="BF751" s="448" t="str">
        <f>_xlfn.IFNA(VLOOKUP($AP751,Programma!$F$3:$V$1101,17,0),"")</f>
        <v/>
      </c>
      <c r="BG751" s="448" t="str">
        <f>_xlfn.IFNA(VLOOKUP($AP751,Programma!$F$3:$W$1101,18,0),"")</f>
        <v/>
      </c>
      <c r="BH751" s="448" t="str">
        <f>_xlfn.IFNA(VLOOKUP($AP751,Programma!$F$3:$X$1101,19,0),"")</f>
        <v/>
      </c>
      <c r="BI751" s="448" t="str">
        <f>_xlfn.IFNA(VLOOKUP($AP751,Programma!$F$3:$Y$1101,20,0),"")</f>
        <v/>
      </c>
      <c r="BJ751" s="449"/>
      <c r="BK751" s="446" t="str">
        <f>IF(Ruimtestaat[[#This Row],[Frequentie weekend]]="","",_xlfn.CONCAT(Ruimtestaat[[#This Row],[Ruimte code]],"-",Ruimtestaat[[#This Row],[Frequentie weekend]]," ",Ruimtestaat[[#This Row],[Vloer code]]))</f>
        <v/>
      </c>
      <c r="BL751" s="448" t="str">
        <f>_xlfn.IFNA(VLOOKUP($BK751,Programma!$F$3:$G$1101,2,0),"")</f>
        <v/>
      </c>
      <c r="BM751" s="448" t="str">
        <f>_xlfn.IFNA(VLOOKUP($BK751,Programma!$F$3:$H$1101,3,0),"")</f>
        <v/>
      </c>
      <c r="BN751" s="448" t="str">
        <f>_xlfn.IFNA(VLOOKUP($BK751,Programma!$F$3:$I$1101,4,0),"")</f>
        <v/>
      </c>
      <c r="BO751" s="448" t="str">
        <f>_xlfn.IFNA(VLOOKUP($BK751,Programma!$F$3:$J$1101,5,0),"")</f>
        <v/>
      </c>
      <c r="BP751" s="448" t="str">
        <f>_xlfn.IFNA(VLOOKUP($BK751,Programma!$F$3:$K$1101,6,0),"")</f>
        <v/>
      </c>
      <c r="BQ751" s="448" t="str">
        <f>_xlfn.IFNA(VLOOKUP($BK751,Programma!$F$3:$L$1101,7,0),"")</f>
        <v/>
      </c>
      <c r="BR751" s="448" t="str">
        <f>_xlfn.IFNA(VLOOKUP($BK751,Programma!$F$3:$M$1101,8,0),"")</f>
        <v/>
      </c>
      <c r="BS751" s="448" t="str">
        <f>_xlfn.IFNA(VLOOKUP($BK751,Programma!$F$3:$N$1101,9,0),"")</f>
        <v/>
      </c>
      <c r="BT751" s="448" t="str">
        <f>_xlfn.IFNA(VLOOKUP($BK751,Programma!$F$3:$O$1101,10,0),"")</f>
        <v/>
      </c>
      <c r="BU751" s="448" t="str">
        <f>_xlfn.IFNA(VLOOKUP($BK751,Programma!$F$3:$P$1101,11,0),"")</f>
        <v/>
      </c>
      <c r="BV751" s="448" t="str">
        <f>_xlfn.IFNA(VLOOKUP($BK751,Programma!$F$3:$Q$1101,12,0),"")</f>
        <v/>
      </c>
      <c r="BW751" s="448" t="str">
        <f>_xlfn.IFNA(VLOOKUP($BK751,Programma!$F$3:$R$1101,13,0),"")</f>
        <v/>
      </c>
      <c r="BX751" s="448" t="str">
        <f>_xlfn.IFNA(VLOOKUP($BK751,Programma!$F$3:$S$1101,14,0),"")</f>
        <v/>
      </c>
      <c r="BY751" s="448" t="str">
        <f>_xlfn.IFNA(VLOOKUP($BK751,Programma!$F$3:$T$1101,15,0),"")</f>
        <v/>
      </c>
      <c r="BZ751" s="448" t="str">
        <f>_xlfn.IFNA(VLOOKUP($BK751,Programma!$F$3:$U$1101,16,0),"")</f>
        <v/>
      </c>
      <c r="CA751" s="448" t="str">
        <f>_xlfn.IFNA(VLOOKUP($BK751,Programma!$F$3:$V$1101,17,0),"")</f>
        <v/>
      </c>
      <c r="CB751" s="448" t="str">
        <f>_xlfn.IFNA(VLOOKUP($BK751,Programma!$F$3:$W$1101,18,0),"")</f>
        <v/>
      </c>
      <c r="CC751" s="448" t="str">
        <f>_xlfn.IFNA(VLOOKUP($BK751,Programma!$F$3:$X$1101,19,0),"")</f>
        <v/>
      </c>
      <c r="CD751" s="448" t="str">
        <f>_xlfn.IFNA(VLOOKUP($BK751,Programma!$F$3:$Y$1101,20,0),"")</f>
        <v/>
      </c>
    </row>
    <row r="752" spans="1:82" ht="15" customHeight="1">
      <c r="A752" s="327">
        <v>15</v>
      </c>
      <c r="B752" s="435" t="str">
        <f>VLOOKUP(Ruimtestaat[[#This Row],[Code]],Locaties[[Code]:[Locatie]],2,FALSE)</f>
        <v>IKC  Da Vinci</v>
      </c>
      <c r="C752" s="435" t="str">
        <f>VLOOKUP(Ruimtestaat[[#This Row],[Code]],Locaties[[#All],[Code]:[Adres]],4,FALSE)</f>
        <v>Spitsbergen 17</v>
      </c>
      <c r="D752" s="435" t="str">
        <f>VLOOKUP(Ruimtestaat[[#This Row],[Code]],Locaties[[#All],[Code]:[Postcode]],5,FALSE)</f>
        <v>2721 GP</v>
      </c>
      <c r="E752" s="435" t="str">
        <f>VLOOKUP(Ruimtestaat[[#This Row],[Code]],Locaties[#All],6,FALSE)</f>
        <v>Zoetermeer</v>
      </c>
      <c r="F752" s="330" t="s">
        <v>2154</v>
      </c>
      <c r="I752" s="450" t="s">
        <v>2001</v>
      </c>
      <c r="J752" s="330">
        <v>20</v>
      </c>
      <c r="K752" s="450" t="str">
        <f>VLOOKUP(Ruimtestaat[[#This Row],[Ruimte code]],Ruimtegroepen[[#All],[Code]:[Ruimte omschrijving]],2,FALSE)</f>
        <v>Niet in Onderhoud</v>
      </c>
      <c r="M752" s="330"/>
      <c r="N752" s="439"/>
      <c r="O752" s="439">
        <v>11</v>
      </c>
      <c r="P752" s="439"/>
      <c r="Q752" s="439"/>
      <c r="R752" s="440">
        <f>VLOOKUP(Ruimtestaat[[#This Row],[Ruimte code]],Ruimtegroepen[],4,FALSE)</f>
        <v>0</v>
      </c>
      <c r="S752" s="434"/>
      <c r="T752" s="434"/>
      <c r="U752" s="453">
        <f>IF(S752&gt;0,IF(RIGHT(Ruimtestaat[[#This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2" s="434">
        <f>IF(U752&gt;0,VLOOKUP($J752,Ruimtegroepen[],3,FALSE)*VLOOKUP($L752,Vloersoorten[],3,FALSE)*VLOOKUP($T752,Frequenties[],3,FALSE)*VLOOKUP($A752,Locaties[],3,FALSE),0)</f>
        <v>0</v>
      </c>
      <c r="W752" s="434">
        <f>Ruimtestaat[[#This Row],[Uitvoeringen werkdagen]]*Ruimtestaat[[#This Row],[Oppervlak (netto)]]</f>
        <v>0</v>
      </c>
      <c r="X752" s="441">
        <f>IF(V752&gt;0,Ruimtestaat[[#This Row],[Prest. (m2 /jaar) werkdagen]]/Ruimtestaat[[#This Row],[Norm (m2/uur) werkdagen]],0)</f>
        <v>0</v>
      </c>
      <c r="Y752" s="442">
        <f>Ruimtestaat[[#This Row],[Uitvoeringen werkdagen]]*Ruimtestaat[[#This Row],[Gedeeltelijk]]</f>
        <v>0</v>
      </c>
      <c r="Z752" s="443">
        <f>IF(U752&gt;0,Ruimtestaat[[#This Row],[Prest. (m2 / jaar) werkdagen gedeeld]]/Ruimtestaat[[#This Row],[Norm (m2/uur) werkdagen]],0)</f>
        <v>0</v>
      </c>
      <c r="AA752" s="441">
        <f>Ruimtestaat[[#This Row],[uren / jaar werkdagen gedeeld]]*Tariefsopbouw!$E$35</f>
        <v>0</v>
      </c>
      <c r="AB752" s="441">
        <f>Ruimtestaat[[#This Row],[Uitvoeringen werkdagen]]*Ruimtestaat[[#This Row],[BSO]]</f>
        <v>0</v>
      </c>
      <c r="AC752" s="443">
        <f>IF(U752&gt;0,Ruimtestaat[[#This Row],[Prest. (m2 / jaar) werkdagen BSO]]/Ruimtestaat[[#This Row],[Norm (m2/uur) werkdagen]],0)</f>
        <v>0</v>
      </c>
      <c r="AD752" s="443">
        <f>Ruimtestaat[[#This Row],[uren / jaar werkdagen BSO]]*Tariefsopbouw!$E$35</f>
        <v>0</v>
      </c>
      <c r="AE752" s="444">
        <f>Ruimtestaat[[#This Row],[uren / jaar werkdagen]]*Tariefsopbouw!$E$35</f>
        <v>0</v>
      </c>
      <c r="AF752" s="454"/>
      <c r="AG752" s="455">
        <f>IF(Ruimtestaat[[#This Row],[Frequentie weekend]]&gt;0,VALUE(LEFT(AF752,1))*S752,0)</f>
        <v>0</v>
      </c>
      <c r="AH752" s="455">
        <f>IF($AG752&gt;0,VLOOKUP($J752,Ruimtegroepen[],3,FALSE)*VLOOKUP($L752,Vloersoorten[],3,FALSE)*VLOOKUP($AF752,Frequenties[],3,FALSE)*VLOOKUP(#REF!,Locaties[],3,FALSE),0)</f>
        <v>0</v>
      </c>
      <c r="AI752" s="434">
        <f>Ruimtestaat[[#This Row],[Uitvoeringen weekend]]*Ruimtestaat[[#This Row],[Oppervlak (netto)]]</f>
        <v>0</v>
      </c>
      <c r="AJ752" s="434">
        <f>IF(AH752&gt;0,Ruimtestaat[[#This Row],[Prest. (m2 /jaar) weekend]]/Ruimtestaat[[#This Row],[Norm (m2/uur) weekend]],0)</f>
        <v>0</v>
      </c>
      <c r="AK752" s="444">
        <f>Ruimtestaat[[#This Row],[uren / jaar weekend]]*Tariefsopbouw!$D$40</f>
        <v>0</v>
      </c>
      <c r="AL752" s="441">
        <f>Ruimtestaat[[#This Row],[Prest. (m2 /jaar) weekend]]+Ruimtestaat[[#This Row],[Prest. (m2 /jaar) werkdagen]]</f>
        <v>0</v>
      </c>
      <c r="AM752" s="441">
        <f>Ruimtestaat[[#This Row],[uren / jaar weekend]]+Ruimtestaat[[#This Row],[uren / jaar werkdagen]]</f>
        <v>0</v>
      </c>
      <c r="AN752" s="446">
        <f>Ruimtestaat[[#This Row],[kosten / jaar weekend]]+Ruimtestaat[[#This Row],[kosten / jaar werkdagen]]</f>
        <v>0</v>
      </c>
      <c r="AO752" s="446"/>
      <c r="AP752" s="446" t="str">
        <f>IF(Ruimtestaat[[#This Row],[Frequentie werkdagen]]="","",_xlfn.CONCAT(Ruimtestaat[[#This Row],[Ruimte code]],"-",Ruimtestaat[[#This Row],[Frequentie werkdagen]]," ",Ruimtestaat[[#This Row],[Vloer code]]))</f>
        <v/>
      </c>
      <c r="AQ752" s="448" t="str">
        <f>_xlfn.IFNA(VLOOKUP($AP752,Programma!$F$3:$G$1101,2,0),"")</f>
        <v/>
      </c>
      <c r="AR752" s="448" t="str">
        <f>_xlfn.IFNA(VLOOKUP($AP752,Programma!$F$3:$H$1101,3,0),"")</f>
        <v/>
      </c>
      <c r="AS752" s="448" t="str">
        <f>_xlfn.IFNA(VLOOKUP($AP752,Programma!$F$3:$I$1101,4,0),"")</f>
        <v/>
      </c>
      <c r="AT752" s="448" t="str">
        <f>_xlfn.IFNA(VLOOKUP($AP752,Programma!$F$3:$J$1101,5,0),"")</f>
        <v/>
      </c>
      <c r="AU752" s="448" t="str">
        <f>_xlfn.IFNA(VLOOKUP($AP752,Programma!$F$3:$K$1101,6,0),"")</f>
        <v/>
      </c>
      <c r="AV752" s="448" t="str">
        <f>_xlfn.IFNA(VLOOKUP($AP752,Programma!$F$3:$L$1101,7,0),"")</f>
        <v/>
      </c>
      <c r="AW752" s="448" t="str">
        <f>_xlfn.IFNA(VLOOKUP($AP752,Programma!$F$3:$M$1101,8,0),"")</f>
        <v/>
      </c>
      <c r="AX752" s="448" t="str">
        <f>_xlfn.IFNA(VLOOKUP($AP752,Programma!$F$3:$N$1101,9,0),"")</f>
        <v/>
      </c>
      <c r="AY752" s="448" t="str">
        <f>_xlfn.IFNA(VLOOKUP($AP752,Programma!$F$3:$O$1101,10,0),"")</f>
        <v/>
      </c>
      <c r="AZ752" s="448" t="str">
        <f>_xlfn.IFNA(VLOOKUP($AP752,Programma!$F$3:$P$1101,11,0),"")</f>
        <v/>
      </c>
      <c r="BA752" s="448" t="str">
        <f>_xlfn.IFNA(VLOOKUP($AP752,Programma!$F$3:$Q$1101,12,0),"")</f>
        <v/>
      </c>
      <c r="BB752" s="448" t="str">
        <f>_xlfn.IFNA(VLOOKUP($AP752,Programma!$F$3:$R$1101,13,0),"")</f>
        <v/>
      </c>
      <c r="BC752" s="448" t="str">
        <f>_xlfn.IFNA(VLOOKUP($AP752,Programma!$F$3:$S$1101,14,0),"")</f>
        <v/>
      </c>
      <c r="BD752" s="448" t="str">
        <f>_xlfn.IFNA(VLOOKUP($AP752,Programma!$F$3:$T$1101,15,0),"")</f>
        <v/>
      </c>
      <c r="BE752" s="448" t="str">
        <f>_xlfn.IFNA(VLOOKUP($AP752,Programma!$F$3:$U$1101,16,0),"")</f>
        <v/>
      </c>
      <c r="BF752" s="448" t="str">
        <f>_xlfn.IFNA(VLOOKUP($AP752,Programma!$F$3:$V$1101,17,0),"")</f>
        <v/>
      </c>
      <c r="BG752" s="448" t="str">
        <f>_xlfn.IFNA(VLOOKUP($AP752,Programma!$F$3:$W$1101,18,0),"")</f>
        <v/>
      </c>
      <c r="BH752" s="448" t="str">
        <f>_xlfn.IFNA(VLOOKUP($AP752,Programma!$F$3:$X$1101,19,0),"")</f>
        <v/>
      </c>
      <c r="BI752" s="448" t="str">
        <f>_xlfn.IFNA(VLOOKUP($AP752,Programma!$F$3:$Y$1101,20,0),"")</f>
        <v/>
      </c>
      <c r="BJ752" s="449"/>
      <c r="BK752" s="446" t="str">
        <f>IF(Ruimtestaat[[#This Row],[Frequentie weekend]]="","",_xlfn.CONCAT(Ruimtestaat[[#This Row],[Ruimte code]],"-",Ruimtestaat[[#This Row],[Frequentie weekend]]," ",Ruimtestaat[[#This Row],[Vloer code]]))</f>
        <v/>
      </c>
      <c r="BL752" s="448" t="str">
        <f>_xlfn.IFNA(VLOOKUP($BK752,Programma!$F$3:$G$1101,2,0),"")</f>
        <v/>
      </c>
      <c r="BM752" s="448" t="str">
        <f>_xlfn.IFNA(VLOOKUP($BK752,Programma!$F$3:$H$1101,3,0),"")</f>
        <v/>
      </c>
      <c r="BN752" s="448" t="str">
        <f>_xlfn.IFNA(VLOOKUP($BK752,Programma!$F$3:$I$1101,4,0),"")</f>
        <v/>
      </c>
      <c r="BO752" s="448" t="str">
        <f>_xlfn.IFNA(VLOOKUP($BK752,Programma!$F$3:$J$1101,5,0),"")</f>
        <v/>
      </c>
      <c r="BP752" s="448" t="str">
        <f>_xlfn.IFNA(VLOOKUP($BK752,Programma!$F$3:$K$1101,6,0),"")</f>
        <v/>
      </c>
      <c r="BQ752" s="448" t="str">
        <f>_xlfn.IFNA(VLOOKUP($BK752,Programma!$F$3:$L$1101,7,0),"")</f>
        <v/>
      </c>
      <c r="BR752" s="448" t="str">
        <f>_xlfn.IFNA(VLOOKUP($BK752,Programma!$F$3:$M$1101,8,0),"")</f>
        <v/>
      </c>
      <c r="BS752" s="448" t="str">
        <f>_xlfn.IFNA(VLOOKUP($BK752,Programma!$F$3:$N$1101,9,0),"")</f>
        <v/>
      </c>
      <c r="BT752" s="448" t="str">
        <f>_xlfn.IFNA(VLOOKUP($BK752,Programma!$F$3:$O$1101,10,0),"")</f>
        <v/>
      </c>
      <c r="BU752" s="448" t="str">
        <f>_xlfn.IFNA(VLOOKUP($BK752,Programma!$F$3:$P$1101,11,0),"")</f>
        <v/>
      </c>
      <c r="BV752" s="448" t="str">
        <f>_xlfn.IFNA(VLOOKUP($BK752,Programma!$F$3:$Q$1101,12,0),"")</f>
        <v/>
      </c>
      <c r="BW752" s="448" t="str">
        <f>_xlfn.IFNA(VLOOKUP($BK752,Programma!$F$3:$R$1101,13,0),"")</f>
        <v/>
      </c>
      <c r="BX752" s="448" t="str">
        <f>_xlfn.IFNA(VLOOKUP($BK752,Programma!$F$3:$S$1101,14,0),"")</f>
        <v/>
      </c>
      <c r="BY752" s="448" t="str">
        <f>_xlfn.IFNA(VLOOKUP($BK752,Programma!$F$3:$T$1101,15,0),"")</f>
        <v/>
      </c>
      <c r="BZ752" s="448" t="str">
        <f>_xlfn.IFNA(VLOOKUP($BK752,Programma!$F$3:$U$1101,16,0),"")</f>
        <v/>
      </c>
      <c r="CA752" s="448" t="str">
        <f>_xlfn.IFNA(VLOOKUP($BK752,Programma!$F$3:$V$1101,17,0),"")</f>
        <v/>
      </c>
      <c r="CB752" s="448" t="str">
        <f>_xlfn.IFNA(VLOOKUP($BK752,Programma!$F$3:$W$1101,18,0),"")</f>
        <v/>
      </c>
      <c r="CC752" s="448" t="str">
        <f>_xlfn.IFNA(VLOOKUP($BK752,Programma!$F$3:$X$1101,19,0),"")</f>
        <v/>
      </c>
      <c r="CD752" s="448" t="str">
        <f>_xlfn.IFNA(VLOOKUP($BK752,Programma!$F$3:$Y$1101,20,0),"")</f>
        <v/>
      </c>
    </row>
    <row r="753" spans="1:82" ht="15" customHeight="1">
      <c r="A753" s="327">
        <v>15</v>
      </c>
      <c r="B753" s="435" t="str">
        <f>VLOOKUP(Ruimtestaat[[#This Row],[Code]],Locaties[[Code]:[Locatie]],2,FALSE)</f>
        <v>IKC  Da Vinci</v>
      </c>
      <c r="C753" s="435" t="str">
        <f>VLOOKUP(Ruimtestaat[[#This Row],[Code]],Locaties[[#All],[Code]:[Adres]],4,FALSE)</f>
        <v>Spitsbergen 17</v>
      </c>
      <c r="D753" s="435" t="str">
        <f>VLOOKUP(Ruimtestaat[[#This Row],[Code]],Locaties[[#All],[Code]:[Postcode]],5,FALSE)</f>
        <v>2721 GP</v>
      </c>
      <c r="E753" s="435" t="str">
        <f>VLOOKUP(Ruimtestaat[[#This Row],[Code]],Locaties[#All],6,FALSE)</f>
        <v>Zoetermeer</v>
      </c>
      <c r="F753" s="330" t="s">
        <v>2154</v>
      </c>
      <c r="I753" s="450" t="s">
        <v>2001</v>
      </c>
      <c r="J753" s="330">
        <v>20</v>
      </c>
      <c r="K753" s="450" t="str">
        <f>VLOOKUP(Ruimtestaat[[#This Row],[Ruimte code]],Ruimtegroepen[[#All],[Code]:[Ruimte omschrijving]],2,FALSE)</f>
        <v>Niet in Onderhoud</v>
      </c>
      <c r="M753" s="330"/>
      <c r="N753" s="439"/>
      <c r="O753" s="439">
        <v>8</v>
      </c>
      <c r="P753" s="439"/>
      <c r="Q753" s="439"/>
      <c r="R753" s="440">
        <f>VLOOKUP(Ruimtestaat[[#This Row],[Ruimte code]],Ruimtegroepen[],4,FALSE)</f>
        <v>0</v>
      </c>
      <c r="S753" s="434"/>
      <c r="T753" s="434"/>
      <c r="U753" s="453">
        <f>IF(S753&gt;0,IF(RIGHT(Ruimtestaat[[#This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3" s="434">
        <f>IF(U753&gt;0,VLOOKUP($J753,Ruimtegroepen[],3,FALSE)*VLOOKUP($L753,Vloersoorten[],3,FALSE)*VLOOKUP($T753,Frequenties[],3,FALSE)*VLOOKUP($A753,Locaties[],3,FALSE),0)</f>
        <v>0</v>
      </c>
      <c r="W753" s="434">
        <f>Ruimtestaat[[#This Row],[Uitvoeringen werkdagen]]*Ruimtestaat[[#This Row],[Oppervlak (netto)]]</f>
        <v>0</v>
      </c>
      <c r="X753" s="441">
        <f>IF(V753&gt;0,Ruimtestaat[[#This Row],[Prest. (m2 /jaar) werkdagen]]/Ruimtestaat[[#This Row],[Norm (m2/uur) werkdagen]],0)</f>
        <v>0</v>
      </c>
      <c r="Y753" s="442">
        <f>Ruimtestaat[[#This Row],[Uitvoeringen werkdagen]]*Ruimtestaat[[#This Row],[Gedeeltelijk]]</f>
        <v>0</v>
      </c>
      <c r="Z753" s="443">
        <f>IF(U753&gt;0,Ruimtestaat[[#This Row],[Prest. (m2 / jaar) werkdagen gedeeld]]/Ruimtestaat[[#This Row],[Norm (m2/uur) werkdagen]],0)</f>
        <v>0</v>
      </c>
      <c r="AA753" s="441">
        <f>Ruimtestaat[[#This Row],[uren / jaar werkdagen gedeeld]]*Tariefsopbouw!$E$35</f>
        <v>0</v>
      </c>
      <c r="AB753" s="441">
        <f>Ruimtestaat[[#This Row],[Uitvoeringen werkdagen]]*Ruimtestaat[[#This Row],[BSO]]</f>
        <v>0</v>
      </c>
      <c r="AC753" s="443">
        <f>IF(U753&gt;0,Ruimtestaat[[#This Row],[Prest. (m2 / jaar) werkdagen BSO]]/Ruimtestaat[[#This Row],[Norm (m2/uur) werkdagen]],0)</f>
        <v>0</v>
      </c>
      <c r="AD753" s="443">
        <f>Ruimtestaat[[#This Row],[uren / jaar werkdagen BSO]]*Tariefsopbouw!$E$35</f>
        <v>0</v>
      </c>
      <c r="AE753" s="444">
        <f>Ruimtestaat[[#This Row],[uren / jaar werkdagen]]*Tariefsopbouw!$E$35</f>
        <v>0</v>
      </c>
      <c r="AF753" s="454"/>
      <c r="AG753" s="455">
        <f>IF(Ruimtestaat[[#This Row],[Frequentie weekend]]&gt;0,VALUE(LEFT(AF753,1))*S753,0)</f>
        <v>0</v>
      </c>
      <c r="AH753" s="455">
        <f>IF($AG753&gt;0,VLOOKUP($J753,Ruimtegroepen[],3,FALSE)*VLOOKUP($L753,Vloersoorten[],3,FALSE)*VLOOKUP($AF753,Frequenties[],3,FALSE)*VLOOKUP(#REF!,Locaties[],3,FALSE),0)</f>
        <v>0</v>
      </c>
      <c r="AI753" s="434">
        <f>Ruimtestaat[[#This Row],[Uitvoeringen weekend]]*Ruimtestaat[[#This Row],[Oppervlak (netto)]]</f>
        <v>0</v>
      </c>
      <c r="AJ753" s="434">
        <f>IF(AH753&gt;0,Ruimtestaat[[#This Row],[Prest. (m2 /jaar) weekend]]/Ruimtestaat[[#This Row],[Norm (m2/uur) weekend]],0)</f>
        <v>0</v>
      </c>
      <c r="AK753" s="444">
        <f>Ruimtestaat[[#This Row],[uren / jaar weekend]]*Tariefsopbouw!$D$40</f>
        <v>0</v>
      </c>
      <c r="AL753" s="441">
        <f>Ruimtestaat[[#This Row],[Prest. (m2 /jaar) weekend]]+Ruimtestaat[[#This Row],[Prest. (m2 /jaar) werkdagen]]</f>
        <v>0</v>
      </c>
      <c r="AM753" s="441">
        <f>Ruimtestaat[[#This Row],[uren / jaar weekend]]+Ruimtestaat[[#This Row],[uren / jaar werkdagen]]</f>
        <v>0</v>
      </c>
      <c r="AN753" s="446">
        <f>Ruimtestaat[[#This Row],[kosten / jaar weekend]]+Ruimtestaat[[#This Row],[kosten / jaar werkdagen]]</f>
        <v>0</v>
      </c>
      <c r="AO753" s="446"/>
      <c r="AP753" s="446" t="str">
        <f>IF(Ruimtestaat[[#This Row],[Frequentie werkdagen]]="","",_xlfn.CONCAT(Ruimtestaat[[#This Row],[Ruimte code]],"-",Ruimtestaat[[#This Row],[Frequentie werkdagen]]," ",Ruimtestaat[[#This Row],[Vloer code]]))</f>
        <v/>
      </c>
      <c r="AQ753" s="448" t="str">
        <f>_xlfn.IFNA(VLOOKUP($AP753,Programma!$F$3:$G$1101,2,0),"")</f>
        <v/>
      </c>
      <c r="AR753" s="448" t="str">
        <f>_xlfn.IFNA(VLOOKUP($AP753,Programma!$F$3:$H$1101,3,0),"")</f>
        <v/>
      </c>
      <c r="AS753" s="448" t="str">
        <f>_xlfn.IFNA(VLOOKUP($AP753,Programma!$F$3:$I$1101,4,0),"")</f>
        <v/>
      </c>
      <c r="AT753" s="448" t="str">
        <f>_xlfn.IFNA(VLOOKUP($AP753,Programma!$F$3:$J$1101,5,0),"")</f>
        <v/>
      </c>
      <c r="AU753" s="448" t="str">
        <f>_xlfn.IFNA(VLOOKUP($AP753,Programma!$F$3:$K$1101,6,0),"")</f>
        <v/>
      </c>
      <c r="AV753" s="448" t="str">
        <f>_xlfn.IFNA(VLOOKUP($AP753,Programma!$F$3:$L$1101,7,0),"")</f>
        <v/>
      </c>
      <c r="AW753" s="448" t="str">
        <f>_xlfn.IFNA(VLOOKUP($AP753,Programma!$F$3:$M$1101,8,0),"")</f>
        <v/>
      </c>
      <c r="AX753" s="448" t="str">
        <f>_xlfn.IFNA(VLOOKUP($AP753,Programma!$F$3:$N$1101,9,0),"")</f>
        <v/>
      </c>
      <c r="AY753" s="448" t="str">
        <f>_xlfn.IFNA(VLOOKUP($AP753,Programma!$F$3:$O$1101,10,0),"")</f>
        <v/>
      </c>
      <c r="AZ753" s="448" t="str">
        <f>_xlfn.IFNA(VLOOKUP($AP753,Programma!$F$3:$P$1101,11,0),"")</f>
        <v/>
      </c>
      <c r="BA753" s="448" t="str">
        <f>_xlfn.IFNA(VLOOKUP($AP753,Programma!$F$3:$Q$1101,12,0),"")</f>
        <v/>
      </c>
      <c r="BB753" s="448" t="str">
        <f>_xlfn.IFNA(VLOOKUP($AP753,Programma!$F$3:$R$1101,13,0),"")</f>
        <v/>
      </c>
      <c r="BC753" s="448" t="str">
        <f>_xlfn.IFNA(VLOOKUP($AP753,Programma!$F$3:$S$1101,14,0),"")</f>
        <v/>
      </c>
      <c r="BD753" s="448" t="str">
        <f>_xlfn.IFNA(VLOOKUP($AP753,Programma!$F$3:$T$1101,15,0),"")</f>
        <v/>
      </c>
      <c r="BE753" s="448" t="str">
        <f>_xlfn.IFNA(VLOOKUP($AP753,Programma!$F$3:$U$1101,16,0),"")</f>
        <v/>
      </c>
      <c r="BF753" s="448" t="str">
        <f>_xlfn.IFNA(VLOOKUP($AP753,Programma!$F$3:$V$1101,17,0),"")</f>
        <v/>
      </c>
      <c r="BG753" s="448" t="str">
        <f>_xlfn.IFNA(VLOOKUP($AP753,Programma!$F$3:$W$1101,18,0),"")</f>
        <v/>
      </c>
      <c r="BH753" s="448" t="str">
        <f>_xlfn.IFNA(VLOOKUP($AP753,Programma!$F$3:$X$1101,19,0),"")</f>
        <v/>
      </c>
      <c r="BI753" s="448" t="str">
        <f>_xlfn.IFNA(VLOOKUP($AP753,Programma!$F$3:$Y$1101,20,0),"")</f>
        <v/>
      </c>
      <c r="BJ753" s="449"/>
      <c r="BK753" s="446" t="str">
        <f>IF(Ruimtestaat[[#This Row],[Frequentie weekend]]="","",_xlfn.CONCAT(Ruimtestaat[[#This Row],[Ruimte code]],"-",Ruimtestaat[[#This Row],[Frequentie weekend]]," ",Ruimtestaat[[#This Row],[Vloer code]]))</f>
        <v/>
      </c>
      <c r="BL753" s="448" t="str">
        <f>_xlfn.IFNA(VLOOKUP($BK753,Programma!$F$3:$G$1101,2,0),"")</f>
        <v/>
      </c>
      <c r="BM753" s="448" t="str">
        <f>_xlfn.IFNA(VLOOKUP($BK753,Programma!$F$3:$H$1101,3,0),"")</f>
        <v/>
      </c>
      <c r="BN753" s="448" t="str">
        <f>_xlfn.IFNA(VLOOKUP($BK753,Programma!$F$3:$I$1101,4,0),"")</f>
        <v/>
      </c>
      <c r="BO753" s="448" t="str">
        <f>_xlfn.IFNA(VLOOKUP($BK753,Programma!$F$3:$J$1101,5,0),"")</f>
        <v/>
      </c>
      <c r="BP753" s="448" t="str">
        <f>_xlfn.IFNA(VLOOKUP($BK753,Programma!$F$3:$K$1101,6,0),"")</f>
        <v/>
      </c>
      <c r="BQ753" s="448" t="str">
        <f>_xlfn.IFNA(VLOOKUP($BK753,Programma!$F$3:$L$1101,7,0),"")</f>
        <v/>
      </c>
      <c r="BR753" s="448" t="str">
        <f>_xlfn.IFNA(VLOOKUP($BK753,Programma!$F$3:$M$1101,8,0),"")</f>
        <v/>
      </c>
      <c r="BS753" s="448" t="str">
        <f>_xlfn.IFNA(VLOOKUP($BK753,Programma!$F$3:$N$1101,9,0),"")</f>
        <v/>
      </c>
      <c r="BT753" s="448" t="str">
        <f>_xlfn.IFNA(VLOOKUP($BK753,Programma!$F$3:$O$1101,10,0),"")</f>
        <v/>
      </c>
      <c r="BU753" s="448" t="str">
        <f>_xlfn.IFNA(VLOOKUP($BK753,Programma!$F$3:$P$1101,11,0),"")</f>
        <v/>
      </c>
      <c r="BV753" s="448" t="str">
        <f>_xlfn.IFNA(VLOOKUP($BK753,Programma!$F$3:$Q$1101,12,0),"")</f>
        <v/>
      </c>
      <c r="BW753" s="448" t="str">
        <f>_xlfn.IFNA(VLOOKUP($BK753,Programma!$F$3:$R$1101,13,0),"")</f>
        <v/>
      </c>
      <c r="BX753" s="448" t="str">
        <f>_xlfn.IFNA(VLOOKUP($BK753,Programma!$F$3:$S$1101,14,0),"")</f>
        <v/>
      </c>
      <c r="BY753" s="448" t="str">
        <f>_xlfn.IFNA(VLOOKUP($BK753,Programma!$F$3:$T$1101,15,0),"")</f>
        <v/>
      </c>
      <c r="BZ753" s="448" t="str">
        <f>_xlfn.IFNA(VLOOKUP($BK753,Programma!$F$3:$U$1101,16,0),"")</f>
        <v/>
      </c>
      <c r="CA753" s="448" t="str">
        <f>_xlfn.IFNA(VLOOKUP($BK753,Programma!$F$3:$V$1101,17,0),"")</f>
        <v/>
      </c>
      <c r="CB753" s="448" t="str">
        <f>_xlfn.IFNA(VLOOKUP($BK753,Programma!$F$3:$W$1101,18,0),"")</f>
        <v/>
      </c>
      <c r="CC753" s="448" t="str">
        <f>_xlfn.IFNA(VLOOKUP($BK753,Programma!$F$3:$X$1101,19,0),"")</f>
        <v/>
      </c>
      <c r="CD753" s="448" t="str">
        <f>_xlfn.IFNA(VLOOKUP($BK753,Programma!$F$3:$Y$1101,20,0),"")</f>
        <v/>
      </c>
    </row>
    <row r="754" spans="1:82" ht="15" customHeight="1">
      <c r="A754" s="327">
        <v>15</v>
      </c>
      <c r="B754" s="435" t="str">
        <f>VLOOKUP(Ruimtestaat[[#This Row],[Code]],Locaties[[Code]:[Locatie]],2,FALSE)</f>
        <v>IKC  Da Vinci</v>
      </c>
      <c r="C754" s="435" t="str">
        <f>VLOOKUP(Ruimtestaat[[#This Row],[Code]],Locaties[[#All],[Code]:[Adres]],4,FALSE)</f>
        <v>Spitsbergen 17</v>
      </c>
      <c r="D754" s="435" t="str">
        <f>VLOOKUP(Ruimtestaat[[#This Row],[Code]],Locaties[[#All],[Code]:[Postcode]],5,FALSE)</f>
        <v>2721 GP</v>
      </c>
      <c r="E754" s="435" t="str">
        <f>VLOOKUP(Ruimtestaat[[#This Row],[Code]],Locaties[#All],6,FALSE)</f>
        <v>Zoetermeer</v>
      </c>
      <c r="F754" s="330" t="s">
        <v>2154</v>
      </c>
      <c r="I754" s="450" t="s">
        <v>2001</v>
      </c>
      <c r="J754" s="330">
        <v>5</v>
      </c>
      <c r="K754" s="450" t="str">
        <f>VLOOKUP(Ruimtestaat[[#This Row],[Ruimte code]],Ruimtegroepen[[#All],[Code]:[Ruimte omschrijving]],2,FALSE)</f>
        <v>Sanitair</v>
      </c>
      <c r="L754" s="330" t="s">
        <v>101</v>
      </c>
      <c r="M754" s="437" t="s">
        <v>1816</v>
      </c>
      <c r="N754" s="439">
        <v>6</v>
      </c>
      <c r="O754" s="439"/>
      <c r="P754" s="439"/>
      <c r="Q754" s="439"/>
      <c r="R754" s="440" t="str">
        <f>VLOOKUP(Ruimtestaat[[#This Row],[Ruimte code]],Ruimtegroepen[],4,FALSE)</f>
        <v>Sa</v>
      </c>
      <c r="S754" s="434">
        <v>41</v>
      </c>
      <c r="T754" s="434" t="s">
        <v>2</v>
      </c>
      <c r="U754" s="453">
        <f>IF(S754&gt;0,IF(RIGHT(Ruimtestaat[[#This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54" s="434">
        <f>IF(U754&gt;0,VLOOKUP($J754,Ruimtegroepen[],3,FALSE)*VLOOKUP($L754,Vloersoorten[],3,FALSE)*VLOOKUP($T754,Frequenties[],3,FALSE)*VLOOKUP($A754,Locaties[],3,FALSE),0)</f>
        <v>0</v>
      </c>
      <c r="W754" s="434">
        <f>Ruimtestaat[[#This Row],[Uitvoeringen werkdagen]]*Ruimtestaat[[#This Row],[Oppervlak (netto)]]</f>
        <v>1230</v>
      </c>
      <c r="X754" s="441">
        <f>IF(V754&gt;0,Ruimtestaat[[#This Row],[Prest. (m2 /jaar) werkdagen]]/Ruimtestaat[[#This Row],[Norm (m2/uur) werkdagen]],0)</f>
        <v>0</v>
      </c>
      <c r="Y754" s="442">
        <f>Ruimtestaat[[#This Row],[Uitvoeringen werkdagen]]*Ruimtestaat[[#This Row],[Gedeeltelijk]]</f>
        <v>0</v>
      </c>
      <c r="Z754" s="443" t="e">
        <f>IF(U754&gt;0,Ruimtestaat[[#This Row],[Prest. (m2 / jaar) werkdagen gedeeld]]/Ruimtestaat[[#This Row],[Norm (m2/uur) werkdagen]],0)</f>
        <v>#DIV/0!</v>
      </c>
      <c r="AA754" s="441" t="e">
        <f>Ruimtestaat[[#This Row],[uren / jaar werkdagen gedeeld]]*Tariefsopbouw!$E$35</f>
        <v>#DIV/0!</v>
      </c>
      <c r="AB754" s="441">
        <f>Ruimtestaat[[#This Row],[Uitvoeringen werkdagen]]*Ruimtestaat[[#This Row],[BSO]]</f>
        <v>0</v>
      </c>
      <c r="AC754" s="443" t="e">
        <f>IF(U754&gt;0,Ruimtestaat[[#This Row],[Prest. (m2 / jaar) werkdagen BSO]]/Ruimtestaat[[#This Row],[Norm (m2/uur) werkdagen]],0)</f>
        <v>#DIV/0!</v>
      </c>
      <c r="AD754" s="443" t="e">
        <f>Ruimtestaat[[#This Row],[uren / jaar werkdagen BSO]]*Tariefsopbouw!$E$35</f>
        <v>#DIV/0!</v>
      </c>
      <c r="AE754" s="444">
        <f>Ruimtestaat[[#This Row],[uren / jaar werkdagen]]*Tariefsopbouw!$E$35</f>
        <v>0</v>
      </c>
      <c r="AF754" s="454"/>
      <c r="AG754" s="455">
        <f>IF(Ruimtestaat[[#This Row],[Frequentie weekend]]&gt;0,VALUE(LEFT(AF754,1))*S754,0)</f>
        <v>0</v>
      </c>
      <c r="AH754" s="455">
        <f>IF($AG754&gt;0,VLOOKUP($J754,Ruimtegroepen[],3,FALSE)*VLOOKUP($L754,Vloersoorten[],3,FALSE)*VLOOKUP($AF754,Frequenties[],3,FALSE)*VLOOKUP(#REF!,Locaties[],3,FALSE),0)</f>
        <v>0</v>
      </c>
      <c r="AI754" s="434">
        <f>Ruimtestaat[[#This Row],[Uitvoeringen weekend]]*Ruimtestaat[[#This Row],[Oppervlak (netto)]]</f>
        <v>0</v>
      </c>
      <c r="AJ754" s="434">
        <f>IF(AH754&gt;0,Ruimtestaat[[#This Row],[Prest. (m2 /jaar) weekend]]/Ruimtestaat[[#This Row],[Norm (m2/uur) weekend]],0)</f>
        <v>0</v>
      </c>
      <c r="AK754" s="444">
        <f>Ruimtestaat[[#This Row],[uren / jaar weekend]]*Tariefsopbouw!$D$40</f>
        <v>0</v>
      </c>
      <c r="AL754" s="441">
        <f>Ruimtestaat[[#This Row],[Prest. (m2 /jaar) weekend]]+Ruimtestaat[[#This Row],[Prest. (m2 /jaar) werkdagen]]</f>
        <v>1230</v>
      </c>
      <c r="AM754" s="441">
        <f>Ruimtestaat[[#This Row],[uren / jaar weekend]]+Ruimtestaat[[#This Row],[uren / jaar werkdagen]]</f>
        <v>0</v>
      </c>
      <c r="AN754" s="446">
        <f>Ruimtestaat[[#This Row],[kosten / jaar weekend]]+Ruimtestaat[[#This Row],[kosten / jaar werkdagen]]</f>
        <v>0</v>
      </c>
      <c r="AO754" s="446"/>
      <c r="AP754" s="446" t="str">
        <f>IF(Ruimtestaat[[#This Row],[Frequentie werkdagen]]="","",_xlfn.CONCAT(Ruimtestaat[[#This Row],[Ruimte code]],"-",Ruimtestaat[[#This Row],[Frequentie werkdagen]]," ",Ruimtestaat[[#This Row],[Vloer code]]))</f>
        <v>5-5w S</v>
      </c>
      <c r="AQ754" s="448" t="str">
        <f>_xlfn.IFNA(VLOOKUP($AP754,Programma!$F$3:$G$1101,2,0),"")</f>
        <v>_</v>
      </c>
      <c r="AR754" s="448" t="str">
        <f>_xlfn.IFNA(VLOOKUP($AP754,Programma!$F$3:$H$1101,3,0),"")</f>
        <v>_</v>
      </c>
      <c r="AS754" s="448" t="str">
        <f>_xlfn.IFNA(VLOOKUP($AP754,Programma!$F$3:$I$1101,4,0),"")</f>
        <v>_</v>
      </c>
      <c r="AT754" s="448" t="str">
        <f>_xlfn.IFNA(VLOOKUP($AP754,Programma!$F$3:$J$1101,5,0),"")</f>
        <v>4w</v>
      </c>
      <c r="AU754" s="448" t="str">
        <f>_xlfn.IFNA(VLOOKUP($AP754,Programma!$F$3:$K$1101,6,0),"")</f>
        <v>1w</v>
      </c>
      <c r="AV754" s="448" t="str">
        <f>_xlfn.IFNA(VLOOKUP($AP754,Programma!$F$3:$L$1101,7,0),"")</f>
        <v>_</v>
      </c>
      <c r="AW754" s="448" t="str">
        <f>_xlfn.IFNA(VLOOKUP($AP754,Programma!$F$3:$M$1101,8,0),"")</f>
        <v>_</v>
      </c>
      <c r="AX754" s="448" t="str">
        <f>_xlfn.IFNA(VLOOKUP($AP754,Programma!$F$3:$N$1101,9,0),"")</f>
        <v>_</v>
      </c>
      <c r="AY754" s="448" t="str">
        <f>_xlfn.IFNA(VLOOKUP($AP754,Programma!$F$3:$O$1101,10,0),"")</f>
        <v>_</v>
      </c>
      <c r="AZ754" s="448" t="str">
        <f>_xlfn.IFNA(VLOOKUP($AP754,Programma!$F$3:$P$1101,11,0),"")</f>
        <v>_</v>
      </c>
      <c r="BA754" s="448" t="str">
        <f>_xlfn.IFNA(VLOOKUP($AP754,Programma!$F$3:$Q$1101,12,0),"")</f>
        <v>_</v>
      </c>
      <c r="BB754" s="448" t="str">
        <f>_xlfn.IFNA(VLOOKUP($AP754,Programma!$F$3:$R$1101,13,0),"")</f>
        <v>_</v>
      </c>
      <c r="BC754" s="448" t="str">
        <f>_xlfn.IFNA(VLOOKUP($AP754,Programma!$F$3:$S$1101,14,0),"")</f>
        <v>_</v>
      </c>
      <c r="BD754" s="448" t="str">
        <f>_xlfn.IFNA(VLOOKUP($AP754,Programma!$F$3:$T$1101,15,0),"")</f>
        <v>_</v>
      </c>
      <c r="BE754" s="448" t="str">
        <f>_xlfn.IFNA(VLOOKUP($AP754,Programma!$F$3:$U$1101,16,0),"")</f>
        <v>_</v>
      </c>
      <c r="BF754" s="448" t="str">
        <f>_xlfn.IFNA(VLOOKUP($AP754,Programma!$F$3:$V$1101,17,0),"")</f>
        <v>_</v>
      </c>
      <c r="BG754" s="448" t="str">
        <f>_xlfn.IFNA(VLOOKUP($AP754,Programma!$F$3:$W$1101,18,0),"")</f>
        <v>4w</v>
      </c>
      <c r="BH754" s="448" t="str">
        <f>_xlfn.IFNA(VLOOKUP($AP754,Programma!$F$3:$X$1101,19,0),"")</f>
        <v>1w</v>
      </c>
      <c r="BI754" s="448" t="str">
        <f>_xlfn.IFNA(VLOOKUP($AP754,Programma!$F$3:$Y$1101,20,0),"")</f>
        <v>_</v>
      </c>
      <c r="BJ754" s="449"/>
      <c r="BK754" s="446" t="str">
        <f>IF(Ruimtestaat[[#This Row],[Frequentie weekend]]="","",_xlfn.CONCAT(Ruimtestaat[[#This Row],[Ruimte code]],"-",Ruimtestaat[[#This Row],[Frequentie weekend]]," ",Ruimtestaat[[#This Row],[Vloer code]]))</f>
        <v/>
      </c>
      <c r="BL754" s="448" t="str">
        <f>_xlfn.IFNA(VLOOKUP($BK754,Programma!$F$3:$G$1101,2,0),"")</f>
        <v/>
      </c>
      <c r="BM754" s="448" t="str">
        <f>_xlfn.IFNA(VLOOKUP($BK754,Programma!$F$3:$H$1101,3,0),"")</f>
        <v/>
      </c>
      <c r="BN754" s="448" t="str">
        <f>_xlfn.IFNA(VLOOKUP($BK754,Programma!$F$3:$I$1101,4,0),"")</f>
        <v/>
      </c>
      <c r="BO754" s="448" t="str">
        <f>_xlfn.IFNA(VLOOKUP($BK754,Programma!$F$3:$J$1101,5,0),"")</f>
        <v/>
      </c>
      <c r="BP754" s="448" t="str">
        <f>_xlfn.IFNA(VLOOKUP($BK754,Programma!$F$3:$K$1101,6,0),"")</f>
        <v/>
      </c>
      <c r="BQ754" s="448" t="str">
        <f>_xlfn.IFNA(VLOOKUP($BK754,Programma!$F$3:$L$1101,7,0),"")</f>
        <v/>
      </c>
      <c r="BR754" s="448" t="str">
        <f>_xlfn.IFNA(VLOOKUP($BK754,Programma!$F$3:$M$1101,8,0),"")</f>
        <v/>
      </c>
      <c r="BS754" s="448" t="str">
        <f>_xlfn.IFNA(VLOOKUP($BK754,Programma!$F$3:$N$1101,9,0),"")</f>
        <v/>
      </c>
      <c r="BT754" s="448" t="str">
        <f>_xlfn.IFNA(VLOOKUP($BK754,Programma!$F$3:$O$1101,10,0),"")</f>
        <v/>
      </c>
      <c r="BU754" s="448" t="str">
        <f>_xlfn.IFNA(VLOOKUP($BK754,Programma!$F$3:$P$1101,11,0),"")</f>
        <v/>
      </c>
      <c r="BV754" s="448" t="str">
        <f>_xlfn.IFNA(VLOOKUP($BK754,Programma!$F$3:$Q$1101,12,0),"")</f>
        <v/>
      </c>
      <c r="BW754" s="448" t="str">
        <f>_xlfn.IFNA(VLOOKUP($BK754,Programma!$F$3:$R$1101,13,0),"")</f>
        <v/>
      </c>
      <c r="BX754" s="448" t="str">
        <f>_xlfn.IFNA(VLOOKUP($BK754,Programma!$F$3:$S$1101,14,0),"")</f>
        <v/>
      </c>
      <c r="BY754" s="448" t="str">
        <f>_xlfn.IFNA(VLOOKUP($BK754,Programma!$F$3:$T$1101,15,0),"")</f>
        <v/>
      </c>
      <c r="BZ754" s="448" t="str">
        <f>_xlfn.IFNA(VLOOKUP($BK754,Programma!$F$3:$U$1101,16,0),"")</f>
        <v/>
      </c>
      <c r="CA754" s="448" t="str">
        <f>_xlfn.IFNA(VLOOKUP($BK754,Programma!$F$3:$V$1101,17,0),"")</f>
        <v/>
      </c>
      <c r="CB754" s="448" t="str">
        <f>_xlfn.IFNA(VLOOKUP($BK754,Programma!$F$3:$W$1101,18,0),"")</f>
        <v/>
      </c>
      <c r="CC754" s="448" t="str">
        <f>_xlfn.IFNA(VLOOKUP($BK754,Programma!$F$3:$X$1101,19,0),"")</f>
        <v/>
      </c>
      <c r="CD754" s="448" t="str">
        <f>_xlfn.IFNA(VLOOKUP($BK754,Programma!$F$3:$Y$1101,20,0),"")</f>
        <v/>
      </c>
    </row>
    <row r="755" spans="1:82" ht="15" customHeight="1">
      <c r="A755" s="327">
        <v>15</v>
      </c>
      <c r="B755" s="435" t="str">
        <f>VLOOKUP(Ruimtestaat[[#This Row],[Code]],Locaties[[Code]:[Locatie]],2,FALSE)</f>
        <v>IKC  Da Vinci</v>
      </c>
      <c r="C755" s="435" t="str">
        <f>VLOOKUP(Ruimtestaat[[#This Row],[Code]],Locaties[[#All],[Code]:[Adres]],4,FALSE)</f>
        <v>Spitsbergen 17</v>
      </c>
      <c r="D755" s="435" t="str">
        <f>VLOOKUP(Ruimtestaat[[#This Row],[Code]],Locaties[[#All],[Code]:[Postcode]],5,FALSE)</f>
        <v>2721 GP</v>
      </c>
      <c r="E755" s="435" t="str">
        <f>VLOOKUP(Ruimtestaat[[#This Row],[Code]],Locaties[#All],6,FALSE)</f>
        <v>Zoetermeer</v>
      </c>
      <c r="F755" s="330" t="s">
        <v>2154</v>
      </c>
      <c r="I755" s="450" t="s">
        <v>2001</v>
      </c>
      <c r="J755" s="330">
        <v>5</v>
      </c>
      <c r="K755" s="450" t="str">
        <f>VLOOKUP(Ruimtestaat[[#This Row],[Ruimte code]],Ruimtegroepen[[#All],[Code]:[Ruimte omschrijving]],2,FALSE)</f>
        <v>Sanitair</v>
      </c>
      <c r="L755" s="330" t="s">
        <v>101</v>
      </c>
      <c r="M755" s="437" t="s">
        <v>1816</v>
      </c>
      <c r="N755" s="439">
        <v>6</v>
      </c>
      <c r="O755" s="439"/>
      <c r="P755" s="439"/>
      <c r="Q755" s="439"/>
      <c r="R755" s="440" t="str">
        <f>VLOOKUP(Ruimtestaat[[#This Row],[Ruimte code]],Ruimtegroepen[],4,FALSE)</f>
        <v>Sa</v>
      </c>
      <c r="S755" s="434">
        <v>41</v>
      </c>
      <c r="T755" s="434" t="s">
        <v>2</v>
      </c>
      <c r="U755" s="453">
        <f>IF(S755&gt;0,IF(RIGHT(Ruimtestaat[[#This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55" s="434">
        <f>IF(U755&gt;0,VLOOKUP($J755,Ruimtegroepen[],3,FALSE)*VLOOKUP($L755,Vloersoorten[],3,FALSE)*VLOOKUP($T755,Frequenties[],3,FALSE)*VLOOKUP($A755,Locaties[],3,FALSE),0)</f>
        <v>0</v>
      </c>
      <c r="W755" s="434">
        <f>Ruimtestaat[[#This Row],[Uitvoeringen werkdagen]]*Ruimtestaat[[#This Row],[Oppervlak (netto)]]</f>
        <v>1230</v>
      </c>
      <c r="X755" s="441">
        <f>IF(V755&gt;0,Ruimtestaat[[#This Row],[Prest. (m2 /jaar) werkdagen]]/Ruimtestaat[[#This Row],[Norm (m2/uur) werkdagen]],0)</f>
        <v>0</v>
      </c>
      <c r="Y755" s="442">
        <f>Ruimtestaat[[#This Row],[Uitvoeringen werkdagen]]*Ruimtestaat[[#This Row],[Gedeeltelijk]]</f>
        <v>0</v>
      </c>
      <c r="Z755" s="443" t="e">
        <f>IF(U755&gt;0,Ruimtestaat[[#This Row],[Prest. (m2 / jaar) werkdagen gedeeld]]/Ruimtestaat[[#This Row],[Norm (m2/uur) werkdagen]],0)</f>
        <v>#DIV/0!</v>
      </c>
      <c r="AA755" s="441" t="e">
        <f>Ruimtestaat[[#This Row],[uren / jaar werkdagen gedeeld]]*Tariefsopbouw!$E$35</f>
        <v>#DIV/0!</v>
      </c>
      <c r="AB755" s="441">
        <f>Ruimtestaat[[#This Row],[Uitvoeringen werkdagen]]*Ruimtestaat[[#This Row],[BSO]]</f>
        <v>0</v>
      </c>
      <c r="AC755" s="443" t="e">
        <f>IF(U755&gt;0,Ruimtestaat[[#This Row],[Prest. (m2 / jaar) werkdagen BSO]]/Ruimtestaat[[#This Row],[Norm (m2/uur) werkdagen]],0)</f>
        <v>#DIV/0!</v>
      </c>
      <c r="AD755" s="443" t="e">
        <f>Ruimtestaat[[#This Row],[uren / jaar werkdagen BSO]]*Tariefsopbouw!$E$35</f>
        <v>#DIV/0!</v>
      </c>
      <c r="AE755" s="444">
        <f>Ruimtestaat[[#This Row],[uren / jaar werkdagen]]*Tariefsopbouw!$E$35</f>
        <v>0</v>
      </c>
      <c r="AF755" s="454"/>
      <c r="AG755" s="455">
        <f>IF(Ruimtestaat[[#This Row],[Frequentie weekend]]&gt;0,VALUE(LEFT(AF755,1))*S755,0)</f>
        <v>0</v>
      </c>
      <c r="AH755" s="455">
        <f>IF($AG755&gt;0,VLOOKUP($J755,Ruimtegroepen[],3,FALSE)*VLOOKUP($L755,Vloersoorten[],3,FALSE)*VLOOKUP($AF755,Frequenties[],3,FALSE)*VLOOKUP(#REF!,Locaties[],3,FALSE),0)</f>
        <v>0</v>
      </c>
      <c r="AI755" s="434">
        <f>Ruimtestaat[[#This Row],[Uitvoeringen weekend]]*Ruimtestaat[[#This Row],[Oppervlak (netto)]]</f>
        <v>0</v>
      </c>
      <c r="AJ755" s="434">
        <f>IF(AH755&gt;0,Ruimtestaat[[#This Row],[Prest. (m2 /jaar) weekend]]/Ruimtestaat[[#This Row],[Norm (m2/uur) weekend]],0)</f>
        <v>0</v>
      </c>
      <c r="AK755" s="444">
        <f>Ruimtestaat[[#This Row],[uren / jaar weekend]]*Tariefsopbouw!$D$40</f>
        <v>0</v>
      </c>
      <c r="AL755" s="441">
        <f>Ruimtestaat[[#This Row],[Prest. (m2 /jaar) weekend]]+Ruimtestaat[[#This Row],[Prest. (m2 /jaar) werkdagen]]</f>
        <v>1230</v>
      </c>
      <c r="AM755" s="441">
        <f>Ruimtestaat[[#This Row],[uren / jaar weekend]]+Ruimtestaat[[#This Row],[uren / jaar werkdagen]]</f>
        <v>0</v>
      </c>
      <c r="AN755" s="446">
        <f>Ruimtestaat[[#This Row],[kosten / jaar weekend]]+Ruimtestaat[[#This Row],[kosten / jaar werkdagen]]</f>
        <v>0</v>
      </c>
      <c r="AO755" s="446"/>
      <c r="AP755" s="446" t="str">
        <f>IF(Ruimtestaat[[#This Row],[Frequentie werkdagen]]="","",_xlfn.CONCAT(Ruimtestaat[[#This Row],[Ruimte code]],"-",Ruimtestaat[[#This Row],[Frequentie werkdagen]]," ",Ruimtestaat[[#This Row],[Vloer code]]))</f>
        <v>5-5w S</v>
      </c>
      <c r="AQ755" s="448" t="str">
        <f>_xlfn.IFNA(VLOOKUP($AP755,Programma!$F$3:$G$1101,2,0),"")</f>
        <v>_</v>
      </c>
      <c r="AR755" s="448" t="str">
        <f>_xlfn.IFNA(VLOOKUP($AP755,Programma!$F$3:$H$1101,3,0),"")</f>
        <v>_</v>
      </c>
      <c r="AS755" s="448" t="str">
        <f>_xlfn.IFNA(VLOOKUP($AP755,Programma!$F$3:$I$1101,4,0),"")</f>
        <v>_</v>
      </c>
      <c r="AT755" s="448" t="str">
        <f>_xlfn.IFNA(VLOOKUP($AP755,Programma!$F$3:$J$1101,5,0),"")</f>
        <v>4w</v>
      </c>
      <c r="AU755" s="448" t="str">
        <f>_xlfn.IFNA(VLOOKUP($AP755,Programma!$F$3:$K$1101,6,0),"")</f>
        <v>1w</v>
      </c>
      <c r="AV755" s="448" t="str">
        <f>_xlfn.IFNA(VLOOKUP($AP755,Programma!$F$3:$L$1101,7,0),"")</f>
        <v>_</v>
      </c>
      <c r="AW755" s="448" t="str">
        <f>_xlfn.IFNA(VLOOKUP($AP755,Programma!$F$3:$M$1101,8,0),"")</f>
        <v>_</v>
      </c>
      <c r="AX755" s="448" t="str">
        <f>_xlfn.IFNA(VLOOKUP($AP755,Programma!$F$3:$N$1101,9,0),"")</f>
        <v>_</v>
      </c>
      <c r="AY755" s="448" t="str">
        <f>_xlfn.IFNA(VLOOKUP($AP755,Programma!$F$3:$O$1101,10,0),"")</f>
        <v>_</v>
      </c>
      <c r="AZ755" s="448" t="str">
        <f>_xlfn.IFNA(VLOOKUP($AP755,Programma!$F$3:$P$1101,11,0),"")</f>
        <v>_</v>
      </c>
      <c r="BA755" s="448" t="str">
        <f>_xlfn.IFNA(VLOOKUP($AP755,Programma!$F$3:$Q$1101,12,0),"")</f>
        <v>_</v>
      </c>
      <c r="BB755" s="448" t="str">
        <f>_xlfn.IFNA(VLOOKUP($AP755,Programma!$F$3:$R$1101,13,0),"")</f>
        <v>_</v>
      </c>
      <c r="BC755" s="448" t="str">
        <f>_xlfn.IFNA(VLOOKUP($AP755,Programma!$F$3:$S$1101,14,0),"")</f>
        <v>_</v>
      </c>
      <c r="BD755" s="448" t="str">
        <f>_xlfn.IFNA(VLOOKUP($AP755,Programma!$F$3:$T$1101,15,0),"")</f>
        <v>_</v>
      </c>
      <c r="BE755" s="448" t="str">
        <f>_xlfn.IFNA(VLOOKUP($AP755,Programma!$F$3:$U$1101,16,0),"")</f>
        <v>_</v>
      </c>
      <c r="BF755" s="448" t="str">
        <f>_xlfn.IFNA(VLOOKUP($AP755,Programma!$F$3:$V$1101,17,0),"")</f>
        <v>_</v>
      </c>
      <c r="BG755" s="448" t="str">
        <f>_xlfn.IFNA(VLOOKUP($AP755,Programma!$F$3:$W$1101,18,0),"")</f>
        <v>4w</v>
      </c>
      <c r="BH755" s="448" t="str">
        <f>_xlfn.IFNA(VLOOKUP($AP755,Programma!$F$3:$X$1101,19,0),"")</f>
        <v>1w</v>
      </c>
      <c r="BI755" s="448" t="str">
        <f>_xlfn.IFNA(VLOOKUP($AP755,Programma!$F$3:$Y$1101,20,0),"")</f>
        <v>_</v>
      </c>
      <c r="BJ755" s="449"/>
      <c r="BK755" s="446" t="str">
        <f>IF(Ruimtestaat[[#This Row],[Frequentie weekend]]="","",_xlfn.CONCAT(Ruimtestaat[[#This Row],[Ruimte code]],"-",Ruimtestaat[[#This Row],[Frequentie weekend]]," ",Ruimtestaat[[#This Row],[Vloer code]]))</f>
        <v/>
      </c>
      <c r="BL755" s="448" t="str">
        <f>_xlfn.IFNA(VLOOKUP($BK755,Programma!$F$3:$G$1101,2,0),"")</f>
        <v/>
      </c>
      <c r="BM755" s="448" t="str">
        <f>_xlfn.IFNA(VLOOKUP($BK755,Programma!$F$3:$H$1101,3,0),"")</f>
        <v/>
      </c>
      <c r="BN755" s="448" t="str">
        <f>_xlfn.IFNA(VLOOKUP($BK755,Programma!$F$3:$I$1101,4,0),"")</f>
        <v/>
      </c>
      <c r="BO755" s="448" t="str">
        <f>_xlfn.IFNA(VLOOKUP($BK755,Programma!$F$3:$J$1101,5,0),"")</f>
        <v/>
      </c>
      <c r="BP755" s="448" t="str">
        <f>_xlfn.IFNA(VLOOKUP($BK755,Programma!$F$3:$K$1101,6,0),"")</f>
        <v/>
      </c>
      <c r="BQ755" s="448" t="str">
        <f>_xlfn.IFNA(VLOOKUP($BK755,Programma!$F$3:$L$1101,7,0),"")</f>
        <v/>
      </c>
      <c r="BR755" s="448" t="str">
        <f>_xlfn.IFNA(VLOOKUP($BK755,Programma!$F$3:$M$1101,8,0),"")</f>
        <v/>
      </c>
      <c r="BS755" s="448" t="str">
        <f>_xlfn.IFNA(VLOOKUP($BK755,Programma!$F$3:$N$1101,9,0),"")</f>
        <v/>
      </c>
      <c r="BT755" s="448" t="str">
        <f>_xlfn.IFNA(VLOOKUP($BK755,Programma!$F$3:$O$1101,10,0),"")</f>
        <v/>
      </c>
      <c r="BU755" s="448" t="str">
        <f>_xlfn.IFNA(VLOOKUP($BK755,Programma!$F$3:$P$1101,11,0),"")</f>
        <v/>
      </c>
      <c r="BV755" s="448" t="str">
        <f>_xlfn.IFNA(VLOOKUP($BK755,Programma!$F$3:$Q$1101,12,0),"")</f>
        <v/>
      </c>
      <c r="BW755" s="448" t="str">
        <f>_xlfn.IFNA(VLOOKUP($BK755,Programma!$F$3:$R$1101,13,0),"")</f>
        <v/>
      </c>
      <c r="BX755" s="448" t="str">
        <f>_xlfn.IFNA(VLOOKUP($BK755,Programma!$F$3:$S$1101,14,0),"")</f>
        <v/>
      </c>
      <c r="BY755" s="448" t="str">
        <f>_xlfn.IFNA(VLOOKUP($BK755,Programma!$F$3:$T$1101,15,0),"")</f>
        <v/>
      </c>
      <c r="BZ755" s="448" t="str">
        <f>_xlfn.IFNA(VLOOKUP($BK755,Programma!$F$3:$U$1101,16,0),"")</f>
        <v/>
      </c>
      <c r="CA755" s="448" t="str">
        <f>_xlfn.IFNA(VLOOKUP($BK755,Programma!$F$3:$V$1101,17,0),"")</f>
        <v/>
      </c>
      <c r="CB755" s="448" t="str">
        <f>_xlfn.IFNA(VLOOKUP($BK755,Programma!$F$3:$W$1101,18,0),"")</f>
        <v/>
      </c>
      <c r="CC755" s="448" t="str">
        <f>_xlfn.IFNA(VLOOKUP($BK755,Programma!$F$3:$X$1101,19,0),"")</f>
        <v/>
      </c>
      <c r="CD755" s="448" t="str">
        <f>_xlfn.IFNA(VLOOKUP($BK755,Programma!$F$3:$Y$1101,20,0),"")</f>
        <v/>
      </c>
    </row>
    <row r="756" spans="1:82" ht="15" customHeight="1">
      <c r="A756" s="327">
        <v>15</v>
      </c>
      <c r="B756" s="435" t="str">
        <f>VLOOKUP(Ruimtestaat[[#This Row],[Code]],Locaties[[Code]:[Locatie]],2,FALSE)</f>
        <v>IKC  Da Vinci</v>
      </c>
      <c r="C756" s="435" t="str">
        <f>VLOOKUP(Ruimtestaat[[#This Row],[Code]],Locaties[[#All],[Code]:[Adres]],4,FALSE)</f>
        <v>Spitsbergen 17</v>
      </c>
      <c r="D756" s="435" t="str">
        <f>VLOOKUP(Ruimtestaat[[#This Row],[Code]],Locaties[[#All],[Code]:[Postcode]],5,FALSE)</f>
        <v>2721 GP</v>
      </c>
      <c r="E756" s="435" t="str">
        <f>VLOOKUP(Ruimtestaat[[#This Row],[Code]],Locaties[#All],6,FALSE)</f>
        <v>Zoetermeer</v>
      </c>
      <c r="F756" s="330" t="s">
        <v>2154</v>
      </c>
      <c r="I756" s="450" t="s">
        <v>2002</v>
      </c>
      <c r="J756" s="330">
        <v>20</v>
      </c>
      <c r="K756" s="450" t="str">
        <f>VLOOKUP(Ruimtestaat[[#This Row],[Ruimte code]],Ruimtegroepen[[#All],[Code]:[Ruimte omschrijving]],2,FALSE)</f>
        <v>Niet in Onderhoud</v>
      </c>
      <c r="M756" s="330"/>
      <c r="N756" s="439"/>
      <c r="O756" s="439">
        <v>6</v>
      </c>
      <c r="P756" s="439"/>
      <c r="Q756" s="439"/>
      <c r="R756" s="440">
        <f>VLOOKUP(Ruimtestaat[[#This Row],[Ruimte code]],Ruimtegroepen[],4,FALSE)</f>
        <v>0</v>
      </c>
      <c r="S756" s="434"/>
      <c r="T756" s="434"/>
      <c r="U756" s="453">
        <f>IF(S756&gt;0,IF(RIGHT(Ruimtestaat[[#This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6" s="434">
        <f>IF(U756&gt;0,VLOOKUP($J756,Ruimtegroepen[],3,FALSE)*VLOOKUP($L756,Vloersoorten[],3,FALSE)*VLOOKUP($T756,Frequenties[],3,FALSE)*VLOOKUP($A756,Locaties[],3,FALSE),0)</f>
        <v>0</v>
      </c>
      <c r="W756" s="434">
        <f>Ruimtestaat[[#This Row],[Uitvoeringen werkdagen]]*Ruimtestaat[[#This Row],[Oppervlak (netto)]]</f>
        <v>0</v>
      </c>
      <c r="X756" s="441">
        <f>IF(V756&gt;0,Ruimtestaat[[#This Row],[Prest. (m2 /jaar) werkdagen]]/Ruimtestaat[[#This Row],[Norm (m2/uur) werkdagen]],0)</f>
        <v>0</v>
      </c>
      <c r="Y756" s="442">
        <f>Ruimtestaat[[#This Row],[Uitvoeringen werkdagen]]*Ruimtestaat[[#This Row],[Gedeeltelijk]]</f>
        <v>0</v>
      </c>
      <c r="Z756" s="443">
        <f>IF(U756&gt;0,Ruimtestaat[[#This Row],[Prest. (m2 / jaar) werkdagen gedeeld]]/Ruimtestaat[[#This Row],[Norm (m2/uur) werkdagen]],0)</f>
        <v>0</v>
      </c>
      <c r="AA756" s="441">
        <f>Ruimtestaat[[#This Row],[uren / jaar werkdagen gedeeld]]*Tariefsopbouw!$E$35</f>
        <v>0</v>
      </c>
      <c r="AB756" s="441">
        <f>Ruimtestaat[[#This Row],[Uitvoeringen werkdagen]]*Ruimtestaat[[#This Row],[BSO]]</f>
        <v>0</v>
      </c>
      <c r="AC756" s="443">
        <f>IF(U756&gt;0,Ruimtestaat[[#This Row],[Prest. (m2 / jaar) werkdagen BSO]]/Ruimtestaat[[#This Row],[Norm (m2/uur) werkdagen]],0)</f>
        <v>0</v>
      </c>
      <c r="AD756" s="443">
        <f>Ruimtestaat[[#This Row],[uren / jaar werkdagen BSO]]*Tariefsopbouw!$E$35</f>
        <v>0</v>
      </c>
      <c r="AE756" s="444">
        <f>Ruimtestaat[[#This Row],[uren / jaar werkdagen]]*Tariefsopbouw!$E$35</f>
        <v>0</v>
      </c>
      <c r="AF756" s="454"/>
      <c r="AG756" s="455">
        <f>IF(Ruimtestaat[[#This Row],[Frequentie weekend]]&gt;0,VALUE(LEFT(AF756,1))*S756,0)</f>
        <v>0</v>
      </c>
      <c r="AH756" s="455">
        <f>IF($AG756&gt;0,VLOOKUP($J756,Ruimtegroepen[],3,FALSE)*VLOOKUP($L756,Vloersoorten[],3,FALSE)*VLOOKUP($AF756,Frequenties[],3,FALSE)*VLOOKUP(#REF!,Locaties[],3,FALSE),0)</f>
        <v>0</v>
      </c>
      <c r="AI756" s="434">
        <f>Ruimtestaat[[#This Row],[Uitvoeringen weekend]]*Ruimtestaat[[#This Row],[Oppervlak (netto)]]</f>
        <v>0</v>
      </c>
      <c r="AJ756" s="434">
        <f>IF(AH756&gt;0,Ruimtestaat[[#This Row],[Prest. (m2 /jaar) weekend]]/Ruimtestaat[[#This Row],[Norm (m2/uur) weekend]],0)</f>
        <v>0</v>
      </c>
      <c r="AK756" s="444">
        <f>Ruimtestaat[[#This Row],[uren / jaar weekend]]*Tariefsopbouw!$D$40</f>
        <v>0</v>
      </c>
      <c r="AL756" s="441">
        <f>Ruimtestaat[[#This Row],[Prest. (m2 /jaar) weekend]]+Ruimtestaat[[#This Row],[Prest. (m2 /jaar) werkdagen]]</f>
        <v>0</v>
      </c>
      <c r="AM756" s="441">
        <f>Ruimtestaat[[#This Row],[uren / jaar weekend]]+Ruimtestaat[[#This Row],[uren / jaar werkdagen]]</f>
        <v>0</v>
      </c>
      <c r="AN756" s="446">
        <f>Ruimtestaat[[#This Row],[kosten / jaar weekend]]+Ruimtestaat[[#This Row],[kosten / jaar werkdagen]]</f>
        <v>0</v>
      </c>
      <c r="AO756" s="446"/>
      <c r="AP756" s="446" t="str">
        <f>IF(Ruimtestaat[[#This Row],[Frequentie werkdagen]]="","",_xlfn.CONCAT(Ruimtestaat[[#This Row],[Ruimte code]],"-",Ruimtestaat[[#This Row],[Frequentie werkdagen]]," ",Ruimtestaat[[#This Row],[Vloer code]]))</f>
        <v/>
      </c>
      <c r="AQ756" s="448" t="str">
        <f>_xlfn.IFNA(VLOOKUP($AP756,Programma!$F$3:$G$1101,2,0),"")</f>
        <v/>
      </c>
      <c r="AR756" s="448" t="str">
        <f>_xlfn.IFNA(VLOOKUP($AP756,Programma!$F$3:$H$1101,3,0),"")</f>
        <v/>
      </c>
      <c r="AS756" s="448" t="str">
        <f>_xlfn.IFNA(VLOOKUP($AP756,Programma!$F$3:$I$1101,4,0),"")</f>
        <v/>
      </c>
      <c r="AT756" s="448" t="str">
        <f>_xlfn.IFNA(VLOOKUP($AP756,Programma!$F$3:$J$1101,5,0),"")</f>
        <v/>
      </c>
      <c r="AU756" s="448" t="str">
        <f>_xlfn.IFNA(VLOOKUP($AP756,Programma!$F$3:$K$1101,6,0),"")</f>
        <v/>
      </c>
      <c r="AV756" s="448" t="str">
        <f>_xlfn.IFNA(VLOOKUP($AP756,Programma!$F$3:$L$1101,7,0),"")</f>
        <v/>
      </c>
      <c r="AW756" s="448" t="str">
        <f>_xlfn.IFNA(VLOOKUP($AP756,Programma!$F$3:$M$1101,8,0),"")</f>
        <v/>
      </c>
      <c r="AX756" s="448" t="str">
        <f>_xlfn.IFNA(VLOOKUP($AP756,Programma!$F$3:$N$1101,9,0),"")</f>
        <v/>
      </c>
      <c r="AY756" s="448" t="str">
        <f>_xlfn.IFNA(VLOOKUP($AP756,Programma!$F$3:$O$1101,10,0),"")</f>
        <v/>
      </c>
      <c r="AZ756" s="448" t="str">
        <f>_xlfn.IFNA(VLOOKUP($AP756,Programma!$F$3:$P$1101,11,0),"")</f>
        <v/>
      </c>
      <c r="BA756" s="448" t="str">
        <f>_xlfn.IFNA(VLOOKUP($AP756,Programma!$F$3:$Q$1101,12,0),"")</f>
        <v/>
      </c>
      <c r="BB756" s="448" t="str">
        <f>_xlfn.IFNA(VLOOKUP($AP756,Programma!$F$3:$R$1101,13,0),"")</f>
        <v/>
      </c>
      <c r="BC756" s="448" t="str">
        <f>_xlfn.IFNA(VLOOKUP($AP756,Programma!$F$3:$S$1101,14,0),"")</f>
        <v/>
      </c>
      <c r="BD756" s="448" t="str">
        <f>_xlfn.IFNA(VLOOKUP($AP756,Programma!$F$3:$T$1101,15,0),"")</f>
        <v/>
      </c>
      <c r="BE756" s="448" t="str">
        <f>_xlfn.IFNA(VLOOKUP($AP756,Programma!$F$3:$U$1101,16,0),"")</f>
        <v/>
      </c>
      <c r="BF756" s="448" t="str">
        <f>_xlfn.IFNA(VLOOKUP($AP756,Programma!$F$3:$V$1101,17,0),"")</f>
        <v/>
      </c>
      <c r="BG756" s="448" t="str">
        <f>_xlfn.IFNA(VLOOKUP($AP756,Programma!$F$3:$W$1101,18,0),"")</f>
        <v/>
      </c>
      <c r="BH756" s="448" t="str">
        <f>_xlfn.IFNA(VLOOKUP($AP756,Programma!$F$3:$X$1101,19,0),"")</f>
        <v/>
      </c>
      <c r="BI756" s="448" t="str">
        <f>_xlfn.IFNA(VLOOKUP($AP756,Programma!$F$3:$Y$1101,20,0),"")</f>
        <v/>
      </c>
      <c r="BJ756" s="449"/>
      <c r="BK756" s="446" t="str">
        <f>IF(Ruimtestaat[[#This Row],[Frequentie weekend]]="","",_xlfn.CONCAT(Ruimtestaat[[#This Row],[Ruimte code]],"-",Ruimtestaat[[#This Row],[Frequentie weekend]]," ",Ruimtestaat[[#This Row],[Vloer code]]))</f>
        <v/>
      </c>
      <c r="BL756" s="448" t="str">
        <f>_xlfn.IFNA(VLOOKUP($BK756,Programma!$F$3:$G$1101,2,0),"")</f>
        <v/>
      </c>
      <c r="BM756" s="448" t="str">
        <f>_xlfn.IFNA(VLOOKUP($BK756,Programma!$F$3:$H$1101,3,0),"")</f>
        <v/>
      </c>
      <c r="BN756" s="448" t="str">
        <f>_xlfn.IFNA(VLOOKUP($BK756,Programma!$F$3:$I$1101,4,0),"")</f>
        <v/>
      </c>
      <c r="BO756" s="448" t="str">
        <f>_xlfn.IFNA(VLOOKUP($BK756,Programma!$F$3:$J$1101,5,0),"")</f>
        <v/>
      </c>
      <c r="BP756" s="448" t="str">
        <f>_xlfn.IFNA(VLOOKUP($BK756,Programma!$F$3:$K$1101,6,0),"")</f>
        <v/>
      </c>
      <c r="BQ756" s="448" t="str">
        <f>_xlfn.IFNA(VLOOKUP($BK756,Programma!$F$3:$L$1101,7,0),"")</f>
        <v/>
      </c>
      <c r="BR756" s="448" t="str">
        <f>_xlfn.IFNA(VLOOKUP($BK756,Programma!$F$3:$M$1101,8,0),"")</f>
        <v/>
      </c>
      <c r="BS756" s="448" t="str">
        <f>_xlfn.IFNA(VLOOKUP($BK756,Programma!$F$3:$N$1101,9,0),"")</f>
        <v/>
      </c>
      <c r="BT756" s="448" t="str">
        <f>_xlfn.IFNA(VLOOKUP($BK756,Programma!$F$3:$O$1101,10,0),"")</f>
        <v/>
      </c>
      <c r="BU756" s="448" t="str">
        <f>_xlfn.IFNA(VLOOKUP($BK756,Programma!$F$3:$P$1101,11,0),"")</f>
        <v/>
      </c>
      <c r="BV756" s="448" t="str">
        <f>_xlfn.IFNA(VLOOKUP($BK756,Programma!$F$3:$Q$1101,12,0),"")</f>
        <v/>
      </c>
      <c r="BW756" s="448" t="str">
        <f>_xlfn.IFNA(VLOOKUP($BK756,Programma!$F$3:$R$1101,13,0),"")</f>
        <v/>
      </c>
      <c r="BX756" s="448" t="str">
        <f>_xlfn.IFNA(VLOOKUP($BK756,Programma!$F$3:$S$1101,14,0),"")</f>
        <v/>
      </c>
      <c r="BY756" s="448" t="str">
        <f>_xlfn.IFNA(VLOOKUP($BK756,Programma!$F$3:$T$1101,15,0),"")</f>
        <v/>
      </c>
      <c r="BZ756" s="448" t="str">
        <f>_xlfn.IFNA(VLOOKUP($BK756,Programma!$F$3:$U$1101,16,0),"")</f>
        <v/>
      </c>
      <c r="CA756" s="448" t="str">
        <f>_xlfn.IFNA(VLOOKUP($BK756,Programma!$F$3:$V$1101,17,0),"")</f>
        <v/>
      </c>
      <c r="CB756" s="448" t="str">
        <f>_xlfn.IFNA(VLOOKUP($BK756,Programma!$F$3:$W$1101,18,0),"")</f>
        <v/>
      </c>
      <c r="CC756" s="448" t="str">
        <f>_xlfn.IFNA(VLOOKUP($BK756,Programma!$F$3:$X$1101,19,0),"")</f>
        <v/>
      </c>
      <c r="CD756" s="448" t="str">
        <f>_xlfn.IFNA(VLOOKUP($BK756,Programma!$F$3:$Y$1101,20,0),"")</f>
        <v/>
      </c>
    </row>
    <row r="757" spans="1:82" ht="15" customHeight="1">
      <c r="A757" s="327">
        <v>15</v>
      </c>
      <c r="B757" s="435" t="str">
        <f>VLOOKUP(Ruimtestaat[[#This Row],[Code]],Locaties[[Code]:[Locatie]],2,FALSE)</f>
        <v>IKC  Da Vinci</v>
      </c>
      <c r="C757" s="435" t="str">
        <f>VLOOKUP(Ruimtestaat[[#This Row],[Code]],Locaties[[#All],[Code]:[Adres]],4,FALSE)</f>
        <v>Spitsbergen 17</v>
      </c>
      <c r="D757" s="435" t="str">
        <f>VLOOKUP(Ruimtestaat[[#This Row],[Code]],Locaties[[#All],[Code]:[Postcode]],5,FALSE)</f>
        <v>2721 GP</v>
      </c>
      <c r="E757" s="435" t="str">
        <f>VLOOKUP(Ruimtestaat[[#This Row],[Code]],Locaties[#All],6,FALSE)</f>
        <v>Zoetermeer</v>
      </c>
      <c r="F757" s="330" t="s">
        <v>2154</v>
      </c>
      <c r="I757" s="450" t="s">
        <v>2002</v>
      </c>
      <c r="J757" s="330">
        <v>20</v>
      </c>
      <c r="K757" s="450" t="str">
        <f>VLOOKUP(Ruimtestaat[[#This Row],[Ruimte code]],Ruimtegroepen[[#All],[Code]:[Ruimte omschrijving]],2,FALSE)</f>
        <v>Niet in Onderhoud</v>
      </c>
      <c r="M757" s="330"/>
      <c r="N757" s="439"/>
      <c r="O757" s="439">
        <v>4</v>
      </c>
      <c r="P757" s="439"/>
      <c r="Q757" s="439"/>
      <c r="R757" s="440">
        <f>VLOOKUP(Ruimtestaat[[#This Row],[Ruimte code]],Ruimtegroepen[],4,FALSE)</f>
        <v>0</v>
      </c>
      <c r="S757" s="434"/>
      <c r="T757" s="434"/>
      <c r="U757" s="453">
        <f>IF(S757&gt;0,IF(RIGHT(Ruimtestaat[[#This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7" s="434">
        <f>IF(U757&gt;0,VLOOKUP($J757,Ruimtegroepen[],3,FALSE)*VLOOKUP($L757,Vloersoorten[],3,FALSE)*VLOOKUP($T757,Frequenties[],3,FALSE)*VLOOKUP($A757,Locaties[],3,FALSE),0)</f>
        <v>0</v>
      </c>
      <c r="W757" s="434">
        <f>Ruimtestaat[[#This Row],[Uitvoeringen werkdagen]]*Ruimtestaat[[#This Row],[Oppervlak (netto)]]</f>
        <v>0</v>
      </c>
      <c r="X757" s="441">
        <f>IF(V757&gt;0,Ruimtestaat[[#This Row],[Prest. (m2 /jaar) werkdagen]]/Ruimtestaat[[#This Row],[Norm (m2/uur) werkdagen]],0)</f>
        <v>0</v>
      </c>
      <c r="Y757" s="442">
        <f>Ruimtestaat[[#This Row],[Uitvoeringen werkdagen]]*Ruimtestaat[[#This Row],[Gedeeltelijk]]</f>
        <v>0</v>
      </c>
      <c r="Z757" s="443">
        <f>IF(U757&gt;0,Ruimtestaat[[#This Row],[Prest. (m2 / jaar) werkdagen gedeeld]]/Ruimtestaat[[#This Row],[Norm (m2/uur) werkdagen]],0)</f>
        <v>0</v>
      </c>
      <c r="AA757" s="441">
        <f>Ruimtestaat[[#This Row],[uren / jaar werkdagen gedeeld]]*Tariefsopbouw!$E$35</f>
        <v>0</v>
      </c>
      <c r="AB757" s="441">
        <f>Ruimtestaat[[#This Row],[Uitvoeringen werkdagen]]*Ruimtestaat[[#This Row],[BSO]]</f>
        <v>0</v>
      </c>
      <c r="AC757" s="443">
        <f>IF(U757&gt;0,Ruimtestaat[[#This Row],[Prest. (m2 / jaar) werkdagen BSO]]/Ruimtestaat[[#This Row],[Norm (m2/uur) werkdagen]],0)</f>
        <v>0</v>
      </c>
      <c r="AD757" s="443">
        <f>Ruimtestaat[[#This Row],[uren / jaar werkdagen BSO]]*Tariefsopbouw!$E$35</f>
        <v>0</v>
      </c>
      <c r="AE757" s="444">
        <f>Ruimtestaat[[#This Row],[uren / jaar werkdagen]]*Tariefsopbouw!$E$35</f>
        <v>0</v>
      </c>
      <c r="AF757" s="454"/>
      <c r="AG757" s="455">
        <f>IF(Ruimtestaat[[#This Row],[Frequentie weekend]]&gt;0,VALUE(LEFT(AF757,1))*S757,0)</f>
        <v>0</v>
      </c>
      <c r="AH757" s="455">
        <f>IF($AG757&gt;0,VLOOKUP($J757,Ruimtegroepen[],3,FALSE)*VLOOKUP($L757,Vloersoorten[],3,FALSE)*VLOOKUP($AF757,Frequenties[],3,FALSE)*VLOOKUP(#REF!,Locaties[],3,FALSE),0)</f>
        <v>0</v>
      </c>
      <c r="AI757" s="434">
        <f>Ruimtestaat[[#This Row],[Uitvoeringen weekend]]*Ruimtestaat[[#This Row],[Oppervlak (netto)]]</f>
        <v>0</v>
      </c>
      <c r="AJ757" s="434">
        <f>IF(AH757&gt;0,Ruimtestaat[[#This Row],[Prest. (m2 /jaar) weekend]]/Ruimtestaat[[#This Row],[Norm (m2/uur) weekend]],0)</f>
        <v>0</v>
      </c>
      <c r="AK757" s="444">
        <f>Ruimtestaat[[#This Row],[uren / jaar weekend]]*Tariefsopbouw!$D$40</f>
        <v>0</v>
      </c>
      <c r="AL757" s="441">
        <f>Ruimtestaat[[#This Row],[Prest. (m2 /jaar) weekend]]+Ruimtestaat[[#This Row],[Prest. (m2 /jaar) werkdagen]]</f>
        <v>0</v>
      </c>
      <c r="AM757" s="441">
        <f>Ruimtestaat[[#This Row],[uren / jaar weekend]]+Ruimtestaat[[#This Row],[uren / jaar werkdagen]]</f>
        <v>0</v>
      </c>
      <c r="AN757" s="446">
        <f>Ruimtestaat[[#This Row],[kosten / jaar weekend]]+Ruimtestaat[[#This Row],[kosten / jaar werkdagen]]</f>
        <v>0</v>
      </c>
      <c r="AO757" s="446"/>
      <c r="AP757" s="446" t="str">
        <f>IF(Ruimtestaat[[#This Row],[Frequentie werkdagen]]="","",_xlfn.CONCAT(Ruimtestaat[[#This Row],[Ruimte code]],"-",Ruimtestaat[[#This Row],[Frequentie werkdagen]]," ",Ruimtestaat[[#This Row],[Vloer code]]))</f>
        <v/>
      </c>
      <c r="AQ757" s="448" t="str">
        <f>_xlfn.IFNA(VLOOKUP($AP757,Programma!$F$3:$G$1101,2,0),"")</f>
        <v/>
      </c>
      <c r="AR757" s="448" t="str">
        <f>_xlfn.IFNA(VLOOKUP($AP757,Programma!$F$3:$H$1101,3,0),"")</f>
        <v/>
      </c>
      <c r="AS757" s="448" t="str">
        <f>_xlfn.IFNA(VLOOKUP($AP757,Programma!$F$3:$I$1101,4,0),"")</f>
        <v/>
      </c>
      <c r="AT757" s="448" t="str">
        <f>_xlfn.IFNA(VLOOKUP($AP757,Programma!$F$3:$J$1101,5,0),"")</f>
        <v/>
      </c>
      <c r="AU757" s="448" t="str">
        <f>_xlfn.IFNA(VLOOKUP($AP757,Programma!$F$3:$K$1101,6,0),"")</f>
        <v/>
      </c>
      <c r="AV757" s="448" t="str">
        <f>_xlfn.IFNA(VLOOKUP($AP757,Programma!$F$3:$L$1101,7,0),"")</f>
        <v/>
      </c>
      <c r="AW757" s="448" t="str">
        <f>_xlfn.IFNA(VLOOKUP($AP757,Programma!$F$3:$M$1101,8,0),"")</f>
        <v/>
      </c>
      <c r="AX757" s="448" t="str">
        <f>_xlfn.IFNA(VLOOKUP($AP757,Programma!$F$3:$N$1101,9,0),"")</f>
        <v/>
      </c>
      <c r="AY757" s="448" t="str">
        <f>_xlfn.IFNA(VLOOKUP($AP757,Programma!$F$3:$O$1101,10,0),"")</f>
        <v/>
      </c>
      <c r="AZ757" s="448" t="str">
        <f>_xlfn.IFNA(VLOOKUP($AP757,Programma!$F$3:$P$1101,11,0),"")</f>
        <v/>
      </c>
      <c r="BA757" s="448" t="str">
        <f>_xlfn.IFNA(VLOOKUP($AP757,Programma!$F$3:$Q$1101,12,0),"")</f>
        <v/>
      </c>
      <c r="BB757" s="448" t="str">
        <f>_xlfn.IFNA(VLOOKUP($AP757,Programma!$F$3:$R$1101,13,0),"")</f>
        <v/>
      </c>
      <c r="BC757" s="448" t="str">
        <f>_xlfn.IFNA(VLOOKUP($AP757,Programma!$F$3:$S$1101,14,0),"")</f>
        <v/>
      </c>
      <c r="BD757" s="448" t="str">
        <f>_xlfn.IFNA(VLOOKUP($AP757,Programma!$F$3:$T$1101,15,0),"")</f>
        <v/>
      </c>
      <c r="BE757" s="448" t="str">
        <f>_xlfn.IFNA(VLOOKUP($AP757,Programma!$F$3:$U$1101,16,0),"")</f>
        <v/>
      </c>
      <c r="BF757" s="448" t="str">
        <f>_xlfn.IFNA(VLOOKUP($AP757,Programma!$F$3:$V$1101,17,0),"")</f>
        <v/>
      </c>
      <c r="BG757" s="448" t="str">
        <f>_xlfn.IFNA(VLOOKUP($AP757,Programma!$F$3:$W$1101,18,0),"")</f>
        <v/>
      </c>
      <c r="BH757" s="448" t="str">
        <f>_xlfn.IFNA(VLOOKUP($AP757,Programma!$F$3:$X$1101,19,0),"")</f>
        <v/>
      </c>
      <c r="BI757" s="448" t="str">
        <f>_xlfn.IFNA(VLOOKUP($AP757,Programma!$F$3:$Y$1101,20,0),"")</f>
        <v/>
      </c>
      <c r="BJ757" s="449"/>
      <c r="BK757" s="446" t="str">
        <f>IF(Ruimtestaat[[#This Row],[Frequentie weekend]]="","",_xlfn.CONCAT(Ruimtestaat[[#This Row],[Ruimte code]],"-",Ruimtestaat[[#This Row],[Frequentie weekend]]," ",Ruimtestaat[[#This Row],[Vloer code]]))</f>
        <v/>
      </c>
      <c r="BL757" s="448" t="str">
        <f>_xlfn.IFNA(VLOOKUP($BK757,Programma!$F$3:$G$1101,2,0),"")</f>
        <v/>
      </c>
      <c r="BM757" s="448" t="str">
        <f>_xlfn.IFNA(VLOOKUP($BK757,Programma!$F$3:$H$1101,3,0),"")</f>
        <v/>
      </c>
      <c r="BN757" s="448" t="str">
        <f>_xlfn.IFNA(VLOOKUP($BK757,Programma!$F$3:$I$1101,4,0),"")</f>
        <v/>
      </c>
      <c r="BO757" s="448" t="str">
        <f>_xlfn.IFNA(VLOOKUP($BK757,Programma!$F$3:$J$1101,5,0),"")</f>
        <v/>
      </c>
      <c r="BP757" s="448" t="str">
        <f>_xlfn.IFNA(VLOOKUP($BK757,Programma!$F$3:$K$1101,6,0),"")</f>
        <v/>
      </c>
      <c r="BQ757" s="448" t="str">
        <f>_xlfn.IFNA(VLOOKUP($BK757,Programma!$F$3:$L$1101,7,0),"")</f>
        <v/>
      </c>
      <c r="BR757" s="448" t="str">
        <f>_xlfn.IFNA(VLOOKUP($BK757,Programma!$F$3:$M$1101,8,0),"")</f>
        <v/>
      </c>
      <c r="BS757" s="448" t="str">
        <f>_xlfn.IFNA(VLOOKUP($BK757,Programma!$F$3:$N$1101,9,0),"")</f>
        <v/>
      </c>
      <c r="BT757" s="448" t="str">
        <f>_xlfn.IFNA(VLOOKUP($BK757,Programma!$F$3:$O$1101,10,0),"")</f>
        <v/>
      </c>
      <c r="BU757" s="448" t="str">
        <f>_xlfn.IFNA(VLOOKUP($BK757,Programma!$F$3:$P$1101,11,0),"")</f>
        <v/>
      </c>
      <c r="BV757" s="448" t="str">
        <f>_xlfn.IFNA(VLOOKUP($BK757,Programma!$F$3:$Q$1101,12,0),"")</f>
        <v/>
      </c>
      <c r="BW757" s="448" t="str">
        <f>_xlfn.IFNA(VLOOKUP($BK757,Programma!$F$3:$R$1101,13,0),"")</f>
        <v/>
      </c>
      <c r="BX757" s="448" t="str">
        <f>_xlfn.IFNA(VLOOKUP($BK757,Programma!$F$3:$S$1101,14,0),"")</f>
        <v/>
      </c>
      <c r="BY757" s="448" t="str">
        <f>_xlfn.IFNA(VLOOKUP($BK757,Programma!$F$3:$T$1101,15,0),"")</f>
        <v/>
      </c>
      <c r="BZ757" s="448" t="str">
        <f>_xlfn.IFNA(VLOOKUP($BK757,Programma!$F$3:$U$1101,16,0),"")</f>
        <v/>
      </c>
      <c r="CA757" s="448" t="str">
        <f>_xlfn.IFNA(VLOOKUP($BK757,Programma!$F$3:$V$1101,17,0),"")</f>
        <v/>
      </c>
      <c r="CB757" s="448" t="str">
        <f>_xlfn.IFNA(VLOOKUP($BK757,Programma!$F$3:$W$1101,18,0),"")</f>
        <v/>
      </c>
      <c r="CC757" s="448" t="str">
        <f>_xlfn.IFNA(VLOOKUP($BK757,Programma!$F$3:$X$1101,19,0),"")</f>
        <v/>
      </c>
      <c r="CD757" s="448" t="str">
        <f>_xlfn.IFNA(VLOOKUP($BK757,Programma!$F$3:$Y$1101,20,0),"")</f>
        <v/>
      </c>
    </row>
    <row r="758" spans="1:82" ht="15" customHeight="1">
      <c r="A758" s="327">
        <v>15</v>
      </c>
      <c r="B758" s="435" t="str">
        <f>VLOOKUP(Ruimtestaat[[#This Row],[Code]],Locaties[[Code]:[Locatie]],2,FALSE)</f>
        <v>IKC  Da Vinci</v>
      </c>
      <c r="C758" s="435" t="str">
        <f>VLOOKUP(Ruimtestaat[[#This Row],[Code]],Locaties[[#All],[Code]:[Adres]],4,FALSE)</f>
        <v>Spitsbergen 17</v>
      </c>
      <c r="D758" s="435" t="str">
        <f>VLOOKUP(Ruimtestaat[[#This Row],[Code]],Locaties[[#All],[Code]:[Postcode]],5,FALSE)</f>
        <v>2721 GP</v>
      </c>
      <c r="E758" s="435" t="str">
        <f>VLOOKUP(Ruimtestaat[[#This Row],[Code]],Locaties[#All],6,FALSE)</f>
        <v>Zoetermeer</v>
      </c>
      <c r="F758" s="330" t="s">
        <v>2154</v>
      </c>
      <c r="I758" s="450" t="s">
        <v>2003</v>
      </c>
      <c r="J758" s="330">
        <v>10</v>
      </c>
      <c r="K758" s="450" t="str">
        <f>VLOOKUP(Ruimtestaat[[#This Row],[Ruimte code]],Ruimtegroepen[[#All],[Code]:[Ruimte omschrijving]],2,FALSE)</f>
        <v>Trappenhuizen/lift</v>
      </c>
      <c r="L758" s="434" t="s">
        <v>100</v>
      </c>
      <c r="M758" s="437" t="s">
        <v>1759</v>
      </c>
      <c r="N758" s="439">
        <v>10</v>
      </c>
      <c r="O758" s="439"/>
      <c r="P758" s="439"/>
      <c r="Q758" s="439"/>
      <c r="R758" s="440" t="str">
        <f>VLOOKUP(Ruimtestaat[[#This Row],[Ruimte code]],Ruimtegroepen[],4,FALSE)</f>
        <v>Ve</v>
      </c>
      <c r="S758" s="434">
        <v>41</v>
      </c>
      <c r="T758" s="434" t="s">
        <v>2</v>
      </c>
      <c r="U758" s="453">
        <f>IF(S758&gt;0,IF(RIGHT(Ruimtestaat[[#This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58" s="434">
        <f>IF(U758&gt;0,VLOOKUP($J758,Ruimtegroepen[],3,FALSE)*VLOOKUP($L758,Vloersoorten[],3,FALSE)*VLOOKUP($T758,Frequenties[],3,FALSE)*VLOOKUP($A758,Locaties[],3,FALSE),0)</f>
        <v>0</v>
      </c>
      <c r="W758" s="434">
        <f>Ruimtestaat[[#This Row],[Uitvoeringen werkdagen]]*Ruimtestaat[[#This Row],[Oppervlak (netto)]]</f>
        <v>2050</v>
      </c>
      <c r="X758" s="441">
        <f>IF(V758&gt;0,Ruimtestaat[[#This Row],[Prest. (m2 /jaar) werkdagen]]/Ruimtestaat[[#This Row],[Norm (m2/uur) werkdagen]],0)</f>
        <v>0</v>
      </c>
      <c r="Y758" s="442">
        <f>Ruimtestaat[[#This Row],[Uitvoeringen werkdagen]]*Ruimtestaat[[#This Row],[Gedeeltelijk]]</f>
        <v>0</v>
      </c>
      <c r="Z758" s="443" t="e">
        <f>IF(U758&gt;0,Ruimtestaat[[#This Row],[Prest. (m2 / jaar) werkdagen gedeeld]]/Ruimtestaat[[#This Row],[Norm (m2/uur) werkdagen]],0)</f>
        <v>#DIV/0!</v>
      </c>
      <c r="AA758" s="441" t="e">
        <f>Ruimtestaat[[#This Row],[uren / jaar werkdagen gedeeld]]*Tariefsopbouw!$E$35</f>
        <v>#DIV/0!</v>
      </c>
      <c r="AB758" s="441">
        <f>Ruimtestaat[[#This Row],[Uitvoeringen werkdagen]]*Ruimtestaat[[#This Row],[BSO]]</f>
        <v>0</v>
      </c>
      <c r="AC758" s="443" t="e">
        <f>IF(U758&gt;0,Ruimtestaat[[#This Row],[Prest. (m2 / jaar) werkdagen BSO]]/Ruimtestaat[[#This Row],[Norm (m2/uur) werkdagen]],0)</f>
        <v>#DIV/0!</v>
      </c>
      <c r="AD758" s="443" t="e">
        <f>Ruimtestaat[[#This Row],[uren / jaar werkdagen BSO]]*Tariefsopbouw!$E$35</f>
        <v>#DIV/0!</v>
      </c>
      <c r="AE758" s="444">
        <f>Ruimtestaat[[#This Row],[uren / jaar werkdagen]]*Tariefsopbouw!$E$35</f>
        <v>0</v>
      </c>
      <c r="AF758" s="454"/>
      <c r="AG758" s="455">
        <f>IF(Ruimtestaat[[#This Row],[Frequentie weekend]]&gt;0,VALUE(LEFT(AF758,1))*S758,0)</f>
        <v>0</v>
      </c>
      <c r="AH758" s="455">
        <f>IF($AG758&gt;0,VLOOKUP($J758,Ruimtegroepen[],3,FALSE)*VLOOKUP($L758,Vloersoorten[],3,FALSE)*VLOOKUP($AF758,Frequenties[],3,FALSE)*VLOOKUP(#REF!,Locaties[],3,FALSE),0)</f>
        <v>0</v>
      </c>
      <c r="AI758" s="434">
        <f>Ruimtestaat[[#This Row],[Uitvoeringen weekend]]*Ruimtestaat[[#This Row],[Oppervlak (netto)]]</f>
        <v>0</v>
      </c>
      <c r="AJ758" s="434">
        <f>IF(AH758&gt;0,Ruimtestaat[[#This Row],[Prest. (m2 /jaar) weekend]]/Ruimtestaat[[#This Row],[Norm (m2/uur) weekend]],0)</f>
        <v>0</v>
      </c>
      <c r="AK758" s="444">
        <f>Ruimtestaat[[#This Row],[uren / jaar weekend]]*Tariefsopbouw!$D$40</f>
        <v>0</v>
      </c>
      <c r="AL758" s="441">
        <f>Ruimtestaat[[#This Row],[Prest. (m2 /jaar) weekend]]+Ruimtestaat[[#This Row],[Prest. (m2 /jaar) werkdagen]]</f>
        <v>2050</v>
      </c>
      <c r="AM758" s="441">
        <f>Ruimtestaat[[#This Row],[uren / jaar weekend]]+Ruimtestaat[[#This Row],[uren / jaar werkdagen]]</f>
        <v>0</v>
      </c>
      <c r="AN758" s="446">
        <f>Ruimtestaat[[#This Row],[kosten / jaar weekend]]+Ruimtestaat[[#This Row],[kosten / jaar werkdagen]]</f>
        <v>0</v>
      </c>
      <c r="AO758" s="446"/>
      <c r="AP758" s="446" t="str">
        <f>IF(Ruimtestaat[[#This Row],[Frequentie werkdagen]]="","",_xlfn.CONCAT(Ruimtestaat[[#This Row],[Ruimte code]],"-",Ruimtestaat[[#This Row],[Frequentie werkdagen]]," ",Ruimtestaat[[#This Row],[Vloer code]]))</f>
        <v>10-5w L</v>
      </c>
      <c r="AQ758" s="448" t="str">
        <f>_xlfn.IFNA(VLOOKUP($AP758,Programma!$F$3:$G$1101,2,0),"")</f>
        <v>_</v>
      </c>
      <c r="AR758" s="448" t="str">
        <f>_xlfn.IFNA(VLOOKUP($AP758,Programma!$F$3:$H$1101,3,0),"")</f>
        <v>_</v>
      </c>
      <c r="AS758" s="448" t="str">
        <f>_xlfn.IFNA(VLOOKUP($AP758,Programma!$F$3:$I$1101,4,0),"")</f>
        <v>4w</v>
      </c>
      <c r="AT758" s="448" t="str">
        <f>_xlfn.IFNA(VLOOKUP($AP758,Programma!$F$3:$J$1101,5,0),"")</f>
        <v>1w</v>
      </c>
      <c r="AU758" s="448" t="str">
        <f>_xlfn.IFNA(VLOOKUP($AP758,Programma!$F$3:$K$1101,6,0),"")</f>
        <v>_</v>
      </c>
      <c r="AV758" s="448" t="str">
        <f>_xlfn.IFNA(VLOOKUP($AP758,Programma!$F$3:$L$1101,7,0),"")</f>
        <v>_</v>
      </c>
      <c r="AW758" s="448" t="str">
        <f>_xlfn.IFNA(VLOOKUP($AP758,Programma!$F$3:$M$1101,8,0),"")</f>
        <v>_</v>
      </c>
      <c r="AX758" s="448" t="str">
        <f>_xlfn.IFNA(VLOOKUP($AP758,Programma!$F$3:$N$1101,9,0),"")</f>
        <v>_</v>
      </c>
      <c r="AY758" s="448" t="str">
        <f>_xlfn.IFNA(VLOOKUP($AP758,Programma!$F$3:$O$1101,10,0),"")</f>
        <v>5w</v>
      </c>
      <c r="AZ758" s="448" t="str">
        <f>_xlfn.IFNA(VLOOKUP($AP758,Programma!$F$3:$P$1101,11,0),"")</f>
        <v>5w</v>
      </c>
      <c r="BA758" s="448" t="str">
        <f>_xlfn.IFNA(VLOOKUP($AP758,Programma!$F$3:$Q$1101,12,0),"")</f>
        <v>1w</v>
      </c>
      <c r="BB758" s="448" t="str">
        <f>_xlfn.IFNA(VLOOKUP($AP758,Programma!$F$3:$R$1101,13,0),"")</f>
        <v>1w</v>
      </c>
      <c r="BC758" s="448" t="str">
        <f>_xlfn.IFNA(VLOOKUP($AP758,Programma!$F$3:$S$1101,14,0),"")</f>
        <v>1m</v>
      </c>
      <c r="BD758" s="448" t="str">
        <f>_xlfn.IFNA(VLOOKUP($AP758,Programma!$F$3:$T$1101,15,0),"")</f>
        <v>2j</v>
      </c>
      <c r="BE758" s="448" t="str">
        <f>_xlfn.IFNA(VLOOKUP($AP758,Programma!$F$3:$U$1101,16,0),"")</f>
        <v>1j</v>
      </c>
      <c r="BF758" s="448" t="str">
        <f>_xlfn.IFNA(VLOOKUP($AP758,Programma!$F$3:$V$1101,17,0),"")</f>
        <v>_</v>
      </c>
      <c r="BG758" s="448" t="str">
        <f>_xlfn.IFNA(VLOOKUP($AP758,Programma!$F$3:$W$1101,18,0),"")</f>
        <v>_</v>
      </c>
      <c r="BH758" s="448" t="str">
        <f>_xlfn.IFNA(VLOOKUP($AP758,Programma!$F$3:$X$1101,19,0),"")</f>
        <v>_</v>
      </c>
      <c r="BI758" s="448" t="str">
        <f>_xlfn.IFNA(VLOOKUP($AP758,Programma!$F$3:$Y$1101,20,0),"")</f>
        <v>_</v>
      </c>
      <c r="BJ758" s="449"/>
      <c r="BK758" s="446" t="str">
        <f>IF(Ruimtestaat[[#This Row],[Frequentie weekend]]="","",_xlfn.CONCAT(Ruimtestaat[[#This Row],[Ruimte code]],"-",Ruimtestaat[[#This Row],[Frequentie weekend]]," ",Ruimtestaat[[#This Row],[Vloer code]]))</f>
        <v/>
      </c>
      <c r="BL758" s="448" t="str">
        <f>_xlfn.IFNA(VLOOKUP($BK758,Programma!$F$3:$G$1101,2,0),"")</f>
        <v/>
      </c>
      <c r="BM758" s="448" t="str">
        <f>_xlfn.IFNA(VLOOKUP($BK758,Programma!$F$3:$H$1101,3,0),"")</f>
        <v/>
      </c>
      <c r="BN758" s="448" t="str">
        <f>_xlfn.IFNA(VLOOKUP($BK758,Programma!$F$3:$I$1101,4,0),"")</f>
        <v/>
      </c>
      <c r="BO758" s="448" t="str">
        <f>_xlfn.IFNA(VLOOKUP($BK758,Programma!$F$3:$J$1101,5,0),"")</f>
        <v/>
      </c>
      <c r="BP758" s="448" t="str">
        <f>_xlfn.IFNA(VLOOKUP($BK758,Programma!$F$3:$K$1101,6,0),"")</f>
        <v/>
      </c>
      <c r="BQ758" s="448" t="str">
        <f>_xlfn.IFNA(VLOOKUP($BK758,Programma!$F$3:$L$1101,7,0),"")</f>
        <v/>
      </c>
      <c r="BR758" s="448" t="str">
        <f>_xlfn.IFNA(VLOOKUP($BK758,Programma!$F$3:$M$1101,8,0),"")</f>
        <v/>
      </c>
      <c r="BS758" s="448" t="str">
        <f>_xlfn.IFNA(VLOOKUP($BK758,Programma!$F$3:$N$1101,9,0),"")</f>
        <v/>
      </c>
      <c r="BT758" s="448" t="str">
        <f>_xlfn.IFNA(VLOOKUP($BK758,Programma!$F$3:$O$1101,10,0),"")</f>
        <v/>
      </c>
      <c r="BU758" s="448" t="str">
        <f>_xlfn.IFNA(VLOOKUP($BK758,Programma!$F$3:$P$1101,11,0),"")</f>
        <v/>
      </c>
      <c r="BV758" s="448" t="str">
        <f>_xlfn.IFNA(VLOOKUP($BK758,Programma!$F$3:$Q$1101,12,0),"")</f>
        <v/>
      </c>
      <c r="BW758" s="448" t="str">
        <f>_xlfn.IFNA(VLOOKUP($BK758,Programma!$F$3:$R$1101,13,0),"")</f>
        <v/>
      </c>
      <c r="BX758" s="448" t="str">
        <f>_xlfn.IFNA(VLOOKUP($BK758,Programma!$F$3:$S$1101,14,0),"")</f>
        <v/>
      </c>
      <c r="BY758" s="448" t="str">
        <f>_xlfn.IFNA(VLOOKUP($BK758,Programma!$F$3:$T$1101,15,0),"")</f>
        <v/>
      </c>
      <c r="BZ758" s="448" t="str">
        <f>_xlfn.IFNA(VLOOKUP($BK758,Programma!$F$3:$U$1101,16,0),"")</f>
        <v/>
      </c>
      <c r="CA758" s="448" t="str">
        <f>_xlfn.IFNA(VLOOKUP($BK758,Programma!$F$3:$V$1101,17,0),"")</f>
        <v/>
      </c>
      <c r="CB758" s="448" t="str">
        <f>_xlfn.IFNA(VLOOKUP($BK758,Programma!$F$3:$W$1101,18,0),"")</f>
        <v/>
      </c>
      <c r="CC758" s="448" t="str">
        <f>_xlfn.IFNA(VLOOKUP($BK758,Programma!$F$3:$X$1101,19,0),"")</f>
        <v/>
      </c>
      <c r="CD758" s="448" t="str">
        <f>_xlfn.IFNA(VLOOKUP($BK758,Programma!$F$3:$Y$1101,20,0),"")</f>
        <v/>
      </c>
    </row>
    <row r="759" spans="1:82" ht="15" customHeight="1">
      <c r="A759" s="327">
        <v>15</v>
      </c>
      <c r="B759" s="435" t="str">
        <f>VLOOKUP(Ruimtestaat[[#This Row],[Code]],Locaties[[Code]:[Locatie]],2,FALSE)</f>
        <v>IKC  Da Vinci</v>
      </c>
      <c r="C759" s="435" t="str">
        <f>VLOOKUP(Ruimtestaat[[#This Row],[Code]],Locaties[[#All],[Code]:[Adres]],4,FALSE)</f>
        <v>Spitsbergen 17</v>
      </c>
      <c r="D759" s="435" t="str">
        <f>VLOOKUP(Ruimtestaat[[#This Row],[Code]],Locaties[[#All],[Code]:[Postcode]],5,FALSE)</f>
        <v>2721 GP</v>
      </c>
      <c r="E759" s="435" t="str">
        <f>VLOOKUP(Ruimtestaat[[#This Row],[Code]],Locaties[#All],6,FALSE)</f>
        <v>Zoetermeer</v>
      </c>
      <c r="F759" s="330" t="s">
        <v>2154</v>
      </c>
      <c r="I759" s="450" t="s">
        <v>2003</v>
      </c>
      <c r="J759" s="330">
        <v>10</v>
      </c>
      <c r="K759" s="450" t="str">
        <f>VLOOKUP(Ruimtestaat[[#This Row],[Ruimte code]],Ruimtegroepen[[#All],[Code]:[Ruimte omschrijving]],2,FALSE)</f>
        <v>Trappenhuizen/lift</v>
      </c>
      <c r="L759" s="434" t="s">
        <v>100</v>
      </c>
      <c r="M759" s="437" t="s">
        <v>1759</v>
      </c>
      <c r="N759" s="439">
        <v>10</v>
      </c>
      <c r="O759" s="439"/>
      <c r="P759" s="439"/>
      <c r="Q759" s="439"/>
      <c r="R759" s="440" t="str">
        <f>VLOOKUP(Ruimtestaat[[#This Row],[Ruimte code]],Ruimtegroepen[],4,FALSE)</f>
        <v>Ve</v>
      </c>
      <c r="S759" s="434">
        <v>41</v>
      </c>
      <c r="T759" s="434" t="s">
        <v>2</v>
      </c>
      <c r="U759" s="453">
        <f>IF(S759&gt;0,IF(RIGHT(Ruimtestaat[[#This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59" s="434">
        <f>IF(U759&gt;0,VLOOKUP($J759,Ruimtegroepen[],3,FALSE)*VLOOKUP($L759,Vloersoorten[],3,FALSE)*VLOOKUP($T759,Frequenties[],3,FALSE)*VLOOKUP($A759,Locaties[],3,FALSE),0)</f>
        <v>0</v>
      </c>
      <c r="W759" s="434">
        <f>Ruimtestaat[[#This Row],[Uitvoeringen werkdagen]]*Ruimtestaat[[#This Row],[Oppervlak (netto)]]</f>
        <v>2050</v>
      </c>
      <c r="X759" s="441">
        <f>IF(V759&gt;0,Ruimtestaat[[#This Row],[Prest. (m2 /jaar) werkdagen]]/Ruimtestaat[[#This Row],[Norm (m2/uur) werkdagen]],0)</f>
        <v>0</v>
      </c>
      <c r="Y759" s="442">
        <f>Ruimtestaat[[#This Row],[Uitvoeringen werkdagen]]*Ruimtestaat[[#This Row],[Gedeeltelijk]]</f>
        <v>0</v>
      </c>
      <c r="Z759" s="443" t="e">
        <f>IF(U759&gt;0,Ruimtestaat[[#This Row],[Prest. (m2 / jaar) werkdagen gedeeld]]/Ruimtestaat[[#This Row],[Norm (m2/uur) werkdagen]],0)</f>
        <v>#DIV/0!</v>
      </c>
      <c r="AA759" s="441" t="e">
        <f>Ruimtestaat[[#This Row],[uren / jaar werkdagen gedeeld]]*Tariefsopbouw!$E$35</f>
        <v>#DIV/0!</v>
      </c>
      <c r="AB759" s="441">
        <f>Ruimtestaat[[#This Row],[Uitvoeringen werkdagen]]*Ruimtestaat[[#This Row],[BSO]]</f>
        <v>0</v>
      </c>
      <c r="AC759" s="443" t="e">
        <f>IF(U759&gt;0,Ruimtestaat[[#This Row],[Prest. (m2 / jaar) werkdagen BSO]]/Ruimtestaat[[#This Row],[Norm (m2/uur) werkdagen]],0)</f>
        <v>#DIV/0!</v>
      </c>
      <c r="AD759" s="443" t="e">
        <f>Ruimtestaat[[#This Row],[uren / jaar werkdagen BSO]]*Tariefsopbouw!$E$35</f>
        <v>#DIV/0!</v>
      </c>
      <c r="AE759" s="444">
        <f>Ruimtestaat[[#This Row],[uren / jaar werkdagen]]*Tariefsopbouw!$E$35</f>
        <v>0</v>
      </c>
      <c r="AF759" s="454"/>
      <c r="AG759" s="455">
        <f>IF(Ruimtestaat[[#This Row],[Frequentie weekend]]&gt;0,VALUE(LEFT(AF759,1))*S759,0)</f>
        <v>0</v>
      </c>
      <c r="AH759" s="455">
        <f>IF($AG759&gt;0,VLOOKUP($J759,Ruimtegroepen[],3,FALSE)*VLOOKUP($L759,Vloersoorten[],3,FALSE)*VLOOKUP($AF759,Frequenties[],3,FALSE)*VLOOKUP(#REF!,Locaties[],3,FALSE),0)</f>
        <v>0</v>
      </c>
      <c r="AI759" s="434">
        <f>Ruimtestaat[[#This Row],[Uitvoeringen weekend]]*Ruimtestaat[[#This Row],[Oppervlak (netto)]]</f>
        <v>0</v>
      </c>
      <c r="AJ759" s="434">
        <f>IF(AH759&gt;0,Ruimtestaat[[#This Row],[Prest. (m2 /jaar) weekend]]/Ruimtestaat[[#This Row],[Norm (m2/uur) weekend]],0)</f>
        <v>0</v>
      </c>
      <c r="AK759" s="444">
        <f>Ruimtestaat[[#This Row],[uren / jaar weekend]]*Tariefsopbouw!$D$40</f>
        <v>0</v>
      </c>
      <c r="AL759" s="441">
        <f>Ruimtestaat[[#This Row],[Prest. (m2 /jaar) weekend]]+Ruimtestaat[[#This Row],[Prest. (m2 /jaar) werkdagen]]</f>
        <v>2050</v>
      </c>
      <c r="AM759" s="441">
        <f>Ruimtestaat[[#This Row],[uren / jaar weekend]]+Ruimtestaat[[#This Row],[uren / jaar werkdagen]]</f>
        <v>0</v>
      </c>
      <c r="AN759" s="446">
        <f>Ruimtestaat[[#This Row],[kosten / jaar weekend]]+Ruimtestaat[[#This Row],[kosten / jaar werkdagen]]</f>
        <v>0</v>
      </c>
      <c r="AO759" s="446"/>
      <c r="AP759" s="446" t="str">
        <f>IF(Ruimtestaat[[#This Row],[Frequentie werkdagen]]="","",_xlfn.CONCAT(Ruimtestaat[[#This Row],[Ruimte code]],"-",Ruimtestaat[[#This Row],[Frequentie werkdagen]]," ",Ruimtestaat[[#This Row],[Vloer code]]))</f>
        <v>10-5w L</v>
      </c>
      <c r="AQ759" s="448" t="str">
        <f>_xlfn.IFNA(VLOOKUP($AP759,Programma!$F$3:$G$1101,2,0),"")</f>
        <v>_</v>
      </c>
      <c r="AR759" s="448" t="str">
        <f>_xlfn.IFNA(VLOOKUP($AP759,Programma!$F$3:$H$1101,3,0),"")</f>
        <v>_</v>
      </c>
      <c r="AS759" s="448" t="str">
        <f>_xlfn.IFNA(VLOOKUP($AP759,Programma!$F$3:$I$1101,4,0),"")</f>
        <v>4w</v>
      </c>
      <c r="AT759" s="448" t="str">
        <f>_xlfn.IFNA(VLOOKUP($AP759,Programma!$F$3:$J$1101,5,0),"")</f>
        <v>1w</v>
      </c>
      <c r="AU759" s="448" t="str">
        <f>_xlfn.IFNA(VLOOKUP($AP759,Programma!$F$3:$K$1101,6,0),"")</f>
        <v>_</v>
      </c>
      <c r="AV759" s="448" t="str">
        <f>_xlfn.IFNA(VLOOKUP($AP759,Programma!$F$3:$L$1101,7,0),"")</f>
        <v>_</v>
      </c>
      <c r="AW759" s="448" t="str">
        <f>_xlfn.IFNA(VLOOKUP($AP759,Programma!$F$3:$M$1101,8,0),"")</f>
        <v>_</v>
      </c>
      <c r="AX759" s="448" t="str">
        <f>_xlfn.IFNA(VLOOKUP($AP759,Programma!$F$3:$N$1101,9,0),"")</f>
        <v>_</v>
      </c>
      <c r="AY759" s="448" t="str">
        <f>_xlfn.IFNA(VLOOKUP($AP759,Programma!$F$3:$O$1101,10,0),"")</f>
        <v>5w</v>
      </c>
      <c r="AZ759" s="448" t="str">
        <f>_xlfn.IFNA(VLOOKUP($AP759,Programma!$F$3:$P$1101,11,0),"")</f>
        <v>5w</v>
      </c>
      <c r="BA759" s="448" t="str">
        <f>_xlfn.IFNA(VLOOKUP($AP759,Programma!$F$3:$Q$1101,12,0),"")</f>
        <v>1w</v>
      </c>
      <c r="BB759" s="448" t="str">
        <f>_xlfn.IFNA(VLOOKUP($AP759,Programma!$F$3:$R$1101,13,0),"")</f>
        <v>1w</v>
      </c>
      <c r="BC759" s="448" t="str">
        <f>_xlfn.IFNA(VLOOKUP($AP759,Programma!$F$3:$S$1101,14,0),"")</f>
        <v>1m</v>
      </c>
      <c r="BD759" s="448" t="str">
        <f>_xlfn.IFNA(VLOOKUP($AP759,Programma!$F$3:$T$1101,15,0),"")</f>
        <v>2j</v>
      </c>
      <c r="BE759" s="448" t="str">
        <f>_xlfn.IFNA(VLOOKUP($AP759,Programma!$F$3:$U$1101,16,0),"")</f>
        <v>1j</v>
      </c>
      <c r="BF759" s="448" t="str">
        <f>_xlfn.IFNA(VLOOKUP($AP759,Programma!$F$3:$V$1101,17,0),"")</f>
        <v>_</v>
      </c>
      <c r="BG759" s="448" t="str">
        <f>_xlfn.IFNA(VLOOKUP($AP759,Programma!$F$3:$W$1101,18,0),"")</f>
        <v>_</v>
      </c>
      <c r="BH759" s="448" t="str">
        <f>_xlfn.IFNA(VLOOKUP($AP759,Programma!$F$3:$X$1101,19,0),"")</f>
        <v>_</v>
      </c>
      <c r="BI759" s="448" t="str">
        <f>_xlfn.IFNA(VLOOKUP($AP759,Programma!$F$3:$Y$1101,20,0),"")</f>
        <v>_</v>
      </c>
      <c r="BJ759" s="449"/>
      <c r="BK759" s="446" t="str">
        <f>IF(Ruimtestaat[[#This Row],[Frequentie weekend]]="","",_xlfn.CONCAT(Ruimtestaat[[#This Row],[Ruimte code]],"-",Ruimtestaat[[#This Row],[Frequentie weekend]]," ",Ruimtestaat[[#This Row],[Vloer code]]))</f>
        <v/>
      </c>
      <c r="BL759" s="448" t="str">
        <f>_xlfn.IFNA(VLOOKUP($BK759,Programma!$F$3:$G$1101,2,0),"")</f>
        <v/>
      </c>
      <c r="BM759" s="448" t="str">
        <f>_xlfn.IFNA(VLOOKUP($BK759,Programma!$F$3:$H$1101,3,0),"")</f>
        <v/>
      </c>
      <c r="BN759" s="448" t="str">
        <f>_xlfn.IFNA(VLOOKUP($BK759,Programma!$F$3:$I$1101,4,0),"")</f>
        <v/>
      </c>
      <c r="BO759" s="448" t="str">
        <f>_xlfn.IFNA(VLOOKUP($BK759,Programma!$F$3:$J$1101,5,0),"")</f>
        <v/>
      </c>
      <c r="BP759" s="448" t="str">
        <f>_xlfn.IFNA(VLOOKUP($BK759,Programma!$F$3:$K$1101,6,0),"")</f>
        <v/>
      </c>
      <c r="BQ759" s="448" t="str">
        <f>_xlfn.IFNA(VLOOKUP($BK759,Programma!$F$3:$L$1101,7,0),"")</f>
        <v/>
      </c>
      <c r="BR759" s="448" t="str">
        <f>_xlfn.IFNA(VLOOKUP($BK759,Programma!$F$3:$M$1101,8,0),"")</f>
        <v/>
      </c>
      <c r="BS759" s="448" t="str">
        <f>_xlfn.IFNA(VLOOKUP($BK759,Programma!$F$3:$N$1101,9,0),"")</f>
        <v/>
      </c>
      <c r="BT759" s="448" t="str">
        <f>_xlfn.IFNA(VLOOKUP($BK759,Programma!$F$3:$O$1101,10,0),"")</f>
        <v/>
      </c>
      <c r="BU759" s="448" t="str">
        <f>_xlfn.IFNA(VLOOKUP($BK759,Programma!$F$3:$P$1101,11,0),"")</f>
        <v/>
      </c>
      <c r="BV759" s="448" t="str">
        <f>_xlfn.IFNA(VLOOKUP($BK759,Programma!$F$3:$Q$1101,12,0),"")</f>
        <v/>
      </c>
      <c r="BW759" s="448" t="str">
        <f>_xlfn.IFNA(VLOOKUP($BK759,Programma!$F$3:$R$1101,13,0),"")</f>
        <v/>
      </c>
      <c r="BX759" s="448" t="str">
        <f>_xlfn.IFNA(VLOOKUP($BK759,Programma!$F$3:$S$1101,14,0),"")</f>
        <v/>
      </c>
      <c r="BY759" s="448" t="str">
        <f>_xlfn.IFNA(VLOOKUP($BK759,Programma!$F$3:$T$1101,15,0),"")</f>
        <v/>
      </c>
      <c r="BZ759" s="448" t="str">
        <f>_xlfn.IFNA(VLOOKUP($BK759,Programma!$F$3:$U$1101,16,0),"")</f>
        <v/>
      </c>
      <c r="CA759" s="448" t="str">
        <f>_xlfn.IFNA(VLOOKUP($BK759,Programma!$F$3:$V$1101,17,0),"")</f>
        <v/>
      </c>
      <c r="CB759" s="448" t="str">
        <f>_xlfn.IFNA(VLOOKUP($BK759,Programma!$F$3:$W$1101,18,0),"")</f>
        <v/>
      </c>
      <c r="CC759" s="448" t="str">
        <f>_xlfn.IFNA(VLOOKUP($BK759,Programma!$F$3:$X$1101,19,0),"")</f>
        <v/>
      </c>
      <c r="CD759" s="448" t="str">
        <f>_xlfn.IFNA(VLOOKUP($BK759,Programma!$F$3:$Y$1101,20,0),"")</f>
        <v/>
      </c>
    </row>
    <row r="760" spans="1:82" ht="15" customHeight="1">
      <c r="A760" s="327">
        <v>15</v>
      </c>
      <c r="B760" s="435" t="str">
        <f>VLOOKUP(Ruimtestaat[[#This Row],[Code]],Locaties[[Code]:[Locatie]],2,FALSE)</f>
        <v>IKC  Da Vinci</v>
      </c>
      <c r="C760" s="435" t="str">
        <f>VLOOKUP(Ruimtestaat[[#This Row],[Code]],Locaties[[#All],[Code]:[Adres]],4,FALSE)</f>
        <v>Spitsbergen 17</v>
      </c>
      <c r="D760" s="435" t="str">
        <f>VLOOKUP(Ruimtestaat[[#This Row],[Code]],Locaties[[#All],[Code]:[Postcode]],5,FALSE)</f>
        <v>2721 GP</v>
      </c>
      <c r="E760" s="435" t="str">
        <f>VLOOKUP(Ruimtestaat[[#This Row],[Code]],Locaties[#All],6,FALSE)</f>
        <v>Zoetermeer</v>
      </c>
      <c r="F760" s="330" t="s">
        <v>2154</v>
      </c>
      <c r="I760" s="450" t="s">
        <v>2003</v>
      </c>
      <c r="J760" s="330">
        <v>10</v>
      </c>
      <c r="K760" s="450" t="str">
        <f>VLOOKUP(Ruimtestaat[[#This Row],[Ruimte code]],Ruimtegroepen[[#All],[Code]:[Ruimte omschrijving]],2,FALSE)</f>
        <v>Trappenhuizen/lift</v>
      </c>
      <c r="L760" s="434" t="s">
        <v>100</v>
      </c>
      <c r="M760" s="437" t="s">
        <v>1759</v>
      </c>
      <c r="N760" s="439">
        <v>10</v>
      </c>
      <c r="O760" s="439"/>
      <c r="P760" s="439"/>
      <c r="Q760" s="439"/>
      <c r="R760" s="440" t="str">
        <f>VLOOKUP(Ruimtestaat[[#This Row],[Ruimte code]],Ruimtegroepen[],4,FALSE)</f>
        <v>Ve</v>
      </c>
      <c r="S760" s="434">
        <v>41</v>
      </c>
      <c r="T760" s="434" t="s">
        <v>2</v>
      </c>
      <c r="U760" s="453">
        <f>IF(S760&gt;0,IF(RIGHT(Ruimtestaat[[#This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60" s="434">
        <f>IF(U760&gt;0,VLOOKUP($J760,Ruimtegroepen[],3,FALSE)*VLOOKUP($L760,Vloersoorten[],3,FALSE)*VLOOKUP($T760,Frequenties[],3,FALSE)*VLOOKUP($A760,Locaties[],3,FALSE),0)</f>
        <v>0</v>
      </c>
      <c r="W760" s="434">
        <f>Ruimtestaat[[#This Row],[Uitvoeringen werkdagen]]*Ruimtestaat[[#This Row],[Oppervlak (netto)]]</f>
        <v>2050</v>
      </c>
      <c r="X760" s="441">
        <f>IF(V760&gt;0,Ruimtestaat[[#This Row],[Prest. (m2 /jaar) werkdagen]]/Ruimtestaat[[#This Row],[Norm (m2/uur) werkdagen]],0)</f>
        <v>0</v>
      </c>
      <c r="Y760" s="442">
        <f>Ruimtestaat[[#This Row],[Uitvoeringen werkdagen]]*Ruimtestaat[[#This Row],[Gedeeltelijk]]</f>
        <v>0</v>
      </c>
      <c r="Z760" s="443" t="e">
        <f>IF(U760&gt;0,Ruimtestaat[[#This Row],[Prest. (m2 / jaar) werkdagen gedeeld]]/Ruimtestaat[[#This Row],[Norm (m2/uur) werkdagen]],0)</f>
        <v>#DIV/0!</v>
      </c>
      <c r="AA760" s="441" t="e">
        <f>Ruimtestaat[[#This Row],[uren / jaar werkdagen gedeeld]]*Tariefsopbouw!$E$35</f>
        <v>#DIV/0!</v>
      </c>
      <c r="AB760" s="441">
        <f>Ruimtestaat[[#This Row],[Uitvoeringen werkdagen]]*Ruimtestaat[[#This Row],[BSO]]</f>
        <v>0</v>
      </c>
      <c r="AC760" s="443" t="e">
        <f>IF(U760&gt;0,Ruimtestaat[[#This Row],[Prest. (m2 / jaar) werkdagen BSO]]/Ruimtestaat[[#This Row],[Norm (m2/uur) werkdagen]],0)</f>
        <v>#DIV/0!</v>
      </c>
      <c r="AD760" s="443" t="e">
        <f>Ruimtestaat[[#This Row],[uren / jaar werkdagen BSO]]*Tariefsopbouw!$E$35</f>
        <v>#DIV/0!</v>
      </c>
      <c r="AE760" s="444">
        <f>Ruimtestaat[[#This Row],[uren / jaar werkdagen]]*Tariefsopbouw!$E$35</f>
        <v>0</v>
      </c>
      <c r="AF760" s="454"/>
      <c r="AG760" s="455">
        <f>IF(Ruimtestaat[[#This Row],[Frequentie weekend]]&gt;0,VALUE(LEFT(AF760,1))*S760,0)</f>
        <v>0</v>
      </c>
      <c r="AH760" s="455">
        <f>IF($AG760&gt;0,VLOOKUP($J760,Ruimtegroepen[],3,FALSE)*VLOOKUP($L760,Vloersoorten[],3,FALSE)*VLOOKUP($AF760,Frequenties[],3,FALSE)*VLOOKUP(#REF!,Locaties[],3,FALSE),0)</f>
        <v>0</v>
      </c>
      <c r="AI760" s="434">
        <f>Ruimtestaat[[#This Row],[Uitvoeringen weekend]]*Ruimtestaat[[#This Row],[Oppervlak (netto)]]</f>
        <v>0</v>
      </c>
      <c r="AJ760" s="434">
        <f>IF(AH760&gt;0,Ruimtestaat[[#This Row],[Prest. (m2 /jaar) weekend]]/Ruimtestaat[[#This Row],[Norm (m2/uur) weekend]],0)</f>
        <v>0</v>
      </c>
      <c r="AK760" s="444">
        <f>Ruimtestaat[[#This Row],[uren / jaar weekend]]*Tariefsopbouw!$D$40</f>
        <v>0</v>
      </c>
      <c r="AL760" s="441">
        <f>Ruimtestaat[[#This Row],[Prest. (m2 /jaar) weekend]]+Ruimtestaat[[#This Row],[Prest. (m2 /jaar) werkdagen]]</f>
        <v>2050</v>
      </c>
      <c r="AM760" s="441">
        <f>Ruimtestaat[[#This Row],[uren / jaar weekend]]+Ruimtestaat[[#This Row],[uren / jaar werkdagen]]</f>
        <v>0</v>
      </c>
      <c r="AN760" s="446">
        <f>Ruimtestaat[[#This Row],[kosten / jaar weekend]]+Ruimtestaat[[#This Row],[kosten / jaar werkdagen]]</f>
        <v>0</v>
      </c>
      <c r="AO760" s="446"/>
      <c r="AP760" s="446" t="str">
        <f>IF(Ruimtestaat[[#This Row],[Frequentie werkdagen]]="","",_xlfn.CONCAT(Ruimtestaat[[#This Row],[Ruimte code]],"-",Ruimtestaat[[#This Row],[Frequentie werkdagen]]," ",Ruimtestaat[[#This Row],[Vloer code]]))</f>
        <v>10-5w L</v>
      </c>
      <c r="AQ760" s="448" t="str">
        <f>_xlfn.IFNA(VLOOKUP($AP760,Programma!$F$3:$G$1101,2,0),"")</f>
        <v>_</v>
      </c>
      <c r="AR760" s="448" t="str">
        <f>_xlfn.IFNA(VLOOKUP($AP760,Programma!$F$3:$H$1101,3,0),"")</f>
        <v>_</v>
      </c>
      <c r="AS760" s="448" t="str">
        <f>_xlfn.IFNA(VLOOKUP($AP760,Programma!$F$3:$I$1101,4,0),"")</f>
        <v>4w</v>
      </c>
      <c r="AT760" s="448" t="str">
        <f>_xlfn.IFNA(VLOOKUP($AP760,Programma!$F$3:$J$1101,5,0),"")</f>
        <v>1w</v>
      </c>
      <c r="AU760" s="448" t="str">
        <f>_xlfn.IFNA(VLOOKUP($AP760,Programma!$F$3:$K$1101,6,0),"")</f>
        <v>_</v>
      </c>
      <c r="AV760" s="448" t="str">
        <f>_xlfn.IFNA(VLOOKUP($AP760,Programma!$F$3:$L$1101,7,0),"")</f>
        <v>_</v>
      </c>
      <c r="AW760" s="448" t="str">
        <f>_xlfn.IFNA(VLOOKUP($AP760,Programma!$F$3:$M$1101,8,0),"")</f>
        <v>_</v>
      </c>
      <c r="AX760" s="448" t="str">
        <f>_xlfn.IFNA(VLOOKUP($AP760,Programma!$F$3:$N$1101,9,0),"")</f>
        <v>_</v>
      </c>
      <c r="AY760" s="448" t="str">
        <f>_xlfn.IFNA(VLOOKUP($AP760,Programma!$F$3:$O$1101,10,0),"")</f>
        <v>5w</v>
      </c>
      <c r="AZ760" s="448" t="str">
        <f>_xlfn.IFNA(VLOOKUP($AP760,Programma!$F$3:$P$1101,11,0),"")</f>
        <v>5w</v>
      </c>
      <c r="BA760" s="448" t="str">
        <f>_xlfn.IFNA(VLOOKUP($AP760,Programma!$F$3:$Q$1101,12,0),"")</f>
        <v>1w</v>
      </c>
      <c r="BB760" s="448" t="str">
        <f>_xlfn.IFNA(VLOOKUP($AP760,Programma!$F$3:$R$1101,13,0),"")</f>
        <v>1w</v>
      </c>
      <c r="BC760" s="448" t="str">
        <f>_xlfn.IFNA(VLOOKUP($AP760,Programma!$F$3:$S$1101,14,0),"")</f>
        <v>1m</v>
      </c>
      <c r="BD760" s="448" t="str">
        <f>_xlfn.IFNA(VLOOKUP($AP760,Programma!$F$3:$T$1101,15,0),"")</f>
        <v>2j</v>
      </c>
      <c r="BE760" s="448" t="str">
        <f>_xlfn.IFNA(VLOOKUP($AP760,Programma!$F$3:$U$1101,16,0),"")</f>
        <v>1j</v>
      </c>
      <c r="BF760" s="448" t="str">
        <f>_xlfn.IFNA(VLOOKUP($AP760,Programma!$F$3:$V$1101,17,0),"")</f>
        <v>_</v>
      </c>
      <c r="BG760" s="448" t="str">
        <f>_xlfn.IFNA(VLOOKUP($AP760,Programma!$F$3:$W$1101,18,0),"")</f>
        <v>_</v>
      </c>
      <c r="BH760" s="448" t="str">
        <f>_xlfn.IFNA(VLOOKUP($AP760,Programma!$F$3:$X$1101,19,0),"")</f>
        <v>_</v>
      </c>
      <c r="BI760" s="448" t="str">
        <f>_xlfn.IFNA(VLOOKUP($AP760,Programma!$F$3:$Y$1101,20,0),"")</f>
        <v>_</v>
      </c>
      <c r="BJ760" s="449"/>
      <c r="BK760" s="446" t="str">
        <f>IF(Ruimtestaat[[#This Row],[Frequentie weekend]]="","",_xlfn.CONCAT(Ruimtestaat[[#This Row],[Ruimte code]],"-",Ruimtestaat[[#This Row],[Frequentie weekend]]," ",Ruimtestaat[[#This Row],[Vloer code]]))</f>
        <v/>
      </c>
      <c r="BL760" s="448" t="str">
        <f>_xlfn.IFNA(VLOOKUP($BK760,Programma!$F$3:$G$1101,2,0),"")</f>
        <v/>
      </c>
      <c r="BM760" s="448" t="str">
        <f>_xlfn.IFNA(VLOOKUP($BK760,Programma!$F$3:$H$1101,3,0),"")</f>
        <v/>
      </c>
      <c r="BN760" s="448" t="str">
        <f>_xlfn.IFNA(VLOOKUP($BK760,Programma!$F$3:$I$1101,4,0),"")</f>
        <v/>
      </c>
      <c r="BO760" s="448" t="str">
        <f>_xlfn.IFNA(VLOOKUP($BK760,Programma!$F$3:$J$1101,5,0),"")</f>
        <v/>
      </c>
      <c r="BP760" s="448" t="str">
        <f>_xlfn.IFNA(VLOOKUP($BK760,Programma!$F$3:$K$1101,6,0),"")</f>
        <v/>
      </c>
      <c r="BQ760" s="448" t="str">
        <f>_xlfn.IFNA(VLOOKUP($BK760,Programma!$F$3:$L$1101,7,0),"")</f>
        <v/>
      </c>
      <c r="BR760" s="448" t="str">
        <f>_xlfn.IFNA(VLOOKUP($BK760,Programma!$F$3:$M$1101,8,0),"")</f>
        <v/>
      </c>
      <c r="BS760" s="448" t="str">
        <f>_xlfn.IFNA(VLOOKUP($BK760,Programma!$F$3:$N$1101,9,0),"")</f>
        <v/>
      </c>
      <c r="BT760" s="448" t="str">
        <f>_xlfn.IFNA(VLOOKUP($BK760,Programma!$F$3:$O$1101,10,0),"")</f>
        <v/>
      </c>
      <c r="BU760" s="448" t="str">
        <f>_xlfn.IFNA(VLOOKUP($BK760,Programma!$F$3:$P$1101,11,0),"")</f>
        <v/>
      </c>
      <c r="BV760" s="448" t="str">
        <f>_xlfn.IFNA(VLOOKUP($BK760,Programma!$F$3:$Q$1101,12,0),"")</f>
        <v/>
      </c>
      <c r="BW760" s="448" t="str">
        <f>_xlfn.IFNA(VLOOKUP($BK760,Programma!$F$3:$R$1101,13,0),"")</f>
        <v/>
      </c>
      <c r="BX760" s="448" t="str">
        <f>_xlfn.IFNA(VLOOKUP($BK760,Programma!$F$3:$S$1101,14,0),"")</f>
        <v/>
      </c>
      <c r="BY760" s="448" t="str">
        <f>_xlfn.IFNA(VLOOKUP($BK760,Programma!$F$3:$T$1101,15,0),"")</f>
        <v/>
      </c>
      <c r="BZ760" s="448" t="str">
        <f>_xlfn.IFNA(VLOOKUP($BK760,Programma!$F$3:$U$1101,16,0),"")</f>
        <v/>
      </c>
      <c r="CA760" s="448" t="str">
        <f>_xlfn.IFNA(VLOOKUP($BK760,Programma!$F$3:$V$1101,17,0),"")</f>
        <v/>
      </c>
      <c r="CB760" s="448" t="str">
        <f>_xlfn.IFNA(VLOOKUP($BK760,Programma!$F$3:$W$1101,18,0),"")</f>
        <v/>
      </c>
      <c r="CC760" s="448" t="str">
        <f>_xlfn.IFNA(VLOOKUP($BK760,Programma!$F$3:$X$1101,19,0),"")</f>
        <v/>
      </c>
      <c r="CD760" s="448" t="str">
        <f>_xlfn.IFNA(VLOOKUP($BK760,Programma!$F$3:$Y$1101,20,0),"")</f>
        <v/>
      </c>
    </row>
    <row r="761" spans="1:82" ht="15" customHeight="1">
      <c r="A761" s="327">
        <v>15</v>
      </c>
      <c r="B761" s="435" t="str">
        <f>VLOOKUP(Ruimtestaat[[#This Row],[Code]],Locaties[[Code]:[Locatie]],2,FALSE)</f>
        <v>IKC  Da Vinci</v>
      </c>
      <c r="C761" s="435" t="str">
        <f>VLOOKUP(Ruimtestaat[[#This Row],[Code]],Locaties[[#All],[Code]:[Adres]],4,FALSE)</f>
        <v>Spitsbergen 17</v>
      </c>
      <c r="D761" s="435" t="str">
        <f>VLOOKUP(Ruimtestaat[[#This Row],[Code]],Locaties[[#All],[Code]:[Postcode]],5,FALSE)</f>
        <v>2721 GP</v>
      </c>
      <c r="E761" s="435" t="str">
        <f>VLOOKUP(Ruimtestaat[[#This Row],[Code]],Locaties[#All],6,FALSE)</f>
        <v>Zoetermeer</v>
      </c>
      <c r="F761" s="330" t="s">
        <v>2154</v>
      </c>
      <c r="I761" s="450" t="s">
        <v>2003</v>
      </c>
      <c r="J761" s="330">
        <v>10</v>
      </c>
      <c r="K761" s="450" t="str">
        <f>VLOOKUP(Ruimtestaat[[#This Row],[Ruimte code]],Ruimtegroepen[[#All],[Code]:[Ruimte omschrijving]],2,FALSE)</f>
        <v>Trappenhuizen/lift</v>
      </c>
      <c r="L761" s="434" t="s">
        <v>100</v>
      </c>
      <c r="M761" s="437" t="s">
        <v>1759</v>
      </c>
      <c r="N761" s="439">
        <v>10</v>
      </c>
      <c r="O761" s="439"/>
      <c r="P761" s="439"/>
      <c r="Q761" s="439"/>
      <c r="R761" s="440" t="str">
        <f>VLOOKUP(Ruimtestaat[[#This Row],[Ruimte code]],Ruimtegroepen[],4,FALSE)</f>
        <v>Ve</v>
      </c>
      <c r="S761" s="434">
        <v>41</v>
      </c>
      <c r="T761" s="434" t="s">
        <v>2</v>
      </c>
      <c r="U761" s="453">
        <f>IF(S761&gt;0,IF(RIGHT(Ruimtestaat[[#This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61" s="434">
        <f>IF(U761&gt;0,VLOOKUP($J761,Ruimtegroepen[],3,FALSE)*VLOOKUP($L761,Vloersoorten[],3,FALSE)*VLOOKUP($T761,Frequenties[],3,FALSE)*VLOOKUP($A761,Locaties[],3,FALSE),0)</f>
        <v>0</v>
      </c>
      <c r="W761" s="434">
        <f>Ruimtestaat[[#This Row],[Uitvoeringen werkdagen]]*Ruimtestaat[[#This Row],[Oppervlak (netto)]]</f>
        <v>2050</v>
      </c>
      <c r="X761" s="441">
        <f>IF(V761&gt;0,Ruimtestaat[[#This Row],[Prest. (m2 /jaar) werkdagen]]/Ruimtestaat[[#This Row],[Norm (m2/uur) werkdagen]],0)</f>
        <v>0</v>
      </c>
      <c r="Y761" s="442">
        <f>Ruimtestaat[[#This Row],[Uitvoeringen werkdagen]]*Ruimtestaat[[#This Row],[Gedeeltelijk]]</f>
        <v>0</v>
      </c>
      <c r="Z761" s="443" t="e">
        <f>IF(U761&gt;0,Ruimtestaat[[#This Row],[Prest. (m2 / jaar) werkdagen gedeeld]]/Ruimtestaat[[#This Row],[Norm (m2/uur) werkdagen]],0)</f>
        <v>#DIV/0!</v>
      </c>
      <c r="AA761" s="441" t="e">
        <f>Ruimtestaat[[#This Row],[uren / jaar werkdagen gedeeld]]*Tariefsopbouw!$E$35</f>
        <v>#DIV/0!</v>
      </c>
      <c r="AB761" s="441">
        <f>Ruimtestaat[[#This Row],[Uitvoeringen werkdagen]]*Ruimtestaat[[#This Row],[BSO]]</f>
        <v>0</v>
      </c>
      <c r="AC761" s="443" t="e">
        <f>IF(U761&gt;0,Ruimtestaat[[#This Row],[Prest. (m2 / jaar) werkdagen BSO]]/Ruimtestaat[[#This Row],[Norm (m2/uur) werkdagen]],0)</f>
        <v>#DIV/0!</v>
      </c>
      <c r="AD761" s="443" t="e">
        <f>Ruimtestaat[[#This Row],[uren / jaar werkdagen BSO]]*Tariefsopbouw!$E$35</f>
        <v>#DIV/0!</v>
      </c>
      <c r="AE761" s="444">
        <f>Ruimtestaat[[#This Row],[uren / jaar werkdagen]]*Tariefsopbouw!$E$35</f>
        <v>0</v>
      </c>
      <c r="AF761" s="454"/>
      <c r="AG761" s="455">
        <f>IF(Ruimtestaat[[#This Row],[Frequentie weekend]]&gt;0,VALUE(LEFT(AF761,1))*S761,0)</f>
        <v>0</v>
      </c>
      <c r="AH761" s="455">
        <f>IF($AG761&gt;0,VLOOKUP($J761,Ruimtegroepen[],3,FALSE)*VLOOKUP($L761,Vloersoorten[],3,FALSE)*VLOOKUP($AF761,Frequenties[],3,FALSE)*VLOOKUP(#REF!,Locaties[],3,FALSE),0)</f>
        <v>0</v>
      </c>
      <c r="AI761" s="434">
        <f>Ruimtestaat[[#This Row],[Uitvoeringen weekend]]*Ruimtestaat[[#This Row],[Oppervlak (netto)]]</f>
        <v>0</v>
      </c>
      <c r="AJ761" s="434">
        <f>IF(AH761&gt;0,Ruimtestaat[[#This Row],[Prest. (m2 /jaar) weekend]]/Ruimtestaat[[#This Row],[Norm (m2/uur) weekend]],0)</f>
        <v>0</v>
      </c>
      <c r="AK761" s="444">
        <f>Ruimtestaat[[#This Row],[uren / jaar weekend]]*Tariefsopbouw!$D$40</f>
        <v>0</v>
      </c>
      <c r="AL761" s="441">
        <f>Ruimtestaat[[#This Row],[Prest. (m2 /jaar) weekend]]+Ruimtestaat[[#This Row],[Prest. (m2 /jaar) werkdagen]]</f>
        <v>2050</v>
      </c>
      <c r="AM761" s="441">
        <f>Ruimtestaat[[#This Row],[uren / jaar weekend]]+Ruimtestaat[[#This Row],[uren / jaar werkdagen]]</f>
        <v>0</v>
      </c>
      <c r="AN761" s="446">
        <f>Ruimtestaat[[#This Row],[kosten / jaar weekend]]+Ruimtestaat[[#This Row],[kosten / jaar werkdagen]]</f>
        <v>0</v>
      </c>
      <c r="AO761" s="446"/>
      <c r="AP761" s="446" t="str">
        <f>IF(Ruimtestaat[[#This Row],[Frequentie werkdagen]]="","",_xlfn.CONCAT(Ruimtestaat[[#This Row],[Ruimte code]],"-",Ruimtestaat[[#This Row],[Frequentie werkdagen]]," ",Ruimtestaat[[#This Row],[Vloer code]]))</f>
        <v>10-5w L</v>
      </c>
      <c r="AQ761" s="448" t="str">
        <f>_xlfn.IFNA(VLOOKUP($AP761,Programma!$F$3:$G$1101,2,0),"")</f>
        <v>_</v>
      </c>
      <c r="AR761" s="448" t="str">
        <f>_xlfn.IFNA(VLOOKUP($AP761,Programma!$F$3:$H$1101,3,0),"")</f>
        <v>_</v>
      </c>
      <c r="AS761" s="448" t="str">
        <f>_xlfn.IFNA(VLOOKUP($AP761,Programma!$F$3:$I$1101,4,0),"")</f>
        <v>4w</v>
      </c>
      <c r="AT761" s="448" t="str">
        <f>_xlfn.IFNA(VLOOKUP($AP761,Programma!$F$3:$J$1101,5,0),"")</f>
        <v>1w</v>
      </c>
      <c r="AU761" s="448" t="str">
        <f>_xlfn.IFNA(VLOOKUP($AP761,Programma!$F$3:$K$1101,6,0),"")</f>
        <v>_</v>
      </c>
      <c r="AV761" s="448" t="str">
        <f>_xlfn.IFNA(VLOOKUP($AP761,Programma!$F$3:$L$1101,7,0),"")</f>
        <v>_</v>
      </c>
      <c r="AW761" s="448" t="str">
        <f>_xlfn.IFNA(VLOOKUP($AP761,Programma!$F$3:$M$1101,8,0),"")</f>
        <v>_</v>
      </c>
      <c r="AX761" s="448" t="str">
        <f>_xlfn.IFNA(VLOOKUP($AP761,Programma!$F$3:$N$1101,9,0),"")</f>
        <v>_</v>
      </c>
      <c r="AY761" s="448" t="str">
        <f>_xlfn.IFNA(VLOOKUP($AP761,Programma!$F$3:$O$1101,10,0),"")</f>
        <v>5w</v>
      </c>
      <c r="AZ761" s="448" t="str">
        <f>_xlfn.IFNA(VLOOKUP($AP761,Programma!$F$3:$P$1101,11,0),"")</f>
        <v>5w</v>
      </c>
      <c r="BA761" s="448" t="str">
        <f>_xlfn.IFNA(VLOOKUP($AP761,Programma!$F$3:$Q$1101,12,0),"")</f>
        <v>1w</v>
      </c>
      <c r="BB761" s="448" t="str">
        <f>_xlfn.IFNA(VLOOKUP($AP761,Programma!$F$3:$R$1101,13,0),"")</f>
        <v>1w</v>
      </c>
      <c r="BC761" s="448" t="str">
        <f>_xlfn.IFNA(VLOOKUP($AP761,Programma!$F$3:$S$1101,14,0),"")</f>
        <v>1m</v>
      </c>
      <c r="BD761" s="448" t="str">
        <f>_xlfn.IFNA(VLOOKUP($AP761,Programma!$F$3:$T$1101,15,0),"")</f>
        <v>2j</v>
      </c>
      <c r="BE761" s="448" t="str">
        <f>_xlfn.IFNA(VLOOKUP($AP761,Programma!$F$3:$U$1101,16,0),"")</f>
        <v>1j</v>
      </c>
      <c r="BF761" s="448" t="str">
        <f>_xlfn.IFNA(VLOOKUP($AP761,Programma!$F$3:$V$1101,17,0),"")</f>
        <v>_</v>
      </c>
      <c r="BG761" s="448" t="str">
        <f>_xlfn.IFNA(VLOOKUP($AP761,Programma!$F$3:$W$1101,18,0),"")</f>
        <v>_</v>
      </c>
      <c r="BH761" s="448" t="str">
        <f>_xlfn.IFNA(VLOOKUP($AP761,Programma!$F$3:$X$1101,19,0),"")</f>
        <v>_</v>
      </c>
      <c r="BI761" s="448" t="str">
        <f>_xlfn.IFNA(VLOOKUP($AP761,Programma!$F$3:$Y$1101,20,0),"")</f>
        <v>_</v>
      </c>
      <c r="BJ761" s="449"/>
      <c r="BK761" s="446" t="str">
        <f>IF(Ruimtestaat[[#This Row],[Frequentie weekend]]="","",_xlfn.CONCAT(Ruimtestaat[[#This Row],[Ruimte code]],"-",Ruimtestaat[[#This Row],[Frequentie weekend]]," ",Ruimtestaat[[#This Row],[Vloer code]]))</f>
        <v/>
      </c>
      <c r="BL761" s="448" t="str">
        <f>_xlfn.IFNA(VLOOKUP($BK761,Programma!$F$3:$G$1101,2,0),"")</f>
        <v/>
      </c>
      <c r="BM761" s="448" t="str">
        <f>_xlfn.IFNA(VLOOKUP($BK761,Programma!$F$3:$H$1101,3,0),"")</f>
        <v/>
      </c>
      <c r="BN761" s="448" t="str">
        <f>_xlfn.IFNA(VLOOKUP($BK761,Programma!$F$3:$I$1101,4,0),"")</f>
        <v/>
      </c>
      <c r="BO761" s="448" t="str">
        <f>_xlfn.IFNA(VLOOKUP($BK761,Programma!$F$3:$J$1101,5,0),"")</f>
        <v/>
      </c>
      <c r="BP761" s="448" t="str">
        <f>_xlfn.IFNA(VLOOKUP($BK761,Programma!$F$3:$K$1101,6,0),"")</f>
        <v/>
      </c>
      <c r="BQ761" s="448" t="str">
        <f>_xlfn.IFNA(VLOOKUP($BK761,Programma!$F$3:$L$1101,7,0),"")</f>
        <v/>
      </c>
      <c r="BR761" s="448" t="str">
        <f>_xlfn.IFNA(VLOOKUP($BK761,Programma!$F$3:$M$1101,8,0),"")</f>
        <v/>
      </c>
      <c r="BS761" s="448" t="str">
        <f>_xlfn.IFNA(VLOOKUP($BK761,Programma!$F$3:$N$1101,9,0),"")</f>
        <v/>
      </c>
      <c r="BT761" s="448" t="str">
        <f>_xlfn.IFNA(VLOOKUP($BK761,Programma!$F$3:$O$1101,10,0),"")</f>
        <v/>
      </c>
      <c r="BU761" s="448" t="str">
        <f>_xlfn.IFNA(VLOOKUP($BK761,Programma!$F$3:$P$1101,11,0),"")</f>
        <v/>
      </c>
      <c r="BV761" s="448" t="str">
        <f>_xlfn.IFNA(VLOOKUP($BK761,Programma!$F$3:$Q$1101,12,0),"")</f>
        <v/>
      </c>
      <c r="BW761" s="448" t="str">
        <f>_xlfn.IFNA(VLOOKUP($BK761,Programma!$F$3:$R$1101,13,0),"")</f>
        <v/>
      </c>
      <c r="BX761" s="448" t="str">
        <f>_xlfn.IFNA(VLOOKUP($BK761,Programma!$F$3:$S$1101,14,0),"")</f>
        <v/>
      </c>
      <c r="BY761" s="448" t="str">
        <f>_xlfn.IFNA(VLOOKUP($BK761,Programma!$F$3:$T$1101,15,0),"")</f>
        <v/>
      </c>
      <c r="BZ761" s="448" t="str">
        <f>_xlfn.IFNA(VLOOKUP($BK761,Programma!$F$3:$U$1101,16,0),"")</f>
        <v/>
      </c>
      <c r="CA761" s="448" t="str">
        <f>_xlfn.IFNA(VLOOKUP($BK761,Programma!$F$3:$V$1101,17,0),"")</f>
        <v/>
      </c>
      <c r="CB761" s="448" t="str">
        <f>_xlfn.IFNA(VLOOKUP($BK761,Programma!$F$3:$W$1101,18,0),"")</f>
        <v/>
      </c>
      <c r="CC761" s="448" t="str">
        <f>_xlfn.IFNA(VLOOKUP($BK761,Programma!$F$3:$X$1101,19,0),"")</f>
        <v/>
      </c>
      <c r="CD761" s="448" t="str">
        <f>_xlfn.IFNA(VLOOKUP($BK761,Programma!$F$3:$Y$1101,20,0),"")</f>
        <v/>
      </c>
    </row>
    <row r="762" spans="1:82" ht="15" customHeight="1">
      <c r="A762" s="327">
        <v>15</v>
      </c>
      <c r="B762" s="435" t="str">
        <f>VLOOKUP(Ruimtestaat[[#This Row],[Code]],Locaties[[Code]:[Locatie]],2,FALSE)</f>
        <v>IKC  Da Vinci</v>
      </c>
      <c r="C762" s="435" t="str">
        <f>VLOOKUP(Ruimtestaat[[#This Row],[Code]],Locaties[[#All],[Code]:[Adres]],4,FALSE)</f>
        <v>Spitsbergen 17</v>
      </c>
      <c r="D762" s="435" t="str">
        <f>VLOOKUP(Ruimtestaat[[#This Row],[Code]],Locaties[[#All],[Code]:[Postcode]],5,FALSE)</f>
        <v>2721 GP</v>
      </c>
      <c r="E762" s="435" t="str">
        <f>VLOOKUP(Ruimtestaat[[#This Row],[Code]],Locaties[#All],6,FALSE)</f>
        <v>Zoetermeer</v>
      </c>
      <c r="F762" s="330" t="s">
        <v>2154</v>
      </c>
      <c r="I762" s="450" t="s">
        <v>2004</v>
      </c>
      <c r="J762" s="330">
        <v>10</v>
      </c>
      <c r="K762" s="450" t="str">
        <f>VLOOKUP(Ruimtestaat[[#This Row],[Ruimte code]],Ruimtegroepen[[#All],[Code]:[Ruimte omschrijving]],2,FALSE)</f>
        <v>Trappenhuizen/lift</v>
      </c>
      <c r="L762" s="434" t="s">
        <v>100</v>
      </c>
      <c r="M762" s="437" t="s">
        <v>1759</v>
      </c>
      <c r="N762" s="439">
        <v>10</v>
      </c>
      <c r="O762" s="439"/>
      <c r="P762" s="439"/>
      <c r="Q762" s="439"/>
      <c r="R762" s="440" t="str">
        <f>VLOOKUP(Ruimtestaat[[#This Row],[Ruimte code]],Ruimtegroepen[],4,FALSE)</f>
        <v>Ve</v>
      </c>
      <c r="S762" s="434">
        <v>41</v>
      </c>
      <c r="T762" s="434" t="s">
        <v>2</v>
      </c>
      <c r="U762" s="453">
        <f>IF(S762&gt;0,IF(RIGHT(Ruimtestaat[[#This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62" s="434">
        <f>IF(U762&gt;0,VLOOKUP($J762,Ruimtegroepen[],3,FALSE)*VLOOKUP($L762,Vloersoorten[],3,FALSE)*VLOOKUP($T762,Frequenties[],3,FALSE)*VLOOKUP($A762,Locaties[],3,FALSE),0)</f>
        <v>0</v>
      </c>
      <c r="W762" s="434">
        <f>Ruimtestaat[[#This Row],[Uitvoeringen werkdagen]]*Ruimtestaat[[#This Row],[Oppervlak (netto)]]</f>
        <v>2050</v>
      </c>
      <c r="X762" s="441">
        <f>IF(V762&gt;0,Ruimtestaat[[#This Row],[Prest. (m2 /jaar) werkdagen]]/Ruimtestaat[[#This Row],[Norm (m2/uur) werkdagen]],0)</f>
        <v>0</v>
      </c>
      <c r="Y762" s="442">
        <f>Ruimtestaat[[#This Row],[Uitvoeringen werkdagen]]*Ruimtestaat[[#This Row],[Gedeeltelijk]]</f>
        <v>0</v>
      </c>
      <c r="Z762" s="443" t="e">
        <f>IF(U762&gt;0,Ruimtestaat[[#This Row],[Prest. (m2 / jaar) werkdagen gedeeld]]/Ruimtestaat[[#This Row],[Norm (m2/uur) werkdagen]],0)</f>
        <v>#DIV/0!</v>
      </c>
      <c r="AA762" s="441" t="e">
        <f>Ruimtestaat[[#This Row],[uren / jaar werkdagen gedeeld]]*Tariefsopbouw!$E$35</f>
        <v>#DIV/0!</v>
      </c>
      <c r="AB762" s="441">
        <f>Ruimtestaat[[#This Row],[Uitvoeringen werkdagen]]*Ruimtestaat[[#This Row],[BSO]]</f>
        <v>0</v>
      </c>
      <c r="AC762" s="443" t="e">
        <f>IF(U762&gt;0,Ruimtestaat[[#This Row],[Prest. (m2 / jaar) werkdagen BSO]]/Ruimtestaat[[#This Row],[Norm (m2/uur) werkdagen]],0)</f>
        <v>#DIV/0!</v>
      </c>
      <c r="AD762" s="443" t="e">
        <f>Ruimtestaat[[#This Row],[uren / jaar werkdagen BSO]]*Tariefsopbouw!$E$35</f>
        <v>#DIV/0!</v>
      </c>
      <c r="AE762" s="444">
        <f>Ruimtestaat[[#This Row],[uren / jaar werkdagen]]*Tariefsopbouw!$E$35</f>
        <v>0</v>
      </c>
      <c r="AF762" s="454"/>
      <c r="AG762" s="455">
        <f>IF(Ruimtestaat[[#This Row],[Frequentie weekend]]&gt;0,VALUE(LEFT(AF762,1))*S762,0)</f>
        <v>0</v>
      </c>
      <c r="AH762" s="455">
        <f>IF($AG762&gt;0,VLOOKUP($J762,Ruimtegroepen[],3,FALSE)*VLOOKUP($L762,Vloersoorten[],3,FALSE)*VLOOKUP($AF762,Frequenties[],3,FALSE)*VLOOKUP(#REF!,Locaties[],3,FALSE),0)</f>
        <v>0</v>
      </c>
      <c r="AI762" s="434">
        <f>Ruimtestaat[[#This Row],[Uitvoeringen weekend]]*Ruimtestaat[[#This Row],[Oppervlak (netto)]]</f>
        <v>0</v>
      </c>
      <c r="AJ762" s="434">
        <f>IF(AH762&gt;0,Ruimtestaat[[#This Row],[Prest. (m2 /jaar) weekend]]/Ruimtestaat[[#This Row],[Norm (m2/uur) weekend]],0)</f>
        <v>0</v>
      </c>
      <c r="AK762" s="444">
        <f>Ruimtestaat[[#This Row],[uren / jaar weekend]]*Tariefsopbouw!$D$40</f>
        <v>0</v>
      </c>
      <c r="AL762" s="441">
        <f>Ruimtestaat[[#This Row],[Prest. (m2 /jaar) weekend]]+Ruimtestaat[[#This Row],[Prest. (m2 /jaar) werkdagen]]</f>
        <v>2050</v>
      </c>
      <c r="AM762" s="441">
        <f>Ruimtestaat[[#This Row],[uren / jaar weekend]]+Ruimtestaat[[#This Row],[uren / jaar werkdagen]]</f>
        <v>0</v>
      </c>
      <c r="AN762" s="446">
        <f>Ruimtestaat[[#This Row],[kosten / jaar weekend]]+Ruimtestaat[[#This Row],[kosten / jaar werkdagen]]</f>
        <v>0</v>
      </c>
      <c r="AO762" s="446"/>
      <c r="AP762" s="446" t="str">
        <f>IF(Ruimtestaat[[#This Row],[Frequentie werkdagen]]="","",_xlfn.CONCAT(Ruimtestaat[[#This Row],[Ruimte code]],"-",Ruimtestaat[[#This Row],[Frequentie werkdagen]]," ",Ruimtestaat[[#This Row],[Vloer code]]))</f>
        <v>10-5w L</v>
      </c>
      <c r="AQ762" s="448" t="str">
        <f>_xlfn.IFNA(VLOOKUP($AP762,Programma!$F$3:$G$1101,2,0),"")</f>
        <v>_</v>
      </c>
      <c r="AR762" s="448" t="str">
        <f>_xlfn.IFNA(VLOOKUP($AP762,Programma!$F$3:$H$1101,3,0),"")</f>
        <v>_</v>
      </c>
      <c r="AS762" s="448" t="str">
        <f>_xlfn.IFNA(VLOOKUP($AP762,Programma!$F$3:$I$1101,4,0),"")</f>
        <v>4w</v>
      </c>
      <c r="AT762" s="448" t="str">
        <f>_xlfn.IFNA(VLOOKUP($AP762,Programma!$F$3:$J$1101,5,0),"")</f>
        <v>1w</v>
      </c>
      <c r="AU762" s="448" t="str">
        <f>_xlfn.IFNA(VLOOKUP($AP762,Programma!$F$3:$K$1101,6,0),"")</f>
        <v>_</v>
      </c>
      <c r="AV762" s="448" t="str">
        <f>_xlfn.IFNA(VLOOKUP($AP762,Programma!$F$3:$L$1101,7,0),"")</f>
        <v>_</v>
      </c>
      <c r="AW762" s="448" t="str">
        <f>_xlfn.IFNA(VLOOKUP($AP762,Programma!$F$3:$M$1101,8,0),"")</f>
        <v>_</v>
      </c>
      <c r="AX762" s="448" t="str">
        <f>_xlfn.IFNA(VLOOKUP($AP762,Programma!$F$3:$N$1101,9,0),"")</f>
        <v>_</v>
      </c>
      <c r="AY762" s="448" t="str">
        <f>_xlfn.IFNA(VLOOKUP($AP762,Programma!$F$3:$O$1101,10,0),"")</f>
        <v>5w</v>
      </c>
      <c r="AZ762" s="448" t="str">
        <f>_xlfn.IFNA(VLOOKUP($AP762,Programma!$F$3:$P$1101,11,0),"")</f>
        <v>5w</v>
      </c>
      <c r="BA762" s="448" t="str">
        <f>_xlfn.IFNA(VLOOKUP($AP762,Programma!$F$3:$Q$1101,12,0),"")</f>
        <v>1w</v>
      </c>
      <c r="BB762" s="448" t="str">
        <f>_xlfn.IFNA(VLOOKUP($AP762,Programma!$F$3:$R$1101,13,0),"")</f>
        <v>1w</v>
      </c>
      <c r="BC762" s="448" t="str">
        <f>_xlfn.IFNA(VLOOKUP($AP762,Programma!$F$3:$S$1101,14,0),"")</f>
        <v>1m</v>
      </c>
      <c r="BD762" s="448" t="str">
        <f>_xlfn.IFNA(VLOOKUP($AP762,Programma!$F$3:$T$1101,15,0),"")</f>
        <v>2j</v>
      </c>
      <c r="BE762" s="448" t="str">
        <f>_xlfn.IFNA(VLOOKUP($AP762,Programma!$F$3:$U$1101,16,0),"")</f>
        <v>1j</v>
      </c>
      <c r="BF762" s="448" t="str">
        <f>_xlfn.IFNA(VLOOKUP($AP762,Programma!$F$3:$V$1101,17,0),"")</f>
        <v>_</v>
      </c>
      <c r="BG762" s="448" t="str">
        <f>_xlfn.IFNA(VLOOKUP($AP762,Programma!$F$3:$W$1101,18,0),"")</f>
        <v>_</v>
      </c>
      <c r="BH762" s="448" t="str">
        <f>_xlfn.IFNA(VLOOKUP($AP762,Programma!$F$3:$X$1101,19,0),"")</f>
        <v>_</v>
      </c>
      <c r="BI762" s="448" t="str">
        <f>_xlfn.IFNA(VLOOKUP($AP762,Programma!$F$3:$Y$1101,20,0),"")</f>
        <v>_</v>
      </c>
      <c r="BJ762" s="449"/>
      <c r="BK762" s="446" t="str">
        <f>IF(Ruimtestaat[[#This Row],[Frequentie weekend]]="","",_xlfn.CONCAT(Ruimtestaat[[#This Row],[Ruimte code]],"-",Ruimtestaat[[#This Row],[Frequentie weekend]]," ",Ruimtestaat[[#This Row],[Vloer code]]))</f>
        <v/>
      </c>
      <c r="BL762" s="448" t="str">
        <f>_xlfn.IFNA(VLOOKUP($BK762,Programma!$F$3:$G$1101,2,0),"")</f>
        <v/>
      </c>
      <c r="BM762" s="448" t="str">
        <f>_xlfn.IFNA(VLOOKUP($BK762,Programma!$F$3:$H$1101,3,0),"")</f>
        <v/>
      </c>
      <c r="BN762" s="448" t="str">
        <f>_xlfn.IFNA(VLOOKUP($BK762,Programma!$F$3:$I$1101,4,0),"")</f>
        <v/>
      </c>
      <c r="BO762" s="448" t="str">
        <f>_xlfn.IFNA(VLOOKUP($BK762,Programma!$F$3:$J$1101,5,0),"")</f>
        <v/>
      </c>
      <c r="BP762" s="448" t="str">
        <f>_xlfn.IFNA(VLOOKUP($BK762,Programma!$F$3:$K$1101,6,0),"")</f>
        <v/>
      </c>
      <c r="BQ762" s="448" t="str">
        <f>_xlfn.IFNA(VLOOKUP($BK762,Programma!$F$3:$L$1101,7,0),"")</f>
        <v/>
      </c>
      <c r="BR762" s="448" t="str">
        <f>_xlfn.IFNA(VLOOKUP($BK762,Programma!$F$3:$M$1101,8,0),"")</f>
        <v/>
      </c>
      <c r="BS762" s="448" t="str">
        <f>_xlfn.IFNA(VLOOKUP($BK762,Programma!$F$3:$N$1101,9,0),"")</f>
        <v/>
      </c>
      <c r="BT762" s="448" t="str">
        <f>_xlfn.IFNA(VLOOKUP($BK762,Programma!$F$3:$O$1101,10,0),"")</f>
        <v/>
      </c>
      <c r="BU762" s="448" t="str">
        <f>_xlfn.IFNA(VLOOKUP($BK762,Programma!$F$3:$P$1101,11,0),"")</f>
        <v/>
      </c>
      <c r="BV762" s="448" t="str">
        <f>_xlfn.IFNA(VLOOKUP($BK762,Programma!$F$3:$Q$1101,12,0),"")</f>
        <v/>
      </c>
      <c r="BW762" s="448" t="str">
        <f>_xlfn.IFNA(VLOOKUP($BK762,Programma!$F$3:$R$1101,13,0),"")</f>
        <v/>
      </c>
      <c r="BX762" s="448" t="str">
        <f>_xlfn.IFNA(VLOOKUP($BK762,Programma!$F$3:$S$1101,14,0),"")</f>
        <v/>
      </c>
      <c r="BY762" s="448" t="str">
        <f>_xlfn.IFNA(VLOOKUP($BK762,Programma!$F$3:$T$1101,15,0),"")</f>
        <v/>
      </c>
      <c r="BZ762" s="448" t="str">
        <f>_xlfn.IFNA(VLOOKUP($BK762,Programma!$F$3:$U$1101,16,0),"")</f>
        <v/>
      </c>
      <c r="CA762" s="448" t="str">
        <f>_xlfn.IFNA(VLOOKUP($BK762,Programma!$F$3:$V$1101,17,0),"")</f>
        <v/>
      </c>
      <c r="CB762" s="448" t="str">
        <f>_xlfn.IFNA(VLOOKUP($BK762,Programma!$F$3:$W$1101,18,0),"")</f>
        <v/>
      </c>
      <c r="CC762" s="448" t="str">
        <f>_xlfn.IFNA(VLOOKUP($BK762,Programma!$F$3:$X$1101,19,0),"")</f>
        <v/>
      </c>
      <c r="CD762" s="448" t="str">
        <f>_xlfn.IFNA(VLOOKUP($BK762,Programma!$F$3:$Y$1101,20,0),"")</f>
        <v/>
      </c>
    </row>
    <row r="763" spans="1:82" ht="15" customHeight="1">
      <c r="A763" s="327">
        <v>15</v>
      </c>
      <c r="B763" s="435" t="str">
        <f>VLOOKUP(Ruimtestaat[[#This Row],[Code]],Locaties[[Code]:[Locatie]],2,FALSE)</f>
        <v>IKC  Da Vinci</v>
      </c>
      <c r="C763" s="435" t="str">
        <f>VLOOKUP(Ruimtestaat[[#This Row],[Code]],Locaties[[#All],[Code]:[Adres]],4,FALSE)</f>
        <v>Spitsbergen 17</v>
      </c>
      <c r="D763" s="435" t="str">
        <f>VLOOKUP(Ruimtestaat[[#This Row],[Code]],Locaties[[#All],[Code]:[Postcode]],5,FALSE)</f>
        <v>2721 GP</v>
      </c>
      <c r="E763" s="435" t="str">
        <f>VLOOKUP(Ruimtestaat[[#This Row],[Code]],Locaties[#All],6,FALSE)</f>
        <v>Zoetermeer</v>
      </c>
      <c r="F763" s="330" t="s">
        <v>2154</v>
      </c>
      <c r="I763" s="450" t="s">
        <v>2004</v>
      </c>
      <c r="J763" s="330">
        <v>10</v>
      </c>
      <c r="K763" s="450" t="str">
        <f>VLOOKUP(Ruimtestaat[[#This Row],[Ruimte code]],Ruimtegroepen[[#All],[Code]:[Ruimte omschrijving]],2,FALSE)</f>
        <v>Trappenhuizen/lift</v>
      </c>
      <c r="L763" s="434" t="s">
        <v>100</v>
      </c>
      <c r="M763" s="437" t="s">
        <v>1759</v>
      </c>
      <c r="N763" s="439">
        <v>10</v>
      </c>
      <c r="O763" s="439"/>
      <c r="P763" s="439"/>
      <c r="Q763" s="439"/>
      <c r="R763" s="440" t="str">
        <f>VLOOKUP(Ruimtestaat[[#This Row],[Ruimte code]],Ruimtegroepen[],4,FALSE)</f>
        <v>Ve</v>
      </c>
      <c r="S763" s="434">
        <v>41</v>
      </c>
      <c r="T763" s="434" t="s">
        <v>2</v>
      </c>
      <c r="U763" s="453">
        <f>IF(S763&gt;0,IF(RIGHT(Ruimtestaat[[#This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63" s="434">
        <f>IF(U763&gt;0,VLOOKUP($J763,Ruimtegroepen[],3,FALSE)*VLOOKUP($L763,Vloersoorten[],3,FALSE)*VLOOKUP($T763,Frequenties[],3,FALSE)*VLOOKUP($A763,Locaties[],3,FALSE),0)</f>
        <v>0</v>
      </c>
      <c r="W763" s="434">
        <f>Ruimtestaat[[#This Row],[Uitvoeringen werkdagen]]*Ruimtestaat[[#This Row],[Oppervlak (netto)]]</f>
        <v>2050</v>
      </c>
      <c r="X763" s="441">
        <f>IF(V763&gt;0,Ruimtestaat[[#This Row],[Prest. (m2 /jaar) werkdagen]]/Ruimtestaat[[#This Row],[Norm (m2/uur) werkdagen]],0)</f>
        <v>0</v>
      </c>
      <c r="Y763" s="442">
        <f>Ruimtestaat[[#This Row],[Uitvoeringen werkdagen]]*Ruimtestaat[[#This Row],[Gedeeltelijk]]</f>
        <v>0</v>
      </c>
      <c r="Z763" s="443" t="e">
        <f>IF(U763&gt;0,Ruimtestaat[[#This Row],[Prest. (m2 / jaar) werkdagen gedeeld]]/Ruimtestaat[[#This Row],[Norm (m2/uur) werkdagen]],0)</f>
        <v>#DIV/0!</v>
      </c>
      <c r="AA763" s="441" t="e">
        <f>Ruimtestaat[[#This Row],[uren / jaar werkdagen gedeeld]]*Tariefsopbouw!$E$35</f>
        <v>#DIV/0!</v>
      </c>
      <c r="AB763" s="441">
        <f>Ruimtestaat[[#This Row],[Uitvoeringen werkdagen]]*Ruimtestaat[[#This Row],[BSO]]</f>
        <v>0</v>
      </c>
      <c r="AC763" s="443" t="e">
        <f>IF(U763&gt;0,Ruimtestaat[[#This Row],[Prest. (m2 / jaar) werkdagen BSO]]/Ruimtestaat[[#This Row],[Norm (m2/uur) werkdagen]],0)</f>
        <v>#DIV/0!</v>
      </c>
      <c r="AD763" s="443" t="e">
        <f>Ruimtestaat[[#This Row],[uren / jaar werkdagen BSO]]*Tariefsopbouw!$E$35</f>
        <v>#DIV/0!</v>
      </c>
      <c r="AE763" s="444">
        <f>Ruimtestaat[[#This Row],[uren / jaar werkdagen]]*Tariefsopbouw!$E$35</f>
        <v>0</v>
      </c>
      <c r="AF763" s="454"/>
      <c r="AG763" s="455">
        <f>IF(Ruimtestaat[[#This Row],[Frequentie weekend]]&gt;0,VALUE(LEFT(AF763,1))*S763,0)</f>
        <v>0</v>
      </c>
      <c r="AH763" s="455">
        <f>IF($AG763&gt;0,VLOOKUP($J763,Ruimtegroepen[],3,FALSE)*VLOOKUP($L763,Vloersoorten[],3,FALSE)*VLOOKUP($AF763,Frequenties[],3,FALSE)*VLOOKUP(#REF!,Locaties[],3,FALSE),0)</f>
        <v>0</v>
      </c>
      <c r="AI763" s="434">
        <f>Ruimtestaat[[#This Row],[Uitvoeringen weekend]]*Ruimtestaat[[#This Row],[Oppervlak (netto)]]</f>
        <v>0</v>
      </c>
      <c r="AJ763" s="434">
        <f>IF(AH763&gt;0,Ruimtestaat[[#This Row],[Prest. (m2 /jaar) weekend]]/Ruimtestaat[[#This Row],[Norm (m2/uur) weekend]],0)</f>
        <v>0</v>
      </c>
      <c r="AK763" s="444">
        <f>Ruimtestaat[[#This Row],[uren / jaar weekend]]*Tariefsopbouw!$D$40</f>
        <v>0</v>
      </c>
      <c r="AL763" s="441">
        <f>Ruimtestaat[[#This Row],[Prest. (m2 /jaar) weekend]]+Ruimtestaat[[#This Row],[Prest. (m2 /jaar) werkdagen]]</f>
        <v>2050</v>
      </c>
      <c r="AM763" s="441">
        <f>Ruimtestaat[[#This Row],[uren / jaar weekend]]+Ruimtestaat[[#This Row],[uren / jaar werkdagen]]</f>
        <v>0</v>
      </c>
      <c r="AN763" s="446">
        <f>Ruimtestaat[[#This Row],[kosten / jaar weekend]]+Ruimtestaat[[#This Row],[kosten / jaar werkdagen]]</f>
        <v>0</v>
      </c>
      <c r="AO763" s="446"/>
      <c r="AP763" s="446" t="str">
        <f>IF(Ruimtestaat[[#This Row],[Frequentie werkdagen]]="","",_xlfn.CONCAT(Ruimtestaat[[#This Row],[Ruimte code]],"-",Ruimtestaat[[#This Row],[Frequentie werkdagen]]," ",Ruimtestaat[[#This Row],[Vloer code]]))</f>
        <v>10-5w L</v>
      </c>
      <c r="AQ763" s="448" t="str">
        <f>_xlfn.IFNA(VLOOKUP($AP763,Programma!$F$3:$G$1101,2,0),"")</f>
        <v>_</v>
      </c>
      <c r="AR763" s="448" t="str">
        <f>_xlfn.IFNA(VLOOKUP($AP763,Programma!$F$3:$H$1101,3,0),"")</f>
        <v>_</v>
      </c>
      <c r="AS763" s="448" t="str">
        <f>_xlfn.IFNA(VLOOKUP($AP763,Programma!$F$3:$I$1101,4,0),"")</f>
        <v>4w</v>
      </c>
      <c r="AT763" s="448" t="str">
        <f>_xlfn.IFNA(VLOOKUP($AP763,Programma!$F$3:$J$1101,5,0),"")</f>
        <v>1w</v>
      </c>
      <c r="AU763" s="448" t="str">
        <f>_xlfn.IFNA(VLOOKUP($AP763,Programma!$F$3:$K$1101,6,0),"")</f>
        <v>_</v>
      </c>
      <c r="AV763" s="448" t="str">
        <f>_xlfn.IFNA(VLOOKUP($AP763,Programma!$F$3:$L$1101,7,0),"")</f>
        <v>_</v>
      </c>
      <c r="AW763" s="448" t="str">
        <f>_xlfn.IFNA(VLOOKUP($AP763,Programma!$F$3:$M$1101,8,0),"")</f>
        <v>_</v>
      </c>
      <c r="AX763" s="448" t="str">
        <f>_xlfn.IFNA(VLOOKUP($AP763,Programma!$F$3:$N$1101,9,0),"")</f>
        <v>_</v>
      </c>
      <c r="AY763" s="448" t="str">
        <f>_xlfn.IFNA(VLOOKUP($AP763,Programma!$F$3:$O$1101,10,0),"")</f>
        <v>5w</v>
      </c>
      <c r="AZ763" s="448" t="str">
        <f>_xlfn.IFNA(VLOOKUP($AP763,Programma!$F$3:$P$1101,11,0),"")</f>
        <v>5w</v>
      </c>
      <c r="BA763" s="448" t="str">
        <f>_xlfn.IFNA(VLOOKUP($AP763,Programma!$F$3:$Q$1101,12,0),"")</f>
        <v>1w</v>
      </c>
      <c r="BB763" s="448" t="str">
        <f>_xlfn.IFNA(VLOOKUP($AP763,Programma!$F$3:$R$1101,13,0),"")</f>
        <v>1w</v>
      </c>
      <c r="BC763" s="448" t="str">
        <f>_xlfn.IFNA(VLOOKUP($AP763,Programma!$F$3:$S$1101,14,0),"")</f>
        <v>1m</v>
      </c>
      <c r="BD763" s="448" t="str">
        <f>_xlfn.IFNA(VLOOKUP($AP763,Programma!$F$3:$T$1101,15,0),"")</f>
        <v>2j</v>
      </c>
      <c r="BE763" s="448" t="str">
        <f>_xlfn.IFNA(VLOOKUP($AP763,Programma!$F$3:$U$1101,16,0),"")</f>
        <v>1j</v>
      </c>
      <c r="BF763" s="448" t="str">
        <f>_xlfn.IFNA(VLOOKUP($AP763,Programma!$F$3:$V$1101,17,0),"")</f>
        <v>_</v>
      </c>
      <c r="BG763" s="448" t="str">
        <f>_xlfn.IFNA(VLOOKUP($AP763,Programma!$F$3:$W$1101,18,0),"")</f>
        <v>_</v>
      </c>
      <c r="BH763" s="448" t="str">
        <f>_xlfn.IFNA(VLOOKUP($AP763,Programma!$F$3:$X$1101,19,0),"")</f>
        <v>_</v>
      </c>
      <c r="BI763" s="448" t="str">
        <f>_xlfn.IFNA(VLOOKUP($AP763,Programma!$F$3:$Y$1101,20,0),"")</f>
        <v>_</v>
      </c>
      <c r="BJ763" s="449"/>
      <c r="BK763" s="446" t="str">
        <f>IF(Ruimtestaat[[#This Row],[Frequentie weekend]]="","",_xlfn.CONCAT(Ruimtestaat[[#This Row],[Ruimte code]],"-",Ruimtestaat[[#This Row],[Frequentie weekend]]," ",Ruimtestaat[[#This Row],[Vloer code]]))</f>
        <v/>
      </c>
      <c r="BL763" s="448" t="str">
        <f>_xlfn.IFNA(VLOOKUP($BK763,Programma!$F$3:$G$1101,2,0),"")</f>
        <v/>
      </c>
      <c r="BM763" s="448" t="str">
        <f>_xlfn.IFNA(VLOOKUP($BK763,Programma!$F$3:$H$1101,3,0),"")</f>
        <v/>
      </c>
      <c r="BN763" s="448" t="str">
        <f>_xlfn.IFNA(VLOOKUP($BK763,Programma!$F$3:$I$1101,4,0),"")</f>
        <v/>
      </c>
      <c r="BO763" s="448" t="str">
        <f>_xlfn.IFNA(VLOOKUP($BK763,Programma!$F$3:$J$1101,5,0),"")</f>
        <v/>
      </c>
      <c r="BP763" s="448" t="str">
        <f>_xlfn.IFNA(VLOOKUP($BK763,Programma!$F$3:$K$1101,6,0),"")</f>
        <v/>
      </c>
      <c r="BQ763" s="448" t="str">
        <f>_xlfn.IFNA(VLOOKUP($BK763,Programma!$F$3:$L$1101,7,0),"")</f>
        <v/>
      </c>
      <c r="BR763" s="448" t="str">
        <f>_xlfn.IFNA(VLOOKUP($BK763,Programma!$F$3:$M$1101,8,0),"")</f>
        <v/>
      </c>
      <c r="BS763" s="448" t="str">
        <f>_xlfn.IFNA(VLOOKUP($BK763,Programma!$F$3:$N$1101,9,0),"")</f>
        <v/>
      </c>
      <c r="BT763" s="448" t="str">
        <f>_xlfn.IFNA(VLOOKUP($BK763,Programma!$F$3:$O$1101,10,0),"")</f>
        <v/>
      </c>
      <c r="BU763" s="448" t="str">
        <f>_xlfn.IFNA(VLOOKUP($BK763,Programma!$F$3:$P$1101,11,0),"")</f>
        <v/>
      </c>
      <c r="BV763" s="448" t="str">
        <f>_xlfn.IFNA(VLOOKUP($BK763,Programma!$F$3:$Q$1101,12,0),"")</f>
        <v/>
      </c>
      <c r="BW763" s="448" t="str">
        <f>_xlfn.IFNA(VLOOKUP($BK763,Programma!$F$3:$R$1101,13,0),"")</f>
        <v/>
      </c>
      <c r="BX763" s="448" t="str">
        <f>_xlfn.IFNA(VLOOKUP($BK763,Programma!$F$3:$S$1101,14,0),"")</f>
        <v/>
      </c>
      <c r="BY763" s="448" t="str">
        <f>_xlfn.IFNA(VLOOKUP($BK763,Programma!$F$3:$T$1101,15,0),"")</f>
        <v/>
      </c>
      <c r="BZ763" s="448" t="str">
        <f>_xlfn.IFNA(VLOOKUP($BK763,Programma!$F$3:$U$1101,16,0),"")</f>
        <v/>
      </c>
      <c r="CA763" s="448" t="str">
        <f>_xlfn.IFNA(VLOOKUP($BK763,Programma!$F$3:$V$1101,17,0),"")</f>
        <v/>
      </c>
      <c r="CB763" s="448" t="str">
        <f>_xlfn.IFNA(VLOOKUP($BK763,Programma!$F$3:$W$1101,18,0),"")</f>
        <v/>
      </c>
      <c r="CC763" s="448" t="str">
        <f>_xlfn.IFNA(VLOOKUP($BK763,Programma!$F$3:$X$1101,19,0),"")</f>
        <v/>
      </c>
      <c r="CD763" s="448" t="str">
        <f>_xlfn.IFNA(VLOOKUP($BK763,Programma!$F$3:$Y$1101,20,0),"")</f>
        <v/>
      </c>
    </row>
    <row r="764" spans="1:82" ht="15" customHeight="1">
      <c r="A764" s="327">
        <v>15</v>
      </c>
      <c r="B764" s="435" t="str">
        <f>VLOOKUP(Ruimtestaat[[#This Row],[Code]],Locaties[[Code]:[Locatie]],2,FALSE)</f>
        <v>IKC  Da Vinci</v>
      </c>
      <c r="C764" s="435" t="str">
        <f>VLOOKUP(Ruimtestaat[[#This Row],[Code]],Locaties[[#All],[Code]:[Adres]],4,FALSE)</f>
        <v>Spitsbergen 17</v>
      </c>
      <c r="D764" s="435" t="str">
        <f>VLOOKUP(Ruimtestaat[[#This Row],[Code]],Locaties[[#All],[Code]:[Postcode]],5,FALSE)</f>
        <v>2721 GP</v>
      </c>
      <c r="E764" s="435" t="str">
        <f>VLOOKUP(Ruimtestaat[[#This Row],[Code]],Locaties[#All],6,FALSE)</f>
        <v>Zoetermeer</v>
      </c>
      <c r="F764" s="330" t="s">
        <v>2154</v>
      </c>
      <c r="I764" s="450" t="s">
        <v>2004</v>
      </c>
      <c r="J764" s="330">
        <v>10</v>
      </c>
      <c r="K764" s="450" t="str">
        <f>VLOOKUP(Ruimtestaat[[#This Row],[Ruimte code]],Ruimtegroepen[[#All],[Code]:[Ruimte omschrijving]],2,FALSE)</f>
        <v>Trappenhuizen/lift</v>
      </c>
      <c r="L764" s="434" t="s">
        <v>100</v>
      </c>
      <c r="M764" s="437" t="s">
        <v>1759</v>
      </c>
      <c r="N764" s="439">
        <v>10</v>
      </c>
      <c r="O764" s="439"/>
      <c r="P764" s="439"/>
      <c r="Q764" s="439"/>
      <c r="R764" s="440" t="str">
        <f>VLOOKUP(Ruimtestaat[[#This Row],[Ruimte code]],Ruimtegroepen[],4,FALSE)</f>
        <v>Ve</v>
      </c>
      <c r="S764" s="434">
        <v>41</v>
      </c>
      <c r="T764" s="434" t="s">
        <v>2</v>
      </c>
      <c r="U764" s="453">
        <f>IF(S764&gt;0,IF(RIGHT(Ruimtestaat[[#This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64" s="434">
        <f>IF(U764&gt;0,VLOOKUP($J764,Ruimtegroepen[],3,FALSE)*VLOOKUP($L764,Vloersoorten[],3,FALSE)*VLOOKUP($T764,Frequenties[],3,FALSE)*VLOOKUP($A764,Locaties[],3,FALSE),0)</f>
        <v>0</v>
      </c>
      <c r="W764" s="434">
        <f>Ruimtestaat[[#This Row],[Uitvoeringen werkdagen]]*Ruimtestaat[[#This Row],[Oppervlak (netto)]]</f>
        <v>2050</v>
      </c>
      <c r="X764" s="441">
        <f>IF(V764&gt;0,Ruimtestaat[[#This Row],[Prest. (m2 /jaar) werkdagen]]/Ruimtestaat[[#This Row],[Norm (m2/uur) werkdagen]],0)</f>
        <v>0</v>
      </c>
      <c r="Y764" s="442">
        <f>Ruimtestaat[[#This Row],[Uitvoeringen werkdagen]]*Ruimtestaat[[#This Row],[Gedeeltelijk]]</f>
        <v>0</v>
      </c>
      <c r="Z764" s="443" t="e">
        <f>IF(U764&gt;0,Ruimtestaat[[#This Row],[Prest. (m2 / jaar) werkdagen gedeeld]]/Ruimtestaat[[#This Row],[Norm (m2/uur) werkdagen]],0)</f>
        <v>#DIV/0!</v>
      </c>
      <c r="AA764" s="441" t="e">
        <f>Ruimtestaat[[#This Row],[uren / jaar werkdagen gedeeld]]*Tariefsopbouw!$E$35</f>
        <v>#DIV/0!</v>
      </c>
      <c r="AB764" s="441">
        <f>Ruimtestaat[[#This Row],[Uitvoeringen werkdagen]]*Ruimtestaat[[#This Row],[BSO]]</f>
        <v>0</v>
      </c>
      <c r="AC764" s="443" t="e">
        <f>IF(U764&gt;0,Ruimtestaat[[#This Row],[Prest. (m2 / jaar) werkdagen BSO]]/Ruimtestaat[[#This Row],[Norm (m2/uur) werkdagen]],0)</f>
        <v>#DIV/0!</v>
      </c>
      <c r="AD764" s="443" t="e">
        <f>Ruimtestaat[[#This Row],[uren / jaar werkdagen BSO]]*Tariefsopbouw!$E$35</f>
        <v>#DIV/0!</v>
      </c>
      <c r="AE764" s="444">
        <f>Ruimtestaat[[#This Row],[uren / jaar werkdagen]]*Tariefsopbouw!$E$35</f>
        <v>0</v>
      </c>
      <c r="AF764" s="454"/>
      <c r="AG764" s="455">
        <f>IF(Ruimtestaat[[#This Row],[Frequentie weekend]]&gt;0,VALUE(LEFT(AF764,1))*S764,0)</f>
        <v>0</v>
      </c>
      <c r="AH764" s="455">
        <f>IF($AG764&gt;0,VLOOKUP($J764,Ruimtegroepen[],3,FALSE)*VLOOKUP($L764,Vloersoorten[],3,FALSE)*VLOOKUP($AF764,Frequenties[],3,FALSE)*VLOOKUP(#REF!,Locaties[],3,FALSE),0)</f>
        <v>0</v>
      </c>
      <c r="AI764" s="434">
        <f>Ruimtestaat[[#This Row],[Uitvoeringen weekend]]*Ruimtestaat[[#This Row],[Oppervlak (netto)]]</f>
        <v>0</v>
      </c>
      <c r="AJ764" s="434">
        <f>IF(AH764&gt;0,Ruimtestaat[[#This Row],[Prest. (m2 /jaar) weekend]]/Ruimtestaat[[#This Row],[Norm (m2/uur) weekend]],0)</f>
        <v>0</v>
      </c>
      <c r="AK764" s="444">
        <f>Ruimtestaat[[#This Row],[uren / jaar weekend]]*Tariefsopbouw!$D$40</f>
        <v>0</v>
      </c>
      <c r="AL764" s="441">
        <f>Ruimtestaat[[#This Row],[Prest. (m2 /jaar) weekend]]+Ruimtestaat[[#This Row],[Prest. (m2 /jaar) werkdagen]]</f>
        <v>2050</v>
      </c>
      <c r="AM764" s="441">
        <f>Ruimtestaat[[#This Row],[uren / jaar weekend]]+Ruimtestaat[[#This Row],[uren / jaar werkdagen]]</f>
        <v>0</v>
      </c>
      <c r="AN764" s="446">
        <f>Ruimtestaat[[#This Row],[kosten / jaar weekend]]+Ruimtestaat[[#This Row],[kosten / jaar werkdagen]]</f>
        <v>0</v>
      </c>
      <c r="AO764" s="446"/>
      <c r="AP764" s="446" t="str">
        <f>IF(Ruimtestaat[[#This Row],[Frequentie werkdagen]]="","",_xlfn.CONCAT(Ruimtestaat[[#This Row],[Ruimte code]],"-",Ruimtestaat[[#This Row],[Frequentie werkdagen]]," ",Ruimtestaat[[#This Row],[Vloer code]]))</f>
        <v>10-5w L</v>
      </c>
      <c r="AQ764" s="448" t="str">
        <f>_xlfn.IFNA(VLOOKUP($AP764,Programma!$F$3:$G$1101,2,0),"")</f>
        <v>_</v>
      </c>
      <c r="AR764" s="448" t="str">
        <f>_xlfn.IFNA(VLOOKUP($AP764,Programma!$F$3:$H$1101,3,0),"")</f>
        <v>_</v>
      </c>
      <c r="AS764" s="448" t="str">
        <f>_xlfn.IFNA(VLOOKUP($AP764,Programma!$F$3:$I$1101,4,0),"")</f>
        <v>4w</v>
      </c>
      <c r="AT764" s="448" t="str">
        <f>_xlfn.IFNA(VLOOKUP($AP764,Programma!$F$3:$J$1101,5,0),"")</f>
        <v>1w</v>
      </c>
      <c r="AU764" s="448" t="str">
        <f>_xlfn.IFNA(VLOOKUP($AP764,Programma!$F$3:$K$1101,6,0),"")</f>
        <v>_</v>
      </c>
      <c r="AV764" s="448" t="str">
        <f>_xlfn.IFNA(VLOOKUP($AP764,Programma!$F$3:$L$1101,7,0),"")</f>
        <v>_</v>
      </c>
      <c r="AW764" s="448" t="str">
        <f>_xlfn.IFNA(VLOOKUP($AP764,Programma!$F$3:$M$1101,8,0),"")</f>
        <v>_</v>
      </c>
      <c r="AX764" s="448" t="str">
        <f>_xlfn.IFNA(VLOOKUP($AP764,Programma!$F$3:$N$1101,9,0),"")</f>
        <v>_</v>
      </c>
      <c r="AY764" s="448" t="str">
        <f>_xlfn.IFNA(VLOOKUP($AP764,Programma!$F$3:$O$1101,10,0),"")</f>
        <v>5w</v>
      </c>
      <c r="AZ764" s="448" t="str">
        <f>_xlfn.IFNA(VLOOKUP($AP764,Programma!$F$3:$P$1101,11,0),"")</f>
        <v>5w</v>
      </c>
      <c r="BA764" s="448" t="str">
        <f>_xlfn.IFNA(VLOOKUP($AP764,Programma!$F$3:$Q$1101,12,0),"")</f>
        <v>1w</v>
      </c>
      <c r="BB764" s="448" t="str">
        <f>_xlfn.IFNA(VLOOKUP($AP764,Programma!$F$3:$R$1101,13,0),"")</f>
        <v>1w</v>
      </c>
      <c r="BC764" s="448" t="str">
        <f>_xlfn.IFNA(VLOOKUP($AP764,Programma!$F$3:$S$1101,14,0),"")</f>
        <v>1m</v>
      </c>
      <c r="BD764" s="448" t="str">
        <f>_xlfn.IFNA(VLOOKUP($AP764,Programma!$F$3:$T$1101,15,0),"")</f>
        <v>2j</v>
      </c>
      <c r="BE764" s="448" t="str">
        <f>_xlfn.IFNA(VLOOKUP($AP764,Programma!$F$3:$U$1101,16,0),"")</f>
        <v>1j</v>
      </c>
      <c r="BF764" s="448" t="str">
        <f>_xlfn.IFNA(VLOOKUP($AP764,Programma!$F$3:$V$1101,17,0),"")</f>
        <v>_</v>
      </c>
      <c r="BG764" s="448" t="str">
        <f>_xlfn.IFNA(VLOOKUP($AP764,Programma!$F$3:$W$1101,18,0),"")</f>
        <v>_</v>
      </c>
      <c r="BH764" s="448" t="str">
        <f>_xlfn.IFNA(VLOOKUP($AP764,Programma!$F$3:$X$1101,19,0),"")</f>
        <v>_</v>
      </c>
      <c r="BI764" s="448" t="str">
        <f>_xlfn.IFNA(VLOOKUP($AP764,Programma!$F$3:$Y$1101,20,0),"")</f>
        <v>_</v>
      </c>
      <c r="BJ764" s="449"/>
      <c r="BK764" s="446" t="str">
        <f>IF(Ruimtestaat[[#This Row],[Frequentie weekend]]="","",_xlfn.CONCAT(Ruimtestaat[[#This Row],[Ruimte code]],"-",Ruimtestaat[[#This Row],[Frequentie weekend]]," ",Ruimtestaat[[#This Row],[Vloer code]]))</f>
        <v/>
      </c>
      <c r="BL764" s="448" t="str">
        <f>_xlfn.IFNA(VLOOKUP($BK764,Programma!$F$3:$G$1101,2,0),"")</f>
        <v/>
      </c>
      <c r="BM764" s="448" t="str">
        <f>_xlfn.IFNA(VLOOKUP($BK764,Programma!$F$3:$H$1101,3,0),"")</f>
        <v/>
      </c>
      <c r="BN764" s="448" t="str">
        <f>_xlfn.IFNA(VLOOKUP($BK764,Programma!$F$3:$I$1101,4,0),"")</f>
        <v/>
      </c>
      <c r="BO764" s="448" t="str">
        <f>_xlfn.IFNA(VLOOKUP($BK764,Programma!$F$3:$J$1101,5,0),"")</f>
        <v/>
      </c>
      <c r="BP764" s="448" t="str">
        <f>_xlfn.IFNA(VLOOKUP($BK764,Programma!$F$3:$K$1101,6,0),"")</f>
        <v/>
      </c>
      <c r="BQ764" s="448" t="str">
        <f>_xlfn.IFNA(VLOOKUP($BK764,Programma!$F$3:$L$1101,7,0),"")</f>
        <v/>
      </c>
      <c r="BR764" s="448" t="str">
        <f>_xlfn.IFNA(VLOOKUP($BK764,Programma!$F$3:$M$1101,8,0),"")</f>
        <v/>
      </c>
      <c r="BS764" s="448" t="str">
        <f>_xlfn.IFNA(VLOOKUP($BK764,Programma!$F$3:$N$1101,9,0),"")</f>
        <v/>
      </c>
      <c r="BT764" s="448" t="str">
        <f>_xlfn.IFNA(VLOOKUP($BK764,Programma!$F$3:$O$1101,10,0),"")</f>
        <v/>
      </c>
      <c r="BU764" s="448" t="str">
        <f>_xlfn.IFNA(VLOOKUP($BK764,Programma!$F$3:$P$1101,11,0),"")</f>
        <v/>
      </c>
      <c r="BV764" s="448" t="str">
        <f>_xlfn.IFNA(VLOOKUP($BK764,Programma!$F$3:$Q$1101,12,0),"")</f>
        <v/>
      </c>
      <c r="BW764" s="448" t="str">
        <f>_xlfn.IFNA(VLOOKUP($BK764,Programma!$F$3:$R$1101,13,0),"")</f>
        <v/>
      </c>
      <c r="BX764" s="448" t="str">
        <f>_xlfn.IFNA(VLOOKUP($BK764,Programma!$F$3:$S$1101,14,0),"")</f>
        <v/>
      </c>
      <c r="BY764" s="448" t="str">
        <f>_xlfn.IFNA(VLOOKUP($BK764,Programma!$F$3:$T$1101,15,0),"")</f>
        <v/>
      </c>
      <c r="BZ764" s="448" t="str">
        <f>_xlfn.IFNA(VLOOKUP($BK764,Programma!$F$3:$U$1101,16,0),"")</f>
        <v/>
      </c>
      <c r="CA764" s="448" t="str">
        <f>_xlfn.IFNA(VLOOKUP($BK764,Programma!$F$3:$V$1101,17,0),"")</f>
        <v/>
      </c>
      <c r="CB764" s="448" t="str">
        <f>_xlfn.IFNA(VLOOKUP($BK764,Programma!$F$3:$W$1101,18,0),"")</f>
        <v/>
      </c>
      <c r="CC764" s="448" t="str">
        <f>_xlfn.IFNA(VLOOKUP($BK764,Programma!$F$3:$X$1101,19,0),"")</f>
        <v/>
      </c>
      <c r="CD764" s="448" t="str">
        <f>_xlfn.IFNA(VLOOKUP($BK764,Programma!$F$3:$Y$1101,20,0),"")</f>
        <v/>
      </c>
    </row>
    <row r="765" spans="1:82" ht="15" customHeight="1">
      <c r="A765" s="327">
        <v>15</v>
      </c>
      <c r="B765" s="435" t="str">
        <f>VLOOKUP(Ruimtestaat[[#This Row],[Code]],Locaties[[Code]:[Locatie]],2,FALSE)</f>
        <v>IKC  Da Vinci</v>
      </c>
      <c r="C765" s="435" t="str">
        <f>VLOOKUP(Ruimtestaat[[#This Row],[Code]],Locaties[[#All],[Code]:[Adres]],4,FALSE)</f>
        <v>Spitsbergen 17</v>
      </c>
      <c r="D765" s="435" t="str">
        <f>VLOOKUP(Ruimtestaat[[#This Row],[Code]],Locaties[[#All],[Code]:[Postcode]],5,FALSE)</f>
        <v>2721 GP</v>
      </c>
      <c r="E765" s="435" t="str">
        <f>VLOOKUP(Ruimtestaat[[#This Row],[Code]],Locaties[#All],6,FALSE)</f>
        <v>Zoetermeer</v>
      </c>
      <c r="F765" s="330" t="s">
        <v>2154</v>
      </c>
      <c r="I765" s="450" t="s">
        <v>2004</v>
      </c>
      <c r="J765" s="330">
        <v>20</v>
      </c>
      <c r="K765" s="450" t="str">
        <f>VLOOKUP(Ruimtestaat[[#This Row],[Ruimte code]],Ruimtegroepen[[#All],[Code]:[Ruimte omschrijving]],2,FALSE)</f>
        <v>Niet in Onderhoud</v>
      </c>
      <c r="M765" s="330"/>
      <c r="N765" s="439"/>
      <c r="O765" s="439">
        <v>10</v>
      </c>
      <c r="P765" s="439"/>
      <c r="Q765" s="439"/>
      <c r="R765" s="440">
        <f>VLOOKUP(Ruimtestaat[[#This Row],[Ruimte code]],Ruimtegroepen[],4,FALSE)</f>
        <v>0</v>
      </c>
      <c r="S765" s="434"/>
      <c r="T765" s="434"/>
      <c r="U765" s="453">
        <f>IF(S765&gt;0,IF(RIGHT(Ruimtestaat[[#This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65" s="434">
        <f>IF(U765&gt;0,VLOOKUP($J765,Ruimtegroepen[],3,FALSE)*VLOOKUP($L765,Vloersoorten[],3,FALSE)*VLOOKUP($T765,Frequenties[],3,FALSE)*VLOOKUP($A765,Locaties[],3,FALSE),0)</f>
        <v>0</v>
      </c>
      <c r="W765" s="434">
        <f>Ruimtestaat[[#This Row],[Uitvoeringen werkdagen]]*Ruimtestaat[[#This Row],[Oppervlak (netto)]]</f>
        <v>0</v>
      </c>
      <c r="X765" s="441">
        <f>IF(V765&gt;0,Ruimtestaat[[#This Row],[Prest. (m2 /jaar) werkdagen]]/Ruimtestaat[[#This Row],[Norm (m2/uur) werkdagen]],0)</f>
        <v>0</v>
      </c>
      <c r="Y765" s="442">
        <f>Ruimtestaat[[#This Row],[Uitvoeringen werkdagen]]*Ruimtestaat[[#This Row],[Gedeeltelijk]]</f>
        <v>0</v>
      </c>
      <c r="Z765" s="443">
        <f>IF(U765&gt;0,Ruimtestaat[[#This Row],[Prest. (m2 / jaar) werkdagen gedeeld]]/Ruimtestaat[[#This Row],[Norm (m2/uur) werkdagen]],0)</f>
        <v>0</v>
      </c>
      <c r="AA765" s="441">
        <f>Ruimtestaat[[#This Row],[uren / jaar werkdagen gedeeld]]*Tariefsopbouw!$E$35</f>
        <v>0</v>
      </c>
      <c r="AB765" s="441">
        <f>Ruimtestaat[[#This Row],[Uitvoeringen werkdagen]]*Ruimtestaat[[#This Row],[BSO]]</f>
        <v>0</v>
      </c>
      <c r="AC765" s="443">
        <f>IF(U765&gt;0,Ruimtestaat[[#This Row],[Prest. (m2 / jaar) werkdagen BSO]]/Ruimtestaat[[#This Row],[Norm (m2/uur) werkdagen]],0)</f>
        <v>0</v>
      </c>
      <c r="AD765" s="443">
        <f>Ruimtestaat[[#This Row],[uren / jaar werkdagen BSO]]*Tariefsopbouw!$E$35</f>
        <v>0</v>
      </c>
      <c r="AE765" s="444">
        <f>Ruimtestaat[[#This Row],[uren / jaar werkdagen]]*Tariefsopbouw!$E$35</f>
        <v>0</v>
      </c>
      <c r="AF765" s="454"/>
      <c r="AG765" s="455">
        <f>IF(Ruimtestaat[[#This Row],[Frequentie weekend]]&gt;0,VALUE(LEFT(AF765,1))*S765,0)</f>
        <v>0</v>
      </c>
      <c r="AH765" s="455">
        <f>IF($AG765&gt;0,VLOOKUP($J765,Ruimtegroepen[],3,FALSE)*VLOOKUP($L765,Vloersoorten[],3,FALSE)*VLOOKUP($AF765,Frequenties[],3,FALSE)*VLOOKUP(#REF!,Locaties[],3,FALSE),0)</f>
        <v>0</v>
      </c>
      <c r="AI765" s="434">
        <f>Ruimtestaat[[#This Row],[Uitvoeringen weekend]]*Ruimtestaat[[#This Row],[Oppervlak (netto)]]</f>
        <v>0</v>
      </c>
      <c r="AJ765" s="434">
        <f>IF(AH765&gt;0,Ruimtestaat[[#This Row],[Prest. (m2 /jaar) weekend]]/Ruimtestaat[[#This Row],[Norm (m2/uur) weekend]],0)</f>
        <v>0</v>
      </c>
      <c r="AK765" s="444">
        <f>Ruimtestaat[[#This Row],[uren / jaar weekend]]*Tariefsopbouw!$D$40</f>
        <v>0</v>
      </c>
      <c r="AL765" s="441">
        <f>Ruimtestaat[[#This Row],[Prest. (m2 /jaar) weekend]]+Ruimtestaat[[#This Row],[Prest. (m2 /jaar) werkdagen]]</f>
        <v>0</v>
      </c>
      <c r="AM765" s="441">
        <f>Ruimtestaat[[#This Row],[uren / jaar weekend]]+Ruimtestaat[[#This Row],[uren / jaar werkdagen]]</f>
        <v>0</v>
      </c>
      <c r="AN765" s="446">
        <f>Ruimtestaat[[#This Row],[kosten / jaar weekend]]+Ruimtestaat[[#This Row],[kosten / jaar werkdagen]]</f>
        <v>0</v>
      </c>
      <c r="AO765" s="446"/>
      <c r="AP765" s="446" t="str">
        <f>IF(Ruimtestaat[[#This Row],[Frequentie werkdagen]]="","",_xlfn.CONCAT(Ruimtestaat[[#This Row],[Ruimte code]],"-",Ruimtestaat[[#This Row],[Frequentie werkdagen]]," ",Ruimtestaat[[#This Row],[Vloer code]]))</f>
        <v/>
      </c>
      <c r="AQ765" s="448" t="str">
        <f>_xlfn.IFNA(VLOOKUP($AP765,Programma!$F$3:$G$1101,2,0),"")</f>
        <v/>
      </c>
      <c r="AR765" s="448" t="str">
        <f>_xlfn.IFNA(VLOOKUP($AP765,Programma!$F$3:$H$1101,3,0),"")</f>
        <v/>
      </c>
      <c r="AS765" s="448" t="str">
        <f>_xlfn.IFNA(VLOOKUP($AP765,Programma!$F$3:$I$1101,4,0),"")</f>
        <v/>
      </c>
      <c r="AT765" s="448" t="str">
        <f>_xlfn.IFNA(VLOOKUP($AP765,Programma!$F$3:$J$1101,5,0),"")</f>
        <v/>
      </c>
      <c r="AU765" s="448" t="str">
        <f>_xlfn.IFNA(VLOOKUP($AP765,Programma!$F$3:$K$1101,6,0),"")</f>
        <v/>
      </c>
      <c r="AV765" s="448" t="str">
        <f>_xlfn.IFNA(VLOOKUP($AP765,Programma!$F$3:$L$1101,7,0),"")</f>
        <v/>
      </c>
      <c r="AW765" s="448" t="str">
        <f>_xlfn.IFNA(VLOOKUP($AP765,Programma!$F$3:$M$1101,8,0),"")</f>
        <v/>
      </c>
      <c r="AX765" s="448" t="str">
        <f>_xlfn.IFNA(VLOOKUP($AP765,Programma!$F$3:$N$1101,9,0),"")</f>
        <v/>
      </c>
      <c r="AY765" s="448" t="str">
        <f>_xlfn.IFNA(VLOOKUP($AP765,Programma!$F$3:$O$1101,10,0),"")</f>
        <v/>
      </c>
      <c r="AZ765" s="448" t="str">
        <f>_xlfn.IFNA(VLOOKUP($AP765,Programma!$F$3:$P$1101,11,0),"")</f>
        <v/>
      </c>
      <c r="BA765" s="448" t="str">
        <f>_xlfn.IFNA(VLOOKUP($AP765,Programma!$F$3:$Q$1101,12,0),"")</f>
        <v/>
      </c>
      <c r="BB765" s="448" t="str">
        <f>_xlfn.IFNA(VLOOKUP($AP765,Programma!$F$3:$R$1101,13,0),"")</f>
        <v/>
      </c>
      <c r="BC765" s="448" t="str">
        <f>_xlfn.IFNA(VLOOKUP($AP765,Programma!$F$3:$S$1101,14,0),"")</f>
        <v/>
      </c>
      <c r="BD765" s="448" t="str">
        <f>_xlfn.IFNA(VLOOKUP($AP765,Programma!$F$3:$T$1101,15,0),"")</f>
        <v/>
      </c>
      <c r="BE765" s="448" t="str">
        <f>_xlfn.IFNA(VLOOKUP($AP765,Programma!$F$3:$U$1101,16,0),"")</f>
        <v/>
      </c>
      <c r="BF765" s="448" t="str">
        <f>_xlfn.IFNA(VLOOKUP($AP765,Programma!$F$3:$V$1101,17,0),"")</f>
        <v/>
      </c>
      <c r="BG765" s="448" t="str">
        <f>_xlfn.IFNA(VLOOKUP($AP765,Programma!$F$3:$W$1101,18,0),"")</f>
        <v/>
      </c>
      <c r="BH765" s="448" t="str">
        <f>_xlfn.IFNA(VLOOKUP($AP765,Programma!$F$3:$X$1101,19,0),"")</f>
        <v/>
      </c>
      <c r="BI765" s="448" t="str">
        <f>_xlfn.IFNA(VLOOKUP($AP765,Programma!$F$3:$Y$1101,20,0),"")</f>
        <v/>
      </c>
      <c r="BJ765" s="449"/>
      <c r="BK765" s="446" t="str">
        <f>IF(Ruimtestaat[[#This Row],[Frequentie weekend]]="","",_xlfn.CONCAT(Ruimtestaat[[#This Row],[Ruimte code]],"-",Ruimtestaat[[#This Row],[Frequentie weekend]]," ",Ruimtestaat[[#This Row],[Vloer code]]))</f>
        <v/>
      </c>
      <c r="BL765" s="448" t="str">
        <f>_xlfn.IFNA(VLOOKUP($BK765,Programma!$F$3:$G$1101,2,0),"")</f>
        <v/>
      </c>
      <c r="BM765" s="448" t="str">
        <f>_xlfn.IFNA(VLOOKUP($BK765,Programma!$F$3:$H$1101,3,0),"")</f>
        <v/>
      </c>
      <c r="BN765" s="448" t="str">
        <f>_xlfn.IFNA(VLOOKUP($BK765,Programma!$F$3:$I$1101,4,0),"")</f>
        <v/>
      </c>
      <c r="BO765" s="448" t="str">
        <f>_xlfn.IFNA(VLOOKUP($BK765,Programma!$F$3:$J$1101,5,0),"")</f>
        <v/>
      </c>
      <c r="BP765" s="448" t="str">
        <f>_xlfn.IFNA(VLOOKUP($BK765,Programma!$F$3:$K$1101,6,0),"")</f>
        <v/>
      </c>
      <c r="BQ765" s="448" t="str">
        <f>_xlfn.IFNA(VLOOKUP($BK765,Programma!$F$3:$L$1101,7,0),"")</f>
        <v/>
      </c>
      <c r="BR765" s="448" t="str">
        <f>_xlfn.IFNA(VLOOKUP($BK765,Programma!$F$3:$M$1101,8,0),"")</f>
        <v/>
      </c>
      <c r="BS765" s="448" t="str">
        <f>_xlfn.IFNA(VLOOKUP($BK765,Programma!$F$3:$N$1101,9,0),"")</f>
        <v/>
      </c>
      <c r="BT765" s="448" t="str">
        <f>_xlfn.IFNA(VLOOKUP($BK765,Programma!$F$3:$O$1101,10,0),"")</f>
        <v/>
      </c>
      <c r="BU765" s="448" t="str">
        <f>_xlfn.IFNA(VLOOKUP($BK765,Programma!$F$3:$P$1101,11,0),"")</f>
        <v/>
      </c>
      <c r="BV765" s="448" t="str">
        <f>_xlfn.IFNA(VLOOKUP($BK765,Programma!$F$3:$Q$1101,12,0),"")</f>
        <v/>
      </c>
      <c r="BW765" s="448" t="str">
        <f>_xlfn.IFNA(VLOOKUP($BK765,Programma!$F$3:$R$1101,13,0),"")</f>
        <v/>
      </c>
      <c r="BX765" s="448" t="str">
        <f>_xlfn.IFNA(VLOOKUP($BK765,Programma!$F$3:$S$1101,14,0),"")</f>
        <v/>
      </c>
      <c r="BY765" s="448" t="str">
        <f>_xlfn.IFNA(VLOOKUP($BK765,Programma!$F$3:$T$1101,15,0),"")</f>
        <v/>
      </c>
      <c r="BZ765" s="448" t="str">
        <f>_xlfn.IFNA(VLOOKUP($BK765,Programma!$F$3:$U$1101,16,0),"")</f>
        <v/>
      </c>
      <c r="CA765" s="448" t="str">
        <f>_xlfn.IFNA(VLOOKUP($BK765,Programma!$F$3:$V$1101,17,0),"")</f>
        <v/>
      </c>
      <c r="CB765" s="448" t="str">
        <f>_xlfn.IFNA(VLOOKUP($BK765,Programma!$F$3:$W$1101,18,0),"")</f>
        <v/>
      </c>
      <c r="CC765" s="448" t="str">
        <f>_xlfn.IFNA(VLOOKUP($BK765,Programma!$F$3:$X$1101,19,0),"")</f>
        <v/>
      </c>
      <c r="CD765" s="448" t="str">
        <f>_xlfn.IFNA(VLOOKUP($BK765,Programma!$F$3:$Y$1101,20,0),"")</f>
        <v/>
      </c>
    </row>
    <row r="766" spans="1:82" ht="15" customHeight="1">
      <c r="A766" s="327">
        <v>15</v>
      </c>
      <c r="B766" s="435" t="str">
        <f>VLOOKUP(Ruimtestaat[[#This Row],[Code]],Locaties[[Code]:[Locatie]],2,FALSE)</f>
        <v>IKC  Da Vinci</v>
      </c>
      <c r="C766" s="435" t="str">
        <f>VLOOKUP(Ruimtestaat[[#This Row],[Code]],Locaties[[#All],[Code]:[Adres]],4,FALSE)</f>
        <v>Spitsbergen 17</v>
      </c>
      <c r="D766" s="435" t="str">
        <f>VLOOKUP(Ruimtestaat[[#This Row],[Code]],Locaties[[#All],[Code]:[Postcode]],5,FALSE)</f>
        <v>2721 GP</v>
      </c>
      <c r="E766" s="435" t="str">
        <f>VLOOKUP(Ruimtestaat[[#This Row],[Code]],Locaties[#All],6,FALSE)</f>
        <v>Zoetermeer</v>
      </c>
      <c r="F766" s="330" t="s">
        <v>2154</v>
      </c>
      <c r="I766" s="450" t="s">
        <v>2005</v>
      </c>
      <c r="J766" s="330">
        <v>10</v>
      </c>
      <c r="K766" s="450" t="str">
        <f>VLOOKUP(Ruimtestaat[[#This Row],[Ruimte code]],Ruimtegroepen[[#All],[Code]:[Ruimte omschrijving]],2,FALSE)</f>
        <v>Trappenhuizen/lift</v>
      </c>
      <c r="L766" s="434" t="s">
        <v>100</v>
      </c>
      <c r="M766" s="437" t="s">
        <v>1759</v>
      </c>
      <c r="N766" s="439">
        <v>10</v>
      </c>
      <c r="O766" s="439"/>
      <c r="P766" s="439"/>
      <c r="Q766" s="439"/>
      <c r="R766" s="440" t="str">
        <f>VLOOKUP(Ruimtestaat[[#This Row],[Ruimte code]],Ruimtegroepen[],4,FALSE)</f>
        <v>Ve</v>
      </c>
      <c r="S766" s="434">
        <v>41</v>
      </c>
      <c r="T766" s="434" t="s">
        <v>2</v>
      </c>
      <c r="U766" s="453">
        <f>IF(S766&gt;0,IF(RIGHT(Ruimtestaat[[#This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66" s="434">
        <f>IF(U766&gt;0,VLOOKUP($J766,Ruimtegroepen[],3,FALSE)*VLOOKUP($L766,Vloersoorten[],3,FALSE)*VLOOKUP($T766,Frequenties[],3,FALSE)*VLOOKUP($A766,Locaties[],3,FALSE),0)</f>
        <v>0</v>
      </c>
      <c r="W766" s="434">
        <f>Ruimtestaat[[#This Row],[Uitvoeringen werkdagen]]*Ruimtestaat[[#This Row],[Oppervlak (netto)]]</f>
        <v>2050</v>
      </c>
      <c r="X766" s="441">
        <f>IF(V766&gt;0,Ruimtestaat[[#This Row],[Prest. (m2 /jaar) werkdagen]]/Ruimtestaat[[#This Row],[Norm (m2/uur) werkdagen]],0)</f>
        <v>0</v>
      </c>
      <c r="Y766" s="442">
        <f>Ruimtestaat[[#This Row],[Uitvoeringen werkdagen]]*Ruimtestaat[[#This Row],[Gedeeltelijk]]</f>
        <v>0</v>
      </c>
      <c r="Z766" s="443" t="e">
        <f>IF(U766&gt;0,Ruimtestaat[[#This Row],[Prest. (m2 / jaar) werkdagen gedeeld]]/Ruimtestaat[[#This Row],[Norm (m2/uur) werkdagen]],0)</f>
        <v>#DIV/0!</v>
      </c>
      <c r="AA766" s="441" t="e">
        <f>Ruimtestaat[[#This Row],[uren / jaar werkdagen gedeeld]]*Tariefsopbouw!$E$35</f>
        <v>#DIV/0!</v>
      </c>
      <c r="AB766" s="441">
        <f>Ruimtestaat[[#This Row],[Uitvoeringen werkdagen]]*Ruimtestaat[[#This Row],[BSO]]</f>
        <v>0</v>
      </c>
      <c r="AC766" s="443" t="e">
        <f>IF(U766&gt;0,Ruimtestaat[[#This Row],[Prest. (m2 / jaar) werkdagen BSO]]/Ruimtestaat[[#This Row],[Norm (m2/uur) werkdagen]],0)</f>
        <v>#DIV/0!</v>
      </c>
      <c r="AD766" s="443" t="e">
        <f>Ruimtestaat[[#This Row],[uren / jaar werkdagen BSO]]*Tariefsopbouw!$E$35</f>
        <v>#DIV/0!</v>
      </c>
      <c r="AE766" s="444">
        <f>Ruimtestaat[[#This Row],[uren / jaar werkdagen]]*Tariefsopbouw!$E$35</f>
        <v>0</v>
      </c>
      <c r="AF766" s="454"/>
      <c r="AG766" s="455">
        <f>IF(Ruimtestaat[[#This Row],[Frequentie weekend]]&gt;0,VALUE(LEFT(AF766,1))*S766,0)</f>
        <v>0</v>
      </c>
      <c r="AH766" s="455">
        <f>IF($AG766&gt;0,VLOOKUP($J766,Ruimtegroepen[],3,FALSE)*VLOOKUP($L766,Vloersoorten[],3,FALSE)*VLOOKUP($AF766,Frequenties[],3,FALSE)*VLOOKUP(#REF!,Locaties[],3,FALSE),0)</f>
        <v>0</v>
      </c>
      <c r="AI766" s="434">
        <f>Ruimtestaat[[#This Row],[Uitvoeringen weekend]]*Ruimtestaat[[#This Row],[Oppervlak (netto)]]</f>
        <v>0</v>
      </c>
      <c r="AJ766" s="434">
        <f>IF(AH766&gt;0,Ruimtestaat[[#This Row],[Prest. (m2 /jaar) weekend]]/Ruimtestaat[[#This Row],[Norm (m2/uur) weekend]],0)</f>
        <v>0</v>
      </c>
      <c r="AK766" s="444">
        <f>Ruimtestaat[[#This Row],[uren / jaar weekend]]*Tariefsopbouw!$D$40</f>
        <v>0</v>
      </c>
      <c r="AL766" s="441">
        <f>Ruimtestaat[[#This Row],[Prest. (m2 /jaar) weekend]]+Ruimtestaat[[#This Row],[Prest. (m2 /jaar) werkdagen]]</f>
        <v>2050</v>
      </c>
      <c r="AM766" s="441">
        <f>Ruimtestaat[[#This Row],[uren / jaar weekend]]+Ruimtestaat[[#This Row],[uren / jaar werkdagen]]</f>
        <v>0</v>
      </c>
      <c r="AN766" s="446">
        <f>Ruimtestaat[[#This Row],[kosten / jaar weekend]]+Ruimtestaat[[#This Row],[kosten / jaar werkdagen]]</f>
        <v>0</v>
      </c>
      <c r="AO766" s="446"/>
      <c r="AP766" s="446" t="str">
        <f>IF(Ruimtestaat[[#This Row],[Frequentie werkdagen]]="","",_xlfn.CONCAT(Ruimtestaat[[#This Row],[Ruimte code]],"-",Ruimtestaat[[#This Row],[Frequentie werkdagen]]," ",Ruimtestaat[[#This Row],[Vloer code]]))</f>
        <v>10-5w L</v>
      </c>
      <c r="AQ766" s="448" t="str">
        <f>_xlfn.IFNA(VLOOKUP($AP766,Programma!$F$3:$G$1101,2,0),"")</f>
        <v>_</v>
      </c>
      <c r="AR766" s="448" t="str">
        <f>_xlfn.IFNA(VLOOKUP($AP766,Programma!$F$3:$H$1101,3,0),"")</f>
        <v>_</v>
      </c>
      <c r="AS766" s="448" t="str">
        <f>_xlfn.IFNA(VLOOKUP($AP766,Programma!$F$3:$I$1101,4,0),"")</f>
        <v>4w</v>
      </c>
      <c r="AT766" s="448" t="str">
        <f>_xlfn.IFNA(VLOOKUP($AP766,Programma!$F$3:$J$1101,5,0),"")</f>
        <v>1w</v>
      </c>
      <c r="AU766" s="448" t="str">
        <f>_xlfn.IFNA(VLOOKUP($AP766,Programma!$F$3:$K$1101,6,0),"")</f>
        <v>_</v>
      </c>
      <c r="AV766" s="448" t="str">
        <f>_xlfn.IFNA(VLOOKUP($AP766,Programma!$F$3:$L$1101,7,0),"")</f>
        <v>_</v>
      </c>
      <c r="AW766" s="448" t="str">
        <f>_xlfn.IFNA(VLOOKUP($AP766,Programma!$F$3:$M$1101,8,0),"")</f>
        <v>_</v>
      </c>
      <c r="AX766" s="448" t="str">
        <f>_xlfn.IFNA(VLOOKUP($AP766,Programma!$F$3:$N$1101,9,0),"")</f>
        <v>_</v>
      </c>
      <c r="AY766" s="448" t="str">
        <f>_xlfn.IFNA(VLOOKUP($AP766,Programma!$F$3:$O$1101,10,0),"")</f>
        <v>5w</v>
      </c>
      <c r="AZ766" s="448" t="str">
        <f>_xlfn.IFNA(VLOOKUP($AP766,Programma!$F$3:$P$1101,11,0),"")</f>
        <v>5w</v>
      </c>
      <c r="BA766" s="448" t="str">
        <f>_xlfn.IFNA(VLOOKUP($AP766,Programma!$F$3:$Q$1101,12,0),"")</f>
        <v>1w</v>
      </c>
      <c r="BB766" s="448" t="str">
        <f>_xlfn.IFNA(VLOOKUP($AP766,Programma!$F$3:$R$1101,13,0),"")</f>
        <v>1w</v>
      </c>
      <c r="BC766" s="448" t="str">
        <f>_xlfn.IFNA(VLOOKUP($AP766,Programma!$F$3:$S$1101,14,0),"")</f>
        <v>1m</v>
      </c>
      <c r="BD766" s="448" t="str">
        <f>_xlfn.IFNA(VLOOKUP($AP766,Programma!$F$3:$T$1101,15,0),"")</f>
        <v>2j</v>
      </c>
      <c r="BE766" s="448" t="str">
        <f>_xlfn.IFNA(VLOOKUP($AP766,Programma!$F$3:$U$1101,16,0),"")</f>
        <v>1j</v>
      </c>
      <c r="BF766" s="448" t="str">
        <f>_xlfn.IFNA(VLOOKUP($AP766,Programma!$F$3:$V$1101,17,0),"")</f>
        <v>_</v>
      </c>
      <c r="BG766" s="448" t="str">
        <f>_xlfn.IFNA(VLOOKUP($AP766,Programma!$F$3:$W$1101,18,0),"")</f>
        <v>_</v>
      </c>
      <c r="BH766" s="448" t="str">
        <f>_xlfn.IFNA(VLOOKUP($AP766,Programma!$F$3:$X$1101,19,0),"")</f>
        <v>_</v>
      </c>
      <c r="BI766" s="448" t="str">
        <f>_xlfn.IFNA(VLOOKUP($AP766,Programma!$F$3:$Y$1101,20,0),"")</f>
        <v>_</v>
      </c>
      <c r="BJ766" s="449"/>
      <c r="BK766" s="446" t="str">
        <f>IF(Ruimtestaat[[#This Row],[Frequentie weekend]]="","",_xlfn.CONCAT(Ruimtestaat[[#This Row],[Ruimte code]],"-",Ruimtestaat[[#This Row],[Frequentie weekend]]," ",Ruimtestaat[[#This Row],[Vloer code]]))</f>
        <v/>
      </c>
      <c r="BL766" s="448" t="str">
        <f>_xlfn.IFNA(VLOOKUP($BK766,Programma!$F$3:$G$1101,2,0),"")</f>
        <v/>
      </c>
      <c r="BM766" s="448" t="str">
        <f>_xlfn.IFNA(VLOOKUP($BK766,Programma!$F$3:$H$1101,3,0),"")</f>
        <v/>
      </c>
      <c r="BN766" s="448" t="str">
        <f>_xlfn.IFNA(VLOOKUP($BK766,Programma!$F$3:$I$1101,4,0),"")</f>
        <v/>
      </c>
      <c r="BO766" s="448" t="str">
        <f>_xlfn.IFNA(VLOOKUP($BK766,Programma!$F$3:$J$1101,5,0),"")</f>
        <v/>
      </c>
      <c r="BP766" s="448" t="str">
        <f>_xlfn.IFNA(VLOOKUP($BK766,Programma!$F$3:$K$1101,6,0),"")</f>
        <v/>
      </c>
      <c r="BQ766" s="448" t="str">
        <f>_xlfn.IFNA(VLOOKUP($BK766,Programma!$F$3:$L$1101,7,0),"")</f>
        <v/>
      </c>
      <c r="BR766" s="448" t="str">
        <f>_xlfn.IFNA(VLOOKUP($BK766,Programma!$F$3:$M$1101,8,0),"")</f>
        <v/>
      </c>
      <c r="BS766" s="448" t="str">
        <f>_xlfn.IFNA(VLOOKUP($BK766,Programma!$F$3:$N$1101,9,0),"")</f>
        <v/>
      </c>
      <c r="BT766" s="448" t="str">
        <f>_xlfn.IFNA(VLOOKUP($BK766,Programma!$F$3:$O$1101,10,0),"")</f>
        <v/>
      </c>
      <c r="BU766" s="448" t="str">
        <f>_xlfn.IFNA(VLOOKUP($BK766,Programma!$F$3:$P$1101,11,0),"")</f>
        <v/>
      </c>
      <c r="BV766" s="448" t="str">
        <f>_xlfn.IFNA(VLOOKUP($BK766,Programma!$F$3:$Q$1101,12,0),"")</f>
        <v/>
      </c>
      <c r="BW766" s="448" t="str">
        <f>_xlfn.IFNA(VLOOKUP($BK766,Programma!$F$3:$R$1101,13,0),"")</f>
        <v/>
      </c>
      <c r="BX766" s="448" t="str">
        <f>_xlfn.IFNA(VLOOKUP($BK766,Programma!$F$3:$S$1101,14,0),"")</f>
        <v/>
      </c>
      <c r="BY766" s="448" t="str">
        <f>_xlfn.IFNA(VLOOKUP($BK766,Programma!$F$3:$T$1101,15,0),"")</f>
        <v/>
      </c>
      <c r="BZ766" s="448" t="str">
        <f>_xlfn.IFNA(VLOOKUP($BK766,Programma!$F$3:$U$1101,16,0),"")</f>
        <v/>
      </c>
      <c r="CA766" s="448" t="str">
        <f>_xlfn.IFNA(VLOOKUP($BK766,Programma!$F$3:$V$1101,17,0),"")</f>
        <v/>
      </c>
      <c r="CB766" s="448" t="str">
        <f>_xlfn.IFNA(VLOOKUP($BK766,Programma!$F$3:$W$1101,18,0),"")</f>
        <v/>
      </c>
      <c r="CC766" s="448" t="str">
        <f>_xlfn.IFNA(VLOOKUP($BK766,Programma!$F$3:$X$1101,19,0),"")</f>
        <v/>
      </c>
      <c r="CD766" s="448" t="str">
        <f>_xlfn.IFNA(VLOOKUP($BK766,Programma!$F$3:$Y$1101,20,0),"")</f>
        <v/>
      </c>
    </row>
    <row r="767" spans="1:82" ht="15" customHeight="1">
      <c r="A767" s="327">
        <v>15</v>
      </c>
      <c r="B767" s="435" t="str">
        <f>VLOOKUP(Ruimtestaat[[#This Row],[Code]],Locaties[[Code]:[Locatie]],2,FALSE)</f>
        <v>IKC  Da Vinci</v>
      </c>
      <c r="C767" s="435" t="str">
        <f>VLOOKUP(Ruimtestaat[[#This Row],[Code]],Locaties[[#All],[Code]:[Adres]],4,FALSE)</f>
        <v>Spitsbergen 17</v>
      </c>
      <c r="D767" s="435" t="str">
        <f>VLOOKUP(Ruimtestaat[[#This Row],[Code]],Locaties[[#All],[Code]:[Postcode]],5,FALSE)</f>
        <v>2721 GP</v>
      </c>
      <c r="E767" s="435" t="str">
        <f>VLOOKUP(Ruimtestaat[[#This Row],[Code]],Locaties[#All],6,FALSE)</f>
        <v>Zoetermeer</v>
      </c>
      <c r="F767" s="330" t="s">
        <v>2154</v>
      </c>
      <c r="I767" s="450" t="s">
        <v>2005</v>
      </c>
      <c r="J767" s="330">
        <v>10</v>
      </c>
      <c r="K767" s="450" t="str">
        <f>VLOOKUP(Ruimtestaat[[#This Row],[Ruimte code]],Ruimtegroepen[[#All],[Code]:[Ruimte omschrijving]],2,FALSE)</f>
        <v>Trappenhuizen/lift</v>
      </c>
      <c r="L767" s="434" t="s">
        <v>100</v>
      </c>
      <c r="M767" s="437" t="s">
        <v>1759</v>
      </c>
      <c r="N767" s="439">
        <v>10</v>
      </c>
      <c r="O767" s="439"/>
      <c r="P767" s="439"/>
      <c r="Q767" s="439"/>
      <c r="R767" s="440" t="str">
        <f>VLOOKUP(Ruimtestaat[[#This Row],[Ruimte code]],Ruimtegroepen[],4,FALSE)</f>
        <v>Ve</v>
      </c>
      <c r="S767" s="434">
        <v>41</v>
      </c>
      <c r="T767" s="434" t="s">
        <v>2</v>
      </c>
      <c r="U767" s="453">
        <f>IF(S767&gt;0,IF(RIGHT(Ruimtestaat[[#This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67" s="434">
        <f>IF(U767&gt;0,VLOOKUP($J767,Ruimtegroepen[],3,FALSE)*VLOOKUP($L767,Vloersoorten[],3,FALSE)*VLOOKUP($T767,Frequenties[],3,FALSE)*VLOOKUP($A767,Locaties[],3,FALSE),0)</f>
        <v>0</v>
      </c>
      <c r="W767" s="434">
        <f>Ruimtestaat[[#This Row],[Uitvoeringen werkdagen]]*Ruimtestaat[[#This Row],[Oppervlak (netto)]]</f>
        <v>2050</v>
      </c>
      <c r="X767" s="441">
        <f>IF(V767&gt;0,Ruimtestaat[[#This Row],[Prest. (m2 /jaar) werkdagen]]/Ruimtestaat[[#This Row],[Norm (m2/uur) werkdagen]],0)</f>
        <v>0</v>
      </c>
      <c r="Y767" s="442">
        <f>Ruimtestaat[[#This Row],[Uitvoeringen werkdagen]]*Ruimtestaat[[#This Row],[Gedeeltelijk]]</f>
        <v>0</v>
      </c>
      <c r="Z767" s="443" t="e">
        <f>IF(U767&gt;0,Ruimtestaat[[#This Row],[Prest. (m2 / jaar) werkdagen gedeeld]]/Ruimtestaat[[#This Row],[Norm (m2/uur) werkdagen]],0)</f>
        <v>#DIV/0!</v>
      </c>
      <c r="AA767" s="441" t="e">
        <f>Ruimtestaat[[#This Row],[uren / jaar werkdagen gedeeld]]*Tariefsopbouw!$E$35</f>
        <v>#DIV/0!</v>
      </c>
      <c r="AB767" s="441">
        <f>Ruimtestaat[[#This Row],[Uitvoeringen werkdagen]]*Ruimtestaat[[#This Row],[BSO]]</f>
        <v>0</v>
      </c>
      <c r="AC767" s="443" t="e">
        <f>IF(U767&gt;0,Ruimtestaat[[#This Row],[Prest. (m2 / jaar) werkdagen BSO]]/Ruimtestaat[[#This Row],[Norm (m2/uur) werkdagen]],0)</f>
        <v>#DIV/0!</v>
      </c>
      <c r="AD767" s="443" t="e">
        <f>Ruimtestaat[[#This Row],[uren / jaar werkdagen BSO]]*Tariefsopbouw!$E$35</f>
        <v>#DIV/0!</v>
      </c>
      <c r="AE767" s="444">
        <f>Ruimtestaat[[#This Row],[uren / jaar werkdagen]]*Tariefsopbouw!$E$35</f>
        <v>0</v>
      </c>
      <c r="AF767" s="454"/>
      <c r="AG767" s="455">
        <f>IF(Ruimtestaat[[#This Row],[Frequentie weekend]]&gt;0,VALUE(LEFT(AF767,1))*S767,0)</f>
        <v>0</v>
      </c>
      <c r="AH767" s="455">
        <f>IF($AG767&gt;0,VLOOKUP($J767,Ruimtegroepen[],3,FALSE)*VLOOKUP($L767,Vloersoorten[],3,FALSE)*VLOOKUP($AF767,Frequenties[],3,FALSE)*VLOOKUP(#REF!,Locaties[],3,FALSE),0)</f>
        <v>0</v>
      </c>
      <c r="AI767" s="434">
        <f>Ruimtestaat[[#This Row],[Uitvoeringen weekend]]*Ruimtestaat[[#This Row],[Oppervlak (netto)]]</f>
        <v>0</v>
      </c>
      <c r="AJ767" s="434">
        <f>IF(AH767&gt;0,Ruimtestaat[[#This Row],[Prest. (m2 /jaar) weekend]]/Ruimtestaat[[#This Row],[Norm (m2/uur) weekend]],0)</f>
        <v>0</v>
      </c>
      <c r="AK767" s="444">
        <f>Ruimtestaat[[#This Row],[uren / jaar weekend]]*Tariefsopbouw!$D$40</f>
        <v>0</v>
      </c>
      <c r="AL767" s="441">
        <f>Ruimtestaat[[#This Row],[Prest. (m2 /jaar) weekend]]+Ruimtestaat[[#This Row],[Prest. (m2 /jaar) werkdagen]]</f>
        <v>2050</v>
      </c>
      <c r="AM767" s="441">
        <f>Ruimtestaat[[#This Row],[uren / jaar weekend]]+Ruimtestaat[[#This Row],[uren / jaar werkdagen]]</f>
        <v>0</v>
      </c>
      <c r="AN767" s="446">
        <f>Ruimtestaat[[#This Row],[kosten / jaar weekend]]+Ruimtestaat[[#This Row],[kosten / jaar werkdagen]]</f>
        <v>0</v>
      </c>
      <c r="AO767" s="446"/>
      <c r="AP767" s="446" t="str">
        <f>IF(Ruimtestaat[[#This Row],[Frequentie werkdagen]]="","",_xlfn.CONCAT(Ruimtestaat[[#This Row],[Ruimte code]],"-",Ruimtestaat[[#This Row],[Frequentie werkdagen]]," ",Ruimtestaat[[#This Row],[Vloer code]]))</f>
        <v>10-5w L</v>
      </c>
      <c r="AQ767" s="448" t="str">
        <f>_xlfn.IFNA(VLOOKUP($AP767,Programma!$F$3:$G$1101,2,0),"")</f>
        <v>_</v>
      </c>
      <c r="AR767" s="448" t="str">
        <f>_xlfn.IFNA(VLOOKUP($AP767,Programma!$F$3:$H$1101,3,0),"")</f>
        <v>_</v>
      </c>
      <c r="AS767" s="448" t="str">
        <f>_xlfn.IFNA(VLOOKUP($AP767,Programma!$F$3:$I$1101,4,0),"")</f>
        <v>4w</v>
      </c>
      <c r="AT767" s="448" t="str">
        <f>_xlfn.IFNA(VLOOKUP($AP767,Programma!$F$3:$J$1101,5,0),"")</f>
        <v>1w</v>
      </c>
      <c r="AU767" s="448" t="str">
        <f>_xlfn.IFNA(VLOOKUP($AP767,Programma!$F$3:$K$1101,6,0),"")</f>
        <v>_</v>
      </c>
      <c r="AV767" s="448" t="str">
        <f>_xlfn.IFNA(VLOOKUP($AP767,Programma!$F$3:$L$1101,7,0),"")</f>
        <v>_</v>
      </c>
      <c r="AW767" s="448" t="str">
        <f>_xlfn.IFNA(VLOOKUP($AP767,Programma!$F$3:$M$1101,8,0),"")</f>
        <v>_</v>
      </c>
      <c r="AX767" s="448" t="str">
        <f>_xlfn.IFNA(VLOOKUP($AP767,Programma!$F$3:$N$1101,9,0),"")</f>
        <v>_</v>
      </c>
      <c r="AY767" s="448" t="str">
        <f>_xlfn.IFNA(VLOOKUP($AP767,Programma!$F$3:$O$1101,10,0),"")</f>
        <v>5w</v>
      </c>
      <c r="AZ767" s="448" t="str">
        <f>_xlfn.IFNA(VLOOKUP($AP767,Programma!$F$3:$P$1101,11,0),"")</f>
        <v>5w</v>
      </c>
      <c r="BA767" s="448" t="str">
        <f>_xlfn.IFNA(VLOOKUP($AP767,Programma!$F$3:$Q$1101,12,0),"")</f>
        <v>1w</v>
      </c>
      <c r="BB767" s="448" t="str">
        <f>_xlfn.IFNA(VLOOKUP($AP767,Programma!$F$3:$R$1101,13,0),"")</f>
        <v>1w</v>
      </c>
      <c r="BC767" s="448" t="str">
        <f>_xlfn.IFNA(VLOOKUP($AP767,Programma!$F$3:$S$1101,14,0),"")</f>
        <v>1m</v>
      </c>
      <c r="BD767" s="448" t="str">
        <f>_xlfn.IFNA(VLOOKUP($AP767,Programma!$F$3:$T$1101,15,0),"")</f>
        <v>2j</v>
      </c>
      <c r="BE767" s="448" t="str">
        <f>_xlfn.IFNA(VLOOKUP($AP767,Programma!$F$3:$U$1101,16,0),"")</f>
        <v>1j</v>
      </c>
      <c r="BF767" s="448" t="str">
        <f>_xlfn.IFNA(VLOOKUP($AP767,Programma!$F$3:$V$1101,17,0),"")</f>
        <v>_</v>
      </c>
      <c r="BG767" s="448" t="str">
        <f>_xlfn.IFNA(VLOOKUP($AP767,Programma!$F$3:$W$1101,18,0),"")</f>
        <v>_</v>
      </c>
      <c r="BH767" s="448" t="str">
        <f>_xlfn.IFNA(VLOOKUP($AP767,Programma!$F$3:$X$1101,19,0),"")</f>
        <v>_</v>
      </c>
      <c r="BI767" s="448" t="str">
        <f>_xlfn.IFNA(VLOOKUP($AP767,Programma!$F$3:$Y$1101,20,0),"")</f>
        <v>_</v>
      </c>
      <c r="BJ767" s="449"/>
      <c r="BK767" s="446" t="str">
        <f>IF(Ruimtestaat[[#This Row],[Frequentie weekend]]="","",_xlfn.CONCAT(Ruimtestaat[[#This Row],[Ruimte code]],"-",Ruimtestaat[[#This Row],[Frequentie weekend]]," ",Ruimtestaat[[#This Row],[Vloer code]]))</f>
        <v/>
      </c>
      <c r="BL767" s="448" t="str">
        <f>_xlfn.IFNA(VLOOKUP($BK767,Programma!$F$3:$G$1101,2,0),"")</f>
        <v/>
      </c>
      <c r="BM767" s="448" t="str">
        <f>_xlfn.IFNA(VLOOKUP($BK767,Programma!$F$3:$H$1101,3,0),"")</f>
        <v/>
      </c>
      <c r="BN767" s="448" t="str">
        <f>_xlfn.IFNA(VLOOKUP($BK767,Programma!$F$3:$I$1101,4,0),"")</f>
        <v/>
      </c>
      <c r="BO767" s="448" t="str">
        <f>_xlfn.IFNA(VLOOKUP($BK767,Programma!$F$3:$J$1101,5,0),"")</f>
        <v/>
      </c>
      <c r="BP767" s="448" t="str">
        <f>_xlfn.IFNA(VLOOKUP($BK767,Programma!$F$3:$K$1101,6,0),"")</f>
        <v/>
      </c>
      <c r="BQ767" s="448" t="str">
        <f>_xlfn.IFNA(VLOOKUP($BK767,Programma!$F$3:$L$1101,7,0),"")</f>
        <v/>
      </c>
      <c r="BR767" s="448" t="str">
        <f>_xlfn.IFNA(VLOOKUP($BK767,Programma!$F$3:$M$1101,8,0),"")</f>
        <v/>
      </c>
      <c r="BS767" s="448" t="str">
        <f>_xlfn.IFNA(VLOOKUP($BK767,Programma!$F$3:$N$1101,9,0),"")</f>
        <v/>
      </c>
      <c r="BT767" s="448" t="str">
        <f>_xlfn.IFNA(VLOOKUP($BK767,Programma!$F$3:$O$1101,10,0),"")</f>
        <v/>
      </c>
      <c r="BU767" s="448" t="str">
        <f>_xlfn.IFNA(VLOOKUP($BK767,Programma!$F$3:$P$1101,11,0),"")</f>
        <v/>
      </c>
      <c r="BV767" s="448" t="str">
        <f>_xlfn.IFNA(VLOOKUP($BK767,Programma!$F$3:$Q$1101,12,0),"")</f>
        <v/>
      </c>
      <c r="BW767" s="448" t="str">
        <f>_xlfn.IFNA(VLOOKUP($BK767,Programma!$F$3:$R$1101,13,0),"")</f>
        <v/>
      </c>
      <c r="BX767" s="448" t="str">
        <f>_xlfn.IFNA(VLOOKUP($BK767,Programma!$F$3:$S$1101,14,0),"")</f>
        <v/>
      </c>
      <c r="BY767" s="448" t="str">
        <f>_xlfn.IFNA(VLOOKUP($BK767,Programma!$F$3:$T$1101,15,0),"")</f>
        <v/>
      </c>
      <c r="BZ767" s="448" t="str">
        <f>_xlfn.IFNA(VLOOKUP($BK767,Programma!$F$3:$U$1101,16,0),"")</f>
        <v/>
      </c>
      <c r="CA767" s="448" t="str">
        <f>_xlfn.IFNA(VLOOKUP($BK767,Programma!$F$3:$V$1101,17,0),"")</f>
        <v/>
      </c>
      <c r="CB767" s="448" t="str">
        <f>_xlfn.IFNA(VLOOKUP($BK767,Programma!$F$3:$W$1101,18,0),"")</f>
        <v/>
      </c>
      <c r="CC767" s="448" t="str">
        <f>_xlfn.IFNA(VLOOKUP($BK767,Programma!$F$3:$X$1101,19,0),"")</f>
        <v/>
      </c>
      <c r="CD767" s="448" t="str">
        <f>_xlfn.IFNA(VLOOKUP($BK767,Programma!$F$3:$Y$1101,20,0),"")</f>
        <v/>
      </c>
    </row>
    <row r="768" spans="1:82" ht="15" customHeight="1">
      <c r="A768" s="327">
        <v>15</v>
      </c>
      <c r="B768" s="435" t="str">
        <f>VLOOKUP(Ruimtestaat[[#This Row],[Code]],Locaties[[Code]:[Locatie]],2,FALSE)</f>
        <v>IKC  Da Vinci</v>
      </c>
      <c r="C768" s="435" t="str">
        <f>VLOOKUP(Ruimtestaat[[#This Row],[Code]],Locaties[[#All],[Code]:[Adres]],4,FALSE)</f>
        <v>Spitsbergen 17</v>
      </c>
      <c r="D768" s="435" t="str">
        <f>VLOOKUP(Ruimtestaat[[#This Row],[Code]],Locaties[[#All],[Code]:[Postcode]],5,FALSE)</f>
        <v>2721 GP</v>
      </c>
      <c r="E768" s="435" t="str">
        <f>VLOOKUP(Ruimtestaat[[#This Row],[Code]],Locaties[#All],6,FALSE)</f>
        <v>Zoetermeer</v>
      </c>
      <c r="F768" s="330" t="s">
        <v>2154</v>
      </c>
      <c r="I768" s="450" t="s">
        <v>2005</v>
      </c>
      <c r="J768" s="330">
        <v>10</v>
      </c>
      <c r="K768" s="450" t="str">
        <f>VLOOKUP(Ruimtestaat[[#This Row],[Ruimte code]],Ruimtegroepen[[#All],[Code]:[Ruimte omschrijving]],2,FALSE)</f>
        <v>Trappenhuizen/lift</v>
      </c>
      <c r="L768" s="434" t="s">
        <v>100</v>
      </c>
      <c r="M768" s="437" t="s">
        <v>1759</v>
      </c>
      <c r="N768" s="439">
        <v>10</v>
      </c>
      <c r="O768" s="439"/>
      <c r="P768" s="439"/>
      <c r="Q768" s="439"/>
      <c r="R768" s="440" t="str">
        <f>VLOOKUP(Ruimtestaat[[#This Row],[Ruimte code]],Ruimtegroepen[],4,FALSE)</f>
        <v>Ve</v>
      </c>
      <c r="S768" s="434">
        <v>41</v>
      </c>
      <c r="T768" s="434" t="s">
        <v>2</v>
      </c>
      <c r="U768" s="453">
        <f>IF(S768&gt;0,IF(RIGHT(Ruimtestaat[[#This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68" s="434">
        <f>IF(U768&gt;0,VLOOKUP($J768,Ruimtegroepen[],3,FALSE)*VLOOKUP($L768,Vloersoorten[],3,FALSE)*VLOOKUP($T768,Frequenties[],3,FALSE)*VLOOKUP($A768,Locaties[],3,FALSE),0)</f>
        <v>0</v>
      </c>
      <c r="W768" s="434">
        <f>Ruimtestaat[[#This Row],[Uitvoeringen werkdagen]]*Ruimtestaat[[#This Row],[Oppervlak (netto)]]</f>
        <v>2050</v>
      </c>
      <c r="X768" s="441">
        <f>IF(V768&gt;0,Ruimtestaat[[#This Row],[Prest. (m2 /jaar) werkdagen]]/Ruimtestaat[[#This Row],[Norm (m2/uur) werkdagen]],0)</f>
        <v>0</v>
      </c>
      <c r="Y768" s="442">
        <f>Ruimtestaat[[#This Row],[Uitvoeringen werkdagen]]*Ruimtestaat[[#This Row],[Gedeeltelijk]]</f>
        <v>0</v>
      </c>
      <c r="Z768" s="443" t="e">
        <f>IF(U768&gt;0,Ruimtestaat[[#This Row],[Prest. (m2 / jaar) werkdagen gedeeld]]/Ruimtestaat[[#This Row],[Norm (m2/uur) werkdagen]],0)</f>
        <v>#DIV/0!</v>
      </c>
      <c r="AA768" s="441" t="e">
        <f>Ruimtestaat[[#This Row],[uren / jaar werkdagen gedeeld]]*Tariefsopbouw!$E$35</f>
        <v>#DIV/0!</v>
      </c>
      <c r="AB768" s="441">
        <f>Ruimtestaat[[#This Row],[Uitvoeringen werkdagen]]*Ruimtestaat[[#This Row],[BSO]]</f>
        <v>0</v>
      </c>
      <c r="AC768" s="443" t="e">
        <f>IF(U768&gt;0,Ruimtestaat[[#This Row],[Prest. (m2 / jaar) werkdagen BSO]]/Ruimtestaat[[#This Row],[Norm (m2/uur) werkdagen]],0)</f>
        <v>#DIV/0!</v>
      </c>
      <c r="AD768" s="443" t="e">
        <f>Ruimtestaat[[#This Row],[uren / jaar werkdagen BSO]]*Tariefsopbouw!$E$35</f>
        <v>#DIV/0!</v>
      </c>
      <c r="AE768" s="444">
        <f>Ruimtestaat[[#This Row],[uren / jaar werkdagen]]*Tariefsopbouw!$E$35</f>
        <v>0</v>
      </c>
      <c r="AF768" s="454"/>
      <c r="AG768" s="455">
        <f>IF(Ruimtestaat[[#This Row],[Frequentie weekend]]&gt;0,VALUE(LEFT(AF768,1))*S768,0)</f>
        <v>0</v>
      </c>
      <c r="AH768" s="455">
        <f>IF($AG768&gt;0,VLOOKUP($J768,Ruimtegroepen[],3,FALSE)*VLOOKUP($L768,Vloersoorten[],3,FALSE)*VLOOKUP($AF768,Frequenties[],3,FALSE)*VLOOKUP(#REF!,Locaties[],3,FALSE),0)</f>
        <v>0</v>
      </c>
      <c r="AI768" s="434">
        <f>Ruimtestaat[[#This Row],[Uitvoeringen weekend]]*Ruimtestaat[[#This Row],[Oppervlak (netto)]]</f>
        <v>0</v>
      </c>
      <c r="AJ768" s="434">
        <f>IF(AH768&gt;0,Ruimtestaat[[#This Row],[Prest. (m2 /jaar) weekend]]/Ruimtestaat[[#This Row],[Norm (m2/uur) weekend]],0)</f>
        <v>0</v>
      </c>
      <c r="AK768" s="444">
        <f>Ruimtestaat[[#This Row],[uren / jaar weekend]]*Tariefsopbouw!$D$40</f>
        <v>0</v>
      </c>
      <c r="AL768" s="441">
        <f>Ruimtestaat[[#This Row],[Prest. (m2 /jaar) weekend]]+Ruimtestaat[[#This Row],[Prest. (m2 /jaar) werkdagen]]</f>
        <v>2050</v>
      </c>
      <c r="AM768" s="441">
        <f>Ruimtestaat[[#This Row],[uren / jaar weekend]]+Ruimtestaat[[#This Row],[uren / jaar werkdagen]]</f>
        <v>0</v>
      </c>
      <c r="AN768" s="446">
        <f>Ruimtestaat[[#This Row],[kosten / jaar weekend]]+Ruimtestaat[[#This Row],[kosten / jaar werkdagen]]</f>
        <v>0</v>
      </c>
      <c r="AO768" s="446"/>
      <c r="AP768" s="446" t="str">
        <f>IF(Ruimtestaat[[#This Row],[Frequentie werkdagen]]="","",_xlfn.CONCAT(Ruimtestaat[[#This Row],[Ruimte code]],"-",Ruimtestaat[[#This Row],[Frequentie werkdagen]]," ",Ruimtestaat[[#This Row],[Vloer code]]))</f>
        <v>10-5w L</v>
      </c>
      <c r="AQ768" s="448" t="str">
        <f>_xlfn.IFNA(VLOOKUP($AP768,Programma!$F$3:$G$1101,2,0),"")</f>
        <v>_</v>
      </c>
      <c r="AR768" s="448" t="str">
        <f>_xlfn.IFNA(VLOOKUP($AP768,Programma!$F$3:$H$1101,3,0),"")</f>
        <v>_</v>
      </c>
      <c r="AS768" s="448" t="str">
        <f>_xlfn.IFNA(VLOOKUP($AP768,Programma!$F$3:$I$1101,4,0),"")</f>
        <v>4w</v>
      </c>
      <c r="AT768" s="448" t="str">
        <f>_xlfn.IFNA(VLOOKUP($AP768,Programma!$F$3:$J$1101,5,0),"")</f>
        <v>1w</v>
      </c>
      <c r="AU768" s="448" t="str">
        <f>_xlfn.IFNA(VLOOKUP($AP768,Programma!$F$3:$K$1101,6,0),"")</f>
        <v>_</v>
      </c>
      <c r="AV768" s="448" t="str">
        <f>_xlfn.IFNA(VLOOKUP($AP768,Programma!$F$3:$L$1101,7,0),"")</f>
        <v>_</v>
      </c>
      <c r="AW768" s="448" t="str">
        <f>_xlfn.IFNA(VLOOKUP($AP768,Programma!$F$3:$M$1101,8,0),"")</f>
        <v>_</v>
      </c>
      <c r="AX768" s="448" t="str">
        <f>_xlfn.IFNA(VLOOKUP($AP768,Programma!$F$3:$N$1101,9,0),"")</f>
        <v>_</v>
      </c>
      <c r="AY768" s="448" t="str">
        <f>_xlfn.IFNA(VLOOKUP($AP768,Programma!$F$3:$O$1101,10,0),"")</f>
        <v>5w</v>
      </c>
      <c r="AZ768" s="448" t="str">
        <f>_xlfn.IFNA(VLOOKUP($AP768,Programma!$F$3:$P$1101,11,0),"")</f>
        <v>5w</v>
      </c>
      <c r="BA768" s="448" t="str">
        <f>_xlfn.IFNA(VLOOKUP($AP768,Programma!$F$3:$Q$1101,12,0),"")</f>
        <v>1w</v>
      </c>
      <c r="BB768" s="448" t="str">
        <f>_xlfn.IFNA(VLOOKUP($AP768,Programma!$F$3:$R$1101,13,0),"")</f>
        <v>1w</v>
      </c>
      <c r="BC768" s="448" t="str">
        <f>_xlfn.IFNA(VLOOKUP($AP768,Programma!$F$3:$S$1101,14,0),"")</f>
        <v>1m</v>
      </c>
      <c r="BD768" s="448" t="str">
        <f>_xlfn.IFNA(VLOOKUP($AP768,Programma!$F$3:$T$1101,15,0),"")</f>
        <v>2j</v>
      </c>
      <c r="BE768" s="448" t="str">
        <f>_xlfn.IFNA(VLOOKUP($AP768,Programma!$F$3:$U$1101,16,0),"")</f>
        <v>1j</v>
      </c>
      <c r="BF768" s="448" t="str">
        <f>_xlfn.IFNA(VLOOKUP($AP768,Programma!$F$3:$V$1101,17,0),"")</f>
        <v>_</v>
      </c>
      <c r="BG768" s="448" t="str">
        <f>_xlfn.IFNA(VLOOKUP($AP768,Programma!$F$3:$W$1101,18,0),"")</f>
        <v>_</v>
      </c>
      <c r="BH768" s="448" t="str">
        <f>_xlfn.IFNA(VLOOKUP($AP768,Programma!$F$3:$X$1101,19,0),"")</f>
        <v>_</v>
      </c>
      <c r="BI768" s="448" t="str">
        <f>_xlfn.IFNA(VLOOKUP($AP768,Programma!$F$3:$Y$1101,20,0),"")</f>
        <v>_</v>
      </c>
      <c r="BJ768" s="449"/>
      <c r="BK768" s="446" t="str">
        <f>IF(Ruimtestaat[[#This Row],[Frequentie weekend]]="","",_xlfn.CONCAT(Ruimtestaat[[#This Row],[Ruimte code]],"-",Ruimtestaat[[#This Row],[Frequentie weekend]]," ",Ruimtestaat[[#This Row],[Vloer code]]))</f>
        <v/>
      </c>
      <c r="BL768" s="448" t="str">
        <f>_xlfn.IFNA(VLOOKUP($BK768,Programma!$F$3:$G$1101,2,0),"")</f>
        <v/>
      </c>
      <c r="BM768" s="448" t="str">
        <f>_xlfn.IFNA(VLOOKUP($BK768,Programma!$F$3:$H$1101,3,0),"")</f>
        <v/>
      </c>
      <c r="BN768" s="448" t="str">
        <f>_xlfn.IFNA(VLOOKUP($BK768,Programma!$F$3:$I$1101,4,0),"")</f>
        <v/>
      </c>
      <c r="BO768" s="448" t="str">
        <f>_xlfn.IFNA(VLOOKUP($BK768,Programma!$F$3:$J$1101,5,0),"")</f>
        <v/>
      </c>
      <c r="BP768" s="448" t="str">
        <f>_xlfn.IFNA(VLOOKUP($BK768,Programma!$F$3:$K$1101,6,0),"")</f>
        <v/>
      </c>
      <c r="BQ768" s="448" t="str">
        <f>_xlfn.IFNA(VLOOKUP($BK768,Programma!$F$3:$L$1101,7,0),"")</f>
        <v/>
      </c>
      <c r="BR768" s="448" t="str">
        <f>_xlfn.IFNA(VLOOKUP($BK768,Programma!$F$3:$M$1101,8,0),"")</f>
        <v/>
      </c>
      <c r="BS768" s="448" t="str">
        <f>_xlfn.IFNA(VLOOKUP($BK768,Programma!$F$3:$N$1101,9,0),"")</f>
        <v/>
      </c>
      <c r="BT768" s="448" t="str">
        <f>_xlfn.IFNA(VLOOKUP($BK768,Programma!$F$3:$O$1101,10,0),"")</f>
        <v/>
      </c>
      <c r="BU768" s="448" t="str">
        <f>_xlfn.IFNA(VLOOKUP($BK768,Programma!$F$3:$P$1101,11,0),"")</f>
        <v/>
      </c>
      <c r="BV768" s="448" t="str">
        <f>_xlfn.IFNA(VLOOKUP($BK768,Programma!$F$3:$Q$1101,12,0),"")</f>
        <v/>
      </c>
      <c r="BW768" s="448" t="str">
        <f>_xlfn.IFNA(VLOOKUP($BK768,Programma!$F$3:$R$1101,13,0),"")</f>
        <v/>
      </c>
      <c r="BX768" s="448" t="str">
        <f>_xlfn.IFNA(VLOOKUP($BK768,Programma!$F$3:$S$1101,14,0),"")</f>
        <v/>
      </c>
      <c r="BY768" s="448" t="str">
        <f>_xlfn.IFNA(VLOOKUP($BK768,Programma!$F$3:$T$1101,15,0),"")</f>
        <v/>
      </c>
      <c r="BZ768" s="448" t="str">
        <f>_xlfn.IFNA(VLOOKUP($BK768,Programma!$F$3:$U$1101,16,0),"")</f>
        <v/>
      </c>
      <c r="CA768" s="448" t="str">
        <f>_xlfn.IFNA(VLOOKUP($BK768,Programma!$F$3:$V$1101,17,0),"")</f>
        <v/>
      </c>
      <c r="CB768" s="448" t="str">
        <f>_xlfn.IFNA(VLOOKUP($BK768,Programma!$F$3:$W$1101,18,0),"")</f>
        <v/>
      </c>
      <c r="CC768" s="448" t="str">
        <f>_xlfn.IFNA(VLOOKUP($BK768,Programma!$F$3:$X$1101,19,0),"")</f>
        <v/>
      </c>
      <c r="CD768" s="448" t="str">
        <f>_xlfn.IFNA(VLOOKUP($BK768,Programma!$F$3:$Y$1101,20,0),"")</f>
        <v/>
      </c>
    </row>
    <row r="769" spans="1:82" ht="15" customHeight="1">
      <c r="A769" s="327">
        <v>15</v>
      </c>
      <c r="B769" s="435" t="str">
        <f>VLOOKUP(Ruimtestaat[[#This Row],[Code]],Locaties[[Code]:[Locatie]],2,FALSE)</f>
        <v>IKC  Da Vinci</v>
      </c>
      <c r="C769" s="435" t="str">
        <f>VLOOKUP(Ruimtestaat[[#This Row],[Code]],Locaties[[#All],[Code]:[Adres]],4,FALSE)</f>
        <v>Spitsbergen 17</v>
      </c>
      <c r="D769" s="435" t="str">
        <f>VLOOKUP(Ruimtestaat[[#This Row],[Code]],Locaties[[#All],[Code]:[Postcode]],5,FALSE)</f>
        <v>2721 GP</v>
      </c>
      <c r="E769" s="435" t="str">
        <f>VLOOKUP(Ruimtestaat[[#This Row],[Code]],Locaties[#All],6,FALSE)</f>
        <v>Zoetermeer</v>
      </c>
      <c r="F769" s="330" t="s">
        <v>2154</v>
      </c>
      <c r="I769" s="450" t="s">
        <v>2006</v>
      </c>
      <c r="J769" s="330">
        <v>20</v>
      </c>
      <c r="K769" s="450" t="str">
        <f>VLOOKUP(Ruimtestaat[[#This Row],[Ruimte code]],Ruimtegroepen[[#All],[Code]:[Ruimte omschrijving]],2,FALSE)</f>
        <v>Niet in Onderhoud</v>
      </c>
      <c r="M769" s="330"/>
      <c r="N769" s="439"/>
      <c r="O769" s="439">
        <v>59</v>
      </c>
      <c r="P769" s="439"/>
      <c r="Q769" s="439"/>
      <c r="R769" s="440">
        <f>VLOOKUP(Ruimtestaat[[#This Row],[Ruimte code]],Ruimtegroepen[],4,FALSE)</f>
        <v>0</v>
      </c>
      <c r="S769" s="434"/>
      <c r="T769" s="434"/>
      <c r="U769" s="453">
        <f>IF(S769&gt;0,IF(RIGHT(Ruimtestaat[[#This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69" s="434">
        <f>IF(U769&gt;0,VLOOKUP($J769,Ruimtegroepen[],3,FALSE)*VLOOKUP($L769,Vloersoorten[],3,FALSE)*VLOOKUP($T769,Frequenties[],3,FALSE)*VLOOKUP($A769,Locaties[],3,FALSE),0)</f>
        <v>0</v>
      </c>
      <c r="W769" s="434">
        <f>Ruimtestaat[[#This Row],[Uitvoeringen werkdagen]]*Ruimtestaat[[#This Row],[Oppervlak (netto)]]</f>
        <v>0</v>
      </c>
      <c r="X769" s="441">
        <f>IF(V769&gt;0,Ruimtestaat[[#This Row],[Prest. (m2 /jaar) werkdagen]]/Ruimtestaat[[#This Row],[Norm (m2/uur) werkdagen]],0)</f>
        <v>0</v>
      </c>
      <c r="Y769" s="442">
        <f>Ruimtestaat[[#This Row],[Uitvoeringen werkdagen]]*Ruimtestaat[[#This Row],[Gedeeltelijk]]</f>
        <v>0</v>
      </c>
      <c r="Z769" s="443">
        <f>IF(U769&gt;0,Ruimtestaat[[#This Row],[Prest. (m2 / jaar) werkdagen gedeeld]]/Ruimtestaat[[#This Row],[Norm (m2/uur) werkdagen]],0)</f>
        <v>0</v>
      </c>
      <c r="AA769" s="441">
        <f>Ruimtestaat[[#This Row],[uren / jaar werkdagen gedeeld]]*Tariefsopbouw!$E$35</f>
        <v>0</v>
      </c>
      <c r="AB769" s="441">
        <f>Ruimtestaat[[#This Row],[Uitvoeringen werkdagen]]*Ruimtestaat[[#This Row],[BSO]]</f>
        <v>0</v>
      </c>
      <c r="AC769" s="443">
        <f>IF(U769&gt;0,Ruimtestaat[[#This Row],[Prest. (m2 / jaar) werkdagen BSO]]/Ruimtestaat[[#This Row],[Norm (m2/uur) werkdagen]],0)</f>
        <v>0</v>
      </c>
      <c r="AD769" s="443">
        <f>Ruimtestaat[[#This Row],[uren / jaar werkdagen BSO]]*Tariefsopbouw!$E$35</f>
        <v>0</v>
      </c>
      <c r="AE769" s="444">
        <f>Ruimtestaat[[#This Row],[uren / jaar werkdagen]]*Tariefsopbouw!$E$35</f>
        <v>0</v>
      </c>
      <c r="AF769" s="454"/>
      <c r="AG769" s="455">
        <f>IF(Ruimtestaat[[#This Row],[Frequentie weekend]]&gt;0,VALUE(LEFT(AF769,1))*S769,0)</f>
        <v>0</v>
      </c>
      <c r="AH769" s="455">
        <f>IF($AG769&gt;0,VLOOKUP($J769,Ruimtegroepen[],3,FALSE)*VLOOKUP($L769,Vloersoorten[],3,FALSE)*VLOOKUP($AF769,Frequenties[],3,FALSE)*VLOOKUP(#REF!,Locaties[],3,FALSE),0)</f>
        <v>0</v>
      </c>
      <c r="AI769" s="434">
        <f>Ruimtestaat[[#This Row],[Uitvoeringen weekend]]*Ruimtestaat[[#This Row],[Oppervlak (netto)]]</f>
        <v>0</v>
      </c>
      <c r="AJ769" s="434">
        <f>IF(AH769&gt;0,Ruimtestaat[[#This Row],[Prest. (m2 /jaar) weekend]]/Ruimtestaat[[#This Row],[Norm (m2/uur) weekend]],0)</f>
        <v>0</v>
      </c>
      <c r="AK769" s="444">
        <f>Ruimtestaat[[#This Row],[uren / jaar weekend]]*Tariefsopbouw!$D$40</f>
        <v>0</v>
      </c>
      <c r="AL769" s="441">
        <f>Ruimtestaat[[#This Row],[Prest. (m2 /jaar) weekend]]+Ruimtestaat[[#This Row],[Prest. (m2 /jaar) werkdagen]]</f>
        <v>0</v>
      </c>
      <c r="AM769" s="441">
        <f>Ruimtestaat[[#This Row],[uren / jaar weekend]]+Ruimtestaat[[#This Row],[uren / jaar werkdagen]]</f>
        <v>0</v>
      </c>
      <c r="AN769" s="446">
        <f>Ruimtestaat[[#This Row],[kosten / jaar weekend]]+Ruimtestaat[[#This Row],[kosten / jaar werkdagen]]</f>
        <v>0</v>
      </c>
      <c r="AO769" s="446"/>
      <c r="AP769" s="446" t="str">
        <f>IF(Ruimtestaat[[#This Row],[Frequentie werkdagen]]="","",_xlfn.CONCAT(Ruimtestaat[[#This Row],[Ruimte code]],"-",Ruimtestaat[[#This Row],[Frequentie werkdagen]]," ",Ruimtestaat[[#This Row],[Vloer code]]))</f>
        <v/>
      </c>
      <c r="AQ769" s="448" t="str">
        <f>_xlfn.IFNA(VLOOKUP($AP769,Programma!$F$3:$G$1101,2,0),"")</f>
        <v/>
      </c>
      <c r="AR769" s="448" t="str">
        <f>_xlfn.IFNA(VLOOKUP($AP769,Programma!$F$3:$H$1101,3,0),"")</f>
        <v/>
      </c>
      <c r="AS769" s="448" t="str">
        <f>_xlfn.IFNA(VLOOKUP($AP769,Programma!$F$3:$I$1101,4,0),"")</f>
        <v/>
      </c>
      <c r="AT769" s="448" t="str">
        <f>_xlfn.IFNA(VLOOKUP($AP769,Programma!$F$3:$J$1101,5,0),"")</f>
        <v/>
      </c>
      <c r="AU769" s="448" t="str">
        <f>_xlfn.IFNA(VLOOKUP($AP769,Programma!$F$3:$K$1101,6,0),"")</f>
        <v/>
      </c>
      <c r="AV769" s="448" t="str">
        <f>_xlfn.IFNA(VLOOKUP($AP769,Programma!$F$3:$L$1101,7,0),"")</f>
        <v/>
      </c>
      <c r="AW769" s="448" t="str">
        <f>_xlfn.IFNA(VLOOKUP($AP769,Programma!$F$3:$M$1101,8,0),"")</f>
        <v/>
      </c>
      <c r="AX769" s="448" t="str">
        <f>_xlfn.IFNA(VLOOKUP($AP769,Programma!$F$3:$N$1101,9,0),"")</f>
        <v/>
      </c>
      <c r="AY769" s="448" t="str">
        <f>_xlfn.IFNA(VLOOKUP($AP769,Programma!$F$3:$O$1101,10,0),"")</f>
        <v/>
      </c>
      <c r="AZ769" s="448" t="str">
        <f>_xlfn.IFNA(VLOOKUP($AP769,Programma!$F$3:$P$1101,11,0),"")</f>
        <v/>
      </c>
      <c r="BA769" s="448" t="str">
        <f>_xlfn.IFNA(VLOOKUP($AP769,Programma!$F$3:$Q$1101,12,0),"")</f>
        <v/>
      </c>
      <c r="BB769" s="448" t="str">
        <f>_xlfn.IFNA(VLOOKUP($AP769,Programma!$F$3:$R$1101,13,0),"")</f>
        <v/>
      </c>
      <c r="BC769" s="448" t="str">
        <f>_xlfn.IFNA(VLOOKUP($AP769,Programma!$F$3:$S$1101,14,0),"")</f>
        <v/>
      </c>
      <c r="BD769" s="448" t="str">
        <f>_xlfn.IFNA(VLOOKUP($AP769,Programma!$F$3:$T$1101,15,0),"")</f>
        <v/>
      </c>
      <c r="BE769" s="448" t="str">
        <f>_xlfn.IFNA(VLOOKUP($AP769,Programma!$F$3:$U$1101,16,0),"")</f>
        <v/>
      </c>
      <c r="BF769" s="448" t="str">
        <f>_xlfn.IFNA(VLOOKUP($AP769,Programma!$F$3:$V$1101,17,0),"")</f>
        <v/>
      </c>
      <c r="BG769" s="448" t="str">
        <f>_xlfn.IFNA(VLOOKUP($AP769,Programma!$F$3:$W$1101,18,0),"")</f>
        <v/>
      </c>
      <c r="BH769" s="448" t="str">
        <f>_xlfn.IFNA(VLOOKUP($AP769,Programma!$F$3:$X$1101,19,0),"")</f>
        <v/>
      </c>
      <c r="BI769" s="448" t="str">
        <f>_xlfn.IFNA(VLOOKUP($AP769,Programma!$F$3:$Y$1101,20,0),"")</f>
        <v/>
      </c>
      <c r="BJ769" s="449"/>
      <c r="BK769" s="446" t="str">
        <f>IF(Ruimtestaat[[#This Row],[Frequentie weekend]]="","",_xlfn.CONCAT(Ruimtestaat[[#This Row],[Ruimte code]],"-",Ruimtestaat[[#This Row],[Frequentie weekend]]," ",Ruimtestaat[[#This Row],[Vloer code]]))</f>
        <v/>
      </c>
      <c r="BL769" s="448" t="str">
        <f>_xlfn.IFNA(VLOOKUP($BK769,Programma!$F$3:$G$1101,2,0),"")</f>
        <v/>
      </c>
      <c r="BM769" s="448" t="str">
        <f>_xlfn.IFNA(VLOOKUP($BK769,Programma!$F$3:$H$1101,3,0),"")</f>
        <v/>
      </c>
      <c r="BN769" s="448" t="str">
        <f>_xlfn.IFNA(VLOOKUP($BK769,Programma!$F$3:$I$1101,4,0),"")</f>
        <v/>
      </c>
      <c r="BO769" s="448" t="str">
        <f>_xlfn.IFNA(VLOOKUP($BK769,Programma!$F$3:$J$1101,5,0),"")</f>
        <v/>
      </c>
      <c r="BP769" s="448" t="str">
        <f>_xlfn.IFNA(VLOOKUP($BK769,Programma!$F$3:$K$1101,6,0),"")</f>
        <v/>
      </c>
      <c r="BQ769" s="448" t="str">
        <f>_xlfn.IFNA(VLOOKUP($BK769,Programma!$F$3:$L$1101,7,0),"")</f>
        <v/>
      </c>
      <c r="BR769" s="448" t="str">
        <f>_xlfn.IFNA(VLOOKUP($BK769,Programma!$F$3:$M$1101,8,0),"")</f>
        <v/>
      </c>
      <c r="BS769" s="448" t="str">
        <f>_xlfn.IFNA(VLOOKUP($BK769,Programma!$F$3:$N$1101,9,0),"")</f>
        <v/>
      </c>
      <c r="BT769" s="448" t="str">
        <f>_xlfn.IFNA(VLOOKUP($BK769,Programma!$F$3:$O$1101,10,0),"")</f>
        <v/>
      </c>
      <c r="BU769" s="448" t="str">
        <f>_xlfn.IFNA(VLOOKUP($BK769,Programma!$F$3:$P$1101,11,0),"")</f>
        <v/>
      </c>
      <c r="BV769" s="448" t="str">
        <f>_xlfn.IFNA(VLOOKUP($BK769,Programma!$F$3:$Q$1101,12,0),"")</f>
        <v/>
      </c>
      <c r="BW769" s="448" t="str">
        <f>_xlfn.IFNA(VLOOKUP($BK769,Programma!$F$3:$R$1101,13,0),"")</f>
        <v/>
      </c>
      <c r="BX769" s="448" t="str">
        <f>_xlfn.IFNA(VLOOKUP($BK769,Programma!$F$3:$S$1101,14,0),"")</f>
        <v/>
      </c>
      <c r="BY769" s="448" t="str">
        <f>_xlfn.IFNA(VLOOKUP($BK769,Programma!$F$3:$T$1101,15,0),"")</f>
        <v/>
      </c>
      <c r="BZ769" s="448" t="str">
        <f>_xlfn.IFNA(VLOOKUP($BK769,Programma!$F$3:$U$1101,16,0),"")</f>
        <v/>
      </c>
      <c r="CA769" s="448" t="str">
        <f>_xlfn.IFNA(VLOOKUP($BK769,Programma!$F$3:$V$1101,17,0),"")</f>
        <v/>
      </c>
      <c r="CB769" s="448" t="str">
        <f>_xlfn.IFNA(VLOOKUP($BK769,Programma!$F$3:$W$1101,18,0),"")</f>
        <v/>
      </c>
      <c r="CC769" s="448" t="str">
        <f>_xlfn.IFNA(VLOOKUP($BK769,Programma!$F$3:$X$1101,19,0),"")</f>
        <v/>
      </c>
      <c r="CD769" s="448" t="str">
        <f>_xlfn.IFNA(VLOOKUP($BK769,Programma!$F$3:$Y$1101,20,0),"")</f>
        <v/>
      </c>
    </row>
    <row r="770" spans="1:82" ht="15" customHeight="1">
      <c r="A770" s="327">
        <v>15</v>
      </c>
      <c r="B770" s="435" t="str">
        <f>VLOOKUP(Ruimtestaat[[#This Row],[Code]],Locaties[[Code]:[Locatie]],2,FALSE)</f>
        <v>IKC  Da Vinci</v>
      </c>
      <c r="C770" s="435" t="str">
        <f>VLOOKUP(Ruimtestaat[[#This Row],[Code]],Locaties[[#All],[Code]:[Adres]],4,FALSE)</f>
        <v>Spitsbergen 17</v>
      </c>
      <c r="D770" s="435" t="str">
        <f>VLOOKUP(Ruimtestaat[[#This Row],[Code]],Locaties[[#All],[Code]:[Postcode]],5,FALSE)</f>
        <v>2721 GP</v>
      </c>
      <c r="E770" s="435" t="str">
        <f>VLOOKUP(Ruimtestaat[[#This Row],[Code]],Locaties[#All],6,FALSE)</f>
        <v>Zoetermeer</v>
      </c>
      <c r="F770" s="330" t="s">
        <v>2154</v>
      </c>
      <c r="I770" s="450" t="s">
        <v>2006</v>
      </c>
      <c r="J770" s="330">
        <v>20</v>
      </c>
      <c r="K770" s="450" t="str">
        <f>VLOOKUP(Ruimtestaat[[#This Row],[Ruimte code]],Ruimtegroepen[[#All],[Code]:[Ruimte omschrijving]],2,FALSE)</f>
        <v>Niet in Onderhoud</v>
      </c>
      <c r="M770" s="330"/>
      <c r="N770" s="439"/>
      <c r="O770" s="439">
        <v>57</v>
      </c>
      <c r="P770" s="439"/>
      <c r="Q770" s="439"/>
      <c r="R770" s="440">
        <f>VLOOKUP(Ruimtestaat[[#This Row],[Ruimte code]],Ruimtegroepen[],4,FALSE)</f>
        <v>0</v>
      </c>
      <c r="S770" s="434"/>
      <c r="T770" s="434"/>
      <c r="U770" s="453">
        <f>IF(S770&gt;0,IF(RIGHT(Ruimtestaat[[#This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70" s="434">
        <f>IF(U770&gt;0,VLOOKUP($J770,Ruimtegroepen[],3,FALSE)*VLOOKUP($L770,Vloersoorten[],3,FALSE)*VLOOKUP($T770,Frequenties[],3,FALSE)*VLOOKUP($A770,Locaties[],3,FALSE),0)</f>
        <v>0</v>
      </c>
      <c r="W770" s="434">
        <f>Ruimtestaat[[#This Row],[Uitvoeringen werkdagen]]*Ruimtestaat[[#This Row],[Oppervlak (netto)]]</f>
        <v>0</v>
      </c>
      <c r="X770" s="441">
        <f>IF(V770&gt;0,Ruimtestaat[[#This Row],[Prest. (m2 /jaar) werkdagen]]/Ruimtestaat[[#This Row],[Norm (m2/uur) werkdagen]],0)</f>
        <v>0</v>
      </c>
      <c r="Y770" s="442">
        <f>Ruimtestaat[[#This Row],[Uitvoeringen werkdagen]]*Ruimtestaat[[#This Row],[Gedeeltelijk]]</f>
        <v>0</v>
      </c>
      <c r="Z770" s="443">
        <f>IF(U770&gt;0,Ruimtestaat[[#This Row],[Prest. (m2 / jaar) werkdagen gedeeld]]/Ruimtestaat[[#This Row],[Norm (m2/uur) werkdagen]],0)</f>
        <v>0</v>
      </c>
      <c r="AA770" s="441">
        <f>Ruimtestaat[[#This Row],[uren / jaar werkdagen gedeeld]]*Tariefsopbouw!$E$35</f>
        <v>0</v>
      </c>
      <c r="AB770" s="441">
        <f>Ruimtestaat[[#This Row],[Uitvoeringen werkdagen]]*Ruimtestaat[[#This Row],[BSO]]</f>
        <v>0</v>
      </c>
      <c r="AC770" s="443">
        <f>IF(U770&gt;0,Ruimtestaat[[#This Row],[Prest. (m2 / jaar) werkdagen BSO]]/Ruimtestaat[[#This Row],[Norm (m2/uur) werkdagen]],0)</f>
        <v>0</v>
      </c>
      <c r="AD770" s="443">
        <f>Ruimtestaat[[#This Row],[uren / jaar werkdagen BSO]]*Tariefsopbouw!$E$35</f>
        <v>0</v>
      </c>
      <c r="AE770" s="444">
        <f>Ruimtestaat[[#This Row],[uren / jaar werkdagen]]*Tariefsopbouw!$E$35</f>
        <v>0</v>
      </c>
      <c r="AF770" s="454"/>
      <c r="AG770" s="455">
        <f>IF(Ruimtestaat[[#This Row],[Frequentie weekend]]&gt;0,VALUE(LEFT(AF770,1))*S770,0)</f>
        <v>0</v>
      </c>
      <c r="AH770" s="455">
        <f>IF($AG770&gt;0,VLOOKUP($J770,Ruimtegroepen[],3,FALSE)*VLOOKUP($L770,Vloersoorten[],3,FALSE)*VLOOKUP($AF770,Frequenties[],3,FALSE)*VLOOKUP(#REF!,Locaties[],3,FALSE),0)</f>
        <v>0</v>
      </c>
      <c r="AI770" s="434">
        <f>Ruimtestaat[[#This Row],[Uitvoeringen weekend]]*Ruimtestaat[[#This Row],[Oppervlak (netto)]]</f>
        <v>0</v>
      </c>
      <c r="AJ770" s="434">
        <f>IF(AH770&gt;0,Ruimtestaat[[#This Row],[Prest. (m2 /jaar) weekend]]/Ruimtestaat[[#This Row],[Norm (m2/uur) weekend]],0)</f>
        <v>0</v>
      </c>
      <c r="AK770" s="444">
        <f>Ruimtestaat[[#This Row],[uren / jaar weekend]]*Tariefsopbouw!$D$40</f>
        <v>0</v>
      </c>
      <c r="AL770" s="441">
        <f>Ruimtestaat[[#This Row],[Prest. (m2 /jaar) weekend]]+Ruimtestaat[[#This Row],[Prest. (m2 /jaar) werkdagen]]</f>
        <v>0</v>
      </c>
      <c r="AM770" s="441">
        <f>Ruimtestaat[[#This Row],[uren / jaar weekend]]+Ruimtestaat[[#This Row],[uren / jaar werkdagen]]</f>
        <v>0</v>
      </c>
      <c r="AN770" s="446">
        <f>Ruimtestaat[[#This Row],[kosten / jaar weekend]]+Ruimtestaat[[#This Row],[kosten / jaar werkdagen]]</f>
        <v>0</v>
      </c>
      <c r="AO770" s="446"/>
      <c r="AP770" s="446" t="str">
        <f>IF(Ruimtestaat[[#This Row],[Frequentie werkdagen]]="","",_xlfn.CONCAT(Ruimtestaat[[#This Row],[Ruimte code]],"-",Ruimtestaat[[#This Row],[Frequentie werkdagen]]," ",Ruimtestaat[[#This Row],[Vloer code]]))</f>
        <v/>
      </c>
      <c r="AQ770" s="448" t="str">
        <f>_xlfn.IFNA(VLOOKUP($AP770,Programma!$F$3:$G$1101,2,0),"")</f>
        <v/>
      </c>
      <c r="AR770" s="448" t="str">
        <f>_xlfn.IFNA(VLOOKUP($AP770,Programma!$F$3:$H$1101,3,0),"")</f>
        <v/>
      </c>
      <c r="AS770" s="448" t="str">
        <f>_xlfn.IFNA(VLOOKUP($AP770,Programma!$F$3:$I$1101,4,0),"")</f>
        <v/>
      </c>
      <c r="AT770" s="448" t="str">
        <f>_xlfn.IFNA(VLOOKUP($AP770,Programma!$F$3:$J$1101,5,0),"")</f>
        <v/>
      </c>
      <c r="AU770" s="448" t="str">
        <f>_xlfn.IFNA(VLOOKUP($AP770,Programma!$F$3:$K$1101,6,0),"")</f>
        <v/>
      </c>
      <c r="AV770" s="448" t="str">
        <f>_xlfn.IFNA(VLOOKUP($AP770,Programma!$F$3:$L$1101,7,0),"")</f>
        <v/>
      </c>
      <c r="AW770" s="448" t="str">
        <f>_xlfn.IFNA(VLOOKUP($AP770,Programma!$F$3:$M$1101,8,0),"")</f>
        <v/>
      </c>
      <c r="AX770" s="448" t="str">
        <f>_xlfn.IFNA(VLOOKUP($AP770,Programma!$F$3:$N$1101,9,0),"")</f>
        <v/>
      </c>
      <c r="AY770" s="448" t="str">
        <f>_xlfn.IFNA(VLOOKUP($AP770,Programma!$F$3:$O$1101,10,0),"")</f>
        <v/>
      </c>
      <c r="AZ770" s="448" t="str">
        <f>_xlfn.IFNA(VLOOKUP($AP770,Programma!$F$3:$P$1101,11,0),"")</f>
        <v/>
      </c>
      <c r="BA770" s="448" t="str">
        <f>_xlfn.IFNA(VLOOKUP($AP770,Programma!$F$3:$Q$1101,12,0),"")</f>
        <v/>
      </c>
      <c r="BB770" s="448" t="str">
        <f>_xlfn.IFNA(VLOOKUP($AP770,Programma!$F$3:$R$1101,13,0),"")</f>
        <v/>
      </c>
      <c r="BC770" s="448" t="str">
        <f>_xlfn.IFNA(VLOOKUP($AP770,Programma!$F$3:$S$1101,14,0),"")</f>
        <v/>
      </c>
      <c r="BD770" s="448" t="str">
        <f>_xlfn.IFNA(VLOOKUP($AP770,Programma!$F$3:$T$1101,15,0),"")</f>
        <v/>
      </c>
      <c r="BE770" s="448" t="str">
        <f>_xlfn.IFNA(VLOOKUP($AP770,Programma!$F$3:$U$1101,16,0),"")</f>
        <v/>
      </c>
      <c r="BF770" s="448" t="str">
        <f>_xlfn.IFNA(VLOOKUP($AP770,Programma!$F$3:$V$1101,17,0),"")</f>
        <v/>
      </c>
      <c r="BG770" s="448" t="str">
        <f>_xlfn.IFNA(VLOOKUP($AP770,Programma!$F$3:$W$1101,18,0),"")</f>
        <v/>
      </c>
      <c r="BH770" s="448" t="str">
        <f>_xlfn.IFNA(VLOOKUP($AP770,Programma!$F$3:$X$1101,19,0),"")</f>
        <v/>
      </c>
      <c r="BI770" s="448" t="str">
        <f>_xlfn.IFNA(VLOOKUP($AP770,Programma!$F$3:$Y$1101,20,0),"")</f>
        <v/>
      </c>
      <c r="BJ770" s="449"/>
      <c r="BK770" s="446" t="str">
        <f>IF(Ruimtestaat[[#This Row],[Frequentie weekend]]="","",_xlfn.CONCAT(Ruimtestaat[[#This Row],[Ruimte code]],"-",Ruimtestaat[[#This Row],[Frequentie weekend]]," ",Ruimtestaat[[#This Row],[Vloer code]]))</f>
        <v/>
      </c>
      <c r="BL770" s="448" t="str">
        <f>_xlfn.IFNA(VLOOKUP($BK770,Programma!$F$3:$G$1101,2,0),"")</f>
        <v/>
      </c>
      <c r="BM770" s="448" t="str">
        <f>_xlfn.IFNA(VLOOKUP($BK770,Programma!$F$3:$H$1101,3,0),"")</f>
        <v/>
      </c>
      <c r="BN770" s="448" t="str">
        <f>_xlfn.IFNA(VLOOKUP($BK770,Programma!$F$3:$I$1101,4,0),"")</f>
        <v/>
      </c>
      <c r="BO770" s="448" t="str">
        <f>_xlfn.IFNA(VLOOKUP($BK770,Programma!$F$3:$J$1101,5,0),"")</f>
        <v/>
      </c>
      <c r="BP770" s="448" t="str">
        <f>_xlfn.IFNA(VLOOKUP($BK770,Programma!$F$3:$K$1101,6,0),"")</f>
        <v/>
      </c>
      <c r="BQ770" s="448" t="str">
        <f>_xlfn.IFNA(VLOOKUP($BK770,Programma!$F$3:$L$1101,7,0),"")</f>
        <v/>
      </c>
      <c r="BR770" s="448" t="str">
        <f>_xlfn.IFNA(VLOOKUP($BK770,Programma!$F$3:$M$1101,8,0),"")</f>
        <v/>
      </c>
      <c r="BS770" s="448" t="str">
        <f>_xlfn.IFNA(VLOOKUP($BK770,Programma!$F$3:$N$1101,9,0),"")</f>
        <v/>
      </c>
      <c r="BT770" s="448" t="str">
        <f>_xlfn.IFNA(VLOOKUP($BK770,Programma!$F$3:$O$1101,10,0),"")</f>
        <v/>
      </c>
      <c r="BU770" s="448" t="str">
        <f>_xlfn.IFNA(VLOOKUP($BK770,Programma!$F$3:$P$1101,11,0),"")</f>
        <v/>
      </c>
      <c r="BV770" s="448" t="str">
        <f>_xlfn.IFNA(VLOOKUP($BK770,Programma!$F$3:$Q$1101,12,0),"")</f>
        <v/>
      </c>
      <c r="BW770" s="448" t="str">
        <f>_xlfn.IFNA(VLOOKUP($BK770,Programma!$F$3:$R$1101,13,0),"")</f>
        <v/>
      </c>
      <c r="BX770" s="448" t="str">
        <f>_xlfn.IFNA(VLOOKUP($BK770,Programma!$F$3:$S$1101,14,0),"")</f>
        <v/>
      </c>
      <c r="BY770" s="448" t="str">
        <f>_xlfn.IFNA(VLOOKUP($BK770,Programma!$F$3:$T$1101,15,0),"")</f>
        <v/>
      </c>
      <c r="BZ770" s="448" t="str">
        <f>_xlfn.IFNA(VLOOKUP($BK770,Programma!$F$3:$U$1101,16,0),"")</f>
        <v/>
      </c>
      <c r="CA770" s="448" t="str">
        <f>_xlfn.IFNA(VLOOKUP($BK770,Programma!$F$3:$V$1101,17,0),"")</f>
        <v/>
      </c>
      <c r="CB770" s="448" t="str">
        <f>_xlfn.IFNA(VLOOKUP($BK770,Programma!$F$3:$W$1101,18,0),"")</f>
        <v/>
      </c>
      <c r="CC770" s="448" t="str">
        <f>_xlfn.IFNA(VLOOKUP($BK770,Programma!$F$3:$X$1101,19,0),"")</f>
        <v/>
      </c>
      <c r="CD770" s="448" t="str">
        <f>_xlfn.IFNA(VLOOKUP($BK770,Programma!$F$3:$Y$1101,20,0),"")</f>
        <v/>
      </c>
    </row>
    <row r="771" spans="1:82" ht="15" customHeight="1">
      <c r="A771" s="327">
        <v>15</v>
      </c>
      <c r="B771" s="435" t="str">
        <f>VLOOKUP(Ruimtestaat[[#This Row],[Code]],Locaties[[Code]:[Locatie]],2,FALSE)</f>
        <v>IKC  Da Vinci</v>
      </c>
      <c r="C771" s="435" t="str">
        <f>VLOOKUP(Ruimtestaat[[#This Row],[Code]],Locaties[[#All],[Code]:[Adres]],4,FALSE)</f>
        <v>Spitsbergen 17</v>
      </c>
      <c r="D771" s="435" t="str">
        <f>VLOOKUP(Ruimtestaat[[#This Row],[Code]],Locaties[[#All],[Code]:[Postcode]],5,FALSE)</f>
        <v>2721 GP</v>
      </c>
      <c r="E771" s="435" t="str">
        <f>VLOOKUP(Ruimtestaat[[#This Row],[Code]],Locaties[#All],6,FALSE)</f>
        <v>Zoetermeer</v>
      </c>
      <c r="F771" s="330" t="s">
        <v>2154</v>
      </c>
      <c r="I771" s="450" t="s">
        <v>2007</v>
      </c>
      <c r="J771" s="330">
        <v>20</v>
      </c>
      <c r="K771" s="450" t="str">
        <f>VLOOKUP(Ruimtestaat[[#This Row],[Ruimte code]],Ruimtegroepen[[#All],[Code]:[Ruimte omschrijving]],2,FALSE)</f>
        <v>Niet in Onderhoud</v>
      </c>
      <c r="M771" s="330"/>
      <c r="N771" s="439"/>
      <c r="O771" s="439">
        <v>17</v>
      </c>
      <c r="P771" s="439"/>
      <c r="Q771" s="439"/>
      <c r="R771" s="440">
        <f>VLOOKUP(Ruimtestaat[[#This Row],[Ruimte code]],Ruimtegroepen[],4,FALSE)</f>
        <v>0</v>
      </c>
      <c r="S771" s="434"/>
      <c r="T771" s="434"/>
      <c r="U771" s="453">
        <f>IF(S771&gt;0,IF(RIGHT(Ruimtestaat[[#This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71" s="434">
        <f>IF(U771&gt;0,VLOOKUP($J771,Ruimtegroepen[],3,FALSE)*VLOOKUP($L771,Vloersoorten[],3,FALSE)*VLOOKUP($T771,Frequenties[],3,FALSE)*VLOOKUP($A771,Locaties[],3,FALSE),0)</f>
        <v>0</v>
      </c>
      <c r="W771" s="434">
        <f>Ruimtestaat[[#This Row],[Uitvoeringen werkdagen]]*Ruimtestaat[[#This Row],[Oppervlak (netto)]]</f>
        <v>0</v>
      </c>
      <c r="X771" s="441">
        <f>IF(V771&gt;0,Ruimtestaat[[#This Row],[Prest. (m2 /jaar) werkdagen]]/Ruimtestaat[[#This Row],[Norm (m2/uur) werkdagen]],0)</f>
        <v>0</v>
      </c>
      <c r="Y771" s="442">
        <f>Ruimtestaat[[#This Row],[Uitvoeringen werkdagen]]*Ruimtestaat[[#This Row],[Gedeeltelijk]]</f>
        <v>0</v>
      </c>
      <c r="Z771" s="443">
        <f>IF(U771&gt;0,Ruimtestaat[[#This Row],[Prest. (m2 / jaar) werkdagen gedeeld]]/Ruimtestaat[[#This Row],[Norm (m2/uur) werkdagen]],0)</f>
        <v>0</v>
      </c>
      <c r="AA771" s="441">
        <f>Ruimtestaat[[#This Row],[uren / jaar werkdagen gedeeld]]*Tariefsopbouw!$E$35</f>
        <v>0</v>
      </c>
      <c r="AB771" s="441">
        <f>Ruimtestaat[[#This Row],[Uitvoeringen werkdagen]]*Ruimtestaat[[#This Row],[BSO]]</f>
        <v>0</v>
      </c>
      <c r="AC771" s="443">
        <f>IF(U771&gt;0,Ruimtestaat[[#This Row],[Prest. (m2 / jaar) werkdagen BSO]]/Ruimtestaat[[#This Row],[Norm (m2/uur) werkdagen]],0)</f>
        <v>0</v>
      </c>
      <c r="AD771" s="443">
        <f>Ruimtestaat[[#This Row],[uren / jaar werkdagen BSO]]*Tariefsopbouw!$E$35</f>
        <v>0</v>
      </c>
      <c r="AE771" s="444">
        <f>Ruimtestaat[[#This Row],[uren / jaar werkdagen]]*Tariefsopbouw!$E$35</f>
        <v>0</v>
      </c>
      <c r="AF771" s="454"/>
      <c r="AG771" s="455">
        <f>IF(Ruimtestaat[[#This Row],[Frequentie weekend]]&gt;0,VALUE(LEFT(AF771,1))*S771,0)</f>
        <v>0</v>
      </c>
      <c r="AH771" s="455">
        <f>IF($AG771&gt;0,VLOOKUP($J771,Ruimtegroepen[],3,FALSE)*VLOOKUP($L771,Vloersoorten[],3,FALSE)*VLOOKUP($AF771,Frequenties[],3,FALSE)*VLOOKUP(#REF!,Locaties[],3,FALSE),0)</f>
        <v>0</v>
      </c>
      <c r="AI771" s="434">
        <f>Ruimtestaat[[#This Row],[Uitvoeringen weekend]]*Ruimtestaat[[#This Row],[Oppervlak (netto)]]</f>
        <v>0</v>
      </c>
      <c r="AJ771" s="434">
        <f>IF(AH771&gt;0,Ruimtestaat[[#This Row],[Prest. (m2 /jaar) weekend]]/Ruimtestaat[[#This Row],[Norm (m2/uur) weekend]],0)</f>
        <v>0</v>
      </c>
      <c r="AK771" s="444">
        <f>Ruimtestaat[[#This Row],[uren / jaar weekend]]*Tariefsopbouw!$D$40</f>
        <v>0</v>
      </c>
      <c r="AL771" s="441">
        <f>Ruimtestaat[[#This Row],[Prest. (m2 /jaar) weekend]]+Ruimtestaat[[#This Row],[Prest. (m2 /jaar) werkdagen]]</f>
        <v>0</v>
      </c>
      <c r="AM771" s="441">
        <f>Ruimtestaat[[#This Row],[uren / jaar weekend]]+Ruimtestaat[[#This Row],[uren / jaar werkdagen]]</f>
        <v>0</v>
      </c>
      <c r="AN771" s="446">
        <f>Ruimtestaat[[#This Row],[kosten / jaar weekend]]+Ruimtestaat[[#This Row],[kosten / jaar werkdagen]]</f>
        <v>0</v>
      </c>
      <c r="AO771" s="446"/>
      <c r="AP771" s="446" t="str">
        <f>IF(Ruimtestaat[[#This Row],[Frequentie werkdagen]]="","",_xlfn.CONCAT(Ruimtestaat[[#This Row],[Ruimte code]],"-",Ruimtestaat[[#This Row],[Frequentie werkdagen]]," ",Ruimtestaat[[#This Row],[Vloer code]]))</f>
        <v/>
      </c>
      <c r="AQ771" s="448" t="str">
        <f>_xlfn.IFNA(VLOOKUP($AP771,Programma!$F$3:$G$1101,2,0),"")</f>
        <v/>
      </c>
      <c r="AR771" s="448" t="str">
        <f>_xlfn.IFNA(VLOOKUP($AP771,Programma!$F$3:$H$1101,3,0),"")</f>
        <v/>
      </c>
      <c r="AS771" s="448" t="str">
        <f>_xlfn.IFNA(VLOOKUP($AP771,Programma!$F$3:$I$1101,4,0),"")</f>
        <v/>
      </c>
      <c r="AT771" s="448" t="str">
        <f>_xlfn.IFNA(VLOOKUP($AP771,Programma!$F$3:$J$1101,5,0),"")</f>
        <v/>
      </c>
      <c r="AU771" s="448" t="str">
        <f>_xlfn.IFNA(VLOOKUP($AP771,Programma!$F$3:$K$1101,6,0),"")</f>
        <v/>
      </c>
      <c r="AV771" s="448" t="str">
        <f>_xlfn.IFNA(VLOOKUP($AP771,Programma!$F$3:$L$1101,7,0),"")</f>
        <v/>
      </c>
      <c r="AW771" s="448" t="str">
        <f>_xlfn.IFNA(VLOOKUP($AP771,Programma!$F$3:$M$1101,8,0),"")</f>
        <v/>
      </c>
      <c r="AX771" s="448" t="str">
        <f>_xlfn.IFNA(VLOOKUP($AP771,Programma!$F$3:$N$1101,9,0),"")</f>
        <v/>
      </c>
      <c r="AY771" s="448" t="str">
        <f>_xlfn.IFNA(VLOOKUP($AP771,Programma!$F$3:$O$1101,10,0),"")</f>
        <v/>
      </c>
      <c r="AZ771" s="448" t="str">
        <f>_xlfn.IFNA(VLOOKUP($AP771,Programma!$F$3:$P$1101,11,0),"")</f>
        <v/>
      </c>
      <c r="BA771" s="448" t="str">
        <f>_xlfn.IFNA(VLOOKUP($AP771,Programma!$F$3:$Q$1101,12,0),"")</f>
        <v/>
      </c>
      <c r="BB771" s="448" t="str">
        <f>_xlfn.IFNA(VLOOKUP($AP771,Programma!$F$3:$R$1101,13,0),"")</f>
        <v/>
      </c>
      <c r="BC771" s="448" t="str">
        <f>_xlfn.IFNA(VLOOKUP($AP771,Programma!$F$3:$S$1101,14,0),"")</f>
        <v/>
      </c>
      <c r="BD771" s="448" t="str">
        <f>_xlfn.IFNA(VLOOKUP($AP771,Programma!$F$3:$T$1101,15,0),"")</f>
        <v/>
      </c>
      <c r="BE771" s="448" t="str">
        <f>_xlfn.IFNA(VLOOKUP($AP771,Programma!$F$3:$U$1101,16,0),"")</f>
        <v/>
      </c>
      <c r="BF771" s="448" t="str">
        <f>_xlfn.IFNA(VLOOKUP($AP771,Programma!$F$3:$V$1101,17,0),"")</f>
        <v/>
      </c>
      <c r="BG771" s="448" t="str">
        <f>_xlfn.IFNA(VLOOKUP($AP771,Programma!$F$3:$W$1101,18,0),"")</f>
        <v/>
      </c>
      <c r="BH771" s="448" t="str">
        <f>_xlfn.IFNA(VLOOKUP($AP771,Programma!$F$3:$X$1101,19,0),"")</f>
        <v/>
      </c>
      <c r="BI771" s="448" t="str">
        <f>_xlfn.IFNA(VLOOKUP($AP771,Programma!$F$3:$Y$1101,20,0),"")</f>
        <v/>
      </c>
      <c r="BJ771" s="449"/>
      <c r="BK771" s="446" t="str">
        <f>IF(Ruimtestaat[[#This Row],[Frequentie weekend]]="","",_xlfn.CONCAT(Ruimtestaat[[#This Row],[Ruimte code]],"-",Ruimtestaat[[#This Row],[Frequentie weekend]]," ",Ruimtestaat[[#This Row],[Vloer code]]))</f>
        <v/>
      </c>
      <c r="BL771" s="448" t="str">
        <f>_xlfn.IFNA(VLOOKUP($BK771,Programma!$F$3:$G$1101,2,0),"")</f>
        <v/>
      </c>
      <c r="BM771" s="448" t="str">
        <f>_xlfn.IFNA(VLOOKUP($BK771,Programma!$F$3:$H$1101,3,0),"")</f>
        <v/>
      </c>
      <c r="BN771" s="448" t="str">
        <f>_xlfn.IFNA(VLOOKUP($BK771,Programma!$F$3:$I$1101,4,0),"")</f>
        <v/>
      </c>
      <c r="BO771" s="448" t="str">
        <f>_xlfn.IFNA(VLOOKUP($BK771,Programma!$F$3:$J$1101,5,0),"")</f>
        <v/>
      </c>
      <c r="BP771" s="448" t="str">
        <f>_xlfn.IFNA(VLOOKUP($BK771,Programma!$F$3:$K$1101,6,0),"")</f>
        <v/>
      </c>
      <c r="BQ771" s="448" t="str">
        <f>_xlfn.IFNA(VLOOKUP($BK771,Programma!$F$3:$L$1101,7,0),"")</f>
        <v/>
      </c>
      <c r="BR771" s="448" t="str">
        <f>_xlfn.IFNA(VLOOKUP($BK771,Programma!$F$3:$M$1101,8,0),"")</f>
        <v/>
      </c>
      <c r="BS771" s="448" t="str">
        <f>_xlfn.IFNA(VLOOKUP($BK771,Programma!$F$3:$N$1101,9,0),"")</f>
        <v/>
      </c>
      <c r="BT771" s="448" t="str">
        <f>_xlfn.IFNA(VLOOKUP($BK771,Programma!$F$3:$O$1101,10,0),"")</f>
        <v/>
      </c>
      <c r="BU771" s="448" t="str">
        <f>_xlfn.IFNA(VLOOKUP($BK771,Programma!$F$3:$P$1101,11,0),"")</f>
        <v/>
      </c>
      <c r="BV771" s="448" t="str">
        <f>_xlfn.IFNA(VLOOKUP($BK771,Programma!$F$3:$Q$1101,12,0),"")</f>
        <v/>
      </c>
      <c r="BW771" s="448" t="str">
        <f>_xlfn.IFNA(VLOOKUP($BK771,Programma!$F$3:$R$1101,13,0),"")</f>
        <v/>
      </c>
      <c r="BX771" s="448" t="str">
        <f>_xlfn.IFNA(VLOOKUP($BK771,Programma!$F$3:$S$1101,14,0),"")</f>
        <v/>
      </c>
      <c r="BY771" s="448" t="str">
        <f>_xlfn.IFNA(VLOOKUP($BK771,Programma!$F$3:$T$1101,15,0),"")</f>
        <v/>
      </c>
      <c r="BZ771" s="448" t="str">
        <f>_xlfn.IFNA(VLOOKUP($BK771,Programma!$F$3:$U$1101,16,0),"")</f>
        <v/>
      </c>
      <c r="CA771" s="448" t="str">
        <f>_xlfn.IFNA(VLOOKUP($BK771,Programma!$F$3:$V$1101,17,0),"")</f>
        <v/>
      </c>
      <c r="CB771" s="448" t="str">
        <f>_xlfn.IFNA(VLOOKUP($BK771,Programma!$F$3:$W$1101,18,0),"")</f>
        <v/>
      </c>
      <c r="CC771" s="448" t="str">
        <f>_xlfn.IFNA(VLOOKUP($BK771,Programma!$F$3:$X$1101,19,0),"")</f>
        <v/>
      </c>
      <c r="CD771" s="448" t="str">
        <f>_xlfn.IFNA(VLOOKUP($BK771,Programma!$F$3:$Y$1101,20,0),"")</f>
        <v/>
      </c>
    </row>
    <row r="772" spans="1:82" ht="15" customHeight="1">
      <c r="A772" s="327">
        <v>15</v>
      </c>
      <c r="B772" s="435" t="str">
        <f>VLOOKUP(Ruimtestaat[[#This Row],[Code]],Locaties[[Code]:[Locatie]],2,FALSE)</f>
        <v>IKC  Da Vinci</v>
      </c>
      <c r="C772" s="435" t="str">
        <f>VLOOKUP(Ruimtestaat[[#This Row],[Code]],Locaties[[#All],[Code]:[Adres]],4,FALSE)</f>
        <v>Spitsbergen 17</v>
      </c>
      <c r="D772" s="435" t="str">
        <f>VLOOKUP(Ruimtestaat[[#This Row],[Code]],Locaties[[#All],[Code]:[Postcode]],5,FALSE)</f>
        <v>2721 GP</v>
      </c>
      <c r="E772" s="435" t="str">
        <f>VLOOKUP(Ruimtestaat[[#This Row],[Code]],Locaties[#All],6,FALSE)</f>
        <v>Zoetermeer</v>
      </c>
      <c r="F772" s="330" t="s">
        <v>2154</v>
      </c>
      <c r="I772" s="450" t="s">
        <v>2008</v>
      </c>
      <c r="J772" s="330">
        <v>20</v>
      </c>
      <c r="K772" s="450" t="str">
        <f>VLOOKUP(Ruimtestaat[[#This Row],[Ruimte code]],Ruimtegroepen[[#All],[Code]:[Ruimte omschrijving]],2,FALSE)</f>
        <v>Niet in Onderhoud</v>
      </c>
      <c r="M772" s="330"/>
      <c r="N772" s="439"/>
      <c r="O772" s="439">
        <v>37</v>
      </c>
      <c r="P772" s="439"/>
      <c r="Q772" s="439"/>
      <c r="R772" s="440">
        <f>VLOOKUP(Ruimtestaat[[#This Row],[Ruimte code]],Ruimtegroepen[],4,FALSE)</f>
        <v>0</v>
      </c>
      <c r="S772" s="434"/>
      <c r="T772" s="434"/>
      <c r="U772" s="453">
        <f>IF(S772&gt;0,IF(RIGHT(Ruimtestaat[[#This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72" s="434">
        <f>IF(U772&gt;0,VLOOKUP($J772,Ruimtegroepen[],3,FALSE)*VLOOKUP($L772,Vloersoorten[],3,FALSE)*VLOOKUP($T772,Frequenties[],3,FALSE)*VLOOKUP($A772,Locaties[],3,FALSE),0)</f>
        <v>0</v>
      </c>
      <c r="W772" s="434">
        <f>Ruimtestaat[[#This Row],[Uitvoeringen werkdagen]]*Ruimtestaat[[#This Row],[Oppervlak (netto)]]</f>
        <v>0</v>
      </c>
      <c r="X772" s="441">
        <f>IF(V772&gt;0,Ruimtestaat[[#This Row],[Prest. (m2 /jaar) werkdagen]]/Ruimtestaat[[#This Row],[Norm (m2/uur) werkdagen]],0)</f>
        <v>0</v>
      </c>
      <c r="Y772" s="442">
        <f>Ruimtestaat[[#This Row],[Uitvoeringen werkdagen]]*Ruimtestaat[[#This Row],[Gedeeltelijk]]</f>
        <v>0</v>
      </c>
      <c r="Z772" s="443">
        <f>IF(U772&gt;0,Ruimtestaat[[#This Row],[Prest. (m2 / jaar) werkdagen gedeeld]]/Ruimtestaat[[#This Row],[Norm (m2/uur) werkdagen]],0)</f>
        <v>0</v>
      </c>
      <c r="AA772" s="441">
        <f>Ruimtestaat[[#This Row],[uren / jaar werkdagen gedeeld]]*Tariefsopbouw!$E$35</f>
        <v>0</v>
      </c>
      <c r="AB772" s="441">
        <f>Ruimtestaat[[#This Row],[Uitvoeringen werkdagen]]*Ruimtestaat[[#This Row],[BSO]]</f>
        <v>0</v>
      </c>
      <c r="AC772" s="443">
        <f>IF(U772&gt;0,Ruimtestaat[[#This Row],[Prest. (m2 / jaar) werkdagen BSO]]/Ruimtestaat[[#This Row],[Norm (m2/uur) werkdagen]],0)</f>
        <v>0</v>
      </c>
      <c r="AD772" s="443">
        <f>Ruimtestaat[[#This Row],[uren / jaar werkdagen BSO]]*Tariefsopbouw!$E$35</f>
        <v>0</v>
      </c>
      <c r="AE772" s="444">
        <f>Ruimtestaat[[#This Row],[uren / jaar werkdagen]]*Tariefsopbouw!$E$35</f>
        <v>0</v>
      </c>
      <c r="AF772" s="454"/>
      <c r="AG772" s="455">
        <f>IF(Ruimtestaat[[#This Row],[Frequentie weekend]]&gt;0,VALUE(LEFT(AF772,1))*S772,0)</f>
        <v>0</v>
      </c>
      <c r="AH772" s="455">
        <f>IF($AG772&gt;0,VLOOKUP($J772,Ruimtegroepen[],3,FALSE)*VLOOKUP($L772,Vloersoorten[],3,FALSE)*VLOOKUP($AF772,Frequenties[],3,FALSE)*VLOOKUP(#REF!,Locaties[],3,FALSE),0)</f>
        <v>0</v>
      </c>
      <c r="AI772" s="434">
        <f>Ruimtestaat[[#This Row],[Uitvoeringen weekend]]*Ruimtestaat[[#This Row],[Oppervlak (netto)]]</f>
        <v>0</v>
      </c>
      <c r="AJ772" s="434">
        <f>IF(AH772&gt;0,Ruimtestaat[[#This Row],[Prest. (m2 /jaar) weekend]]/Ruimtestaat[[#This Row],[Norm (m2/uur) weekend]],0)</f>
        <v>0</v>
      </c>
      <c r="AK772" s="444">
        <f>Ruimtestaat[[#This Row],[uren / jaar weekend]]*Tariefsopbouw!$D$40</f>
        <v>0</v>
      </c>
      <c r="AL772" s="441">
        <f>Ruimtestaat[[#This Row],[Prest. (m2 /jaar) weekend]]+Ruimtestaat[[#This Row],[Prest. (m2 /jaar) werkdagen]]</f>
        <v>0</v>
      </c>
      <c r="AM772" s="441">
        <f>Ruimtestaat[[#This Row],[uren / jaar weekend]]+Ruimtestaat[[#This Row],[uren / jaar werkdagen]]</f>
        <v>0</v>
      </c>
      <c r="AN772" s="446">
        <f>Ruimtestaat[[#This Row],[kosten / jaar weekend]]+Ruimtestaat[[#This Row],[kosten / jaar werkdagen]]</f>
        <v>0</v>
      </c>
      <c r="AO772" s="446"/>
      <c r="AP772" s="446" t="str">
        <f>IF(Ruimtestaat[[#This Row],[Frequentie werkdagen]]="","",_xlfn.CONCAT(Ruimtestaat[[#This Row],[Ruimte code]],"-",Ruimtestaat[[#This Row],[Frequentie werkdagen]]," ",Ruimtestaat[[#This Row],[Vloer code]]))</f>
        <v/>
      </c>
      <c r="AQ772" s="448" t="str">
        <f>_xlfn.IFNA(VLOOKUP($AP772,Programma!$F$3:$G$1101,2,0),"")</f>
        <v/>
      </c>
      <c r="AR772" s="448" t="str">
        <f>_xlfn.IFNA(VLOOKUP($AP772,Programma!$F$3:$H$1101,3,0),"")</f>
        <v/>
      </c>
      <c r="AS772" s="448" t="str">
        <f>_xlfn.IFNA(VLOOKUP($AP772,Programma!$F$3:$I$1101,4,0),"")</f>
        <v/>
      </c>
      <c r="AT772" s="448" t="str">
        <f>_xlfn.IFNA(VLOOKUP($AP772,Programma!$F$3:$J$1101,5,0),"")</f>
        <v/>
      </c>
      <c r="AU772" s="448" t="str">
        <f>_xlfn.IFNA(VLOOKUP($AP772,Programma!$F$3:$K$1101,6,0),"")</f>
        <v/>
      </c>
      <c r="AV772" s="448" t="str">
        <f>_xlfn.IFNA(VLOOKUP($AP772,Programma!$F$3:$L$1101,7,0),"")</f>
        <v/>
      </c>
      <c r="AW772" s="448" t="str">
        <f>_xlfn.IFNA(VLOOKUP($AP772,Programma!$F$3:$M$1101,8,0),"")</f>
        <v/>
      </c>
      <c r="AX772" s="448" t="str">
        <f>_xlfn.IFNA(VLOOKUP($AP772,Programma!$F$3:$N$1101,9,0),"")</f>
        <v/>
      </c>
      <c r="AY772" s="448" t="str">
        <f>_xlfn.IFNA(VLOOKUP($AP772,Programma!$F$3:$O$1101,10,0),"")</f>
        <v/>
      </c>
      <c r="AZ772" s="448" t="str">
        <f>_xlfn.IFNA(VLOOKUP($AP772,Programma!$F$3:$P$1101,11,0),"")</f>
        <v/>
      </c>
      <c r="BA772" s="448" t="str">
        <f>_xlfn.IFNA(VLOOKUP($AP772,Programma!$F$3:$Q$1101,12,0),"")</f>
        <v/>
      </c>
      <c r="BB772" s="448" t="str">
        <f>_xlfn.IFNA(VLOOKUP($AP772,Programma!$F$3:$R$1101,13,0),"")</f>
        <v/>
      </c>
      <c r="BC772" s="448" t="str">
        <f>_xlfn.IFNA(VLOOKUP($AP772,Programma!$F$3:$S$1101,14,0),"")</f>
        <v/>
      </c>
      <c r="BD772" s="448" t="str">
        <f>_xlfn.IFNA(VLOOKUP($AP772,Programma!$F$3:$T$1101,15,0),"")</f>
        <v/>
      </c>
      <c r="BE772" s="448" t="str">
        <f>_xlfn.IFNA(VLOOKUP($AP772,Programma!$F$3:$U$1101,16,0),"")</f>
        <v/>
      </c>
      <c r="BF772" s="448" t="str">
        <f>_xlfn.IFNA(VLOOKUP($AP772,Programma!$F$3:$V$1101,17,0),"")</f>
        <v/>
      </c>
      <c r="BG772" s="448" t="str">
        <f>_xlfn.IFNA(VLOOKUP($AP772,Programma!$F$3:$W$1101,18,0),"")</f>
        <v/>
      </c>
      <c r="BH772" s="448" t="str">
        <f>_xlfn.IFNA(VLOOKUP($AP772,Programma!$F$3:$X$1101,19,0),"")</f>
        <v/>
      </c>
      <c r="BI772" s="448" t="str">
        <f>_xlfn.IFNA(VLOOKUP($AP772,Programma!$F$3:$Y$1101,20,0),"")</f>
        <v/>
      </c>
      <c r="BJ772" s="449"/>
      <c r="BK772" s="446" t="str">
        <f>IF(Ruimtestaat[[#This Row],[Frequentie weekend]]="","",_xlfn.CONCAT(Ruimtestaat[[#This Row],[Ruimte code]],"-",Ruimtestaat[[#This Row],[Frequentie weekend]]," ",Ruimtestaat[[#This Row],[Vloer code]]))</f>
        <v/>
      </c>
      <c r="BL772" s="448" t="str">
        <f>_xlfn.IFNA(VLOOKUP($BK772,Programma!$F$3:$G$1101,2,0),"")</f>
        <v/>
      </c>
      <c r="BM772" s="448" t="str">
        <f>_xlfn.IFNA(VLOOKUP($BK772,Programma!$F$3:$H$1101,3,0),"")</f>
        <v/>
      </c>
      <c r="BN772" s="448" t="str">
        <f>_xlfn.IFNA(VLOOKUP($BK772,Programma!$F$3:$I$1101,4,0),"")</f>
        <v/>
      </c>
      <c r="BO772" s="448" t="str">
        <f>_xlfn.IFNA(VLOOKUP($BK772,Programma!$F$3:$J$1101,5,0),"")</f>
        <v/>
      </c>
      <c r="BP772" s="448" t="str">
        <f>_xlfn.IFNA(VLOOKUP($BK772,Programma!$F$3:$K$1101,6,0),"")</f>
        <v/>
      </c>
      <c r="BQ772" s="448" t="str">
        <f>_xlfn.IFNA(VLOOKUP($BK772,Programma!$F$3:$L$1101,7,0),"")</f>
        <v/>
      </c>
      <c r="BR772" s="448" t="str">
        <f>_xlfn.IFNA(VLOOKUP($BK772,Programma!$F$3:$M$1101,8,0),"")</f>
        <v/>
      </c>
      <c r="BS772" s="448" t="str">
        <f>_xlfn.IFNA(VLOOKUP($BK772,Programma!$F$3:$N$1101,9,0),"")</f>
        <v/>
      </c>
      <c r="BT772" s="448" t="str">
        <f>_xlfn.IFNA(VLOOKUP($BK772,Programma!$F$3:$O$1101,10,0),"")</f>
        <v/>
      </c>
      <c r="BU772" s="448" t="str">
        <f>_xlfn.IFNA(VLOOKUP($BK772,Programma!$F$3:$P$1101,11,0),"")</f>
        <v/>
      </c>
      <c r="BV772" s="448" t="str">
        <f>_xlfn.IFNA(VLOOKUP($BK772,Programma!$F$3:$Q$1101,12,0),"")</f>
        <v/>
      </c>
      <c r="BW772" s="448" t="str">
        <f>_xlfn.IFNA(VLOOKUP($BK772,Programma!$F$3:$R$1101,13,0),"")</f>
        <v/>
      </c>
      <c r="BX772" s="448" t="str">
        <f>_xlfn.IFNA(VLOOKUP($BK772,Programma!$F$3:$S$1101,14,0),"")</f>
        <v/>
      </c>
      <c r="BY772" s="448" t="str">
        <f>_xlfn.IFNA(VLOOKUP($BK772,Programma!$F$3:$T$1101,15,0),"")</f>
        <v/>
      </c>
      <c r="BZ772" s="448" t="str">
        <f>_xlfn.IFNA(VLOOKUP($BK772,Programma!$F$3:$U$1101,16,0),"")</f>
        <v/>
      </c>
      <c r="CA772" s="448" t="str">
        <f>_xlfn.IFNA(VLOOKUP($BK772,Programma!$F$3:$V$1101,17,0),"")</f>
        <v/>
      </c>
      <c r="CB772" s="448" t="str">
        <f>_xlfn.IFNA(VLOOKUP($BK772,Programma!$F$3:$W$1101,18,0),"")</f>
        <v/>
      </c>
      <c r="CC772" s="448" t="str">
        <f>_xlfn.IFNA(VLOOKUP($BK772,Programma!$F$3:$X$1101,19,0),"")</f>
        <v/>
      </c>
      <c r="CD772" s="448" t="str">
        <f>_xlfn.IFNA(VLOOKUP($BK772,Programma!$F$3:$Y$1101,20,0),"")</f>
        <v/>
      </c>
    </row>
    <row r="773" spans="1:82" ht="15" customHeight="1">
      <c r="A773" s="327">
        <v>23</v>
      </c>
      <c r="B773" s="435" t="str">
        <f>VLOOKUP(Ruimtestaat[[#This Row],[Code]],Locaties[[Code]:[Locatie]],2,FALSE)</f>
        <v>IKC De Waterlelie (bijgebouw)</v>
      </c>
      <c r="C773" s="435" t="str">
        <f>VLOOKUP(Ruimtestaat[[#This Row],[Code]],Locaties[[#All],[Code]:[Adres]],4,FALSE)</f>
        <v>Morapad 3</v>
      </c>
      <c r="D773" s="435" t="str">
        <f>VLOOKUP(Ruimtestaat[[#This Row],[Code]],Locaties[[#All],[Code]:[Postcode]],5,FALSE)</f>
        <v>2719 JA</v>
      </c>
      <c r="E773" s="435" t="str">
        <f>VLOOKUP(Ruimtestaat[[#This Row],[Code]],Locaties[#All],6,FALSE)</f>
        <v>Zoetermeer</v>
      </c>
      <c r="F773" s="450"/>
      <c r="I773" s="450" t="s">
        <v>38</v>
      </c>
      <c r="J773" s="330">
        <v>7</v>
      </c>
      <c r="K773" s="450" t="str">
        <f>VLOOKUP(Ruimtestaat[[#This Row],[Ruimte code]],Ruimtegroepen[[#All],[Code]:[Ruimte omschrijving]],2,FALSE)</f>
        <v>Entree</v>
      </c>
      <c r="L773" s="330" t="s">
        <v>102</v>
      </c>
      <c r="M773" s="437" t="s">
        <v>120</v>
      </c>
      <c r="N773" s="439">
        <v>3</v>
      </c>
      <c r="O773" s="439"/>
      <c r="P773" s="439"/>
      <c r="Q773" s="439"/>
      <c r="R773" s="440" t="str">
        <f>VLOOKUP(Ruimtestaat[[#This Row],[Ruimte code]],Ruimtegroepen[],4,FALSE)</f>
        <v>Ve</v>
      </c>
      <c r="S773" s="434">
        <v>41</v>
      </c>
      <c r="T773" s="434" t="s">
        <v>2</v>
      </c>
      <c r="U773" s="453">
        <f>IF(S773&gt;0,IF(RIGHT(Ruimtestaat[[#This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73" s="434">
        <f>IF(U773&gt;0,VLOOKUP($J773,Ruimtegroepen[],3,FALSE)*VLOOKUP($L773,Vloersoorten[],3,FALSE)*VLOOKUP($T773,Frequenties[],3,FALSE)*VLOOKUP($A773,Locaties[],3,FALSE),0)</f>
        <v>0</v>
      </c>
      <c r="W773" s="434">
        <f>Ruimtestaat[[#This Row],[Uitvoeringen werkdagen]]*Ruimtestaat[[#This Row],[Oppervlak (netto)]]</f>
        <v>615</v>
      </c>
      <c r="X773" s="441">
        <f>IF(V773&gt;0,Ruimtestaat[[#This Row],[Prest. (m2 /jaar) werkdagen]]/Ruimtestaat[[#This Row],[Norm (m2/uur) werkdagen]],0)</f>
        <v>0</v>
      </c>
      <c r="Y773" s="442">
        <f>Ruimtestaat[[#This Row],[Uitvoeringen werkdagen]]*Ruimtestaat[[#This Row],[Gedeeltelijk]]</f>
        <v>0</v>
      </c>
      <c r="Z773" s="443" t="e">
        <f>IF(U773&gt;0,Ruimtestaat[[#This Row],[Prest. (m2 / jaar) werkdagen gedeeld]]/Ruimtestaat[[#This Row],[Norm (m2/uur) werkdagen]],0)</f>
        <v>#DIV/0!</v>
      </c>
      <c r="AA773" s="441" t="e">
        <f>Ruimtestaat[[#This Row],[uren / jaar werkdagen gedeeld]]*Tariefsopbouw!$E$35</f>
        <v>#DIV/0!</v>
      </c>
      <c r="AB773" s="441">
        <f>Ruimtestaat[[#This Row],[Uitvoeringen werkdagen]]*Ruimtestaat[[#This Row],[BSO]]</f>
        <v>0</v>
      </c>
      <c r="AC773" s="443" t="e">
        <f>IF(U773&gt;0,Ruimtestaat[[#This Row],[Prest. (m2 / jaar) werkdagen BSO]]/Ruimtestaat[[#This Row],[Norm (m2/uur) werkdagen]],0)</f>
        <v>#DIV/0!</v>
      </c>
      <c r="AD773" s="443" t="e">
        <f>Ruimtestaat[[#This Row],[uren / jaar werkdagen BSO]]*Tariefsopbouw!$E$35</f>
        <v>#DIV/0!</v>
      </c>
      <c r="AE773" s="444">
        <f>Ruimtestaat[[#This Row],[uren / jaar werkdagen]]*Tariefsopbouw!$E$35</f>
        <v>0</v>
      </c>
      <c r="AF773" s="454"/>
      <c r="AG773" s="455">
        <f>IF(Ruimtestaat[[#This Row],[Frequentie weekend]]&gt;0,VALUE(LEFT(AF773,1))*S773,0)</f>
        <v>0</v>
      </c>
      <c r="AH773" s="455">
        <f>IF($AG773&gt;0,VLOOKUP($J773,Ruimtegroepen[],3,FALSE)*VLOOKUP($L773,Vloersoorten[],3,FALSE)*VLOOKUP($AF773,Frequenties[],3,FALSE)*VLOOKUP(#REF!,Locaties[],3,FALSE),0)</f>
        <v>0</v>
      </c>
      <c r="AI773" s="434">
        <f>Ruimtestaat[[#This Row],[Uitvoeringen weekend]]*Ruimtestaat[[#This Row],[Oppervlak (netto)]]</f>
        <v>0</v>
      </c>
      <c r="AJ773" s="434">
        <f>IF(AH773&gt;0,Ruimtestaat[[#This Row],[Prest. (m2 /jaar) weekend]]/Ruimtestaat[[#This Row],[Norm (m2/uur) weekend]],0)</f>
        <v>0</v>
      </c>
      <c r="AK773" s="444">
        <f>Ruimtestaat[[#This Row],[uren / jaar weekend]]*Tariefsopbouw!$D$40</f>
        <v>0</v>
      </c>
      <c r="AL773" s="441">
        <f>Ruimtestaat[[#This Row],[Prest. (m2 /jaar) weekend]]+Ruimtestaat[[#This Row],[Prest. (m2 /jaar) werkdagen]]</f>
        <v>615</v>
      </c>
      <c r="AM773" s="441">
        <f>Ruimtestaat[[#This Row],[uren / jaar weekend]]+Ruimtestaat[[#This Row],[uren / jaar werkdagen]]</f>
        <v>0</v>
      </c>
      <c r="AN773" s="446">
        <f>Ruimtestaat[[#This Row],[kosten / jaar weekend]]+Ruimtestaat[[#This Row],[kosten / jaar werkdagen]]</f>
        <v>0</v>
      </c>
      <c r="AO773" s="446"/>
      <c r="AP773" s="446" t="str">
        <f>IF(Ruimtestaat[[#This Row],[Frequentie werkdagen]]="","",_xlfn.CONCAT(Ruimtestaat[[#This Row],[Ruimte code]],"-",Ruimtestaat[[#This Row],[Frequentie werkdagen]]," ",Ruimtestaat[[#This Row],[Vloer code]]))</f>
        <v>7-5w P</v>
      </c>
      <c r="AQ773" s="448" t="str">
        <f>_xlfn.IFNA(VLOOKUP($AP773,Programma!$F$3:$G$1101,2,0),"")</f>
        <v>_</v>
      </c>
      <c r="AR773" s="448" t="str">
        <f>_xlfn.IFNA(VLOOKUP($AP773,Programma!$F$3:$H$1101,3,0),"")</f>
        <v>_</v>
      </c>
      <c r="AS773" s="448" t="str">
        <f>_xlfn.IFNA(VLOOKUP($AP773,Programma!$F$3:$I$1101,4,0),"")</f>
        <v>5w</v>
      </c>
      <c r="AT773" s="448" t="str">
        <f>_xlfn.IFNA(VLOOKUP($AP773,Programma!$F$3:$J$1101,5,0),"")</f>
        <v>_</v>
      </c>
      <c r="AU773" s="448" t="str">
        <f>_xlfn.IFNA(VLOOKUP($AP773,Programma!$F$3:$K$1101,6,0),"")</f>
        <v>5w</v>
      </c>
      <c r="AV773" s="448" t="str">
        <f>_xlfn.IFNA(VLOOKUP($AP773,Programma!$F$3:$L$1101,7,0),"")</f>
        <v>_</v>
      </c>
      <c r="AW773" s="448" t="str">
        <f>_xlfn.IFNA(VLOOKUP($AP773,Programma!$F$3:$M$1101,8,0),"")</f>
        <v>_</v>
      </c>
      <c r="AX773" s="448" t="str">
        <f>_xlfn.IFNA(VLOOKUP($AP773,Programma!$F$3:$N$1101,9,0),"")</f>
        <v>_</v>
      </c>
      <c r="AY773" s="448" t="str">
        <f>_xlfn.IFNA(VLOOKUP($AP773,Programma!$F$3:$O$1101,10,0),"")</f>
        <v>5w</v>
      </c>
      <c r="AZ773" s="448" t="str">
        <f>_xlfn.IFNA(VLOOKUP($AP773,Programma!$F$3:$P$1101,11,0),"")</f>
        <v>5w</v>
      </c>
      <c r="BA773" s="448" t="str">
        <f>_xlfn.IFNA(VLOOKUP($AP773,Programma!$F$3:$Q$1101,12,0),"")</f>
        <v>1w</v>
      </c>
      <c r="BB773" s="448" t="str">
        <f>_xlfn.IFNA(VLOOKUP($AP773,Programma!$F$3:$R$1101,13,0),"")</f>
        <v>1w</v>
      </c>
      <c r="BC773" s="448" t="str">
        <f>_xlfn.IFNA(VLOOKUP($AP773,Programma!$F$3:$S$1101,14,0),"")</f>
        <v>1m</v>
      </c>
      <c r="BD773" s="448" t="str">
        <f>_xlfn.IFNA(VLOOKUP($AP773,Programma!$F$3:$T$1101,15,0),"")</f>
        <v>2j</v>
      </c>
      <c r="BE773" s="448" t="str">
        <f>_xlfn.IFNA(VLOOKUP($AP773,Programma!$F$3:$U$1101,16,0),"")</f>
        <v>1j</v>
      </c>
      <c r="BF773" s="448" t="str">
        <f>_xlfn.IFNA(VLOOKUP($AP773,Programma!$F$3:$V$1101,17,0),"")</f>
        <v>_</v>
      </c>
      <c r="BG773" s="448" t="str">
        <f>_xlfn.IFNA(VLOOKUP($AP773,Programma!$F$3:$W$1101,18,0),"")</f>
        <v>_</v>
      </c>
      <c r="BH773" s="448" t="str">
        <f>_xlfn.IFNA(VLOOKUP($AP773,Programma!$F$3:$X$1101,19,0),"")</f>
        <v>_</v>
      </c>
      <c r="BI773" s="448" t="str">
        <f>_xlfn.IFNA(VLOOKUP($AP773,Programma!$F$3:$Y$1101,20,0),"")</f>
        <v>_</v>
      </c>
      <c r="BJ773" s="449"/>
      <c r="BK773" s="446" t="str">
        <f>IF(Ruimtestaat[[#This Row],[Frequentie weekend]]="","",_xlfn.CONCAT(Ruimtestaat[[#This Row],[Ruimte code]],"-",Ruimtestaat[[#This Row],[Frequentie weekend]]," ",Ruimtestaat[[#This Row],[Vloer code]]))</f>
        <v/>
      </c>
      <c r="BL773" s="448" t="str">
        <f>_xlfn.IFNA(VLOOKUP($BK773,Programma!$F$3:$G$1101,2,0),"")</f>
        <v/>
      </c>
      <c r="BM773" s="448" t="str">
        <f>_xlfn.IFNA(VLOOKUP($BK773,Programma!$F$3:$H$1101,3,0),"")</f>
        <v/>
      </c>
      <c r="BN773" s="448" t="str">
        <f>_xlfn.IFNA(VLOOKUP($BK773,Programma!$F$3:$I$1101,4,0),"")</f>
        <v/>
      </c>
      <c r="BO773" s="448" t="str">
        <f>_xlfn.IFNA(VLOOKUP($BK773,Programma!$F$3:$J$1101,5,0),"")</f>
        <v/>
      </c>
      <c r="BP773" s="448" t="str">
        <f>_xlfn.IFNA(VLOOKUP($BK773,Programma!$F$3:$K$1101,6,0),"")</f>
        <v/>
      </c>
      <c r="BQ773" s="448" t="str">
        <f>_xlfn.IFNA(VLOOKUP($BK773,Programma!$F$3:$L$1101,7,0),"")</f>
        <v/>
      </c>
      <c r="BR773" s="448" t="str">
        <f>_xlfn.IFNA(VLOOKUP($BK773,Programma!$F$3:$M$1101,8,0),"")</f>
        <v/>
      </c>
      <c r="BS773" s="448" t="str">
        <f>_xlfn.IFNA(VLOOKUP($BK773,Programma!$F$3:$N$1101,9,0),"")</f>
        <v/>
      </c>
      <c r="BT773" s="448" t="str">
        <f>_xlfn.IFNA(VLOOKUP($BK773,Programma!$F$3:$O$1101,10,0),"")</f>
        <v/>
      </c>
      <c r="BU773" s="448" t="str">
        <f>_xlfn.IFNA(VLOOKUP($BK773,Programma!$F$3:$P$1101,11,0),"")</f>
        <v/>
      </c>
      <c r="BV773" s="448" t="str">
        <f>_xlfn.IFNA(VLOOKUP($BK773,Programma!$F$3:$Q$1101,12,0),"")</f>
        <v/>
      </c>
      <c r="BW773" s="448" t="str">
        <f>_xlfn.IFNA(VLOOKUP($BK773,Programma!$F$3:$R$1101,13,0),"")</f>
        <v/>
      </c>
      <c r="BX773" s="448" t="str">
        <f>_xlfn.IFNA(VLOOKUP($BK773,Programma!$F$3:$S$1101,14,0),"")</f>
        <v/>
      </c>
      <c r="BY773" s="448" t="str">
        <f>_xlfn.IFNA(VLOOKUP($BK773,Programma!$F$3:$T$1101,15,0),"")</f>
        <v/>
      </c>
      <c r="BZ773" s="448" t="str">
        <f>_xlfn.IFNA(VLOOKUP($BK773,Programma!$F$3:$U$1101,16,0),"")</f>
        <v/>
      </c>
      <c r="CA773" s="448" t="str">
        <f>_xlfn.IFNA(VLOOKUP($BK773,Programma!$F$3:$V$1101,17,0),"")</f>
        <v/>
      </c>
      <c r="CB773" s="448" t="str">
        <f>_xlfn.IFNA(VLOOKUP($BK773,Programma!$F$3:$W$1101,18,0),"")</f>
        <v/>
      </c>
      <c r="CC773" s="448" t="str">
        <f>_xlfn.IFNA(VLOOKUP($BK773,Programma!$F$3:$X$1101,19,0),"")</f>
        <v/>
      </c>
      <c r="CD773" s="448" t="str">
        <f>_xlfn.IFNA(VLOOKUP($BK773,Programma!$F$3:$Y$1101,20,0),"")</f>
        <v/>
      </c>
    </row>
    <row r="774" spans="1:82" ht="15" customHeight="1">
      <c r="A774" s="327">
        <v>23</v>
      </c>
      <c r="B774" s="435" t="str">
        <f>VLOOKUP(Ruimtestaat[[#This Row],[Code]],Locaties[[Code]:[Locatie]],2,FALSE)</f>
        <v>IKC De Waterlelie (bijgebouw)</v>
      </c>
      <c r="C774" s="435" t="str">
        <f>VLOOKUP(Ruimtestaat[[#This Row],[Code]],Locaties[[#All],[Code]:[Adres]],4,FALSE)</f>
        <v>Morapad 3</v>
      </c>
      <c r="D774" s="435" t="str">
        <f>VLOOKUP(Ruimtestaat[[#This Row],[Code]],Locaties[[#All],[Code]:[Postcode]],5,FALSE)</f>
        <v>2719 JA</v>
      </c>
      <c r="E774" s="435" t="str">
        <f>VLOOKUP(Ruimtestaat[[#This Row],[Code]],Locaties[#All],6,FALSE)</f>
        <v>Zoetermeer</v>
      </c>
      <c r="F774" s="450"/>
      <c r="I774" s="450" t="s">
        <v>1756</v>
      </c>
      <c r="J774" s="330">
        <v>20</v>
      </c>
      <c r="K774" s="450" t="str">
        <f>VLOOKUP(Ruimtestaat[[#This Row],[Ruimte code]],Ruimtegroepen[[#All],[Code]:[Ruimte omschrijving]],2,FALSE)</f>
        <v>Niet in Onderhoud</v>
      </c>
      <c r="L774" s="330" t="s">
        <v>102</v>
      </c>
      <c r="M774" s="437" t="s">
        <v>120</v>
      </c>
      <c r="N774" s="439"/>
      <c r="O774" s="439">
        <v>2</v>
      </c>
      <c r="P774" s="439"/>
      <c r="Q774" s="439"/>
      <c r="R774" s="440">
        <f>VLOOKUP(Ruimtestaat[[#This Row],[Ruimte code]],Ruimtegroepen[],4,FALSE)</f>
        <v>0</v>
      </c>
      <c r="S774" s="434"/>
      <c r="T774" s="434"/>
      <c r="U774" s="453">
        <f>IF(S774&gt;0,IF(RIGHT(Ruimtestaat[[#This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74" s="434">
        <f>IF(U774&gt;0,VLOOKUP($J774,Ruimtegroepen[],3,FALSE)*VLOOKUP($L774,Vloersoorten[],3,FALSE)*VLOOKUP($T774,Frequenties[],3,FALSE)*VLOOKUP($A774,Locaties[],3,FALSE),0)</f>
        <v>0</v>
      </c>
      <c r="W774" s="434">
        <f>Ruimtestaat[[#This Row],[Uitvoeringen werkdagen]]*Ruimtestaat[[#This Row],[Oppervlak (netto)]]</f>
        <v>0</v>
      </c>
      <c r="X774" s="441">
        <f>IF(V774&gt;0,Ruimtestaat[[#This Row],[Prest. (m2 /jaar) werkdagen]]/Ruimtestaat[[#This Row],[Norm (m2/uur) werkdagen]],0)</f>
        <v>0</v>
      </c>
      <c r="Y774" s="442">
        <f>Ruimtestaat[[#This Row],[Uitvoeringen werkdagen]]*Ruimtestaat[[#This Row],[Gedeeltelijk]]</f>
        <v>0</v>
      </c>
      <c r="Z774" s="443">
        <f>IF(U774&gt;0,Ruimtestaat[[#This Row],[Prest. (m2 / jaar) werkdagen gedeeld]]/Ruimtestaat[[#This Row],[Norm (m2/uur) werkdagen]],0)</f>
        <v>0</v>
      </c>
      <c r="AA774" s="441">
        <f>Ruimtestaat[[#This Row],[uren / jaar werkdagen gedeeld]]*Tariefsopbouw!$E$35</f>
        <v>0</v>
      </c>
      <c r="AB774" s="441">
        <f>Ruimtestaat[[#This Row],[Uitvoeringen werkdagen]]*Ruimtestaat[[#This Row],[BSO]]</f>
        <v>0</v>
      </c>
      <c r="AC774" s="443">
        <f>IF(U774&gt;0,Ruimtestaat[[#This Row],[Prest. (m2 / jaar) werkdagen BSO]]/Ruimtestaat[[#This Row],[Norm (m2/uur) werkdagen]],0)</f>
        <v>0</v>
      </c>
      <c r="AD774" s="443">
        <f>Ruimtestaat[[#This Row],[uren / jaar werkdagen BSO]]*Tariefsopbouw!$E$35</f>
        <v>0</v>
      </c>
      <c r="AE774" s="444">
        <f>Ruimtestaat[[#This Row],[uren / jaar werkdagen]]*Tariefsopbouw!$E$35</f>
        <v>0</v>
      </c>
      <c r="AF774" s="454"/>
      <c r="AG774" s="455">
        <f>IF(Ruimtestaat[[#This Row],[Frequentie weekend]]&gt;0,VALUE(LEFT(AF774,1))*S774,0)</f>
        <v>0</v>
      </c>
      <c r="AH774" s="455">
        <f>IF($AG774&gt;0,VLOOKUP($J774,Ruimtegroepen[],3,FALSE)*VLOOKUP($L774,Vloersoorten[],3,FALSE)*VLOOKUP($AF774,Frequenties[],3,FALSE)*VLOOKUP(#REF!,Locaties[],3,FALSE),0)</f>
        <v>0</v>
      </c>
      <c r="AI774" s="434">
        <f>Ruimtestaat[[#This Row],[Uitvoeringen weekend]]*Ruimtestaat[[#This Row],[Oppervlak (netto)]]</f>
        <v>0</v>
      </c>
      <c r="AJ774" s="434">
        <f>IF(AH774&gt;0,Ruimtestaat[[#This Row],[Prest. (m2 /jaar) weekend]]/Ruimtestaat[[#This Row],[Norm (m2/uur) weekend]],0)</f>
        <v>0</v>
      </c>
      <c r="AK774" s="444">
        <f>Ruimtestaat[[#This Row],[uren / jaar weekend]]*Tariefsopbouw!$D$40</f>
        <v>0</v>
      </c>
      <c r="AL774" s="441">
        <f>Ruimtestaat[[#This Row],[Prest. (m2 /jaar) weekend]]+Ruimtestaat[[#This Row],[Prest. (m2 /jaar) werkdagen]]</f>
        <v>0</v>
      </c>
      <c r="AM774" s="441">
        <f>Ruimtestaat[[#This Row],[uren / jaar weekend]]+Ruimtestaat[[#This Row],[uren / jaar werkdagen]]</f>
        <v>0</v>
      </c>
      <c r="AN774" s="446">
        <f>Ruimtestaat[[#This Row],[kosten / jaar weekend]]+Ruimtestaat[[#This Row],[kosten / jaar werkdagen]]</f>
        <v>0</v>
      </c>
      <c r="AO774" s="446"/>
      <c r="AP774" s="446" t="str">
        <f>IF(Ruimtestaat[[#This Row],[Frequentie werkdagen]]="","",_xlfn.CONCAT(Ruimtestaat[[#This Row],[Ruimte code]],"-",Ruimtestaat[[#This Row],[Frequentie werkdagen]]," ",Ruimtestaat[[#This Row],[Vloer code]]))</f>
        <v/>
      </c>
      <c r="AQ774" s="448" t="str">
        <f>_xlfn.IFNA(VLOOKUP($AP774,Programma!$F$3:$G$1101,2,0),"")</f>
        <v/>
      </c>
      <c r="AR774" s="448" t="str">
        <f>_xlfn.IFNA(VLOOKUP($AP774,Programma!$F$3:$H$1101,3,0),"")</f>
        <v/>
      </c>
      <c r="AS774" s="448" t="str">
        <f>_xlfn.IFNA(VLOOKUP($AP774,Programma!$F$3:$I$1101,4,0),"")</f>
        <v/>
      </c>
      <c r="AT774" s="448" t="str">
        <f>_xlfn.IFNA(VLOOKUP($AP774,Programma!$F$3:$J$1101,5,0),"")</f>
        <v/>
      </c>
      <c r="AU774" s="448" t="str">
        <f>_xlfn.IFNA(VLOOKUP($AP774,Programma!$F$3:$K$1101,6,0),"")</f>
        <v/>
      </c>
      <c r="AV774" s="448" t="str">
        <f>_xlfn.IFNA(VLOOKUP($AP774,Programma!$F$3:$L$1101,7,0),"")</f>
        <v/>
      </c>
      <c r="AW774" s="448" t="str">
        <f>_xlfn.IFNA(VLOOKUP($AP774,Programma!$F$3:$M$1101,8,0),"")</f>
        <v/>
      </c>
      <c r="AX774" s="448" t="str">
        <f>_xlfn.IFNA(VLOOKUP($AP774,Programma!$F$3:$N$1101,9,0),"")</f>
        <v/>
      </c>
      <c r="AY774" s="448" t="str">
        <f>_xlfn.IFNA(VLOOKUP($AP774,Programma!$F$3:$O$1101,10,0),"")</f>
        <v/>
      </c>
      <c r="AZ774" s="448" t="str">
        <f>_xlfn.IFNA(VLOOKUP($AP774,Programma!$F$3:$P$1101,11,0),"")</f>
        <v/>
      </c>
      <c r="BA774" s="448" t="str">
        <f>_xlfn.IFNA(VLOOKUP($AP774,Programma!$F$3:$Q$1101,12,0),"")</f>
        <v/>
      </c>
      <c r="BB774" s="448" t="str">
        <f>_xlfn.IFNA(VLOOKUP($AP774,Programma!$F$3:$R$1101,13,0),"")</f>
        <v/>
      </c>
      <c r="BC774" s="448" t="str">
        <f>_xlfn.IFNA(VLOOKUP($AP774,Programma!$F$3:$S$1101,14,0),"")</f>
        <v/>
      </c>
      <c r="BD774" s="448" t="str">
        <f>_xlfn.IFNA(VLOOKUP($AP774,Programma!$F$3:$T$1101,15,0),"")</f>
        <v/>
      </c>
      <c r="BE774" s="448" t="str">
        <f>_xlfn.IFNA(VLOOKUP($AP774,Programma!$F$3:$U$1101,16,0),"")</f>
        <v/>
      </c>
      <c r="BF774" s="448" t="str">
        <f>_xlfn.IFNA(VLOOKUP($AP774,Programma!$F$3:$V$1101,17,0),"")</f>
        <v/>
      </c>
      <c r="BG774" s="448" t="str">
        <f>_xlfn.IFNA(VLOOKUP($AP774,Programma!$F$3:$W$1101,18,0),"")</f>
        <v/>
      </c>
      <c r="BH774" s="448" t="str">
        <f>_xlfn.IFNA(VLOOKUP($AP774,Programma!$F$3:$X$1101,19,0),"")</f>
        <v/>
      </c>
      <c r="BI774" s="448" t="str">
        <f>_xlfn.IFNA(VLOOKUP($AP774,Programma!$F$3:$Y$1101,20,0),"")</f>
        <v/>
      </c>
      <c r="BJ774" s="449"/>
      <c r="BK774" s="446" t="str">
        <f>IF(Ruimtestaat[[#This Row],[Frequentie weekend]]="","",_xlfn.CONCAT(Ruimtestaat[[#This Row],[Ruimte code]],"-",Ruimtestaat[[#This Row],[Frequentie weekend]]," ",Ruimtestaat[[#This Row],[Vloer code]]))</f>
        <v/>
      </c>
      <c r="BL774" s="448" t="str">
        <f>_xlfn.IFNA(VLOOKUP($BK774,Programma!$F$3:$G$1101,2,0),"")</f>
        <v/>
      </c>
      <c r="BM774" s="448" t="str">
        <f>_xlfn.IFNA(VLOOKUP($BK774,Programma!$F$3:$H$1101,3,0),"")</f>
        <v/>
      </c>
      <c r="BN774" s="448" t="str">
        <f>_xlfn.IFNA(VLOOKUP($BK774,Programma!$F$3:$I$1101,4,0),"")</f>
        <v/>
      </c>
      <c r="BO774" s="448" t="str">
        <f>_xlfn.IFNA(VLOOKUP($BK774,Programma!$F$3:$J$1101,5,0),"")</f>
        <v/>
      </c>
      <c r="BP774" s="448" t="str">
        <f>_xlfn.IFNA(VLOOKUP($BK774,Programma!$F$3:$K$1101,6,0),"")</f>
        <v/>
      </c>
      <c r="BQ774" s="448" t="str">
        <f>_xlfn.IFNA(VLOOKUP($BK774,Programma!$F$3:$L$1101,7,0),"")</f>
        <v/>
      </c>
      <c r="BR774" s="448" t="str">
        <f>_xlfn.IFNA(VLOOKUP($BK774,Programma!$F$3:$M$1101,8,0),"")</f>
        <v/>
      </c>
      <c r="BS774" s="448" t="str">
        <f>_xlfn.IFNA(VLOOKUP($BK774,Programma!$F$3:$N$1101,9,0),"")</f>
        <v/>
      </c>
      <c r="BT774" s="448" t="str">
        <f>_xlfn.IFNA(VLOOKUP($BK774,Programma!$F$3:$O$1101,10,0),"")</f>
        <v/>
      </c>
      <c r="BU774" s="448" t="str">
        <f>_xlfn.IFNA(VLOOKUP($BK774,Programma!$F$3:$P$1101,11,0),"")</f>
        <v/>
      </c>
      <c r="BV774" s="448" t="str">
        <f>_xlfn.IFNA(VLOOKUP($BK774,Programma!$F$3:$Q$1101,12,0),"")</f>
        <v/>
      </c>
      <c r="BW774" s="448" t="str">
        <f>_xlfn.IFNA(VLOOKUP($BK774,Programma!$F$3:$R$1101,13,0),"")</f>
        <v/>
      </c>
      <c r="BX774" s="448" t="str">
        <f>_xlfn.IFNA(VLOOKUP($BK774,Programma!$F$3:$S$1101,14,0),"")</f>
        <v/>
      </c>
      <c r="BY774" s="448" t="str">
        <f>_xlfn.IFNA(VLOOKUP($BK774,Programma!$F$3:$T$1101,15,0),"")</f>
        <v/>
      </c>
      <c r="BZ774" s="448" t="str">
        <f>_xlfn.IFNA(VLOOKUP($BK774,Programma!$F$3:$U$1101,16,0),"")</f>
        <v/>
      </c>
      <c r="CA774" s="448" t="str">
        <f>_xlfn.IFNA(VLOOKUP($BK774,Programma!$F$3:$V$1101,17,0),"")</f>
        <v/>
      </c>
      <c r="CB774" s="448" t="str">
        <f>_xlfn.IFNA(VLOOKUP($BK774,Programma!$F$3:$W$1101,18,0),"")</f>
        <v/>
      </c>
      <c r="CC774" s="448" t="str">
        <f>_xlfn.IFNA(VLOOKUP($BK774,Programma!$F$3:$X$1101,19,0),"")</f>
        <v/>
      </c>
      <c r="CD774" s="448" t="str">
        <f>_xlfn.IFNA(VLOOKUP($BK774,Programma!$F$3:$Y$1101,20,0),"")</f>
        <v/>
      </c>
    </row>
    <row r="775" spans="1:82" ht="15" customHeight="1">
      <c r="A775" s="327">
        <v>23</v>
      </c>
      <c r="B775" s="435" t="str">
        <f>VLOOKUP(Ruimtestaat[[#This Row],[Code]],Locaties[[Code]:[Locatie]],2,FALSE)</f>
        <v>IKC De Waterlelie (bijgebouw)</v>
      </c>
      <c r="C775" s="435" t="str">
        <f>VLOOKUP(Ruimtestaat[[#This Row],[Code]],Locaties[[#All],[Code]:[Adres]],4,FALSE)</f>
        <v>Morapad 3</v>
      </c>
      <c r="D775" s="435" t="str">
        <f>VLOOKUP(Ruimtestaat[[#This Row],[Code]],Locaties[[#All],[Code]:[Postcode]],5,FALSE)</f>
        <v>2719 JA</v>
      </c>
      <c r="E775" s="435" t="str">
        <f>VLOOKUP(Ruimtestaat[[#This Row],[Code]],Locaties[#All],6,FALSE)</f>
        <v>Zoetermeer</v>
      </c>
      <c r="F775" s="450"/>
      <c r="I775" s="450" t="s">
        <v>2009</v>
      </c>
      <c r="J775" s="330">
        <v>13</v>
      </c>
      <c r="K775" s="450" t="str">
        <f>VLOOKUP(Ruimtestaat[[#This Row],[Ruimte code]],Ruimtegroepen[[#All],[Code]:[Ruimte omschrijving]],2,FALSE)</f>
        <v>Personeelskamer</v>
      </c>
      <c r="L775" s="330" t="s">
        <v>102</v>
      </c>
      <c r="M775" s="437" t="s">
        <v>120</v>
      </c>
      <c r="N775" s="439">
        <v>14.5</v>
      </c>
      <c r="O775" s="439"/>
      <c r="P775" s="439"/>
      <c r="Q775" s="439"/>
      <c r="R775" s="440" t="str">
        <f>VLOOKUP(Ruimtestaat[[#This Row],[Ruimte code]],Ruimtegroepen[],4,FALSE)</f>
        <v>Ve</v>
      </c>
      <c r="S775" s="434">
        <v>41</v>
      </c>
      <c r="T775" s="434" t="s">
        <v>2</v>
      </c>
      <c r="U775" s="453">
        <f>IF(S775&gt;0,IF(RIGHT(Ruimtestaat[[#This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75" s="434">
        <f>IF(U775&gt;0,VLOOKUP($J775,Ruimtegroepen[],3,FALSE)*VLOOKUP($L775,Vloersoorten[],3,FALSE)*VLOOKUP($T775,Frequenties[],3,FALSE)*VLOOKUP($A775,Locaties[],3,FALSE),0)</f>
        <v>0</v>
      </c>
      <c r="W775" s="434">
        <f>Ruimtestaat[[#This Row],[Uitvoeringen werkdagen]]*Ruimtestaat[[#This Row],[Oppervlak (netto)]]</f>
        <v>2972.5</v>
      </c>
      <c r="X775" s="441">
        <f>IF(V775&gt;0,Ruimtestaat[[#This Row],[Prest. (m2 /jaar) werkdagen]]/Ruimtestaat[[#This Row],[Norm (m2/uur) werkdagen]],0)</f>
        <v>0</v>
      </c>
      <c r="Y775" s="442">
        <f>Ruimtestaat[[#This Row],[Uitvoeringen werkdagen]]*Ruimtestaat[[#This Row],[Gedeeltelijk]]</f>
        <v>0</v>
      </c>
      <c r="Z775" s="443" t="e">
        <f>IF(U775&gt;0,Ruimtestaat[[#This Row],[Prest. (m2 / jaar) werkdagen gedeeld]]/Ruimtestaat[[#This Row],[Norm (m2/uur) werkdagen]],0)</f>
        <v>#DIV/0!</v>
      </c>
      <c r="AA775" s="441" t="e">
        <f>Ruimtestaat[[#This Row],[uren / jaar werkdagen gedeeld]]*Tariefsopbouw!$E$35</f>
        <v>#DIV/0!</v>
      </c>
      <c r="AB775" s="441">
        <f>Ruimtestaat[[#This Row],[Uitvoeringen werkdagen]]*Ruimtestaat[[#This Row],[BSO]]</f>
        <v>0</v>
      </c>
      <c r="AC775" s="443" t="e">
        <f>IF(U775&gt;0,Ruimtestaat[[#This Row],[Prest. (m2 / jaar) werkdagen BSO]]/Ruimtestaat[[#This Row],[Norm (m2/uur) werkdagen]],0)</f>
        <v>#DIV/0!</v>
      </c>
      <c r="AD775" s="443" t="e">
        <f>Ruimtestaat[[#This Row],[uren / jaar werkdagen BSO]]*Tariefsopbouw!$E$35</f>
        <v>#DIV/0!</v>
      </c>
      <c r="AE775" s="444">
        <f>Ruimtestaat[[#This Row],[uren / jaar werkdagen]]*Tariefsopbouw!$E$35</f>
        <v>0</v>
      </c>
      <c r="AF775" s="454"/>
      <c r="AG775" s="455">
        <f>IF(Ruimtestaat[[#This Row],[Frequentie weekend]]&gt;0,VALUE(LEFT(AF775,1))*S775,0)</f>
        <v>0</v>
      </c>
      <c r="AH775" s="455">
        <f>IF($AG775&gt;0,VLOOKUP($J775,Ruimtegroepen[],3,FALSE)*VLOOKUP($L775,Vloersoorten[],3,FALSE)*VLOOKUP($AF775,Frequenties[],3,FALSE)*VLOOKUP(#REF!,Locaties[],3,FALSE),0)</f>
        <v>0</v>
      </c>
      <c r="AI775" s="434">
        <f>Ruimtestaat[[#This Row],[Uitvoeringen weekend]]*Ruimtestaat[[#This Row],[Oppervlak (netto)]]</f>
        <v>0</v>
      </c>
      <c r="AJ775" s="434">
        <f>IF(AH775&gt;0,Ruimtestaat[[#This Row],[Prest. (m2 /jaar) weekend]]/Ruimtestaat[[#This Row],[Norm (m2/uur) weekend]],0)</f>
        <v>0</v>
      </c>
      <c r="AK775" s="444">
        <f>Ruimtestaat[[#This Row],[uren / jaar weekend]]*Tariefsopbouw!$D$40</f>
        <v>0</v>
      </c>
      <c r="AL775" s="441">
        <f>Ruimtestaat[[#This Row],[Prest. (m2 /jaar) weekend]]+Ruimtestaat[[#This Row],[Prest. (m2 /jaar) werkdagen]]</f>
        <v>2972.5</v>
      </c>
      <c r="AM775" s="441">
        <f>Ruimtestaat[[#This Row],[uren / jaar weekend]]+Ruimtestaat[[#This Row],[uren / jaar werkdagen]]</f>
        <v>0</v>
      </c>
      <c r="AN775" s="446">
        <f>Ruimtestaat[[#This Row],[kosten / jaar weekend]]+Ruimtestaat[[#This Row],[kosten / jaar werkdagen]]</f>
        <v>0</v>
      </c>
      <c r="AO775" s="446"/>
      <c r="AP775" s="446" t="str">
        <f>IF(Ruimtestaat[[#This Row],[Frequentie werkdagen]]="","",_xlfn.CONCAT(Ruimtestaat[[#This Row],[Ruimte code]],"-",Ruimtestaat[[#This Row],[Frequentie werkdagen]]," ",Ruimtestaat[[#This Row],[Vloer code]]))</f>
        <v>13-5w P</v>
      </c>
      <c r="AQ775" s="448" t="str">
        <f>_xlfn.IFNA(VLOOKUP($AP775,Programma!$F$3:$G$1101,2,0),"")</f>
        <v>_</v>
      </c>
      <c r="AR775" s="448" t="str">
        <f>_xlfn.IFNA(VLOOKUP($AP775,Programma!$F$3:$H$1101,3,0),"")</f>
        <v>_</v>
      </c>
      <c r="AS775" s="448" t="str">
        <f>_xlfn.IFNA(VLOOKUP($AP775,Programma!$F$3:$I$1101,4,0),"")</f>
        <v>4w</v>
      </c>
      <c r="AT775" s="448" t="str">
        <f>_xlfn.IFNA(VLOOKUP($AP775,Programma!$F$3:$J$1101,5,0),"")</f>
        <v>1w</v>
      </c>
      <c r="AU775" s="448" t="str">
        <f>_xlfn.IFNA(VLOOKUP($AP775,Programma!$F$3:$K$1101,6,0),"")</f>
        <v>1j</v>
      </c>
      <c r="AV775" s="448" t="str">
        <f>_xlfn.IFNA(VLOOKUP($AP775,Programma!$F$3:$L$1101,7,0),"")</f>
        <v>_</v>
      </c>
      <c r="AW775" s="448" t="str">
        <f>_xlfn.IFNA(VLOOKUP($AP775,Programma!$F$3:$M$1101,8,0),"")</f>
        <v>_</v>
      </c>
      <c r="AX775" s="448" t="str">
        <f>_xlfn.IFNA(VLOOKUP($AP775,Programma!$F$3:$N$1101,9,0),"")</f>
        <v>_</v>
      </c>
      <c r="AY775" s="448" t="str">
        <f>_xlfn.IFNA(VLOOKUP($AP775,Programma!$F$3:$O$1101,10,0),"")</f>
        <v>5w</v>
      </c>
      <c r="AZ775" s="448" t="str">
        <f>_xlfn.IFNA(VLOOKUP($AP775,Programma!$F$3:$P$1101,11,0),"")</f>
        <v>5w</v>
      </c>
      <c r="BA775" s="448" t="str">
        <f>_xlfn.IFNA(VLOOKUP($AP775,Programma!$F$3:$Q$1101,12,0),"")</f>
        <v>1w</v>
      </c>
      <c r="BB775" s="448" t="str">
        <f>_xlfn.IFNA(VLOOKUP($AP775,Programma!$F$3:$R$1101,13,0),"")</f>
        <v>1w</v>
      </c>
      <c r="BC775" s="448" t="str">
        <f>_xlfn.IFNA(VLOOKUP($AP775,Programma!$F$3:$S$1101,14,0),"")</f>
        <v>1m</v>
      </c>
      <c r="BD775" s="448" t="str">
        <f>_xlfn.IFNA(VLOOKUP($AP775,Programma!$F$3:$T$1101,15,0),"")</f>
        <v>2j</v>
      </c>
      <c r="BE775" s="448" t="str">
        <f>_xlfn.IFNA(VLOOKUP($AP775,Programma!$F$3:$U$1101,16,0),"")</f>
        <v>1j</v>
      </c>
      <c r="BF775" s="448" t="str">
        <f>_xlfn.IFNA(VLOOKUP($AP775,Programma!$F$3:$V$1101,17,0),"")</f>
        <v>_</v>
      </c>
      <c r="BG775" s="448" t="str">
        <f>_xlfn.IFNA(VLOOKUP($AP775,Programma!$F$3:$W$1101,18,0),"")</f>
        <v>_</v>
      </c>
      <c r="BH775" s="448" t="str">
        <f>_xlfn.IFNA(VLOOKUP($AP775,Programma!$F$3:$X$1101,19,0),"")</f>
        <v>_</v>
      </c>
      <c r="BI775" s="448" t="str">
        <f>_xlfn.IFNA(VLOOKUP($AP775,Programma!$F$3:$Y$1101,20,0),"")</f>
        <v>_</v>
      </c>
      <c r="BJ775" s="449"/>
      <c r="BK775" s="446" t="str">
        <f>IF(Ruimtestaat[[#This Row],[Frequentie weekend]]="","",_xlfn.CONCAT(Ruimtestaat[[#This Row],[Ruimte code]],"-",Ruimtestaat[[#This Row],[Frequentie weekend]]," ",Ruimtestaat[[#This Row],[Vloer code]]))</f>
        <v/>
      </c>
      <c r="BL775" s="448" t="str">
        <f>_xlfn.IFNA(VLOOKUP($BK775,Programma!$F$3:$G$1101,2,0),"")</f>
        <v/>
      </c>
      <c r="BM775" s="448" t="str">
        <f>_xlfn.IFNA(VLOOKUP($BK775,Programma!$F$3:$H$1101,3,0),"")</f>
        <v/>
      </c>
      <c r="BN775" s="448" t="str">
        <f>_xlfn.IFNA(VLOOKUP($BK775,Programma!$F$3:$I$1101,4,0),"")</f>
        <v/>
      </c>
      <c r="BO775" s="448" t="str">
        <f>_xlfn.IFNA(VLOOKUP($BK775,Programma!$F$3:$J$1101,5,0),"")</f>
        <v/>
      </c>
      <c r="BP775" s="448" t="str">
        <f>_xlfn.IFNA(VLOOKUP($BK775,Programma!$F$3:$K$1101,6,0),"")</f>
        <v/>
      </c>
      <c r="BQ775" s="448" t="str">
        <f>_xlfn.IFNA(VLOOKUP($BK775,Programma!$F$3:$L$1101,7,0),"")</f>
        <v/>
      </c>
      <c r="BR775" s="448" t="str">
        <f>_xlfn.IFNA(VLOOKUP($BK775,Programma!$F$3:$M$1101,8,0),"")</f>
        <v/>
      </c>
      <c r="BS775" s="448" t="str">
        <f>_xlfn.IFNA(VLOOKUP($BK775,Programma!$F$3:$N$1101,9,0),"")</f>
        <v/>
      </c>
      <c r="BT775" s="448" t="str">
        <f>_xlfn.IFNA(VLOOKUP($BK775,Programma!$F$3:$O$1101,10,0),"")</f>
        <v/>
      </c>
      <c r="BU775" s="448" t="str">
        <f>_xlfn.IFNA(VLOOKUP($BK775,Programma!$F$3:$P$1101,11,0),"")</f>
        <v/>
      </c>
      <c r="BV775" s="448" t="str">
        <f>_xlfn.IFNA(VLOOKUP($BK775,Programma!$F$3:$Q$1101,12,0),"")</f>
        <v/>
      </c>
      <c r="BW775" s="448" t="str">
        <f>_xlfn.IFNA(VLOOKUP($BK775,Programma!$F$3:$R$1101,13,0),"")</f>
        <v/>
      </c>
      <c r="BX775" s="448" t="str">
        <f>_xlfn.IFNA(VLOOKUP($BK775,Programma!$F$3:$S$1101,14,0),"")</f>
        <v/>
      </c>
      <c r="BY775" s="448" t="str">
        <f>_xlfn.IFNA(VLOOKUP($BK775,Programma!$F$3:$T$1101,15,0),"")</f>
        <v/>
      </c>
      <c r="BZ775" s="448" t="str">
        <f>_xlfn.IFNA(VLOOKUP($BK775,Programma!$F$3:$U$1101,16,0),"")</f>
        <v/>
      </c>
      <c r="CA775" s="448" t="str">
        <f>_xlfn.IFNA(VLOOKUP($BK775,Programma!$F$3:$V$1101,17,0),"")</f>
        <v/>
      </c>
      <c r="CB775" s="448" t="str">
        <f>_xlfn.IFNA(VLOOKUP($BK775,Programma!$F$3:$W$1101,18,0),"")</f>
        <v/>
      </c>
      <c r="CC775" s="448" t="str">
        <f>_xlfn.IFNA(VLOOKUP($BK775,Programma!$F$3:$X$1101,19,0),"")</f>
        <v/>
      </c>
      <c r="CD775" s="448" t="str">
        <f>_xlfn.IFNA(VLOOKUP($BK775,Programma!$F$3:$Y$1101,20,0),"")</f>
        <v/>
      </c>
    </row>
    <row r="776" spans="1:82" ht="15" customHeight="1">
      <c r="A776" s="327">
        <v>23</v>
      </c>
      <c r="B776" s="435" t="str">
        <f>VLOOKUP(Ruimtestaat[[#This Row],[Code]],Locaties[[Code]:[Locatie]],2,FALSE)</f>
        <v>IKC De Waterlelie (bijgebouw)</v>
      </c>
      <c r="C776" s="435" t="str">
        <f>VLOOKUP(Ruimtestaat[[#This Row],[Code]],Locaties[[#All],[Code]:[Adres]],4,FALSE)</f>
        <v>Morapad 3</v>
      </c>
      <c r="D776" s="435" t="str">
        <f>VLOOKUP(Ruimtestaat[[#This Row],[Code]],Locaties[[#All],[Code]:[Postcode]],5,FALSE)</f>
        <v>2719 JA</v>
      </c>
      <c r="E776" s="435" t="str">
        <f>VLOOKUP(Ruimtestaat[[#This Row],[Code]],Locaties[#All],6,FALSE)</f>
        <v>Zoetermeer</v>
      </c>
      <c r="F776" s="450"/>
      <c r="I776" s="450" t="s">
        <v>2010</v>
      </c>
      <c r="J776" s="330">
        <v>5</v>
      </c>
      <c r="K776" s="450" t="str">
        <f>VLOOKUP(Ruimtestaat[[#This Row],[Ruimte code]],Ruimtegroepen[[#All],[Code]:[Ruimte omschrijving]],2,FALSE)</f>
        <v>Sanitair</v>
      </c>
      <c r="L776" s="330" t="s">
        <v>101</v>
      </c>
      <c r="M776" s="437" t="s">
        <v>119</v>
      </c>
      <c r="N776" s="439">
        <v>5</v>
      </c>
      <c r="O776" s="439"/>
      <c r="P776" s="439"/>
      <c r="Q776" s="439"/>
      <c r="R776" s="440" t="str">
        <f>VLOOKUP(Ruimtestaat[[#This Row],[Ruimte code]],Ruimtegroepen[],4,FALSE)</f>
        <v>Sa</v>
      </c>
      <c r="S776" s="434">
        <v>41</v>
      </c>
      <c r="T776" s="434" t="s">
        <v>2</v>
      </c>
      <c r="U776" s="453">
        <f>IF(S776&gt;0,IF(RIGHT(Ruimtestaat[[#This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76" s="434">
        <f>IF(U776&gt;0,VLOOKUP($J776,Ruimtegroepen[],3,FALSE)*VLOOKUP($L776,Vloersoorten[],3,FALSE)*VLOOKUP($T776,Frequenties[],3,FALSE)*VLOOKUP($A776,Locaties[],3,FALSE),0)</f>
        <v>0</v>
      </c>
      <c r="W776" s="434">
        <f>Ruimtestaat[[#This Row],[Uitvoeringen werkdagen]]*Ruimtestaat[[#This Row],[Oppervlak (netto)]]</f>
        <v>1025</v>
      </c>
      <c r="X776" s="441">
        <f>IF(V776&gt;0,Ruimtestaat[[#This Row],[Prest. (m2 /jaar) werkdagen]]/Ruimtestaat[[#This Row],[Norm (m2/uur) werkdagen]],0)</f>
        <v>0</v>
      </c>
      <c r="Y776" s="442">
        <f>Ruimtestaat[[#This Row],[Uitvoeringen werkdagen]]*Ruimtestaat[[#This Row],[Gedeeltelijk]]</f>
        <v>0</v>
      </c>
      <c r="Z776" s="443" t="e">
        <f>IF(U776&gt;0,Ruimtestaat[[#This Row],[Prest. (m2 / jaar) werkdagen gedeeld]]/Ruimtestaat[[#This Row],[Norm (m2/uur) werkdagen]],0)</f>
        <v>#DIV/0!</v>
      </c>
      <c r="AA776" s="441" t="e">
        <f>Ruimtestaat[[#This Row],[uren / jaar werkdagen gedeeld]]*Tariefsopbouw!$E$35</f>
        <v>#DIV/0!</v>
      </c>
      <c r="AB776" s="441">
        <f>Ruimtestaat[[#This Row],[Uitvoeringen werkdagen]]*Ruimtestaat[[#This Row],[BSO]]</f>
        <v>0</v>
      </c>
      <c r="AC776" s="443" t="e">
        <f>IF(U776&gt;0,Ruimtestaat[[#This Row],[Prest. (m2 / jaar) werkdagen BSO]]/Ruimtestaat[[#This Row],[Norm (m2/uur) werkdagen]],0)</f>
        <v>#DIV/0!</v>
      </c>
      <c r="AD776" s="443" t="e">
        <f>Ruimtestaat[[#This Row],[uren / jaar werkdagen BSO]]*Tariefsopbouw!$E$35</f>
        <v>#DIV/0!</v>
      </c>
      <c r="AE776" s="444">
        <f>Ruimtestaat[[#This Row],[uren / jaar werkdagen]]*Tariefsopbouw!$E$35</f>
        <v>0</v>
      </c>
      <c r="AF776" s="454"/>
      <c r="AG776" s="455">
        <f>IF(Ruimtestaat[[#This Row],[Frequentie weekend]]&gt;0,VALUE(LEFT(AF776,1))*S776,0)</f>
        <v>0</v>
      </c>
      <c r="AH776" s="455">
        <f>IF($AG776&gt;0,VLOOKUP($J776,Ruimtegroepen[],3,FALSE)*VLOOKUP($L776,Vloersoorten[],3,FALSE)*VLOOKUP($AF776,Frequenties[],3,FALSE)*VLOOKUP(#REF!,Locaties[],3,FALSE),0)</f>
        <v>0</v>
      </c>
      <c r="AI776" s="434">
        <f>Ruimtestaat[[#This Row],[Uitvoeringen weekend]]*Ruimtestaat[[#This Row],[Oppervlak (netto)]]</f>
        <v>0</v>
      </c>
      <c r="AJ776" s="434">
        <f>IF(AH776&gt;0,Ruimtestaat[[#This Row],[Prest. (m2 /jaar) weekend]]/Ruimtestaat[[#This Row],[Norm (m2/uur) weekend]],0)</f>
        <v>0</v>
      </c>
      <c r="AK776" s="444">
        <f>Ruimtestaat[[#This Row],[uren / jaar weekend]]*Tariefsopbouw!$D$40</f>
        <v>0</v>
      </c>
      <c r="AL776" s="441">
        <f>Ruimtestaat[[#This Row],[Prest. (m2 /jaar) weekend]]+Ruimtestaat[[#This Row],[Prest. (m2 /jaar) werkdagen]]</f>
        <v>1025</v>
      </c>
      <c r="AM776" s="441">
        <f>Ruimtestaat[[#This Row],[uren / jaar weekend]]+Ruimtestaat[[#This Row],[uren / jaar werkdagen]]</f>
        <v>0</v>
      </c>
      <c r="AN776" s="446">
        <f>Ruimtestaat[[#This Row],[kosten / jaar weekend]]+Ruimtestaat[[#This Row],[kosten / jaar werkdagen]]</f>
        <v>0</v>
      </c>
      <c r="AO776" s="446"/>
      <c r="AP776" s="446" t="str">
        <f>IF(Ruimtestaat[[#This Row],[Frequentie werkdagen]]="","",_xlfn.CONCAT(Ruimtestaat[[#This Row],[Ruimte code]],"-",Ruimtestaat[[#This Row],[Frequentie werkdagen]]," ",Ruimtestaat[[#This Row],[Vloer code]]))</f>
        <v>5-5w S</v>
      </c>
      <c r="AQ776" s="448" t="str">
        <f>_xlfn.IFNA(VLOOKUP($AP776,Programma!$F$3:$G$1101,2,0),"")</f>
        <v>_</v>
      </c>
      <c r="AR776" s="448" t="str">
        <f>_xlfn.IFNA(VLOOKUP($AP776,Programma!$F$3:$H$1101,3,0),"")</f>
        <v>_</v>
      </c>
      <c r="AS776" s="448" t="str">
        <f>_xlfn.IFNA(VLOOKUP($AP776,Programma!$F$3:$I$1101,4,0),"")</f>
        <v>_</v>
      </c>
      <c r="AT776" s="448" t="str">
        <f>_xlfn.IFNA(VLOOKUP($AP776,Programma!$F$3:$J$1101,5,0),"")</f>
        <v>4w</v>
      </c>
      <c r="AU776" s="448" t="str">
        <f>_xlfn.IFNA(VLOOKUP($AP776,Programma!$F$3:$K$1101,6,0),"")</f>
        <v>1w</v>
      </c>
      <c r="AV776" s="448" t="str">
        <f>_xlfn.IFNA(VLOOKUP($AP776,Programma!$F$3:$L$1101,7,0),"")</f>
        <v>_</v>
      </c>
      <c r="AW776" s="448" t="str">
        <f>_xlfn.IFNA(VLOOKUP($AP776,Programma!$F$3:$M$1101,8,0),"")</f>
        <v>_</v>
      </c>
      <c r="AX776" s="448" t="str">
        <f>_xlfn.IFNA(VLOOKUP($AP776,Programma!$F$3:$N$1101,9,0),"")</f>
        <v>_</v>
      </c>
      <c r="AY776" s="448" t="str">
        <f>_xlfn.IFNA(VLOOKUP($AP776,Programma!$F$3:$O$1101,10,0),"")</f>
        <v>_</v>
      </c>
      <c r="AZ776" s="448" t="str">
        <f>_xlfn.IFNA(VLOOKUP($AP776,Programma!$F$3:$P$1101,11,0),"")</f>
        <v>_</v>
      </c>
      <c r="BA776" s="448" t="str">
        <f>_xlfn.IFNA(VLOOKUP($AP776,Programma!$F$3:$Q$1101,12,0),"")</f>
        <v>_</v>
      </c>
      <c r="BB776" s="448" t="str">
        <f>_xlfn.IFNA(VLOOKUP($AP776,Programma!$F$3:$R$1101,13,0),"")</f>
        <v>_</v>
      </c>
      <c r="BC776" s="448" t="str">
        <f>_xlfn.IFNA(VLOOKUP($AP776,Programma!$F$3:$S$1101,14,0),"")</f>
        <v>_</v>
      </c>
      <c r="BD776" s="448" t="str">
        <f>_xlfn.IFNA(VLOOKUP($AP776,Programma!$F$3:$T$1101,15,0),"")</f>
        <v>_</v>
      </c>
      <c r="BE776" s="448" t="str">
        <f>_xlfn.IFNA(VLOOKUP($AP776,Programma!$F$3:$U$1101,16,0),"")</f>
        <v>_</v>
      </c>
      <c r="BF776" s="448" t="str">
        <f>_xlfn.IFNA(VLOOKUP($AP776,Programma!$F$3:$V$1101,17,0),"")</f>
        <v>_</v>
      </c>
      <c r="BG776" s="448" t="str">
        <f>_xlfn.IFNA(VLOOKUP($AP776,Programma!$F$3:$W$1101,18,0),"")</f>
        <v>4w</v>
      </c>
      <c r="BH776" s="448" t="str">
        <f>_xlfn.IFNA(VLOOKUP($AP776,Programma!$F$3:$X$1101,19,0),"")</f>
        <v>1w</v>
      </c>
      <c r="BI776" s="448" t="str">
        <f>_xlfn.IFNA(VLOOKUP($AP776,Programma!$F$3:$Y$1101,20,0),"")</f>
        <v>_</v>
      </c>
      <c r="BJ776" s="449"/>
      <c r="BK776" s="446" t="str">
        <f>IF(Ruimtestaat[[#This Row],[Frequentie weekend]]="","",_xlfn.CONCAT(Ruimtestaat[[#This Row],[Ruimte code]],"-",Ruimtestaat[[#This Row],[Frequentie weekend]]," ",Ruimtestaat[[#This Row],[Vloer code]]))</f>
        <v/>
      </c>
      <c r="BL776" s="448" t="str">
        <f>_xlfn.IFNA(VLOOKUP($BK776,Programma!$F$3:$G$1101,2,0),"")</f>
        <v/>
      </c>
      <c r="BM776" s="448" t="str">
        <f>_xlfn.IFNA(VLOOKUP($BK776,Programma!$F$3:$H$1101,3,0),"")</f>
        <v/>
      </c>
      <c r="BN776" s="448" t="str">
        <f>_xlfn.IFNA(VLOOKUP($BK776,Programma!$F$3:$I$1101,4,0),"")</f>
        <v/>
      </c>
      <c r="BO776" s="448" t="str">
        <f>_xlfn.IFNA(VLOOKUP($BK776,Programma!$F$3:$J$1101,5,0),"")</f>
        <v/>
      </c>
      <c r="BP776" s="448" t="str">
        <f>_xlfn.IFNA(VLOOKUP($BK776,Programma!$F$3:$K$1101,6,0),"")</f>
        <v/>
      </c>
      <c r="BQ776" s="448" t="str">
        <f>_xlfn.IFNA(VLOOKUP($BK776,Programma!$F$3:$L$1101,7,0),"")</f>
        <v/>
      </c>
      <c r="BR776" s="448" t="str">
        <f>_xlfn.IFNA(VLOOKUP($BK776,Programma!$F$3:$M$1101,8,0),"")</f>
        <v/>
      </c>
      <c r="BS776" s="448" t="str">
        <f>_xlfn.IFNA(VLOOKUP($BK776,Programma!$F$3:$N$1101,9,0),"")</f>
        <v/>
      </c>
      <c r="BT776" s="448" t="str">
        <f>_xlfn.IFNA(VLOOKUP($BK776,Programma!$F$3:$O$1101,10,0),"")</f>
        <v/>
      </c>
      <c r="BU776" s="448" t="str">
        <f>_xlfn.IFNA(VLOOKUP($BK776,Programma!$F$3:$P$1101,11,0),"")</f>
        <v/>
      </c>
      <c r="BV776" s="448" t="str">
        <f>_xlfn.IFNA(VLOOKUP($BK776,Programma!$F$3:$Q$1101,12,0),"")</f>
        <v/>
      </c>
      <c r="BW776" s="448" t="str">
        <f>_xlfn.IFNA(VLOOKUP($BK776,Programma!$F$3:$R$1101,13,0),"")</f>
        <v/>
      </c>
      <c r="BX776" s="448" t="str">
        <f>_xlfn.IFNA(VLOOKUP($BK776,Programma!$F$3:$S$1101,14,0),"")</f>
        <v/>
      </c>
      <c r="BY776" s="448" t="str">
        <f>_xlfn.IFNA(VLOOKUP($BK776,Programma!$F$3:$T$1101,15,0),"")</f>
        <v/>
      </c>
      <c r="BZ776" s="448" t="str">
        <f>_xlfn.IFNA(VLOOKUP($BK776,Programma!$F$3:$U$1101,16,0),"")</f>
        <v/>
      </c>
      <c r="CA776" s="448" t="str">
        <f>_xlfn.IFNA(VLOOKUP($BK776,Programma!$F$3:$V$1101,17,0),"")</f>
        <v/>
      </c>
      <c r="CB776" s="448" t="str">
        <f>_xlfn.IFNA(VLOOKUP($BK776,Programma!$F$3:$W$1101,18,0),"")</f>
        <v/>
      </c>
      <c r="CC776" s="448" t="str">
        <f>_xlfn.IFNA(VLOOKUP($BK776,Programma!$F$3:$X$1101,19,0),"")</f>
        <v/>
      </c>
      <c r="CD776" s="448" t="str">
        <f>_xlfn.IFNA(VLOOKUP($BK776,Programma!$F$3:$Y$1101,20,0),"")</f>
        <v/>
      </c>
    </row>
    <row r="777" spans="1:82" ht="15" customHeight="1">
      <c r="A777" s="327">
        <v>23</v>
      </c>
      <c r="B777" s="435" t="str">
        <f>VLOOKUP(Ruimtestaat[[#This Row],[Code]],Locaties[[Code]:[Locatie]],2,FALSE)</f>
        <v>IKC De Waterlelie (bijgebouw)</v>
      </c>
      <c r="C777" s="435" t="str">
        <f>VLOOKUP(Ruimtestaat[[#This Row],[Code]],Locaties[[#All],[Code]:[Adres]],4,FALSE)</f>
        <v>Morapad 3</v>
      </c>
      <c r="D777" s="435" t="str">
        <f>VLOOKUP(Ruimtestaat[[#This Row],[Code]],Locaties[[#All],[Code]:[Postcode]],5,FALSE)</f>
        <v>2719 JA</v>
      </c>
      <c r="E777" s="435" t="str">
        <f>VLOOKUP(Ruimtestaat[[#This Row],[Code]],Locaties[#All],6,FALSE)</f>
        <v>Zoetermeer</v>
      </c>
      <c r="F777" s="450"/>
      <c r="I777" s="450" t="s">
        <v>1963</v>
      </c>
      <c r="J777" s="330">
        <v>16</v>
      </c>
      <c r="K777" s="450" t="str">
        <f>VLOOKUP(Ruimtestaat[[#This Row],[Ruimte code]],Ruimtegroepen[[#All],[Code]:[Ruimte omschrijving]],2,FALSE)</f>
        <v>Leslokalen</v>
      </c>
      <c r="L777" s="330" t="s">
        <v>102</v>
      </c>
      <c r="M777" s="437" t="s">
        <v>120</v>
      </c>
      <c r="N777" s="439">
        <v>47</v>
      </c>
      <c r="O777" s="439"/>
      <c r="P777" s="439"/>
      <c r="Q777" s="439"/>
      <c r="R777" s="440" t="str">
        <f>VLOOKUP(Ruimtestaat[[#This Row],[Ruimte code]],Ruimtegroepen[],4,FALSE)</f>
        <v>Le</v>
      </c>
      <c r="S777" s="434">
        <v>40</v>
      </c>
      <c r="T777" s="434" t="s">
        <v>2</v>
      </c>
      <c r="U777" s="453">
        <f>IF(S777&gt;0,IF(RIGHT(Ruimtestaat[[#This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77" s="434">
        <f>IF(U777&gt;0,VLOOKUP($J777,Ruimtegroepen[],3,FALSE)*VLOOKUP($L777,Vloersoorten[],3,FALSE)*VLOOKUP($T777,Frequenties[],3,FALSE)*VLOOKUP($A777,Locaties[],3,FALSE),0)</f>
        <v>0</v>
      </c>
      <c r="W777" s="434">
        <f>Ruimtestaat[[#This Row],[Uitvoeringen werkdagen]]*Ruimtestaat[[#This Row],[Oppervlak (netto)]]</f>
        <v>9400</v>
      </c>
      <c r="X777" s="441">
        <f>IF(V777&gt;0,Ruimtestaat[[#This Row],[Prest. (m2 /jaar) werkdagen]]/Ruimtestaat[[#This Row],[Norm (m2/uur) werkdagen]],0)</f>
        <v>0</v>
      </c>
      <c r="Y777" s="442">
        <f>Ruimtestaat[[#This Row],[Uitvoeringen werkdagen]]*Ruimtestaat[[#This Row],[Gedeeltelijk]]</f>
        <v>0</v>
      </c>
      <c r="Z777" s="443" t="e">
        <f>IF(U777&gt;0,Ruimtestaat[[#This Row],[Prest. (m2 / jaar) werkdagen gedeeld]]/Ruimtestaat[[#This Row],[Norm (m2/uur) werkdagen]],0)</f>
        <v>#DIV/0!</v>
      </c>
      <c r="AA777" s="441" t="e">
        <f>Ruimtestaat[[#This Row],[uren / jaar werkdagen gedeeld]]*Tariefsopbouw!$E$35</f>
        <v>#DIV/0!</v>
      </c>
      <c r="AB777" s="441">
        <f>Ruimtestaat[[#This Row],[Uitvoeringen werkdagen]]*Ruimtestaat[[#This Row],[BSO]]</f>
        <v>0</v>
      </c>
      <c r="AC777" s="443" t="e">
        <f>IF(U777&gt;0,Ruimtestaat[[#This Row],[Prest. (m2 / jaar) werkdagen BSO]]/Ruimtestaat[[#This Row],[Norm (m2/uur) werkdagen]],0)</f>
        <v>#DIV/0!</v>
      </c>
      <c r="AD777" s="443" t="e">
        <f>Ruimtestaat[[#This Row],[uren / jaar werkdagen BSO]]*Tariefsopbouw!$E$35</f>
        <v>#DIV/0!</v>
      </c>
      <c r="AE777" s="444">
        <f>Ruimtestaat[[#This Row],[uren / jaar werkdagen]]*Tariefsopbouw!$E$35</f>
        <v>0</v>
      </c>
      <c r="AF777" s="454"/>
      <c r="AG777" s="455">
        <f>IF(Ruimtestaat[[#This Row],[Frequentie weekend]]&gt;0,VALUE(LEFT(AF777,1))*S777,0)</f>
        <v>0</v>
      </c>
      <c r="AH777" s="455">
        <f>IF($AG777&gt;0,VLOOKUP($J777,Ruimtegroepen[],3,FALSE)*VLOOKUP($L777,Vloersoorten[],3,FALSE)*VLOOKUP($AF777,Frequenties[],3,FALSE)*VLOOKUP(#REF!,Locaties[],3,FALSE),0)</f>
        <v>0</v>
      </c>
      <c r="AI777" s="434">
        <f>Ruimtestaat[[#This Row],[Uitvoeringen weekend]]*Ruimtestaat[[#This Row],[Oppervlak (netto)]]</f>
        <v>0</v>
      </c>
      <c r="AJ777" s="434">
        <f>IF(AH777&gt;0,Ruimtestaat[[#This Row],[Prest. (m2 /jaar) weekend]]/Ruimtestaat[[#This Row],[Norm (m2/uur) weekend]],0)</f>
        <v>0</v>
      </c>
      <c r="AK777" s="444">
        <f>Ruimtestaat[[#This Row],[uren / jaar weekend]]*Tariefsopbouw!$D$40</f>
        <v>0</v>
      </c>
      <c r="AL777" s="441">
        <f>Ruimtestaat[[#This Row],[Prest. (m2 /jaar) weekend]]+Ruimtestaat[[#This Row],[Prest. (m2 /jaar) werkdagen]]</f>
        <v>9400</v>
      </c>
      <c r="AM777" s="441">
        <f>Ruimtestaat[[#This Row],[uren / jaar weekend]]+Ruimtestaat[[#This Row],[uren / jaar werkdagen]]</f>
        <v>0</v>
      </c>
      <c r="AN777" s="446">
        <f>Ruimtestaat[[#This Row],[kosten / jaar weekend]]+Ruimtestaat[[#This Row],[kosten / jaar werkdagen]]</f>
        <v>0</v>
      </c>
      <c r="AO777" s="446"/>
      <c r="AP777" s="446" t="str">
        <f>IF(Ruimtestaat[[#This Row],[Frequentie werkdagen]]="","",_xlfn.CONCAT(Ruimtestaat[[#This Row],[Ruimte code]],"-",Ruimtestaat[[#This Row],[Frequentie werkdagen]]," ",Ruimtestaat[[#This Row],[Vloer code]]))</f>
        <v>16-5w P</v>
      </c>
      <c r="AQ777" s="448" t="str">
        <f>_xlfn.IFNA(VLOOKUP($AP777,Programma!$F$3:$G$1101,2,0),"")</f>
        <v>_</v>
      </c>
      <c r="AR777" s="448" t="str">
        <f>_xlfn.IFNA(VLOOKUP($AP777,Programma!$F$3:$H$1101,3,0),"")</f>
        <v>_</v>
      </c>
      <c r="AS777" s="448" t="str">
        <f>_xlfn.IFNA(VLOOKUP($AP777,Programma!$F$3:$I$1101,4,0),"")</f>
        <v>4w</v>
      </c>
      <c r="AT777" s="448" t="str">
        <f>_xlfn.IFNA(VLOOKUP($AP777,Programma!$F$3:$J$1101,5,0),"")</f>
        <v>1w</v>
      </c>
      <c r="AU777" s="448" t="str">
        <f>_xlfn.IFNA(VLOOKUP($AP777,Programma!$F$3:$K$1101,6,0),"")</f>
        <v>1m</v>
      </c>
      <c r="AV777" s="448" t="str">
        <f>_xlfn.IFNA(VLOOKUP($AP777,Programma!$F$3:$L$1101,7,0),"")</f>
        <v>_</v>
      </c>
      <c r="AW777" s="448" t="str">
        <f>_xlfn.IFNA(VLOOKUP($AP777,Programma!$F$3:$M$1101,8,0),"")</f>
        <v>_</v>
      </c>
      <c r="AX777" s="448" t="str">
        <f>_xlfn.IFNA(VLOOKUP($AP777,Programma!$F$3:$N$1101,9,0),"")</f>
        <v>_</v>
      </c>
      <c r="AY777" s="448" t="str">
        <f>_xlfn.IFNA(VLOOKUP($AP777,Programma!$F$3:$O$1101,10,0),"")</f>
        <v>5w</v>
      </c>
      <c r="AZ777" s="448" t="str">
        <f>_xlfn.IFNA(VLOOKUP($AP777,Programma!$F$3:$P$1101,11,0),"")</f>
        <v>5w</v>
      </c>
      <c r="BA777" s="448" t="str">
        <f>_xlfn.IFNA(VLOOKUP($AP777,Programma!$F$3:$Q$1101,12,0),"")</f>
        <v>1w</v>
      </c>
      <c r="BB777" s="448" t="str">
        <f>_xlfn.IFNA(VLOOKUP($AP777,Programma!$F$3:$R$1101,13,0),"")</f>
        <v>1w</v>
      </c>
      <c r="BC777" s="448" t="str">
        <f>_xlfn.IFNA(VLOOKUP($AP777,Programma!$F$3:$S$1101,14,0),"")</f>
        <v>1m</v>
      </c>
      <c r="BD777" s="448" t="str">
        <f>_xlfn.IFNA(VLOOKUP($AP777,Programma!$F$3:$T$1101,15,0),"")</f>
        <v>2j</v>
      </c>
      <c r="BE777" s="448" t="str">
        <f>_xlfn.IFNA(VLOOKUP($AP777,Programma!$F$3:$U$1101,16,0),"")</f>
        <v>1j</v>
      </c>
      <c r="BF777" s="448" t="str">
        <f>_xlfn.IFNA(VLOOKUP($AP777,Programma!$F$3:$V$1101,17,0),"")</f>
        <v>_</v>
      </c>
      <c r="BG777" s="448" t="str">
        <f>_xlfn.IFNA(VLOOKUP($AP777,Programma!$F$3:$W$1101,18,0),"")</f>
        <v>_</v>
      </c>
      <c r="BH777" s="448" t="str">
        <f>_xlfn.IFNA(VLOOKUP($AP777,Programma!$F$3:$X$1101,19,0),"")</f>
        <v>_</v>
      </c>
      <c r="BI777" s="448" t="str">
        <f>_xlfn.IFNA(VLOOKUP($AP777,Programma!$F$3:$Y$1101,20,0),"")</f>
        <v>_</v>
      </c>
      <c r="BJ777" s="449"/>
      <c r="BK777" s="446" t="str">
        <f>IF(Ruimtestaat[[#This Row],[Frequentie weekend]]="","",_xlfn.CONCAT(Ruimtestaat[[#This Row],[Ruimte code]],"-",Ruimtestaat[[#This Row],[Frequentie weekend]]," ",Ruimtestaat[[#This Row],[Vloer code]]))</f>
        <v/>
      </c>
      <c r="BL777" s="448" t="str">
        <f>_xlfn.IFNA(VLOOKUP($BK777,Programma!$F$3:$G$1101,2,0),"")</f>
        <v/>
      </c>
      <c r="BM777" s="448" t="str">
        <f>_xlfn.IFNA(VLOOKUP($BK777,Programma!$F$3:$H$1101,3,0),"")</f>
        <v/>
      </c>
      <c r="BN777" s="448" t="str">
        <f>_xlfn.IFNA(VLOOKUP($BK777,Programma!$F$3:$I$1101,4,0),"")</f>
        <v/>
      </c>
      <c r="BO777" s="448" t="str">
        <f>_xlfn.IFNA(VLOOKUP($BK777,Programma!$F$3:$J$1101,5,0),"")</f>
        <v/>
      </c>
      <c r="BP777" s="448" t="str">
        <f>_xlfn.IFNA(VLOOKUP($BK777,Programma!$F$3:$K$1101,6,0),"")</f>
        <v/>
      </c>
      <c r="BQ777" s="448" t="str">
        <f>_xlfn.IFNA(VLOOKUP($BK777,Programma!$F$3:$L$1101,7,0),"")</f>
        <v/>
      </c>
      <c r="BR777" s="448" t="str">
        <f>_xlfn.IFNA(VLOOKUP($BK777,Programma!$F$3:$M$1101,8,0),"")</f>
        <v/>
      </c>
      <c r="BS777" s="448" t="str">
        <f>_xlfn.IFNA(VLOOKUP($BK777,Programma!$F$3:$N$1101,9,0),"")</f>
        <v/>
      </c>
      <c r="BT777" s="448" t="str">
        <f>_xlfn.IFNA(VLOOKUP($BK777,Programma!$F$3:$O$1101,10,0),"")</f>
        <v/>
      </c>
      <c r="BU777" s="448" t="str">
        <f>_xlfn.IFNA(VLOOKUP($BK777,Programma!$F$3:$P$1101,11,0),"")</f>
        <v/>
      </c>
      <c r="BV777" s="448" t="str">
        <f>_xlfn.IFNA(VLOOKUP($BK777,Programma!$F$3:$Q$1101,12,0),"")</f>
        <v/>
      </c>
      <c r="BW777" s="448" t="str">
        <f>_xlfn.IFNA(VLOOKUP($BK777,Programma!$F$3:$R$1101,13,0),"")</f>
        <v/>
      </c>
      <c r="BX777" s="448" t="str">
        <f>_xlfn.IFNA(VLOOKUP($BK777,Programma!$F$3:$S$1101,14,0),"")</f>
        <v/>
      </c>
      <c r="BY777" s="448" t="str">
        <f>_xlfn.IFNA(VLOOKUP($BK777,Programma!$F$3:$T$1101,15,0),"")</f>
        <v/>
      </c>
      <c r="BZ777" s="448" t="str">
        <f>_xlfn.IFNA(VLOOKUP($BK777,Programma!$F$3:$U$1101,16,0),"")</f>
        <v/>
      </c>
      <c r="CA777" s="448" t="str">
        <f>_xlfn.IFNA(VLOOKUP($BK777,Programma!$F$3:$V$1101,17,0),"")</f>
        <v/>
      </c>
      <c r="CB777" s="448" t="str">
        <f>_xlfn.IFNA(VLOOKUP($BK777,Programma!$F$3:$W$1101,18,0),"")</f>
        <v/>
      </c>
      <c r="CC777" s="448" t="str">
        <f>_xlfn.IFNA(VLOOKUP($BK777,Programma!$F$3:$X$1101,19,0),"")</f>
        <v/>
      </c>
      <c r="CD777" s="448" t="str">
        <f>_xlfn.IFNA(VLOOKUP($BK777,Programma!$F$3:$Y$1101,20,0),"")</f>
        <v/>
      </c>
    </row>
    <row r="778" spans="1:82" ht="15" customHeight="1">
      <c r="A778" s="327">
        <v>23</v>
      </c>
      <c r="B778" s="435" t="str">
        <f>VLOOKUP(Ruimtestaat[[#This Row],[Code]],Locaties[[Code]:[Locatie]],2,FALSE)</f>
        <v>IKC De Waterlelie (bijgebouw)</v>
      </c>
      <c r="C778" s="435" t="str">
        <f>VLOOKUP(Ruimtestaat[[#This Row],[Code]],Locaties[[#All],[Code]:[Adres]],4,FALSE)</f>
        <v>Morapad 3</v>
      </c>
      <c r="D778" s="435" t="str">
        <f>VLOOKUP(Ruimtestaat[[#This Row],[Code]],Locaties[[#All],[Code]:[Postcode]],5,FALSE)</f>
        <v>2719 JA</v>
      </c>
      <c r="E778" s="435" t="str">
        <f>VLOOKUP(Ruimtestaat[[#This Row],[Code]],Locaties[#All],6,FALSE)</f>
        <v>Zoetermeer</v>
      </c>
      <c r="F778" s="450"/>
      <c r="I778" s="450" t="s">
        <v>1964</v>
      </c>
      <c r="J778" s="330">
        <v>16</v>
      </c>
      <c r="K778" s="450" t="str">
        <f>VLOOKUP(Ruimtestaat[[#This Row],[Ruimte code]],Ruimtegroepen[[#All],[Code]:[Ruimte omschrijving]],2,FALSE)</f>
        <v>Leslokalen</v>
      </c>
      <c r="L778" s="330" t="s">
        <v>102</v>
      </c>
      <c r="M778" s="437" t="s">
        <v>120</v>
      </c>
      <c r="N778" s="439">
        <v>51.5</v>
      </c>
      <c r="O778" s="439"/>
      <c r="P778" s="439"/>
      <c r="Q778" s="439"/>
      <c r="R778" s="440" t="str">
        <f>VLOOKUP(Ruimtestaat[[#This Row],[Ruimte code]],Ruimtegroepen[],4,FALSE)</f>
        <v>Le</v>
      </c>
      <c r="S778" s="434">
        <v>40</v>
      </c>
      <c r="T778" s="434" t="s">
        <v>2</v>
      </c>
      <c r="U778" s="453">
        <f>IF(S778&gt;0,IF(RIGHT(Ruimtestaat[[#This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78" s="434">
        <f>IF(U778&gt;0,VLOOKUP($J778,Ruimtegroepen[],3,FALSE)*VLOOKUP($L778,Vloersoorten[],3,FALSE)*VLOOKUP($T778,Frequenties[],3,FALSE)*VLOOKUP($A778,Locaties[],3,FALSE),0)</f>
        <v>0</v>
      </c>
      <c r="W778" s="434">
        <f>Ruimtestaat[[#This Row],[Uitvoeringen werkdagen]]*Ruimtestaat[[#This Row],[Oppervlak (netto)]]</f>
        <v>10300</v>
      </c>
      <c r="X778" s="441">
        <f>IF(V778&gt;0,Ruimtestaat[[#This Row],[Prest. (m2 /jaar) werkdagen]]/Ruimtestaat[[#This Row],[Norm (m2/uur) werkdagen]],0)</f>
        <v>0</v>
      </c>
      <c r="Y778" s="442">
        <f>Ruimtestaat[[#This Row],[Uitvoeringen werkdagen]]*Ruimtestaat[[#This Row],[Gedeeltelijk]]</f>
        <v>0</v>
      </c>
      <c r="Z778" s="443" t="e">
        <f>IF(U778&gt;0,Ruimtestaat[[#This Row],[Prest. (m2 / jaar) werkdagen gedeeld]]/Ruimtestaat[[#This Row],[Norm (m2/uur) werkdagen]],0)</f>
        <v>#DIV/0!</v>
      </c>
      <c r="AA778" s="441" t="e">
        <f>Ruimtestaat[[#This Row],[uren / jaar werkdagen gedeeld]]*Tariefsopbouw!$E$35</f>
        <v>#DIV/0!</v>
      </c>
      <c r="AB778" s="441">
        <f>Ruimtestaat[[#This Row],[Uitvoeringen werkdagen]]*Ruimtestaat[[#This Row],[BSO]]</f>
        <v>0</v>
      </c>
      <c r="AC778" s="443" t="e">
        <f>IF(U778&gt;0,Ruimtestaat[[#This Row],[Prest. (m2 / jaar) werkdagen BSO]]/Ruimtestaat[[#This Row],[Norm (m2/uur) werkdagen]],0)</f>
        <v>#DIV/0!</v>
      </c>
      <c r="AD778" s="443" t="e">
        <f>Ruimtestaat[[#This Row],[uren / jaar werkdagen BSO]]*Tariefsopbouw!$E$35</f>
        <v>#DIV/0!</v>
      </c>
      <c r="AE778" s="444">
        <f>Ruimtestaat[[#This Row],[uren / jaar werkdagen]]*Tariefsopbouw!$E$35</f>
        <v>0</v>
      </c>
      <c r="AF778" s="454"/>
      <c r="AG778" s="455">
        <f>IF(Ruimtestaat[[#This Row],[Frequentie weekend]]&gt;0,VALUE(LEFT(AF778,1))*S778,0)</f>
        <v>0</v>
      </c>
      <c r="AH778" s="455">
        <f>IF($AG778&gt;0,VLOOKUP($J778,Ruimtegroepen[],3,FALSE)*VLOOKUP($L778,Vloersoorten[],3,FALSE)*VLOOKUP($AF778,Frequenties[],3,FALSE)*VLOOKUP(#REF!,Locaties[],3,FALSE),0)</f>
        <v>0</v>
      </c>
      <c r="AI778" s="434">
        <f>Ruimtestaat[[#This Row],[Uitvoeringen weekend]]*Ruimtestaat[[#This Row],[Oppervlak (netto)]]</f>
        <v>0</v>
      </c>
      <c r="AJ778" s="434">
        <f>IF(AH778&gt;0,Ruimtestaat[[#This Row],[Prest. (m2 /jaar) weekend]]/Ruimtestaat[[#This Row],[Norm (m2/uur) weekend]],0)</f>
        <v>0</v>
      </c>
      <c r="AK778" s="444">
        <f>Ruimtestaat[[#This Row],[uren / jaar weekend]]*Tariefsopbouw!$D$40</f>
        <v>0</v>
      </c>
      <c r="AL778" s="441">
        <f>Ruimtestaat[[#This Row],[Prest. (m2 /jaar) weekend]]+Ruimtestaat[[#This Row],[Prest. (m2 /jaar) werkdagen]]</f>
        <v>10300</v>
      </c>
      <c r="AM778" s="441">
        <f>Ruimtestaat[[#This Row],[uren / jaar weekend]]+Ruimtestaat[[#This Row],[uren / jaar werkdagen]]</f>
        <v>0</v>
      </c>
      <c r="AN778" s="446">
        <f>Ruimtestaat[[#This Row],[kosten / jaar weekend]]+Ruimtestaat[[#This Row],[kosten / jaar werkdagen]]</f>
        <v>0</v>
      </c>
      <c r="AO778" s="446"/>
      <c r="AP778" s="446" t="str">
        <f>IF(Ruimtestaat[[#This Row],[Frequentie werkdagen]]="","",_xlfn.CONCAT(Ruimtestaat[[#This Row],[Ruimte code]],"-",Ruimtestaat[[#This Row],[Frequentie werkdagen]]," ",Ruimtestaat[[#This Row],[Vloer code]]))</f>
        <v>16-5w P</v>
      </c>
      <c r="AQ778" s="448" t="str">
        <f>_xlfn.IFNA(VLOOKUP($AP778,Programma!$F$3:$G$1101,2,0),"")</f>
        <v>_</v>
      </c>
      <c r="AR778" s="448" t="str">
        <f>_xlfn.IFNA(VLOOKUP($AP778,Programma!$F$3:$H$1101,3,0),"")</f>
        <v>_</v>
      </c>
      <c r="AS778" s="448" t="str">
        <f>_xlfn.IFNA(VLOOKUP($AP778,Programma!$F$3:$I$1101,4,0),"")</f>
        <v>4w</v>
      </c>
      <c r="AT778" s="448" t="str">
        <f>_xlfn.IFNA(VLOOKUP($AP778,Programma!$F$3:$J$1101,5,0),"")</f>
        <v>1w</v>
      </c>
      <c r="AU778" s="448" t="str">
        <f>_xlfn.IFNA(VLOOKUP($AP778,Programma!$F$3:$K$1101,6,0),"")</f>
        <v>1m</v>
      </c>
      <c r="AV778" s="448" t="str">
        <f>_xlfn.IFNA(VLOOKUP($AP778,Programma!$F$3:$L$1101,7,0),"")</f>
        <v>_</v>
      </c>
      <c r="AW778" s="448" t="str">
        <f>_xlfn.IFNA(VLOOKUP($AP778,Programma!$F$3:$M$1101,8,0),"")</f>
        <v>_</v>
      </c>
      <c r="AX778" s="448" t="str">
        <f>_xlfn.IFNA(VLOOKUP($AP778,Programma!$F$3:$N$1101,9,0),"")</f>
        <v>_</v>
      </c>
      <c r="AY778" s="448" t="str">
        <f>_xlfn.IFNA(VLOOKUP($AP778,Programma!$F$3:$O$1101,10,0),"")</f>
        <v>5w</v>
      </c>
      <c r="AZ778" s="448" t="str">
        <f>_xlfn.IFNA(VLOOKUP($AP778,Programma!$F$3:$P$1101,11,0),"")</f>
        <v>5w</v>
      </c>
      <c r="BA778" s="448" t="str">
        <f>_xlfn.IFNA(VLOOKUP($AP778,Programma!$F$3:$Q$1101,12,0),"")</f>
        <v>1w</v>
      </c>
      <c r="BB778" s="448" t="str">
        <f>_xlfn.IFNA(VLOOKUP($AP778,Programma!$F$3:$R$1101,13,0),"")</f>
        <v>1w</v>
      </c>
      <c r="BC778" s="448" t="str">
        <f>_xlfn.IFNA(VLOOKUP($AP778,Programma!$F$3:$S$1101,14,0),"")</f>
        <v>1m</v>
      </c>
      <c r="BD778" s="448" t="str">
        <f>_xlfn.IFNA(VLOOKUP($AP778,Programma!$F$3:$T$1101,15,0),"")</f>
        <v>2j</v>
      </c>
      <c r="BE778" s="448" t="str">
        <f>_xlfn.IFNA(VLOOKUP($AP778,Programma!$F$3:$U$1101,16,0),"")</f>
        <v>1j</v>
      </c>
      <c r="BF778" s="448" t="str">
        <f>_xlfn.IFNA(VLOOKUP($AP778,Programma!$F$3:$V$1101,17,0),"")</f>
        <v>_</v>
      </c>
      <c r="BG778" s="448" t="str">
        <f>_xlfn.IFNA(VLOOKUP($AP778,Programma!$F$3:$W$1101,18,0),"")</f>
        <v>_</v>
      </c>
      <c r="BH778" s="448" t="str">
        <f>_xlfn.IFNA(VLOOKUP($AP778,Programma!$F$3:$X$1101,19,0),"")</f>
        <v>_</v>
      </c>
      <c r="BI778" s="448" t="str">
        <f>_xlfn.IFNA(VLOOKUP($AP778,Programma!$F$3:$Y$1101,20,0),"")</f>
        <v>_</v>
      </c>
      <c r="BJ778" s="449"/>
      <c r="BK778" s="446" t="str">
        <f>IF(Ruimtestaat[[#This Row],[Frequentie weekend]]="","",_xlfn.CONCAT(Ruimtestaat[[#This Row],[Ruimte code]],"-",Ruimtestaat[[#This Row],[Frequentie weekend]]," ",Ruimtestaat[[#This Row],[Vloer code]]))</f>
        <v/>
      </c>
      <c r="BL778" s="448" t="str">
        <f>_xlfn.IFNA(VLOOKUP($BK778,Programma!$F$3:$G$1101,2,0),"")</f>
        <v/>
      </c>
      <c r="BM778" s="448" t="str">
        <f>_xlfn.IFNA(VLOOKUP($BK778,Programma!$F$3:$H$1101,3,0),"")</f>
        <v/>
      </c>
      <c r="BN778" s="448" t="str">
        <f>_xlfn.IFNA(VLOOKUP($BK778,Programma!$F$3:$I$1101,4,0),"")</f>
        <v/>
      </c>
      <c r="BO778" s="448" t="str">
        <f>_xlfn.IFNA(VLOOKUP($BK778,Programma!$F$3:$J$1101,5,0),"")</f>
        <v/>
      </c>
      <c r="BP778" s="448" t="str">
        <f>_xlfn.IFNA(VLOOKUP($BK778,Programma!$F$3:$K$1101,6,0),"")</f>
        <v/>
      </c>
      <c r="BQ778" s="448" t="str">
        <f>_xlfn.IFNA(VLOOKUP($BK778,Programma!$F$3:$L$1101,7,0),"")</f>
        <v/>
      </c>
      <c r="BR778" s="448" t="str">
        <f>_xlfn.IFNA(VLOOKUP($BK778,Programma!$F$3:$M$1101,8,0),"")</f>
        <v/>
      </c>
      <c r="BS778" s="448" t="str">
        <f>_xlfn.IFNA(VLOOKUP($BK778,Programma!$F$3:$N$1101,9,0),"")</f>
        <v/>
      </c>
      <c r="BT778" s="448" t="str">
        <f>_xlfn.IFNA(VLOOKUP($BK778,Programma!$F$3:$O$1101,10,0),"")</f>
        <v/>
      </c>
      <c r="BU778" s="448" t="str">
        <f>_xlfn.IFNA(VLOOKUP($BK778,Programma!$F$3:$P$1101,11,0),"")</f>
        <v/>
      </c>
      <c r="BV778" s="448" t="str">
        <f>_xlfn.IFNA(VLOOKUP($BK778,Programma!$F$3:$Q$1101,12,0),"")</f>
        <v/>
      </c>
      <c r="BW778" s="448" t="str">
        <f>_xlfn.IFNA(VLOOKUP($BK778,Programma!$F$3:$R$1101,13,0),"")</f>
        <v/>
      </c>
      <c r="BX778" s="448" t="str">
        <f>_xlfn.IFNA(VLOOKUP($BK778,Programma!$F$3:$S$1101,14,0),"")</f>
        <v/>
      </c>
      <c r="BY778" s="448" t="str">
        <f>_xlfn.IFNA(VLOOKUP($BK778,Programma!$F$3:$T$1101,15,0),"")</f>
        <v/>
      </c>
      <c r="BZ778" s="448" t="str">
        <f>_xlfn.IFNA(VLOOKUP($BK778,Programma!$F$3:$U$1101,16,0),"")</f>
        <v/>
      </c>
      <c r="CA778" s="448" t="str">
        <f>_xlfn.IFNA(VLOOKUP($BK778,Programma!$F$3:$V$1101,17,0),"")</f>
        <v/>
      </c>
      <c r="CB778" s="448" t="str">
        <f>_xlfn.IFNA(VLOOKUP($BK778,Programma!$F$3:$W$1101,18,0),"")</f>
        <v/>
      </c>
      <c r="CC778" s="448" t="str">
        <f>_xlfn.IFNA(VLOOKUP($BK778,Programma!$F$3:$X$1101,19,0),"")</f>
        <v/>
      </c>
      <c r="CD778" s="448" t="str">
        <f>_xlfn.IFNA(VLOOKUP($BK778,Programma!$F$3:$Y$1101,20,0),"")</f>
        <v/>
      </c>
    </row>
    <row r="779" spans="1:82" ht="15" customHeight="1">
      <c r="A779" s="327">
        <v>23</v>
      </c>
      <c r="B779" s="435" t="str">
        <f>VLOOKUP(Ruimtestaat[[#This Row],[Code]],Locaties[[Code]:[Locatie]],2,FALSE)</f>
        <v>IKC De Waterlelie (bijgebouw)</v>
      </c>
      <c r="C779" s="435" t="str">
        <f>VLOOKUP(Ruimtestaat[[#This Row],[Code]],Locaties[[#All],[Code]:[Adres]],4,FALSE)</f>
        <v>Morapad 3</v>
      </c>
      <c r="D779" s="435" t="str">
        <f>VLOOKUP(Ruimtestaat[[#This Row],[Code]],Locaties[[#All],[Code]:[Postcode]],5,FALSE)</f>
        <v>2719 JA</v>
      </c>
      <c r="E779" s="435" t="str">
        <f>VLOOKUP(Ruimtestaat[[#This Row],[Code]],Locaties[#All],6,FALSE)</f>
        <v>Zoetermeer</v>
      </c>
      <c r="F779" s="450"/>
      <c r="I779" s="450" t="s">
        <v>1944</v>
      </c>
      <c r="J779" s="330">
        <v>20</v>
      </c>
      <c r="K779" s="450" t="str">
        <f>VLOOKUP(Ruimtestaat[[#This Row],[Ruimte code]],Ruimtegroepen[[#All],[Code]:[Ruimte omschrijving]],2,FALSE)</f>
        <v>Niet in Onderhoud</v>
      </c>
      <c r="L779" s="330" t="s">
        <v>102</v>
      </c>
      <c r="M779" s="437" t="s">
        <v>120</v>
      </c>
      <c r="N779" s="439"/>
      <c r="O779" s="439">
        <v>5.7</v>
      </c>
      <c r="P779" s="439"/>
      <c r="Q779" s="439"/>
      <c r="R779" s="440">
        <f>VLOOKUP(Ruimtestaat[[#This Row],[Ruimte code]],Ruimtegroepen[],4,FALSE)</f>
        <v>0</v>
      </c>
      <c r="S779" s="434"/>
      <c r="T779" s="434"/>
      <c r="U779" s="453">
        <f>IF(S779&gt;0,IF(RIGHT(Ruimtestaat[[#This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79" s="434">
        <f>IF(U779&gt;0,VLOOKUP($J779,Ruimtegroepen[],3,FALSE)*VLOOKUP($L779,Vloersoorten[],3,FALSE)*VLOOKUP($T779,Frequenties[],3,FALSE)*VLOOKUP($A779,Locaties[],3,FALSE),0)</f>
        <v>0</v>
      </c>
      <c r="W779" s="434">
        <f>Ruimtestaat[[#This Row],[Uitvoeringen werkdagen]]*Ruimtestaat[[#This Row],[Oppervlak (netto)]]</f>
        <v>0</v>
      </c>
      <c r="X779" s="441">
        <f>IF(V779&gt;0,Ruimtestaat[[#This Row],[Prest. (m2 /jaar) werkdagen]]/Ruimtestaat[[#This Row],[Norm (m2/uur) werkdagen]],0)</f>
        <v>0</v>
      </c>
      <c r="Y779" s="442">
        <f>Ruimtestaat[[#This Row],[Uitvoeringen werkdagen]]*Ruimtestaat[[#This Row],[Gedeeltelijk]]</f>
        <v>0</v>
      </c>
      <c r="Z779" s="443">
        <f>IF(U779&gt;0,Ruimtestaat[[#This Row],[Prest. (m2 / jaar) werkdagen gedeeld]]/Ruimtestaat[[#This Row],[Norm (m2/uur) werkdagen]],0)</f>
        <v>0</v>
      </c>
      <c r="AA779" s="441">
        <f>Ruimtestaat[[#This Row],[uren / jaar werkdagen gedeeld]]*Tariefsopbouw!$E$35</f>
        <v>0</v>
      </c>
      <c r="AB779" s="441">
        <f>Ruimtestaat[[#This Row],[Uitvoeringen werkdagen]]*Ruimtestaat[[#This Row],[BSO]]</f>
        <v>0</v>
      </c>
      <c r="AC779" s="443">
        <f>IF(U779&gt;0,Ruimtestaat[[#This Row],[Prest. (m2 / jaar) werkdagen BSO]]/Ruimtestaat[[#This Row],[Norm (m2/uur) werkdagen]],0)</f>
        <v>0</v>
      </c>
      <c r="AD779" s="443">
        <f>Ruimtestaat[[#This Row],[uren / jaar werkdagen BSO]]*Tariefsopbouw!$E$35</f>
        <v>0</v>
      </c>
      <c r="AE779" s="444">
        <f>Ruimtestaat[[#This Row],[uren / jaar werkdagen]]*Tariefsopbouw!$E$35</f>
        <v>0</v>
      </c>
      <c r="AF779" s="454"/>
      <c r="AG779" s="455">
        <f>IF(Ruimtestaat[[#This Row],[Frequentie weekend]]&gt;0,VALUE(LEFT(AF779,1))*S779,0)</f>
        <v>0</v>
      </c>
      <c r="AH779" s="455">
        <f>IF($AG779&gt;0,VLOOKUP($J779,Ruimtegroepen[],3,FALSE)*VLOOKUP($L779,Vloersoorten[],3,FALSE)*VLOOKUP($AF779,Frequenties[],3,FALSE)*VLOOKUP(#REF!,Locaties[],3,FALSE),0)</f>
        <v>0</v>
      </c>
      <c r="AI779" s="434">
        <f>Ruimtestaat[[#This Row],[Uitvoeringen weekend]]*Ruimtestaat[[#This Row],[Oppervlak (netto)]]</f>
        <v>0</v>
      </c>
      <c r="AJ779" s="434">
        <f>IF(AH779&gt;0,Ruimtestaat[[#This Row],[Prest. (m2 /jaar) weekend]]/Ruimtestaat[[#This Row],[Norm (m2/uur) weekend]],0)</f>
        <v>0</v>
      </c>
      <c r="AK779" s="444">
        <f>Ruimtestaat[[#This Row],[uren / jaar weekend]]*Tariefsopbouw!$D$40</f>
        <v>0</v>
      </c>
      <c r="AL779" s="441">
        <f>Ruimtestaat[[#This Row],[Prest. (m2 /jaar) weekend]]+Ruimtestaat[[#This Row],[Prest. (m2 /jaar) werkdagen]]</f>
        <v>0</v>
      </c>
      <c r="AM779" s="441">
        <f>Ruimtestaat[[#This Row],[uren / jaar weekend]]+Ruimtestaat[[#This Row],[uren / jaar werkdagen]]</f>
        <v>0</v>
      </c>
      <c r="AN779" s="446">
        <f>Ruimtestaat[[#This Row],[kosten / jaar weekend]]+Ruimtestaat[[#This Row],[kosten / jaar werkdagen]]</f>
        <v>0</v>
      </c>
      <c r="AO779" s="446"/>
      <c r="AP779" s="446" t="str">
        <f>IF(Ruimtestaat[[#This Row],[Frequentie werkdagen]]="","",_xlfn.CONCAT(Ruimtestaat[[#This Row],[Ruimte code]],"-",Ruimtestaat[[#This Row],[Frequentie werkdagen]]," ",Ruimtestaat[[#This Row],[Vloer code]]))</f>
        <v/>
      </c>
      <c r="AQ779" s="448" t="str">
        <f>_xlfn.IFNA(VLOOKUP($AP779,Programma!$F$3:$G$1101,2,0),"")</f>
        <v/>
      </c>
      <c r="AR779" s="448" t="str">
        <f>_xlfn.IFNA(VLOOKUP($AP779,Programma!$F$3:$H$1101,3,0),"")</f>
        <v/>
      </c>
      <c r="AS779" s="448" t="str">
        <f>_xlfn.IFNA(VLOOKUP($AP779,Programma!$F$3:$I$1101,4,0),"")</f>
        <v/>
      </c>
      <c r="AT779" s="448" t="str">
        <f>_xlfn.IFNA(VLOOKUP($AP779,Programma!$F$3:$J$1101,5,0),"")</f>
        <v/>
      </c>
      <c r="AU779" s="448" t="str">
        <f>_xlfn.IFNA(VLOOKUP($AP779,Programma!$F$3:$K$1101,6,0),"")</f>
        <v/>
      </c>
      <c r="AV779" s="448" t="str">
        <f>_xlfn.IFNA(VLOOKUP($AP779,Programma!$F$3:$L$1101,7,0),"")</f>
        <v/>
      </c>
      <c r="AW779" s="448" t="str">
        <f>_xlfn.IFNA(VLOOKUP($AP779,Programma!$F$3:$M$1101,8,0),"")</f>
        <v/>
      </c>
      <c r="AX779" s="448" t="str">
        <f>_xlfn.IFNA(VLOOKUP($AP779,Programma!$F$3:$N$1101,9,0),"")</f>
        <v/>
      </c>
      <c r="AY779" s="448" t="str">
        <f>_xlfn.IFNA(VLOOKUP($AP779,Programma!$F$3:$O$1101,10,0),"")</f>
        <v/>
      </c>
      <c r="AZ779" s="448" t="str">
        <f>_xlfn.IFNA(VLOOKUP($AP779,Programma!$F$3:$P$1101,11,0),"")</f>
        <v/>
      </c>
      <c r="BA779" s="448" t="str">
        <f>_xlfn.IFNA(VLOOKUP($AP779,Programma!$F$3:$Q$1101,12,0),"")</f>
        <v/>
      </c>
      <c r="BB779" s="448" t="str">
        <f>_xlfn.IFNA(VLOOKUP($AP779,Programma!$F$3:$R$1101,13,0),"")</f>
        <v/>
      </c>
      <c r="BC779" s="448" t="str">
        <f>_xlfn.IFNA(VLOOKUP($AP779,Programma!$F$3:$S$1101,14,0),"")</f>
        <v/>
      </c>
      <c r="BD779" s="448" t="str">
        <f>_xlfn.IFNA(VLOOKUP($AP779,Programma!$F$3:$T$1101,15,0),"")</f>
        <v/>
      </c>
      <c r="BE779" s="448" t="str">
        <f>_xlfn.IFNA(VLOOKUP($AP779,Programma!$F$3:$U$1101,16,0),"")</f>
        <v/>
      </c>
      <c r="BF779" s="448" t="str">
        <f>_xlfn.IFNA(VLOOKUP($AP779,Programma!$F$3:$V$1101,17,0),"")</f>
        <v/>
      </c>
      <c r="BG779" s="448" t="str">
        <f>_xlfn.IFNA(VLOOKUP($AP779,Programma!$F$3:$W$1101,18,0),"")</f>
        <v/>
      </c>
      <c r="BH779" s="448" t="str">
        <f>_xlfn.IFNA(VLOOKUP($AP779,Programma!$F$3:$X$1101,19,0),"")</f>
        <v/>
      </c>
      <c r="BI779" s="448" t="str">
        <f>_xlfn.IFNA(VLOOKUP($AP779,Programma!$F$3:$Y$1101,20,0),"")</f>
        <v/>
      </c>
      <c r="BJ779" s="449"/>
      <c r="BK779" s="446" t="str">
        <f>IF(Ruimtestaat[[#This Row],[Frequentie weekend]]="","",_xlfn.CONCAT(Ruimtestaat[[#This Row],[Ruimte code]],"-",Ruimtestaat[[#This Row],[Frequentie weekend]]," ",Ruimtestaat[[#This Row],[Vloer code]]))</f>
        <v/>
      </c>
      <c r="BL779" s="448" t="str">
        <f>_xlfn.IFNA(VLOOKUP($BK779,Programma!$F$3:$G$1101,2,0),"")</f>
        <v/>
      </c>
      <c r="BM779" s="448" t="str">
        <f>_xlfn.IFNA(VLOOKUP($BK779,Programma!$F$3:$H$1101,3,0),"")</f>
        <v/>
      </c>
      <c r="BN779" s="448" t="str">
        <f>_xlfn.IFNA(VLOOKUP($BK779,Programma!$F$3:$I$1101,4,0),"")</f>
        <v/>
      </c>
      <c r="BO779" s="448" t="str">
        <f>_xlfn.IFNA(VLOOKUP($BK779,Programma!$F$3:$J$1101,5,0),"")</f>
        <v/>
      </c>
      <c r="BP779" s="448" t="str">
        <f>_xlfn.IFNA(VLOOKUP($BK779,Programma!$F$3:$K$1101,6,0),"")</f>
        <v/>
      </c>
      <c r="BQ779" s="448" t="str">
        <f>_xlfn.IFNA(VLOOKUP($BK779,Programma!$F$3:$L$1101,7,0),"")</f>
        <v/>
      </c>
      <c r="BR779" s="448" t="str">
        <f>_xlfn.IFNA(VLOOKUP($BK779,Programma!$F$3:$M$1101,8,0),"")</f>
        <v/>
      </c>
      <c r="BS779" s="448" t="str">
        <f>_xlfn.IFNA(VLOOKUP($BK779,Programma!$F$3:$N$1101,9,0),"")</f>
        <v/>
      </c>
      <c r="BT779" s="448" t="str">
        <f>_xlfn.IFNA(VLOOKUP($BK779,Programma!$F$3:$O$1101,10,0),"")</f>
        <v/>
      </c>
      <c r="BU779" s="448" t="str">
        <f>_xlfn.IFNA(VLOOKUP($BK779,Programma!$F$3:$P$1101,11,0),"")</f>
        <v/>
      </c>
      <c r="BV779" s="448" t="str">
        <f>_xlfn.IFNA(VLOOKUP($BK779,Programma!$F$3:$Q$1101,12,0),"")</f>
        <v/>
      </c>
      <c r="BW779" s="448" t="str">
        <f>_xlfn.IFNA(VLOOKUP($BK779,Programma!$F$3:$R$1101,13,0),"")</f>
        <v/>
      </c>
      <c r="BX779" s="448" t="str">
        <f>_xlfn.IFNA(VLOOKUP($BK779,Programma!$F$3:$S$1101,14,0),"")</f>
        <v/>
      </c>
      <c r="BY779" s="448" t="str">
        <f>_xlfn.IFNA(VLOOKUP($BK779,Programma!$F$3:$T$1101,15,0),"")</f>
        <v/>
      </c>
      <c r="BZ779" s="448" t="str">
        <f>_xlfn.IFNA(VLOOKUP($BK779,Programma!$F$3:$U$1101,16,0),"")</f>
        <v/>
      </c>
      <c r="CA779" s="448" t="str">
        <f>_xlfn.IFNA(VLOOKUP($BK779,Programma!$F$3:$V$1101,17,0),"")</f>
        <v/>
      </c>
      <c r="CB779" s="448" t="str">
        <f>_xlfn.IFNA(VLOOKUP($BK779,Programma!$F$3:$W$1101,18,0),"")</f>
        <v/>
      </c>
      <c r="CC779" s="448" t="str">
        <f>_xlfn.IFNA(VLOOKUP($BK779,Programma!$F$3:$X$1101,19,0),"")</f>
        <v/>
      </c>
      <c r="CD779" s="448" t="str">
        <f>_xlfn.IFNA(VLOOKUP($BK779,Programma!$F$3:$Y$1101,20,0),"")</f>
        <v/>
      </c>
    </row>
    <row r="780" spans="1:82" ht="15" customHeight="1">
      <c r="A780" s="327">
        <v>23</v>
      </c>
      <c r="B780" s="435" t="str">
        <f>VLOOKUP(Ruimtestaat[[#This Row],[Code]],Locaties[[Code]:[Locatie]],2,FALSE)</f>
        <v>IKC De Waterlelie (bijgebouw)</v>
      </c>
      <c r="C780" s="435" t="str">
        <f>VLOOKUP(Ruimtestaat[[#This Row],[Code]],Locaties[[#All],[Code]:[Adres]],4,FALSE)</f>
        <v>Morapad 3</v>
      </c>
      <c r="D780" s="435" t="str">
        <f>VLOOKUP(Ruimtestaat[[#This Row],[Code]],Locaties[[#All],[Code]:[Postcode]],5,FALSE)</f>
        <v>2719 JA</v>
      </c>
      <c r="E780" s="435" t="str">
        <f>VLOOKUP(Ruimtestaat[[#This Row],[Code]],Locaties[#All],6,FALSE)</f>
        <v>Zoetermeer</v>
      </c>
      <c r="F780" s="450"/>
      <c r="I780" s="450" t="s">
        <v>1708</v>
      </c>
      <c r="J780" s="330">
        <v>6</v>
      </c>
      <c r="K780" s="450" t="str">
        <f>VLOOKUP(Ruimtestaat[[#This Row],[Ruimte code]],Ruimtegroepen[[#All],[Code]:[Ruimte omschrijving]],2,FALSE)</f>
        <v>Gangen/hallen</v>
      </c>
      <c r="L780" s="330" t="s">
        <v>102</v>
      </c>
      <c r="M780" s="437" t="s">
        <v>120</v>
      </c>
      <c r="N780" s="439">
        <v>11</v>
      </c>
      <c r="O780" s="439"/>
      <c r="P780" s="439"/>
      <c r="Q780" s="439"/>
      <c r="R780" s="440" t="str">
        <f>VLOOKUP(Ruimtestaat[[#This Row],[Ruimte code]],Ruimtegroepen[],4,FALSE)</f>
        <v>Ve</v>
      </c>
      <c r="S780" s="434">
        <v>41</v>
      </c>
      <c r="T780" s="434" t="s">
        <v>2</v>
      </c>
      <c r="U780" s="453">
        <f>IF(S780&gt;0,IF(RIGHT(Ruimtestaat[[#This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80" s="434">
        <f>IF(U780&gt;0,VLOOKUP($J780,Ruimtegroepen[],3,FALSE)*VLOOKUP($L780,Vloersoorten[],3,FALSE)*VLOOKUP($T780,Frequenties[],3,FALSE)*VLOOKUP($A780,Locaties[],3,FALSE),0)</f>
        <v>0</v>
      </c>
      <c r="W780" s="434">
        <f>Ruimtestaat[[#This Row],[Uitvoeringen werkdagen]]*Ruimtestaat[[#This Row],[Oppervlak (netto)]]</f>
        <v>2255</v>
      </c>
      <c r="X780" s="441">
        <f>IF(V780&gt;0,Ruimtestaat[[#This Row],[Prest. (m2 /jaar) werkdagen]]/Ruimtestaat[[#This Row],[Norm (m2/uur) werkdagen]],0)</f>
        <v>0</v>
      </c>
      <c r="Y780" s="442">
        <f>Ruimtestaat[[#This Row],[Uitvoeringen werkdagen]]*Ruimtestaat[[#This Row],[Gedeeltelijk]]</f>
        <v>0</v>
      </c>
      <c r="Z780" s="443" t="e">
        <f>IF(U780&gt;0,Ruimtestaat[[#This Row],[Prest. (m2 / jaar) werkdagen gedeeld]]/Ruimtestaat[[#This Row],[Norm (m2/uur) werkdagen]],0)</f>
        <v>#DIV/0!</v>
      </c>
      <c r="AA780" s="441" t="e">
        <f>Ruimtestaat[[#This Row],[uren / jaar werkdagen gedeeld]]*Tariefsopbouw!$E$35</f>
        <v>#DIV/0!</v>
      </c>
      <c r="AB780" s="441">
        <f>Ruimtestaat[[#This Row],[Uitvoeringen werkdagen]]*Ruimtestaat[[#This Row],[BSO]]</f>
        <v>0</v>
      </c>
      <c r="AC780" s="443" t="e">
        <f>IF(U780&gt;0,Ruimtestaat[[#This Row],[Prest. (m2 / jaar) werkdagen BSO]]/Ruimtestaat[[#This Row],[Norm (m2/uur) werkdagen]],0)</f>
        <v>#DIV/0!</v>
      </c>
      <c r="AD780" s="443" t="e">
        <f>Ruimtestaat[[#This Row],[uren / jaar werkdagen BSO]]*Tariefsopbouw!$E$35</f>
        <v>#DIV/0!</v>
      </c>
      <c r="AE780" s="444">
        <f>Ruimtestaat[[#This Row],[uren / jaar werkdagen]]*Tariefsopbouw!$E$35</f>
        <v>0</v>
      </c>
      <c r="AF780" s="454"/>
      <c r="AG780" s="455">
        <f>IF(Ruimtestaat[[#This Row],[Frequentie weekend]]&gt;0,VALUE(LEFT(AF780,1))*S780,0)</f>
        <v>0</v>
      </c>
      <c r="AH780" s="455">
        <f>IF($AG780&gt;0,VLOOKUP($J780,Ruimtegroepen[],3,FALSE)*VLOOKUP($L780,Vloersoorten[],3,FALSE)*VLOOKUP($AF780,Frequenties[],3,FALSE)*VLOOKUP(#REF!,Locaties[],3,FALSE),0)</f>
        <v>0</v>
      </c>
      <c r="AI780" s="434">
        <f>Ruimtestaat[[#This Row],[Uitvoeringen weekend]]*Ruimtestaat[[#This Row],[Oppervlak (netto)]]</f>
        <v>0</v>
      </c>
      <c r="AJ780" s="434">
        <f>IF(AH780&gt;0,Ruimtestaat[[#This Row],[Prest. (m2 /jaar) weekend]]/Ruimtestaat[[#This Row],[Norm (m2/uur) weekend]],0)</f>
        <v>0</v>
      </c>
      <c r="AK780" s="444">
        <f>Ruimtestaat[[#This Row],[uren / jaar weekend]]*Tariefsopbouw!$D$40</f>
        <v>0</v>
      </c>
      <c r="AL780" s="441">
        <f>Ruimtestaat[[#This Row],[Prest. (m2 /jaar) weekend]]+Ruimtestaat[[#This Row],[Prest. (m2 /jaar) werkdagen]]</f>
        <v>2255</v>
      </c>
      <c r="AM780" s="441">
        <f>Ruimtestaat[[#This Row],[uren / jaar weekend]]+Ruimtestaat[[#This Row],[uren / jaar werkdagen]]</f>
        <v>0</v>
      </c>
      <c r="AN780" s="446">
        <f>Ruimtestaat[[#This Row],[kosten / jaar weekend]]+Ruimtestaat[[#This Row],[kosten / jaar werkdagen]]</f>
        <v>0</v>
      </c>
      <c r="AO780" s="446"/>
      <c r="AP780" s="446" t="str">
        <f>IF(Ruimtestaat[[#This Row],[Frequentie werkdagen]]="","",_xlfn.CONCAT(Ruimtestaat[[#This Row],[Ruimte code]],"-",Ruimtestaat[[#This Row],[Frequentie werkdagen]]," ",Ruimtestaat[[#This Row],[Vloer code]]))</f>
        <v>6-5w P</v>
      </c>
      <c r="AQ780" s="448" t="str">
        <f>_xlfn.IFNA(VLOOKUP($AP780,Programma!$F$3:$G$1101,2,0),"")</f>
        <v>_</v>
      </c>
      <c r="AR780" s="448" t="str">
        <f>_xlfn.IFNA(VLOOKUP($AP780,Programma!$F$3:$H$1101,3,0),"")</f>
        <v>_</v>
      </c>
      <c r="AS780" s="448" t="str">
        <f>_xlfn.IFNA(VLOOKUP($AP780,Programma!$F$3:$I$1101,4,0),"")</f>
        <v>5w</v>
      </c>
      <c r="AT780" s="448" t="str">
        <f>_xlfn.IFNA(VLOOKUP($AP780,Programma!$F$3:$J$1101,5,0),"")</f>
        <v>_</v>
      </c>
      <c r="AU780" s="448" t="str">
        <f>_xlfn.IFNA(VLOOKUP($AP780,Programma!$F$3:$K$1101,6,0),"")</f>
        <v>5w</v>
      </c>
      <c r="AV780" s="448" t="str">
        <f>_xlfn.IFNA(VLOOKUP($AP780,Programma!$F$3:$L$1101,7,0),"")</f>
        <v>_</v>
      </c>
      <c r="AW780" s="448" t="str">
        <f>_xlfn.IFNA(VLOOKUP($AP780,Programma!$F$3:$M$1101,8,0),"")</f>
        <v>_</v>
      </c>
      <c r="AX780" s="448" t="str">
        <f>_xlfn.IFNA(VLOOKUP($AP780,Programma!$F$3:$N$1101,9,0),"")</f>
        <v>_</v>
      </c>
      <c r="AY780" s="448" t="str">
        <f>_xlfn.IFNA(VLOOKUP($AP780,Programma!$F$3:$O$1101,10,0),"")</f>
        <v>5w</v>
      </c>
      <c r="AZ780" s="448" t="str">
        <f>_xlfn.IFNA(VLOOKUP($AP780,Programma!$F$3:$P$1101,11,0),"")</f>
        <v>5w</v>
      </c>
      <c r="BA780" s="448" t="str">
        <f>_xlfn.IFNA(VLOOKUP($AP780,Programma!$F$3:$Q$1101,12,0),"")</f>
        <v>1w</v>
      </c>
      <c r="BB780" s="448" t="str">
        <f>_xlfn.IFNA(VLOOKUP($AP780,Programma!$F$3:$R$1101,13,0),"")</f>
        <v>1w</v>
      </c>
      <c r="BC780" s="448" t="str">
        <f>_xlfn.IFNA(VLOOKUP($AP780,Programma!$F$3:$S$1101,14,0),"")</f>
        <v>1m</v>
      </c>
      <c r="BD780" s="448" t="str">
        <f>_xlfn.IFNA(VLOOKUP($AP780,Programma!$F$3:$T$1101,15,0),"")</f>
        <v>2j</v>
      </c>
      <c r="BE780" s="448" t="str">
        <f>_xlfn.IFNA(VLOOKUP($AP780,Programma!$F$3:$U$1101,16,0),"")</f>
        <v>1j</v>
      </c>
      <c r="BF780" s="448" t="str">
        <f>_xlfn.IFNA(VLOOKUP($AP780,Programma!$F$3:$V$1101,17,0),"")</f>
        <v>_</v>
      </c>
      <c r="BG780" s="448" t="str">
        <f>_xlfn.IFNA(VLOOKUP($AP780,Programma!$F$3:$W$1101,18,0),"")</f>
        <v>_</v>
      </c>
      <c r="BH780" s="448" t="str">
        <f>_xlfn.IFNA(VLOOKUP($AP780,Programma!$F$3:$X$1101,19,0),"")</f>
        <v>_</v>
      </c>
      <c r="BI780" s="448" t="str">
        <f>_xlfn.IFNA(VLOOKUP($AP780,Programma!$F$3:$Y$1101,20,0),"")</f>
        <v>_</v>
      </c>
      <c r="BJ780" s="449"/>
      <c r="BK780" s="446" t="str">
        <f>IF(Ruimtestaat[[#This Row],[Frequentie weekend]]="","",_xlfn.CONCAT(Ruimtestaat[[#This Row],[Ruimte code]],"-",Ruimtestaat[[#This Row],[Frequentie weekend]]," ",Ruimtestaat[[#This Row],[Vloer code]]))</f>
        <v/>
      </c>
      <c r="BL780" s="448" t="str">
        <f>_xlfn.IFNA(VLOOKUP($BK780,Programma!$F$3:$G$1101,2,0),"")</f>
        <v/>
      </c>
      <c r="BM780" s="448" t="str">
        <f>_xlfn.IFNA(VLOOKUP($BK780,Programma!$F$3:$H$1101,3,0),"")</f>
        <v/>
      </c>
      <c r="BN780" s="448" t="str">
        <f>_xlfn.IFNA(VLOOKUP($BK780,Programma!$F$3:$I$1101,4,0),"")</f>
        <v/>
      </c>
      <c r="BO780" s="448" t="str">
        <f>_xlfn.IFNA(VLOOKUP($BK780,Programma!$F$3:$J$1101,5,0),"")</f>
        <v/>
      </c>
      <c r="BP780" s="448" t="str">
        <f>_xlfn.IFNA(VLOOKUP($BK780,Programma!$F$3:$K$1101,6,0),"")</f>
        <v/>
      </c>
      <c r="BQ780" s="448" t="str">
        <f>_xlfn.IFNA(VLOOKUP($BK780,Programma!$F$3:$L$1101,7,0),"")</f>
        <v/>
      </c>
      <c r="BR780" s="448" t="str">
        <f>_xlfn.IFNA(VLOOKUP($BK780,Programma!$F$3:$M$1101,8,0),"")</f>
        <v/>
      </c>
      <c r="BS780" s="448" t="str">
        <f>_xlfn.IFNA(VLOOKUP($BK780,Programma!$F$3:$N$1101,9,0),"")</f>
        <v/>
      </c>
      <c r="BT780" s="448" t="str">
        <f>_xlfn.IFNA(VLOOKUP($BK780,Programma!$F$3:$O$1101,10,0),"")</f>
        <v/>
      </c>
      <c r="BU780" s="448" t="str">
        <f>_xlfn.IFNA(VLOOKUP($BK780,Programma!$F$3:$P$1101,11,0),"")</f>
        <v/>
      </c>
      <c r="BV780" s="448" t="str">
        <f>_xlfn.IFNA(VLOOKUP($BK780,Programma!$F$3:$Q$1101,12,0),"")</f>
        <v/>
      </c>
      <c r="BW780" s="448" t="str">
        <f>_xlfn.IFNA(VLOOKUP($BK780,Programma!$F$3:$R$1101,13,0),"")</f>
        <v/>
      </c>
      <c r="BX780" s="448" t="str">
        <f>_xlfn.IFNA(VLOOKUP($BK780,Programma!$F$3:$S$1101,14,0),"")</f>
        <v/>
      </c>
      <c r="BY780" s="448" t="str">
        <f>_xlfn.IFNA(VLOOKUP($BK780,Programma!$F$3:$T$1101,15,0),"")</f>
        <v/>
      </c>
      <c r="BZ780" s="448" t="str">
        <f>_xlfn.IFNA(VLOOKUP($BK780,Programma!$F$3:$U$1101,16,0),"")</f>
        <v/>
      </c>
      <c r="CA780" s="448" t="str">
        <f>_xlfn.IFNA(VLOOKUP($BK780,Programma!$F$3:$V$1101,17,0),"")</f>
        <v/>
      </c>
      <c r="CB780" s="448" t="str">
        <f>_xlfn.IFNA(VLOOKUP($BK780,Programma!$F$3:$W$1101,18,0),"")</f>
        <v/>
      </c>
      <c r="CC780" s="448" t="str">
        <f>_xlfn.IFNA(VLOOKUP($BK780,Programma!$F$3:$X$1101,19,0),"")</f>
        <v/>
      </c>
      <c r="CD780" s="448" t="str">
        <f>_xlfn.IFNA(VLOOKUP($BK780,Programma!$F$3:$Y$1101,20,0),"")</f>
        <v/>
      </c>
    </row>
    <row r="781" spans="1:82" ht="15" customHeight="1">
      <c r="A781" s="327">
        <v>23</v>
      </c>
      <c r="B781" s="435" t="str">
        <f>VLOOKUP(Ruimtestaat[[#This Row],[Code]],Locaties[[Code]:[Locatie]],2,FALSE)</f>
        <v>IKC De Waterlelie (bijgebouw)</v>
      </c>
      <c r="C781" s="435" t="str">
        <f>VLOOKUP(Ruimtestaat[[#This Row],[Code]],Locaties[[#All],[Code]:[Adres]],4,FALSE)</f>
        <v>Morapad 3</v>
      </c>
      <c r="D781" s="435" t="str">
        <f>VLOOKUP(Ruimtestaat[[#This Row],[Code]],Locaties[[#All],[Code]:[Postcode]],5,FALSE)</f>
        <v>2719 JA</v>
      </c>
      <c r="E781" s="435" t="str">
        <f>VLOOKUP(Ruimtestaat[[#This Row],[Code]],Locaties[#All],6,FALSE)</f>
        <v>Zoetermeer</v>
      </c>
      <c r="F781" s="450"/>
      <c r="I781" s="450" t="s">
        <v>2011</v>
      </c>
      <c r="J781" s="330">
        <v>5</v>
      </c>
      <c r="K781" s="450" t="str">
        <f>VLOOKUP(Ruimtestaat[[#This Row],[Ruimte code]],Ruimtegroepen[[#All],[Code]:[Ruimte omschrijving]],2,FALSE)</f>
        <v>Sanitair</v>
      </c>
      <c r="L781" s="330" t="s">
        <v>101</v>
      </c>
      <c r="M781" s="437" t="s">
        <v>119</v>
      </c>
      <c r="N781" s="439">
        <v>4</v>
      </c>
      <c r="O781" s="439"/>
      <c r="P781" s="439"/>
      <c r="Q781" s="439"/>
      <c r="R781" s="440" t="str">
        <f>VLOOKUP(Ruimtestaat[[#This Row],[Ruimte code]],Ruimtegroepen[],4,FALSE)</f>
        <v>Sa</v>
      </c>
      <c r="S781" s="434">
        <v>41</v>
      </c>
      <c r="T781" s="434" t="s">
        <v>2</v>
      </c>
      <c r="U781" s="453">
        <f>IF(S781&gt;0,IF(RIGHT(Ruimtestaat[[#This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81" s="434">
        <f>IF(U781&gt;0,VLOOKUP($J781,Ruimtegroepen[],3,FALSE)*VLOOKUP($L781,Vloersoorten[],3,FALSE)*VLOOKUP($T781,Frequenties[],3,FALSE)*VLOOKUP($A781,Locaties[],3,FALSE),0)</f>
        <v>0</v>
      </c>
      <c r="W781" s="434">
        <f>Ruimtestaat[[#This Row],[Uitvoeringen werkdagen]]*Ruimtestaat[[#This Row],[Oppervlak (netto)]]</f>
        <v>820</v>
      </c>
      <c r="X781" s="441">
        <f>IF(V781&gt;0,Ruimtestaat[[#This Row],[Prest. (m2 /jaar) werkdagen]]/Ruimtestaat[[#This Row],[Norm (m2/uur) werkdagen]],0)</f>
        <v>0</v>
      </c>
      <c r="Y781" s="442">
        <f>Ruimtestaat[[#This Row],[Uitvoeringen werkdagen]]*Ruimtestaat[[#This Row],[Gedeeltelijk]]</f>
        <v>0</v>
      </c>
      <c r="Z781" s="443" t="e">
        <f>IF(U781&gt;0,Ruimtestaat[[#This Row],[Prest. (m2 / jaar) werkdagen gedeeld]]/Ruimtestaat[[#This Row],[Norm (m2/uur) werkdagen]],0)</f>
        <v>#DIV/0!</v>
      </c>
      <c r="AA781" s="441" t="e">
        <f>Ruimtestaat[[#This Row],[uren / jaar werkdagen gedeeld]]*Tariefsopbouw!$E$35</f>
        <v>#DIV/0!</v>
      </c>
      <c r="AB781" s="441">
        <f>Ruimtestaat[[#This Row],[Uitvoeringen werkdagen]]*Ruimtestaat[[#This Row],[BSO]]</f>
        <v>0</v>
      </c>
      <c r="AC781" s="443" t="e">
        <f>IF(U781&gt;0,Ruimtestaat[[#This Row],[Prest. (m2 / jaar) werkdagen BSO]]/Ruimtestaat[[#This Row],[Norm (m2/uur) werkdagen]],0)</f>
        <v>#DIV/0!</v>
      </c>
      <c r="AD781" s="443" t="e">
        <f>Ruimtestaat[[#This Row],[uren / jaar werkdagen BSO]]*Tariefsopbouw!$E$35</f>
        <v>#DIV/0!</v>
      </c>
      <c r="AE781" s="444">
        <f>Ruimtestaat[[#This Row],[uren / jaar werkdagen]]*Tariefsopbouw!$E$35</f>
        <v>0</v>
      </c>
      <c r="AF781" s="454"/>
      <c r="AG781" s="455">
        <f>IF(Ruimtestaat[[#This Row],[Frequentie weekend]]&gt;0,VALUE(LEFT(AF781,1))*S781,0)</f>
        <v>0</v>
      </c>
      <c r="AH781" s="455">
        <f>IF($AG781&gt;0,VLOOKUP($J781,Ruimtegroepen[],3,FALSE)*VLOOKUP($L781,Vloersoorten[],3,FALSE)*VLOOKUP($AF781,Frequenties[],3,FALSE)*VLOOKUP(#REF!,Locaties[],3,FALSE),0)</f>
        <v>0</v>
      </c>
      <c r="AI781" s="434">
        <f>Ruimtestaat[[#This Row],[Uitvoeringen weekend]]*Ruimtestaat[[#This Row],[Oppervlak (netto)]]</f>
        <v>0</v>
      </c>
      <c r="AJ781" s="434">
        <f>IF(AH781&gt;0,Ruimtestaat[[#This Row],[Prest. (m2 /jaar) weekend]]/Ruimtestaat[[#This Row],[Norm (m2/uur) weekend]],0)</f>
        <v>0</v>
      </c>
      <c r="AK781" s="444">
        <f>Ruimtestaat[[#This Row],[uren / jaar weekend]]*Tariefsopbouw!$D$40</f>
        <v>0</v>
      </c>
      <c r="AL781" s="441">
        <f>Ruimtestaat[[#This Row],[Prest. (m2 /jaar) weekend]]+Ruimtestaat[[#This Row],[Prest. (m2 /jaar) werkdagen]]</f>
        <v>820</v>
      </c>
      <c r="AM781" s="441">
        <f>Ruimtestaat[[#This Row],[uren / jaar weekend]]+Ruimtestaat[[#This Row],[uren / jaar werkdagen]]</f>
        <v>0</v>
      </c>
      <c r="AN781" s="446">
        <f>Ruimtestaat[[#This Row],[kosten / jaar weekend]]+Ruimtestaat[[#This Row],[kosten / jaar werkdagen]]</f>
        <v>0</v>
      </c>
      <c r="AO781" s="446"/>
      <c r="AP781" s="446" t="str">
        <f>IF(Ruimtestaat[[#This Row],[Frequentie werkdagen]]="","",_xlfn.CONCAT(Ruimtestaat[[#This Row],[Ruimte code]],"-",Ruimtestaat[[#This Row],[Frequentie werkdagen]]," ",Ruimtestaat[[#This Row],[Vloer code]]))</f>
        <v>5-5w S</v>
      </c>
      <c r="AQ781" s="448" t="str">
        <f>_xlfn.IFNA(VLOOKUP($AP781,Programma!$F$3:$G$1101,2,0),"")</f>
        <v>_</v>
      </c>
      <c r="AR781" s="448" t="str">
        <f>_xlfn.IFNA(VLOOKUP($AP781,Programma!$F$3:$H$1101,3,0),"")</f>
        <v>_</v>
      </c>
      <c r="AS781" s="448" t="str">
        <f>_xlfn.IFNA(VLOOKUP($AP781,Programma!$F$3:$I$1101,4,0),"")</f>
        <v>_</v>
      </c>
      <c r="AT781" s="448" t="str">
        <f>_xlfn.IFNA(VLOOKUP($AP781,Programma!$F$3:$J$1101,5,0),"")</f>
        <v>4w</v>
      </c>
      <c r="AU781" s="448" t="str">
        <f>_xlfn.IFNA(VLOOKUP($AP781,Programma!$F$3:$K$1101,6,0),"")</f>
        <v>1w</v>
      </c>
      <c r="AV781" s="448" t="str">
        <f>_xlfn.IFNA(VLOOKUP($AP781,Programma!$F$3:$L$1101,7,0),"")</f>
        <v>_</v>
      </c>
      <c r="AW781" s="448" t="str">
        <f>_xlfn.IFNA(VLOOKUP($AP781,Programma!$F$3:$M$1101,8,0),"")</f>
        <v>_</v>
      </c>
      <c r="AX781" s="448" t="str">
        <f>_xlfn.IFNA(VLOOKUP($AP781,Programma!$F$3:$N$1101,9,0),"")</f>
        <v>_</v>
      </c>
      <c r="AY781" s="448" t="str">
        <f>_xlfn.IFNA(VLOOKUP($AP781,Programma!$F$3:$O$1101,10,0),"")</f>
        <v>_</v>
      </c>
      <c r="AZ781" s="448" t="str">
        <f>_xlfn.IFNA(VLOOKUP($AP781,Programma!$F$3:$P$1101,11,0),"")</f>
        <v>_</v>
      </c>
      <c r="BA781" s="448" t="str">
        <f>_xlfn.IFNA(VLOOKUP($AP781,Programma!$F$3:$Q$1101,12,0),"")</f>
        <v>_</v>
      </c>
      <c r="BB781" s="448" t="str">
        <f>_xlfn.IFNA(VLOOKUP($AP781,Programma!$F$3:$R$1101,13,0),"")</f>
        <v>_</v>
      </c>
      <c r="BC781" s="448" t="str">
        <f>_xlfn.IFNA(VLOOKUP($AP781,Programma!$F$3:$S$1101,14,0),"")</f>
        <v>_</v>
      </c>
      <c r="BD781" s="448" t="str">
        <f>_xlfn.IFNA(VLOOKUP($AP781,Programma!$F$3:$T$1101,15,0),"")</f>
        <v>_</v>
      </c>
      <c r="BE781" s="448" t="str">
        <f>_xlfn.IFNA(VLOOKUP($AP781,Programma!$F$3:$U$1101,16,0),"")</f>
        <v>_</v>
      </c>
      <c r="BF781" s="448" t="str">
        <f>_xlfn.IFNA(VLOOKUP($AP781,Programma!$F$3:$V$1101,17,0),"")</f>
        <v>_</v>
      </c>
      <c r="BG781" s="448" t="str">
        <f>_xlfn.IFNA(VLOOKUP($AP781,Programma!$F$3:$W$1101,18,0),"")</f>
        <v>4w</v>
      </c>
      <c r="BH781" s="448" t="str">
        <f>_xlfn.IFNA(VLOOKUP($AP781,Programma!$F$3:$X$1101,19,0),"")</f>
        <v>1w</v>
      </c>
      <c r="BI781" s="448" t="str">
        <f>_xlfn.IFNA(VLOOKUP($AP781,Programma!$F$3:$Y$1101,20,0),"")</f>
        <v>_</v>
      </c>
      <c r="BJ781" s="449"/>
      <c r="BK781" s="446" t="str">
        <f>IF(Ruimtestaat[[#This Row],[Frequentie weekend]]="","",_xlfn.CONCAT(Ruimtestaat[[#This Row],[Ruimte code]],"-",Ruimtestaat[[#This Row],[Frequentie weekend]]," ",Ruimtestaat[[#This Row],[Vloer code]]))</f>
        <v/>
      </c>
      <c r="BL781" s="448" t="str">
        <f>_xlfn.IFNA(VLOOKUP($BK781,Programma!$F$3:$G$1101,2,0),"")</f>
        <v/>
      </c>
      <c r="BM781" s="448" t="str">
        <f>_xlfn.IFNA(VLOOKUP($BK781,Programma!$F$3:$H$1101,3,0),"")</f>
        <v/>
      </c>
      <c r="BN781" s="448" t="str">
        <f>_xlfn.IFNA(VLOOKUP($BK781,Programma!$F$3:$I$1101,4,0),"")</f>
        <v/>
      </c>
      <c r="BO781" s="448" t="str">
        <f>_xlfn.IFNA(VLOOKUP($BK781,Programma!$F$3:$J$1101,5,0),"")</f>
        <v/>
      </c>
      <c r="BP781" s="448" t="str">
        <f>_xlfn.IFNA(VLOOKUP($BK781,Programma!$F$3:$K$1101,6,0),"")</f>
        <v/>
      </c>
      <c r="BQ781" s="448" t="str">
        <f>_xlfn.IFNA(VLOOKUP($BK781,Programma!$F$3:$L$1101,7,0),"")</f>
        <v/>
      </c>
      <c r="BR781" s="448" t="str">
        <f>_xlfn.IFNA(VLOOKUP($BK781,Programma!$F$3:$M$1101,8,0),"")</f>
        <v/>
      </c>
      <c r="BS781" s="448" t="str">
        <f>_xlfn.IFNA(VLOOKUP($BK781,Programma!$F$3:$N$1101,9,0),"")</f>
        <v/>
      </c>
      <c r="BT781" s="448" t="str">
        <f>_xlfn.IFNA(VLOOKUP($BK781,Programma!$F$3:$O$1101,10,0),"")</f>
        <v/>
      </c>
      <c r="BU781" s="448" t="str">
        <f>_xlfn.IFNA(VLOOKUP($BK781,Programma!$F$3:$P$1101,11,0),"")</f>
        <v/>
      </c>
      <c r="BV781" s="448" t="str">
        <f>_xlfn.IFNA(VLOOKUP($BK781,Programma!$F$3:$Q$1101,12,0),"")</f>
        <v/>
      </c>
      <c r="BW781" s="448" t="str">
        <f>_xlfn.IFNA(VLOOKUP($BK781,Programma!$F$3:$R$1101,13,0),"")</f>
        <v/>
      </c>
      <c r="BX781" s="448" t="str">
        <f>_xlfn.IFNA(VLOOKUP($BK781,Programma!$F$3:$S$1101,14,0),"")</f>
        <v/>
      </c>
      <c r="BY781" s="448" t="str">
        <f>_xlfn.IFNA(VLOOKUP($BK781,Programma!$F$3:$T$1101,15,0),"")</f>
        <v/>
      </c>
      <c r="BZ781" s="448" t="str">
        <f>_xlfn.IFNA(VLOOKUP($BK781,Programma!$F$3:$U$1101,16,0),"")</f>
        <v/>
      </c>
      <c r="CA781" s="448" t="str">
        <f>_xlfn.IFNA(VLOOKUP($BK781,Programma!$F$3:$V$1101,17,0),"")</f>
        <v/>
      </c>
      <c r="CB781" s="448" t="str">
        <f>_xlfn.IFNA(VLOOKUP($BK781,Programma!$F$3:$W$1101,18,0),"")</f>
        <v/>
      </c>
      <c r="CC781" s="448" t="str">
        <f>_xlfn.IFNA(VLOOKUP($BK781,Programma!$F$3:$X$1101,19,0),"")</f>
        <v/>
      </c>
      <c r="CD781" s="448" t="str">
        <f>_xlfn.IFNA(VLOOKUP($BK781,Programma!$F$3:$Y$1101,20,0),"")</f>
        <v/>
      </c>
    </row>
    <row r="782" spans="1:82" ht="15" customHeight="1">
      <c r="A782" s="327">
        <v>23</v>
      </c>
      <c r="B782" s="435" t="str">
        <f>VLOOKUP(Ruimtestaat[[#This Row],[Code]],Locaties[[Code]:[Locatie]],2,FALSE)</f>
        <v>IKC De Waterlelie (bijgebouw)</v>
      </c>
      <c r="C782" s="435" t="str">
        <f>VLOOKUP(Ruimtestaat[[#This Row],[Code]],Locaties[[#All],[Code]:[Adres]],4,FALSE)</f>
        <v>Morapad 3</v>
      </c>
      <c r="D782" s="435" t="str">
        <f>VLOOKUP(Ruimtestaat[[#This Row],[Code]],Locaties[[#All],[Code]:[Postcode]],5,FALSE)</f>
        <v>2719 JA</v>
      </c>
      <c r="E782" s="435" t="str">
        <f>VLOOKUP(Ruimtestaat[[#This Row],[Code]],Locaties[#All],6,FALSE)</f>
        <v>Zoetermeer</v>
      </c>
      <c r="F782" s="450"/>
      <c r="I782" s="450" t="s">
        <v>2012</v>
      </c>
      <c r="J782" s="330">
        <v>5</v>
      </c>
      <c r="K782" s="450" t="str">
        <f>VLOOKUP(Ruimtestaat[[#This Row],[Ruimte code]],Ruimtegroepen[[#All],[Code]:[Ruimte omschrijving]],2,FALSE)</f>
        <v>Sanitair</v>
      </c>
      <c r="L782" s="330" t="s">
        <v>101</v>
      </c>
      <c r="M782" s="437" t="s">
        <v>119</v>
      </c>
      <c r="N782" s="439">
        <v>4.3</v>
      </c>
      <c r="O782" s="439"/>
      <c r="P782" s="439"/>
      <c r="Q782" s="439"/>
      <c r="R782" s="440" t="str">
        <f>VLOOKUP(Ruimtestaat[[#This Row],[Ruimte code]],Ruimtegroepen[],4,FALSE)</f>
        <v>Sa</v>
      </c>
      <c r="S782" s="434">
        <v>41</v>
      </c>
      <c r="T782" s="434" t="s">
        <v>2</v>
      </c>
      <c r="U782" s="453">
        <f>IF(S782&gt;0,IF(RIGHT(Ruimtestaat[[#This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82" s="434">
        <f>IF(U782&gt;0,VLOOKUP($J782,Ruimtegroepen[],3,FALSE)*VLOOKUP($L782,Vloersoorten[],3,FALSE)*VLOOKUP($T782,Frequenties[],3,FALSE)*VLOOKUP($A782,Locaties[],3,FALSE),0)</f>
        <v>0</v>
      </c>
      <c r="W782" s="434">
        <f>Ruimtestaat[[#This Row],[Uitvoeringen werkdagen]]*Ruimtestaat[[#This Row],[Oppervlak (netto)]]</f>
        <v>881.5</v>
      </c>
      <c r="X782" s="441">
        <f>IF(V782&gt;0,Ruimtestaat[[#This Row],[Prest. (m2 /jaar) werkdagen]]/Ruimtestaat[[#This Row],[Norm (m2/uur) werkdagen]],0)</f>
        <v>0</v>
      </c>
      <c r="Y782" s="442">
        <f>Ruimtestaat[[#This Row],[Uitvoeringen werkdagen]]*Ruimtestaat[[#This Row],[Gedeeltelijk]]</f>
        <v>0</v>
      </c>
      <c r="Z782" s="443" t="e">
        <f>IF(U782&gt;0,Ruimtestaat[[#This Row],[Prest. (m2 / jaar) werkdagen gedeeld]]/Ruimtestaat[[#This Row],[Norm (m2/uur) werkdagen]],0)</f>
        <v>#DIV/0!</v>
      </c>
      <c r="AA782" s="441" t="e">
        <f>Ruimtestaat[[#This Row],[uren / jaar werkdagen gedeeld]]*Tariefsopbouw!$E$35</f>
        <v>#DIV/0!</v>
      </c>
      <c r="AB782" s="441">
        <f>Ruimtestaat[[#This Row],[Uitvoeringen werkdagen]]*Ruimtestaat[[#This Row],[BSO]]</f>
        <v>0</v>
      </c>
      <c r="AC782" s="443" t="e">
        <f>IF(U782&gt;0,Ruimtestaat[[#This Row],[Prest. (m2 / jaar) werkdagen BSO]]/Ruimtestaat[[#This Row],[Norm (m2/uur) werkdagen]],0)</f>
        <v>#DIV/0!</v>
      </c>
      <c r="AD782" s="443" t="e">
        <f>Ruimtestaat[[#This Row],[uren / jaar werkdagen BSO]]*Tariefsopbouw!$E$35</f>
        <v>#DIV/0!</v>
      </c>
      <c r="AE782" s="444">
        <f>Ruimtestaat[[#This Row],[uren / jaar werkdagen]]*Tariefsopbouw!$E$35</f>
        <v>0</v>
      </c>
      <c r="AF782" s="454"/>
      <c r="AG782" s="455">
        <f>IF(Ruimtestaat[[#This Row],[Frequentie weekend]]&gt;0,VALUE(LEFT(AF782,1))*S782,0)</f>
        <v>0</v>
      </c>
      <c r="AH782" s="455">
        <f>IF($AG782&gt;0,VLOOKUP($J782,Ruimtegroepen[],3,FALSE)*VLOOKUP($L782,Vloersoorten[],3,FALSE)*VLOOKUP($AF782,Frequenties[],3,FALSE)*VLOOKUP(#REF!,Locaties[],3,FALSE),0)</f>
        <v>0</v>
      </c>
      <c r="AI782" s="434">
        <f>Ruimtestaat[[#This Row],[Uitvoeringen weekend]]*Ruimtestaat[[#This Row],[Oppervlak (netto)]]</f>
        <v>0</v>
      </c>
      <c r="AJ782" s="434">
        <f>IF(AH782&gt;0,Ruimtestaat[[#This Row],[Prest. (m2 /jaar) weekend]]/Ruimtestaat[[#This Row],[Norm (m2/uur) weekend]],0)</f>
        <v>0</v>
      </c>
      <c r="AK782" s="444">
        <f>Ruimtestaat[[#This Row],[uren / jaar weekend]]*Tariefsopbouw!$D$40</f>
        <v>0</v>
      </c>
      <c r="AL782" s="441">
        <f>Ruimtestaat[[#This Row],[Prest. (m2 /jaar) weekend]]+Ruimtestaat[[#This Row],[Prest. (m2 /jaar) werkdagen]]</f>
        <v>881.5</v>
      </c>
      <c r="AM782" s="441">
        <f>Ruimtestaat[[#This Row],[uren / jaar weekend]]+Ruimtestaat[[#This Row],[uren / jaar werkdagen]]</f>
        <v>0</v>
      </c>
      <c r="AN782" s="446">
        <f>Ruimtestaat[[#This Row],[kosten / jaar weekend]]+Ruimtestaat[[#This Row],[kosten / jaar werkdagen]]</f>
        <v>0</v>
      </c>
      <c r="AO782" s="446"/>
      <c r="AP782" s="446" t="str">
        <f>IF(Ruimtestaat[[#This Row],[Frequentie werkdagen]]="","",_xlfn.CONCAT(Ruimtestaat[[#This Row],[Ruimte code]],"-",Ruimtestaat[[#This Row],[Frequentie werkdagen]]," ",Ruimtestaat[[#This Row],[Vloer code]]))</f>
        <v>5-5w S</v>
      </c>
      <c r="AQ782" s="448" t="str">
        <f>_xlfn.IFNA(VLOOKUP($AP782,Programma!$F$3:$G$1101,2,0),"")</f>
        <v>_</v>
      </c>
      <c r="AR782" s="448" t="str">
        <f>_xlfn.IFNA(VLOOKUP($AP782,Programma!$F$3:$H$1101,3,0),"")</f>
        <v>_</v>
      </c>
      <c r="AS782" s="448" t="str">
        <f>_xlfn.IFNA(VLOOKUP($AP782,Programma!$F$3:$I$1101,4,0),"")</f>
        <v>_</v>
      </c>
      <c r="AT782" s="448" t="str">
        <f>_xlfn.IFNA(VLOOKUP($AP782,Programma!$F$3:$J$1101,5,0),"")</f>
        <v>4w</v>
      </c>
      <c r="AU782" s="448" t="str">
        <f>_xlfn.IFNA(VLOOKUP($AP782,Programma!$F$3:$K$1101,6,0),"")</f>
        <v>1w</v>
      </c>
      <c r="AV782" s="448" t="str">
        <f>_xlfn.IFNA(VLOOKUP($AP782,Programma!$F$3:$L$1101,7,0),"")</f>
        <v>_</v>
      </c>
      <c r="AW782" s="448" t="str">
        <f>_xlfn.IFNA(VLOOKUP($AP782,Programma!$F$3:$M$1101,8,0),"")</f>
        <v>_</v>
      </c>
      <c r="AX782" s="448" t="str">
        <f>_xlfn.IFNA(VLOOKUP($AP782,Programma!$F$3:$N$1101,9,0),"")</f>
        <v>_</v>
      </c>
      <c r="AY782" s="448" t="str">
        <f>_xlfn.IFNA(VLOOKUP($AP782,Programma!$F$3:$O$1101,10,0),"")</f>
        <v>_</v>
      </c>
      <c r="AZ782" s="448" t="str">
        <f>_xlfn.IFNA(VLOOKUP($AP782,Programma!$F$3:$P$1101,11,0),"")</f>
        <v>_</v>
      </c>
      <c r="BA782" s="448" t="str">
        <f>_xlfn.IFNA(VLOOKUP($AP782,Programma!$F$3:$Q$1101,12,0),"")</f>
        <v>_</v>
      </c>
      <c r="BB782" s="448" t="str">
        <f>_xlfn.IFNA(VLOOKUP($AP782,Programma!$F$3:$R$1101,13,0),"")</f>
        <v>_</v>
      </c>
      <c r="BC782" s="448" t="str">
        <f>_xlfn.IFNA(VLOOKUP($AP782,Programma!$F$3:$S$1101,14,0),"")</f>
        <v>_</v>
      </c>
      <c r="BD782" s="448" t="str">
        <f>_xlfn.IFNA(VLOOKUP($AP782,Programma!$F$3:$T$1101,15,0),"")</f>
        <v>_</v>
      </c>
      <c r="BE782" s="448" t="str">
        <f>_xlfn.IFNA(VLOOKUP($AP782,Programma!$F$3:$U$1101,16,0),"")</f>
        <v>_</v>
      </c>
      <c r="BF782" s="448" t="str">
        <f>_xlfn.IFNA(VLOOKUP($AP782,Programma!$F$3:$V$1101,17,0),"")</f>
        <v>_</v>
      </c>
      <c r="BG782" s="448" t="str">
        <f>_xlfn.IFNA(VLOOKUP($AP782,Programma!$F$3:$W$1101,18,0),"")</f>
        <v>4w</v>
      </c>
      <c r="BH782" s="448" t="str">
        <f>_xlfn.IFNA(VLOOKUP($AP782,Programma!$F$3:$X$1101,19,0),"")</f>
        <v>1w</v>
      </c>
      <c r="BI782" s="448" t="str">
        <f>_xlfn.IFNA(VLOOKUP($AP782,Programma!$F$3:$Y$1101,20,0),"")</f>
        <v>_</v>
      </c>
      <c r="BJ782" s="449"/>
      <c r="BK782" s="446" t="str">
        <f>IF(Ruimtestaat[[#This Row],[Frequentie weekend]]="","",_xlfn.CONCAT(Ruimtestaat[[#This Row],[Ruimte code]],"-",Ruimtestaat[[#This Row],[Frequentie weekend]]," ",Ruimtestaat[[#This Row],[Vloer code]]))</f>
        <v/>
      </c>
      <c r="BL782" s="448" t="str">
        <f>_xlfn.IFNA(VLOOKUP($BK782,Programma!$F$3:$G$1101,2,0),"")</f>
        <v/>
      </c>
      <c r="BM782" s="448" t="str">
        <f>_xlfn.IFNA(VLOOKUP($BK782,Programma!$F$3:$H$1101,3,0),"")</f>
        <v/>
      </c>
      <c r="BN782" s="448" t="str">
        <f>_xlfn.IFNA(VLOOKUP($BK782,Programma!$F$3:$I$1101,4,0),"")</f>
        <v/>
      </c>
      <c r="BO782" s="448" t="str">
        <f>_xlfn.IFNA(VLOOKUP($BK782,Programma!$F$3:$J$1101,5,0),"")</f>
        <v/>
      </c>
      <c r="BP782" s="448" t="str">
        <f>_xlfn.IFNA(VLOOKUP($BK782,Programma!$F$3:$K$1101,6,0),"")</f>
        <v/>
      </c>
      <c r="BQ782" s="448" t="str">
        <f>_xlfn.IFNA(VLOOKUP($BK782,Programma!$F$3:$L$1101,7,0),"")</f>
        <v/>
      </c>
      <c r="BR782" s="448" t="str">
        <f>_xlfn.IFNA(VLOOKUP($BK782,Programma!$F$3:$M$1101,8,0),"")</f>
        <v/>
      </c>
      <c r="BS782" s="448" t="str">
        <f>_xlfn.IFNA(VLOOKUP($BK782,Programma!$F$3:$N$1101,9,0),"")</f>
        <v/>
      </c>
      <c r="BT782" s="448" t="str">
        <f>_xlfn.IFNA(VLOOKUP($BK782,Programma!$F$3:$O$1101,10,0),"")</f>
        <v/>
      </c>
      <c r="BU782" s="448" t="str">
        <f>_xlfn.IFNA(VLOOKUP($BK782,Programma!$F$3:$P$1101,11,0),"")</f>
        <v/>
      </c>
      <c r="BV782" s="448" t="str">
        <f>_xlfn.IFNA(VLOOKUP($BK782,Programma!$F$3:$Q$1101,12,0),"")</f>
        <v/>
      </c>
      <c r="BW782" s="448" t="str">
        <f>_xlfn.IFNA(VLOOKUP($BK782,Programma!$F$3:$R$1101,13,0),"")</f>
        <v/>
      </c>
      <c r="BX782" s="448" t="str">
        <f>_xlfn.IFNA(VLOOKUP($BK782,Programma!$F$3:$S$1101,14,0),"")</f>
        <v/>
      </c>
      <c r="BY782" s="448" t="str">
        <f>_xlfn.IFNA(VLOOKUP($BK782,Programma!$F$3:$T$1101,15,0),"")</f>
        <v/>
      </c>
      <c r="BZ782" s="448" t="str">
        <f>_xlfn.IFNA(VLOOKUP($BK782,Programma!$F$3:$U$1101,16,0),"")</f>
        <v/>
      </c>
      <c r="CA782" s="448" t="str">
        <f>_xlfn.IFNA(VLOOKUP($BK782,Programma!$F$3:$V$1101,17,0),"")</f>
        <v/>
      </c>
      <c r="CB782" s="448" t="str">
        <f>_xlfn.IFNA(VLOOKUP($BK782,Programma!$F$3:$W$1101,18,0),"")</f>
        <v/>
      </c>
      <c r="CC782" s="448" t="str">
        <f>_xlfn.IFNA(VLOOKUP($BK782,Programma!$F$3:$X$1101,19,0),"")</f>
        <v/>
      </c>
      <c r="CD782" s="448" t="str">
        <f>_xlfn.IFNA(VLOOKUP($BK782,Programma!$F$3:$Y$1101,20,0),"")</f>
        <v/>
      </c>
    </row>
    <row r="783" spans="1:82" ht="15" customHeight="1">
      <c r="A783" s="327">
        <v>23</v>
      </c>
      <c r="B783" s="435" t="str">
        <f>VLOOKUP(Ruimtestaat[[#This Row],[Code]],Locaties[[Code]:[Locatie]],2,FALSE)</f>
        <v>IKC De Waterlelie (bijgebouw)</v>
      </c>
      <c r="C783" s="435" t="str">
        <f>VLOOKUP(Ruimtestaat[[#This Row],[Code]],Locaties[[#All],[Code]:[Adres]],4,FALSE)</f>
        <v>Morapad 3</v>
      </c>
      <c r="D783" s="435" t="str">
        <f>VLOOKUP(Ruimtestaat[[#This Row],[Code]],Locaties[[#All],[Code]:[Postcode]],5,FALSE)</f>
        <v>2719 JA</v>
      </c>
      <c r="E783" s="435" t="str">
        <f>VLOOKUP(Ruimtestaat[[#This Row],[Code]],Locaties[#All],6,FALSE)</f>
        <v>Zoetermeer</v>
      </c>
      <c r="F783" s="450"/>
      <c r="I783" s="450" t="s">
        <v>1720</v>
      </c>
      <c r="J783" s="330">
        <v>5</v>
      </c>
      <c r="K783" s="450" t="str">
        <f>VLOOKUP(Ruimtestaat[[#This Row],[Ruimte code]],Ruimtegroepen[[#All],[Code]:[Ruimte omschrijving]],2,FALSE)</f>
        <v>Sanitair</v>
      </c>
      <c r="L783" s="330" t="s">
        <v>101</v>
      </c>
      <c r="M783" s="437" t="s">
        <v>119</v>
      </c>
      <c r="N783" s="439">
        <v>1.1000000000000001</v>
      </c>
      <c r="O783" s="439"/>
      <c r="P783" s="439"/>
      <c r="Q783" s="439"/>
      <c r="R783" s="440" t="str">
        <f>VLOOKUP(Ruimtestaat[[#This Row],[Ruimte code]],Ruimtegroepen[],4,FALSE)</f>
        <v>Sa</v>
      </c>
      <c r="S783" s="434">
        <v>41</v>
      </c>
      <c r="T783" s="434" t="s">
        <v>2</v>
      </c>
      <c r="U783" s="453">
        <f>IF(S783&gt;0,IF(RIGHT(Ruimtestaat[[#This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83" s="434">
        <f>IF(U783&gt;0,VLOOKUP($J783,Ruimtegroepen[],3,FALSE)*VLOOKUP($L783,Vloersoorten[],3,FALSE)*VLOOKUP($T783,Frequenties[],3,FALSE)*VLOOKUP($A783,Locaties[],3,FALSE),0)</f>
        <v>0</v>
      </c>
      <c r="W783" s="434">
        <f>Ruimtestaat[[#This Row],[Uitvoeringen werkdagen]]*Ruimtestaat[[#This Row],[Oppervlak (netto)]]</f>
        <v>225.50000000000003</v>
      </c>
      <c r="X783" s="441">
        <f>IF(V783&gt;0,Ruimtestaat[[#This Row],[Prest. (m2 /jaar) werkdagen]]/Ruimtestaat[[#This Row],[Norm (m2/uur) werkdagen]],0)</f>
        <v>0</v>
      </c>
      <c r="Y783" s="442">
        <f>Ruimtestaat[[#This Row],[Uitvoeringen werkdagen]]*Ruimtestaat[[#This Row],[Gedeeltelijk]]</f>
        <v>0</v>
      </c>
      <c r="Z783" s="443" t="e">
        <f>IF(U783&gt;0,Ruimtestaat[[#This Row],[Prest. (m2 / jaar) werkdagen gedeeld]]/Ruimtestaat[[#This Row],[Norm (m2/uur) werkdagen]],0)</f>
        <v>#DIV/0!</v>
      </c>
      <c r="AA783" s="441" t="e">
        <f>Ruimtestaat[[#This Row],[uren / jaar werkdagen gedeeld]]*Tariefsopbouw!$E$35</f>
        <v>#DIV/0!</v>
      </c>
      <c r="AB783" s="441">
        <f>Ruimtestaat[[#This Row],[Uitvoeringen werkdagen]]*Ruimtestaat[[#This Row],[BSO]]</f>
        <v>0</v>
      </c>
      <c r="AC783" s="443" t="e">
        <f>IF(U783&gt;0,Ruimtestaat[[#This Row],[Prest. (m2 / jaar) werkdagen BSO]]/Ruimtestaat[[#This Row],[Norm (m2/uur) werkdagen]],0)</f>
        <v>#DIV/0!</v>
      </c>
      <c r="AD783" s="443" t="e">
        <f>Ruimtestaat[[#This Row],[uren / jaar werkdagen BSO]]*Tariefsopbouw!$E$35</f>
        <v>#DIV/0!</v>
      </c>
      <c r="AE783" s="444">
        <f>Ruimtestaat[[#This Row],[uren / jaar werkdagen]]*Tariefsopbouw!$E$35</f>
        <v>0</v>
      </c>
      <c r="AF783" s="454"/>
      <c r="AG783" s="455">
        <f>IF(Ruimtestaat[[#This Row],[Frequentie weekend]]&gt;0,VALUE(LEFT(AF783,1))*S783,0)</f>
        <v>0</v>
      </c>
      <c r="AH783" s="455">
        <f>IF($AG783&gt;0,VLOOKUP($J783,Ruimtegroepen[],3,FALSE)*VLOOKUP($L783,Vloersoorten[],3,FALSE)*VLOOKUP($AF783,Frequenties[],3,FALSE)*VLOOKUP(#REF!,Locaties[],3,FALSE),0)</f>
        <v>0</v>
      </c>
      <c r="AI783" s="434">
        <f>Ruimtestaat[[#This Row],[Uitvoeringen weekend]]*Ruimtestaat[[#This Row],[Oppervlak (netto)]]</f>
        <v>0</v>
      </c>
      <c r="AJ783" s="434">
        <f>IF(AH783&gt;0,Ruimtestaat[[#This Row],[Prest. (m2 /jaar) weekend]]/Ruimtestaat[[#This Row],[Norm (m2/uur) weekend]],0)</f>
        <v>0</v>
      </c>
      <c r="AK783" s="444">
        <f>Ruimtestaat[[#This Row],[uren / jaar weekend]]*Tariefsopbouw!$D$40</f>
        <v>0</v>
      </c>
      <c r="AL783" s="441">
        <f>Ruimtestaat[[#This Row],[Prest. (m2 /jaar) weekend]]+Ruimtestaat[[#This Row],[Prest. (m2 /jaar) werkdagen]]</f>
        <v>225.50000000000003</v>
      </c>
      <c r="AM783" s="441">
        <f>Ruimtestaat[[#This Row],[uren / jaar weekend]]+Ruimtestaat[[#This Row],[uren / jaar werkdagen]]</f>
        <v>0</v>
      </c>
      <c r="AN783" s="446">
        <f>Ruimtestaat[[#This Row],[kosten / jaar weekend]]+Ruimtestaat[[#This Row],[kosten / jaar werkdagen]]</f>
        <v>0</v>
      </c>
      <c r="AO783" s="446"/>
      <c r="AP783" s="446" t="str">
        <f>IF(Ruimtestaat[[#This Row],[Frequentie werkdagen]]="","",_xlfn.CONCAT(Ruimtestaat[[#This Row],[Ruimte code]],"-",Ruimtestaat[[#This Row],[Frequentie werkdagen]]," ",Ruimtestaat[[#This Row],[Vloer code]]))</f>
        <v>5-5w S</v>
      </c>
      <c r="AQ783" s="448" t="str">
        <f>_xlfn.IFNA(VLOOKUP($AP783,Programma!$F$3:$G$1101,2,0),"")</f>
        <v>_</v>
      </c>
      <c r="AR783" s="448" t="str">
        <f>_xlfn.IFNA(VLOOKUP($AP783,Programma!$F$3:$H$1101,3,0),"")</f>
        <v>_</v>
      </c>
      <c r="AS783" s="448" t="str">
        <f>_xlfn.IFNA(VLOOKUP($AP783,Programma!$F$3:$I$1101,4,0),"")</f>
        <v>_</v>
      </c>
      <c r="AT783" s="448" t="str">
        <f>_xlfn.IFNA(VLOOKUP($AP783,Programma!$F$3:$J$1101,5,0),"")</f>
        <v>4w</v>
      </c>
      <c r="AU783" s="448" t="str">
        <f>_xlfn.IFNA(VLOOKUP($AP783,Programma!$F$3:$K$1101,6,0),"")</f>
        <v>1w</v>
      </c>
      <c r="AV783" s="448" t="str">
        <f>_xlfn.IFNA(VLOOKUP($AP783,Programma!$F$3:$L$1101,7,0),"")</f>
        <v>_</v>
      </c>
      <c r="AW783" s="448" t="str">
        <f>_xlfn.IFNA(VLOOKUP($AP783,Programma!$F$3:$M$1101,8,0),"")</f>
        <v>_</v>
      </c>
      <c r="AX783" s="448" t="str">
        <f>_xlfn.IFNA(VLOOKUP($AP783,Programma!$F$3:$N$1101,9,0),"")</f>
        <v>_</v>
      </c>
      <c r="AY783" s="448" t="str">
        <f>_xlfn.IFNA(VLOOKUP($AP783,Programma!$F$3:$O$1101,10,0),"")</f>
        <v>_</v>
      </c>
      <c r="AZ783" s="448" t="str">
        <f>_xlfn.IFNA(VLOOKUP($AP783,Programma!$F$3:$P$1101,11,0),"")</f>
        <v>_</v>
      </c>
      <c r="BA783" s="448" t="str">
        <f>_xlfn.IFNA(VLOOKUP($AP783,Programma!$F$3:$Q$1101,12,0),"")</f>
        <v>_</v>
      </c>
      <c r="BB783" s="448" t="str">
        <f>_xlfn.IFNA(VLOOKUP($AP783,Programma!$F$3:$R$1101,13,0),"")</f>
        <v>_</v>
      </c>
      <c r="BC783" s="448" t="str">
        <f>_xlfn.IFNA(VLOOKUP($AP783,Programma!$F$3:$S$1101,14,0),"")</f>
        <v>_</v>
      </c>
      <c r="BD783" s="448" t="str">
        <f>_xlfn.IFNA(VLOOKUP($AP783,Programma!$F$3:$T$1101,15,0),"")</f>
        <v>_</v>
      </c>
      <c r="BE783" s="448" t="str">
        <f>_xlfn.IFNA(VLOOKUP($AP783,Programma!$F$3:$U$1101,16,0),"")</f>
        <v>_</v>
      </c>
      <c r="BF783" s="448" t="str">
        <f>_xlfn.IFNA(VLOOKUP($AP783,Programma!$F$3:$V$1101,17,0),"")</f>
        <v>_</v>
      </c>
      <c r="BG783" s="448" t="str">
        <f>_xlfn.IFNA(VLOOKUP($AP783,Programma!$F$3:$W$1101,18,0),"")</f>
        <v>4w</v>
      </c>
      <c r="BH783" s="448" t="str">
        <f>_xlfn.IFNA(VLOOKUP($AP783,Programma!$F$3:$X$1101,19,0),"")</f>
        <v>1w</v>
      </c>
      <c r="BI783" s="448" t="str">
        <f>_xlfn.IFNA(VLOOKUP($AP783,Programma!$F$3:$Y$1101,20,0),"")</f>
        <v>_</v>
      </c>
      <c r="BJ783" s="449"/>
      <c r="BK783" s="446" t="str">
        <f>IF(Ruimtestaat[[#This Row],[Frequentie weekend]]="","",_xlfn.CONCAT(Ruimtestaat[[#This Row],[Ruimte code]],"-",Ruimtestaat[[#This Row],[Frequentie weekend]]," ",Ruimtestaat[[#This Row],[Vloer code]]))</f>
        <v/>
      </c>
      <c r="BL783" s="448" t="str">
        <f>_xlfn.IFNA(VLOOKUP($BK783,Programma!$F$3:$G$1101,2,0),"")</f>
        <v/>
      </c>
      <c r="BM783" s="448" t="str">
        <f>_xlfn.IFNA(VLOOKUP($BK783,Programma!$F$3:$H$1101,3,0),"")</f>
        <v/>
      </c>
      <c r="BN783" s="448" t="str">
        <f>_xlfn.IFNA(VLOOKUP($BK783,Programma!$F$3:$I$1101,4,0),"")</f>
        <v/>
      </c>
      <c r="BO783" s="448" t="str">
        <f>_xlfn.IFNA(VLOOKUP($BK783,Programma!$F$3:$J$1101,5,0),"")</f>
        <v/>
      </c>
      <c r="BP783" s="448" t="str">
        <f>_xlfn.IFNA(VLOOKUP($BK783,Programma!$F$3:$K$1101,6,0),"")</f>
        <v/>
      </c>
      <c r="BQ783" s="448" t="str">
        <f>_xlfn.IFNA(VLOOKUP($BK783,Programma!$F$3:$L$1101,7,0),"")</f>
        <v/>
      </c>
      <c r="BR783" s="448" t="str">
        <f>_xlfn.IFNA(VLOOKUP($BK783,Programma!$F$3:$M$1101,8,0),"")</f>
        <v/>
      </c>
      <c r="BS783" s="448" t="str">
        <f>_xlfn.IFNA(VLOOKUP($BK783,Programma!$F$3:$N$1101,9,0),"")</f>
        <v/>
      </c>
      <c r="BT783" s="448" t="str">
        <f>_xlfn.IFNA(VLOOKUP($BK783,Programma!$F$3:$O$1101,10,0),"")</f>
        <v/>
      </c>
      <c r="BU783" s="448" t="str">
        <f>_xlfn.IFNA(VLOOKUP($BK783,Programma!$F$3:$P$1101,11,0),"")</f>
        <v/>
      </c>
      <c r="BV783" s="448" t="str">
        <f>_xlfn.IFNA(VLOOKUP($BK783,Programma!$F$3:$Q$1101,12,0),"")</f>
        <v/>
      </c>
      <c r="BW783" s="448" t="str">
        <f>_xlfn.IFNA(VLOOKUP($BK783,Programma!$F$3:$R$1101,13,0),"")</f>
        <v/>
      </c>
      <c r="BX783" s="448" t="str">
        <f>_xlfn.IFNA(VLOOKUP($BK783,Programma!$F$3:$S$1101,14,0),"")</f>
        <v/>
      </c>
      <c r="BY783" s="448" t="str">
        <f>_xlfn.IFNA(VLOOKUP($BK783,Programma!$F$3:$T$1101,15,0),"")</f>
        <v/>
      </c>
      <c r="BZ783" s="448" t="str">
        <f>_xlfn.IFNA(VLOOKUP($BK783,Programma!$F$3:$U$1101,16,0),"")</f>
        <v/>
      </c>
      <c r="CA783" s="448" t="str">
        <f>_xlfn.IFNA(VLOOKUP($BK783,Programma!$F$3:$V$1101,17,0),"")</f>
        <v/>
      </c>
      <c r="CB783" s="448" t="str">
        <f>_xlfn.IFNA(VLOOKUP($BK783,Programma!$F$3:$W$1101,18,0),"")</f>
        <v/>
      </c>
      <c r="CC783" s="448" t="str">
        <f>_xlfn.IFNA(VLOOKUP($BK783,Programma!$F$3:$X$1101,19,0),"")</f>
        <v/>
      </c>
      <c r="CD783" s="448" t="str">
        <f>_xlfn.IFNA(VLOOKUP($BK783,Programma!$F$3:$Y$1101,20,0),"")</f>
        <v/>
      </c>
    </row>
    <row r="784" spans="1:82" ht="15" customHeight="1">
      <c r="A784" s="327">
        <v>23</v>
      </c>
      <c r="B784" s="435" t="str">
        <f>VLOOKUP(Ruimtestaat[[#This Row],[Code]],Locaties[[Code]:[Locatie]],2,FALSE)</f>
        <v>IKC De Waterlelie (bijgebouw)</v>
      </c>
      <c r="C784" s="435" t="str">
        <f>VLOOKUP(Ruimtestaat[[#This Row],[Code]],Locaties[[#All],[Code]:[Adres]],4,FALSE)</f>
        <v>Morapad 3</v>
      </c>
      <c r="D784" s="435" t="str">
        <f>VLOOKUP(Ruimtestaat[[#This Row],[Code]],Locaties[[#All],[Code]:[Postcode]],5,FALSE)</f>
        <v>2719 JA</v>
      </c>
      <c r="E784" s="435" t="str">
        <f>VLOOKUP(Ruimtestaat[[#This Row],[Code]],Locaties[#All],6,FALSE)</f>
        <v>Zoetermeer</v>
      </c>
      <c r="F784" s="450"/>
      <c r="I784" s="450" t="s">
        <v>1720</v>
      </c>
      <c r="J784" s="330">
        <v>5</v>
      </c>
      <c r="K784" s="450" t="str">
        <f>VLOOKUP(Ruimtestaat[[#This Row],[Ruimte code]],Ruimtegroepen[[#All],[Code]:[Ruimte omschrijving]],2,FALSE)</f>
        <v>Sanitair</v>
      </c>
      <c r="L784" s="330" t="s">
        <v>101</v>
      </c>
      <c r="M784" s="437" t="s">
        <v>119</v>
      </c>
      <c r="N784" s="439">
        <v>1.4</v>
      </c>
      <c r="O784" s="439"/>
      <c r="P784" s="439"/>
      <c r="Q784" s="439"/>
      <c r="R784" s="440" t="str">
        <f>VLOOKUP(Ruimtestaat[[#This Row],[Ruimte code]],Ruimtegroepen[],4,FALSE)</f>
        <v>Sa</v>
      </c>
      <c r="S784" s="434">
        <v>41</v>
      </c>
      <c r="T784" s="434" t="s">
        <v>2</v>
      </c>
      <c r="U784" s="453">
        <f>IF(S784&gt;0,IF(RIGHT(Ruimtestaat[[#This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84" s="434">
        <f>IF(U784&gt;0,VLOOKUP($J784,Ruimtegroepen[],3,FALSE)*VLOOKUP($L784,Vloersoorten[],3,FALSE)*VLOOKUP($T784,Frequenties[],3,FALSE)*VLOOKUP($A784,Locaties[],3,FALSE),0)</f>
        <v>0</v>
      </c>
      <c r="W784" s="434">
        <f>Ruimtestaat[[#This Row],[Uitvoeringen werkdagen]]*Ruimtestaat[[#This Row],[Oppervlak (netto)]]</f>
        <v>287</v>
      </c>
      <c r="X784" s="441">
        <f>IF(V784&gt;0,Ruimtestaat[[#This Row],[Prest. (m2 /jaar) werkdagen]]/Ruimtestaat[[#This Row],[Norm (m2/uur) werkdagen]],0)</f>
        <v>0</v>
      </c>
      <c r="Y784" s="442">
        <f>Ruimtestaat[[#This Row],[Uitvoeringen werkdagen]]*Ruimtestaat[[#This Row],[Gedeeltelijk]]</f>
        <v>0</v>
      </c>
      <c r="Z784" s="443" t="e">
        <f>IF(U784&gt;0,Ruimtestaat[[#This Row],[Prest. (m2 / jaar) werkdagen gedeeld]]/Ruimtestaat[[#This Row],[Norm (m2/uur) werkdagen]],0)</f>
        <v>#DIV/0!</v>
      </c>
      <c r="AA784" s="441" t="e">
        <f>Ruimtestaat[[#This Row],[uren / jaar werkdagen gedeeld]]*Tariefsopbouw!$E$35</f>
        <v>#DIV/0!</v>
      </c>
      <c r="AB784" s="441">
        <f>Ruimtestaat[[#This Row],[Uitvoeringen werkdagen]]*Ruimtestaat[[#This Row],[BSO]]</f>
        <v>0</v>
      </c>
      <c r="AC784" s="443" t="e">
        <f>IF(U784&gt;0,Ruimtestaat[[#This Row],[Prest. (m2 / jaar) werkdagen BSO]]/Ruimtestaat[[#This Row],[Norm (m2/uur) werkdagen]],0)</f>
        <v>#DIV/0!</v>
      </c>
      <c r="AD784" s="443" t="e">
        <f>Ruimtestaat[[#This Row],[uren / jaar werkdagen BSO]]*Tariefsopbouw!$E$35</f>
        <v>#DIV/0!</v>
      </c>
      <c r="AE784" s="444">
        <f>Ruimtestaat[[#This Row],[uren / jaar werkdagen]]*Tariefsopbouw!$E$35</f>
        <v>0</v>
      </c>
      <c r="AF784" s="454"/>
      <c r="AG784" s="455">
        <f>IF(Ruimtestaat[[#This Row],[Frequentie weekend]]&gt;0,VALUE(LEFT(AF784,1))*S784,0)</f>
        <v>0</v>
      </c>
      <c r="AH784" s="455">
        <f>IF($AG784&gt;0,VLOOKUP($J784,Ruimtegroepen[],3,FALSE)*VLOOKUP($L784,Vloersoorten[],3,FALSE)*VLOOKUP($AF784,Frequenties[],3,FALSE)*VLOOKUP(#REF!,Locaties[],3,FALSE),0)</f>
        <v>0</v>
      </c>
      <c r="AI784" s="434">
        <f>Ruimtestaat[[#This Row],[Uitvoeringen weekend]]*Ruimtestaat[[#This Row],[Oppervlak (netto)]]</f>
        <v>0</v>
      </c>
      <c r="AJ784" s="434">
        <f>IF(AH784&gt;0,Ruimtestaat[[#This Row],[Prest. (m2 /jaar) weekend]]/Ruimtestaat[[#This Row],[Norm (m2/uur) weekend]],0)</f>
        <v>0</v>
      </c>
      <c r="AK784" s="444">
        <f>Ruimtestaat[[#This Row],[uren / jaar weekend]]*Tariefsopbouw!$D$40</f>
        <v>0</v>
      </c>
      <c r="AL784" s="441">
        <f>Ruimtestaat[[#This Row],[Prest. (m2 /jaar) weekend]]+Ruimtestaat[[#This Row],[Prest. (m2 /jaar) werkdagen]]</f>
        <v>287</v>
      </c>
      <c r="AM784" s="441">
        <f>Ruimtestaat[[#This Row],[uren / jaar weekend]]+Ruimtestaat[[#This Row],[uren / jaar werkdagen]]</f>
        <v>0</v>
      </c>
      <c r="AN784" s="446">
        <f>Ruimtestaat[[#This Row],[kosten / jaar weekend]]+Ruimtestaat[[#This Row],[kosten / jaar werkdagen]]</f>
        <v>0</v>
      </c>
      <c r="AO784" s="446"/>
      <c r="AP784" s="446" t="str">
        <f>IF(Ruimtestaat[[#This Row],[Frequentie werkdagen]]="","",_xlfn.CONCAT(Ruimtestaat[[#This Row],[Ruimte code]],"-",Ruimtestaat[[#This Row],[Frequentie werkdagen]]," ",Ruimtestaat[[#This Row],[Vloer code]]))</f>
        <v>5-5w S</v>
      </c>
      <c r="AQ784" s="448" t="str">
        <f>_xlfn.IFNA(VLOOKUP($AP784,Programma!$F$3:$G$1101,2,0),"")</f>
        <v>_</v>
      </c>
      <c r="AR784" s="448" t="str">
        <f>_xlfn.IFNA(VLOOKUP($AP784,Programma!$F$3:$H$1101,3,0),"")</f>
        <v>_</v>
      </c>
      <c r="AS784" s="448" t="str">
        <f>_xlfn.IFNA(VLOOKUP($AP784,Programma!$F$3:$I$1101,4,0),"")</f>
        <v>_</v>
      </c>
      <c r="AT784" s="448" t="str">
        <f>_xlfn.IFNA(VLOOKUP($AP784,Programma!$F$3:$J$1101,5,0),"")</f>
        <v>4w</v>
      </c>
      <c r="AU784" s="448" t="str">
        <f>_xlfn.IFNA(VLOOKUP($AP784,Programma!$F$3:$K$1101,6,0),"")</f>
        <v>1w</v>
      </c>
      <c r="AV784" s="448" t="str">
        <f>_xlfn.IFNA(VLOOKUP($AP784,Programma!$F$3:$L$1101,7,0),"")</f>
        <v>_</v>
      </c>
      <c r="AW784" s="448" t="str">
        <f>_xlfn.IFNA(VLOOKUP($AP784,Programma!$F$3:$M$1101,8,0),"")</f>
        <v>_</v>
      </c>
      <c r="AX784" s="448" t="str">
        <f>_xlfn.IFNA(VLOOKUP($AP784,Programma!$F$3:$N$1101,9,0),"")</f>
        <v>_</v>
      </c>
      <c r="AY784" s="448" t="str">
        <f>_xlfn.IFNA(VLOOKUP($AP784,Programma!$F$3:$O$1101,10,0),"")</f>
        <v>_</v>
      </c>
      <c r="AZ784" s="448" t="str">
        <f>_xlfn.IFNA(VLOOKUP($AP784,Programma!$F$3:$P$1101,11,0),"")</f>
        <v>_</v>
      </c>
      <c r="BA784" s="448" t="str">
        <f>_xlfn.IFNA(VLOOKUP($AP784,Programma!$F$3:$Q$1101,12,0),"")</f>
        <v>_</v>
      </c>
      <c r="BB784" s="448" t="str">
        <f>_xlfn.IFNA(VLOOKUP($AP784,Programma!$F$3:$R$1101,13,0),"")</f>
        <v>_</v>
      </c>
      <c r="BC784" s="448" t="str">
        <f>_xlfn.IFNA(VLOOKUP($AP784,Programma!$F$3:$S$1101,14,0),"")</f>
        <v>_</v>
      </c>
      <c r="BD784" s="448" t="str">
        <f>_xlfn.IFNA(VLOOKUP($AP784,Programma!$F$3:$T$1101,15,0),"")</f>
        <v>_</v>
      </c>
      <c r="BE784" s="448" t="str">
        <f>_xlfn.IFNA(VLOOKUP($AP784,Programma!$F$3:$U$1101,16,0),"")</f>
        <v>_</v>
      </c>
      <c r="BF784" s="448" t="str">
        <f>_xlfn.IFNA(VLOOKUP($AP784,Programma!$F$3:$V$1101,17,0),"")</f>
        <v>_</v>
      </c>
      <c r="BG784" s="448" t="str">
        <f>_xlfn.IFNA(VLOOKUP($AP784,Programma!$F$3:$W$1101,18,0),"")</f>
        <v>4w</v>
      </c>
      <c r="BH784" s="448" t="str">
        <f>_xlfn.IFNA(VLOOKUP($AP784,Programma!$F$3:$X$1101,19,0),"")</f>
        <v>1w</v>
      </c>
      <c r="BI784" s="448" t="str">
        <f>_xlfn.IFNA(VLOOKUP($AP784,Programma!$F$3:$Y$1101,20,0),"")</f>
        <v>_</v>
      </c>
      <c r="BJ784" s="449"/>
      <c r="BK784" s="446" t="str">
        <f>IF(Ruimtestaat[[#This Row],[Frequentie weekend]]="","",_xlfn.CONCAT(Ruimtestaat[[#This Row],[Ruimte code]],"-",Ruimtestaat[[#This Row],[Frequentie weekend]]," ",Ruimtestaat[[#This Row],[Vloer code]]))</f>
        <v/>
      </c>
      <c r="BL784" s="448" t="str">
        <f>_xlfn.IFNA(VLOOKUP($BK784,Programma!$F$3:$G$1101,2,0),"")</f>
        <v/>
      </c>
      <c r="BM784" s="448" t="str">
        <f>_xlfn.IFNA(VLOOKUP($BK784,Programma!$F$3:$H$1101,3,0),"")</f>
        <v/>
      </c>
      <c r="BN784" s="448" t="str">
        <f>_xlfn.IFNA(VLOOKUP($BK784,Programma!$F$3:$I$1101,4,0),"")</f>
        <v/>
      </c>
      <c r="BO784" s="448" t="str">
        <f>_xlfn.IFNA(VLOOKUP($BK784,Programma!$F$3:$J$1101,5,0),"")</f>
        <v/>
      </c>
      <c r="BP784" s="448" t="str">
        <f>_xlfn.IFNA(VLOOKUP($BK784,Programma!$F$3:$K$1101,6,0),"")</f>
        <v/>
      </c>
      <c r="BQ784" s="448" t="str">
        <f>_xlfn.IFNA(VLOOKUP($BK784,Programma!$F$3:$L$1101,7,0),"")</f>
        <v/>
      </c>
      <c r="BR784" s="448" t="str">
        <f>_xlfn.IFNA(VLOOKUP($BK784,Programma!$F$3:$M$1101,8,0),"")</f>
        <v/>
      </c>
      <c r="BS784" s="448" t="str">
        <f>_xlfn.IFNA(VLOOKUP($BK784,Programma!$F$3:$N$1101,9,0),"")</f>
        <v/>
      </c>
      <c r="BT784" s="448" t="str">
        <f>_xlfn.IFNA(VLOOKUP($BK784,Programma!$F$3:$O$1101,10,0),"")</f>
        <v/>
      </c>
      <c r="BU784" s="448" t="str">
        <f>_xlfn.IFNA(VLOOKUP($BK784,Programma!$F$3:$P$1101,11,0),"")</f>
        <v/>
      </c>
      <c r="BV784" s="448" t="str">
        <f>_xlfn.IFNA(VLOOKUP($BK784,Programma!$F$3:$Q$1101,12,0),"")</f>
        <v/>
      </c>
      <c r="BW784" s="448" t="str">
        <f>_xlfn.IFNA(VLOOKUP($BK784,Programma!$F$3:$R$1101,13,0),"")</f>
        <v/>
      </c>
      <c r="BX784" s="448" t="str">
        <f>_xlfn.IFNA(VLOOKUP($BK784,Programma!$F$3:$S$1101,14,0),"")</f>
        <v/>
      </c>
      <c r="BY784" s="448" t="str">
        <f>_xlfn.IFNA(VLOOKUP($BK784,Programma!$F$3:$T$1101,15,0),"")</f>
        <v/>
      </c>
      <c r="BZ784" s="448" t="str">
        <f>_xlfn.IFNA(VLOOKUP($BK784,Programma!$F$3:$U$1101,16,0),"")</f>
        <v/>
      </c>
      <c r="CA784" s="448" t="str">
        <f>_xlfn.IFNA(VLOOKUP($BK784,Programma!$F$3:$V$1101,17,0),"")</f>
        <v/>
      </c>
      <c r="CB784" s="448" t="str">
        <f>_xlfn.IFNA(VLOOKUP($BK784,Programma!$F$3:$W$1101,18,0),"")</f>
        <v/>
      </c>
      <c r="CC784" s="448" t="str">
        <f>_xlfn.IFNA(VLOOKUP($BK784,Programma!$F$3:$X$1101,19,0),"")</f>
        <v/>
      </c>
      <c r="CD784" s="448" t="str">
        <f>_xlfn.IFNA(VLOOKUP($BK784,Programma!$F$3:$Y$1101,20,0),"")</f>
        <v/>
      </c>
    </row>
    <row r="785" spans="1:82" ht="15" customHeight="1">
      <c r="A785" s="327">
        <v>23</v>
      </c>
      <c r="B785" s="435" t="str">
        <f>VLOOKUP(Ruimtestaat[[#This Row],[Code]],Locaties[[Code]:[Locatie]],2,FALSE)</f>
        <v>IKC De Waterlelie (bijgebouw)</v>
      </c>
      <c r="C785" s="435" t="str">
        <f>VLOOKUP(Ruimtestaat[[#This Row],[Code]],Locaties[[#All],[Code]:[Adres]],4,FALSE)</f>
        <v>Morapad 3</v>
      </c>
      <c r="D785" s="435" t="str">
        <f>VLOOKUP(Ruimtestaat[[#This Row],[Code]],Locaties[[#All],[Code]:[Postcode]],5,FALSE)</f>
        <v>2719 JA</v>
      </c>
      <c r="E785" s="435" t="str">
        <f>VLOOKUP(Ruimtestaat[[#This Row],[Code]],Locaties[#All],6,FALSE)</f>
        <v>Zoetermeer</v>
      </c>
      <c r="F785" s="450"/>
      <c r="I785" s="450" t="s">
        <v>1720</v>
      </c>
      <c r="J785" s="330">
        <v>5</v>
      </c>
      <c r="K785" s="450" t="str">
        <f>VLOOKUP(Ruimtestaat[[#This Row],[Ruimte code]],Ruimtegroepen[[#All],[Code]:[Ruimte omschrijving]],2,FALSE)</f>
        <v>Sanitair</v>
      </c>
      <c r="L785" s="330" t="s">
        <v>101</v>
      </c>
      <c r="M785" s="437" t="s">
        <v>119</v>
      </c>
      <c r="N785" s="439">
        <v>1.4</v>
      </c>
      <c r="O785" s="439"/>
      <c r="P785" s="439"/>
      <c r="Q785" s="439"/>
      <c r="R785" s="440" t="str">
        <f>VLOOKUP(Ruimtestaat[[#This Row],[Ruimte code]],Ruimtegroepen[],4,FALSE)</f>
        <v>Sa</v>
      </c>
      <c r="S785" s="434">
        <v>41</v>
      </c>
      <c r="T785" s="434" t="s">
        <v>2</v>
      </c>
      <c r="U785" s="453">
        <f>IF(S785&gt;0,IF(RIGHT(Ruimtestaat[[#This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85" s="434">
        <f>IF(U785&gt;0,VLOOKUP($J785,Ruimtegroepen[],3,FALSE)*VLOOKUP($L785,Vloersoorten[],3,FALSE)*VLOOKUP($T785,Frequenties[],3,FALSE)*VLOOKUP($A785,Locaties[],3,FALSE),0)</f>
        <v>0</v>
      </c>
      <c r="W785" s="434">
        <f>Ruimtestaat[[#This Row],[Uitvoeringen werkdagen]]*Ruimtestaat[[#This Row],[Oppervlak (netto)]]</f>
        <v>287</v>
      </c>
      <c r="X785" s="441">
        <f>IF(V785&gt;0,Ruimtestaat[[#This Row],[Prest. (m2 /jaar) werkdagen]]/Ruimtestaat[[#This Row],[Norm (m2/uur) werkdagen]],0)</f>
        <v>0</v>
      </c>
      <c r="Y785" s="442">
        <f>Ruimtestaat[[#This Row],[Uitvoeringen werkdagen]]*Ruimtestaat[[#This Row],[Gedeeltelijk]]</f>
        <v>0</v>
      </c>
      <c r="Z785" s="443" t="e">
        <f>IF(U785&gt;0,Ruimtestaat[[#This Row],[Prest. (m2 / jaar) werkdagen gedeeld]]/Ruimtestaat[[#This Row],[Norm (m2/uur) werkdagen]],0)</f>
        <v>#DIV/0!</v>
      </c>
      <c r="AA785" s="441" t="e">
        <f>Ruimtestaat[[#This Row],[uren / jaar werkdagen gedeeld]]*Tariefsopbouw!$E$35</f>
        <v>#DIV/0!</v>
      </c>
      <c r="AB785" s="441">
        <f>Ruimtestaat[[#This Row],[Uitvoeringen werkdagen]]*Ruimtestaat[[#This Row],[BSO]]</f>
        <v>0</v>
      </c>
      <c r="AC785" s="443" t="e">
        <f>IF(U785&gt;0,Ruimtestaat[[#This Row],[Prest. (m2 / jaar) werkdagen BSO]]/Ruimtestaat[[#This Row],[Norm (m2/uur) werkdagen]],0)</f>
        <v>#DIV/0!</v>
      </c>
      <c r="AD785" s="443" t="e">
        <f>Ruimtestaat[[#This Row],[uren / jaar werkdagen BSO]]*Tariefsopbouw!$E$35</f>
        <v>#DIV/0!</v>
      </c>
      <c r="AE785" s="444">
        <f>Ruimtestaat[[#This Row],[uren / jaar werkdagen]]*Tariefsopbouw!$E$35</f>
        <v>0</v>
      </c>
      <c r="AF785" s="454"/>
      <c r="AG785" s="455">
        <f>IF(Ruimtestaat[[#This Row],[Frequentie weekend]]&gt;0,VALUE(LEFT(AF785,1))*S785,0)</f>
        <v>0</v>
      </c>
      <c r="AH785" s="455">
        <f>IF($AG785&gt;0,VLOOKUP($J785,Ruimtegroepen[],3,FALSE)*VLOOKUP($L785,Vloersoorten[],3,FALSE)*VLOOKUP($AF785,Frequenties[],3,FALSE)*VLOOKUP(#REF!,Locaties[],3,FALSE),0)</f>
        <v>0</v>
      </c>
      <c r="AI785" s="434">
        <f>Ruimtestaat[[#This Row],[Uitvoeringen weekend]]*Ruimtestaat[[#This Row],[Oppervlak (netto)]]</f>
        <v>0</v>
      </c>
      <c r="AJ785" s="434">
        <f>IF(AH785&gt;0,Ruimtestaat[[#This Row],[Prest. (m2 /jaar) weekend]]/Ruimtestaat[[#This Row],[Norm (m2/uur) weekend]],0)</f>
        <v>0</v>
      </c>
      <c r="AK785" s="444">
        <f>Ruimtestaat[[#This Row],[uren / jaar weekend]]*Tariefsopbouw!$D$40</f>
        <v>0</v>
      </c>
      <c r="AL785" s="441">
        <f>Ruimtestaat[[#This Row],[Prest. (m2 /jaar) weekend]]+Ruimtestaat[[#This Row],[Prest. (m2 /jaar) werkdagen]]</f>
        <v>287</v>
      </c>
      <c r="AM785" s="441">
        <f>Ruimtestaat[[#This Row],[uren / jaar weekend]]+Ruimtestaat[[#This Row],[uren / jaar werkdagen]]</f>
        <v>0</v>
      </c>
      <c r="AN785" s="446">
        <f>Ruimtestaat[[#This Row],[kosten / jaar weekend]]+Ruimtestaat[[#This Row],[kosten / jaar werkdagen]]</f>
        <v>0</v>
      </c>
      <c r="AO785" s="446"/>
      <c r="AP785" s="446" t="str">
        <f>IF(Ruimtestaat[[#This Row],[Frequentie werkdagen]]="","",_xlfn.CONCAT(Ruimtestaat[[#This Row],[Ruimte code]],"-",Ruimtestaat[[#This Row],[Frequentie werkdagen]]," ",Ruimtestaat[[#This Row],[Vloer code]]))</f>
        <v>5-5w S</v>
      </c>
      <c r="AQ785" s="448" t="str">
        <f>_xlfn.IFNA(VLOOKUP($AP785,Programma!$F$3:$G$1101,2,0),"")</f>
        <v>_</v>
      </c>
      <c r="AR785" s="448" t="str">
        <f>_xlfn.IFNA(VLOOKUP($AP785,Programma!$F$3:$H$1101,3,0),"")</f>
        <v>_</v>
      </c>
      <c r="AS785" s="448" t="str">
        <f>_xlfn.IFNA(VLOOKUP($AP785,Programma!$F$3:$I$1101,4,0),"")</f>
        <v>_</v>
      </c>
      <c r="AT785" s="448" t="str">
        <f>_xlfn.IFNA(VLOOKUP($AP785,Programma!$F$3:$J$1101,5,0),"")</f>
        <v>4w</v>
      </c>
      <c r="AU785" s="448" t="str">
        <f>_xlfn.IFNA(VLOOKUP($AP785,Programma!$F$3:$K$1101,6,0),"")</f>
        <v>1w</v>
      </c>
      <c r="AV785" s="448" t="str">
        <f>_xlfn.IFNA(VLOOKUP($AP785,Programma!$F$3:$L$1101,7,0),"")</f>
        <v>_</v>
      </c>
      <c r="AW785" s="448" t="str">
        <f>_xlfn.IFNA(VLOOKUP($AP785,Programma!$F$3:$M$1101,8,0),"")</f>
        <v>_</v>
      </c>
      <c r="AX785" s="448" t="str">
        <f>_xlfn.IFNA(VLOOKUP($AP785,Programma!$F$3:$N$1101,9,0),"")</f>
        <v>_</v>
      </c>
      <c r="AY785" s="448" t="str">
        <f>_xlfn.IFNA(VLOOKUP($AP785,Programma!$F$3:$O$1101,10,0),"")</f>
        <v>_</v>
      </c>
      <c r="AZ785" s="448" t="str">
        <f>_xlfn.IFNA(VLOOKUP($AP785,Programma!$F$3:$P$1101,11,0),"")</f>
        <v>_</v>
      </c>
      <c r="BA785" s="448" t="str">
        <f>_xlfn.IFNA(VLOOKUP($AP785,Programma!$F$3:$Q$1101,12,0),"")</f>
        <v>_</v>
      </c>
      <c r="BB785" s="448" t="str">
        <f>_xlfn.IFNA(VLOOKUP($AP785,Programma!$F$3:$R$1101,13,0),"")</f>
        <v>_</v>
      </c>
      <c r="BC785" s="448" t="str">
        <f>_xlfn.IFNA(VLOOKUP($AP785,Programma!$F$3:$S$1101,14,0),"")</f>
        <v>_</v>
      </c>
      <c r="BD785" s="448" t="str">
        <f>_xlfn.IFNA(VLOOKUP($AP785,Programma!$F$3:$T$1101,15,0),"")</f>
        <v>_</v>
      </c>
      <c r="BE785" s="448" t="str">
        <f>_xlfn.IFNA(VLOOKUP($AP785,Programma!$F$3:$U$1101,16,0),"")</f>
        <v>_</v>
      </c>
      <c r="BF785" s="448" t="str">
        <f>_xlfn.IFNA(VLOOKUP($AP785,Programma!$F$3:$V$1101,17,0),"")</f>
        <v>_</v>
      </c>
      <c r="BG785" s="448" t="str">
        <f>_xlfn.IFNA(VLOOKUP($AP785,Programma!$F$3:$W$1101,18,0),"")</f>
        <v>4w</v>
      </c>
      <c r="BH785" s="448" t="str">
        <f>_xlfn.IFNA(VLOOKUP($AP785,Programma!$F$3:$X$1101,19,0),"")</f>
        <v>1w</v>
      </c>
      <c r="BI785" s="448" t="str">
        <f>_xlfn.IFNA(VLOOKUP($AP785,Programma!$F$3:$Y$1101,20,0),"")</f>
        <v>_</v>
      </c>
      <c r="BJ785" s="449"/>
      <c r="BK785" s="446" t="str">
        <f>IF(Ruimtestaat[[#This Row],[Frequentie weekend]]="","",_xlfn.CONCAT(Ruimtestaat[[#This Row],[Ruimte code]],"-",Ruimtestaat[[#This Row],[Frequentie weekend]]," ",Ruimtestaat[[#This Row],[Vloer code]]))</f>
        <v/>
      </c>
      <c r="BL785" s="448" t="str">
        <f>_xlfn.IFNA(VLOOKUP($BK785,Programma!$F$3:$G$1101,2,0),"")</f>
        <v/>
      </c>
      <c r="BM785" s="448" t="str">
        <f>_xlfn.IFNA(VLOOKUP($BK785,Programma!$F$3:$H$1101,3,0),"")</f>
        <v/>
      </c>
      <c r="BN785" s="448" t="str">
        <f>_xlfn.IFNA(VLOOKUP($BK785,Programma!$F$3:$I$1101,4,0),"")</f>
        <v/>
      </c>
      <c r="BO785" s="448" t="str">
        <f>_xlfn.IFNA(VLOOKUP($BK785,Programma!$F$3:$J$1101,5,0),"")</f>
        <v/>
      </c>
      <c r="BP785" s="448" t="str">
        <f>_xlfn.IFNA(VLOOKUP($BK785,Programma!$F$3:$K$1101,6,0),"")</f>
        <v/>
      </c>
      <c r="BQ785" s="448" t="str">
        <f>_xlfn.IFNA(VLOOKUP($BK785,Programma!$F$3:$L$1101,7,0),"")</f>
        <v/>
      </c>
      <c r="BR785" s="448" t="str">
        <f>_xlfn.IFNA(VLOOKUP($BK785,Programma!$F$3:$M$1101,8,0),"")</f>
        <v/>
      </c>
      <c r="BS785" s="448" t="str">
        <f>_xlfn.IFNA(VLOOKUP($BK785,Programma!$F$3:$N$1101,9,0),"")</f>
        <v/>
      </c>
      <c r="BT785" s="448" t="str">
        <f>_xlfn.IFNA(VLOOKUP($BK785,Programma!$F$3:$O$1101,10,0),"")</f>
        <v/>
      </c>
      <c r="BU785" s="448" t="str">
        <f>_xlfn.IFNA(VLOOKUP($BK785,Programma!$F$3:$P$1101,11,0),"")</f>
        <v/>
      </c>
      <c r="BV785" s="448" t="str">
        <f>_xlfn.IFNA(VLOOKUP($BK785,Programma!$F$3:$Q$1101,12,0),"")</f>
        <v/>
      </c>
      <c r="BW785" s="448" t="str">
        <f>_xlfn.IFNA(VLOOKUP($BK785,Programma!$F$3:$R$1101,13,0),"")</f>
        <v/>
      </c>
      <c r="BX785" s="448" t="str">
        <f>_xlfn.IFNA(VLOOKUP($BK785,Programma!$F$3:$S$1101,14,0),"")</f>
        <v/>
      </c>
      <c r="BY785" s="448" t="str">
        <f>_xlfn.IFNA(VLOOKUP($BK785,Programma!$F$3:$T$1101,15,0),"")</f>
        <v/>
      </c>
      <c r="BZ785" s="448" t="str">
        <f>_xlfn.IFNA(VLOOKUP($BK785,Programma!$F$3:$U$1101,16,0),"")</f>
        <v/>
      </c>
      <c r="CA785" s="448" t="str">
        <f>_xlfn.IFNA(VLOOKUP($BK785,Programma!$F$3:$V$1101,17,0),"")</f>
        <v/>
      </c>
      <c r="CB785" s="448" t="str">
        <f>_xlfn.IFNA(VLOOKUP($BK785,Programma!$F$3:$W$1101,18,0),"")</f>
        <v/>
      </c>
      <c r="CC785" s="448" t="str">
        <f>_xlfn.IFNA(VLOOKUP($BK785,Programma!$F$3:$X$1101,19,0),"")</f>
        <v/>
      </c>
      <c r="CD785" s="448" t="str">
        <f>_xlfn.IFNA(VLOOKUP($BK785,Programma!$F$3:$Y$1101,20,0),"")</f>
        <v/>
      </c>
    </row>
    <row r="786" spans="1:82" ht="15" customHeight="1">
      <c r="A786" s="327">
        <v>23</v>
      </c>
      <c r="B786" s="435" t="str">
        <f>VLOOKUP(Ruimtestaat[[#This Row],[Code]],Locaties[[Code]:[Locatie]],2,FALSE)</f>
        <v>IKC De Waterlelie (bijgebouw)</v>
      </c>
      <c r="C786" s="435" t="str">
        <f>VLOOKUP(Ruimtestaat[[#This Row],[Code]],Locaties[[#All],[Code]:[Adres]],4,FALSE)</f>
        <v>Morapad 3</v>
      </c>
      <c r="D786" s="435" t="str">
        <f>VLOOKUP(Ruimtestaat[[#This Row],[Code]],Locaties[[#All],[Code]:[Postcode]],5,FALSE)</f>
        <v>2719 JA</v>
      </c>
      <c r="E786" s="435" t="str">
        <f>VLOOKUP(Ruimtestaat[[#This Row],[Code]],Locaties[#All],6,FALSE)</f>
        <v>Zoetermeer</v>
      </c>
      <c r="F786" s="450"/>
      <c r="I786" s="450" t="s">
        <v>2013</v>
      </c>
      <c r="J786" s="330">
        <v>20</v>
      </c>
      <c r="K786" s="450" t="str">
        <f>VLOOKUP(Ruimtestaat[[#This Row],[Ruimte code]],Ruimtegroepen[[#All],[Code]:[Ruimte omschrijving]],2,FALSE)</f>
        <v>Niet in Onderhoud</v>
      </c>
      <c r="L786" s="330" t="s">
        <v>102</v>
      </c>
      <c r="M786" s="437" t="s">
        <v>120</v>
      </c>
      <c r="N786" s="439"/>
      <c r="O786" s="439">
        <v>3</v>
      </c>
      <c r="P786" s="439"/>
      <c r="Q786" s="439"/>
      <c r="R786" s="440">
        <f>VLOOKUP(Ruimtestaat[[#This Row],[Ruimte code]],Ruimtegroepen[],4,FALSE)</f>
        <v>0</v>
      </c>
      <c r="S786" s="434"/>
      <c r="T786" s="434"/>
      <c r="U786" s="453">
        <f>IF(S786&gt;0,IF(RIGHT(Ruimtestaat[[#This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86" s="434">
        <f>IF(U786&gt;0,VLOOKUP($J786,Ruimtegroepen[],3,FALSE)*VLOOKUP($L786,Vloersoorten[],3,FALSE)*VLOOKUP($T786,Frequenties[],3,FALSE)*VLOOKUP($A786,Locaties[],3,FALSE),0)</f>
        <v>0</v>
      </c>
      <c r="W786" s="434">
        <f>Ruimtestaat[[#This Row],[Uitvoeringen werkdagen]]*Ruimtestaat[[#This Row],[Oppervlak (netto)]]</f>
        <v>0</v>
      </c>
      <c r="X786" s="441">
        <f>IF(V786&gt;0,Ruimtestaat[[#This Row],[Prest. (m2 /jaar) werkdagen]]/Ruimtestaat[[#This Row],[Norm (m2/uur) werkdagen]],0)</f>
        <v>0</v>
      </c>
      <c r="Y786" s="442">
        <f>Ruimtestaat[[#This Row],[Uitvoeringen werkdagen]]*Ruimtestaat[[#This Row],[Gedeeltelijk]]</f>
        <v>0</v>
      </c>
      <c r="Z786" s="443">
        <f>IF(U786&gt;0,Ruimtestaat[[#This Row],[Prest. (m2 / jaar) werkdagen gedeeld]]/Ruimtestaat[[#This Row],[Norm (m2/uur) werkdagen]],0)</f>
        <v>0</v>
      </c>
      <c r="AA786" s="441">
        <f>Ruimtestaat[[#This Row],[uren / jaar werkdagen gedeeld]]*Tariefsopbouw!$E$35</f>
        <v>0</v>
      </c>
      <c r="AB786" s="441">
        <f>Ruimtestaat[[#This Row],[Uitvoeringen werkdagen]]*Ruimtestaat[[#This Row],[BSO]]</f>
        <v>0</v>
      </c>
      <c r="AC786" s="443">
        <f>IF(U786&gt;0,Ruimtestaat[[#This Row],[Prest. (m2 / jaar) werkdagen BSO]]/Ruimtestaat[[#This Row],[Norm (m2/uur) werkdagen]],0)</f>
        <v>0</v>
      </c>
      <c r="AD786" s="443">
        <f>Ruimtestaat[[#This Row],[uren / jaar werkdagen BSO]]*Tariefsopbouw!$E$35</f>
        <v>0</v>
      </c>
      <c r="AE786" s="444">
        <f>Ruimtestaat[[#This Row],[uren / jaar werkdagen]]*Tariefsopbouw!$E$35</f>
        <v>0</v>
      </c>
      <c r="AF786" s="454"/>
      <c r="AG786" s="455">
        <f>IF(Ruimtestaat[[#This Row],[Frequentie weekend]]&gt;0,VALUE(LEFT(AF786,1))*S786,0)</f>
        <v>0</v>
      </c>
      <c r="AH786" s="455">
        <f>IF($AG786&gt;0,VLOOKUP($J786,Ruimtegroepen[],3,FALSE)*VLOOKUP($L786,Vloersoorten[],3,FALSE)*VLOOKUP($AF786,Frequenties[],3,FALSE)*VLOOKUP(#REF!,Locaties[],3,FALSE),0)</f>
        <v>0</v>
      </c>
      <c r="AI786" s="434">
        <f>Ruimtestaat[[#This Row],[Uitvoeringen weekend]]*Ruimtestaat[[#This Row],[Oppervlak (netto)]]</f>
        <v>0</v>
      </c>
      <c r="AJ786" s="434">
        <f>IF(AH786&gt;0,Ruimtestaat[[#This Row],[Prest. (m2 /jaar) weekend]]/Ruimtestaat[[#This Row],[Norm (m2/uur) weekend]],0)</f>
        <v>0</v>
      </c>
      <c r="AK786" s="444">
        <f>Ruimtestaat[[#This Row],[uren / jaar weekend]]*Tariefsopbouw!$D$40</f>
        <v>0</v>
      </c>
      <c r="AL786" s="441">
        <f>Ruimtestaat[[#This Row],[Prest. (m2 /jaar) weekend]]+Ruimtestaat[[#This Row],[Prest. (m2 /jaar) werkdagen]]</f>
        <v>0</v>
      </c>
      <c r="AM786" s="441">
        <f>Ruimtestaat[[#This Row],[uren / jaar weekend]]+Ruimtestaat[[#This Row],[uren / jaar werkdagen]]</f>
        <v>0</v>
      </c>
      <c r="AN786" s="446">
        <f>Ruimtestaat[[#This Row],[kosten / jaar weekend]]+Ruimtestaat[[#This Row],[kosten / jaar werkdagen]]</f>
        <v>0</v>
      </c>
      <c r="AO786" s="446"/>
      <c r="AP786" s="446" t="str">
        <f>IF(Ruimtestaat[[#This Row],[Frequentie werkdagen]]="","",_xlfn.CONCAT(Ruimtestaat[[#This Row],[Ruimte code]],"-",Ruimtestaat[[#This Row],[Frequentie werkdagen]]," ",Ruimtestaat[[#This Row],[Vloer code]]))</f>
        <v/>
      </c>
      <c r="AQ786" s="448" t="str">
        <f>_xlfn.IFNA(VLOOKUP($AP786,Programma!$F$3:$G$1101,2,0),"")</f>
        <v/>
      </c>
      <c r="AR786" s="448" t="str">
        <f>_xlfn.IFNA(VLOOKUP($AP786,Programma!$F$3:$H$1101,3,0),"")</f>
        <v/>
      </c>
      <c r="AS786" s="448" t="str">
        <f>_xlfn.IFNA(VLOOKUP($AP786,Programma!$F$3:$I$1101,4,0),"")</f>
        <v/>
      </c>
      <c r="AT786" s="448" t="str">
        <f>_xlfn.IFNA(VLOOKUP($AP786,Programma!$F$3:$J$1101,5,0),"")</f>
        <v/>
      </c>
      <c r="AU786" s="448" t="str">
        <f>_xlfn.IFNA(VLOOKUP($AP786,Programma!$F$3:$K$1101,6,0),"")</f>
        <v/>
      </c>
      <c r="AV786" s="448" t="str">
        <f>_xlfn.IFNA(VLOOKUP($AP786,Programma!$F$3:$L$1101,7,0),"")</f>
        <v/>
      </c>
      <c r="AW786" s="448" t="str">
        <f>_xlfn.IFNA(VLOOKUP($AP786,Programma!$F$3:$M$1101,8,0),"")</f>
        <v/>
      </c>
      <c r="AX786" s="448" t="str">
        <f>_xlfn.IFNA(VLOOKUP($AP786,Programma!$F$3:$N$1101,9,0),"")</f>
        <v/>
      </c>
      <c r="AY786" s="448" t="str">
        <f>_xlfn.IFNA(VLOOKUP($AP786,Programma!$F$3:$O$1101,10,0),"")</f>
        <v/>
      </c>
      <c r="AZ786" s="448" t="str">
        <f>_xlfn.IFNA(VLOOKUP($AP786,Programma!$F$3:$P$1101,11,0),"")</f>
        <v/>
      </c>
      <c r="BA786" s="448" t="str">
        <f>_xlfn.IFNA(VLOOKUP($AP786,Programma!$F$3:$Q$1101,12,0),"")</f>
        <v/>
      </c>
      <c r="BB786" s="448" t="str">
        <f>_xlfn.IFNA(VLOOKUP($AP786,Programma!$F$3:$R$1101,13,0),"")</f>
        <v/>
      </c>
      <c r="BC786" s="448" t="str">
        <f>_xlfn.IFNA(VLOOKUP($AP786,Programma!$F$3:$S$1101,14,0),"")</f>
        <v/>
      </c>
      <c r="BD786" s="448" t="str">
        <f>_xlfn.IFNA(VLOOKUP($AP786,Programma!$F$3:$T$1101,15,0),"")</f>
        <v/>
      </c>
      <c r="BE786" s="448" t="str">
        <f>_xlfn.IFNA(VLOOKUP($AP786,Programma!$F$3:$U$1101,16,0),"")</f>
        <v/>
      </c>
      <c r="BF786" s="448" t="str">
        <f>_xlfn.IFNA(VLOOKUP($AP786,Programma!$F$3:$V$1101,17,0),"")</f>
        <v/>
      </c>
      <c r="BG786" s="448" t="str">
        <f>_xlfn.IFNA(VLOOKUP($AP786,Programma!$F$3:$W$1101,18,0),"")</f>
        <v/>
      </c>
      <c r="BH786" s="448" t="str">
        <f>_xlfn.IFNA(VLOOKUP($AP786,Programma!$F$3:$X$1101,19,0),"")</f>
        <v/>
      </c>
      <c r="BI786" s="448" t="str">
        <f>_xlfn.IFNA(VLOOKUP($AP786,Programma!$F$3:$Y$1101,20,0),"")</f>
        <v/>
      </c>
      <c r="BJ786" s="449"/>
      <c r="BK786" s="446" t="str">
        <f>IF(Ruimtestaat[[#This Row],[Frequentie weekend]]="","",_xlfn.CONCAT(Ruimtestaat[[#This Row],[Ruimte code]],"-",Ruimtestaat[[#This Row],[Frequentie weekend]]," ",Ruimtestaat[[#This Row],[Vloer code]]))</f>
        <v/>
      </c>
      <c r="BL786" s="448" t="str">
        <f>_xlfn.IFNA(VLOOKUP($BK786,Programma!$F$3:$G$1101,2,0),"")</f>
        <v/>
      </c>
      <c r="BM786" s="448" t="str">
        <f>_xlfn.IFNA(VLOOKUP($BK786,Programma!$F$3:$H$1101,3,0),"")</f>
        <v/>
      </c>
      <c r="BN786" s="448" t="str">
        <f>_xlfn.IFNA(VLOOKUP($BK786,Programma!$F$3:$I$1101,4,0),"")</f>
        <v/>
      </c>
      <c r="BO786" s="448" t="str">
        <f>_xlfn.IFNA(VLOOKUP($BK786,Programma!$F$3:$J$1101,5,0),"")</f>
        <v/>
      </c>
      <c r="BP786" s="448" t="str">
        <f>_xlfn.IFNA(VLOOKUP($BK786,Programma!$F$3:$K$1101,6,0),"")</f>
        <v/>
      </c>
      <c r="BQ786" s="448" t="str">
        <f>_xlfn.IFNA(VLOOKUP($BK786,Programma!$F$3:$L$1101,7,0),"")</f>
        <v/>
      </c>
      <c r="BR786" s="448" t="str">
        <f>_xlfn.IFNA(VLOOKUP($BK786,Programma!$F$3:$M$1101,8,0),"")</f>
        <v/>
      </c>
      <c r="BS786" s="448" t="str">
        <f>_xlfn.IFNA(VLOOKUP($BK786,Programma!$F$3:$N$1101,9,0),"")</f>
        <v/>
      </c>
      <c r="BT786" s="448" t="str">
        <f>_xlfn.IFNA(VLOOKUP($BK786,Programma!$F$3:$O$1101,10,0),"")</f>
        <v/>
      </c>
      <c r="BU786" s="448" t="str">
        <f>_xlfn.IFNA(VLOOKUP($BK786,Programma!$F$3:$P$1101,11,0),"")</f>
        <v/>
      </c>
      <c r="BV786" s="448" t="str">
        <f>_xlfn.IFNA(VLOOKUP($BK786,Programma!$F$3:$Q$1101,12,0),"")</f>
        <v/>
      </c>
      <c r="BW786" s="448" t="str">
        <f>_xlfn.IFNA(VLOOKUP($BK786,Programma!$F$3:$R$1101,13,0),"")</f>
        <v/>
      </c>
      <c r="BX786" s="448" t="str">
        <f>_xlfn.IFNA(VLOOKUP($BK786,Programma!$F$3:$S$1101,14,0),"")</f>
        <v/>
      </c>
      <c r="BY786" s="448" t="str">
        <f>_xlfn.IFNA(VLOOKUP($BK786,Programma!$F$3:$T$1101,15,0),"")</f>
        <v/>
      </c>
      <c r="BZ786" s="448" t="str">
        <f>_xlfn.IFNA(VLOOKUP($BK786,Programma!$F$3:$U$1101,16,0),"")</f>
        <v/>
      </c>
      <c r="CA786" s="448" t="str">
        <f>_xlfn.IFNA(VLOOKUP($BK786,Programma!$F$3:$V$1101,17,0),"")</f>
        <v/>
      </c>
      <c r="CB786" s="448" t="str">
        <f>_xlfn.IFNA(VLOOKUP($BK786,Programma!$F$3:$W$1101,18,0),"")</f>
        <v/>
      </c>
      <c r="CC786" s="448" t="str">
        <f>_xlfn.IFNA(VLOOKUP($BK786,Programma!$F$3:$X$1101,19,0),"")</f>
        <v/>
      </c>
      <c r="CD786" s="448" t="str">
        <f>_xlfn.IFNA(VLOOKUP($BK786,Programma!$F$3:$Y$1101,20,0),"")</f>
        <v/>
      </c>
    </row>
    <row r="787" spans="1:82" ht="15" customHeight="1">
      <c r="A787" s="327">
        <v>23</v>
      </c>
      <c r="B787" s="435" t="str">
        <f>VLOOKUP(Ruimtestaat[[#This Row],[Code]],Locaties[[Code]:[Locatie]],2,FALSE)</f>
        <v>IKC De Waterlelie (bijgebouw)</v>
      </c>
      <c r="C787" s="435" t="str">
        <f>VLOOKUP(Ruimtestaat[[#This Row],[Code]],Locaties[[#All],[Code]:[Adres]],4,FALSE)</f>
        <v>Morapad 3</v>
      </c>
      <c r="D787" s="435" t="str">
        <f>VLOOKUP(Ruimtestaat[[#This Row],[Code]],Locaties[[#All],[Code]:[Postcode]],5,FALSE)</f>
        <v>2719 JA</v>
      </c>
      <c r="E787" s="435" t="str">
        <f>VLOOKUP(Ruimtestaat[[#This Row],[Code]],Locaties[#All],6,FALSE)</f>
        <v>Zoetermeer</v>
      </c>
      <c r="F787" s="450"/>
      <c r="I787" s="450" t="s">
        <v>1724</v>
      </c>
      <c r="J787" s="330">
        <v>1</v>
      </c>
      <c r="K787" s="450" t="str">
        <f>VLOOKUP(Ruimtestaat[[#This Row],[Ruimte code]],Ruimtegroepen[[#All],[Code]:[Ruimte omschrijving]],2,FALSE)</f>
        <v>Magazijnen/bergingen</v>
      </c>
      <c r="L787" s="330" t="s">
        <v>102</v>
      </c>
      <c r="M787" s="437" t="s">
        <v>120</v>
      </c>
      <c r="N787" s="439">
        <v>8.6999999999999993</v>
      </c>
      <c r="O787" s="439"/>
      <c r="P787" s="439"/>
      <c r="Q787" s="439"/>
      <c r="R787" s="440" t="str">
        <f>VLOOKUP(Ruimtestaat[[#This Row],[Ruimte code]],Ruimtegroepen[],4,FALSE)</f>
        <v>Ve</v>
      </c>
      <c r="S787" s="434">
        <v>40</v>
      </c>
      <c r="T787" s="434" t="s">
        <v>16</v>
      </c>
      <c r="U787" s="453">
        <f>IF(S787&gt;0,IF(RIGHT(Ruimtestaat[[#This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787" s="434">
        <f>IF(U787&gt;0,VLOOKUP($J787,Ruimtegroepen[],3,FALSE)*VLOOKUP($L787,Vloersoorten[],3,FALSE)*VLOOKUP($T787,Frequenties[],3,FALSE)*VLOOKUP($A787,Locaties[],3,FALSE),0)</f>
        <v>0</v>
      </c>
      <c r="W787" s="434">
        <f>Ruimtestaat[[#This Row],[Uitvoeringen werkdagen]]*Ruimtestaat[[#This Row],[Oppervlak (netto)]]</f>
        <v>104.39999999999999</v>
      </c>
      <c r="X787" s="441">
        <f>IF(V787&gt;0,Ruimtestaat[[#This Row],[Prest. (m2 /jaar) werkdagen]]/Ruimtestaat[[#This Row],[Norm (m2/uur) werkdagen]],0)</f>
        <v>0</v>
      </c>
      <c r="Y787" s="442">
        <f>Ruimtestaat[[#This Row],[Uitvoeringen werkdagen]]*Ruimtestaat[[#This Row],[Gedeeltelijk]]</f>
        <v>0</v>
      </c>
      <c r="Z787" s="443" t="e">
        <f>IF(U787&gt;0,Ruimtestaat[[#This Row],[Prest. (m2 / jaar) werkdagen gedeeld]]/Ruimtestaat[[#This Row],[Norm (m2/uur) werkdagen]],0)</f>
        <v>#DIV/0!</v>
      </c>
      <c r="AA787" s="441" t="e">
        <f>Ruimtestaat[[#This Row],[uren / jaar werkdagen gedeeld]]*Tariefsopbouw!$E$35</f>
        <v>#DIV/0!</v>
      </c>
      <c r="AB787" s="441">
        <f>Ruimtestaat[[#This Row],[Uitvoeringen werkdagen]]*Ruimtestaat[[#This Row],[BSO]]</f>
        <v>0</v>
      </c>
      <c r="AC787" s="443" t="e">
        <f>IF(U787&gt;0,Ruimtestaat[[#This Row],[Prest. (m2 / jaar) werkdagen BSO]]/Ruimtestaat[[#This Row],[Norm (m2/uur) werkdagen]],0)</f>
        <v>#DIV/0!</v>
      </c>
      <c r="AD787" s="443" t="e">
        <f>Ruimtestaat[[#This Row],[uren / jaar werkdagen BSO]]*Tariefsopbouw!$E$35</f>
        <v>#DIV/0!</v>
      </c>
      <c r="AE787" s="444">
        <f>Ruimtestaat[[#This Row],[uren / jaar werkdagen]]*Tariefsopbouw!$E$35</f>
        <v>0</v>
      </c>
      <c r="AF787" s="454"/>
      <c r="AG787" s="455">
        <f>IF(Ruimtestaat[[#This Row],[Frequentie weekend]]&gt;0,VALUE(LEFT(AF787,1))*S787,0)</f>
        <v>0</v>
      </c>
      <c r="AH787" s="455">
        <f>IF($AG787&gt;0,VLOOKUP($J787,Ruimtegroepen[],3,FALSE)*VLOOKUP($L787,Vloersoorten[],3,FALSE)*VLOOKUP($AF787,Frequenties[],3,FALSE)*VLOOKUP(#REF!,Locaties[],3,FALSE),0)</f>
        <v>0</v>
      </c>
      <c r="AI787" s="434">
        <f>Ruimtestaat[[#This Row],[Uitvoeringen weekend]]*Ruimtestaat[[#This Row],[Oppervlak (netto)]]</f>
        <v>0</v>
      </c>
      <c r="AJ787" s="434">
        <f>IF(AH787&gt;0,Ruimtestaat[[#This Row],[Prest. (m2 /jaar) weekend]]/Ruimtestaat[[#This Row],[Norm (m2/uur) weekend]],0)</f>
        <v>0</v>
      </c>
      <c r="AK787" s="444">
        <f>Ruimtestaat[[#This Row],[uren / jaar weekend]]*Tariefsopbouw!$D$40</f>
        <v>0</v>
      </c>
      <c r="AL787" s="441">
        <f>Ruimtestaat[[#This Row],[Prest. (m2 /jaar) weekend]]+Ruimtestaat[[#This Row],[Prest. (m2 /jaar) werkdagen]]</f>
        <v>104.39999999999999</v>
      </c>
      <c r="AM787" s="441">
        <f>Ruimtestaat[[#This Row],[uren / jaar weekend]]+Ruimtestaat[[#This Row],[uren / jaar werkdagen]]</f>
        <v>0</v>
      </c>
      <c r="AN787" s="446">
        <f>Ruimtestaat[[#This Row],[kosten / jaar weekend]]+Ruimtestaat[[#This Row],[kosten / jaar werkdagen]]</f>
        <v>0</v>
      </c>
      <c r="AO787" s="446"/>
      <c r="AP787" s="446" t="str">
        <f>IF(Ruimtestaat[[#This Row],[Frequentie werkdagen]]="","",_xlfn.CONCAT(Ruimtestaat[[#This Row],[Ruimte code]],"-",Ruimtestaat[[#This Row],[Frequentie werkdagen]]," ",Ruimtestaat[[#This Row],[Vloer code]]))</f>
        <v>1-1m P</v>
      </c>
      <c r="AQ787" s="448" t="str">
        <f>_xlfn.IFNA(VLOOKUP($AP787,Programma!$F$3:$G$1101,2,0),"")</f>
        <v>_</v>
      </c>
      <c r="AR787" s="448" t="str">
        <f>_xlfn.IFNA(VLOOKUP($AP787,Programma!$F$3:$H$1101,3,0),"")</f>
        <v>_</v>
      </c>
      <c r="AS787" s="448" t="str">
        <f>_xlfn.IFNA(VLOOKUP($AP787,Programma!$F$3:$I$1101,4,0),"")</f>
        <v>1m</v>
      </c>
      <c r="AT787" s="448" t="str">
        <f>_xlfn.IFNA(VLOOKUP($AP787,Programma!$F$3:$J$1101,5,0),"")</f>
        <v>1m</v>
      </c>
      <c r="AU787" s="448" t="str">
        <f>_xlfn.IFNA(VLOOKUP($AP787,Programma!$F$3:$K$1101,6,0),"")</f>
        <v>1j</v>
      </c>
      <c r="AV787" s="448" t="str">
        <f>_xlfn.IFNA(VLOOKUP($AP787,Programma!$F$3:$L$1101,7,0),"")</f>
        <v>_</v>
      </c>
      <c r="AW787" s="448" t="str">
        <f>_xlfn.IFNA(VLOOKUP($AP787,Programma!$F$3:$M$1101,8,0),"")</f>
        <v>_</v>
      </c>
      <c r="AX787" s="448" t="str">
        <f>_xlfn.IFNA(VLOOKUP($AP787,Programma!$F$3:$N$1101,9,0),"")</f>
        <v>_</v>
      </c>
      <c r="AY787" s="448" t="str">
        <f>_xlfn.IFNA(VLOOKUP($AP787,Programma!$F$3:$O$1101,10,0),"")</f>
        <v>_</v>
      </c>
      <c r="AZ787" s="448" t="str">
        <f>_xlfn.IFNA(VLOOKUP($AP787,Programma!$F$3:$P$1101,11,0),"")</f>
        <v>_</v>
      </c>
      <c r="BA787" s="448" t="str">
        <f>_xlfn.IFNA(VLOOKUP($AP787,Programma!$F$3:$Q$1101,12,0),"")</f>
        <v>_</v>
      </c>
      <c r="BB787" s="448" t="str">
        <f>_xlfn.IFNA(VLOOKUP($AP787,Programma!$F$3:$R$1101,13,0),"")</f>
        <v>_</v>
      </c>
      <c r="BC787" s="448" t="str">
        <f>_xlfn.IFNA(VLOOKUP($AP787,Programma!$F$3:$S$1101,14,0),"")</f>
        <v>1m</v>
      </c>
      <c r="BD787" s="448" t="str">
        <f>_xlfn.IFNA(VLOOKUP($AP787,Programma!$F$3:$T$1101,15,0),"")</f>
        <v>4j</v>
      </c>
      <c r="BE787" s="448" t="str">
        <f>_xlfn.IFNA(VLOOKUP($AP787,Programma!$F$3:$U$1101,16,0),"")</f>
        <v>4j</v>
      </c>
      <c r="BF787" s="448" t="str">
        <f>_xlfn.IFNA(VLOOKUP($AP787,Programma!$F$3:$V$1101,17,0),"")</f>
        <v>_</v>
      </c>
      <c r="BG787" s="448" t="str">
        <f>_xlfn.IFNA(VLOOKUP($AP787,Programma!$F$3:$W$1101,18,0),"")</f>
        <v>_</v>
      </c>
      <c r="BH787" s="448" t="str">
        <f>_xlfn.IFNA(VLOOKUP($AP787,Programma!$F$3:$X$1101,19,0),"")</f>
        <v>_</v>
      </c>
      <c r="BI787" s="448" t="str">
        <f>_xlfn.IFNA(VLOOKUP($AP787,Programma!$F$3:$Y$1101,20,0),"")</f>
        <v>_</v>
      </c>
      <c r="BJ787" s="449"/>
      <c r="BK787" s="446" t="str">
        <f>IF(Ruimtestaat[[#This Row],[Frequentie weekend]]="","",_xlfn.CONCAT(Ruimtestaat[[#This Row],[Ruimte code]],"-",Ruimtestaat[[#This Row],[Frequentie weekend]]," ",Ruimtestaat[[#This Row],[Vloer code]]))</f>
        <v/>
      </c>
      <c r="BL787" s="448" t="str">
        <f>_xlfn.IFNA(VLOOKUP($BK787,Programma!$F$3:$G$1101,2,0),"")</f>
        <v/>
      </c>
      <c r="BM787" s="448" t="str">
        <f>_xlfn.IFNA(VLOOKUP($BK787,Programma!$F$3:$H$1101,3,0),"")</f>
        <v/>
      </c>
      <c r="BN787" s="448" t="str">
        <f>_xlfn.IFNA(VLOOKUP($BK787,Programma!$F$3:$I$1101,4,0),"")</f>
        <v/>
      </c>
      <c r="BO787" s="448" t="str">
        <f>_xlfn.IFNA(VLOOKUP($BK787,Programma!$F$3:$J$1101,5,0),"")</f>
        <v/>
      </c>
      <c r="BP787" s="448" t="str">
        <f>_xlfn.IFNA(VLOOKUP($BK787,Programma!$F$3:$K$1101,6,0),"")</f>
        <v/>
      </c>
      <c r="BQ787" s="448" t="str">
        <f>_xlfn.IFNA(VLOOKUP($BK787,Programma!$F$3:$L$1101,7,0),"")</f>
        <v/>
      </c>
      <c r="BR787" s="448" t="str">
        <f>_xlfn.IFNA(VLOOKUP($BK787,Programma!$F$3:$M$1101,8,0),"")</f>
        <v/>
      </c>
      <c r="BS787" s="448" t="str">
        <f>_xlfn.IFNA(VLOOKUP($BK787,Programma!$F$3:$N$1101,9,0),"")</f>
        <v/>
      </c>
      <c r="BT787" s="448" t="str">
        <f>_xlfn.IFNA(VLOOKUP($BK787,Programma!$F$3:$O$1101,10,0),"")</f>
        <v/>
      </c>
      <c r="BU787" s="448" t="str">
        <f>_xlfn.IFNA(VLOOKUP($BK787,Programma!$F$3:$P$1101,11,0),"")</f>
        <v/>
      </c>
      <c r="BV787" s="448" t="str">
        <f>_xlfn.IFNA(VLOOKUP($BK787,Programma!$F$3:$Q$1101,12,0),"")</f>
        <v/>
      </c>
      <c r="BW787" s="448" t="str">
        <f>_xlfn.IFNA(VLOOKUP($BK787,Programma!$F$3:$R$1101,13,0),"")</f>
        <v/>
      </c>
      <c r="BX787" s="448" t="str">
        <f>_xlfn.IFNA(VLOOKUP($BK787,Programma!$F$3:$S$1101,14,0),"")</f>
        <v/>
      </c>
      <c r="BY787" s="448" t="str">
        <f>_xlfn.IFNA(VLOOKUP($BK787,Programma!$F$3:$T$1101,15,0),"")</f>
        <v/>
      </c>
      <c r="BZ787" s="448" t="str">
        <f>_xlfn.IFNA(VLOOKUP($BK787,Programma!$F$3:$U$1101,16,0),"")</f>
        <v/>
      </c>
      <c r="CA787" s="448" t="str">
        <f>_xlfn.IFNA(VLOOKUP($BK787,Programma!$F$3:$V$1101,17,0),"")</f>
        <v/>
      </c>
      <c r="CB787" s="448" t="str">
        <f>_xlfn.IFNA(VLOOKUP($BK787,Programma!$F$3:$W$1101,18,0),"")</f>
        <v/>
      </c>
      <c r="CC787" s="448" t="str">
        <f>_xlfn.IFNA(VLOOKUP($BK787,Programma!$F$3:$X$1101,19,0),"")</f>
        <v/>
      </c>
      <c r="CD787" s="448" t="str">
        <f>_xlfn.IFNA(VLOOKUP($BK787,Programma!$F$3:$Y$1101,20,0),"")</f>
        <v/>
      </c>
    </row>
    <row r="788" spans="1:82" ht="15" customHeight="1">
      <c r="A788" s="327">
        <v>24</v>
      </c>
      <c r="B788" s="435" t="str">
        <f>VLOOKUP(Ruimtestaat[[#This Row],[Code]],Locaties[[Code]:[Locatie]],2,FALSE)</f>
        <v>IKC De Gaerde</v>
      </c>
      <c r="C788" s="435" t="str">
        <f>VLOOKUP(Ruimtestaat[[#This Row],[Code]],Locaties[[#All],[Code]:[Adres]],4,FALSE)</f>
        <v>Moerbeigaarde 58A</v>
      </c>
      <c r="D788" s="435" t="str">
        <f>VLOOKUP(Ruimtestaat[[#This Row],[Code]],Locaties[[#All],[Code]:[Postcode]],5,FALSE)</f>
        <v>2723 AG</v>
      </c>
      <c r="E788" s="435" t="str">
        <f>VLOOKUP(Ruimtestaat[[#This Row],[Code]],Locaties[#All],6,FALSE)</f>
        <v>Zoetermeer</v>
      </c>
      <c r="F788" s="450" t="s">
        <v>1705</v>
      </c>
      <c r="G788" s="330" t="s">
        <v>1678</v>
      </c>
      <c r="H788" s="330" t="s">
        <v>1882</v>
      </c>
      <c r="I788" s="450" t="s">
        <v>2014</v>
      </c>
      <c r="J788" s="330">
        <v>7</v>
      </c>
      <c r="K788" s="450" t="str">
        <f>VLOOKUP(Ruimtestaat[[#This Row],[Ruimte code]],Ruimtegroepen[[#All],[Code]:[Ruimte omschrijving]],2,FALSE)</f>
        <v>Entree</v>
      </c>
      <c r="L788" s="330" t="s">
        <v>100</v>
      </c>
      <c r="M788" s="330" t="s">
        <v>2058</v>
      </c>
      <c r="N788" s="439"/>
      <c r="O788" s="439"/>
      <c r="P788" s="439"/>
      <c r="Q788" s="439">
        <v>6.8</v>
      </c>
      <c r="R788" s="440" t="str">
        <f>VLOOKUP(Ruimtestaat[[#This Row],[Ruimte code]],Ruimtegroepen[],4,FALSE)</f>
        <v>Ve</v>
      </c>
      <c r="S788" s="434">
        <v>51</v>
      </c>
      <c r="T788" s="434" t="s">
        <v>2</v>
      </c>
      <c r="U788" s="453">
        <f>IF(S788&gt;0,IF(RIGHT(Ruimtestaat[[#This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788" s="434">
        <f>IF(U788&gt;0,VLOOKUP($J788,Ruimtegroepen[],3,FALSE)*VLOOKUP($L788,Vloersoorten[],3,FALSE)*VLOOKUP($T788,Frequenties[],3,FALSE)*VLOOKUP($A788,Locaties[],3,FALSE),0)</f>
        <v>0</v>
      </c>
      <c r="W788" s="434">
        <f>Ruimtestaat[[#This Row],[Uitvoeringen werkdagen]]*Ruimtestaat[[#This Row],[Oppervlak (netto)]]</f>
        <v>0</v>
      </c>
      <c r="X788" s="441">
        <f>IF(V788&gt;0,Ruimtestaat[[#This Row],[Prest. (m2 /jaar) werkdagen]]/Ruimtestaat[[#This Row],[Norm (m2/uur) werkdagen]],0)</f>
        <v>0</v>
      </c>
      <c r="Y788" s="442">
        <f>Ruimtestaat[[#This Row],[Uitvoeringen werkdagen]]*Ruimtestaat[[#This Row],[Gedeeltelijk]]</f>
        <v>0</v>
      </c>
      <c r="Z788" s="443" t="e">
        <f>IF(U788&gt;0,Ruimtestaat[[#This Row],[Prest. (m2 / jaar) werkdagen gedeeld]]/Ruimtestaat[[#This Row],[Norm (m2/uur) werkdagen]],0)</f>
        <v>#DIV/0!</v>
      </c>
      <c r="AA788" s="441" t="e">
        <f>Ruimtestaat[[#This Row],[uren / jaar werkdagen gedeeld]]*Tariefsopbouw!$E$35</f>
        <v>#DIV/0!</v>
      </c>
      <c r="AB788" s="441">
        <f>Ruimtestaat[[#This Row],[Uitvoeringen werkdagen]]*Ruimtestaat[[#This Row],[BSO]]</f>
        <v>1734</v>
      </c>
      <c r="AC788" s="443" t="e">
        <f>IF(U788&gt;0,Ruimtestaat[[#This Row],[Prest. (m2 / jaar) werkdagen BSO]]/Ruimtestaat[[#This Row],[Norm (m2/uur) werkdagen]],0)</f>
        <v>#DIV/0!</v>
      </c>
      <c r="AD788" s="443" t="e">
        <f>Ruimtestaat[[#This Row],[uren / jaar werkdagen BSO]]*Tariefsopbouw!$E$35</f>
        <v>#DIV/0!</v>
      </c>
      <c r="AE788" s="444">
        <f>Ruimtestaat[[#This Row],[uren / jaar werkdagen]]*Tariefsopbouw!$E$35</f>
        <v>0</v>
      </c>
      <c r="AF788" s="454"/>
      <c r="AG788" s="455">
        <f>IF(Ruimtestaat[[#This Row],[Frequentie weekend]]&gt;0,VALUE(LEFT(AF788,1))*S788,0)</f>
        <v>0</v>
      </c>
      <c r="AH788" s="455">
        <f>IF($AG788&gt;0,VLOOKUP($J788,Ruimtegroepen[],3,FALSE)*VLOOKUP($L788,Vloersoorten[],3,FALSE)*VLOOKUP($AF788,Frequenties[],3,FALSE)*VLOOKUP(#REF!,Locaties[],3,FALSE),0)</f>
        <v>0</v>
      </c>
      <c r="AI788" s="434">
        <f>Ruimtestaat[[#This Row],[Uitvoeringen weekend]]*Ruimtestaat[[#This Row],[Oppervlak (netto)]]</f>
        <v>0</v>
      </c>
      <c r="AJ788" s="434">
        <f>IF(AH788&gt;0,Ruimtestaat[[#This Row],[Prest. (m2 /jaar) weekend]]/Ruimtestaat[[#This Row],[Norm (m2/uur) weekend]],0)</f>
        <v>0</v>
      </c>
      <c r="AK788" s="444">
        <f>Ruimtestaat[[#This Row],[uren / jaar weekend]]*Tariefsopbouw!$D$40</f>
        <v>0</v>
      </c>
      <c r="AL788" s="441">
        <f>Ruimtestaat[[#This Row],[Prest. (m2 /jaar) weekend]]+Ruimtestaat[[#This Row],[Prest. (m2 /jaar) werkdagen]]</f>
        <v>0</v>
      </c>
      <c r="AM788" s="441">
        <f>Ruimtestaat[[#This Row],[uren / jaar weekend]]+Ruimtestaat[[#This Row],[uren / jaar werkdagen]]</f>
        <v>0</v>
      </c>
      <c r="AN788" s="446">
        <f>Ruimtestaat[[#This Row],[kosten / jaar weekend]]+Ruimtestaat[[#This Row],[kosten / jaar werkdagen]]</f>
        <v>0</v>
      </c>
      <c r="AO788" s="446"/>
      <c r="AP788" s="446" t="str">
        <f>IF(Ruimtestaat[[#This Row],[Frequentie werkdagen]]="","",_xlfn.CONCAT(Ruimtestaat[[#This Row],[Ruimte code]],"-",Ruimtestaat[[#This Row],[Frequentie werkdagen]]," ",Ruimtestaat[[#This Row],[Vloer code]]))</f>
        <v>7-5w L</v>
      </c>
      <c r="AQ788" s="448" t="str">
        <f>_xlfn.IFNA(VLOOKUP($AP788,Programma!$F$3:$G$1101,2,0),"")</f>
        <v>_</v>
      </c>
      <c r="AR788" s="448" t="str">
        <f>_xlfn.IFNA(VLOOKUP($AP788,Programma!$F$3:$H$1101,3,0),"")</f>
        <v>_</v>
      </c>
      <c r="AS788" s="448" t="str">
        <f>_xlfn.IFNA(VLOOKUP($AP788,Programma!$F$3:$I$1101,4,0),"")</f>
        <v>_</v>
      </c>
      <c r="AT788" s="448" t="str">
        <f>_xlfn.IFNA(VLOOKUP($AP788,Programma!$F$3:$J$1101,5,0),"")</f>
        <v>5w</v>
      </c>
      <c r="AU788" s="448" t="str">
        <f>_xlfn.IFNA(VLOOKUP($AP788,Programma!$F$3:$K$1101,6,0),"")</f>
        <v>_</v>
      </c>
      <c r="AV788" s="448" t="str">
        <f>_xlfn.IFNA(VLOOKUP($AP788,Programma!$F$3:$L$1101,7,0),"")</f>
        <v>_</v>
      </c>
      <c r="AW788" s="448" t="str">
        <f>_xlfn.IFNA(VLOOKUP($AP788,Programma!$F$3:$M$1101,8,0),"")</f>
        <v>_</v>
      </c>
      <c r="AX788" s="448" t="str">
        <f>_xlfn.IFNA(VLOOKUP($AP788,Programma!$F$3:$N$1101,9,0),"")</f>
        <v>_</v>
      </c>
      <c r="AY788" s="448" t="str">
        <f>_xlfn.IFNA(VLOOKUP($AP788,Programma!$F$3:$O$1101,10,0),"")</f>
        <v>5w</v>
      </c>
      <c r="AZ788" s="448" t="str">
        <f>_xlfn.IFNA(VLOOKUP($AP788,Programma!$F$3:$P$1101,11,0),"")</f>
        <v>5w</v>
      </c>
      <c r="BA788" s="448" t="str">
        <f>_xlfn.IFNA(VLOOKUP($AP788,Programma!$F$3:$Q$1101,12,0),"")</f>
        <v>1w</v>
      </c>
      <c r="BB788" s="448" t="str">
        <f>_xlfn.IFNA(VLOOKUP($AP788,Programma!$F$3:$R$1101,13,0),"")</f>
        <v>1w</v>
      </c>
      <c r="BC788" s="448" t="str">
        <f>_xlfn.IFNA(VLOOKUP($AP788,Programma!$F$3:$S$1101,14,0),"")</f>
        <v>1m</v>
      </c>
      <c r="BD788" s="448" t="str">
        <f>_xlfn.IFNA(VLOOKUP($AP788,Programma!$F$3:$T$1101,15,0),"")</f>
        <v>2j</v>
      </c>
      <c r="BE788" s="448" t="str">
        <f>_xlfn.IFNA(VLOOKUP($AP788,Programma!$F$3:$U$1101,16,0),"")</f>
        <v>1j</v>
      </c>
      <c r="BF788" s="448" t="str">
        <f>_xlfn.IFNA(VLOOKUP($AP788,Programma!$F$3:$V$1101,17,0),"")</f>
        <v>_</v>
      </c>
      <c r="BG788" s="448" t="str">
        <f>_xlfn.IFNA(VLOOKUP($AP788,Programma!$F$3:$W$1101,18,0),"")</f>
        <v>_</v>
      </c>
      <c r="BH788" s="448" t="str">
        <f>_xlfn.IFNA(VLOOKUP($AP788,Programma!$F$3:$X$1101,19,0),"")</f>
        <v>_</v>
      </c>
      <c r="BI788" s="448" t="str">
        <f>_xlfn.IFNA(VLOOKUP($AP788,Programma!$F$3:$Y$1101,20,0),"")</f>
        <v>_</v>
      </c>
      <c r="BJ788" s="449"/>
      <c r="BK788" s="446" t="str">
        <f>IF(Ruimtestaat[[#This Row],[Frequentie weekend]]="","",_xlfn.CONCAT(Ruimtestaat[[#This Row],[Ruimte code]],"-",Ruimtestaat[[#This Row],[Frequentie weekend]]," ",Ruimtestaat[[#This Row],[Vloer code]]))</f>
        <v/>
      </c>
      <c r="BL788" s="448" t="str">
        <f>_xlfn.IFNA(VLOOKUP($BK788,Programma!$F$3:$G$1101,2,0),"")</f>
        <v/>
      </c>
      <c r="BM788" s="448" t="str">
        <f>_xlfn.IFNA(VLOOKUP($BK788,Programma!$F$3:$H$1101,3,0),"")</f>
        <v/>
      </c>
      <c r="BN788" s="448" t="str">
        <f>_xlfn.IFNA(VLOOKUP($BK788,Programma!$F$3:$I$1101,4,0),"")</f>
        <v/>
      </c>
      <c r="BO788" s="448" t="str">
        <f>_xlfn.IFNA(VLOOKUP($BK788,Programma!$F$3:$J$1101,5,0),"")</f>
        <v/>
      </c>
      <c r="BP788" s="448" t="str">
        <f>_xlfn.IFNA(VLOOKUP($BK788,Programma!$F$3:$K$1101,6,0),"")</f>
        <v/>
      </c>
      <c r="BQ788" s="448" t="str">
        <f>_xlfn.IFNA(VLOOKUP($BK788,Programma!$F$3:$L$1101,7,0),"")</f>
        <v/>
      </c>
      <c r="BR788" s="448" t="str">
        <f>_xlfn.IFNA(VLOOKUP($BK788,Programma!$F$3:$M$1101,8,0),"")</f>
        <v/>
      </c>
      <c r="BS788" s="448" t="str">
        <f>_xlfn.IFNA(VLOOKUP($BK788,Programma!$F$3:$N$1101,9,0),"")</f>
        <v/>
      </c>
      <c r="BT788" s="448" t="str">
        <f>_xlfn.IFNA(VLOOKUP($BK788,Programma!$F$3:$O$1101,10,0),"")</f>
        <v/>
      </c>
      <c r="BU788" s="448" t="str">
        <f>_xlfn.IFNA(VLOOKUP($BK788,Programma!$F$3:$P$1101,11,0),"")</f>
        <v/>
      </c>
      <c r="BV788" s="448" t="str">
        <f>_xlfn.IFNA(VLOOKUP($BK788,Programma!$F$3:$Q$1101,12,0),"")</f>
        <v/>
      </c>
      <c r="BW788" s="448" t="str">
        <f>_xlfn.IFNA(VLOOKUP($BK788,Programma!$F$3:$R$1101,13,0),"")</f>
        <v/>
      </c>
      <c r="BX788" s="448" t="str">
        <f>_xlfn.IFNA(VLOOKUP($BK788,Programma!$F$3:$S$1101,14,0),"")</f>
        <v/>
      </c>
      <c r="BY788" s="448" t="str">
        <f>_xlfn.IFNA(VLOOKUP($BK788,Programma!$F$3:$T$1101,15,0),"")</f>
        <v/>
      </c>
      <c r="BZ788" s="448" t="str">
        <f>_xlfn.IFNA(VLOOKUP($BK788,Programma!$F$3:$U$1101,16,0),"")</f>
        <v/>
      </c>
      <c r="CA788" s="448" t="str">
        <f>_xlfn.IFNA(VLOOKUP($BK788,Programma!$F$3:$V$1101,17,0),"")</f>
        <v/>
      </c>
      <c r="CB788" s="448" t="str">
        <f>_xlfn.IFNA(VLOOKUP($BK788,Programma!$F$3:$W$1101,18,0),"")</f>
        <v/>
      </c>
      <c r="CC788" s="448" t="str">
        <f>_xlfn.IFNA(VLOOKUP($BK788,Programma!$F$3:$X$1101,19,0),"")</f>
        <v/>
      </c>
      <c r="CD788" s="448" t="str">
        <f>_xlfn.IFNA(VLOOKUP($BK788,Programma!$F$3:$Y$1101,20,0),"")</f>
        <v/>
      </c>
    </row>
    <row r="789" spans="1:82" ht="15" customHeight="1">
      <c r="A789" s="327">
        <v>24</v>
      </c>
      <c r="B789" s="435" t="str">
        <f>VLOOKUP(Ruimtestaat[[#This Row],[Code]],Locaties[[Code]:[Locatie]],2,FALSE)</f>
        <v>IKC De Gaerde</v>
      </c>
      <c r="C789" s="435" t="str">
        <f>VLOOKUP(Ruimtestaat[[#This Row],[Code]],Locaties[[#All],[Code]:[Adres]],4,FALSE)</f>
        <v>Moerbeigaarde 58A</v>
      </c>
      <c r="D789" s="435" t="str">
        <f>VLOOKUP(Ruimtestaat[[#This Row],[Code]],Locaties[[#All],[Code]:[Postcode]],5,FALSE)</f>
        <v>2723 AG</v>
      </c>
      <c r="E789" s="435" t="str">
        <f>VLOOKUP(Ruimtestaat[[#This Row],[Code]],Locaties[#All],6,FALSE)</f>
        <v>Zoetermeer</v>
      </c>
      <c r="F789" s="450"/>
      <c r="G789" s="330" t="s">
        <v>1678</v>
      </c>
      <c r="H789" s="330" t="s">
        <v>1883</v>
      </c>
      <c r="I789" s="450" t="s">
        <v>1852</v>
      </c>
      <c r="J789" s="330">
        <v>20</v>
      </c>
      <c r="K789" s="450" t="str">
        <f>VLOOKUP(Ruimtestaat[[#This Row],[Ruimte code]],Ruimtegroepen[[#All],[Code]:[Ruimte omschrijving]],2,FALSE)</f>
        <v>Niet in Onderhoud</v>
      </c>
      <c r="L789" s="330" t="s">
        <v>100</v>
      </c>
      <c r="M789" s="330" t="s">
        <v>2058</v>
      </c>
      <c r="N789" s="439"/>
      <c r="O789" s="439">
        <v>1.1000000000000001</v>
      </c>
      <c r="P789" s="439"/>
      <c r="Q789" s="439"/>
      <c r="R789" s="440">
        <f>VLOOKUP(Ruimtestaat[[#This Row],[Ruimte code]],Ruimtegroepen[],4,FALSE)</f>
        <v>0</v>
      </c>
      <c r="S789" s="434"/>
      <c r="T789" s="434"/>
      <c r="U789" s="453">
        <f>IF(S789&gt;0,IF(RIGHT(Ruimtestaat[[#This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89" s="434">
        <f>IF(U789&gt;0,VLOOKUP($J789,Ruimtegroepen[],3,FALSE)*VLOOKUP($L789,Vloersoorten[],3,FALSE)*VLOOKUP($T789,Frequenties[],3,FALSE)*VLOOKUP($A789,Locaties[],3,FALSE),0)</f>
        <v>0</v>
      </c>
      <c r="W789" s="434">
        <f>Ruimtestaat[[#This Row],[Uitvoeringen werkdagen]]*Ruimtestaat[[#This Row],[Oppervlak (netto)]]</f>
        <v>0</v>
      </c>
      <c r="X789" s="441">
        <f>IF(V789&gt;0,Ruimtestaat[[#This Row],[Prest. (m2 /jaar) werkdagen]]/Ruimtestaat[[#This Row],[Norm (m2/uur) werkdagen]],0)</f>
        <v>0</v>
      </c>
      <c r="Y789" s="442">
        <f>Ruimtestaat[[#This Row],[Uitvoeringen werkdagen]]*Ruimtestaat[[#This Row],[Gedeeltelijk]]</f>
        <v>0</v>
      </c>
      <c r="Z789" s="443">
        <f>IF(U789&gt;0,Ruimtestaat[[#This Row],[Prest. (m2 / jaar) werkdagen gedeeld]]/Ruimtestaat[[#This Row],[Norm (m2/uur) werkdagen]],0)</f>
        <v>0</v>
      </c>
      <c r="AA789" s="441">
        <f>Ruimtestaat[[#This Row],[uren / jaar werkdagen gedeeld]]*Tariefsopbouw!$E$35</f>
        <v>0</v>
      </c>
      <c r="AB789" s="441">
        <f>Ruimtestaat[[#This Row],[Uitvoeringen werkdagen]]*Ruimtestaat[[#This Row],[BSO]]</f>
        <v>0</v>
      </c>
      <c r="AC789" s="443">
        <f>IF(U789&gt;0,Ruimtestaat[[#This Row],[Prest. (m2 / jaar) werkdagen BSO]]/Ruimtestaat[[#This Row],[Norm (m2/uur) werkdagen]],0)</f>
        <v>0</v>
      </c>
      <c r="AD789" s="443">
        <f>Ruimtestaat[[#This Row],[uren / jaar werkdagen BSO]]*Tariefsopbouw!$E$35</f>
        <v>0</v>
      </c>
      <c r="AE789" s="444">
        <f>Ruimtestaat[[#This Row],[uren / jaar werkdagen]]*Tariefsopbouw!$E$35</f>
        <v>0</v>
      </c>
      <c r="AF789" s="454"/>
      <c r="AG789" s="455">
        <f>IF(Ruimtestaat[[#This Row],[Frequentie weekend]]&gt;0,VALUE(LEFT(AF789,1))*S789,0)</f>
        <v>0</v>
      </c>
      <c r="AH789" s="455">
        <f>IF($AG789&gt;0,VLOOKUP($J789,Ruimtegroepen[],3,FALSE)*VLOOKUP($L789,Vloersoorten[],3,FALSE)*VLOOKUP($AF789,Frequenties[],3,FALSE)*VLOOKUP(#REF!,Locaties[],3,FALSE),0)</f>
        <v>0</v>
      </c>
      <c r="AI789" s="434">
        <f>Ruimtestaat[[#This Row],[Uitvoeringen weekend]]*Ruimtestaat[[#This Row],[Oppervlak (netto)]]</f>
        <v>0</v>
      </c>
      <c r="AJ789" s="434">
        <f>IF(AH789&gt;0,Ruimtestaat[[#This Row],[Prest. (m2 /jaar) weekend]]/Ruimtestaat[[#This Row],[Norm (m2/uur) weekend]],0)</f>
        <v>0</v>
      </c>
      <c r="AK789" s="444">
        <f>Ruimtestaat[[#This Row],[uren / jaar weekend]]*Tariefsopbouw!$D$40</f>
        <v>0</v>
      </c>
      <c r="AL789" s="441">
        <f>Ruimtestaat[[#This Row],[Prest. (m2 /jaar) weekend]]+Ruimtestaat[[#This Row],[Prest. (m2 /jaar) werkdagen]]</f>
        <v>0</v>
      </c>
      <c r="AM789" s="441">
        <f>Ruimtestaat[[#This Row],[uren / jaar weekend]]+Ruimtestaat[[#This Row],[uren / jaar werkdagen]]</f>
        <v>0</v>
      </c>
      <c r="AN789" s="446">
        <f>Ruimtestaat[[#This Row],[kosten / jaar weekend]]+Ruimtestaat[[#This Row],[kosten / jaar werkdagen]]</f>
        <v>0</v>
      </c>
      <c r="AO789" s="446"/>
      <c r="AP789" s="446" t="str">
        <f>IF(Ruimtestaat[[#This Row],[Frequentie werkdagen]]="","",_xlfn.CONCAT(Ruimtestaat[[#This Row],[Ruimte code]],"-",Ruimtestaat[[#This Row],[Frequentie werkdagen]]," ",Ruimtestaat[[#This Row],[Vloer code]]))</f>
        <v/>
      </c>
      <c r="AQ789" s="448" t="str">
        <f>_xlfn.IFNA(VLOOKUP($AP789,Programma!$F$3:$G$1101,2,0),"")</f>
        <v/>
      </c>
      <c r="AR789" s="448" t="str">
        <f>_xlfn.IFNA(VLOOKUP($AP789,Programma!$F$3:$H$1101,3,0),"")</f>
        <v/>
      </c>
      <c r="AS789" s="448" t="str">
        <f>_xlfn.IFNA(VLOOKUP($AP789,Programma!$F$3:$I$1101,4,0),"")</f>
        <v/>
      </c>
      <c r="AT789" s="448" t="str">
        <f>_xlfn.IFNA(VLOOKUP($AP789,Programma!$F$3:$J$1101,5,0),"")</f>
        <v/>
      </c>
      <c r="AU789" s="448" t="str">
        <f>_xlfn.IFNA(VLOOKUP($AP789,Programma!$F$3:$K$1101,6,0),"")</f>
        <v/>
      </c>
      <c r="AV789" s="448" t="str">
        <f>_xlfn.IFNA(VLOOKUP($AP789,Programma!$F$3:$L$1101,7,0),"")</f>
        <v/>
      </c>
      <c r="AW789" s="448" t="str">
        <f>_xlfn.IFNA(VLOOKUP($AP789,Programma!$F$3:$M$1101,8,0),"")</f>
        <v/>
      </c>
      <c r="AX789" s="448" t="str">
        <f>_xlfn.IFNA(VLOOKUP($AP789,Programma!$F$3:$N$1101,9,0),"")</f>
        <v/>
      </c>
      <c r="AY789" s="448" t="str">
        <f>_xlfn.IFNA(VLOOKUP($AP789,Programma!$F$3:$O$1101,10,0),"")</f>
        <v/>
      </c>
      <c r="AZ789" s="448" t="str">
        <f>_xlfn.IFNA(VLOOKUP($AP789,Programma!$F$3:$P$1101,11,0),"")</f>
        <v/>
      </c>
      <c r="BA789" s="448" t="str">
        <f>_xlfn.IFNA(VLOOKUP($AP789,Programma!$F$3:$Q$1101,12,0),"")</f>
        <v/>
      </c>
      <c r="BB789" s="448" t="str">
        <f>_xlfn.IFNA(VLOOKUP($AP789,Programma!$F$3:$R$1101,13,0),"")</f>
        <v/>
      </c>
      <c r="BC789" s="448" t="str">
        <f>_xlfn.IFNA(VLOOKUP($AP789,Programma!$F$3:$S$1101,14,0),"")</f>
        <v/>
      </c>
      <c r="BD789" s="448" t="str">
        <f>_xlfn.IFNA(VLOOKUP($AP789,Programma!$F$3:$T$1101,15,0),"")</f>
        <v/>
      </c>
      <c r="BE789" s="448" t="str">
        <f>_xlfn.IFNA(VLOOKUP($AP789,Programma!$F$3:$U$1101,16,0),"")</f>
        <v/>
      </c>
      <c r="BF789" s="448" t="str">
        <f>_xlfn.IFNA(VLOOKUP($AP789,Programma!$F$3:$V$1101,17,0),"")</f>
        <v/>
      </c>
      <c r="BG789" s="448" t="str">
        <f>_xlfn.IFNA(VLOOKUP($AP789,Programma!$F$3:$W$1101,18,0),"")</f>
        <v/>
      </c>
      <c r="BH789" s="448" t="str">
        <f>_xlfn.IFNA(VLOOKUP($AP789,Programma!$F$3:$X$1101,19,0),"")</f>
        <v/>
      </c>
      <c r="BI789" s="448" t="str">
        <f>_xlfn.IFNA(VLOOKUP($AP789,Programma!$F$3:$Y$1101,20,0),"")</f>
        <v/>
      </c>
      <c r="BJ789" s="449"/>
      <c r="BK789" s="446" t="str">
        <f>IF(Ruimtestaat[[#This Row],[Frequentie weekend]]="","",_xlfn.CONCAT(Ruimtestaat[[#This Row],[Ruimte code]],"-",Ruimtestaat[[#This Row],[Frequentie weekend]]," ",Ruimtestaat[[#This Row],[Vloer code]]))</f>
        <v/>
      </c>
      <c r="BL789" s="448" t="str">
        <f>_xlfn.IFNA(VLOOKUP($BK789,Programma!$F$3:$G$1101,2,0),"")</f>
        <v/>
      </c>
      <c r="BM789" s="448" t="str">
        <f>_xlfn.IFNA(VLOOKUP($BK789,Programma!$F$3:$H$1101,3,0),"")</f>
        <v/>
      </c>
      <c r="BN789" s="448" t="str">
        <f>_xlfn.IFNA(VLOOKUP($BK789,Programma!$F$3:$I$1101,4,0),"")</f>
        <v/>
      </c>
      <c r="BO789" s="448" t="str">
        <f>_xlfn.IFNA(VLOOKUP($BK789,Programma!$F$3:$J$1101,5,0),"")</f>
        <v/>
      </c>
      <c r="BP789" s="448" t="str">
        <f>_xlfn.IFNA(VLOOKUP($BK789,Programma!$F$3:$K$1101,6,0),"")</f>
        <v/>
      </c>
      <c r="BQ789" s="448" t="str">
        <f>_xlfn.IFNA(VLOOKUP($BK789,Programma!$F$3:$L$1101,7,0),"")</f>
        <v/>
      </c>
      <c r="BR789" s="448" t="str">
        <f>_xlfn.IFNA(VLOOKUP($BK789,Programma!$F$3:$M$1101,8,0),"")</f>
        <v/>
      </c>
      <c r="BS789" s="448" t="str">
        <f>_xlfn.IFNA(VLOOKUP($BK789,Programma!$F$3:$N$1101,9,0),"")</f>
        <v/>
      </c>
      <c r="BT789" s="448" t="str">
        <f>_xlfn.IFNA(VLOOKUP($BK789,Programma!$F$3:$O$1101,10,0),"")</f>
        <v/>
      </c>
      <c r="BU789" s="448" t="str">
        <f>_xlfn.IFNA(VLOOKUP($BK789,Programma!$F$3:$P$1101,11,0),"")</f>
        <v/>
      </c>
      <c r="BV789" s="448" t="str">
        <f>_xlfn.IFNA(VLOOKUP($BK789,Programma!$F$3:$Q$1101,12,0),"")</f>
        <v/>
      </c>
      <c r="BW789" s="448" t="str">
        <f>_xlfn.IFNA(VLOOKUP($BK789,Programma!$F$3:$R$1101,13,0),"")</f>
        <v/>
      </c>
      <c r="BX789" s="448" t="str">
        <f>_xlfn.IFNA(VLOOKUP($BK789,Programma!$F$3:$S$1101,14,0),"")</f>
        <v/>
      </c>
      <c r="BY789" s="448" t="str">
        <f>_xlfn.IFNA(VLOOKUP($BK789,Programma!$F$3:$T$1101,15,0),"")</f>
        <v/>
      </c>
      <c r="BZ789" s="448" t="str">
        <f>_xlfn.IFNA(VLOOKUP($BK789,Programma!$F$3:$U$1101,16,0),"")</f>
        <v/>
      </c>
      <c r="CA789" s="448" t="str">
        <f>_xlfn.IFNA(VLOOKUP($BK789,Programma!$F$3:$V$1101,17,0),"")</f>
        <v/>
      </c>
      <c r="CB789" s="448" t="str">
        <f>_xlfn.IFNA(VLOOKUP($BK789,Programma!$F$3:$W$1101,18,0),"")</f>
        <v/>
      </c>
      <c r="CC789" s="448" t="str">
        <f>_xlfn.IFNA(VLOOKUP($BK789,Programma!$F$3:$X$1101,19,0),"")</f>
        <v/>
      </c>
      <c r="CD789" s="448" t="str">
        <f>_xlfn.IFNA(VLOOKUP($BK789,Programma!$F$3:$Y$1101,20,0),"")</f>
        <v/>
      </c>
    </row>
    <row r="790" spans="1:82" ht="15" customHeight="1">
      <c r="A790" s="327">
        <v>24</v>
      </c>
      <c r="B790" s="435" t="str">
        <f>VLOOKUP(Ruimtestaat[[#This Row],[Code]],Locaties[[Code]:[Locatie]],2,FALSE)</f>
        <v>IKC De Gaerde</v>
      </c>
      <c r="C790" s="435" t="str">
        <f>VLOOKUP(Ruimtestaat[[#This Row],[Code]],Locaties[[#All],[Code]:[Adres]],4,FALSE)</f>
        <v>Moerbeigaarde 58A</v>
      </c>
      <c r="D790" s="435" t="str">
        <f>VLOOKUP(Ruimtestaat[[#This Row],[Code]],Locaties[[#All],[Code]:[Postcode]],5,FALSE)</f>
        <v>2723 AG</v>
      </c>
      <c r="E790" s="435" t="str">
        <f>VLOOKUP(Ruimtestaat[[#This Row],[Code]],Locaties[#All],6,FALSE)</f>
        <v>Zoetermeer</v>
      </c>
      <c r="F790" s="450" t="s">
        <v>1705</v>
      </c>
      <c r="G790" s="330" t="s">
        <v>1678</v>
      </c>
      <c r="H790" s="330" t="s">
        <v>1884</v>
      </c>
      <c r="I790" s="450" t="s">
        <v>1708</v>
      </c>
      <c r="J790" s="330">
        <v>6</v>
      </c>
      <c r="K790" s="450" t="str">
        <f>VLOOKUP(Ruimtestaat[[#This Row],[Ruimte code]],Ruimtegroepen[[#All],[Code]:[Ruimte omschrijving]],2,FALSE)</f>
        <v>Gangen/hallen</v>
      </c>
      <c r="L790" s="330" t="s">
        <v>100</v>
      </c>
      <c r="M790" s="330" t="s">
        <v>2058</v>
      </c>
      <c r="N790" s="439"/>
      <c r="O790" s="439"/>
      <c r="P790" s="439"/>
      <c r="Q790" s="439">
        <v>41.8</v>
      </c>
      <c r="R790" s="440" t="str">
        <f>VLOOKUP(Ruimtestaat[[#This Row],[Ruimte code]],Ruimtegroepen[],4,FALSE)</f>
        <v>Ve</v>
      </c>
      <c r="S790" s="434">
        <v>51</v>
      </c>
      <c r="T790" s="434" t="s">
        <v>2</v>
      </c>
      <c r="U790" s="453">
        <f>IF(S790&gt;0,IF(RIGHT(Ruimtestaat[[#This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790" s="434">
        <f>IF(U790&gt;0,VLOOKUP($J790,Ruimtegroepen[],3,FALSE)*VLOOKUP($L790,Vloersoorten[],3,FALSE)*VLOOKUP($T790,Frequenties[],3,FALSE)*VLOOKUP($A790,Locaties[],3,FALSE),0)</f>
        <v>0</v>
      </c>
      <c r="W790" s="434">
        <f>Ruimtestaat[[#This Row],[Uitvoeringen werkdagen]]*Ruimtestaat[[#This Row],[Oppervlak (netto)]]</f>
        <v>0</v>
      </c>
      <c r="X790" s="441">
        <f>IF(V790&gt;0,Ruimtestaat[[#This Row],[Prest. (m2 /jaar) werkdagen]]/Ruimtestaat[[#This Row],[Norm (m2/uur) werkdagen]],0)</f>
        <v>0</v>
      </c>
      <c r="Y790" s="442">
        <f>Ruimtestaat[[#This Row],[Uitvoeringen werkdagen]]*Ruimtestaat[[#This Row],[Gedeeltelijk]]</f>
        <v>0</v>
      </c>
      <c r="Z790" s="443" t="e">
        <f>IF(U790&gt;0,Ruimtestaat[[#This Row],[Prest. (m2 / jaar) werkdagen gedeeld]]/Ruimtestaat[[#This Row],[Norm (m2/uur) werkdagen]],0)</f>
        <v>#DIV/0!</v>
      </c>
      <c r="AA790" s="441" t="e">
        <f>Ruimtestaat[[#This Row],[uren / jaar werkdagen gedeeld]]*Tariefsopbouw!$E$35</f>
        <v>#DIV/0!</v>
      </c>
      <c r="AB790" s="441">
        <f>Ruimtestaat[[#This Row],[Uitvoeringen werkdagen]]*Ruimtestaat[[#This Row],[BSO]]</f>
        <v>10659</v>
      </c>
      <c r="AC790" s="443" t="e">
        <f>IF(U790&gt;0,Ruimtestaat[[#This Row],[Prest. (m2 / jaar) werkdagen BSO]]/Ruimtestaat[[#This Row],[Norm (m2/uur) werkdagen]],0)</f>
        <v>#DIV/0!</v>
      </c>
      <c r="AD790" s="443" t="e">
        <f>Ruimtestaat[[#This Row],[uren / jaar werkdagen BSO]]*Tariefsopbouw!$E$35</f>
        <v>#DIV/0!</v>
      </c>
      <c r="AE790" s="444">
        <f>Ruimtestaat[[#This Row],[uren / jaar werkdagen]]*Tariefsopbouw!$E$35</f>
        <v>0</v>
      </c>
      <c r="AF790" s="454"/>
      <c r="AG790" s="455">
        <f>IF(Ruimtestaat[[#This Row],[Frequentie weekend]]&gt;0,VALUE(LEFT(AF790,1))*S790,0)</f>
        <v>0</v>
      </c>
      <c r="AH790" s="455">
        <f>IF($AG790&gt;0,VLOOKUP($J790,Ruimtegroepen[],3,FALSE)*VLOOKUP($L790,Vloersoorten[],3,FALSE)*VLOOKUP($AF790,Frequenties[],3,FALSE)*VLOOKUP(#REF!,Locaties[],3,FALSE),0)</f>
        <v>0</v>
      </c>
      <c r="AI790" s="434">
        <f>Ruimtestaat[[#This Row],[Uitvoeringen weekend]]*Ruimtestaat[[#This Row],[Oppervlak (netto)]]</f>
        <v>0</v>
      </c>
      <c r="AJ790" s="434">
        <f>IF(AH790&gt;0,Ruimtestaat[[#This Row],[Prest. (m2 /jaar) weekend]]/Ruimtestaat[[#This Row],[Norm (m2/uur) weekend]],0)</f>
        <v>0</v>
      </c>
      <c r="AK790" s="444">
        <f>Ruimtestaat[[#This Row],[uren / jaar weekend]]*Tariefsopbouw!$D$40</f>
        <v>0</v>
      </c>
      <c r="AL790" s="441">
        <f>Ruimtestaat[[#This Row],[Prest. (m2 /jaar) weekend]]+Ruimtestaat[[#This Row],[Prest. (m2 /jaar) werkdagen]]</f>
        <v>0</v>
      </c>
      <c r="AM790" s="441">
        <f>Ruimtestaat[[#This Row],[uren / jaar weekend]]+Ruimtestaat[[#This Row],[uren / jaar werkdagen]]</f>
        <v>0</v>
      </c>
      <c r="AN790" s="446">
        <f>Ruimtestaat[[#This Row],[kosten / jaar weekend]]+Ruimtestaat[[#This Row],[kosten / jaar werkdagen]]</f>
        <v>0</v>
      </c>
      <c r="AO790" s="446"/>
      <c r="AP790" s="446" t="str">
        <f>IF(Ruimtestaat[[#This Row],[Frequentie werkdagen]]="","",_xlfn.CONCAT(Ruimtestaat[[#This Row],[Ruimte code]],"-",Ruimtestaat[[#This Row],[Frequentie werkdagen]]," ",Ruimtestaat[[#This Row],[Vloer code]]))</f>
        <v>6-5w L</v>
      </c>
      <c r="AQ790" s="448" t="str">
        <f>_xlfn.IFNA(VLOOKUP($AP790,Programma!$F$3:$G$1101,2,0),"")</f>
        <v>_</v>
      </c>
      <c r="AR790" s="448" t="str">
        <f>_xlfn.IFNA(VLOOKUP($AP790,Programma!$F$3:$H$1101,3,0),"")</f>
        <v>_</v>
      </c>
      <c r="AS790" s="448" t="str">
        <f>_xlfn.IFNA(VLOOKUP($AP790,Programma!$F$3:$I$1101,4,0),"")</f>
        <v>_</v>
      </c>
      <c r="AT790" s="448" t="str">
        <f>_xlfn.IFNA(VLOOKUP($AP790,Programma!$F$3:$J$1101,5,0),"")</f>
        <v>5w</v>
      </c>
      <c r="AU790" s="448" t="str">
        <f>_xlfn.IFNA(VLOOKUP($AP790,Programma!$F$3:$K$1101,6,0),"")</f>
        <v>_</v>
      </c>
      <c r="AV790" s="448" t="str">
        <f>_xlfn.IFNA(VLOOKUP($AP790,Programma!$F$3:$L$1101,7,0),"")</f>
        <v>_</v>
      </c>
      <c r="AW790" s="448" t="str">
        <f>_xlfn.IFNA(VLOOKUP($AP790,Programma!$F$3:$M$1101,8,0),"")</f>
        <v>_</v>
      </c>
      <c r="AX790" s="448" t="str">
        <f>_xlfn.IFNA(VLOOKUP($AP790,Programma!$F$3:$N$1101,9,0),"")</f>
        <v>_</v>
      </c>
      <c r="AY790" s="448" t="str">
        <f>_xlfn.IFNA(VLOOKUP($AP790,Programma!$F$3:$O$1101,10,0),"")</f>
        <v>5w</v>
      </c>
      <c r="AZ790" s="448" t="str">
        <f>_xlfn.IFNA(VLOOKUP($AP790,Programma!$F$3:$P$1101,11,0),"")</f>
        <v>5w</v>
      </c>
      <c r="BA790" s="448" t="str">
        <f>_xlfn.IFNA(VLOOKUP($AP790,Programma!$F$3:$Q$1101,12,0),"")</f>
        <v>1w</v>
      </c>
      <c r="BB790" s="448" t="str">
        <f>_xlfn.IFNA(VLOOKUP($AP790,Programma!$F$3:$R$1101,13,0),"")</f>
        <v>1w</v>
      </c>
      <c r="BC790" s="448" t="str">
        <f>_xlfn.IFNA(VLOOKUP($AP790,Programma!$F$3:$S$1101,14,0),"")</f>
        <v>1m</v>
      </c>
      <c r="BD790" s="448" t="str">
        <f>_xlfn.IFNA(VLOOKUP($AP790,Programma!$F$3:$T$1101,15,0),"")</f>
        <v>2j</v>
      </c>
      <c r="BE790" s="448" t="str">
        <f>_xlfn.IFNA(VLOOKUP($AP790,Programma!$F$3:$U$1101,16,0),"")</f>
        <v>1j</v>
      </c>
      <c r="BF790" s="448" t="str">
        <f>_xlfn.IFNA(VLOOKUP($AP790,Programma!$F$3:$V$1101,17,0),"")</f>
        <v>_</v>
      </c>
      <c r="BG790" s="448" t="str">
        <f>_xlfn.IFNA(VLOOKUP($AP790,Programma!$F$3:$W$1101,18,0),"")</f>
        <v>_</v>
      </c>
      <c r="BH790" s="448" t="str">
        <f>_xlfn.IFNA(VLOOKUP($AP790,Programma!$F$3:$X$1101,19,0),"")</f>
        <v>_</v>
      </c>
      <c r="BI790" s="448" t="str">
        <f>_xlfn.IFNA(VLOOKUP($AP790,Programma!$F$3:$Y$1101,20,0),"")</f>
        <v>_</v>
      </c>
      <c r="BJ790" s="449"/>
      <c r="BK790" s="446" t="str">
        <f>IF(Ruimtestaat[[#This Row],[Frequentie weekend]]="","",_xlfn.CONCAT(Ruimtestaat[[#This Row],[Ruimte code]],"-",Ruimtestaat[[#This Row],[Frequentie weekend]]," ",Ruimtestaat[[#This Row],[Vloer code]]))</f>
        <v/>
      </c>
      <c r="BL790" s="448" t="str">
        <f>_xlfn.IFNA(VLOOKUP($BK790,Programma!$F$3:$G$1101,2,0),"")</f>
        <v/>
      </c>
      <c r="BM790" s="448" t="str">
        <f>_xlfn.IFNA(VLOOKUP($BK790,Programma!$F$3:$H$1101,3,0),"")</f>
        <v/>
      </c>
      <c r="BN790" s="448" t="str">
        <f>_xlfn.IFNA(VLOOKUP($BK790,Programma!$F$3:$I$1101,4,0),"")</f>
        <v/>
      </c>
      <c r="BO790" s="448" t="str">
        <f>_xlfn.IFNA(VLOOKUP($BK790,Programma!$F$3:$J$1101,5,0),"")</f>
        <v/>
      </c>
      <c r="BP790" s="448" t="str">
        <f>_xlfn.IFNA(VLOOKUP($BK790,Programma!$F$3:$K$1101,6,0),"")</f>
        <v/>
      </c>
      <c r="BQ790" s="448" t="str">
        <f>_xlfn.IFNA(VLOOKUP($BK790,Programma!$F$3:$L$1101,7,0),"")</f>
        <v/>
      </c>
      <c r="BR790" s="448" t="str">
        <f>_xlfn.IFNA(VLOOKUP($BK790,Programma!$F$3:$M$1101,8,0),"")</f>
        <v/>
      </c>
      <c r="BS790" s="448" t="str">
        <f>_xlfn.IFNA(VLOOKUP($BK790,Programma!$F$3:$N$1101,9,0),"")</f>
        <v/>
      </c>
      <c r="BT790" s="448" t="str">
        <f>_xlfn.IFNA(VLOOKUP($BK790,Programma!$F$3:$O$1101,10,0),"")</f>
        <v/>
      </c>
      <c r="BU790" s="448" t="str">
        <f>_xlfn.IFNA(VLOOKUP($BK790,Programma!$F$3:$P$1101,11,0),"")</f>
        <v/>
      </c>
      <c r="BV790" s="448" t="str">
        <f>_xlfn.IFNA(VLOOKUP($BK790,Programma!$F$3:$Q$1101,12,0),"")</f>
        <v/>
      </c>
      <c r="BW790" s="448" t="str">
        <f>_xlfn.IFNA(VLOOKUP($BK790,Programma!$F$3:$R$1101,13,0),"")</f>
        <v/>
      </c>
      <c r="BX790" s="448" t="str">
        <f>_xlfn.IFNA(VLOOKUP($BK790,Programma!$F$3:$S$1101,14,0),"")</f>
        <v/>
      </c>
      <c r="BY790" s="448" t="str">
        <f>_xlfn.IFNA(VLOOKUP($BK790,Programma!$F$3:$T$1101,15,0),"")</f>
        <v/>
      </c>
      <c r="BZ790" s="448" t="str">
        <f>_xlfn.IFNA(VLOOKUP($BK790,Programma!$F$3:$U$1101,16,0),"")</f>
        <v/>
      </c>
      <c r="CA790" s="448" t="str">
        <f>_xlfn.IFNA(VLOOKUP($BK790,Programma!$F$3:$V$1101,17,0),"")</f>
        <v/>
      </c>
      <c r="CB790" s="448" t="str">
        <f>_xlfn.IFNA(VLOOKUP($BK790,Programma!$F$3:$W$1101,18,0),"")</f>
        <v/>
      </c>
      <c r="CC790" s="448" t="str">
        <f>_xlfn.IFNA(VLOOKUP($BK790,Programma!$F$3:$X$1101,19,0),"")</f>
        <v/>
      </c>
      <c r="CD790" s="448" t="str">
        <f>_xlfn.IFNA(VLOOKUP($BK790,Programma!$F$3:$Y$1101,20,0),"")</f>
        <v/>
      </c>
    </row>
    <row r="791" spans="1:82" ht="15" customHeight="1">
      <c r="A791" s="327">
        <v>24</v>
      </c>
      <c r="B791" s="435" t="str">
        <f>VLOOKUP(Ruimtestaat[[#This Row],[Code]],Locaties[[Code]:[Locatie]],2,FALSE)</f>
        <v>IKC De Gaerde</v>
      </c>
      <c r="C791" s="435" t="str">
        <f>VLOOKUP(Ruimtestaat[[#This Row],[Code]],Locaties[[#All],[Code]:[Adres]],4,FALSE)</f>
        <v>Moerbeigaarde 58A</v>
      </c>
      <c r="D791" s="435" t="str">
        <f>VLOOKUP(Ruimtestaat[[#This Row],[Code]],Locaties[[#All],[Code]:[Postcode]],5,FALSE)</f>
        <v>2723 AG</v>
      </c>
      <c r="E791" s="435" t="str">
        <f>VLOOKUP(Ruimtestaat[[#This Row],[Code]],Locaties[#All],6,FALSE)</f>
        <v>Zoetermeer</v>
      </c>
      <c r="F791" s="450" t="s">
        <v>1705</v>
      </c>
      <c r="G791" s="330" t="s">
        <v>1678</v>
      </c>
      <c r="H791" s="330" t="s">
        <v>1885</v>
      </c>
      <c r="I791" s="450" t="s">
        <v>2015</v>
      </c>
      <c r="J791" s="330">
        <v>1</v>
      </c>
      <c r="K791" s="450" t="str">
        <f>VLOOKUP(Ruimtestaat[[#This Row],[Ruimte code]],Ruimtegroepen[[#All],[Code]:[Ruimte omschrijving]],2,FALSE)</f>
        <v>Magazijnen/bergingen</v>
      </c>
      <c r="L791" s="330" t="s">
        <v>100</v>
      </c>
      <c r="M791" s="330" t="s">
        <v>2058</v>
      </c>
      <c r="N791" s="439"/>
      <c r="O791" s="439"/>
      <c r="P791" s="439"/>
      <c r="Q791" s="439">
        <v>3.3</v>
      </c>
      <c r="R791" s="440" t="str">
        <f>VLOOKUP(Ruimtestaat[[#This Row],[Ruimte code]],Ruimtegroepen[],4,FALSE)</f>
        <v>Ve</v>
      </c>
      <c r="S791" s="434">
        <v>51</v>
      </c>
      <c r="T791" s="434" t="s">
        <v>16</v>
      </c>
      <c r="U791" s="453">
        <f>IF(S791&gt;0,IF(RIGHT(Ruimtestaat[[#This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791" s="434">
        <f>IF(U791&gt;0,VLOOKUP($J791,Ruimtegroepen[],3,FALSE)*VLOOKUP($L791,Vloersoorten[],3,FALSE)*VLOOKUP($T791,Frequenties[],3,FALSE)*VLOOKUP($A791,Locaties[],3,FALSE),0)</f>
        <v>0</v>
      </c>
      <c r="W791" s="434">
        <f>Ruimtestaat[[#This Row],[Uitvoeringen werkdagen]]*Ruimtestaat[[#This Row],[Oppervlak (netto)]]</f>
        <v>0</v>
      </c>
      <c r="X791" s="441">
        <f>IF(V791&gt;0,Ruimtestaat[[#This Row],[Prest. (m2 /jaar) werkdagen]]/Ruimtestaat[[#This Row],[Norm (m2/uur) werkdagen]],0)</f>
        <v>0</v>
      </c>
      <c r="Y791" s="442">
        <f>Ruimtestaat[[#This Row],[Uitvoeringen werkdagen]]*Ruimtestaat[[#This Row],[Gedeeltelijk]]</f>
        <v>0</v>
      </c>
      <c r="Z791" s="443" t="e">
        <f>IF(U791&gt;0,Ruimtestaat[[#This Row],[Prest. (m2 / jaar) werkdagen gedeeld]]/Ruimtestaat[[#This Row],[Norm (m2/uur) werkdagen]],0)</f>
        <v>#DIV/0!</v>
      </c>
      <c r="AA791" s="441" t="e">
        <f>Ruimtestaat[[#This Row],[uren / jaar werkdagen gedeeld]]*Tariefsopbouw!$E$35</f>
        <v>#DIV/0!</v>
      </c>
      <c r="AB791" s="441">
        <f>Ruimtestaat[[#This Row],[Uitvoeringen werkdagen]]*Ruimtestaat[[#This Row],[BSO]]</f>
        <v>39.599999999999994</v>
      </c>
      <c r="AC791" s="443" t="e">
        <f>IF(U791&gt;0,Ruimtestaat[[#This Row],[Prest. (m2 / jaar) werkdagen BSO]]/Ruimtestaat[[#This Row],[Norm (m2/uur) werkdagen]],0)</f>
        <v>#DIV/0!</v>
      </c>
      <c r="AD791" s="443" t="e">
        <f>Ruimtestaat[[#This Row],[uren / jaar werkdagen BSO]]*Tariefsopbouw!$E$35</f>
        <v>#DIV/0!</v>
      </c>
      <c r="AE791" s="444">
        <f>Ruimtestaat[[#This Row],[uren / jaar werkdagen]]*Tariefsopbouw!$E$35</f>
        <v>0</v>
      </c>
      <c r="AF791" s="454"/>
      <c r="AG791" s="455">
        <f>IF(Ruimtestaat[[#This Row],[Frequentie weekend]]&gt;0,VALUE(LEFT(AF791,1))*S791,0)</f>
        <v>0</v>
      </c>
      <c r="AH791" s="455">
        <f>IF($AG791&gt;0,VLOOKUP($J791,Ruimtegroepen[],3,FALSE)*VLOOKUP($L791,Vloersoorten[],3,FALSE)*VLOOKUP($AF791,Frequenties[],3,FALSE)*VLOOKUP(#REF!,Locaties[],3,FALSE),0)</f>
        <v>0</v>
      </c>
      <c r="AI791" s="434">
        <f>Ruimtestaat[[#This Row],[Uitvoeringen weekend]]*Ruimtestaat[[#This Row],[Oppervlak (netto)]]</f>
        <v>0</v>
      </c>
      <c r="AJ791" s="434">
        <f>IF(AH791&gt;0,Ruimtestaat[[#This Row],[Prest. (m2 /jaar) weekend]]/Ruimtestaat[[#This Row],[Norm (m2/uur) weekend]],0)</f>
        <v>0</v>
      </c>
      <c r="AK791" s="444">
        <f>Ruimtestaat[[#This Row],[uren / jaar weekend]]*Tariefsopbouw!$D$40</f>
        <v>0</v>
      </c>
      <c r="AL791" s="441">
        <f>Ruimtestaat[[#This Row],[Prest. (m2 /jaar) weekend]]+Ruimtestaat[[#This Row],[Prest. (m2 /jaar) werkdagen]]</f>
        <v>0</v>
      </c>
      <c r="AM791" s="441">
        <f>Ruimtestaat[[#This Row],[uren / jaar weekend]]+Ruimtestaat[[#This Row],[uren / jaar werkdagen]]</f>
        <v>0</v>
      </c>
      <c r="AN791" s="446">
        <f>Ruimtestaat[[#This Row],[kosten / jaar weekend]]+Ruimtestaat[[#This Row],[kosten / jaar werkdagen]]</f>
        <v>0</v>
      </c>
      <c r="AO791" s="446"/>
      <c r="AP791" s="446" t="str">
        <f>IF(Ruimtestaat[[#This Row],[Frequentie werkdagen]]="","",_xlfn.CONCAT(Ruimtestaat[[#This Row],[Ruimte code]],"-",Ruimtestaat[[#This Row],[Frequentie werkdagen]]," ",Ruimtestaat[[#This Row],[Vloer code]]))</f>
        <v>1-1m L</v>
      </c>
      <c r="AQ791" s="448" t="str">
        <f>_xlfn.IFNA(VLOOKUP($AP791,Programma!$F$3:$G$1101,2,0),"")</f>
        <v>_</v>
      </c>
      <c r="AR791" s="448" t="str">
        <f>_xlfn.IFNA(VLOOKUP($AP791,Programma!$F$3:$H$1101,3,0),"")</f>
        <v>_</v>
      </c>
      <c r="AS791" s="448" t="str">
        <f>_xlfn.IFNA(VLOOKUP($AP791,Programma!$F$3:$I$1101,4,0),"")</f>
        <v>1m</v>
      </c>
      <c r="AT791" s="448" t="str">
        <f>_xlfn.IFNA(VLOOKUP($AP791,Programma!$F$3:$J$1101,5,0),"")</f>
        <v>1m</v>
      </c>
      <c r="AU791" s="448" t="str">
        <f>_xlfn.IFNA(VLOOKUP($AP791,Programma!$F$3:$K$1101,6,0),"")</f>
        <v>_</v>
      </c>
      <c r="AV791" s="448" t="str">
        <f>_xlfn.IFNA(VLOOKUP($AP791,Programma!$F$3:$L$1101,7,0),"")</f>
        <v>_</v>
      </c>
      <c r="AW791" s="448" t="str">
        <f>_xlfn.IFNA(VLOOKUP($AP791,Programma!$F$3:$M$1101,8,0),"")</f>
        <v>_</v>
      </c>
      <c r="AX791" s="448" t="str">
        <f>_xlfn.IFNA(VLOOKUP($AP791,Programma!$F$3:$N$1101,9,0),"")</f>
        <v>_</v>
      </c>
      <c r="AY791" s="448" t="str">
        <f>_xlfn.IFNA(VLOOKUP($AP791,Programma!$F$3:$O$1101,10,0),"")</f>
        <v>_</v>
      </c>
      <c r="AZ791" s="448" t="str">
        <f>_xlfn.IFNA(VLOOKUP($AP791,Programma!$F$3:$P$1101,11,0),"")</f>
        <v>_</v>
      </c>
      <c r="BA791" s="448" t="str">
        <f>_xlfn.IFNA(VLOOKUP($AP791,Programma!$F$3:$Q$1101,12,0),"")</f>
        <v>_</v>
      </c>
      <c r="BB791" s="448" t="str">
        <f>_xlfn.IFNA(VLOOKUP($AP791,Programma!$F$3:$R$1101,13,0),"")</f>
        <v>_</v>
      </c>
      <c r="BC791" s="448" t="str">
        <f>_xlfn.IFNA(VLOOKUP($AP791,Programma!$F$3:$S$1101,14,0),"")</f>
        <v>1m</v>
      </c>
      <c r="BD791" s="448" t="str">
        <f>_xlfn.IFNA(VLOOKUP($AP791,Programma!$F$3:$T$1101,15,0),"")</f>
        <v>4j</v>
      </c>
      <c r="BE791" s="448" t="str">
        <f>_xlfn.IFNA(VLOOKUP($AP791,Programma!$F$3:$U$1101,16,0),"")</f>
        <v>4j</v>
      </c>
      <c r="BF791" s="448" t="str">
        <f>_xlfn.IFNA(VLOOKUP($AP791,Programma!$F$3:$V$1101,17,0),"")</f>
        <v>_</v>
      </c>
      <c r="BG791" s="448" t="str">
        <f>_xlfn.IFNA(VLOOKUP($AP791,Programma!$F$3:$W$1101,18,0),"")</f>
        <v>_</v>
      </c>
      <c r="BH791" s="448" t="str">
        <f>_xlfn.IFNA(VLOOKUP($AP791,Programma!$F$3:$X$1101,19,0),"")</f>
        <v>_</v>
      </c>
      <c r="BI791" s="448" t="str">
        <f>_xlfn.IFNA(VLOOKUP($AP791,Programma!$F$3:$Y$1101,20,0),"")</f>
        <v>_</v>
      </c>
      <c r="BJ791" s="449"/>
      <c r="BK791" s="446" t="str">
        <f>IF(Ruimtestaat[[#This Row],[Frequentie weekend]]="","",_xlfn.CONCAT(Ruimtestaat[[#This Row],[Ruimte code]],"-",Ruimtestaat[[#This Row],[Frequentie weekend]]," ",Ruimtestaat[[#This Row],[Vloer code]]))</f>
        <v/>
      </c>
      <c r="BL791" s="448" t="str">
        <f>_xlfn.IFNA(VLOOKUP($BK791,Programma!$F$3:$G$1101,2,0),"")</f>
        <v/>
      </c>
      <c r="BM791" s="448" t="str">
        <f>_xlfn.IFNA(VLOOKUP($BK791,Programma!$F$3:$H$1101,3,0),"")</f>
        <v/>
      </c>
      <c r="BN791" s="448" t="str">
        <f>_xlfn.IFNA(VLOOKUP($BK791,Programma!$F$3:$I$1101,4,0),"")</f>
        <v/>
      </c>
      <c r="BO791" s="448" t="str">
        <f>_xlfn.IFNA(VLOOKUP($BK791,Programma!$F$3:$J$1101,5,0),"")</f>
        <v/>
      </c>
      <c r="BP791" s="448" t="str">
        <f>_xlfn.IFNA(VLOOKUP($BK791,Programma!$F$3:$K$1101,6,0),"")</f>
        <v/>
      </c>
      <c r="BQ791" s="448" t="str">
        <f>_xlfn.IFNA(VLOOKUP($BK791,Programma!$F$3:$L$1101,7,0),"")</f>
        <v/>
      </c>
      <c r="BR791" s="448" t="str">
        <f>_xlfn.IFNA(VLOOKUP($BK791,Programma!$F$3:$M$1101,8,0),"")</f>
        <v/>
      </c>
      <c r="BS791" s="448" t="str">
        <f>_xlfn.IFNA(VLOOKUP($BK791,Programma!$F$3:$N$1101,9,0),"")</f>
        <v/>
      </c>
      <c r="BT791" s="448" t="str">
        <f>_xlfn.IFNA(VLOOKUP($BK791,Programma!$F$3:$O$1101,10,0),"")</f>
        <v/>
      </c>
      <c r="BU791" s="448" t="str">
        <f>_xlfn.IFNA(VLOOKUP($BK791,Programma!$F$3:$P$1101,11,0),"")</f>
        <v/>
      </c>
      <c r="BV791" s="448" t="str">
        <f>_xlfn.IFNA(VLOOKUP($BK791,Programma!$F$3:$Q$1101,12,0),"")</f>
        <v/>
      </c>
      <c r="BW791" s="448" t="str">
        <f>_xlfn.IFNA(VLOOKUP($BK791,Programma!$F$3:$R$1101,13,0),"")</f>
        <v/>
      </c>
      <c r="BX791" s="448" t="str">
        <f>_xlfn.IFNA(VLOOKUP($BK791,Programma!$F$3:$S$1101,14,0),"")</f>
        <v/>
      </c>
      <c r="BY791" s="448" t="str">
        <f>_xlfn.IFNA(VLOOKUP($BK791,Programma!$F$3:$T$1101,15,0),"")</f>
        <v/>
      </c>
      <c r="BZ791" s="448" t="str">
        <f>_xlfn.IFNA(VLOOKUP($BK791,Programma!$F$3:$U$1101,16,0),"")</f>
        <v/>
      </c>
      <c r="CA791" s="448" t="str">
        <f>_xlfn.IFNA(VLOOKUP($BK791,Programma!$F$3:$V$1101,17,0),"")</f>
        <v/>
      </c>
      <c r="CB791" s="448" t="str">
        <f>_xlfn.IFNA(VLOOKUP($BK791,Programma!$F$3:$W$1101,18,0),"")</f>
        <v/>
      </c>
      <c r="CC791" s="448" t="str">
        <f>_xlfn.IFNA(VLOOKUP($BK791,Programma!$F$3:$X$1101,19,0),"")</f>
        <v/>
      </c>
      <c r="CD791" s="448" t="str">
        <f>_xlfn.IFNA(VLOOKUP($BK791,Programma!$F$3:$Y$1101,20,0),"")</f>
        <v/>
      </c>
    </row>
    <row r="792" spans="1:82" ht="15" customHeight="1">
      <c r="A792" s="327">
        <v>24</v>
      </c>
      <c r="B792" s="435" t="str">
        <f>VLOOKUP(Ruimtestaat[[#This Row],[Code]],Locaties[[Code]:[Locatie]],2,FALSE)</f>
        <v>IKC De Gaerde</v>
      </c>
      <c r="C792" s="435" t="str">
        <f>VLOOKUP(Ruimtestaat[[#This Row],[Code]],Locaties[[#All],[Code]:[Adres]],4,FALSE)</f>
        <v>Moerbeigaarde 58A</v>
      </c>
      <c r="D792" s="435" t="str">
        <f>VLOOKUP(Ruimtestaat[[#This Row],[Code]],Locaties[[#All],[Code]:[Postcode]],5,FALSE)</f>
        <v>2723 AG</v>
      </c>
      <c r="E792" s="435" t="str">
        <f>VLOOKUP(Ruimtestaat[[#This Row],[Code]],Locaties[#All],6,FALSE)</f>
        <v>Zoetermeer</v>
      </c>
      <c r="F792" s="450"/>
      <c r="G792" s="330" t="s">
        <v>1678</v>
      </c>
      <c r="H792" s="330" t="s">
        <v>2016</v>
      </c>
      <c r="I792" s="450" t="s">
        <v>2017</v>
      </c>
      <c r="J792" s="330">
        <v>20</v>
      </c>
      <c r="K792" s="450" t="str">
        <f>VLOOKUP(Ruimtestaat[[#This Row],[Ruimte code]],Ruimtegroepen[[#All],[Code]:[Ruimte omschrijving]],2,FALSE)</f>
        <v>Niet in Onderhoud</v>
      </c>
      <c r="L792" s="330" t="s">
        <v>100</v>
      </c>
      <c r="M792" s="330" t="s">
        <v>2058</v>
      </c>
      <c r="N792" s="439"/>
      <c r="O792" s="439"/>
      <c r="P792" s="439"/>
      <c r="Q792" s="439"/>
      <c r="R792" s="440">
        <f>VLOOKUP(Ruimtestaat[[#This Row],[Ruimte code]],Ruimtegroepen[],4,FALSE)</f>
        <v>0</v>
      </c>
      <c r="S792" s="434"/>
      <c r="T792" s="434"/>
      <c r="U792" s="453">
        <f>IF(S792&gt;0,IF(RIGHT(Ruimtestaat[[#This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92" s="434">
        <f>IF(U792&gt;0,VLOOKUP($J792,Ruimtegroepen[],3,FALSE)*VLOOKUP($L792,Vloersoorten[],3,FALSE)*VLOOKUP($T792,Frequenties[],3,FALSE)*VLOOKUP($A792,Locaties[],3,FALSE),0)</f>
        <v>0</v>
      </c>
      <c r="W792" s="434">
        <f>Ruimtestaat[[#This Row],[Uitvoeringen werkdagen]]*Ruimtestaat[[#This Row],[Oppervlak (netto)]]</f>
        <v>0</v>
      </c>
      <c r="X792" s="441">
        <f>IF(V792&gt;0,Ruimtestaat[[#This Row],[Prest. (m2 /jaar) werkdagen]]/Ruimtestaat[[#This Row],[Norm (m2/uur) werkdagen]],0)</f>
        <v>0</v>
      </c>
      <c r="Y792" s="442">
        <f>Ruimtestaat[[#This Row],[Uitvoeringen werkdagen]]*Ruimtestaat[[#This Row],[Gedeeltelijk]]</f>
        <v>0</v>
      </c>
      <c r="Z792" s="443">
        <f>IF(U792&gt;0,Ruimtestaat[[#This Row],[Prest. (m2 / jaar) werkdagen gedeeld]]/Ruimtestaat[[#This Row],[Norm (m2/uur) werkdagen]],0)</f>
        <v>0</v>
      </c>
      <c r="AA792" s="441">
        <f>Ruimtestaat[[#This Row],[uren / jaar werkdagen gedeeld]]*Tariefsopbouw!$E$35</f>
        <v>0</v>
      </c>
      <c r="AB792" s="441">
        <f>Ruimtestaat[[#This Row],[Uitvoeringen werkdagen]]*Ruimtestaat[[#This Row],[BSO]]</f>
        <v>0</v>
      </c>
      <c r="AC792" s="443">
        <f>IF(U792&gt;0,Ruimtestaat[[#This Row],[Prest. (m2 / jaar) werkdagen BSO]]/Ruimtestaat[[#This Row],[Norm (m2/uur) werkdagen]],0)</f>
        <v>0</v>
      </c>
      <c r="AD792" s="443">
        <f>Ruimtestaat[[#This Row],[uren / jaar werkdagen BSO]]*Tariefsopbouw!$E$35</f>
        <v>0</v>
      </c>
      <c r="AE792" s="444">
        <f>Ruimtestaat[[#This Row],[uren / jaar werkdagen]]*Tariefsopbouw!$E$35</f>
        <v>0</v>
      </c>
      <c r="AF792" s="454"/>
      <c r="AG792" s="455">
        <f>IF(Ruimtestaat[[#This Row],[Frequentie weekend]]&gt;0,VALUE(LEFT(AF792,1))*S792,0)</f>
        <v>0</v>
      </c>
      <c r="AH792" s="455">
        <f>IF($AG792&gt;0,VLOOKUP($J792,Ruimtegroepen[],3,FALSE)*VLOOKUP($L792,Vloersoorten[],3,FALSE)*VLOOKUP($AF792,Frequenties[],3,FALSE)*VLOOKUP(#REF!,Locaties[],3,FALSE),0)</f>
        <v>0</v>
      </c>
      <c r="AI792" s="434">
        <f>Ruimtestaat[[#This Row],[Uitvoeringen weekend]]*Ruimtestaat[[#This Row],[Oppervlak (netto)]]</f>
        <v>0</v>
      </c>
      <c r="AJ792" s="434">
        <f>IF(AH792&gt;0,Ruimtestaat[[#This Row],[Prest. (m2 /jaar) weekend]]/Ruimtestaat[[#This Row],[Norm (m2/uur) weekend]],0)</f>
        <v>0</v>
      </c>
      <c r="AK792" s="444">
        <f>Ruimtestaat[[#This Row],[uren / jaar weekend]]*Tariefsopbouw!$D$40</f>
        <v>0</v>
      </c>
      <c r="AL792" s="441">
        <f>Ruimtestaat[[#This Row],[Prest. (m2 /jaar) weekend]]+Ruimtestaat[[#This Row],[Prest. (m2 /jaar) werkdagen]]</f>
        <v>0</v>
      </c>
      <c r="AM792" s="441">
        <f>Ruimtestaat[[#This Row],[uren / jaar weekend]]+Ruimtestaat[[#This Row],[uren / jaar werkdagen]]</f>
        <v>0</v>
      </c>
      <c r="AN792" s="446">
        <f>Ruimtestaat[[#This Row],[kosten / jaar weekend]]+Ruimtestaat[[#This Row],[kosten / jaar werkdagen]]</f>
        <v>0</v>
      </c>
      <c r="AO792" s="446"/>
      <c r="AP792" s="446" t="str">
        <f>IF(Ruimtestaat[[#This Row],[Frequentie werkdagen]]="","",_xlfn.CONCAT(Ruimtestaat[[#This Row],[Ruimte code]],"-",Ruimtestaat[[#This Row],[Frequentie werkdagen]]," ",Ruimtestaat[[#This Row],[Vloer code]]))</f>
        <v/>
      </c>
      <c r="AQ792" s="448" t="str">
        <f>_xlfn.IFNA(VLOOKUP($AP792,Programma!$F$3:$G$1101,2,0),"")</f>
        <v/>
      </c>
      <c r="AR792" s="448" t="str">
        <f>_xlfn.IFNA(VLOOKUP($AP792,Programma!$F$3:$H$1101,3,0),"")</f>
        <v/>
      </c>
      <c r="AS792" s="448" t="str">
        <f>_xlfn.IFNA(VLOOKUP($AP792,Programma!$F$3:$I$1101,4,0),"")</f>
        <v/>
      </c>
      <c r="AT792" s="448" t="str">
        <f>_xlfn.IFNA(VLOOKUP($AP792,Programma!$F$3:$J$1101,5,0),"")</f>
        <v/>
      </c>
      <c r="AU792" s="448" t="str">
        <f>_xlfn.IFNA(VLOOKUP($AP792,Programma!$F$3:$K$1101,6,0),"")</f>
        <v/>
      </c>
      <c r="AV792" s="448" t="str">
        <f>_xlfn.IFNA(VLOOKUP($AP792,Programma!$F$3:$L$1101,7,0),"")</f>
        <v/>
      </c>
      <c r="AW792" s="448" t="str">
        <f>_xlfn.IFNA(VLOOKUP($AP792,Programma!$F$3:$M$1101,8,0),"")</f>
        <v/>
      </c>
      <c r="AX792" s="448" t="str">
        <f>_xlfn.IFNA(VLOOKUP($AP792,Programma!$F$3:$N$1101,9,0),"")</f>
        <v/>
      </c>
      <c r="AY792" s="448" t="str">
        <f>_xlfn.IFNA(VLOOKUP($AP792,Programma!$F$3:$O$1101,10,0),"")</f>
        <v/>
      </c>
      <c r="AZ792" s="448" t="str">
        <f>_xlfn.IFNA(VLOOKUP($AP792,Programma!$F$3:$P$1101,11,0),"")</f>
        <v/>
      </c>
      <c r="BA792" s="448" t="str">
        <f>_xlfn.IFNA(VLOOKUP($AP792,Programma!$F$3:$Q$1101,12,0),"")</f>
        <v/>
      </c>
      <c r="BB792" s="448" t="str">
        <f>_xlfn.IFNA(VLOOKUP($AP792,Programma!$F$3:$R$1101,13,0),"")</f>
        <v/>
      </c>
      <c r="BC792" s="448" t="str">
        <f>_xlfn.IFNA(VLOOKUP($AP792,Programma!$F$3:$S$1101,14,0),"")</f>
        <v/>
      </c>
      <c r="BD792" s="448" t="str">
        <f>_xlfn.IFNA(VLOOKUP($AP792,Programma!$F$3:$T$1101,15,0),"")</f>
        <v/>
      </c>
      <c r="BE792" s="448" t="str">
        <f>_xlfn.IFNA(VLOOKUP($AP792,Programma!$F$3:$U$1101,16,0),"")</f>
        <v/>
      </c>
      <c r="BF792" s="448" t="str">
        <f>_xlfn.IFNA(VLOOKUP($AP792,Programma!$F$3:$V$1101,17,0),"")</f>
        <v/>
      </c>
      <c r="BG792" s="448" t="str">
        <f>_xlfn.IFNA(VLOOKUP($AP792,Programma!$F$3:$W$1101,18,0),"")</f>
        <v/>
      </c>
      <c r="BH792" s="448" t="str">
        <f>_xlfn.IFNA(VLOOKUP($AP792,Programma!$F$3:$X$1101,19,0),"")</f>
        <v/>
      </c>
      <c r="BI792" s="448" t="str">
        <f>_xlfn.IFNA(VLOOKUP($AP792,Programma!$F$3:$Y$1101,20,0),"")</f>
        <v/>
      </c>
      <c r="BJ792" s="449"/>
      <c r="BK792" s="446" t="str">
        <f>IF(Ruimtestaat[[#This Row],[Frequentie weekend]]="","",_xlfn.CONCAT(Ruimtestaat[[#This Row],[Ruimte code]],"-",Ruimtestaat[[#This Row],[Frequentie weekend]]," ",Ruimtestaat[[#This Row],[Vloer code]]))</f>
        <v/>
      </c>
      <c r="BL792" s="448" t="str">
        <f>_xlfn.IFNA(VLOOKUP($BK792,Programma!$F$3:$G$1101,2,0),"")</f>
        <v/>
      </c>
      <c r="BM792" s="448" t="str">
        <f>_xlfn.IFNA(VLOOKUP($BK792,Programma!$F$3:$H$1101,3,0),"")</f>
        <v/>
      </c>
      <c r="BN792" s="448" t="str">
        <f>_xlfn.IFNA(VLOOKUP($BK792,Programma!$F$3:$I$1101,4,0),"")</f>
        <v/>
      </c>
      <c r="BO792" s="448" t="str">
        <f>_xlfn.IFNA(VLOOKUP($BK792,Programma!$F$3:$J$1101,5,0),"")</f>
        <v/>
      </c>
      <c r="BP792" s="448" t="str">
        <f>_xlfn.IFNA(VLOOKUP($BK792,Programma!$F$3:$K$1101,6,0),"")</f>
        <v/>
      </c>
      <c r="BQ792" s="448" t="str">
        <f>_xlfn.IFNA(VLOOKUP($BK792,Programma!$F$3:$L$1101,7,0),"")</f>
        <v/>
      </c>
      <c r="BR792" s="448" t="str">
        <f>_xlfn.IFNA(VLOOKUP($BK792,Programma!$F$3:$M$1101,8,0),"")</f>
        <v/>
      </c>
      <c r="BS792" s="448" t="str">
        <f>_xlfn.IFNA(VLOOKUP($BK792,Programma!$F$3:$N$1101,9,0),"")</f>
        <v/>
      </c>
      <c r="BT792" s="448" t="str">
        <f>_xlfn.IFNA(VLOOKUP($BK792,Programma!$F$3:$O$1101,10,0),"")</f>
        <v/>
      </c>
      <c r="BU792" s="448" t="str">
        <f>_xlfn.IFNA(VLOOKUP($BK792,Programma!$F$3:$P$1101,11,0),"")</f>
        <v/>
      </c>
      <c r="BV792" s="448" t="str">
        <f>_xlfn.IFNA(VLOOKUP($BK792,Programma!$F$3:$Q$1101,12,0),"")</f>
        <v/>
      </c>
      <c r="BW792" s="448" t="str">
        <f>_xlfn.IFNA(VLOOKUP($BK792,Programma!$F$3:$R$1101,13,0),"")</f>
        <v/>
      </c>
      <c r="BX792" s="448" t="str">
        <f>_xlfn.IFNA(VLOOKUP($BK792,Programma!$F$3:$S$1101,14,0),"")</f>
        <v/>
      </c>
      <c r="BY792" s="448" t="str">
        <f>_xlfn.IFNA(VLOOKUP($BK792,Programma!$F$3:$T$1101,15,0),"")</f>
        <v/>
      </c>
      <c r="BZ792" s="448" t="str">
        <f>_xlfn.IFNA(VLOOKUP($BK792,Programma!$F$3:$U$1101,16,0),"")</f>
        <v/>
      </c>
      <c r="CA792" s="448" t="str">
        <f>_xlfn.IFNA(VLOOKUP($BK792,Programma!$F$3:$V$1101,17,0),"")</f>
        <v/>
      </c>
      <c r="CB792" s="448" t="str">
        <f>_xlfn.IFNA(VLOOKUP($BK792,Programma!$F$3:$W$1101,18,0),"")</f>
        <v/>
      </c>
      <c r="CC792" s="448" t="str">
        <f>_xlfn.IFNA(VLOOKUP($BK792,Programma!$F$3:$X$1101,19,0),"")</f>
        <v/>
      </c>
      <c r="CD792" s="448" t="str">
        <f>_xlfn.IFNA(VLOOKUP($BK792,Programma!$F$3:$Y$1101,20,0),"")</f>
        <v/>
      </c>
    </row>
    <row r="793" spans="1:82" ht="15" customHeight="1">
      <c r="A793" s="327">
        <v>24</v>
      </c>
      <c r="B793" s="435" t="str">
        <f>VLOOKUP(Ruimtestaat[[#This Row],[Code]],Locaties[[Code]:[Locatie]],2,FALSE)</f>
        <v>IKC De Gaerde</v>
      </c>
      <c r="C793" s="435" t="str">
        <f>VLOOKUP(Ruimtestaat[[#This Row],[Code]],Locaties[[#All],[Code]:[Adres]],4,FALSE)</f>
        <v>Moerbeigaarde 58A</v>
      </c>
      <c r="D793" s="435" t="str">
        <f>VLOOKUP(Ruimtestaat[[#This Row],[Code]],Locaties[[#All],[Code]:[Postcode]],5,FALSE)</f>
        <v>2723 AG</v>
      </c>
      <c r="E793" s="435" t="str">
        <f>VLOOKUP(Ruimtestaat[[#This Row],[Code]],Locaties[#All],6,FALSE)</f>
        <v>Zoetermeer</v>
      </c>
      <c r="F793" s="450"/>
      <c r="G793" s="330" t="s">
        <v>1678</v>
      </c>
      <c r="H793" s="330" t="s">
        <v>1888</v>
      </c>
      <c r="I793" s="450" t="s">
        <v>2018</v>
      </c>
      <c r="J793" s="330">
        <v>20</v>
      </c>
      <c r="K793" s="450" t="str">
        <f>VLOOKUP(Ruimtestaat[[#This Row],[Ruimte code]],Ruimtegroepen[[#All],[Code]:[Ruimte omschrijving]],2,FALSE)</f>
        <v>Niet in Onderhoud</v>
      </c>
      <c r="L793" s="330" t="s">
        <v>100</v>
      </c>
      <c r="M793" s="330" t="s">
        <v>2058</v>
      </c>
      <c r="N793" s="439"/>
      <c r="O793" s="439"/>
      <c r="P793" s="439"/>
      <c r="Q793" s="439"/>
      <c r="R793" s="440">
        <f>VLOOKUP(Ruimtestaat[[#This Row],[Ruimte code]],Ruimtegroepen[],4,FALSE)</f>
        <v>0</v>
      </c>
      <c r="S793" s="434"/>
      <c r="T793" s="434"/>
      <c r="U793" s="453">
        <f>IF(S793&gt;0,IF(RIGHT(Ruimtestaat[[#This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93" s="434">
        <f>IF(U793&gt;0,VLOOKUP($J793,Ruimtegroepen[],3,FALSE)*VLOOKUP($L793,Vloersoorten[],3,FALSE)*VLOOKUP($T793,Frequenties[],3,FALSE)*VLOOKUP($A793,Locaties[],3,FALSE),0)</f>
        <v>0</v>
      </c>
      <c r="W793" s="434">
        <f>Ruimtestaat[[#This Row],[Uitvoeringen werkdagen]]*Ruimtestaat[[#This Row],[Oppervlak (netto)]]</f>
        <v>0</v>
      </c>
      <c r="X793" s="441">
        <f>IF(V793&gt;0,Ruimtestaat[[#This Row],[Prest. (m2 /jaar) werkdagen]]/Ruimtestaat[[#This Row],[Norm (m2/uur) werkdagen]],0)</f>
        <v>0</v>
      </c>
      <c r="Y793" s="442">
        <f>Ruimtestaat[[#This Row],[Uitvoeringen werkdagen]]*Ruimtestaat[[#This Row],[Gedeeltelijk]]</f>
        <v>0</v>
      </c>
      <c r="Z793" s="443">
        <f>IF(U793&gt;0,Ruimtestaat[[#This Row],[Prest. (m2 / jaar) werkdagen gedeeld]]/Ruimtestaat[[#This Row],[Norm (m2/uur) werkdagen]],0)</f>
        <v>0</v>
      </c>
      <c r="AA793" s="441">
        <f>Ruimtestaat[[#This Row],[uren / jaar werkdagen gedeeld]]*Tariefsopbouw!$E$35</f>
        <v>0</v>
      </c>
      <c r="AB793" s="441">
        <f>Ruimtestaat[[#This Row],[Uitvoeringen werkdagen]]*Ruimtestaat[[#This Row],[BSO]]</f>
        <v>0</v>
      </c>
      <c r="AC793" s="443">
        <f>IF(U793&gt;0,Ruimtestaat[[#This Row],[Prest. (m2 / jaar) werkdagen BSO]]/Ruimtestaat[[#This Row],[Norm (m2/uur) werkdagen]],0)</f>
        <v>0</v>
      </c>
      <c r="AD793" s="443">
        <f>Ruimtestaat[[#This Row],[uren / jaar werkdagen BSO]]*Tariefsopbouw!$E$35</f>
        <v>0</v>
      </c>
      <c r="AE793" s="444">
        <f>Ruimtestaat[[#This Row],[uren / jaar werkdagen]]*Tariefsopbouw!$E$35</f>
        <v>0</v>
      </c>
      <c r="AF793" s="454"/>
      <c r="AG793" s="455">
        <f>IF(Ruimtestaat[[#This Row],[Frequentie weekend]]&gt;0,VALUE(LEFT(AF793,1))*S793,0)</f>
        <v>0</v>
      </c>
      <c r="AH793" s="455">
        <f>IF($AG793&gt;0,VLOOKUP($J793,Ruimtegroepen[],3,FALSE)*VLOOKUP($L793,Vloersoorten[],3,FALSE)*VLOOKUP($AF793,Frequenties[],3,FALSE)*VLOOKUP(#REF!,Locaties[],3,FALSE),0)</f>
        <v>0</v>
      </c>
      <c r="AI793" s="434">
        <f>Ruimtestaat[[#This Row],[Uitvoeringen weekend]]*Ruimtestaat[[#This Row],[Oppervlak (netto)]]</f>
        <v>0</v>
      </c>
      <c r="AJ793" s="434">
        <f>IF(AH793&gt;0,Ruimtestaat[[#This Row],[Prest. (m2 /jaar) weekend]]/Ruimtestaat[[#This Row],[Norm (m2/uur) weekend]],0)</f>
        <v>0</v>
      </c>
      <c r="AK793" s="444">
        <f>Ruimtestaat[[#This Row],[uren / jaar weekend]]*Tariefsopbouw!$D$40</f>
        <v>0</v>
      </c>
      <c r="AL793" s="441">
        <f>Ruimtestaat[[#This Row],[Prest. (m2 /jaar) weekend]]+Ruimtestaat[[#This Row],[Prest. (m2 /jaar) werkdagen]]</f>
        <v>0</v>
      </c>
      <c r="AM793" s="441">
        <f>Ruimtestaat[[#This Row],[uren / jaar weekend]]+Ruimtestaat[[#This Row],[uren / jaar werkdagen]]</f>
        <v>0</v>
      </c>
      <c r="AN793" s="446">
        <f>Ruimtestaat[[#This Row],[kosten / jaar weekend]]+Ruimtestaat[[#This Row],[kosten / jaar werkdagen]]</f>
        <v>0</v>
      </c>
      <c r="AO793" s="446"/>
      <c r="AP793" s="446" t="str">
        <f>IF(Ruimtestaat[[#This Row],[Frequentie werkdagen]]="","",_xlfn.CONCAT(Ruimtestaat[[#This Row],[Ruimte code]],"-",Ruimtestaat[[#This Row],[Frequentie werkdagen]]," ",Ruimtestaat[[#This Row],[Vloer code]]))</f>
        <v/>
      </c>
      <c r="AQ793" s="448" t="str">
        <f>_xlfn.IFNA(VLOOKUP($AP793,Programma!$F$3:$G$1101,2,0),"")</f>
        <v/>
      </c>
      <c r="AR793" s="448" t="str">
        <f>_xlfn.IFNA(VLOOKUP($AP793,Programma!$F$3:$H$1101,3,0),"")</f>
        <v/>
      </c>
      <c r="AS793" s="448" t="str">
        <f>_xlfn.IFNA(VLOOKUP($AP793,Programma!$F$3:$I$1101,4,0),"")</f>
        <v/>
      </c>
      <c r="AT793" s="448" t="str">
        <f>_xlfn.IFNA(VLOOKUP($AP793,Programma!$F$3:$J$1101,5,0),"")</f>
        <v/>
      </c>
      <c r="AU793" s="448" t="str">
        <f>_xlfn.IFNA(VLOOKUP($AP793,Programma!$F$3:$K$1101,6,0),"")</f>
        <v/>
      </c>
      <c r="AV793" s="448" t="str">
        <f>_xlfn.IFNA(VLOOKUP($AP793,Programma!$F$3:$L$1101,7,0),"")</f>
        <v/>
      </c>
      <c r="AW793" s="448" t="str">
        <f>_xlfn.IFNA(VLOOKUP($AP793,Programma!$F$3:$M$1101,8,0),"")</f>
        <v/>
      </c>
      <c r="AX793" s="448" t="str">
        <f>_xlfn.IFNA(VLOOKUP($AP793,Programma!$F$3:$N$1101,9,0),"")</f>
        <v/>
      </c>
      <c r="AY793" s="448" t="str">
        <f>_xlfn.IFNA(VLOOKUP($AP793,Programma!$F$3:$O$1101,10,0),"")</f>
        <v/>
      </c>
      <c r="AZ793" s="448" t="str">
        <f>_xlfn.IFNA(VLOOKUP($AP793,Programma!$F$3:$P$1101,11,0),"")</f>
        <v/>
      </c>
      <c r="BA793" s="448" t="str">
        <f>_xlfn.IFNA(VLOOKUP($AP793,Programma!$F$3:$Q$1101,12,0),"")</f>
        <v/>
      </c>
      <c r="BB793" s="448" t="str">
        <f>_xlfn.IFNA(VLOOKUP($AP793,Programma!$F$3:$R$1101,13,0),"")</f>
        <v/>
      </c>
      <c r="BC793" s="448" t="str">
        <f>_xlfn.IFNA(VLOOKUP($AP793,Programma!$F$3:$S$1101,14,0),"")</f>
        <v/>
      </c>
      <c r="BD793" s="448" t="str">
        <f>_xlfn.IFNA(VLOOKUP($AP793,Programma!$F$3:$T$1101,15,0),"")</f>
        <v/>
      </c>
      <c r="BE793" s="448" t="str">
        <f>_xlfn.IFNA(VLOOKUP($AP793,Programma!$F$3:$U$1101,16,0),"")</f>
        <v/>
      </c>
      <c r="BF793" s="448" t="str">
        <f>_xlfn.IFNA(VLOOKUP($AP793,Programma!$F$3:$V$1101,17,0),"")</f>
        <v/>
      </c>
      <c r="BG793" s="448" t="str">
        <f>_xlfn.IFNA(VLOOKUP($AP793,Programma!$F$3:$W$1101,18,0),"")</f>
        <v/>
      </c>
      <c r="BH793" s="448" t="str">
        <f>_xlfn.IFNA(VLOOKUP($AP793,Programma!$F$3:$X$1101,19,0),"")</f>
        <v/>
      </c>
      <c r="BI793" s="448" t="str">
        <f>_xlfn.IFNA(VLOOKUP($AP793,Programma!$F$3:$Y$1101,20,0),"")</f>
        <v/>
      </c>
      <c r="BJ793" s="449"/>
      <c r="BK793" s="446" t="str">
        <f>IF(Ruimtestaat[[#This Row],[Frequentie weekend]]="","",_xlfn.CONCAT(Ruimtestaat[[#This Row],[Ruimte code]],"-",Ruimtestaat[[#This Row],[Frequentie weekend]]," ",Ruimtestaat[[#This Row],[Vloer code]]))</f>
        <v/>
      </c>
      <c r="BL793" s="448" t="str">
        <f>_xlfn.IFNA(VLOOKUP($BK793,Programma!$F$3:$G$1101,2,0),"")</f>
        <v/>
      </c>
      <c r="BM793" s="448" t="str">
        <f>_xlfn.IFNA(VLOOKUP($BK793,Programma!$F$3:$H$1101,3,0),"")</f>
        <v/>
      </c>
      <c r="BN793" s="448" t="str">
        <f>_xlfn.IFNA(VLOOKUP($BK793,Programma!$F$3:$I$1101,4,0),"")</f>
        <v/>
      </c>
      <c r="BO793" s="448" t="str">
        <f>_xlfn.IFNA(VLOOKUP($BK793,Programma!$F$3:$J$1101,5,0),"")</f>
        <v/>
      </c>
      <c r="BP793" s="448" t="str">
        <f>_xlfn.IFNA(VLOOKUP($BK793,Programma!$F$3:$K$1101,6,0),"")</f>
        <v/>
      </c>
      <c r="BQ793" s="448" t="str">
        <f>_xlfn.IFNA(VLOOKUP($BK793,Programma!$F$3:$L$1101,7,0),"")</f>
        <v/>
      </c>
      <c r="BR793" s="448" t="str">
        <f>_xlfn.IFNA(VLOOKUP($BK793,Programma!$F$3:$M$1101,8,0),"")</f>
        <v/>
      </c>
      <c r="BS793" s="448" t="str">
        <f>_xlfn.IFNA(VLOOKUP($BK793,Programma!$F$3:$N$1101,9,0),"")</f>
        <v/>
      </c>
      <c r="BT793" s="448" t="str">
        <f>_xlfn.IFNA(VLOOKUP($BK793,Programma!$F$3:$O$1101,10,0),"")</f>
        <v/>
      </c>
      <c r="BU793" s="448" t="str">
        <f>_xlfn.IFNA(VLOOKUP($BK793,Programma!$F$3:$P$1101,11,0),"")</f>
        <v/>
      </c>
      <c r="BV793" s="448" t="str">
        <f>_xlfn.IFNA(VLOOKUP($BK793,Programma!$F$3:$Q$1101,12,0),"")</f>
        <v/>
      </c>
      <c r="BW793" s="448" t="str">
        <f>_xlfn.IFNA(VLOOKUP($BK793,Programma!$F$3:$R$1101,13,0),"")</f>
        <v/>
      </c>
      <c r="BX793" s="448" t="str">
        <f>_xlfn.IFNA(VLOOKUP($BK793,Programma!$F$3:$S$1101,14,0),"")</f>
        <v/>
      </c>
      <c r="BY793" s="448" t="str">
        <f>_xlfn.IFNA(VLOOKUP($BK793,Programma!$F$3:$T$1101,15,0),"")</f>
        <v/>
      </c>
      <c r="BZ793" s="448" t="str">
        <f>_xlfn.IFNA(VLOOKUP($BK793,Programma!$F$3:$U$1101,16,0),"")</f>
        <v/>
      </c>
      <c r="CA793" s="448" t="str">
        <f>_xlfn.IFNA(VLOOKUP($BK793,Programma!$F$3:$V$1101,17,0),"")</f>
        <v/>
      </c>
      <c r="CB793" s="448" t="str">
        <f>_xlfn.IFNA(VLOOKUP($BK793,Programma!$F$3:$W$1101,18,0),"")</f>
        <v/>
      </c>
      <c r="CC793" s="448" t="str">
        <f>_xlfn.IFNA(VLOOKUP($BK793,Programma!$F$3:$X$1101,19,0),"")</f>
        <v/>
      </c>
      <c r="CD793" s="448" t="str">
        <f>_xlfn.IFNA(VLOOKUP($BK793,Programma!$F$3:$Y$1101,20,0),"")</f>
        <v/>
      </c>
    </row>
    <row r="794" spans="1:82" ht="15" customHeight="1">
      <c r="A794" s="327">
        <v>24</v>
      </c>
      <c r="B794" s="435" t="str">
        <f>VLOOKUP(Ruimtestaat[[#This Row],[Code]],Locaties[[Code]:[Locatie]],2,FALSE)</f>
        <v>IKC De Gaerde</v>
      </c>
      <c r="C794" s="435" t="str">
        <f>VLOOKUP(Ruimtestaat[[#This Row],[Code]],Locaties[[#All],[Code]:[Adres]],4,FALSE)</f>
        <v>Moerbeigaarde 58A</v>
      </c>
      <c r="D794" s="435" t="str">
        <f>VLOOKUP(Ruimtestaat[[#This Row],[Code]],Locaties[[#All],[Code]:[Postcode]],5,FALSE)</f>
        <v>2723 AG</v>
      </c>
      <c r="E794" s="435" t="str">
        <f>VLOOKUP(Ruimtestaat[[#This Row],[Code]],Locaties[#All],6,FALSE)</f>
        <v>Zoetermeer</v>
      </c>
      <c r="F794" s="450"/>
      <c r="G794" s="330" t="s">
        <v>1678</v>
      </c>
      <c r="H794" s="330" t="s">
        <v>1890</v>
      </c>
      <c r="I794" s="450" t="s">
        <v>2019</v>
      </c>
      <c r="J794" s="330">
        <v>3</v>
      </c>
      <c r="K794" s="450" t="str">
        <f>VLOOKUP(Ruimtestaat[[#This Row],[Ruimte code]],Ruimtegroepen[[#All],[Code]:[Ruimte omschrijving]],2,FALSE)</f>
        <v>Reproruimte</v>
      </c>
      <c r="L794" s="330" t="s">
        <v>100</v>
      </c>
      <c r="M794" s="437" t="s">
        <v>2058</v>
      </c>
      <c r="N794" s="439">
        <v>3.4</v>
      </c>
      <c r="O794" s="439"/>
      <c r="P794" s="439"/>
      <c r="Q794" s="439"/>
      <c r="R794" s="440" t="str">
        <f>VLOOKUP(Ruimtestaat[[#This Row],[Ruimte code]],Ruimtegroepen[],4,FALSE)</f>
        <v>Ve</v>
      </c>
      <c r="S794" s="434">
        <v>40</v>
      </c>
      <c r="T794" s="434" t="s">
        <v>2</v>
      </c>
      <c r="U794" s="453">
        <f>IF(S794&gt;0,IF(RIGHT(Ruimtestaat[[#This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4" s="434">
        <f>IF(U794&gt;0,VLOOKUP($J794,Ruimtegroepen[],3,FALSE)*VLOOKUP($L794,Vloersoorten[],3,FALSE)*VLOOKUP($T794,Frequenties[],3,FALSE)*VLOOKUP($A794,Locaties[],3,FALSE),0)</f>
        <v>0</v>
      </c>
      <c r="W794" s="434">
        <f>Ruimtestaat[[#This Row],[Uitvoeringen werkdagen]]*Ruimtestaat[[#This Row],[Oppervlak (netto)]]</f>
        <v>680</v>
      </c>
      <c r="X794" s="441">
        <f>IF(V794&gt;0,Ruimtestaat[[#This Row],[Prest. (m2 /jaar) werkdagen]]/Ruimtestaat[[#This Row],[Norm (m2/uur) werkdagen]],0)</f>
        <v>0</v>
      </c>
      <c r="Y794" s="442">
        <f>Ruimtestaat[[#This Row],[Uitvoeringen werkdagen]]*Ruimtestaat[[#This Row],[Gedeeltelijk]]</f>
        <v>0</v>
      </c>
      <c r="Z794" s="443" t="e">
        <f>IF(U794&gt;0,Ruimtestaat[[#This Row],[Prest. (m2 / jaar) werkdagen gedeeld]]/Ruimtestaat[[#This Row],[Norm (m2/uur) werkdagen]],0)</f>
        <v>#DIV/0!</v>
      </c>
      <c r="AA794" s="441" t="e">
        <f>Ruimtestaat[[#This Row],[uren / jaar werkdagen gedeeld]]*Tariefsopbouw!$E$35</f>
        <v>#DIV/0!</v>
      </c>
      <c r="AB794" s="441">
        <f>Ruimtestaat[[#This Row],[Uitvoeringen werkdagen]]*Ruimtestaat[[#This Row],[BSO]]</f>
        <v>0</v>
      </c>
      <c r="AC794" s="443" t="e">
        <f>IF(U794&gt;0,Ruimtestaat[[#This Row],[Prest. (m2 / jaar) werkdagen BSO]]/Ruimtestaat[[#This Row],[Norm (m2/uur) werkdagen]],0)</f>
        <v>#DIV/0!</v>
      </c>
      <c r="AD794" s="443" t="e">
        <f>Ruimtestaat[[#This Row],[uren / jaar werkdagen BSO]]*Tariefsopbouw!$E$35</f>
        <v>#DIV/0!</v>
      </c>
      <c r="AE794" s="444">
        <f>Ruimtestaat[[#This Row],[uren / jaar werkdagen]]*Tariefsopbouw!$E$35</f>
        <v>0</v>
      </c>
      <c r="AF794" s="454"/>
      <c r="AG794" s="455">
        <f>IF(Ruimtestaat[[#This Row],[Frequentie weekend]]&gt;0,VALUE(LEFT(AF794,1))*S794,0)</f>
        <v>0</v>
      </c>
      <c r="AH794" s="455">
        <f>IF($AG794&gt;0,VLOOKUP($J794,Ruimtegroepen[],3,FALSE)*VLOOKUP($L794,Vloersoorten[],3,FALSE)*VLOOKUP($AF794,Frequenties[],3,FALSE)*VLOOKUP(#REF!,Locaties[],3,FALSE),0)</f>
        <v>0</v>
      </c>
      <c r="AI794" s="434">
        <f>Ruimtestaat[[#This Row],[Uitvoeringen weekend]]*Ruimtestaat[[#This Row],[Oppervlak (netto)]]</f>
        <v>0</v>
      </c>
      <c r="AJ794" s="434">
        <f>IF(AH794&gt;0,Ruimtestaat[[#This Row],[Prest. (m2 /jaar) weekend]]/Ruimtestaat[[#This Row],[Norm (m2/uur) weekend]],0)</f>
        <v>0</v>
      </c>
      <c r="AK794" s="444">
        <f>Ruimtestaat[[#This Row],[uren / jaar weekend]]*Tariefsopbouw!$D$40</f>
        <v>0</v>
      </c>
      <c r="AL794" s="441">
        <f>Ruimtestaat[[#This Row],[Prest. (m2 /jaar) weekend]]+Ruimtestaat[[#This Row],[Prest. (m2 /jaar) werkdagen]]</f>
        <v>680</v>
      </c>
      <c r="AM794" s="441">
        <f>Ruimtestaat[[#This Row],[uren / jaar weekend]]+Ruimtestaat[[#This Row],[uren / jaar werkdagen]]</f>
        <v>0</v>
      </c>
      <c r="AN794" s="446">
        <f>Ruimtestaat[[#This Row],[kosten / jaar weekend]]+Ruimtestaat[[#This Row],[kosten / jaar werkdagen]]</f>
        <v>0</v>
      </c>
      <c r="AO794" s="446"/>
      <c r="AP794" s="446" t="str">
        <f>IF(Ruimtestaat[[#This Row],[Frequentie werkdagen]]="","",_xlfn.CONCAT(Ruimtestaat[[#This Row],[Ruimte code]],"-",Ruimtestaat[[#This Row],[Frequentie werkdagen]]," ",Ruimtestaat[[#This Row],[Vloer code]]))</f>
        <v>3-5w L</v>
      </c>
      <c r="AQ794" s="448" t="str">
        <f>_xlfn.IFNA(VLOOKUP($AP794,Programma!$F$3:$G$1101,2,0),"")</f>
        <v>_</v>
      </c>
      <c r="AR794" s="448" t="str">
        <f>_xlfn.IFNA(VLOOKUP($AP794,Programma!$F$3:$H$1101,3,0),"")</f>
        <v>_</v>
      </c>
      <c r="AS794" s="448" t="str">
        <f>_xlfn.IFNA(VLOOKUP($AP794,Programma!$F$3:$I$1101,4,0),"")</f>
        <v>4w</v>
      </c>
      <c r="AT794" s="448" t="str">
        <f>_xlfn.IFNA(VLOOKUP($AP794,Programma!$F$3:$J$1101,5,0),"")</f>
        <v>1w</v>
      </c>
      <c r="AU794" s="448" t="str">
        <f>_xlfn.IFNA(VLOOKUP($AP794,Programma!$F$3:$K$1101,6,0),"")</f>
        <v>_</v>
      </c>
      <c r="AV794" s="448" t="str">
        <f>_xlfn.IFNA(VLOOKUP($AP794,Programma!$F$3:$L$1101,7,0),"")</f>
        <v>_</v>
      </c>
      <c r="AW794" s="448" t="str">
        <f>_xlfn.IFNA(VLOOKUP($AP794,Programma!$F$3:$M$1101,8,0),"")</f>
        <v>_</v>
      </c>
      <c r="AX794" s="448" t="str">
        <f>_xlfn.IFNA(VLOOKUP($AP794,Programma!$F$3:$N$1101,9,0),"")</f>
        <v>_</v>
      </c>
      <c r="AY794" s="448" t="str">
        <f>_xlfn.IFNA(VLOOKUP($AP794,Programma!$F$3:$O$1101,10,0),"")</f>
        <v>5w</v>
      </c>
      <c r="AZ794" s="448" t="str">
        <f>_xlfn.IFNA(VLOOKUP($AP794,Programma!$F$3:$P$1101,11,0),"")</f>
        <v>5w</v>
      </c>
      <c r="BA794" s="448" t="str">
        <f>_xlfn.IFNA(VLOOKUP($AP794,Programma!$F$3:$Q$1101,12,0),"")</f>
        <v>1w</v>
      </c>
      <c r="BB794" s="448" t="str">
        <f>_xlfn.IFNA(VLOOKUP($AP794,Programma!$F$3:$R$1101,13,0),"")</f>
        <v>1w</v>
      </c>
      <c r="BC794" s="448" t="str">
        <f>_xlfn.IFNA(VLOOKUP($AP794,Programma!$F$3:$S$1101,14,0),"")</f>
        <v>1m</v>
      </c>
      <c r="BD794" s="448" t="str">
        <f>_xlfn.IFNA(VLOOKUP($AP794,Programma!$F$3:$T$1101,15,0),"")</f>
        <v>4j</v>
      </c>
      <c r="BE794" s="448" t="str">
        <f>_xlfn.IFNA(VLOOKUP($AP794,Programma!$F$3:$U$1101,16,0),"")</f>
        <v>1j</v>
      </c>
      <c r="BF794" s="448" t="str">
        <f>_xlfn.IFNA(VLOOKUP($AP794,Programma!$F$3:$V$1101,17,0),"")</f>
        <v>_</v>
      </c>
      <c r="BG794" s="448" t="str">
        <f>_xlfn.IFNA(VLOOKUP($AP794,Programma!$F$3:$W$1101,18,0),"")</f>
        <v>_</v>
      </c>
      <c r="BH794" s="448" t="str">
        <f>_xlfn.IFNA(VLOOKUP($AP794,Programma!$F$3:$X$1101,19,0),"")</f>
        <v>_</v>
      </c>
      <c r="BI794" s="448" t="str">
        <f>_xlfn.IFNA(VLOOKUP($AP794,Programma!$F$3:$Y$1101,20,0),"")</f>
        <v>_</v>
      </c>
      <c r="BJ794" s="449"/>
      <c r="BK794" s="446" t="str">
        <f>IF(Ruimtestaat[[#This Row],[Frequentie weekend]]="","",_xlfn.CONCAT(Ruimtestaat[[#This Row],[Ruimte code]],"-",Ruimtestaat[[#This Row],[Frequentie weekend]]," ",Ruimtestaat[[#This Row],[Vloer code]]))</f>
        <v/>
      </c>
      <c r="BL794" s="448" t="str">
        <f>_xlfn.IFNA(VLOOKUP($BK794,Programma!$F$3:$G$1101,2,0),"")</f>
        <v/>
      </c>
      <c r="BM794" s="448" t="str">
        <f>_xlfn.IFNA(VLOOKUP($BK794,Programma!$F$3:$H$1101,3,0),"")</f>
        <v/>
      </c>
      <c r="BN794" s="448" t="str">
        <f>_xlfn.IFNA(VLOOKUP($BK794,Programma!$F$3:$I$1101,4,0),"")</f>
        <v/>
      </c>
      <c r="BO794" s="448" t="str">
        <f>_xlfn.IFNA(VLOOKUP($BK794,Programma!$F$3:$J$1101,5,0),"")</f>
        <v/>
      </c>
      <c r="BP794" s="448" t="str">
        <f>_xlfn.IFNA(VLOOKUP($BK794,Programma!$F$3:$K$1101,6,0),"")</f>
        <v/>
      </c>
      <c r="BQ794" s="448" t="str">
        <f>_xlfn.IFNA(VLOOKUP($BK794,Programma!$F$3:$L$1101,7,0),"")</f>
        <v/>
      </c>
      <c r="BR794" s="448" t="str">
        <f>_xlfn.IFNA(VLOOKUP($BK794,Programma!$F$3:$M$1101,8,0),"")</f>
        <v/>
      </c>
      <c r="BS794" s="448" t="str">
        <f>_xlfn.IFNA(VLOOKUP($BK794,Programma!$F$3:$N$1101,9,0),"")</f>
        <v/>
      </c>
      <c r="BT794" s="448" t="str">
        <f>_xlfn.IFNA(VLOOKUP($BK794,Programma!$F$3:$O$1101,10,0),"")</f>
        <v/>
      </c>
      <c r="BU794" s="448" t="str">
        <f>_xlfn.IFNA(VLOOKUP($BK794,Programma!$F$3:$P$1101,11,0),"")</f>
        <v/>
      </c>
      <c r="BV794" s="448" t="str">
        <f>_xlfn.IFNA(VLOOKUP($BK794,Programma!$F$3:$Q$1101,12,0),"")</f>
        <v/>
      </c>
      <c r="BW794" s="448" t="str">
        <f>_xlfn.IFNA(VLOOKUP($BK794,Programma!$F$3:$R$1101,13,0),"")</f>
        <v/>
      </c>
      <c r="BX794" s="448" t="str">
        <f>_xlfn.IFNA(VLOOKUP($BK794,Programma!$F$3:$S$1101,14,0),"")</f>
        <v/>
      </c>
      <c r="BY794" s="448" t="str">
        <f>_xlfn.IFNA(VLOOKUP($BK794,Programma!$F$3:$T$1101,15,0),"")</f>
        <v/>
      </c>
      <c r="BZ794" s="448" t="str">
        <f>_xlfn.IFNA(VLOOKUP($BK794,Programma!$F$3:$U$1101,16,0),"")</f>
        <v/>
      </c>
      <c r="CA794" s="448" t="str">
        <f>_xlfn.IFNA(VLOOKUP($BK794,Programma!$F$3:$V$1101,17,0),"")</f>
        <v/>
      </c>
      <c r="CB794" s="448" t="str">
        <f>_xlfn.IFNA(VLOOKUP($BK794,Programma!$F$3:$W$1101,18,0),"")</f>
        <v/>
      </c>
      <c r="CC794" s="448" t="str">
        <f>_xlfn.IFNA(VLOOKUP($BK794,Programma!$F$3:$X$1101,19,0),"")</f>
        <v/>
      </c>
      <c r="CD794" s="448" t="str">
        <f>_xlfn.IFNA(VLOOKUP($BK794,Programma!$F$3:$Y$1101,20,0),"")</f>
        <v/>
      </c>
    </row>
    <row r="795" spans="1:82" ht="15" customHeight="1">
      <c r="A795" s="327">
        <v>24</v>
      </c>
      <c r="B795" s="435" t="str">
        <f>VLOOKUP(Ruimtestaat[[#This Row],[Code]],Locaties[[Code]:[Locatie]],2,FALSE)</f>
        <v>IKC De Gaerde</v>
      </c>
      <c r="C795" s="435" t="str">
        <f>VLOOKUP(Ruimtestaat[[#This Row],[Code]],Locaties[[#All],[Code]:[Adres]],4,FALSE)</f>
        <v>Moerbeigaarde 58A</v>
      </c>
      <c r="D795" s="435" t="str">
        <f>VLOOKUP(Ruimtestaat[[#This Row],[Code]],Locaties[[#All],[Code]:[Postcode]],5,FALSE)</f>
        <v>2723 AG</v>
      </c>
      <c r="E795" s="435" t="str">
        <f>VLOOKUP(Ruimtestaat[[#This Row],[Code]],Locaties[#All],6,FALSE)</f>
        <v>Zoetermeer</v>
      </c>
      <c r="F795" s="450"/>
      <c r="G795" s="330" t="s">
        <v>1678</v>
      </c>
      <c r="H795" s="330" t="s">
        <v>1892</v>
      </c>
      <c r="I795" s="450" t="s">
        <v>2020</v>
      </c>
      <c r="J795" s="330">
        <v>2</v>
      </c>
      <c r="K795" s="450" t="str">
        <f>VLOOKUP(Ruimtestaat[[#This Row],[Ruimte code]],Ruimtegroepen[[#All],[Code]:[Ruimte omschrijving]],2,FALSE)</f>
        <v>Kantoren</v>
      </c>
      <c r="L795" s="330" t="s">
        <v>100</v>
      </c>
      <c r="M795" s="437" t="s">
        <v>2058</v>
      </c>
      <c r="N795" s="439">
        <v>12.4</v>
      </c>
      <c r="O795" s="439"/>
      <c r="P795" s="439"/>
      <c r="Q795" s="439"/>
      <c r="R795" s="440" t="str">
        <f>VLOOKUP(Ruimtestaat[[#This Row],[Ruimte code]],Ruimtegroepen[],4,FALSE)</f>
        <v>Bu</v>
      </c>
      <c r="S795" s="434">
        <v>41</v>
      </c>
      <c r="T795" s="434" t="s">
        <v>17</v>
      </c>
      <c r="U795" s="453">
        <f>IF(S795&gt;0,IF(RIGHT(Ruimtestaat[[#This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V795" s="434">
        <f>IF(U795&gt;0,VLOOKUP($J795,Ruimtegroepen[],3,FALSE)*VLOOKUP($L795,Vloersoorten[],3,FALSE)*VLOOKUP($T795,Frequenties[],3,FALSE)*VLOOKUP($A795,Locaties[],3,FALSE),0)</f>
        <v>0</v>
      </c>
      <c r="W795" s="434">
        <f>Ruimtestaat[[#This Row],[Uitvoeringen werkdagen]]*Ruimtestaat[[#This Row],[Oppervlak (netto)]]</f>
        <v>1016.8000000000001</v>
      </c>
      <c r="X795" s="441">
        <f>IF(V795&gt;0,Ruimtestaat[[#This Row],[Prest. (m2 /jaar) werkdagen]]/Ruimtestaat[[#This Row],[Norm (m2/uur) werkdagen]],0)</f>
        <v>0</v>
      </c>
      <c r="Y795" s="442">
        <f>Ruimtestaat[[#This Row],[Uitvoeringen werkdagen]]*Ruimtestaat[[#This Row],[Gedeeltelijk]]</f>
        <v>0</v>
      </c>
      <c r="Z795" s="443" t="e">
        <f>IF(U795&gt;0,Ruimtestaat[[#This Row],[Prest. (m2 / jaar) werkdagen gedeeld]]/Ruimtestaat[[#This Row],[Norm (m2/uur) werkdagen]],0)</f>
        <v>#DIV/0!</v>
      </c>
      <c r="AA795" s="441" t="e">
        <f>Ruimtestaat[[#This Row],[uren / jaar werkdagen gedeeld]]*Tariefsopbouw!$E$35</f>
        <v>#DIV/0!</v>
      </c>
      <c r="AB795" s="441">
        <f>Ruimtestaat[[#This Row],[Uitvoeringen werkdagen]]*Ruimtestaat[[#This Row],[BSO]]</f>
        <v>0</v>
      </c>
      <c r="AC795" s="443" t="e">
        <f>IF(U795&gt;0,Ruimtestaat[[#This Row],[Prest. (m2 / jaar) werkdagen BSO]]/Ruimtestaat[[#This Row],[Norm (m2/uur) werkdagen]],0)</f>
        <v>#DIV/0!</v>
      </c>
      <c r="AD795" s="443" t="e">
        <f>Ruimtestaat[[#This Row],[uren / jaar werkdagen BSO]]*Tariefsopbouw!$E$35</f>
        <v>#DIV/0!</v>
      </c>
      <c r="AE795" s="444">
        <f>Ruimtestaat[[#This Row],[uren / jaar werkdagen]]*Tariefsopbouw!$E$35</f>
        <v>0</v>
      </c>
      <c r="AF795" s="454"/>
      <c r="AG795" s="455">
        <f>IF(Ruimtestaat[[#This Row],[Frequentie weekend]]&gt;0,VALUE(LEFT(AF795,1))*S795,0)</f>
        <v>0</v>
      </c>
      <c r="AH795" s="455">
        <f>IF($AG795&gt;0,VLOOKUP($J795,Ruimtegroepen[],3,FALSE)*VLOOKUP($L795,Vloersoorten[],3,FALSE)*VLOOKUP($AF795,Frequenties[],3,FALSE)*VLOOKUP(#REF!,Locaties[],3,FALSE),0)</f>
        <v>0</v>
      </c>
      <c r="AI795" s="434">
        <f>Ruimtestaat[[#This Row],[Uitvoeringen weekend]]*Ruimtestaat[[#This Row],[Oppervlak (netto)]]</f>
        <v>0</v>
      </c>
      <c r="AJ795" s="434">
        <f>IF(AH795&gt;0,Ruimtestaat[[#This Row],[Prest. (m2 /jaar) weekend]]/Ruimtestaat[[#This Row],[Norm (m2/uur) weekend]],0)</f>
        <v>0</v>
      </c>
      <c r="AK795" s="444">
        <f>Ruimtestaat[[#This Row],[uren / jaar weekend]]*Tariefsopbouw!$D$40</f>
        <v>0</v>
      </c>
      <c r="AL795" s="441">
        <f>Ruimtestaat[[#This Row],[Prest. (m2 /jaar) weekend]]+Ruimtestaat[[#This Row],[Prest. (m2 /jaar) werkdagen]]</f>
        <v>1016.8000000000001</v>
      </c>
      <c r="AM795" s="441">
        <f>Ruimtestaat[[#This Row],[uren / jaar weekend]]+Ruimtestaat[[#This Row],[uren / jaar werkdagen]]</f>
        <v>0</v>
      </c>
      <c r="AN795" s="446">
        <f>Ruimtestaat[[#This Row],[kosten / jaar weekend]]+Ruimtestaat[[#This Row],[kosten / jaar werkdagen]]</f>
        <v>0</v>
      </c>
      <c r="AO795" s="446"/>
      <c r="AP795" s="446" t="str">
        <f>IF(Ruimtestaat[[#This Row],[Frequentie werkdagen]]="","",_xlfn.CONCAT(Ruimtestaat[[#This Row],[Ruimte code]],"-",Ruimtestaat[[#This Row],[Frequentie werkdagen]]," ",Ruimtestaat[[#This Row],[Vloer code]]))</f>
        <v>2-2w L</v>
      </c>
      <c r="AQ795" s="448" t="str">
        <f>_xlfn.IFNA(VLOOKUP($AP795,Programma!$F$3:$G$1101,2,0),"")</f>
        <v>_</v>
      </c>
      <c r="AR795" s="448" t="str">
        <f>_xlfn.IFNA(VLOOKUP($AP795,Programma!$F$3:$H$1101,3,0),"")</f>
        <v>_</v>
      </c>
      <c r="AS795" s="448" t="str">
        <f>_xlfn.IFNA(VLOOKUP($AP795,Programma!$F$3:$I$1101,4,0),"")</f>
        <v>1w</v>
      </c>
      <c r="AT795" s="448" t="str">
        <f>_xlfn.IFNA(VLOOKUP($AP795,Programma!$F$3:$J$1101,5,0),"")</f>
        <v>1w</v>
      </c>
      <c r="AU795" s="448" t="str">
        <f>_xlfn.IFNA(VLOOKUP($AP795,Programma!$F$3:$K$1101,6,0),"")</f>
        <v>_</v>
      </c>
      <c r="AV795" s="448" t="str">
        <f>_xlfn.IFNA(VLOOKUP($AP795,Programma!$F$3:$L$1101,7,0),"")</f>
        <v>_</v>
      </c>
      <c r="AW795" s="448" t="str">
        <f>_xlfn.IFNA(VLOOKUP($AP795,Programma!$F$3:$M$1101,8,0),"")</f>
        <v>_</v>
      </c>
      <c r="AX795" s="448" t="str">
        <f>_xlfn.IFNA(VLOOKUP($AP795,Programma!$F$3:$N$1101,9,0),"")</f>
        <v>_</v>
      </c>
      <c r="AY795" s="448" t="str">
        <f>_xlfn.IFNA(VLOOKUP($AP795,Programma!$F$3:$O$1101,10,0),"")</f>
        <v>2w</v>
      </c>
      <c r="AZ795" s="448" t="str">
        <f>_xlfn.IFNA(VLOOKUP($AP795,Programma!$F$3:$P$1101,11,0),"")</f>
        <v>2w</v>
      </c>
      <c r="BA795" s="448" t="str">
        <f>_xlfn.IFNA(VLOOKUP($AP795,Programma!$F$3:$Q$1101,12,0),"")</f>
        <v>1w</v>
      </c>
      <c r="BB795" s="448" t="str">
        <f>_xlfn.IFNA(VLOOKUP($AP795,Programma!$F$3:$R$1101,13,0),"")</f>
        <v>1w</v>
      </c>
      <c r="BC795" s="448" t="str">
        <f>_xlfn.IFNA(VLOOKUP($AP795,Programma!$F$3:$S$1101,14,0),"")</f>
        <v>1m</v>
      </c>
      <c r="BD795" s="448" t="str">
        <f>_xlfn.IFNA(VLOOKUP($AP795,Programma!$F$3:$T$1101,15,0),"")</f>
        <v>2j</v>
      </c>
      <c r="BE795" s="448" t="str">
        <f>_xlfn.IFNA(VLOOKUP($AP795,Programma!$F$3:$U$1101,16,0),"")</f>
        <v>1j</v>
      </c>
      <c r="BF795" s="448" t="str">
        <f>_xlfn.IFNA(VLOOKUP($AP795,Programma!$F$3:$V$1101,17,0),"")</f>
        <v>_</v>
      </c>
      <c r="BG795" s="448" t="str">
        <f>_xlfn.IFNA(VLOOKUP($AP795,Programma!$F$3:$W$1101,18,0),"")</f>
        <v>_</v>
      </c>
      <c r="BH795" s="448" t="str">
        <f>_xlfn.IFNA(VLOOKUP($AP795,Programma!$F$3:$X$1101,19,0),"")</f>
        <v>_</v>
      </c>
      <c r="BI795" s="448" t="str">
        <f>_xlfn.IFNA(VLOOKUP($AP795,Programma!$F$3:$Y$1101,20,0),"")</f>
        <v>_</v>
      </c>
      <c r="BJ795" s="449"/>
      <c r="BK795" s="446" t="str">
        <f>IF(Ruimtestaat[[#This Row],[Frequentie weekend]]="","",_xlfn.CONCAT(Ruimtestaat[[#This Row],[Ruimte code]],"-",Ruimtestaat[[#This Row],[Frequentie weekend]]," ",Ruimtestaat[[#This Row],[Vloer code]]))</f>
        <v/>
      </c>
      <c r="BL795" s="448" t="str">
        <f>_xlfn.IFNA(VLOOKUP($BK795,Programma!$F$3:$G$1101,2,0),"")</f>
        <v/>
      </c>
      <c r="BM795" s="448" t="str">
        <f>_xlfn.IFNA(VLOOKUP($BK795,Programma!$F$3:$H$1101,3,0),"")</f>
        <v/>
      </c>
      <c r="BN795" s="448" t="str">
        <f>_xlfn.IFNA(VLOOKUP($BK795,Programma!$F$3:$I$1101,4,0),"")</f>
        <v/>
      </c>
      <c r="BO795" s="448" t="str">
        <f>_xlfn.IFNA(VLOOKUP($BK795,Programma!$F$3:$J$1101,5,0),"")</f>
        <v/>
      </c>
      <c r="BP795" s="448" t="str">
        <f>_xlfn.IFNA(VLOOKUP($BK795,Programma!$F$3:$K$1101,6,0),"")</f>
        <v/>
      </c>
      <c r="BQ795" s="448" t="str">
        <f>_xlfn.IFNA(VLOOKUP($BK795,Programma!$F$3:$L$1101,7,0),"")</f>
        <v/>
      </c>
      <c r="BR795" s="448" t="str">
        <f>_xlfn.IFNA(VLOOKUP($BK795,Programma!$F$3:$M$1101,8,0),"")</f>
        <v/>
      </c>
      <c r="BS795" s="448" t="str">
        <f>_xlfn.IFNA(VLOOKUP($BK795,Programma!$F$3:$N$1101,9,0),"")</f>
        <v/>
      </c>
      <c r="BT795" s="448" t="str">
        <f>_xlfn.IFNA(VLOOKUP($BK795,Programma!$F$3:$O$1101,10,0),"")</f>
        <v/>
      </c>
      <c r="BU795" s="448" t="str">
        <f>_xlfn.IFNA(VLOOKUP($BK795,Programma!$F$3:$P$1101,11,0),"")</f>
        <v/>
      </c>
      <c r="BV795" s="448" t="str">
        <f>_xlfn.IFNA(VLOOKUP($BK795,Programma!$F$3:$Q$1101,12,0),"")</f>
        <v/>
      </c>
      <c r="BW795" s="448" t="str">
        <f>_xlfn.IFNA(VLOOKUP($BK795,Programma!$F$3:$R$1101,13,0),"")</f>
        <v/>
      </c>
      <c r="BX795" s="448" t="str">
        <f>_xlfn.IFNA(VLOOKUP($BK795,Programma!$F$3:$S$1101,14,0),"")</f>
        <v/>
      </c>
      <c r="BY795" s="448" t="str">
        <f>_xlfn.IFNA(VLOOKUP($BK795,Programma!$F$3:$T$1101,15,0),"")</f>
        <v/>
      </c>
      <c r="BZ795" s="448" t="str">
        <f>_xlfn.IFNA(VLOOKUP($BK795,Programma!$F$3:$U$1101,16,0),"")</f>
        <v/>
      </c>
      <c r="CA795" s="448" t="str">
        <f>_xlfn.IFNA(VLOOKUP($BK795,Programma!$F$3:$V$1101,17,0),"")</f>
        <v/>
      </c>
      <c r="CB795" s="448" t="str">
        <f>_xlfn.IFNA(VLOOKUP($BK795,Programma!$F$3:$W$1101,18,0),"")</f>
        <v/>
      </c>
      <c r="CC795" s="448" t="str">
        <f>_xlfn.IFNA(VLOOKUP($BK795,Programma!$F$3:$X$1101,19,0),"")</f>
        <v/>
      </c>
      <c r="CD795" s="448" t="str">
        <f>_xlfn.IFNA(VLOOKUP($BK795,Programma!$F$3:$Y$1101,20,0),"")</f>
        <v/>
      </c>
    </row>
    <row r="796" spans="1:82" ht="15" customHeight="1">
      <c r="A796" s="327">
        <v>24</v>
      </c>
      <c r="B796" s="435" t="str">
        <f>VLOOKUP(Ruimtestaat[[#This Row],[Code]],Locaties[[Code]:[Locatie]],2,FALSE)</f>
        <v>IKC De Gaerde</v>
      </c>
      <c r="C796" s="435" t="str">
        <f>VLOOKUP(Ruimtestaat[[#This Row],[Code]],Locaties[[#All],[Code]:[Adres]],4,FALSE)</f>
        <v>Moerbeigaarde 58A</v>
      </c>
      <c r="D796" s="435" t="str">
        <f>VLOOKUP(Ruimtestaat[[#This Row],[Code]],Locaties[[#All],[Code]:[Postcode]],5,FALSE)</f>
        <v>2723 AG</v>
      </c>
      <c r="E796" s="435" t="str">
        <f>VLOOKUP(Ruimtestaat[[#This Row],[Code]],Locaties[#All],6,FALSE)</f>
        <v>Zoetermeer</v>
      </c>
      <c r="F796" s="450" t="s">
        <v>1705</v>
      </c>
      <c r="G796" s="330" t="s">
        <v>1678</v>
      </c>
      <c r="H796" s="330" t="s">
        <v>1894</v>
      </c>
      <c r="I796" s="450" t="s">
        <v>1865</v>
      </c>
      <c r="J796" s="330">
        <v>2</v>
      </c>
      <c r="K796" s="450" t="str">
        <f>VLOOKUP(Ruimtestaat[[#This Row],[Ruimte code]],Ruimtegroepen[[#All],[Code]:[Ruimte omschrijving]],2,FALSE)</f>
        <v>Kantoren</v>
      </c>
      <c r="L796" s="330" t="s">
        <v>100</v>
      </c>
      <c r="M796" s="437" t="s">
        <v>2058</v>
      </c>
      <c r="N796" s="439"/>
      <c r="O796" s="439"/>
      <c r="P796" s="439"/>
      <c r="Q796" s="439">
        <v>16.5</v>
      </c>
      <c r="R796" s="440" t="str">
        <f>VLOOKUP(Ruimtestaat[[#This Row],[Ruimte code]],Ruimtegroepen[],4,FALSE)</f>
        <v>Bu</v>
      </c>
      <c r="S796" s="434">
        <v>51</v>
      </c>
      <c r="T796" s="434" t="s">
        <v>17</v>
      </c>
      <c r="U796" s="453">
        <f>IF(S796&gt;0,IF(RIGHT(Ruimtestaat[[#This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V796" s="434">
        <f>IF(U796&gt;0,VLOOKUP($J796,Ruimtegroepen[],3,FALSE)*VLOOKUP($L796,Vloersoorten[],3,FALSE)*VLOOKUP($T796,Frequenties[],3,FALSE)*VLOOKUP($A796,Locaties[],3,FALSE),0)</f>
        <v>0</v>
      </c>
      <c r="W796" s="434">
        <f>Ruimtestaat[[#This Row],[Uitvoeringen werkdagen]]*Ruimtestaat[[#This Row],[Oppervlak (netto)]]</f>
        <v>0</v>
      </c>
      <c r="X796" s="441">
        <f>IF(V796&gt;0,Ruimtestaat[[#This Row],[Prest. (m2 /jaar) werkdagen]]/Ruimtestaat[[#This Row],[Norm (m2/uur) werkdagen]],0)</f>
        <v>0</v>
      </c>
      <c r="Y796" s="442">
        <f>Ruimtestaat[[#This Row],[Uitvoeringen werkdagen]]*Ruimtestaat[[#This Row],[Gedeeltelijk]]</f>
        <v>0</v>
      </c>
      <c r="Z796" s="443" t="e">
        <f>IF(U796&gt;0,Ruimtestaat[[#This Row],[Prest. (m2 / jaar) werkdagen gedeeld]]/Ruimtestaat[[#This Row],[Norm (m2/uur) werkdagen]],0)</f>
        <v>#DIV/0!</v>
      </c>
      <c r="AA796" s="441" t="e">
        <f>Ruimtestaat[[#This Row],[uren / jaar werkdagen gedeeld]]*Tariefsopbouw!$E$35</f>
        <v>#DIV/0!</v>
      </c>
      <c r="AB796" s="441">
        <f>Ruimtestaat[[#This Row],[Uitvoeringen werkdagen]]*Ruimtestaat[[#This Row],[BSO]]</f>
        <v>1683</v>
      </c>
      <c r="AC796" s="443" t="e">
        <f>IF(U796&gt;0,Ruimtestaat[[#This Row],[Prest. (m2 / jaar) werkdagen BSO]]/Ruimtestaat[[#This Row],[Norm (m2/uur) werkdagen]],0)</f>
        <v>#DIV/0!</v>
      </c>
      <c r="AD796" s="443" t="e">
        <f>Ruimtestaat[[#This Row],[uren / jaar werkdagen BSO]]*Tariefsopbouw!$E$35</f>
        <v>#DIV/0!</v>
      </c>
      <c r="AE796" s="444">
        <f>Ruimtestaat[[#This Row],[uren / jaar werkdagen]]*Tariefsopbouw!$E$35</f>
        <v>0</v>
      </c>
      <c r="AF796" s="454"/>
      <c r="AG796" s="455">
        <f>IF(Ruimtestaat[[#This Row],[Frequentie weekend]]&gt;0,VALUE(LEFT(AF796,1))*S796,0)</f>
        <v>0</v>
      </c>
      <c r="AH796" s="455">
        <f>IF($AG796&gt;0,VLOOKUP($J796,Ruimtegroepen[],3,FALSE)*VLOOKUP($L796,Vloersoorten[],3,FALSE)*VLOOKUP($AF796,Frequenties[],3,FALSE)*VLOOKUP(#REF!,Locaties[],3,FALSE),0)</f>
        <v>0</v>
      </c>
      <c r="AI796" s="434">
        <f>Ruimtestaat[[#This Row],[Uitvoeringen weekend]]*Ruimtestaat[[#This Row],[Oppervlak (netto)]]</f>
        <v>0</v>
      </c>
      <c r="AJ796" s="434">
        <f>IF(AH796&gt;0,Ruimtestaat[[#This Row],[Prest. (m2 /jaar) weekend]]/Ruimtestaat[[#This Row],[Norm (m2/uur) weekend]],0)</f>
        <v>0</v>
      </c>
      <c r="AK796" s="444">
        <f>Ruimtestaat[[#This Row],[uren / jaar weekend]]*Tariefsopbouw!$D$40</f>
        <v>0</v>
      </c>
      <c r="AL796" s="441">
        <f>Ruimtestaat[[#This Row],[Prest. (m2 /jaar) weekend]]+Ruimtestaat[[#This Row],[Prest. (m2 /jaar) werkdagen]]</f>
        <v>0</v>
      </c>
      <c r="AM796" s="441">
        <f>Ruimtestaat[[#This Row],[uren / jaar weekend]]+Ruimtestaat[[#This Row],[uren / jaar werkdagen]]</f>
        <v>0</v>
      </c>
      <c r="AN796" s="446">
        <f>Ruimtestaat[[#This Row],[kosten / jaar weekend]]+Ruimtestaat[[#This Row],[kosten / jaar werkdagen]]</f>
        <v>0</v>
      </c>
      <c r="AO796" s="446"/>
      <c r="AP796" s="446" t="str">
        <f>IF(Ruimtestaat[[#This Row],[Frequentie werkdagen]]="","",_xlfn.CONCAT(Ruimtestaat[[#This Row],[Ruimte code]],"-",Ruimtestaat[[#This Row],[Frequentie werkdagen]]," ",Ruimtestaat[[#This Row],[Vloer code]]))</f>
        <v>2-2w L</v>
      </c>
      <c r="AQ796" s="448" t="str">
        <f>_xlfn.IFNA(VLOOKUP($AP796,Programma!$F$3:$G$1101,2,0),"")</f>
        <v>_</v>
      </c>
      <c r="AR796" s="448" t="str">
        <f>_xlfn.IFNA(VLOOKUP($AP796,Programma!$F$3:$H$1101,3,0),"")</f>
        <v>_</v>
      </c>
      <c r="AS796" s="448" t="str">
        <f>_xlfn.IFNA(VLOOKUP($AP796,Programma!$F$3:$I$1101,4,0),"")</f>
        <v>1w</v>
      </c>
      <c r="AT796" s="448" t="str">
        <f>_xlfn.IFNA(VLOOKUP($AP796,Programma!$F$3:$J$1101,5,0),"")</f>
        <v>1w</v>
      </c>
      <c r="AU796" s="448" t="str">
        <f>_xlfn.IFNA(VLOOKUP($AP796,Programma!$F$3:$K$1101,6,0),"")</f>
        <v>_</v>
      </c>
      <c r="AV796" s="448" t="str">
        <f>_xlfn.IFNA(VLOOKUP($AP796,Programma!$F$3:$L$1101,7,0),"")</f>
        <v>_</v>
      </c>
      <c r="AW796" s="448" t="str">
        <f>_xlfn.IFNA(VLOOKUP($AP796,Programma!$F$3:$M$1101,8,0),"")</f>
        <v>_</v>
      </c>
      <c r="AX796" s="448" t="str">
        <f>_xlfn.IFNA(VLOOKUP($AP796,Programma!$F$3:$N$1101,9,0),"")</f>
        <v>_</v>
      </c>
      <c r="AY796" s="448" t="str">
        <f>_xlfn.IFNA(VLOOKUP($AP796,Programma!$F$3:$O$1101,10,0),"")</f>
        <v>2w</v>
      </c>
      <c r="AZ796" s="448" t="str">
        <f>_xlfn.IFNA(VLOOKUP($AP796,Programma!$F$3:$P$1101,11,0),"")</f>
        <v>2w</v>
      </c>
      <c r="BA796" s="448" t="str">
        <f>_xlfn.IFNA(VLOOKUP($AP796,Programma!$F$3:$Q$1101,12,0),"")</f>
        <v>1w</v>
      </c>
      <c r="BB796" s="448" t="str">
        <f>_xlfn.IFNA(VLOOKUP($AP796,Programma!$F$3:$R$1101,13,0),"")</f>
        <v>1w</v>
      </c>
      <c r="BC796" s="448" t="str">
        <f>_xlfn.IFNA(VLOOKUP($AP796,Programma!$F$3:$S$1101,14,0),"")</f>
        <v>1m</v>
      </c>
      <c r="BD796" s="448" t="str">
        <f>_xlfn.IFNA(VLOOKUP($AP796,Programma!$F$3:$T$1101,15,0),"")</f>
        <v>2j</v>
      </c>
      <c r="BE796" s="448" t="str">
        <f>_xlfn.IFNA(VLOOKUP($AP796,Programma!$F$3:$U$1101,16,0),"")</f>
        <v>1j</v>
      </c>
      <c r="BF796" s="448" t="str">
        <f>_xlfn.IFNA(VLOOKUP($AP796,Programma!$F$3:$V$1101,17,0),"")</f>
        <v>_</v>
      </c>
      <c r="BG796" s="448" t="str">
        <f>_xlfn.IFNA(VLOOKUP($AP796,Programma!$F$3:$W$1101,18,0),"")</f>
        <v>_</v>
      </c>
      <c r="BH796" s="448" t="str">
        <f>_xlfn.IFNA(VLOOKUP($AP796,Programma!$F$3:$X$1101,19,0),"")</f>
        <v>_</v>
      </c>
      <c r="BI796" s="448" t="str">
        <f>_xlfn.IFNA(VLOOKUP($AP796,Programma!$F$3:$Y$1101,20,0),"")</f>
        <v>_</v>
      </c>
      <c r="BJ796" s="449"/>
      <c r="BK796" s="446" t="str">
        <f>IF(Ruimtestaat[[#This Row],[Frequentie weekend]]="","",_xlfn.CONCAT(Ruimtestaat[[#This Row],[Ruimte code]],"-",Ruimtestaat[[#This Row],[Frequentie weekend]]," ",Ruimtestaat[[#This Row],[Vloer code]]))</f>
        <v/>
      </c>
      <c r="BL796" s="448" t="str">
        <f>_xlfn.IFNA(VLOOKUP($BK796,Programma!$F$3:$G$1101,2,0),"")</f>
        <v/>
      </c>
      <c r="BM796" s="448" t="str">
        <f>_xlfn.IFNA(VLOOKUP($BK796,Programma!$F$3:$H$1101,3,0),"")</f>
        <v/>
      </c>
      <c r="BN796" s="448" t="str">
        <f>_xlfn.IFNA(VLOOKUP($BK796,Programma!$F$3:$I$1101,4,0),"")</f>
        <v/>
      </c>
      <c r="BO796" s="448" t="str">
        <f>_xlfn.IFNA(VLOOKUP($BK796,Programma!$F$3:$J$1101,5,0),"")</f>
        <v/>
      </c>
      <c r="BP796" s="448" t="str">
        <f>_xlfn.IFNA(VLOOKUP($BK796,Programma!$F$3:$K$1101,6,0),"")</f>
        <v/>
      </c>
      <c r="BQ796" s="448" t="str">
        <f>_xlfn.IFNA(VLOOKUP($BK796,Programma!$F$3:$L$1101,7,0),"")</f>
        <v/>
      </c>
      <c r="BR796" s="448" t="str">
        <f>_xlfn.IFNA(VLOOKUP($BK796,Programma!$F$3:$M$1101,8,0),"")</f>
        <v/>
      </c>
      <c r="BS796" s="448" t="str">
        <f>_xlfn.IFNA(VLOOKUP($BK796,Programma!$F$3:$N$1101,9,0),"")</f>
        <v/>
      </c>
      <c r="BT796" s="448" t="str">
        <f>_xlfn.IFNA(VLOOKUP($BK796,Programma!$F$3:$O$1101,10,0),"")</f>
        <v/>
      </c>
      <c r="BU796" s="448" t="str">
        <f>_xlfn.IFNA(VLOOKUP($BK796,Programma!$F$3:$P$1101,11,0),"")</f>
        <v/>
      </c>
      <c r="BV796" s="448" t="str">
        <f>_xlfn.IFNA(VLOOKUP($BK796,Programma!$F$3:$Q$1101,12,0),"")</f>
        <v/>
      </c>
      <c r="BW796" s="448" t="str">
        <f>_xlfn.IFNA(VLOOKUP($BK796,Programma!$F$3:$R$1101,13,0),"")</f>
        <v/>
      </c>
      <c r="BX796" s="448" t="str">
        <f>_xlfn.IFNA(VLOOKUP($BK796,Programma!$F$3:$S$1101,14,0),"")</f>
        <v/>
      </c>
      <c r="BY796" s="448" t="str">
        <f>_xlfn.IFNA(VLOOKUP($BK796,Programma!$F$3:$T$1101,15,0),"")</f>
        <v/>
      </c>
      <c r="BZ796" s="448" t="str">
        <f>_xlfn.IFNA(VLOOKUP($BK796,Programma!$F$3:$U$1101,16,0),"")</f>
        <v/>
      </c>
      <c r="CA796" s="448" t="str">
        <f>_xlfn.IFNA(VLOOKUP($BK796,Programma!$F$3:$V$1101,17,0),"")</f>
        <v/>
      </c>
      <c r="CB796" s="448" t="str">
        <f>_xlfn.IFNA(VLOOKUP($BK796,Programma!$F$3:$W$1101,18,0),"")</f>
        <v/>
      </c>
      <c r="CC796" s="448" t="str">
        <f>_xlfn.IFNA(VLOOKUP($BK796,Programma!$F$3:$X$1101,19,0),"")</f>
        <v/>
      </c>
      <c r="CD796" s="448" t="str">
        <f>_xlfn.IFNA(VLOOKUP($BK796,Programma!$F$3:$Y$1101,20,0),"")</f>
        <v/>
      </c>
    </row>
    <row r="797" spans="1:82" ht="15" customHeight="1">
      <c r="A797" s="327">
        <v>24</v>
      </c>
      <c r="B797" s="435" t="str">
        <f>VLOOKUP(Ruimtestaat[[#This Row],[Code]],Locaties[[Code]:[Locatie]],2,FALSE)</f>
        <v>IKC De Gaerde</v>
      </c>
      <c r="C797" s="435" t="str">
        <f>VLOOKUP(Ruimtestaat[[#This Row],[Code]],Locaties[[#All],[Code]:[Adres]],4,FALSE)</f>
        <v>Moerbeigaarde 58A</v>
      </c>
      <c r="D797" s="435" t="str">
        <f>VLOOKUP(Ruimtestaat[[#This Row],[Code]],Locaties[[#All],[Code]:[Postcode]],5,FALSE)</f>
        <v>2723 AG</v>
      </c>
      <c r="E797" s="435" t="str">
        <f>VLOOKUP(Ruimtestaat[[#This Row],[Code]],Locaties[#All],6,FALSE)</f>
        <v>Zoetermeer</v>
      </c>
      <c r="F797" s="450"/>
      <c r="G797" s="330" t="s">
        <v>1678</v>
      </c>
      <c r="H797" s="330" t="s">
        <v>1681</v>
      </c>
      <c r="I797" s="450" t="s">
        <v>2021</v>
      </c>
      <c r="J797" s="330">
        <v>2</v>
      </c>
      <c r="K797" s="450" t="str">
        <f>VLOOKUP(Ruimtestaat[[#This Row],[Ruimte code]],Ruimtegroepen[[#All],[Code]:[Ruimte omschrijving]],2,FALSE)</f>
        <v>Kantoren</v>
      </c>
      <c r="L797" s="330" t="s">
        <v>100</v>
      </c>
      <c r="M797" s="437" t="s">
        <v>2058</v>
      </c>
      <c r="N797" s="439">
        <v>18.600000000000001</v>
      </c>
      <c r="O797" s="439"/>
      <c r="P797" s="439"/>
      <c r="Q797" s="439"/>
      <c r="R797" s="440" t="str">
        <f>VLOOKUP(Ruimtestaat[[#This Row],[Ruimte code]],Ruimtegroepen[],4,FALSE)</f>
        <v>Bu</v>
      </c>
      <c r="S797" s="434">
        <v>41</v>
      </c>
      <c r="T797" s="434" t="s">
        <v>2</v>
      </c>
      <c r="U797" s="453">
        <f>IF(S797&gt;0,IF(RIGHT(Ruimtestaat[[#This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797" s="434">
        <f>IF(U797&gt;0,VLOOKUP($J797,Ruimtegroepen[],3,FALSE)*VLOOKUP($L797,Vloersoorten[],3,FALSE)*VLOOKUP($T797,Frequenties[],3,FALSE)*VLOOKUP($A797,Locaties[],3,FALSE),0)</f>
        <v>0</v>
      </c>
      <c r="W797" s="434">
        <f>Ruimtestaat[[#This Row],[Uitvoeringen werkdagen]]*Ruimtestaat[[#This Row],[Oppervlak (netto)]]</f>
        <v>3813.0000000000005</v>
      </c>
      <c r="X797" s="441">
        <f>IF(V797&gt;0,Ruimtestaat[[#This Row],[Prest. (m2 /jaar) werkdagen]]/Ruimtestaat[[#This Row],[Norm (m2/uur) werkdagen]],0)</f>
        <v>0</v>
      </c>
      <c r="Y797" s="442">
        <f>Ruimtestaat[[#This Row],[Uitvoeringen werkdagen]]*Ruimtestaat[[#This Row],[Gedeeltelijk]]</f>
        <v>0</v>
      </c>
      <c r="Z797" s="443" t="e">
        <f>IF(U797&gt;0,Ruimtestaat[[#This Row],[Prest. (m2 / jaar) werkdagen gedeeld]]/Ruimtestaat[[#This Row],[Norm (m2/uur) werkdagen]],0)</f>
        <v>#DIV/0!</v>
      </c>
      <c r="AA797" s="441" t="e">
        <f>Ruimtestaat[[#This Row],[uren / jaar werkdagen gedeeld]]*Tariefsopbouw!$E$35</f>
        <v>#DIV/0!</v>
      </c>
      <c r="AB797" s="441">
        <f>Ruimtestaat[[#This Row],[Uitvoeringen werkdagen]]*Ruimtestaat[[#This Row],[BSO]]</f>
        <v>0</v>
      </c>
      <c r="AC797" s="443" t="e">
        <f>IF(U797&gt;0,Ruimtestaat[[#This Row],[Prest. (m2 / jaar) werkdagen BSO]]/Ruimtestaat[[#This Row],[Norm (m2/uur) werkdagen]],0)</f>
        <v>#DIV/0!</v>
      </c>
      <c r="AD797" s="443" t="e">
        <f>Ruimtestaat[[#This Row],[uren / jaar werkdagen BSO]]*Tariefsopbouw!$E$35</f>
        <v>#DIV/0!</v>
      </c>
      <c r="AE797" s="444">
        <f>Ruimtestaat[[#This Row],[uren / jaar werkdagen]]*Tariefsopbouw!$E$35</f>
        <v>0</v>
      </c>
      <c r="AF797" s="454"/>
      <c r="AG797" s="455">
        <f>IF(Ruimtestaat[[#This Row],[Frequentie weekend]]&gt;0,VALUE(LEFT(AF797,1))*S797,0)</f>
        <v>0</v>
      </c>
      <c r="AH797" s="455">
        <f>IF($AG797&gt;0,VLOOKUP($J797,Ruimtegroepen[],3,FALSE)*VLOOKUP($L797,Vloersoorten[],3,FALSE)*VLOOKUP($AF797,Frequenties[],3,FALSE)*VLOOKUP(#REF!,Locaties[],3,FALSE),0)</f>
        <v>0</v>
      </c>
      <c r="AI797" s="434">
        <f>Ruimtestaat[[#This Row],[Uitvoeringen weekend]]*Ruimtestaat[[#This Row],[Oppervlak (netto)]]</f>
        <v>0</v>
      </c>
      <c r="AJ797" s="434">
        <f>IF(AH797&gt;0,Ruimtestaat[[#This Row],[Prest. (m2 /jaar) weekend]]/Ruimtestaat[[#This Row],[Norm (m2/uur) weekend]],0)</f>
        <v>0</v>
      </c>
      <c r="AK797" s="444">
        <f>Ruimtestaat[[#This Row],[uren / jaar weekend]]*Tariefsopbouw!$D$40</f>
        <v>0</v>
      </c>
      <c r="AL797" s="441">
        <f>Ruimtestaat[[#This Row],[Prest. (m2 /jaar) weekend]]+Ruimtestaat[[#This Row],[Prest. (m2 /jaar) werkdagen]]</f>
        <v>3813.0000000000005</v>
      </c>
      <c r="AM797" s="441">
        <f>Ruimtestaat[[#This Row],[uren / jaar weekend]]+Ruimtestaat[[#This Row],[uren / jaar werkdagen]]</f>
        <v>0</v>
      </c>
      <c r="AN797" s="446">
        <f>Ruimtestaat[[#This Row],[kosten / jaar weekend]]+Ruimtestaat[[#This Row],[kosten / jaar werkdagen]]</f>
        <v>0</v>
      </c>
      <c r="AO797" s="446"/>
      <c r="AP797" s="446" t="str">
        <f>IF(Ruimtestaat[[#This Row],[Frequentie werkdagen]]="","",_xlfn.CONCAT(Ruimtestaat[[#This Row],[Ruimte code]],"-",Ruimtestaat[[#This Row],[Frequentie werkdagen]]," ",Ruimtestaat[[#This Row],[Vloer code]]))</f>
        <v>2-5w L</v>
      </c>
      <c r="AQ797" s="448" t="str">
        <f>_xlfn.IFNA(VLOOKUP($AP797,Programma!$F$3:$G$1101,2,0),"")</f>
        <v>_</v>
      </c>
      <c r="AR797" s="448" t="str">
        <f>_xlfn.IFNA(VLOOKUP($AP797,Programma!$F$3:$H$1101,3,0),"")</f>
        <v>_</v>
      </c>
      <c r="AS797" s="448" t="str">
        <f>_xlfn.IFNA(VLOOKUP($AP797,Programma!$F$3:$I$1101,4,0),"")</f>
        <v>4w</v>
      </c>
      <c r="AT797" s="448" t="str">
        <f>_xlfn.IFNA(VLOOKUP($AP797,Programma!$F$3:$J$1101,5,0),"")</f>
        <v>1w</v>
      </c>
      <c r="AU797" s="448" t="str">
        <f>_xlfn.IFNA(VLOOKUP($AP797,Programma!$F$3:$K$1101,6,0),"")</f>
        <v>_</v>
      </c>
      <c r="AV797" s="448" t="str">
        <f>_xlfn.IFNA(VLOOKUP($AP797,Programma!$F$3:$L$1101,7,0),"")</f>
        <v>_</v>
      </c>
      <c r="AW797" s="448" t="str">
        <f>_xlfn.IFNA(VLOOKUP($AP797,Programma!$F$3:$M$1101,8,0),"")</f>
        <v>_</v>
      </c>
      <c r="AX797" s="448" t="str">
        <f>_xlfn.IFNA(VLOOKUP($AP797,Programma!$F$3:$N$1101,9,0),"")</f>
        <v>_</v>
      </c>
      <c r="AY797" s="448" t="str">
        <f>_xlfn.IFNA(VLOOKUP($AP797,Programma!$F$3:$O$1101,10,0),"")</f>
        <v>5w</v>
      </c>
      <c r="AZ797" s="448" t="str">
        <f>_xlfn.IFNA(VLOOKUP($AP797,Programma!$F$3:$P$1101,11,0),"")</f>
        <v>5w</v>
      </c>
      <c r="BA797" s="448" t="str">
        <f>_xlfn.IFNA(VLOOKUP($AP797,Programma!$F$3:$Q$1101,12,0),"")</f>
        <v>1w</v>
      </c>
      <c r="BB797" s="448" t="str">
        <f>_xlfn.IFNA(VLOOKUP($AP797,Programma!$F$3:$R$1101,13,0),"")</f>
        <v>1w</v>
      </c>
      <c r="BC797" s="448" t="str">
        <f>_xlfn.IFNA(VLOOKUP($AP797,Programma!$F$3:$S$1101,14,0),"")</f>
        <v>1m</v>
      </c>
      <c r="BD797" s="448" t="str">
        <f>_xlfn.IFNA(VLOOKUP($AP797,Programma!$F$3:$T$1101,15,0),"")</f>
        <v>2j</v>
      </c>
      <c r="BE797" s="448" t="str">
        <f>_xlfn.IFNA(VLOOKUP($AP797,Programma!$F$3:$U$1101,16,0),"")</f>
        <v>1j</v>
      </c>
      <c r="BF797" s="448" t="str">
        <f>_xlfn.IFNA(VLOOKUP($AP797,Programma!$F$3:$V$1101,17,0),"")</f>
        <v>_</v>
      </c>
      <c r="BG797" s="448" t="str">
        <f>_xlfn.IFNA(VLOOKUP($AP797,Programma!$F$3:$W$1101,18,0),"")</f>
        <v>_</v>
      </c>
      <c r="BH797" s="448" t="str">
        <f>_xlfn.IFNA(VLOOKUP($AP797,Programma!$F$3:$X$1101,19,0),"")</f>
        <v>_</v>
      </c>
      <c r="BI797" s="448" t="str">
        <f>_xlfn.IFNA(VLOOKUP($AP797,Programma!$F$3:$Y$1101,20,0),"")</f>
        <v>_</v>
      </c>
      <c r="BJ797" s="449"/>
      <c r="BK797" s="446" t="str">
        <f>IF(Ruimtestaat[[#This Row],[Frequentie weekend]]="","",_xlfn.CONCAT(Ruimtestaat[[#This Row],[Ruimte code]],"-",Ruimtestaat[[#This Row],[Frequentie weekend]]," ",Ruimtestaat[[#This Row],[Vloer code]]))</f>
        <v/>
      </c>
      <c r="BL797" s="448" t="str">
        <f>_xlfn.IFNA(VLOOKUP($BK797,Programma!$F$3:$G$1101,2,0),"")</f>
        <v/>
      </c>
      <c r="BM797" s="448" t="str">
        <f>_xlfn.IFNA(VLOOKUP($BK797,Programma!$F$3:$H$1101,3,0),"")</f>
        <v/>
      </c>
      <c r="BN797" s="448" t="str">
        <f>_xlfn.IFNA(VLOOKUP($BK797,Programma!$F$3:$I$1101,4,0),"")</f>
        <v/>
      </c>
      <c r="BO797" s="448" t="str">
        <f>_xlfn.IFNA(VLOOKUP($BK797,Programma!$F$3:$J$1101,5,0),"")</f>
        <v/>
      </c>
      <c r="BP797" s="448" t="str">
        <f>_xlfn.IFNA(VLOOKUP($BK797,Programma!$F$3:$K$1101,6,0),"")</f>
        <v/>
      </c>
      <c r="BQ797" s="448" t="str">
        <f>_xlfn.IFNA(VLOOKUP($BK797,Programma!$F$3:$L$1101,7,0),"")</f>
        <v/>
      </c>
      <c r="BR797" s="448" t="str">
        <f>_xlfn.IFNA(VLOOKUP($BK797,Programma!$F$3:$M$1101,8,0),"")</f>
        <v/>
      </c>
      <c r="BS797" s="448" t="str">
        <f>_xlfn.IFNA(VLOOKUP($BK797,Programma!$F$3:$N$1101,9,0),"")</f>
        <v/>
      </c>
      <c r="BT797" s="448" t="str">
        <f>_xlfn.IFNA(VLOOKUP($BK797,Programma!$F$3:$O$1101,10,0),"")</f>
        <v/>
      </c>
      <c r="BU797" s="448" t="str">
        <f>_xlfn.IFNA(VLOOKUP($BK797,Programma!$F$3:$P$1101,11,0),"")</f>
        <v/>
      </c>
      <c r="BV797" s="448" t="str">
        <f>_xlfn.IFNA(VLOOKUP($BK797,Programma!$F$3:$Q$1101,12,0),"")</f>
        <v/>
      </c>
      <c r="BW797" s="448" t="str">
        <f>_xlfn.IFNA(VLOOKUP($BK797,Programma!$F$3:$R$1101,13,0),"")</f>
        <v/>
      </c>
      <c r="BX797" s="448" t="str">
        <f>_xlfn.IFNA(VLOOKUP($BK797,Programma!$F$3:$S$1101,14,0),"")</f>
        <v/>
      </c>
      <c r="BY797" s="448" t="str">
        <f>_xlfn.IFNA(VLOOKUP($BK797,Programma!$F$3:$T$1101,15,0),"")</f>
        <v/>
      </c>
      <c r="BZ797" s="448" t="str">
        <f>_xlfn.IFNA(VLOOKUP($BK797,Programma!$F$3:$U$1101,16,0),"")</f>
        <v/>
      </c>
      <c r="CA797" s="448" t="str">
        <f>_xlfn.IFNA(VLOOKUP($BK797,Programma!$F$3:$V$1101,17,0),"")</f>
        <v/>
      </c>
      <c r="CB797" s="448" t="str">
        <f>_xlfn.IFNA(VLOOKUP($BK797,Programma!$F$3:$W$1101,18,0),"")</f>
        <v/>
      </c>
      <c r="CC797" s="448" t="str">
        <f>_xlfn.IFNA(VLOOKUP($BK797,Programma!$F$3:$X$1101,19,0),"")</f>
        <v/>
      </c>
      <c r="CD797" s="448" t="str">
        <f>_xlfn.IFNA(VLOOKUP($BK797,Programma!$F$3:$Y$1101,20,0),"")</f>
        <v/>
      </c>
    </row>
    <row r="798" spans="1:82" ht="15" customHeight="1">
      <c r="A798" s="327">
        <v>24</v>
      </c>
      <c r="B798" s="435" t="str">
        <f>VLOOKUP(Ruimtestaat[[#This Row],[Code]],Locaties[[Code]:[Locatie]],2,FALSE)</f>
        <v>IKC De Gaerde</v>
      </c>
      <c r="C798" s="435" t="str">
        <f>VLOOKUP(Ruimtestaat[[#This Row],[Code]],Locaties[[#All],[Code]:[Adres]],4,FALSE)</f>
        <v>Moerbeigaarde 58A</v>
      </c>
      <c r="D798" s="435" t="str">
        <f>VLOOKUP(Ruimtestaat[[#This Row],[Code]],Locaties[[#All],[Code]:[Postcode]],5,FALSE)</f>
        <v>2723 AG</v>
      </c>
      <c r="E798" s="435" t="str">
        <f>VLOOKUP(Ruimtestaat[[#This Row],[Code]],Locaties[#All],6,FALSE)</f>
        <v>Zoetermeer</v>
      </c>
      <c r="F798" s="450" t="s">
        <v>1705</v>
      </c>
      <c r="G798" s="330" t="s">
        <v>1678</v>
      </c>
      <c r="H798" s="330" t="s">
        <v>1682</v>
      </c>
      <c r="I798" s="450" t="s">
        <v>1720</v>
      </c>
      <c r="J798" s="330">
        <v>5</v>
      </c>
      <c r="K798" s="450" t="str">
        <f>VLOOKUP(Ruimtestaat[[#This Row],[Ruimte code]],Ruimtegroepen[[#All],[Code]:[Ruimte omschrijving]],2,FALSE)</f>
        <v>Sanitair</v>
      </c>
      <c r="L798" s="330" t="s">
        <v>101</v>
      </c>
      <c r="M798" s="437" t="s">
        <v>1816</v>
      </c>
      <c r="N798" s="439"/>
      <c r="O798" s="439"/>
      <c r="P798" s="439"/>
      <c r="Q798" s="439">
        <v>1.5</v>
      </c>
      <c r="R798" s="440" t="str">
        <f>VLOOKUP(Ruimtestaat[[#This Row],[Ruimte code]],Ruimtegroepen[],4,FALSE)</f>
        <v>Sa</v>
      </c>
      <c r="S798" s="434">
        <v>51</v>
      </c>
      <c r="T798" s="434" t="s">
        <v>2</v>
      </c>
      <c r="U798" s="453">
        <f>IF(S798&gt;0,IF(RIGHT(Ruimtestaat[[#This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798" s="434">
        <f>IF(U798&gt;0,VLOOKUP($J798,Ruimtegroepen[],3,FALSE)*VLOOKUP($L798,Vloersoorten[],3,FALSE)*VLOOKUP($T798,Frequenties[],3,FALSE)*VLOOKUP($A798,Locaties[],3,FALSE),0)</f>
        <v>0</v>
      </c>
      <c r="W798" s="434">
        <f>Ruimtestaat[[#This Row],[Uitvoeringen werkdagen]]*Ruimtestaat[[#This Row],[Oppervlak (netto)]]</f>
        <v>0</v>
      </c>
      <c r="X798" s="441">
        <f>IF(V798&gt;0,Ruimtestaat[[#This Row],[Prest. (m2 /jaar) werkdagen]]/Ruimtestaat[[#This Row],[Norm (m2/uur) werkdagen]],0)</f>
        <v>0</v>
      </c>
      <c r="Y798" s="442">
        <f>Ruimtestaat[[#This Row],[Uitvoeringen werkdagen]]*Ruimtestaat[[#This Row],[Gedeeltelijk]]</f>
        <v>0</v>
      </c>
      <c r="Z798" s="443" t="e">
        <f>IF(U798&gt;0,Ruimtestaat[[#This Row],[Prest. (m2 / jaar) werkdagen gedeeld]]/Ruimtestaat[[#This Row],[Norm (m2/uur) werkdagen]],0)</f>
        <v>#DIV/0!</v>
      </c>
      <c r="AA798" s="441" t="e">
        <f>Ruimtestaat[[#This Row],[uren / jaar werkdagen gedeeld]]*Tariefsopbouw!$E$35</f>
        <v>#DIV/0!</v>
      </c>
      <c r="AB798" s="441">
        <f>Ruimtestaat[[#This Row],[Uitvoeringen werkdagen]]*Ruimtestaat[[#This Row],[BSO]]</f>
        <v>382.5</v>
      </c>
      <c r="AC798" s="443" t="e">
        <f>IF(U798&gt;0,Ruimtestaat[[#This Row],[Prest. (m2 / jaar) werkdagen BSO]]/Ruimtestaat[[#This Row],[Norm (m2/uur) werkdagen]],0)</f>
        <v>#DIV/0!</v>
      </c>
      <c r="AD798" s="443" t="e">
        <f>Ruimtestaat[[#This Row],[uren / jaar werkdagen BSO]]*Tariefsopbouw!$E$35</f>
        <v>#DIV/0!</v>
      </c>
      <c r="AE798" s="444">
        <f>Ruimtestaat[[#This Row],[uren / jaar werkdagen]]*Tariefsopbouw!$E$35</f>
        <v>0</v>
      </c>
      <c r="AF798" s="454"/>
      <c r="AG798" s="455">
        <f>IF(Ruimtestaat[[#This Row],[Frequentie weekend]]&gt;0,VALUE(LEFT(AF798,1))*S798,0)</f>
        <v>0</v>
      </c>
      <c r="AH798" s="455">
        <f>IF($AG798&gt;0,VLOOKUP($J798,Ruimtegroepen[],3,FALSE)*VLOOKUP($L798,Vloersoorten[],3,FALSE)*VLOOKUP($AF798,Frequenties[],3,FALSE)*VLOOKUP(#REF!,Locaties[],3,FALSE),0)</f>
        <v>0</v>
      </c>
      <c r="AI798" s="434">
        <f>Ruimtestaat[[#This Row],[Uitvoeringen weekend]]*Ruimtestaat[[#This Row],[Oppervlak (netto)]]</f>
        <v>0</v>
      </c>
      <c r="AJ798" s="434">
        <f>IF(AH798&gt;0,Ruimtestaat[[#This Row],[Prest. (m2 /jaar) weekend]]/Ruimtestaat[[#This Row],[Norm (m2/uur) weekend]],0)</f>
        <v>0</v>
      </c>
      <c r="AK798" s="444">
        <f>Ruimtestaat[[#This Row],[uren / jaar weekend]]*Tariefsopbouw!$D$40</f>
        <v>0</v>
      </c>
      <c r="AL798" s="441">
        <f>Ruimtestaat[[#This Row],[Prest. (m2 /jaar) weekend]]+Ruimtestaat[[#This Row],[Prest. (m2 /jaar) werkdagen]]</f>
        <v>0</v>
      </c>
      <c r="AM798" s="441">
        <f>Ruimtestaat[[#This Row],[uren / jaar weekend]]+Ruimtestaat[[#This Row],[uren / jaar werkdagen]]</f>
        <v>0</v>
      </c>
      <c r="AN798" s="446">
        <f>Ruimtestaat[[#This Row],[kosten / jaar weekend]]+Ruimtestaat[[#This Row],[kosten / jaar werkdagen]]</f>
        <v>0</v>
      </c>
      <c r="AO798" s="446"/>
      <c r="AP798" s="446" t="str">
        <f>IF(Ruimtestaat[[#This Row],[Frequentie werkdagen]]="","",_xlfn.CONCAT(Ruimtestaat[[#This Row],[Ruimte code]],"-",Ruimtestaat[[#This Row],[Frequentie werkdagen]]," ",Ruimtestaat[[#This Row],[Vloer code]]))</f>
        <v>5-5w S</v>
      </c>
      <c r="AQ798" s="448" t="str">
        <f>_xlfn.IFNA(VLOOKUP($AP798,Programma!$F$3:$G$1101,2,0),"")</f>
        <v>_</v>
      </c>
      <c r="AR798" s="448" t="str">
        <f>_xlfn.IFNA(VLOOKUP($AP798,Programma!$F$3:$H$1101,3,0),"")</f>
        <v>_</v>
      </c>
      <c r="AS798" s="448" t="str">
        <f>_xlfn.IFNA(VLOOKUP($AP798,Programma!$F$3:$I$1101,4,0),"")</f>
        <v>_</v>
      </c>
      <c r="AT798" s="448" t="str">
        <f>_xlfn.IFNA(VLOOKUP($AP798,Programma!$F$3:$J$1101,5,0),"")</f>
        <v>4w</v>
      </c>
      <c r="AU798" s="448" t="str">
        <f>_xlfn.IFNA(VLOOKUP($AP798,Programma!$F$3:$K$1101,6,0),"")</f>
        <v>1w</v>
      </c>
      <c r="AV798" s="448" t="str">
        <f>_xlfn.IFNA(VLOOKUP($AP798,Programma!$F$3:$L$1101,7,0),"")</f>
        <v>_</v>
      </c>
      <c r="AW798" s="448" t="str">
        <f>_xlfn.IFNA(VLOOKUP($AP798,Programma!$F$3:$M$1101,8,0),"")</f>
        <v>_</v>
      </c>
      <c r="AX798" s="448" t="str">
        <f>_xlfn.IFNA(VLOOKUP($AP798,Programma!$F$3:$N$1101,9,0),"")</f>
        <v>_</v>
      </c>
      <c r="AY798" s="448" t="str">
        <f>_xlfn.IFNA(VLOOKUP($AP798,Programma!$F$3:$O$1101,10,0),"")</f>
        <v>_</v>
      </c>
      <c r="AZ798" s="448" t="str">
        <f>_xlfn.IFNA(VLOOKUP($AP798,Programma!$F$3:$P$1101,11,0),"")</f>
        <v>_</v>
      </c>
      <c r="BA798" s="448" t="str">
        <f>_xlfn.IFNA(VLOOKUP($AP798,Programma!$F$3:$Q$1101,12,0),"")</f>
        <v>_</v>
      </c>
      <c r="BB798" s="448" t="str">
        <f>_xlfn.IFNA(VLOOKUP($AP798,Programma!$F$3:$R$1101,13,0),"")</f>
        <v>_</v>
      </c>
      <c r="BC798" s="448" t="str">
        <f>_xlfn.IFNA(VLOOKUP($AP798,Programma!$F$3:$S$1101,14,0),"")</f>
        <v>_</v>
      </c>
      <c r="BD798" s="448" t="str">
        <f>_xlfn.IFNA(VLOOKUP($AP798,Programma!$F$3:$T$1101,15,0),"")</f>
        <v>_</v>
      </c>
      <c r="BE798" s="448" t="str">
        <f>_xlfn.IFNA(VLOOKUP($AP798,Programma!$F$3:$U$1101,16,0),"")</f>
        <v>_</v>
      </c>
      <c r="BF798" s="448" t="str">
        <f>_xlfn.IFNA(VLOOKUP($AP798,Programma!$F$3:$V$1101,17,0),"")</f>
        <v>_</v>
      </c>
      <c r="BG798" s="448" t="str">
        <f>_xlfn.IFNA(VLOOKUP($AP798,Programma!$F$3:$W$1101,18,0),"")</f>
        <v>4w</v>
      </c>
      <c r="BH798" s="448" t="str">
        <f>_xlfn.IFNA(VLOOKUP($AP798,Programma!$F$3:$X$1101,19,0),"")</f>
        <v>1w</v>
      </c>
      <c r="BI798" s="448" t="str">
        <f>_xlfn.IFNA(VLOOKUP($AP798,Programma!$F$3:$Y$1101,20,0),"")</f>
        <v>_</v>
      </c>
      <c r="BJ798" s="449"/>
      <c r="BK798" s="446" t="str">
        <f>IF(Ruimtestaat[[#This Row],[Frequentie weekend]]="","",_xlfn.CONCAT(Ruimtestaat[[#This Row],[Ruimte code]],"-",Ruimtestaat[[#This Row],[Frequentie weekend]]," ",Ruimtestaat[[#This Row],[Vloer code]]))</f>
        <v/>
      </c>
      <c r="BL798" s="448" t="str">
        <f>_xlfn.IFNA(VLOOKUP($BK798,Programma!$F$3:$G$1101,2,0),"")</f>
        <v/>
      </c>
      <c r="BM798" s="448" t="str">
        <f>_xlfn.IFNA(VLOOKUP($BK798,Programma!$F$3:$H$1101,3,0),"")</f>
        <v/>
      </c>
      <c r="BN798" s="448" t="str">
        <f>_xlfn.IFNA(VLOOKUP($BK798,Programma!$F$3:$I$1101,4,0),"")</f>
        <v/>
      </c>
      <c r="BO798" s="448" t="str">
        <f>_xlfn.IFNA(VLOOKUP($BK798,Programma!$F$3:$J$1101,5,0),"")</f>
        <v/>
      </c>
      <c r="BP798" s="448" t="str">
        <f>_xlfn.IFNA(VLOOKUP($BK798,Programma!$F$3:$K$1101,6,0),"")</f>
        <v/>
      </c>
      <c r="BQ798" s="448" t="str">
        <f>_xlfn.IFNA(VLOOKUP($BK798,Programma!$F$3:$L$1101,7,0),"")</f>
        <v/>
      </c>
      <c r="BR798" s="448" t="str">
        <f>_xlfn.IFNA(VLOOKUP($BK798,Programma!$F$3:$M$1101,8,0),"")</f>
        <v/>
      </c>
      <c r="BS798" s="448" t="str">
        <f>_xlfn.IFNA(VLOOKUP($BK798,Programma!$F$3:$N$1101,9,0),"")</f>
        <v/>
      </c>
      <c r="BT798" s="448" t="str">
        <f>_xlfn.IFNA(VLOOKUP($BK798,Programma!$F$3:$O$1101,10,0),"")</f>
        <v/>
      </c>
      <c r="BU798" s="448" t="str">
        <f>_xlfn.IFNA(VLOOKUP($BK798,Programma!$F$3:$P$1101,11,0),"")</f>
        <v/>
      </c>
      <c r="BV798" s="448" t="str">
        <f>_xlfn.IFNA(VLOOKUP($BK798,Programma!$F$3:$Q$1101,12,0),"")</f>
        <v/>
      </c>
      <c r="BW798" s="448" t="str">
        <f>_xlfn.IFNA(VLOOKUP($BK798,Programma!$F$3:$R$1101,13,0),"")</f>
        <v/>
      </c>
      <c r="BX798" s="448" t="str">
        <f>_xlfn.IFNA(VLOOKUP($BK798,Programma!$F$3:$S$1101,14,0),"")</f>
        <v/>
      </c>
      <c r="BY798" s="448" t="str">
        <f>_xlfn.IFNA(VLOOKUP($BK798,Programma!$F$3:$T$1101,15,0),"")</f>
        <v/>
      </c>
      <c r="BZ798" s="448" t="str">
        <f>_xlfn.IFNA(VLOOKUP($BK798,Programma!$F$3:$U$1101,16,0),"")</f>
        <v/>
      </c>
      <c r="CA798" s="448" t="str">
        <f>_xlfn.IFNA(VLOOKUP($BK798,Programma!$F$3:$V$1101,17,0),"")</f>
        <v/>
      </c>
      <c r="CB798" s="448" t="str">
        <f>_xlfn.IFNA(VLOOKUP($BK798,Programma!$F$3:$W$1101,18,0),"")</f>
        <v/>
      </c>
      <c r="CC798" s="448" t="str">
        <f>_xlfn.IFNA(VLOOKUP($BK798,Programma!$F$3:$X$1101,19,0),"")</f>
        <v/>
      </c>
      <c r="CD798" s="448" t="str">
        <f>_xlfn.IFNA(VLOOKUP($BK798,Programma!$F$3:$Y$1101,20,0),"")</f>
        <v/>
      </c>
    </row>
    <row r="799" spans="1:82" ht="15" customHeight="1">
      <c r="A799" s="327">
        <v>24</v>
      </c>
      <c r="B799" s="435" t="str">
        <f>VLOOKUP(Ruimtestaat[[#This Row],[Code]],Locaties[[Code]:[Locatie]],2,FALSE)</f>
        <v>IKC De Gaerde</v>
      </c>
      <c r="C799" s="435" t="str">
        <f>VLOOKUP(Ruimtestaat[[#This Row],[Code]],Locaties[[#All],[Code]:[Adres]],4,FALSE)</f>
        <v>Moerbeigaarde 58A</v>
      </c>
      <c r="D799" s="435" t="str">
        <f>VLOOKUP(Ruimtestaat[[#This Row],[Code]],Locaties[[#All],[Code]:[Postcode]],5,FALSE)</f>
        <v>2723 AG</v>
      </c>
      <c r="E799" s="435" t="str">
        <f>VLOOKUP(Ruimtestaat[[#This Row],[Code]],Locaties[#All],6,FALSE)</f>
        <v>Zoetermeer</v>
      </c>
      <c r="F799" s="450" t="s">
        <v>1705</v>
      </c>
      <c r="G799" s="330" t="s">
        <v>1678</v>
      </c>
      <c r="H799" s="330" t="s">
        <v>1683</v>
      </c>
      <c r="I799" s="450" t="s">
        <v>1697</v>
      </c>
      <c r="J799" s="330">
        <v>4</v>
      </c>
      <c r="K799" s="450" t="str">
        <f>VLOOKUP(Ruimtestaat[[#This Row],[Ruimte code]],Ruimtegroepen[[#All],[Code]:[Ruimte omschrijving]],2,FALSE)</f>
        <v>Vergader/spreekkamers</v>
      </c>
      <c r="L799" s="330" t="s">
        <v>100</v>
      </c>
      <c r="M799" s="437" t="s">
        <v>2058</v>
      </c>
      <c r="N799" s="439"/>
      <c r="O799" s="439"/>
      <c r="P799" s="439"/>
      <c r="Q799" s="439">
        <v>7.8</v>
      </c>
      <c r="R799" s="440" t="str">
        <f>VLOOKUP(Ruimtestaat[[#This Row],[Ruimte code]],Ruimtegroepen[],4,FALSE)</f>
        <v>Bu</v>
      </c>
      <c r="S799" s="434">
        <v>51</v>
      </c>
      <c r="T799" s="434" t="s">
        <v>2</v>
      </c>
      <c r="U799" s="453">
        <f>IF(S799&gt;0,IF(RIGHT(Ruimtestaat[[#This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799" s="434">
        <f>IF(U799&gt;0,VLOOKUP($J799,Ruimtegroepen[],3,FALSE)*VLOOKUP($L799,Vloersoorten[],3,FALSE)*VLOOKUP($T799,Frequenties[],3,FALSE)*VLOOKUP($A799,Locaties[],3,FALSE),0)</f>
        <v>0</v>
      </c>
      <c r="W799" s="434">
        <f>Ruimtestaat[[#This Row],[Uitvoeringen werkdagen]]*Ruimtestaat[[#This Row],[Oppervlak (netto)]]</f>
        <v>0</v>
      </c>
      <c r="X799" s="441">
        <f>IF(V799&gt;0,Ruimtestaat[[#This Row],[Prest. (m2 /jaar) werkdagen]]/Ruimtestaat[[#This Row],[Norm (m2/uur) werkdagen]],0)</f>
        <v>0</v>
      </c>
      <c r="Y799" s="442">
        <f>Ruimtestaat[[#This Row],[Uitvoeringen werkdagen]]*Ruimtestaat[[#This Row],[Gedeeltelijk]]</f>
        <v>0</v>
      </c>
      <c r="Z799" s="443" t="e">
        <f>IF(U799&gt;0,Ruimtestaat[[#This Row],[Prest. (m2 / jaar) werkdagen gedeeld]]/Ruimtestaat[[#This Row],[Norm (m2/uur) werkdagen]],0)</f>
        <v>#DIV/0!</v>
      </c>
      <c r="AA799" s="441" t="e">
        <f>Ruimtestaat[[#This Row],[uren / jaar werkdagen gedeeld]]*Tariefsopbouw!$E$35</f>
        <v>#DIV/0!</v>
      </c>
      <c r="AB799" s="441">
        <f>Ruimtestaat[[#This Row],[Uitvoeringen werkdagen]]*Ruimtestaat[[#This Row],[BSO]]</f>
        <v>1989</v>
      </c>
      <c r="AC799" s="443" t="e">
        <f>IF(U799&gt;0,Ruimtestaat[[#This Row],[Prest. (m2 / jaar) werkdagen BSO]]/Ruimtestaat[[#This Row],[Norm (m2/uur) werkdagen]],0)</f>
        <v>#DIV/0!</v>
      </c>
      <c r="AD799" s="443" t="e">
        <f>Ruimtestaat[[#This Row],[uren / jaar werkdagen BSO]]*Tariefsopbouw!$E$35</f>
        <v>#DIV/0!</v>
      </c>
      <c r="AE799" s="444">
        <f>Ruimtestaat[[#This Row],[uren / jaar werkdagen]]*Tariefsopbouw!$E$35</f>
        <v>0</v>
      </c>
      <c r="AF799" s="454"/>
      <c r="AG799" s="455">
        <f>IF(Ruimtestaat[[#This Row],[Frequentie weekend]]&gt;0,VALUE(LEFT(AF799,1))*S799,0)</f>
        <v>0</v>
      </c>
      <c r="AH799" s="455">
        <f>IF($AG799&gt;0,VLOOKUP($J799,Ruimtegroepen[],3,FALSE)*VLOOKUP($L799,Vloersoorten[],3,FALSE)*VLOOKUP($AF799,Frequenties[],3,FALSE)*VLOOKUP(#REF!,Locaties[],3,FALSE),0)</f>
        <v>0</v>
      </c>
      <c r="AI799" s="434">
        <f>Ruimtestaat[[#This Row],[Uitvoeringen weekend]]*Ruimtestaat[[#This Row],[Oppervlak (netto)]]</f>
        <v>0</v>
      </c>
      <c r="AJ799" s="434">
        <f>IF(AH799&gt;0,Ruimtestaat[[#This Row],[Prest. (m2 /jaar) weekend]]/Ruimtestaat[[#This Row],[Norm (m2/uur) weekend]],0)</f>
        <v>0</v>
      </c>
      <c r="AK799" s="444">
        <f>Ruimtestaat[[#This Row],[uren / jaar weekend]]*Tariefsopbouw!$D$40</f>
        <v>0</v>
      </c>
      <c r="AL799" s="441">
        <f>Ruimtestaat[[#This Row],[Prest. (m2 /jaar) weekend]]+Ruimtestaat[[#This Row],[Prest. (m2 /jaar) werkdagen]]</f>
        <v>0</v>
      </c>
      <c r="AM799" s="441">
        <f>Ruimtestaat[[#This Row],[uren / jaar weekend]]+Ruimtestaat[[#This Row],[uren / jaar werkdagen]]</f>
        <v>0</v>
      </c>
      <c r="AN799" s="446">
        <f>Ruimtestaat[[#This Row],[kosten / jaar weekend]]+Ruimtestaat[[#This Row],[kosten / jaar werkdagen]]</f>
        <v>0</v>
      </c>
      <c r="AO799" s="446"/>
      <c r="AP799" s="446" t="str">
        <f>IF(Ruimtestaat[[#This Row],[Frequentie werkdagen]]="","",_xlfn.CONCAT(Ruimtestaat[[#This Row],[Ruimte code]],"-",Ruimtestaat[[#This Row],[Frequentie werkdagen]]," ",Ruimtestaat[[#This Row],[Vloer code]]))</f>
        <v>4-5w L</v>
      </c>
      <c r="AQ799" s="448" t="str">
        <f>_xlfn.IFNA(VLOOKUP($AP799,Programma!$F$3:$G$1101,2,0),"")</f>
        <v>_</v>
      </c>
      <c r="AR799" s="448" t="str">
        <f>_xlfn.IFNA(VLOOKUP($AP799,Programma!$F$3:$H$1101,3,0),"")</f>
        <v>_</v>
      </c>
      <c r="AS799" s="448" t="str">
        <f>_xlfn.IFNA(VLOOKUP($AP799,Programma!$F$3:$I$1101,4,0),"")</f>
        <v>4w</v>
      </c>
      <c r="AT799" s="448" t="str">
        <f>_xlfn.IFNA(VLOOKUP($AP799,Programma!$F$3:$J$1101,5,0),"")</f>
        <v>1w</v>
      </c>
      <c r="AU799" s="448" t="str">
        <f>_xlfn.IFNA(VLOOKUP($AP799,Programma!$F$3:$K$1101,6,0),"")</f>
        <v>_</v>
      </c>
      <c r="AV799" s="448" t="str">
        <f>_xlfn.IFNA(VLOOKUP($AP799,Programma!$F$3:$L$1101,7,0),"")</f>
        <v>_</v>
      </c>
      <c r="AW799" s="448" t="str">
        <f>_xlfn.IFNA(VLOOKUP($AP799,Programma!$F$3:$M$1101,8,0),"")</f>
        <v>_</v>
      </c>
      <c r="AX799" s="448" t="str">
        <f>_xlfn.IFNA(VLOOKUP($AP799,Programma!$F$3:$N$1101,9,0),"")</f>
        <v>_</v>
      </c>
      <c r="AY799" s="448" t="str">
        <f>_xlfn.IFNA(VLOOKUP($AP799,Programma!$F$3:$O$1101,10,0),"")</f>
        <v>5w</v>
      </c>
      <c r="AZ799" s="448" t="str">
        <f>_xlfn.IFNA(VLOOKUP($AP799,Programma!$F$3:$P$1101,11,0),"")</f>
        <v>5w</v>
      </c>
      <c r="BA799" s="448" t="str">
        <f>_xlfn.IFNA(VLOOKUP($AP799,Programma!$F$3:$Q$1101,12,0),"")</f>
        <v>1w</v>
      </c>
      <c r="BB799" s="448" t="str">
        <f>_xlfn.IFNA(VLOOKUP($AP799,Programma!$F$3:$R$1101,13,0),"")</f>
        <v>1w</v>
      </c>
      <c r="BC799" s="448" t="str">
        <f>_xlfn.IFNA(VLOOKUP($AP799,Programma!$F$3:$S$1101,14,0),"")</f>
        <v>1m</v>
      </c>
      <c r="BD799" s="448" t="str">
        <f>_xlfn.IFNA(VLOOKUP($AP799,Programma!$F$3:$T$1101,15,0),"")</f>
        <v>2j</v>
      </c>
      <c r="BE799" s="448" t="str">
        <f>_xlfn.IFNA(VLOOKUP($AP799,Programma!$F$3:$U$1101,16,0),"")</f>
        <v>1j</v>
      </c>
      <c r="BF799" s="448" t="str">
        <f>_xlfn.IFNA(VLOOKUP($AP799,Programma!$F$3:$V$1101,17,0),"")</f>
        <v>_</v>
      </c>
      <c r="BG799" s="448" t="str">
        <f>_xlfn.IFNA(VLOOKUP($AP799,Programma!$F$3:$W$1101,18,0),"")</f>
        <v>_</v>
      </c>
      <c r="BH799" s="448" t="str">
        <f>_xlfn.IFNA(VLOOKUP($AP799,Programma!$F$3:$X$1101,19,0),"")</f>
        <v>_</v>
      </c>
      <c r="BI799" s="448" t="str">
        <f>_xlfn.IFNA(VLOOKUP($AP799,Programma!$F$3:$Y$1101,20,0),"")</f>
        <v>_</v>
      </c>
      <c r="BJ799" s="449"/>
      <c r="BK799" s="446" t="str">
        <f>IF(Ruimtestaat[[#This Row],[Frequentie weekend]]="","",_xlfn.CONCAT(Ruimtestaat[[#This Row],[Ruimte code]],"-",Ruimtestaat[[#This Row],[Frequentie weekend]]," ",Ruimtestaat[[#This Row],[Vloer code]]))</f>
        <v/>
      </c>
      <c r="BL799" s="448" t="str">
        <f>_xlfn.IFNA(VLOOKUP($BK799,Programma!$F$3:$G$1101,2,0),"")</f>
        <v/>
      </c>
      <c r="BM799" s="448" t="str">
        <f>_xlfn.IFNA(VLOOKUP($BK799,Programma!$F$3:$H$1101,3,0),"")</f>
        <v/>
      </c>
      <c r="BN799" s="448" t="str">
        <f>_xlfn.IFNA(VLOOKUP($BK799,Programma!$F$3:$I$1101,4,0),"")</f>
        <v/>
      </c>
      <c r="BO799" s="448" t="str">
        <f>_xlfn.IFNA(VLOOKUP($BK799,Programma!$F$3:$J$1101,5,0),"")</f>
        <v/>
      </c>
      <c r="BP799" s="448" t="str">
        <f>_xlfn.IFNA(VLOOKUP($BK799,Programma!$F$3:$K$1101,6,0),"")</f>
        <v/>
      </c>
      <c r="BQ799" s="448" t="str">
        <f>_xlfn.IFNA(VLOOKUP($BK799,Programma!$F$3:$L$1101,7,0),"")</f>
        <v/>
      </c>
      <c r="BR799" s="448" t="str">
        <f>_xlfn.IFNA(VLOOKUP($BK799,Programma!$F$3:$M$1101,8,0),"")</f>
        <v/>
      </c>
      <c r="BS799" s="448" t="str">
        <f>_xlfn.IFNA(VLOOKUP($BK799,Programma!$F$3:$N$1101,9,0),"")</f>
        <v/>
      </c>
      <c r="BT799" s="448" t="str">
        <f>_xlfn.IFNA(VLOOKUP($BK799,Programma!$F$3:$O$1101,10,0),"")</f>
        <v/>
      </c>
      <c r="BU799" s="448" t="str">
        <f>_xlfn.IFNA(VLOOKUP($BK799,Programma!$F$3:$P$1101,11,0),"")</f>
        <v/>
      </c>
      <c r="BV799" s="448" t="str">
        <f>_xlfn.IFNA(VLOOKUP($BK799,Programma!$F$3:$Q$1101,12,0),"")</f>
        <v/>
      </c>
      <c r="BW799" s="448" t="str">
        <f>_xlfn.IFNA(VLOOKUP($BK799,Programma!$F$3:$R$1101,13,0),"")</f>
        <v/>
      </c>
      <c r="BX799" s="448" t="str">
        <f>_xlfn.IFNA(VLOOKUP($BK799,Programma!$F$3:$S$1101,14,0),"")</f>
        <v/>
      </c>
      <c r="BY799" s="448" t="str">
        <f>_xlfn.IFNA(VLOOKUP($BK799,Programma!$F$3:$T$1101,15,0),"")</f>
        <v/>
      </c>
      <c r="BZ799" s="448" t="str">
        <f>_xlfn.IFNA(VLOOKUP($BK799,Programma!$F$3:$U$1101,16,0),"")</f>
        <v/>
      </c>
      <c r="CA799" s="448" t="str">
        <f>_xlfn.IFNA(VLOOKUP($BK799,Programma!$F$3:$V$1101,17,0),"")</f>
        <v/>
      </c>
      <c r="CB799" s="448" t="str">
        <f>_xlfn.IFNA(VLOOKUP($BK799,Programma!$F$3:$W$1101,18,0),"")</f>
        <v/>
      </c>
      <c r="CC799" s="448" t="str">
        <f>_xlfn.IFNA(VLOOKUP($BK799,Programma!$F$3:$X$1101,19,0),"")</f>
        <v/>
      </c>
      <c r="CD799" s="448" t="str">
        <f>_xlfn.IFNA(VLOOKUP($BK799,Programma!$F$3:$Y$1101,20,0),"")</f>
        <v/>
      </c>
    </row>
    <row r="800" spans="1:82" ht="15" customHeight="1">
      <c r="A800" s="327">
        <v>24</v>
      </c>
      <c r="B800" s="435" t="str">
        <f>VLOOKUP(Ruimtestaat[[#This Row],[Code]],Locaties[[Code]:[Locatie]],2,FALSE)</f>
        <v>IKC De Gaerde</v>
      </c>
      <c r="C800" s="435" t="str">
        <f>VLOOKUP(Ruimtestaat[[#This Row],[Code]],Locaties[[#All],[Code]:[Adres]],4,FALSE)</f>
        <v>Moerbeigaarde 58A</v>
      </c>
      <c r="D800" s="435" t="str">
        <f>VLOOKUP(Ruimtestaat[[#This Row],[Code]],Locaties[[#All],[Code]:[Postcode]],5,FALSE)</f>
        <v>2723 AG</v>
      </c>
      <c r="E800" s="435" t="str">
        <f>VLOOKUP(Ruimtestaat[[#This Row],[Code]],Locaties[#All],6,FALSE)</f>
        <v>Zoetermeer</v>
      </c>
      <c r="F800" s="450"/>
      <c r="G800" s="330" t="s">
        <v>1678</v>
      </c>
      <c r="H800" s="330" t="s">
        <v>1761</v>
      </c>
      <c r="I800" s="450" t="s">
        <v>2022</v>
      </c>
      <c r="J800" s="330">
        <v>5</v>
      </c>
      <c r="K800" s="450" t="str">
        <f>VLOOKUP(Ruimtestaat[[#This Row],[Ruimte code]],Ruimtegroepen[[#All],[Code]:[Ruimte omschrijving]],2,FALSE)</f>
        <v>Sanitair</v>
      </c>
      <c r="L800" s="330" t="s">
        <v>101</v>
      </c>
      <c r="M800" s="437" t="s">
        <v>1816</v>
      </c>
      <c r="N800" s="439">
        <v>5</v>
      </c>
      <c r="O800" s="439"/>
      <c r="P800" s="439"/>
      <c r="Q800" s="439"/>
      <c r="R800" s="440" t="str">
        <f>VLOOKUP(Ruimtestaat[[#This Row],[Ruimte code]],Ruimtegroepen[],4,FALSE)</f>
        <v>Sa</v>
      </c>
      <c r="S800" s="434">
        <v>41</v>
      </c>
      <c r="T800" s="434" t="s">
        <v>2</v>
      </c>
      <c r="U800" s="453">
        <f>IF(S800&gt;0,IF(RIGHT(Ruimtestaat[[#This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00" s="434">
        <f>IF(U800&gt;0,VLOOKUP($J800,Ruimtegroepen[],3,FALSE)*VLOOKUP($L800,Vloersoorten[],3,FALSE)*VLOOKUP($T800,Frequenties[],3,FALSE)*VLOOKUP($A800,Locaties[],3,FALSE),0)</f>
        <v>0</v>
      </c>
      <c r="W800" s="434">
        <f>Ruimtestaat[[#This Row],[Uitvoeringen werkdagen]]*Ruimtestaat[[#This Row],[Oppervlak (netto)]]</f>
        <v>1025</v>
      </c>
      <c r="X800" s="441">
        <f>IF(V800&gt;0,Ruimtestaat[[#This Row],[Prest. (m2 /jaar) werkdagen]]/Ruimtestaat[[#This Row],[Norm (m2/uur) werkdagen]],0)</f>
        <v>0</v>
      </c>
      <c r="Y800" s="442">
        <f>Ruimtestaat[[#This Row],[Uitvoeringen werkdagen]]*Ruimtestaat[[#This Row],[Gedeeltelijk]]</f>
        <v>0</v>
      </c>
      <c r="Z800" s="443" t="e">
        <f>IF(U800&gt;0,Ruimtestaat[[#This Row],[Prest. (m2 / jaar) werkdagen gedeeld]]/Ruimtestaat[[#This Row],[Norm (m2/uur) werkdagen]],0)</f>
        <v>#DIV/0!</v>
      </c>
      <c r="AA800" s="441" t="e">
        <f>Ruimtestaat[[#This Row],[uren / jaar werkdagen gedeeld]]*Tariefsopbouw!$E$35</f>
        <v>#DIV/0!</v>
      </c>
      <c r="AB800" s="441">
        <f>Ruimtestaat[[#This Row],[Uitvoeringen werkdagen]]*Ruimtestaat[[#This Row],[BSO]]</f>
        <v>0</v>
      </c>
      <c r="AC800" s="443" t="e">
        <f>IF(U800&gt;0,Ruimtestaat[[#This Row],[Prest. (m2 / jaar) werkdagen BSO]]/Ruimtestaat[[#This Row],[Norm (m2/uur) werkdagen]],0)</f>
        <v>#DIV/0!</v>
      </c>
      <c r="AD800" s="443" t="e">
        <f>Ruimtestaat[[#This Row],[uren / jaar werkdagen BSO]]*Tariefsopbouw!$E$35</f>
        <v>#DIV/0!</v>
      </c>
      <c r="AE800" s="444">
        <f>Ruimtestaat[[#This Row],[uren / jaar werkdagen]]*Tariefsopbouw!$E$35</f>
        <v>0</v>
      </c>
      <c r="AF800" s="454"/>
      <c r="AG800" s="455">
        <f>IF(Ruimtestaat[[#This Row],[Frequentie weekend]]&gt;0,VALUE(LEFT(AF800,1))*S800,0)</f>
        <v>0</v>
      </c>
      <c r="AH800" s="455">
        <f>IF($AG800&gt;0,VLOOKUP($J800,Ruimtegroepen[],3,FALSE)*VLOOKUP($L800,Vloersoorten[],3,FALSE)*VLOOKUP($AF800,Frequenties[],3,FALSE)*VLOOKUP(#REF!,Locaties[],3,FALSE),0)</f>
        <v>0</v>
      </c>
      <c r="AI800" s="434">
        <f>Ruimtestaat[[#This Row],[Uitvoeringen weekend]]*Ruimtestaat[[#This Row],[Oppervlak (netto)]]</f>
        <v>0</v>
      </c>
      <c r="AJ800" s="434">
        <f>IF(AH800&gt;0,Ruimtestaat[[#This Row],[Prest. (m2 /jaar) weekend]]/Ruimtestaat[[#This Row],[Norm (m2/uur) weekend]],0)</f>
        <v>0</v>
      </c>
      <c r="AK800" s="444">
        <f>Ruimtestaat[[#This Row],[uren / jaar weekend]]*Tariefsopbouw!$D$40</f>
        <v>0</v>
      </c>
      <c r="AL800" s="441">
        <f>Ruimtestaat[[#This Row],[Prest. (m2 /jaar) weekend]]+Ruimtestaat[[#This Row],[Prest. (m2 /jaar) werkdagen]]</f>
        <v>1025</v>
      </c>
      <c r="AM800" s="441">
        <f>Ruimtestaat[[#This Row],[uren / jaar weekend]]+Ruimtestaat[[#This Row],[uren / jaar werkdagen]]</f>
        <v>0</v>
      </c>
      <c r="AN800" s="446">
        <f>Ruimtestaat[[#This Row],[kosten / jaar weekend]]+Ruimtestaat[[#This Row],[kosten / jaar werkdagen]]</f>
        <v>0</v>
      </c>
      <c r="AO800" s="446"/>
      <c r="AP800" s="446" t="str">
        <f>IF(Ruimtestaat[[#This Row],[Frequentie werkdagen]]="","",_xlfn.CONCAT(Ruimtestaat[[#This Row],[Ruimte code]],"-",Ruimtestaat[[#This Row],[Frequentie werkdagen]]," ",Ruimtestaat[[#This Row],[Vloer code]]))</f>
        <v>5-5w S</v>
      </c>
      <c r="AQ800" s="448" t="str">
        <f>_xlfn.IFNA(VLOOKUP($AP800,Programma!$F$3:$G$1101,2,0),"")</f>
        <v>_</v>
      </c>
      <c r="AR800" s="448" t="str">
        <f>_xlfn.IFNA(VLOOKUP($AP800,Programma!$F$3:$H$1101,3,0),"")</f>
        <v>_</v>
      </c>
      <c r="AS800" s="448" t="str">
        <f>_xlfn.IFNA(VLOOKUP($AP800,Programma!$F$3:$I$1101,4,0),"")</f>
        <v>_</v>
      </c>
      <c r="AT800" s="448" t="str">
        <f>_xlfn.IFNA(VLOOKUP($AP800,Programma!$F$3:$J$1101,5,0),"")</f>
        <v>4w</v>
      </c>
      <c r="AU800" s="448" t="str">
        <f>_xlfn.IFNA(VLOOKUP($AP800,Programma!$F$3:$K$1101,6,0),"")</f>
        <v>1w</v>
      </c>
      <c r="AV800" s="448" t="str">
        <f>_xlfn.IFNA(VLOOKUP($AP800,Programma!$F$3:$L$1101,7,0),"")</f>
        <v>_</v>
      </c>
      <c r="AW800" s="448" t="str">
        <f>_xlfn.IFNA(VLOOKUP($AP800,Programma!$F$3:$M$1101,8,0),"")</f>
        <v>_</v>
      </c>
      <c r="AX800" s="448" t="str">
        <f>_xlfn.IFNA(VLOOKUP($AP800,Programma!$F$3:$N$1101,9,0),"")</f>
        <v>_</v>
      </c>
      <c r="AY800" s="448" t="str">
        <f>_xlfn.IFNA(VLOOKUP($AP800,Programma!$F$3:$O$1101,10,0),"")</f>
        <v>_</v>
      </c>
      <c r="AZ800" s="448" t="str">
        <f>_xlfn.IFNA(VLOOKUP($AP800,Programma!$F$3:$P$1101,11,0),"")</f>
        <v>_</v>
      </c>
      <c r="BA800" s="448" t="str">
        <f>_xlfn.IFNA(VLOOKUP($AP800,Programma!$F$3:$Q$1101,12,0),"")</f>
        <v>_</v>
      </c>
      <c r="BB800" s="448" t="str">
        <f>_xlfn.IFNA(VLOOKUP($AP800,Programma!$F$3:$R$1101,13,0),"")</f>
        <v>_</v>
      </c>
      <c r="BC800" s="448" t="str">
        <f>_xlfn.IFNA(VLOOKUP($AP800,Programma!$F$3:$S$1101,14,0),"")</f>
        <v>_</v>
      </c>
      <c r="BD800" s="448" t="str">
        <f>_xlfn.IFNA(VLOOKUP($AP800,Programma!$F$3:$T$1101,15,0),"")</f>
        <v>_</v>
      </c>
      <c r="BE800" s="448" t="str">
        <f>_xlfn.IFNA(VLOOKUP($AP800,Programma!$F$3:$U$1101,16,0),"")</f>
        <v>_</v>
      </c>
      <c r="BF800" s="448" t="str">
        <f>_xlfn.IFNA(VLOOKUP($AP800,Programma!$F$3:$V$1101,17,0),"")</f>
        <v>_</v>
      </c>
      <c r="BG800" s="448" t="str">
        <f>_xlfn.IFNA(VLOOKUP($AP800,Programma!$F$3:$W$1101,18,0),"")</f>
        <v>4w</v>
      </c>
      <c r="BH800" s="448" t="str">
        <f>_xlfn.IFNA(VLOOKUP($AP800,Programma!$F$3:$X$1101,19,0),"")</f>
        <v>1w</v>
      </c>
      <c r="BI800" s="448" t="str">
        <f>_xlfn.IFNA(VLOOKUP($AP800,Programma!$F$3:$Y$1101,20,0),"")</f>
        <v>_</v>
      </c>
      <c r="BJ800" s="449"/>
      <c r="BK800" s="446" t="str">
        <f>IF(Ruimtestaat[[#This Row],[Frequentie weekend]]="","",_xlfn.CONCAT(Ruimtestaat[[#This Row],[Ruimte code]],"-",Ruimtestaat[[#This Row],[Frequentie weekend]]," ",Ruimtestaat[[#This Row],[Vloer code]]))</f>
        <v/>
      </c>
      <c r="BL800" s="448" t="str">
        <f>_xlfn.IFNA(VLOOKUP($BK800,Programma!$F$3:$G$1101,2,0),"")</f>
        <v/>
      </c>
      <c r="BM800" s="448" t="str">
        <f>_xlfn.IFNA(VLOOKUP($BK800,Programma!$F$3:$H$1101,3,0),"")</f>
        <v/>
      </c>
      <c r="BN800" s="448" t="str">
        <f>_xlfn.IFNA(VLOOKUP($BK800,Programma!$F$3:$I$1101,4,0),"")</f>
        <v/>
      </c>
      <c r="BO800" s="448" t="str">
        <f>_xlfn.IFNA(VLOOKUP($BK800,Programma!$F$3:$J$1101,5,0),"")</f>
        <v/>
      </c>
      <c r="BP800" s="448" t="str">
        <f>_xlfn.IFNA(VLOOKUP($BK800,Programma!$F$3:$K$1101,6,0),"")</f>
        <v/>
      </c>
      <c r="BQ800" s="448" t="str">
        <f>_xlfn.IFNA(VLOOKUP($BK800,Programma!$F$3:$L$1101,7,0),"")</f>
        <v/>
      </c>
      <c r="BR800" s="448" t="str">
        <f>_xlfn.IFNA(VLOOKUP($BK800,Programma!$F$3:$M$1101,8,0),"")</f>
        <v/>
      </c>
      <c r="BS800" s="448" t="str">
        <f>_xlfn.IFNA(VLOOKUP($BK800,Programma!$F$3:$N$1101,9,0),"")</f>
        <v/>
      </c>
      <c r="BT800" s="448" t="str">
        <f>_xlfn.IFNA(VLOOKUP($BK800,Programma!$F$3:$O$1101,10,0),"")</f>
        <v/>
      </c>
      <c r="BU800" s="448" t="str">
        <f>_xlfn.IFNA(VLOOKUP($BK800,Programma!$F$3:$P$1101,11,0),"")</f>
        <v/>
      </c>
      <c r="BV800" s="448" t="str">
        <f>_xlfn.IFNA(VLOOKUP($BK800,Programma!$F$3:$Q$1101,12,0),"")</f>
        <v/>
      </c>
      <c r="BW800" s="448" t="str">
        <f>_xlfn.IFNA(VLOOKUP($BK800,Programma!$F$3:$R$1101,13,0),"")</f>
        <v/>
      </c>
      <c r="BX800" s="448" t="str">
        <f>_xlfn.IFNA(VLOOKUP($BK800,Programma!$F$3:$S$1101,14,0),"")</f>
        <v/>
      </c>
      <c r="BY800" s="448" t="str">
        <f>_xlfn.IFNA(VLOOKUP($BK800,Programma!$F$3:$T$1101,15,0),"")</f>
        <v/>
      </c>
      <c r="BZ800" s="448" t="str">
        <f>_xlfn.IFNA(VLOOKUP($BK800,Programma!$F$3:$U$1101,16,0),"")</f>
        <v/>
      </c>
      <c r="CA800" s="448" t="str">
        <f>_xlfn.IFNA(VLOOKUP($BK800,Programma!$F$3:$V$1101,17,0),"")</f>
        <v/>
      </c>
      <c r="CB800" s="448" t="str">
        <f>_xlfn.IFNA(VLOOKUP($BK800,Programma!$F$3:$W$1101,18,0),"")</f>
        <v/>
      </c>
      <c r="CC800" s="448" t="str">
        <f>_xlfn.IFNA(VLOOKUP($BK800,Programma!$F$3:$X$1101,19,0),"")</f>
        <v/>
      </c>
      <c r="CD800" s="448" t="str">
        <f>_xlfn.IFNA(VLOOKUP($BK800,Programma!$F$3:$Y$1101,20,0),"")</f>
        <v/>
      </c>
    </row>
    <row r="801" spans="1:82" ht="15" customHeight="1">
      <c r="A801" s="327">
        <v>24</v>
      </c>
      <c r="B801" s="435" t="str">
        <f>VLOOKUP(Ruimtestaat[[#This Row],[Code]],Locaties[[Code]:[Locatie]],2,FALSE)</f>
        <v>IKC De Gaerde</v>
      </c>
      <c r="C801" s="435" t="str">
        <f>VLOOKUP(Ruimtestaat[[#This Row],[Code]],Locaties[[#All],[Code]:[Adres]],4,FALSE)</f>
        <v>Moerbeigaarde 58A</v>
      </c>
      <c r="D801" s="435" t="str">
        <f>VLOOKUP(Ruimtestaat[[#This Row],[Code]],Locaties[[#All],[Code]:[Postcode]],5,FALSE)</f>
        <v>2723 AG</v>
      </c>
      <c r="E801" s="435" t="str">
        <f>VLOOKUP(Ruimtestaat[[#This Row],[Code]],Locaties[#All],6,FALSE)</f>
        <v>Zoetermeer</v>
      </c>
      <c r="F801" s="450" t="s">
        <v>1705</v>
      </c>
      <c r="G801" s="330" t="s">
        <v>1678</v>
      </c>
      <c r="H801" s="330" t="s">
        <v>1689</v>
      </c>
      <c r="I801" s="450" t="s">
        <v>1677</v>
      </c>
      <c r="J801" s="330">
        <v>15</v>
      </c>
      <c r="K801" s="450" t="str">
        <f>VLOOKUP(Ruimtestaat[[#This Row],[Ruimte code]],Ruimtegroepen[[#All],[Code]:[Ruimte omschrijving]],2,FALSE)</f>
        <v>Keuken/pantry</v>
      </c>
      <c r="L801" s="330" t="s">
        <v>100</v>
      </c>
      <c r="M801" s="437" t="s">
        <v>2058</v>
      </c>
      <c r="N801" s="439"/>
      <c r="O801" s="439"/>
      <c r="P801" s="439"/>
      <c r="Q801" s="439">
        <v>15.4</v>
      </c>
      <c r="R801" s="440" t="str">
        <f>VLOOKUP(Ruimtestaat[[#This Row],[Ruimte code]],Ruimtegroepen[],4,FALSE)</f>
        <v>Ve</v>
      </c>
      <c r="S801" s="434">
        <v>51</v>
      </c>
      <c r="T801" s="434" t="s">
        <v>2</v>
      </c>
      <c r="U801" s="453">
        <f>IF(S801&gt;0,IF(RIGHT(Ruimtestaat[[#This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01" s="434">
        <f>IF(U801&gt;0,VLOOKUP($J801,Ruimtegroepen[],3,FALSE)*VLOOKUP($L801,Vloersoorten[],3,FALSE)*VLOOKUP($T801,Frequenties[],3,FALSE)*VLOOKUP($A801,Locaties[],3,FALSE),0)</f>
        <v>0</v>
      </c>
      <c r="W801" s="434">
        <f>Ruimtestaat[[#This Row],[Uitvoeringen werkdagen]]*Ruimtestaat[[#This Row],[Oppervlak (netto)]]</f>
        <v>0</v>
      </c>
      <c r="X801" s="441">
        <f>IF(V801&gt;0,Ruimtestaat[[#This Row],[Prest. (m2 /jaar) werkdagen]]/Ruimtestaat[[#This Row],[Norm (m2/uur) werkdagen]],0)</f>
        <v>0</v>
      </c>
      <c r="Y801" s="442">
        <f>Ruimtestaat[[#This Row],[Uitvoeringen werkdagen]]*Ruimtestaat[[#This Row],[Gedeeltelijk]]</f>
        <v>0</v>
      </c>
      <c r="Z801" s="443" t="e">
        <f>IF(U801&gt;0,Ruimtestaat[[#This Row],[Prest. (m2 / jaar) werkdagen gedeeld]]/Ruimtestaat[[#This Row],[Norm (m2/uur) werkdagen]],0)</f>
        <v>#DIV/0!</v>
      </c>
      <c r="AA801" s="441" t="e">
        <f>Ruimtestaat[[#This Row],[uren / jaar werkdagen gedeeld]]*Tariefsopbouw!$E$35</f>
        <v>#DIV/0!</v>
      </c>
      <c r="AB801" s="441">
        <f>Ruimtestaat[[#This Row],[Uitvoeringen werkdagen]]*Ruimtestaat[[#This Row],[BSO]]</f>
        <v>3927</v>
      </c>
      <c r="AC801" s="443" t="e">
        <f>IF(U801&gt;0,Ruimtestaat[[#This Row],[Prest. (m2 / jaar) werkdagen BSO]]/Ruimtestaat[[#This Row],[Norm (m2/uur) werkdagen]],0)</f>
        <v>#DIV/0!</v>
      </c>
      <c r="AD801" s="443" t="e">
        <f>Ruimtestaat[[#This Row],[uren / jaar werkdagen BSO]]*Tariefsopbouw!$E$35</f>
        <v>#DIV/0!</v>
      </c>
      <c r="AE801" s="444">
        <f>Ruimtestaat[[#This Row],[uren / jaar werkdagen]]*Tariefsopbouw!$E$35</f>
        <v>0</v>
      </c>
      <c r="AF801" s="454"/>
      <c r="AG801" s="455">
        <f>IF(Ruimtestaat[[#This Row],[Frequentie weekend]]&gt;0,VALUE(LEFT(AF801,1))*S801,0)</f>
        <v>0</v>
      </c>
      <c r="AH801" s="455">
        <f>IF($AG801&gt;0,VLOOKUP($J801,Ruimtegroepen[],3,FALSE)*VLOOKUP($L801,Vloersoorten[],3,FALSE)*VLOOKUP($AF801,Frequenties[],3,FALSE)*VLOOKUP(#REF!,Locaties[],3,FALSE),0)</f>
        <v>0</v>
      </c>
      <c r="AI801" s="434">
        <f>Ruimtestaat[[#This Row],[Uitvoeringen weekend]]*Ruimtestaat[[#This Row],[Oppervlak (netto)]]</f>
        <v>0</v>
      </c>
      <c r="AJ801" s="434">
        <f>IF(AH801&gt;0,Ruimtestaat[[#This Row],[Prest. (m2 /jaar) weekend]]/Ruimtestaat[[#This Row],[Norm (m2/uur) weekend]],0)</f>
        <v>0</v>
      </c>
      <c r="AK801" s="444">
        <f>Ruimtestaat[[#This Row],[uren / jaar weekend]]*Tariefsopbouw!$D$40</f>
        <v>0</v>
      </c>
      <c r="AL801" s="441">
        <f>Ruimtestaat[[#This Row],[Prest. (m2 /jaar) weekend]]+Ruimtestaat[[#This Row],[Prest. (m2 /jaar) werkdagen]]</f>
        <v>0</v>
      </c>
      <c r="AM801" s="441">
        <f>Ruimtestaat[[#This Row],[uren / jaar weekend]]+Ruimtestaat[[#This Row],[uren / jaar werkdagen]]</f>
        <v>0</v>
      </c>
      <c r="AN801" s="446">
        <f>Ruimtestaat[[#This Row],[kosten / jaar weekend]]+Ruimtestaat[[#This Row],[kosten / jaar werkdagen]]</f>
        <v>0</v>
      </c>
      <c r="AO801" s="446"/>
      <c r="AP801" s="446" t="str">
        <f>IF(Ruimtestaat[[#This Row],[Frequentie werkdagen]]="","",_xlfn.CONCAT(Ruimtestaat[[#This Row],[Ruimte code]],"-",Ruimtestaat[[#This Row],[Frequentie werkdagen]]," ",Ruimtestaat[[#This Row],[Vloer code]]))</f>
        <v>15-5w L</v>
      </c>
      <c r="AQ801" s="448" t="str">
        <f>_xlfn.IFNA(VLOOKUP($AP801,Programma!$F$3:$G$1101,2,0),"")</f>
        <v>_</v>
      </c>
      <c r="AR801" s="448" t="str">
        <f>_xlfn.IFNA(VLOOKUP($AP801,Programma!$F$3:$H$1101,3,0),"")</f>
        <v>_</v>
      </c>
      <c r="AS801" s="448" t="str">
        <f>_xlfn.IFNA(VLOOKUP($AP801,Programma!$F$3:$I$1101,4,0),"")</f>
        <v>_</v>
      </c>
      <c r="AT801" s="448" t="str">
        <f>_xlfn.IFNA(VLOOKUP($AP801,Programma!$F$3:$J$1101,5,0),"")</f>
        <v>5w</v>
      </c>
      <c r="AU801" s="448" t="str">
        <f>_xlfn.IFNA(VLOOKUP($AP801,Programma!$F$3:$K$1101,6,0),"")</f>
        <v>_</v>
      </c>
      <c r="AV801" s="448" t="str">
        <f>_xlfn.IFNA(VLOOKUP($AP801,Programma!$F$3:$L$1101,7,0),"")</f>
        <v>_</v>
      </c>
      <c r="AW801" s="448" t="str">
        <f>_xlfn.IFNA(VLOOKUP($AP801,Programma!$F$3:$M$1101,8,0),"")</f>
        <v>_</v>
      </c>
      <c r="AX801" s="448" t="str">
        <f>_xlfn.IFNA(VLOOKUP($AP801,Programma!$F$3:$N$1101,9,0),"")</f>
        <v>_</v>
      </c>
      <c r="AY801" s="448" t="str">
        <f>_xlfn.IFNA(VLOOKUP($AP801,Programma!$F$3:$O$1101,10,0),"")</f>
        <v>5w</v>
      </c>
      <c r="AZ801" s="448" t="str">
        <f>_xlfn.IFNA(VLOOKUP($AP801,Programma!$F$3:$P$1101,11,0),"")</f>
        <v>5w</v>
      </c>
      <c r="BA801" s="448" t="str">
        <f>_xlfn.IFNA(VLOOKUP($AP801,Programma!$F$3:$Q$1101,12,0),"")</f>
        <v>1w</v>
      </c>
      <c r="BB801" s="448" t="str">
        <f>_xlfn.IFNA(VLOOKUP($AP801,Programma!$F$3:$R$1101,13,0),"")</f>
        <v>1w</v>
      </c>
      <c r="BC801" s="448" t="str">
        <f>_xlfn.IFNA(VLOOKUP($AP801,Programma!$F$3:$S$1101,14,0),"")</f>
        <v>1m</v>
      </c>
      <c r="BD801" s="448" t="str">
        <f>_xlfn.IFNA(VLOOKUP($AP801,Programma!$F$3:$T$1101,15,0),"")</f>
        <v>2j</v>
      </c>
      <c r="BE801" s="448" t="str">
        <f>_xlfn.IFNA(VLOOKUP($AP801,Programma!$F$3:$U$1101,16,0),"")</f>
        <v>1j</v>
      </c>
      <c r="BF801" s="448" t="str">
        <f>_xlfn.IFNA(VLOOKUP($AP801,Programma!$F$3:$V$1101,17,0),"")</f>
        <v>_</v>
      </c>
      <c r="BG801" s="448" t="str">
        <f>_xlfn.IFNA(VLOOKUP($AP801,Programma!$F$3:$W$1101,18,0),"")</f>
        <v>_</v>
      </c>
      <c r="BH801" s="448" t="str">
        <f>_xlfn.IFNA(VLOOKUP($AP801,Programma!$F$3:$X$1101,19,0),"")</f>
        <v>_</v>
      </c>
      <c r="BI801" s="448" t="str">
        <f>_xlfn.IFNA(VLOOKUP($AP801,Programma!$F$3:$Y$1101,20,0),"")</f>
        <v>_</v>
      </c>
      <c r="BJ801" s="449"/>
      <c r="BK801" s="446" t="str">
        <f>IF(Ruimtestaat[[#This Row],[Frequentie weekend]]="","",_xlfn.CONCAT(Ruimtestaat[[#This Row],[Ruimte code]],"-",Ruimtestaat[[#This Row],[Frequentie weekend]]," ",Ruimtestaat[[#This Row],[Vloer code]]))</f>
        <v/>
      </c>
      <c r="BL801" s="448" t="str">
        <f>_xlfn.IFNA(VLOOKUP($BK801,Programma!$F$3:$G$1101,2,0),"")</f>
        <v/>
      </c>
      <c r="BM801" s="448" t="str">
        <f>_xlfn.IFNA(VLOOKUP($BK801,Programma!$F$3:$H$1101,3,0),"")</f>
        <v/>
      </c>
      <c r="BN801" s="448" t="str">
        <f>_xlfn.IFNA(VLOOKUP($BK801,Programma!$F$3:$I$1101,4,0),"")</f>
        <v/>
      </c>
      <c r="BO801" s="448" t="str">
        <f>_xlfn.IFNA(VLOOKUP($BK801,Programma!$F$3:$J$1101,5,0),"")</f>
        <v/>
      </c>
      <c r="BP801" s="448" t="str">
        <f>_xlfn.IFNA(VLOOKUP($BK801,Programma!$F$3:$K$1101,6,0),"")</f>
        <v/>
      </c>
      <c r="BQ801" s="448" t="str">
        <f>_xlfn.IFNA(VLOOKUP($BK801,Programma!$F$3:$L$1101,7,0),"")</f>
        <v/>
      </c>
      <c r="BR801" s="448" t="str">
        <f>_xlfn.IFNA(VLOOKUP($BK801,Programma!$F$3:$M$1101,8,0),"")</f>
        <v/>
      </c>
      <c r="BS801" s="448" t="str">
        <f>_xlfn.IFNA(VLOOKUP($BK801,Programma!$F$3:$N$1101,9,0),"")</f>
        <v/>
      </c>
      <c r="BT801" s="448" t="str">
        <f>_xlfn.IFNA(VLOOKUP($BK801,Programma!$F$3:$O$1101,10,0),"")</f>
        <v/>
      </c>
      <c r="BU801" s="448" t="str">
        <f>_xlfn.IFNA(VLOOKUP($BK801,Programma!$F$3:$P$1101,11,0),"")</f>
        <v/>
      </c>
      <c r="BV801" s="448" t="str">
        <f>_xlfn.IFNA(VLOOKUP($BK801,Programma!$F$3:$Q$1101,12,0),"")</f>
        <v/>
      </c>
      <c r="BW801" s="448" t="str">
        <f>_xlfn.IFNA(VLOOKUP($BK801,Programma!$F$3:$R$1101,13,0),"")</f>
        <v/>
      </c>
      <c r="BX801" s="448" t="str">
        <f>_xlfn.IFNA(VLOOKUP($BK801,Programma!$F$3:$S$1101,14,0),"")</f>
        <v/>
      </c>
      <c r="BY801" s="448" t="str">
        <f>_xlfn.IFNA(VLOOKUP($BK801,Programma!$F$3:$T$1101,15,0),"")</f>
        <v/>
      </c>
      <c r="BZ801" s="448" t="str">
        <f>_xlfn.IFNA(VLOOKUP($BK801,Programma!$F$3:$U$1101,16,0),"")</f>
        <v/>
      </c>
      <c r="CA801" s="448" t="str">
        <f>_xlfn.IFNA(VLOOKUP($BK801,Programma!$F$3:$V$1101,17,0),"")</f>
        <v/>
      </c>
      <c r="CB801" s="448" t="str">
        <f>_xlfn.IFNA(VLOOKUP($BK801,Programma!$F$3:$W$1101,18,0),"")</f>
        <v/>
      </c>
      <c r="CC801" s="448" t="str">
        <f>_xlfn.IFNA(VLOOKUP($BK801,Programma!$F$3:$X$1101,19,0),"")</f>
        <v/>
      </c>
      <c r="CD801" s="448" t="str">
        <f>_xlfn.IFNA(VLOOKUP($BK801,Programma!$F$3:$Y$1101,20,0),"")</f>
        <v/>
      </c>
    </row>
    <row r="802" spans="1:82" ht="15" customHeight="1">
      <c r="A802" s="327">
        <v>24</v>
      </c>
      <c r="B802" s="435" t="str">
        <f>VLOOKUP(Ruimtestaat[[#This Row],[Code]],Locaties[[Code]:[Locatie]],2,FALSE)</f>
        <v>IKC De Gaerde</v>
      </c>
      <c r="C802" s="435" t="str">
        <f>VLOOKUP(Ruimtestaat[[#This Row],[Code]],Locaties[[#All],[Code]:[Adres]],4,FALSE)</f>
        <v>Moerbeigaarde 58A</v>
      </c>
      <c r="D802" s="435" t="str">
        <f>VLOOKUP(Ruimtestaat[[#This Row],[Code]],Locaties[[#All],[Code]:[Postcode]],5,FALSE)</f>
        <v>2723 AG</v>
      </c>
      <c r="E802" s="435" t="str">
        <f>VLOOKUP(Ruimtestaat[[#This Row],[Code]],Locaties[#All],6,FALSE)</f>
        <v>Zoetermeer</v>
      </c>
      <c r="F802" s="450" t="s">
        <v>1705</v>
      </c>
      <c r="G802" s="330" t="s">
        <v>1678</v>
      </c>
      <c r="H802" s="330" t="s">
        <v>1691</v>
      </c>
      <c r="I802" s="450" t="s">
        <v>2023</v>
      </c>
      <c r="J802" s="330">
        <v>12</v>
      </c>
      <c r="K802" s="450" t="str">
        <f>VLOOKUP(Ruimtestaat[[#This Row],[Ruimte code]],Ruimtegroepen[[#All],[Code]:[Ruimte omschrijving]],2,FALSE)</f>
        <v>Kantine/Aula</v>
      </c>
      <c r="L802" s="330" t="s">
        <v>100</v>
      </c>
      <c r="M802" s="437" t="s">
        <v>2058</v>
      </c>
      <c r="N802" s="439"/>
      <c r="O802" s="439"/>
      <c r="P802" s="439"/>
      <c r="Q802" s="439">
        <v>65.8</v>
      </c>
      <c r="R802" s="440" t="str">
        <f>VLOOKUP(Ruimtestaat[[#This Row],[Ruimte code]],Ruimtegroepen[],4,FALSE)</f>
        <v>Ve</v>
      </c>
      <c r="S802" s="434">
        <v>51</v>
      </c>
      <c r="T802" s="434" t="s">
        <v>2</v>
      </c>
      <c r="U802" s="453">
        <f>IF(S802&gt;0,IF(RIGHT(Ruimtestaat[[#This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02" s="434">
        <f>IF(U802&gt;0,VLOOKUP($J802,Ruimtegroepen[],3,FALSE)*VLOOKUP($L802,Vloersoorten[],3,FALSE)*VLOOKUP($T802,Frequenties[],3,FALSE)*VLOOKUP($A802,Locaties[],3,FALSE),0)</f>
        <v>0</v>
      </c>
      <c r="W802" s="434">
        <f>Ruimtestaat[[#This Row],[Uitvoeringen werkdagen]]*Ruimtestaat[[#This Row],[Oppervlak (netto)]]</f>
        <v>0</v>
      </c>
      <c r="X802" s="441">
        <f>IF(V802&gt;0,Ruimtestaat[[#This Row],[Prest. (m2 /jaar) werkdagen]]/Ruimtestaat[[#This Row],[Norm (m2/uur) werkdagen]],0)</f>
        <v>0</v>
      </c>
      <c r="Y802" s="442">
        <f>Ruimtestaat[[#This Row],[Uitvoeringen werkdagen]]*Ruimtestaat[[#This Row],[Gedeeltelijk]]</f>
        <v>0</v>
      </c>
      <c r="Z802" s="443" t="e">
        <f>IF(U802&gt;0,Ruimtestaat[[#This Row],[Prest. (m2 / jaar) werkdagen gedeeld]]/Ruimtestaat[[#This Row],[Norm (m2/uur) werkdagen]],0)</f>
        <v>#DIV/0!</v>
      </c>
      <c r="AA802" s="441" t="e">
        <f>Ruimtestaat[[#This Row],[uren / jaar werkdagen gedeeld]]*Tariefsopbouw!$E$35</f>
        <v>#DIV/0!</v>
      </c>
      <c r="AB802" s="441">
        <f>Ruimtestaat[[#This Row],[Uitvoeringen werkdagen]]*Ruimtestaat[[#This Row],[BSO]]</f>
        <v>16779</v>
      </c>
      <c r="AC802" s="443" t="e">
        <f>IF(U802&gt;0,Ruimtestaat[[#This Row],[Prest. (m2 / jaar) werkdagen BSO]]/Ruimtestaat[[#This Row],[Norm (m2/uur) werkdagen]],0)</f>
        <v>#DIV/0!</v>
      </c>
      <c r="AD802" s="443" t="e">
        <f>Ruimtestaat[[#This Row],[uren / jaar werkdagen BSO]]*Tariefsopbouw!$E$35</f>
        <v>#DIV/0!</v>
      </c>
      <c r="AE802" s="444">
        <f>Ruimtestaat[[#This Row],[uren / jaar werkdagen]]*Tariefsopbouw!$E$35</f>
        <v>0</v>
      </c>
      <c r="AF802" s="454"/>
      <c r="AG802" s="455">
        <f>IF(Ruimtestaat[[#This Row],[Frequentie weekend]]&gt;0,VALUE(LEFT(AF802,1))*S802,0)</f>
        <v>0</v>
      </c>
      <c r="AH802" s="455">
        <f>IF($AG802&gt;0,VLOOKUP($J802,Ruimtegroepen[],3,FALSE)*VLOOKUP($L802,Vloersoorten[],3,FALSE)*VLOOKUP($AF802,Frequenties[],3,FALSE)*VLOOKUP(#REF!,Locaties[],3,FALSE),0)</f>
        <v>0</v>
      </c>
      <c r="AI802" s="434">
        <f>Ruimtestaat[[#This Row],[Uitvoeringen weekend]]*Ruimtestaat[[#This Row],[Oppervlak (netto)]]</f>
        <v>0</v>
      </c>
      <c r="AJ802" s="434">
        <f>IF(AH802&gt;0,Ruimtestaat[[#This Row],[Prest. (m2 /jaar) weekend]]/Ruimtestaat[[#This Row],[Norm (m2/uur) weekend]],0)</f>
        <v>0</v>
      </c>
      <c r="AK802" s="444">
        <f>Ruimtestaat[[#This Row],[uren / jaar weekend]]*Tariefsopbouw!$D$40</f>
        <v>0</v>
      </c>
      <c r="AL802" s="441">
        <f>Ruimtestaat[[#This Row],[Prest. (m2 /jaar) weekend]]+Ruimtestaat[[#This Row],[Prest. (m2 /jaar) werkdagen]]</f>
        <v>0</v>
      </c>
      <c r="AM802" s="441">
        <f>Ruimtestaat[[#This Row],[uren / jaar weekend]]+Ruimtestaat[[#This Row],[uren / jaar werkdagen]]</f>
        <v>0</v>
      </c>
      <c r="AN802" s="446">
        <f>Ruimtestaat[[#This Row],[kosten / jaar weekend]]+Ruimtestaat[[#This Row],[kosten / jaar werkdagen]]</f>
        <v>0</v>
      </c>
      <c r="AO802" s="446"/>
      <c r="AP802" s="446" t="str">
        <f>IF(Ruimtestaat[[#This Row],[Frequentie werkdagen]]="","",_xlfn.CONCAT(Ruimtestaat[[#This Row],[Ruimte code]],"-",Ruimtestaat[[#This Row],[Frequentie werkdagen]]," ",Ruimtestaat[[#This Row],[Vloer code]]))</f>
        <v>12-5w L</v>
      </c>
      <c r="AQ802" s="448" t="str">
        <f>_xlfn.IFNA(VLOOKUP($AP802,Programma!$F$3:$G$1101,2,0),"")</f>
        <v>_</v>
      </c>
      <c r="AR802" s="448" t="str">
        <f>_xlfn.IFNA(VLOOKUP($AP802,Programma!$F$3:$H$1101,3,0),"")</f>
        <v>_</v>
      </c>
      <c r="AS802" s="448" t="str">
        <f>_xlfn.IFNA(VLOOKUP($AP802,Programma!$F$3:$I$1101,4,0),"")</f>
        <v>_</v>
      </c>
      <c r="AT802" s="448" t="str">
        <f>_xlfn.IFNA(VLOOKUP($AP802,Programma!$F$3:$J$1101,5,0),"")</f>
        <v>5w</v>
      </c>
      <c r="AU802" s="448" t="str">
        <f>_xlfn.IFNA(VLOOKUP($AP802,Programma!$F$3:$K$1101,6,0),"")</f>
        <v>_</v>
      </c>
      <c r="AV802" s="448" t="str">
        <f>_xlfn.IFNA(VLOOKUP($AP802,Programma!$F$3:$L$1101,7,0),"")</f>
        <v>_</v>
      </c>
      <c r="AW802" s="448" t="str">
        <f>_xlfn.IFNA(VLOOKUP($AP802,Programma!$F$3:$M$1101,8,0),"")</f>
        <v>_</v>
      </c>
      <c r="AX802" s="448" t="str">
        <f>_xlfn.IFNA(VLOOKUP($AP802,Programma!$F$3:$N$1101,9,0),"")</f>
        <v>_</v>
      </c>
      <c r="AY802" s="448" t="str">
        <f>_xlfn.IFNA(VLOOKUP($AP802,Programma!$F$3:$O$1101,10,0),"")</f>
        <v>5w</v>
      </c>
      <c r="AZ802" s="448" t="str">
        <f>_xlfn.IFNA(VLOOKUP($AP802,Programma!$F$3:$P$1101,11,0),"")</f>
        <v>5w</v>
      </c>
      <c r="BA802" s="448" t="str">
        <f>_xlfn.IFNA(VLOOKUP($AP802,Programma!$F$3:$Q$1101,12,0),"")</f>
        <v>1w</v>
      </c>
      <c r="BB802" s="448" t="str">
        <f>_xlfn.IFNA(VLOOKUP($AP802,Programma!$F$3:$R$1101,13,0),"")</f>
        <v>1w</v>
      </c>
      <c r="BC802" s="448" t="str">
        <f>_xlfn.IFNA(VLOOKUP($AP802,Programma!$F$3:$S$1101,14,0),"")</f>
        <v>1m</v>
      </c>
      <c r="BD802" s="448" t="str">
        <f>_xlfn.IFNA(VLOOKUP($AP802,Programma!$F$3:$T$1101,15,0),"")</f>
        <v>2j</v>
      </c>
      <c r="BE802" s="448" t="str">
        <f>_xlfn.IFNA(VLOOKUP($AP802,Programma!$F$3:$U$1101,16,0),"")</f>
        <v>1j</v>
      </c>
      <c r="BF802" s="448" t="str">
        <f>_xlfn.IFNA(VLOOKUP($AP802,Programma!$F$3:$V$1101,17,0),"")</f>
        <v>_</v>
      </c>
      <c r="BG802" s="448" t="str">
        <f>_xlfn.IFNA(VLOOKUP($AP802,Programma!$F$3:$W$1101,18,0),"")</f>
        <v>_</v>
      </c>
      <c r="BH802" s="448" t="str">
        <f>_xlfn.IFNA(VLOOKUP($AP802,Programma!$F$3:$X$1101,19,0),"")</f>
        <v>_</v>
      </c>
      <c r="BI802" s="448" t="str">
        <f>_xlfn.IFNA(VLOOKUP($AP802,Programma!$F$3:$Y$1101,20,0),"")</f>
        <v>_</v>
      </c>
      <c r="BJ802" s="449"/>
      <c r="BK802" s="446" t="str">
        <f>IF(Ruimtestaat[[#This Row],[Frequentie weekend]]="","",_xlfn.CONCAT(Ruimtestaat[[#This Row],[Ruimte code]],"-",Ruimtestaat[[#This Row],[Frequentie weekend]]," ",Ruimtestaat[[#This Row],[Vloer code]]))</f>
        <v/>
      </c>
      <c r="BL802" s="448" t="str">
        <f>_xlfn.IFNA(VLOOKUP($BK802,Programma!$F$3:$G$1101,2,0),"")</f>
        <v/>
      </c>
      <c r="BM802" s="448" t="str">
        <f>_xlfn.IFNA(VLOOKUP($BK802,Programma!$F$3:$H$1101,3,0),"")</f>
        <v/>
      </c>
      <c r="BN802" s="448" t="str">
        <f>_xlfn.IFNA(VLOOKUP($BK802,Programma!$F$3:$I$1101,4,0),"")</f>
        <v/>
      </c>
      <c r="BO802" s="448" t="str">
        <f>_xlfn.IFNA(VLOOKUP($BK802,Programma!$F$3:$J$1101,5,0),"")</f>
        <v/>
      </c>
      <c r="BP802" s="448" t="str">
        <f>_xlfn.IFNA(VLOOKUP($BK802,Programma!$F$3:$K$1101,6,0),"")</f>
        <v/>
      </c>
      <c r="BQ802" s="448" t="str">
        <f>_xlfn.IFNA(VLOOKUP($BK802,Programma!$F$3:$L$1101,7,0),"")</f>
        <v/>
      </c>
      <c r="BR802" s="448" t="str">
        <f>_xlfn.IFNA(VLOOKUP($BK802,Programma!$F$3:$M$1101,8,0),"")</f>
        <v/>
      </c>
      <c r="BS802" s="448" t="str">
        <f>_xlfn.IFNA(VLOOKUP($BK802,Programma!$F$3:$N$1101,9,0),"")</f>
        <v/>
      </c>
      <c r="BT802" s="448" t="str">
        <f>_xlfn.IFNA(VLOOKUP($BK802,Programma!$F$3:$O$1101,10,0),"")</f>
        <v/>
      </c>
      <c r="BU802" s="448" t="str">
        <f>_xlfn.IFNA(VLOOKUP($BK802,Programma!$F$3:$P$1101,11,0),"")</f>
        <v/>
      </c>
      <c r="BV802" s="448" t="str">
        <f>_xlfn.IFNA(VLOOKUP($BK802,Programma!$F$3:$Q$1101,12,0),"")</f>
        <v/>
      </c>
      <c r="BW802" s="448" t="str">
        <f>_xlfn.IFNA(VLOOKUP($BK802,Programma!$F$3:$R$1101,13,0),"")</f>
        <v/>
      </c>
      <c r="BX802" s="448" t="str">
        <f>_xlfn.IFNA(VLOOKUP($BK802,Programma!$F$3:$S$1101,14,0),"")</f>
        <v/>
      </c>
      <c r="BY802" s="448" t="str">
        <f>_xlfn.IFNA(VLOOKUP($BK802,Programma!$F$3:$T$1101,15,0),"")</f>
        <v/>
      </c>
      <c r="BZ802" s="448" t="str">
        <f>_xlfn.IFNA(VLOOKUP($BK802,Programma!$F$3:$U$1101,16,0),"")</f>
        <v/>
      </c>
      <c r="CA802" s="448" t="str">
        <f>_xlfn.IFNA(VLOOKUP($BK802,Programma!$F$3:$V$1101,17,0),"")</f>
        <v/>
      </c>
      <c r="CB802" s="448" t="str">
        <f>_xlfn.IFNA(VLOOKUP($BK802,Programma!$F$3:$W$1101,18,0),"")</f>
        <v/>
      </c>
      <c r="CC802" s="448" t="str">
        <f>_xlfn.IFNA(VLOOKUP($BK802,Programma!$F$3:$X$1101,19,0),"")</f>
        <v/>
      </c>
      <c r="CD802" s="448" t="str">
        <f>_xlfn.IFNA(VLOOKUP($BK802,Programma!$F$3:$Y$1101,20,0),"")</f>
        <v/>
      </c>
    </row>
    <row r="803" spans="1:82" ht="15" customHeight="1">
      <c r="A803" s="327">
        <v>24</v>
      </c>
      <c r="B803" s="435" t="str">
        <f>VLOOKUP(Ruimtestaat[[#This Row],[Code]],Locaties[[Code]:[Locatie]],2,FALSE)</f>
        <v>IKC De Gaerde</v>
      </c>
      <c r="C803" s="435" t="str">
        <f>VLOOKUP(Ruimtestaat[[#This Row],[Code]],Locaties[[#All],[Code]:[Adres]],4,FALSE)</f>
        <v>Moerbeigaarde 58A</v>
      </c>
      <c r="D803" s="435" t="str">
        <f>VLOOKUP(Ruimtestaat[[#This Row],[Code]],Locaties[[#All],[Code]:[Postcode]],5,FALSE)</f>
        <v>2723 AG</v>
      </c>
      <c r="E803" s="435" t="str">
        <f>VLOOKUP(Ruimtestaat[[#This Row],[Code]],Locaties[#All],6,FALSE)</f>
        <v>Zoetermeer</v>
      </c>
      <c r="F803" s="450" t="s">
        <v>1705</v>
      </c>
      <c r="G803" s="330" t="s">
        <v>1678</v>
      </c>
      <c r="H803" s="330" t="s">
        <v>1692</v>
      </c>
      <c r="I803" s="450" t="s">
        <v>2024</v>
      </c>
      <c r="J803" s="330">
        <v>12</v>
      </c>
      <c r="K803" s="450" t="str">
        <f>VLOOKUP(Ruimtestaat[[#This Row],[Ruimte code]],Ruimtegroepen[[#All],[Code]:[Ruimte omschrijving]],2,FALSE)</f>
        <v>Kantine/Aula</v>
      </c>
      <c r="L803" s="330" t="s">
        <v>100</v>
      </c>
      <c r="M803" s="437" t="s">
        <v>2058</v>
      </c>
      <c r="N803" s="439"/>
      <c r="O803" s="439"/>
      <c r="P803" s="439"/>
      <c r="Q803" s="439">
        <v>74</v>
      </c>
      <c r="R803" s="440" t="str">
        <f>VLOOKUP(Ruimtestaat[[#This Row],[Ruimte code]],Ruimtegroepen[],4,FALSE)</f>
        <v>Ve</v>
      </c>
      <c r="S803" s="434">
        <v>51</v>
      </c>
      <c r="T803" s="434" t="s">
        <v>2</v>
      </c>
      <c r="U803" s="453">
        <f>IF(S803&gt;0,IF(RIGHT(Ruimtestaat[[#This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03" s="434">
        <f>IF(U803&gt;0,VLOOKUP($J803,Ruimtegroepen[],3,FALSE)*VLOOKUP($L803,Vloersoorten[],3,FALSE)*VLOOKUP($T803,Frequenties[],3,FALSE)*VLOOKUP($A803,Locaties[],3,FALSE),0)</f>
        <v>0</v>
      </c>
      <c r="W803" s="434">
        <f>Ruimtestaat[[#This Row],[Uitvoeringen werkdagen]]*Ruimtestaat[[#This Row],[Oppervlak (netto)]]</f>
        <v>0</v>
      </c>
      <c r="X803" s="441">
        <f>IF(V803&gt;0,Ruimtestaat[[#This Row],[Prest. (m2 /jaar) werkdagen]]/Ruimtestaat[[#This Row],[Norm (m2/uur) werkdagen]],0)</f>
        <v>0</v>
      </c>
      <c r="Y803" s="442">
        <f>Ruimtestaat[[#This Row],[Uitvoeringen werkdagen]]*Ruimtestaat[[#This Row],[Gedeeltelijk]]</f>
        <v>0</v>
      </c>
      <c r="Z803" s="443" t="e">
        <f>IF(U803&gt;0,Ruimtestaat[[#This Row],[Prest. (m2 / jaar) werkdagen gedeeld]]/Ruimtestaat[[#This Row],[Norm (m2/uur) werkdagen]],0)</f>
        <v>#DIV/0!</v>
      </c>
      <c r="AA803" s="441" t="e">
        <f>Ruimtestaat[[#This Row],[uren / jaar werkdagen gedeeld]]*Tariefsopbouw!$E$35</f>
        <v>#DIV/0!</v>
      </c>
      <c r="AB803" s="441">
        <f>Ruimtestaat[[#This Row],[Uitvoeringen werkdagen]]*Ruimtestaat[[#This Row],[BSO]]</f>
        <v>18870</v>
      </c>
      <c r="AC803" s="443" t="e">
        <f>IF(U803&gt;0,Ruimtestaat[[#This Row],[Prest. (m2 / jaar) werkdagen BSO]]/Ruimtestaat[[#This Row],[Norm (m2/uur) werkdagen]],0)</f>
        <v>#DIV/0!</v>
      </c>
      <c r="AD803" s="443" t="e">
        <f>Ruimtestaat[[#This Row],[uren / jaar werkdagen BSO]]*Tariefsopbouw!$E$35</f>
        <v>#DIV/0!</v>
      </c>
      <c r="AE803" s="444">
        <f>Ruimtestaat[[#This Row],[uren / jaar werkdagen]]*Tariefsopbouw!$E$35</f>
        <v>0</v>
      </c>
      <c r="AF803" s="454"/>
      <c r="AG803" s="455">
        <f>IF(Ruimtestaat[[#This Row],[Frequentie weekend]]&gt;0,VALUE(LEFT(AF803,1))*S803,0)</f>
        <v>0</v>
      </c>
      <c r="AH803" s="455">
        <f>IF($AG803&gt;0,VLOOKUP($J803,Ruimtegroepen[],3,FALSE)*VLOOKUP($L803,Vloersoorten[],3,FALSE)*VLOOKUP($AF803,Frequenties[],3,FALSE)*VLOOKUP(#REF!,Locaties[],3,FALSE),0)</f>
        <v>0</v>
      </c>
      <c r="AI803" s="434">
        <f>Ruimtestaat[[#This Row],[Uitvoeringen weekend]]*Ruimtestaat[[#This Row],[Oppervlak (netto)]]</f>
        <v>0</v>
      </c>
      <c r="AJ803" s="434">
        <f>IF(AH803&gt;0,Ruimtestaat[[#This Row],[Prest. (m2 /jaar) weekend]]/Ruimtestaat[[#This Row],[Norm (m2/uur) weekend]],0)</f>
        <v>0</v>
      </c>
      <c r="AK803" s="444">
        <f>Ruimtestaat[[#This Row],[uren / jaar weekend]]*Tariefsopbouw!$D$40</f>
        <v>0</v>
      </c>
      <c r="AL803" s="441">
        <f>Ruimtestaat[[#This Row],[Prest. (m2 /jaar) weekend]]+Ruimtestaat[[#This Row],[Prest. (m2 /jaar) werkdagen]]</f>
        <v>0</v>
      </c>
      <c r="AM803" s="441">
        <f>Ruimtestaat[[#This Row],[uren / jaar weekend]]+Ruimtestaat[[#This Row],[uren / jaar werkdagen]]</f>
        <v>0</v>
      </c>
      <c r="AN803" s="446">
        <f>Ruimtestaat[[#This Row],[kosten / jaar weekend]]+Ruimtestaat[[#This Row],[kosten / jaar werkdagen]]</f>
        <v>0</v>
      </c>
      <c r="AO803" s="446"/>
      <c r="AP803" s="446" t="str">
        <f>IF(Ruimtestaat[[#This Row],[Frequentie werkdagen]]="","",_xlfn.CONCAT(Ruimtestaat[[#This Row],[Ruimte code]],"-",Ruimtestaat[[#This Row],[Frequentie werkdagen]]," ",Ruimtestaat[[#This Row],[Vloer code]]))</f>
        <v>12-5w L</v>
      </c>
      <c r="AQ803" s="448" t="str">
        <f>_xlfn.IFNA(VLOOKUP($AP803,Programma!$F$3:$G$1101,2,0),"")</f>
        <v>_</v>
      </c>
      <c r="AR803" s="448" t="str">
        <f>_xlfn.IFNA(VLOOKUP($AP803,Programma!$F$3:$H$1101,3,0),"")</f>
        <v>_</v>
      </c>
      <c r="AS803" s="448" t="str">
        <f>_xlfn.IFNA(VLOOKUP($AP803,Programma!$F$3:$I$1101,4,0),"")</f>
        <v>_</v>
      </c>
      <c r="AT803" s="448" t="str">
        <f>_xlfn.IFNA(VLOOKUP($AP803,Programma!$F$3:$J$1101,5,0),"")</f>
        <v>5w</v>
      </c>
      <c r="AU803" s="448" t="str">
        <f>_xlfn.IFNA(VLOOKUP($AP803,Programma!$F$3:$K$1101,6,0),"")</f>
        <v>_</v>
      </c>
      <c r="AV803" s="448" t="str">
        <f>_xlfn.IFNA(VLOOKUP($AP803,Programma!$F$3:$L$1101,7,0),"")</f>
        <v>_</v>
      </c>
      <c r="AW803" s="448" t="str">
        <f>_xlfn.IFNA(VLOOKUP($AP803,Programma!$F$3:$M$1101,8,0),"")</f>
        <v>_</v>
      </c>
      <c r="AX803" s="448" t="str">
        <f>_xlfn.IFNA(VLOOKUP($AP803,Programma!$F$3:$N$1101,9,0),"")</f>
        <v>_</v>
      </c>
      <c r="AY803" s="448" t="str">
        <f>_xlfn.IFNA(VLOOKUP($AP803,Programma!$F$3:$O$1101,10,0),"")</f>
        <v>5w</v>
      </c>
      <c r="AZ803" s="448" t="str">
        <f>_xlfn.IFNA(VLOOKUP($AP803,Programma!$F$3:$P$1101,11,0),"")</f>
        <v>5w</v>
      </c>
      <c r="BA803" s="448" t="str">
        <f>_xlfn.IFNA(VLOOKUP($AP803,Programma!$F$3:$Q$1101,12,0),"")</f>
        <v>1w</v>
      </c>
      <c r="BB803" s="448" t="str">
        <f>_xlfn.IFNA(VLOOKUP($AP803,Programma!$F$3:$R$1101,13,0),"")</f>
        <v>1w</v>
      </c>
      <c r="BC803" s="448" t="str">
        <f>_xlfn.IFNA(VLOOKUP($AP803,Programma!$F$3:$S$1101,14,0),"")</f>
        <v>1m</v>
      </c>
      <c r="BD803" s="448" t="str">
        <f>_xlfn.IFNA(VLOOKUP($AP803,Programma!$F$3:$T$1101,15,0),"")</f>
        <v>2j</v>
      </c>
      <c r="BE803" s="448" t="str">
        <f>_xlfn.IFNA(VLOOKUP($AP803,Programma!$F$3:$U$1101,16,0),"")</f>
        <v>1j</v>
      </c>
      <c r="BF803" s="448" t="str">
        <f>_xlfn.IFNA(VLOOKUP($AP803,Programma!$F$3:$V$1101,17,0),"")</f>
        <v>_</v>
      </c>
      <c r="BG803" s="448" t="str">
        <f>_xlfn.IFNA(VLOOKUP($AP803,Programma!$F$3:$W$1101,18,0),"")</f>
        <v>_</v>
      </c>
      <c r="BH803" s="448" t="str">
        <f>_xlfn.IFNA(VLOOKUP($AP803,Programma!$F$3:$X$1101,19,0),"")</f>
        <v>_</v>
      </c>
      <c r="BI803" s="448" t="str">
        <f>_xlfn.IFNA(VLOOKUP($AP803,Programma!$F$3:$Y$1101,20,0),"")</f>
        <v>_</v>
      </c>
      <c r="BJ803" s="449"/>
      <c r="BK803" s="446" t="str">
        <f>IF(Ruimtestaat[[#This Row],[Frequentie weekend]]="","",_xlfn.CONCAT(Ruimtestaat[[#This Row],[Ruimte code]],"-",Ruimtestaat[[#This Row],[Frequentie weekend]]," ",Ruimtestaat[[#This Row],[Vloer code]]))</f>
        <v/>
      </c>
      <c r="BL803" s="448" t="str">
        <f>_xlfn.IFNA(VLOOKUP($BK803,Programma!$F$3:$G$1101,2,0),"")</f>
        <v/>
      </c>
      <c r="BM803" s="448" t="str">
        <f>_xlfn.IFNA(VLOOKUP($BK803,Programma!$F$3:$H$1101,3,0),"")</f>
        <v/>
      </c>
      <c r="BN803" s="448" t="str">
        <f>_xlfn.IFNA(VLOOKUP($BK803,Programma!$F$3:$I$1101,4,0),"")</f>
        <v/>
      </c>
      <c r="BO803" s="448" t="str">
        <f>_xlfn.IFNA(VLOOKUP($BK803,Programma!$F$3:$J$1101,5,0),"")</f>
        <v/>
      </c>
      <c r="BP803" s="448" t="str">
        <f>_xlfn.IFNA(VLOOKUP($BK803,Programma!$F$3:$K$1101,6,0),"")</f>
        <v/>
      </c>
      <c r="BQ803" s="448" t="str">
        <f>_xlfn.IFNA(VLOOKUP($BK803,Programma!$F$3:$L$1101,7,0),"")</f>
        <v/>
      </c>
      <c r="BR803" s="448" t="str">
        <f>_xlfn.IFNA(VLOOKUP($BK803,Programma!$F$3:$M$1101,8,0),"")</f>
        <v/>
      </c>
      <c r="BS803" s="448" t="str">
        <f>_xlfn.IFNA(VLOOKUP($BK803,Programma!$F$3:$N$1101,9,0),"")</f>
        <v/>
      </c>
      <c r="BT803" s="448" t="str">
        <f>_xlfn.IFNA(VLOOKUP($BK803,Programma!$F$3:$O$1101,10,0),"")</f>
        <v/>
      </c>
      <c r="BU803" s="448" t="str">
        <f>_xlfn.IFNA(VLOOKUP($BK803,Programma!$F$3:$P$1101,11,0),"")</f>
        <v/>
      </c>
      <c r="BV803" s="448" t="str">
        <f>_xlfn.IFNA(VLOOKUP($BK803,Programma!$F$3:$Q$1101,12,0),"")</f>
        <v/>
      </c>
      <c r="BW803" s="448" t="str">
        <f>_xlfn.IFNA(VLOOKUP($BK803,Programma!$F$3:$R$1101,13,0),"")</f>
        <v/>
      </c>
      <c r="BX803" s="448" t="str">
        <f>_xlfn.IFNA(VLOOKUP($BK803,Programma!$F$3:$S$1101,14,0),"")</f>
        <v/>
      </c>
      <c r="BY803" s="448" t="str">
        <f>_xlfn.IFNA(VLOOKUP($BK803,Programma!$F$3:$T$1101,15,0),"")</f>
        <v/>
      </c>
      <c r="BZ803" s="448" t="str">
        <f>_xlfn.IFNA(VLOOKUP($BK803,Programma!$F$3:$U$1101,16,0),"")</f>
        <v/>
      </c>
      <c r="CA803" s="448" t="str">
        <f>_xlfn.IFNA(VLOOKUP($BK803,Programma!$F$3:$V$1101,17,0),"")</f>
        <v/>
      </c>
      <c r="CB803" s="448" t="str">
        <f>_xlfn.IFNA(VLOOKUP($BK803,Programma!$F$3:$W$1101,18,0),"")</f>
        <v/>
      </c>
      <c r="CC803" s="448" t="str">
        <f>_xlfn.IFNA(VLOOKUP($BK803,Programma!$F$3:$X$1101,19,0),"")</f>
        <v/>
      </c>
      <c r="CD803" s="448" t="str">
        <f>_xlfn.IFNA(VLOOKUP($BK803,Programma!$F$3:$Y$1101,20,0),"")</f>
        <v/>
      </c>
    </row>
    <row r="804" spans="1:82" ht="15" customHeight="1">
      <c r="A804" s="327">
        <v>24</v>
      </c>
      <c r="B804" s="435" t="str">
        <f>VLOOKUP(Ruimtestaat[[#This Row],[Code]],Locaties[[Code]:[Locatie]],2,FALSE)</f>
        <v>IKC De Gaerde</v>
      </c>
      <c r="C804" s="435" t="str">
        <f>VLOOKUP(Ruimtestaat[[#This Row],[Code]],Locaties[[#All],[Code]:[Adres]],4,FALSE)</f>
        <v>Moerbeigaarde 58A</v>
      </c>
      <c r="D804" s="435" t="str">
        <f>VLOOKUP(Ruimtestaat[[#This Row],[Code]],Locaties[[#All],[Code]:[Postcode]],5,FALSE)</f>
        <v>2723 AG</v>
      </c>
      <c r="E804" s="435" t="str">
        <f>VLOOKUP(Ruimtestaat[[#This Row],[Code]],Locaties[#All],6,FALSE)</f>
        <v>Zoetermeer</v>
      </c>
      <c r="F804" s="450"/>
      <c r="G804" s="330" t="s">
        <v>1678</v>
      </c>
      <c r="H804" s="330" t="s">
        <v>1693</v>
      </c>
      <c r="I804" s="450" t="s">
        <v>1842</v>
      </c>
      <c r="J804" s="330">
        <v>16</v>
      </c>
      <c r="K804" s="450" t="str">
        <f>VLOOKUP(Ruimtestaat[[#This Row],[Ruimte code]],Ruimtegroepen[[#All],[Code]:[Ruimte omschrijving]],2,FALSE)</f>
        <v>Leslokalen</v>
      </c>
      <c r="L804" s="330" t="s">
        <v>100</v>
      </c>
      <c r="M804" s="437" t="s">
        <v>2058</v>
      </c>
      <c r="N804" s="439">
        <v>49.5</v>
      </c>
      <c r="O804" s="439"/>
      <c r="P804" s="439"/>
      <c r="Q804" s="439"/>
      <c r="R804" s="440" t="str">
        <f>VLOOKUP(Ruimtestaat[[#This Row],[Ruimte code]],Ruimtegroepen[],4,FALSE)</f>
        <v>Le</v>
      </c>
      <c r="S804" s="434">
        <v>40</v>
      </c>
      <c r="T804" s="434" t="s">
        <v>2</v>
      </c>
      <c r="U804" s="453">
        <f>IF(S804&gt;0,IF(RIGHT(Ruimtestaat[[#This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4" s="434">
        <f>IF(U804&gt;0,VLOOKUP($J804,Ruimtegroepen[],3,FALSE)*VLOOKUP($L804,Vloersoorten[],3,FALSE)*VLOOKUP($T804,Frequenties[],3,FALSE)*VLOOKUP($A804,Locaties[],3,FALSE),0)</f>
        <v>0</v>
      </c>
      <c r="W804" s="434">
        <f>Ruimtestaat[[#This Row],[Uitvoeringen werkdagen]]*Ruimtestaat[[#This Row],[Oppervlak (netto)]]</f>
        <v>9900</v>
      </c>
      <c r="X804" s="441">
        <f>IF(V804&gt;0,Ruimtestaat[[#This Row],[Prest. (m2 /jaar) werkdagen]]/Ruimtestaat[[#This Row],[Norm (m2/uur) werkdagen]],0)</f>
        <v>0</v>
      </c>
      <c r="Y804" s="442">
        <f>Ruimtestaat[[#This Row],[Uitvoeringen werkdagen]]*Ruimtestaat[[#This Row],[Gedeeltelijk]]</f>
        <v>0</v>
      </c>
      <c r="Z804" s="443" t="e">
        <f>IF(U804&gt;0,Ruimtestaat[[#This Row],[Prest. (m2 / jaar) werkdagen gedeeld]]/Ruimtestaat[[#This Row],[Norm (m2/uur) werkdagen]],0)</f>
        <v>#DIV/0!</v>
      </c>
      <c r="AA804" s="441" t="e">
        <f>Ruimtestaat[[#This Row],[uren / jaar werkdagen gedeeld]]*Tariefsopbouw!$E$35</f>
        <v>#DIV/0!</v>
      </c>
      <c r="AB804" s="441">
        <f>Ruimtestaat[[#This Row],[Uitvoeringen werkdagen]]*Ruimtestaat[[#This Row],[BSO]]</f>
        <v>0</v>
      </c>
      <c r="AC804" s="443" t="e">
        <f>IF(U804&gt;0,Ruimtestaat[[#This Row],[Prest. (m2 / jaar) werkdagen BSO]]/Ruimtestaat[[#This Row],[Norm (m2/uur) werkdagen]],0)</f>
        <v>#DIV/0!</v>
      </c>
      <c r="AD804" s="443" t="e">
        <f>Ruimtestaat[[#This Row],[uren / jaar werkdagen BSO]]*Tariefsopbouw!$E$35</f>
        <v>#DIV/0!</v>
      </c>
      <c r="AE804" s="444">
        <f>Ruimtestaat[[#This Row],[uren / jaar werkdagen]]*Tariefsopbouw!$E$35</f>
        <v>0</v>
      </c>
      <c r="AF804" s="454"/>
      <c r="AG804" s="455">
        <f>IF(Ruimtestaat[[#This Row],[Frequentie weekend]]&gt;0,VALUE(LEFT(AF804,1))*S804,0)</f>
        <v>0</v>
      </c>
      <c r="AH804" s="455">
        <f>IF($AG804&gt;0,VLOOKUP($J804,Ruimtegroepen[],3,FALSE)*VLOOKUP($L804,Vloersoorten[],3,FALSE)*VLOOKUP($AF804,Frequenties[],3,FALSE)*VLOOKUP(#REF!,Locaties[],3,FALSE),0)</f>
        <v>0</v>
      </c>
      <c r="AI804" s="434">
        <f>Ruimtestaat[[#This Row],[Uitvoeringen weekend]]*Ruimtestaat[[#This Row],[Oppervlak (netto)]]</f>
        <v>0</v>
      </c>
      <c r="AJ804" s="434">
        <f>IF(AH804&gt;0,Ruimtestaat[[#This Row],[Prest. (m2 /jaar) weekend]]/Ruimtestaat[[#This Row],[Norm (m2/uur) weekend]],0)</f>
        <v>0</v>
      </c>
      <c r="AK804" s="444">
        <f>Ruimtestaat[[#This Row],[uren / jaar weekend]]*Tariefsopbouw!$D$40</f>
        <v>0</v>
      </c>
      <c r="AL804" s="441">
        <f>Ruimtestaat[[#This Row],[Prest. (m2 /jaar) weekend]]+Ruimtestaat[[#This Row],[Prest. (m2 /jaar) werkdagen]]</f>
        <v>9900</v>
      </c>
      <c r="AM804" s="441">
        <f>Ruimtestaat[[#This Row],[uren / jaar weekend]]+Ruimtestaat[[#This Row],[uren / jaar werkdagen]]</f>
        <v>0</v>
      </c>
      <c r="AN804" s="446">
        <f>Ruimtestaat[[#This Row],[kosten / jaar weekend]]+Ruimtestaat[[#This Row],[kosten / jaar werkdagen]]</f>
        <v>0</v>
      </c>
      <c r="AO804" s="446"/>
      <c r="AP804" s="446" t="str">
        <f>IF(Ruimtestaat[[#This Row],[Frequentie werkdagen]]="","",_xlfn.CONCAT(Ruimtestaat[[#This Row],[Ruimte code]],"-",Ruimtestaat[[#This Row],[Frequentie werkdagen]]," ",Ruimtestaat[[#This Row],[Vloer code]]))</f>
        <v>16-5w L</v>
      </c>
      <c r="AQ804" s="448" t="str">
        <f>_xlfn.IFNA(VLOOKUP($AP804,Programma!$F$3:$G$1101,2,0),"")</f>
        <v>_</v>
      </c>
      <c r="AR804" s="448" t="str">
        <f>_xlfn.IFNA(VLOOKUP($AP804,Programma!$F$3:$H$1101,3,0),"")</f>
        <v>_</v>
      </c>
      <c r="AS804" s="448" t="str">
        <f>_xlfn.IFNA(VLOOKUP($AP804,Programma!$F$3:$I$1101,4,0),"")</f>
        <v>4w</v>
      </c>
      <c r="AT804" s="448" t="str">
        <f>_xlfn.IFNA(VLOOKUP($AP804,Programma!$F$3:$J$1101,5,0),"")</f>
        <v>1w</v>
      </c>
      <c r="AU804" s="448" t="str">
        <f>_xlfn.IFNA(VLOOKUP($AP804,Programma!$F$3:$K$1101,6,0),"")</f>
        <v>_</v>
      </c>
      <c r="AV804" s="448" t="str">
        <f>_xlfn.IFNA(VLOOKUP($AP804,Programma!$F$3:$L$1101,7,0),"")</f>
        <v>_</v>
      </c>
      <c r="AW804" s="448" t="str">
        <f>_xlfn.IFNA(VLOOKUP($AP804,Programma!$F$3:$M$1101,8,0),"")</f>
        <v>_</v>
      </c>
      <c r="AX804" s="448" t="str">
        <f>_xlfn.IFNA(VLOOKUP($AP804,Programma!$F$3:$N$1101,9,0),"")</f>
        <v>_</v>
      </c>
      <c r="AY804" s="448" t="str">
        <f>_xlfn.IFNA(VLOOKUP($AP804,Programma!$F$3:$O$1101,10,0),"")</f>
        <v>5w</v>
      </c>
      <c r="AZ804" s="448" t="str">
        <f>_xlfn.IFNA(VLOOKUP($AP804,Programma!$F$3:$P$1101,11,0),"")</f>
        <v>5w</v>
      </c>
      <c r="BA804" s="448" t="str">
        <f>_xlfn.IFNA(VLOOKUP($AP804,Programma!$F$3:$Q$1101,12,0),"")</f>
        <v>1w</v>
      </c>
      <c r="BB804" s="448" t="str">
        <f>_xlfn.IFNA(VLOOKUP($AP804,Programma!$F$3:$R$1101,13,0),"")</f>
        <v>1w</v>
      </c>
      <c r="BC804" s="448" t="str">
        <f>_xlfn.IFNA(VLOOKUP($AP804,Programma!$F$3:$S$1101,14,0),"")</f>
        <v>1m</v>
      </c>
      <c r="BD804" s="448" t="str">
        <f>_xlfn.IFNA(VLOOKUP($AP804,Programma!$F$3:$T$1101,15,0),"")</f>
        <v>2j</v>
      </c>
      <c r="BE804" s="448" t="str">
        <f>_xlfn.IFNA(VLOOKUP($AP804,Programma!$F$3:$U$1101,16,0),"")</f>
        <v>1j</v>
      </c>
      <c r="BF804" s="448" t="str">
        <f>_xlfn.IFNA(VLOOKUP($AP804,Programma!$F$3:$V$1101,17,0),"")</f>
        <v>_</v>
      </c>
      <c r="BG804" s="448" t="str">
        <f>_xlfn.IFNA(VLOOKUP($AP804,Programma!$F$3:$W$1101,18,0),"")</f>
        <v>_</v>
      </c>
      <c r="BH804" s="448" t="str">
        <f>_xlfn.IFNA(VLOOKUP($AP804,Programma!$F$3:$X$1101,19,0),"")</f>
        <v>_</v>
      </c>
      <c r="BI804" s="448" t="str">
        <f>_xlfn.IFNA(VLOOKUP($AP804,Programma!$F$3:$Y$1101,20,0),"")</f>
        <v>_</v>
      </c>
      <c r="BJ804" s="449"/>
      <c r="BK804" s="446" t="str">
        <f>IF(Ruimtestaat[[#This Row],[Frequentie weekend]]="","",_xlfn.CONCAT(Ruimtestaat[[#This Row],[Ruimte code]],"-",Ruimtestaat[[#This Row],[Frequentie weekend]]," ",Ruimtestaat[[#This Row],[Vloer code]]))</f>
        <v/>
      </c>
      <c r="BL804" s="448" t="str">
        <f>_xlfn.IFNA(VLOOKUP($BK804,Programma!$F$3:$G$1101,2,0),"")</f>
        <v/>
      </c>
      <c r="BM804" s="448" t="str">
        <f>_xlfn.IFNA(VLOOKUP($BK804,Programma!$F$3:$H$1101,3,0),"")</f>
        <v/>
      </c>
      <c r="BN804" s="448" t="str">
        <f>_xlfn.IFNA(VLOOKUP($BK804,Programma!$F$3:$I$1101,4,0),"")</f>
        <v/>
      </c>
      <c r="BO804" s="448" t="str">
        <f>_xlfn.IFNA(VLOOKUP($BK804,Programma!$F$3:$J$1101,5,0),"")</f>
        <v/>
      </c>
      <c r="BP804" s="448" t="str">
        <f>_xlfn.IFNA(VLOOKUP($BK804,Programma!$F$3:$K$1101,6,0),"")</f>
        <v/>
      </c>
      <c r="BQ804" s="448" t="str">
        <f>_xlfn.IFNA(VLOOKUP($BK804,Programma!$F$3:$L$1101,7,0),"")</f>
        <v/>
      </c>
      <c r="BR804" s="448" t="str">
        <f>_xlfn.IFNA(VLOOKUP($BK804,Programma!$F$3:$M$1101,8,0),"")</f>
        <v/>
      </c>
      <c r="BS804" s="448" t="str">
        <f>_xlfn.IFNA(VLOOKUP($BK804,Programma!$F$3:$N$1101,9,0),"")</f>
        <v/>
      </c>
      <c r="BT804" s="448" t="str">
        <f>_xlfn.IFNA(VLOOKUP($BK804,Programma!$F$3:$O$1101,10,0),"")</f>
        <v/>
      </c>
      <c r="BU804" s="448" t="str">
        <f>_xlfn.IFNA(VLOOKUP($BK804,Programma!$F$3:$P$1101,11,0),"")</f>
        <v/>
      </c>
      <c r="BV804" s="448" t="str">
        <f>_xlfn.IFNA(VLOOKUP($BK804,Programma!$F$3:$Q$1101,12,0),"")</f>
        <v/>
      </c>
      <c r="BW804" s="448" t="str">
        <f>_xlfn.IFNA(VLOOKUP($BK804,Programma!$F$3:$R$1101,13,0),"")</f>
        <v/>
      </c>
      <c r="BX804" s="448" t="str">
        <f>_xlfn.IFNA(VLOOKUP($BK804,Programma!$F$3:$S$1101,14,0),"")</f>
        <v/>
      </c>
      <c r="BY804" s="448" t="str">
        <f>_xlfn.IFNA(VLOOKUP($BK804,Programma!$F$3:$T$1101,15,0),"")</f>
        <v/>
      </c>
      <c r="BZ804" s="448" t="str">
        <f>_xlfn.IFNA(VLOOKUP($BK804,Programma!$F$3:$U$1101,16,0),"")</f>
        <v/>
      </c>
      <c r="CA804" s="448" t="str">
        <f>_xlfn.IFNA(VLOOKUP($BK804,Programma!$F$3:$V$1101,17,0),"")</f>
        <v/>
      </c>
      <c r="CB804" s="448" t="str">
        <f>_xlfn.IFNA(VLOOKUP($BK804,Programma!$F$3:$W$1101,18,0),"")</f>
        <v/>
      </c>
      <c r="CC804" s="448" t="str">
        <f>_xlfn.IFNA(VLOOKUP($BK804,Programma!$F$3:$X$1101,19,0),"")</f>
        <v/>
      </c>
      <c r="CD804" s="448" t="str">
        <f>_xlfn.IFNA(VLOOKUP($BK804,Programma!$F$3:$Y$1101,20,0),"")</f>
        <v/>
      </c>
    </row>
    <row r="805" spans="1:82" ht="15" customHeight="1">
      <c r="A805" s="327">
        <v>24</v>
      </c>
      <c r="B805" s="435" t="str">
        <f>VLOOKUP(Ruimtestaat[[#This Row],[Code]],Locaties[[Code]:[Locatie]],2,FALSE)</f>
        <v>IKC De Gaerde</v>
      </c>
      <c r="C805" s="435" t="str">
        <f>VLOOKUP(Ruimtestaat[[#This Row],[Code]],Locaties[[#All],[Code]:[Adres]],4,FALSE)</f>
        <v>Moerbeigaarde 58A</v>
      </c>
      <c r="D805" s="435" t="str">
        <f>VLOOKUP(Ruimtestaat[[#This Row],[Code]],Locaties[[#All],[Code]:[Postcode]],5,FALSE)</f>
        <v>2723 AG</v>
      </c>
      <c r="E805" s="435" t="str">
        <f>VLOOKUP(Ruimtestaat[[#This Row],[Code]],Locaties[#All],6,FALSE)</f>
        <v>Zoetermeer</v>
      </c>
      <c r="F805" s="450"/>
      <c r="G805" s="330" t="s">
        <v>1678</v>
      </c>
      <c r="H805" s="330" t="s">
        <v>1699</v>
      </c>
      <c r="I805" s="450" t="s">
        <v>2025</v>
      </c>
      <c r="J805" s="330">
        <v>9</v>
      </c>
      <c r="K805" s="450" t="str">
        <f>VLOOKUP(Ruimtestaat[[#This Row],[Ruimte code]],Ruimtegroepen[[#All],[Code]:[Ruimte omschrijving]],2,FALSE)</f>
        <v>Bibliotheek/OLC</v>
      </c>
      <c r="L805" s="330" t="s">
        <v>100</v>
      </c>
      <c r="M805" s="437" t="s">
        <v>2058</v>
      </c>
      <c r="N805" s="439">
        <v>15.1</v>
      </c>
      <c r="O805" s="439"/>
      <c r="P805" s="439"/>
      <c r="Q805" s="439"/>
      <c r="R805" s="440" t="str">
        <f>VLOOKUP(Ruimtestaat[[#This Row],[Ruimte code]],Ruimtegroepen[],4,FALSE)</f>
        <v>Le</v>
      </c>
      <c r="S805" s="434">
        <v>40</v>
      </c>
      <c r="T805" s="434" t="s">
        <v>2</v>
      </c>
      <c r="U805" s="453">
        <f>IF(S805&gt;0,IF(RIGHT(Ruimtestaat[[#This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5" s="434">
        <f>IF(U805&gt;0,VLOOKUP($J805,Ruimtegroepen[],3,FALSE)*VLOOKUP($L805,Vloersoorten[],3,FALSE)*VLOOKUP($T805,Frequenties[],3,FALSE)*VLOOKUP($A805,Locaties[],3,FALSE),0)</f>
        <v>0</v>
      </c>
      <c r="W805" s="434">
        <f>Ruimtestaat[[#This Row],[Uitvoeringen werkdagen]]*Ruimtestaat[[#This Row],[Oppervlak (netto)]]</f>
        <v>3020</v>
      </c>
      <c r="X805" s="441">
        <f>IF(V805&gt;0,Ruimtestaat[[#This Row],[Prest. (m2 /jaar) werkdagen]]/Ruimtestaat[[#This Row],[Norm (m2/uur) werkdagen]],0)</f>
        <v>0</v>
      </c>
      <c r="Y805" s="442">
        <f>Ruimtestaat[[#This Row],[Uitvoeringen werkdagen]]*Ruimtestaat[[#This Row],[Gedeeltelijk]]</f>
        <v>0</v>
      </c>
      <c r="Z805" s="443" t="e">
        <f>IF(U805&gt;0,Ruimtestaat[[#This Row],[Prest. (m2 / jaar) werkdagen gedeeld]]/Ruimtestaat[[#This Row],[Norm (m2/uur) werkdagen]],0)</f>
        <v>#DIV/0!</v>
      </c>
      <c r="AA805" s="441" t="e">
        <f>Ruimtestaat[[#This Row],[uren / jaar werkdagen gedeeld]]*Tariefsopbouw!$E$35</f>
        <v>#DIV/0!</v>
      </c>
      <c r="AB805" s="441">
        <f>Ruimtestaat[[#This Row],[Uitvoeringen werkdagen]]*Ruimtestaat[[#This Row],[BSO]]</f>
        <v>0</v>
      </c>
      <c r="AC805" s="443" t="e">
        <f>IF(U805&gt;0,Ruimtestaat[[#This Row],[Prest. (m2 / jaar) werkdagen BSO]]/Ruimtestaat[[#This Row],[Norm (m2/uur) werkdagen]],0)</f>
        <v>#DIV/0!</v>
      </c>
      <c r="AD805" s="443" t="e">
        <f>Ruimtestaat[[#This Row],[uren / jaar werkdagen BSO]]*Tariefsopbouw!$E$35</f>
        <v>#DIV/0!</v>
      </c>
      <c r="AE805" s="444">
        <f>Ruimtestaat[[#This Row],[uren / jaar werkdagen]]*Tariefsopbouw!$E$35</f>
        <v>0</v>
      </c>
      <c r="AF805" s="454"/>
      <c r="AG805" s="455">
        <f>IF(Ruimtestaat[[#This Row],[Frequentie weekend]]&gt;0,VALUE(LEFT(AF805,1))*S805,0)</f>
        <v>0</v>
      </c>
      <c r="AH805" s="455">
        <f>IF($AG805&gt;0,VLOOKUP($J805,Ruimtegroepen[],3,FALSE)*VLOOKUP($L805,Vloersoorten[],3,FALSE)*VLOOKUP($AF805,Frequenties[],3,FALSE)*VLOOKUP(#REF!,Locaties[],3,FALSE),0)</f>
        <v>0</v>
      </c>
      <c r="AI805" s="434">
        <f>Ruimtestaat[[#This Row],[Uitvoeringen weekend]]*Ruimtestaat[[#This Row],[Oppervlak (netto)]]</f>
        <v>0</v>
      </c>
      <c r="AJ805" s="434">
        <f>IF(AH805&gt;0,Ruimtestaat[[#This Row],[Prest. (m2 /jaar) weekend]]/Ruimtestaat[[#This Row],[Norm (m2/uur) weekend]],0)</f>
        <v>0</v>
      </c>
      <c r="AK805" s="444">
        <f>Ruimtestaat[[#This Row],[uren / jaar weekend]]*Tariefsopbouw!$D$40</f>
        <v>0</v>
      </c>
      <c r="AL805" s="441">
        <f>Ruimtestaat[[#This Row],[Prest. (m2 /jaar) weekend]]+Ruimtestaat[[#This Row],[Prest. (m2 /jaar) werkdagen]]</f>
        <v>3020</v>
      </c>
      <c r="AM805" s="441">
        <f>Ruimtestaat[[#This Row],[uren / jaar weekend]]+Ruimtestaat[[#This Row],[uren / jaar werkdagen]]</f>
        <v>0</v>
      </c>
      <c r="AN805" s="446">
        <f>Ruimtestaat[[#This Row],[kosten / jaar weekend]]+Ruimtestaat[[#This Row],[kosten / jaar werkdagen]]</f>
        <v>0</v>
      </c>
      <c r="AO805" s="446"/>
      <c r="AP805" s="446" t="str">
        <f>IF(Ruimtestaat[[#This Row],[Frequentie werkdagen]]="","",_xlfn.CONCAT(Ruimtestaat[[#This Row],[Ruimte code]],"-",Ruimtestaat[[#This Row],[Frequentie werkdagen]]," ",Ruimtestaat[[#This Row],[Vloer code]]))</f>
        <v>9-5w L</v>
      </c>
      <c r="AQ805" s="448" t="str">
        <f>_xlfn.IFNA(VLOOKUP($AP805,Programma!$F$3:$G$1101,2,0),"")</f>
        <v>_</v>
      </c>
      <c r="AR805" s="448" t="str">
        <f>_xlfn.IFNA(VLOOKUP($AP805,Programma!$F$3:$H$1101,3,0),"")</f>
        <v>_</v>
      </c>
      <c r="AS805" s="448" t="str">
        <f>_xlfn.IFNA(VLOOKUP($AP805,Programma!$F$3:$I$1101,4,0),"")</f>
        <v>4w</v>
      </c>
      <c r="AT805" s="448" t="str">
        <f>_xlfn.IFNA(VLOOKUP($AP805,Programma!$F$3:$J$1101,5,0),"")</f>
        <v>1w</v>
      </c>
      <c r="AU805" s="448" t="str">
        <f>_xlfn.IFNA(VLOOKUP($AP805,Programma!$F$3:$K$1101,6,0),"")</f>
        <v>_</v>
      </c>
      <c r="AV805" s="448" t="str">
        <f>_xlfn.IFNA(VLOOKUP($AP805,Programma!$F$3:$L$1101,7,0),"")</f>
        <v>_</v>
      </c>
      <c r="AW805" s="448" t="str">
        <f>_xlfn.IFNA(VLOOKUP($AP805,Programma!$F$3:$M$1101,8,0),"")</f>
        <v>_</v>
      </c>
      <c r="AX805" s="448" t="str">
        <f>_xlfn.IFNA(VLOOKUP($AP805,Programma!$F$3:$N$1101,9,0),"")</f>
        <v>_</v>
      </c>
      <c r="AY805" s="448" t="str">
        <f>_xlfn.IFNA(VLOOKUP($AP805,Programma!$F$3:$O$1101,10,0),"")</f>
        <v>5w</v>
      </c>
      <c r="AZ805" s="448" t="str">
        <f>_xlfn.IFNA(VLOOKUP($AP805,Programma!$F$3:$P$1101,11,0),"")</f>
        <v>5w</v>
      </c>
      <c r="BA805" s="448" t="str">
        <f>_xlfn.IFNA(VLOOKUP($AP805,Programma!$F$3:$Q$1101,12,0),"")</f>
        <v>1w</v>
      </c>
      <c r="BB805" s="448" t="str">
        <f>_xlfn.IFNA(VLOOKUP($AP805,Programma!$F$3:$R$1101,13,0),"")</f>
        <v>1w</v>
      </c>
      <c r="BC805" s="448" t="str">
        <f>_xlfn.IFNA(VLOOKUP($AP805,Programma!$F$3:$S$1101,14,0),"")</f>
        <v>1m</v>
      </c>
      <c r="BD805" s="448" t="str">
        <f>_xlfn.IFNA(VLOOKUP($AP805,Programma!$F$3:$T$1101,15,0),"")</f>
        <v>2j</v>
      </c>
      <c r="BE805" s="448" t="str">
        <f>_xlfn.IFNA(VLOOKUP($AP805,Programma!$F$3:$U$1101,16,0),"")</f>
        <v>1j</v>
      </c>
      <c r="BF805" s="448" t="str">
        <f>_xlfn.IFNA(VLOOKUP($AP805,Programma!$F$3:$V$1101,17,0),"")</f>
        <v>_</v>
      </c>
      <c r="BG805" s="448" t="str">
        <f>_xlfn.IFNA(VLOOKUP($AP805,Programma!$F$3:$W$1101,18,0),"")</f>
        <v>_</v>
      </c>
      <c r="BH805" s="448" t="str">
        <f>_xlfn.IFNA(VLOOKUP($AP805,Programma!$F$3:$X$1101,19,0),"")</f>
        <v>_</v>
      </c>
      <c r="BI805" s="448" t="str">
        <f>_xlfn.IFNA(VLOOKUP($AP805,Programma!$F$3:$Y$1101,20,0),"")</f>
        <v>_</v>
      </c>
      <c r="BJ805" s="449"/>
      <c r="BK805" s="446" t="str">
        <f>IF(Ruimtestaat[[#This Row],[Frequentie weekend]]="","",_xlfn.CONCAT(Ruimtestaat[[#This Row],[Ruimte code]],"-",Ruimtestaat[[#This Row],[Frequentie weekend]]," ",Ruimtestaat[[#This Row],[Vloer code]]))</f>
        <v/>
      </c>
      <c r="BL805" s="448" t="str">
        <f>_xlfn.IFNA(VLOOKUP($BK805,Programma!$F$3:$G$1101,2,0),"")</f>
        <v/>
      </c>
      <c r="BM805" s="448" t="str">
        <f>_xlfn.IFNA(VLOOKUP($BK805,Programma!$F$3:$H$1101,3,0),"")</f>
        <v/>
      </c>
      <c r="BN805" s="448" t="str">
        <f>_xlfn.IFNA(VLOOKUP($BK805,Programma!$F$3:$I$1101,4,0),"")</f>
        <v/>
      </c>
      <c r="BO805" s="448" t="str">
        <f>_xlfn.IFNA(VLOOKUP($BK805,Programma!$F$3:$J$1101,5,0),"")</f>
        <v/>
      </c>
      <c r="BP805" s="448" t="str">
        <f>_xlfn.IFNA(VLOOKUP($BK805,Programma!$F$3:$K$1101,6,0),"")</f>
        <v/>
      </c>
      <c r="BQ805" s="448" t="str">
        <f>_xlfn.IFNA(VLOOKUP($BK805,Programma!$F$3:$L$1101,7,0),"")</f>
        <v/>
      </c>
      <c r="BR805" s="448" t="str">
        <f>_xlfn.IFNA(VLOOKUP($BK805,Programma!$F$3:$M$1101,8,0),"")</f>
        <v/>
      </c>
      <c r="BS805" s="448" t="str">
        <f>_xlfn.IFNA(VLOOKUP($BK805,Programma!$F$3:$N$1101,9,0),"")</f>
        <v/>
      </c>
      <c r="BT805" s="448" t="str">
        <f>_xlfn.IFNA(VLOOKUP($BK805,Programma!$F$3:$O$1101,10,0),"")</f>
        <v/>
      </c>
      <c r="BU805" s="448" t="str">
        <f>_xlfn.IFNA(VLOOKUP($BK805,Programma!$F$3:$P$1101,11,0),"")</f>
        <v/>
      </c>
      <c r="BV805" s="448" t="str">
        <f>_xlfn.IFNA(VLOOKUP($BK805,Programma!$F$3:$Q$1101,12,0),"")</f>
        <v/>
      </c>
      <c r="BW805" s="448" t="str">
        <f>_xlfn.IFNA(VLOOKUP($BK805,Programma!$F$3:$R$1101,13,0),"")</f>
        <v/>
      </c>
      <c r="BX805" s="448" t="str">
        <f>_xlfn.IFNA(VLOOKUP($BK805,Programma!$F$3:$S$1101,14,0),"")</f>
        <v/>
      </c>
      <c r="BY805" s="448" t="str">
        <f>_xlfn.IFNA(VLOOKUP($BK805,Programma!$F$3:$T$1101,15,0),"")</f>
        <v/>
      </c>
      <c r="BZ805" s="448" t="str">
        <f>_xlfn.IFNA(VLOOKUP($BK805,Programma!$F$3:$U$1101,16,0),"")</f>
        <v/>
      </c>
      <c r="CA805" s="448" t="str">
        <f>_xlfn.IFNA(VLOOKUP($BK805,Programma!$F$3:$V$1101,17,0),"")</f>
        <v/>
      </c>
      <c r="CB805" s="448" t="str">
        <f>_xlfn.IFNA(VLOOKUP($BK805,Programma!$F$3:$W$1101,18,0),"")</f>
        <v/>
      </c>
      <c r="CC805" s="448" t="str">
        <f>_xlfn.IFNA(VLOOKUP($BK805,Programma!$F$3:$X$1101,19,0),"")</f>
        <v/>
      </c>
      <c r="CD805" s="448" t="str">
        <f>_xlfn.IFNA(VLOOKUP($BK805,Programma!$F$3:$Y$1101,20,0),"")</f>
        <v/>
      </c>
    </row>
    <row r="806" spans="1:82" ht="15" customHeight="1">
      <c r="A806" s="327">
        <v>24</v>
      </c>
      <c r="B806" s="435" t="str">
        <f>VLOOKUP(Ruimtestaat[[#This Row],[Code]],Locaties[[Code]:[Locatie]],2,FALSE)</f>
        <v>IKC De Gaerde</v>
      </c>
      <c r="C806" s="435" t="str">
        <f>VLOOKUP(Ruimtestaat[[#This Row],[Code]],Locaties[[#All],[Code]:[Adres]],4,FALSE)</f>
        <v>Moerbeigaarde 58A</v>
      </c>
      <c r="D806" s="435" t="str">
        <f>VLOOKUP(Ruimtestaat[[#This Row],[Code]],Locaties[[#All],[Code]:[Postcode]],5,FALSE)</f>
        <v>2723 AG</v>
      </c>
      <c r="E806" s="435" t="str">
        <f>VLOOKUP(Ruimtestaat[[#This Row],[Code]],Locaties[#All],6,FALSE)</f>
        <v>Zoetermeer</v>
      </c>
      <c r="F806" s="450"/>
      <c r="G806" s="330" t="s">
        <v>1678</v>
      </c>
      <c r="H806" s="330" t="s">
        <v>1762</v>
      </c>
      <c r="I806" s="450" t="s">
        <v>1901</v>
      </c>
      <c r="J806" s="330">
        <v>11</v>
      </c>
      <c r="K806" s="450" t="str">
        <f>VLOOKUP(Ruimtestaat[[#This Row],[Ruimte code]],Ruimtegroepen[[#All],[Code]:[Ruimte omschrijving]],2,FALSE)</f>
        <v>Garderobes</v>
      </c>
      <c r="L806" s="330" t="s">
        <v>100</v>
      </c>
      <c r="M806" s="437" t="s">
        <v>2058</v>
      </c>
      <c r="N806" s="439">
        <v>1.4</v>
      </c>
      <c r="O806" s="439"/>
      <c r="P806" s="439"/>
      <c r="Q806" s="439"/>
      <c r="R806" s="440" t="str">
        <f>VLOOKUP(Ruimtestaat[[#This Row],[Ruimte code]],Ruimtegroepen[],4,FALSE)</f>
        <v>Ve</v>
      </c>
      <c r="S806" s="434">
        <v>40</v>
      </c>
      <c r="T806" s="434" t="s">
        <v>2</v>
      </c>
      <c r="U806" s="453">
        <f>IF(S806&gt;0,IF(RIGHT(Ruimtestaat[[#This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6" s="434">
        <f>IF(U806&gt;0,VLOOKUP($J806,Ruimtegroepen[],3,FALSE)*VLOOKUP($L806,Vloersoorten[],3,FALSE)*VLOOKUP($T806,Frequenties[],3,FALSE)*VLOOKUP($A806,Locaties[],3,FALSE),0)</f>
        <v>0</v>
      </c>
      <c r="W806" s="434">
        <f>Ruimtestaat[[#This Row],[Uitvoeringen werkdagen]]*Ruimtestaat[[#This Row],[Oppervlak (netto)]]</f>
        <v>280</v>
      </c>
      <c r="X806" s="441">
        <f>IF(V806&gt;0,Ruimtestaat[[#This Row],[Prest. (m2 /jaar) werkdagen]]/Ruimtestaat[[#This Row],[Norm (m2/uur) werkdagen]],0)</f>
        <v>0</v>
      </c>
      <c r="Y806" s="442">
        <f>Ruimtestaat[[#This Row],[Uitvoeringen werkdagen]]*Ruimtestaat[[#This Row],[Gedeeltelijk]]</f>
        <v>0</v>
      </c>
      <c r="Z806" s="443" t="e">
        <f>IF(U806&gt;0,Ruimtestaat[[#This Row],[Prest. (m2 / jaar) werkdagen gedeeld]]/Ruimtestaat[[#This Row],[Norm (m2/uur) werkdagen]],0)</f>
        <v>#DIV/0!</v>
      </c>
      <c r="AA806" s="441" t="e">
        <f>Ruimtestaat[[#This Row],[uren / jaar werkdagen gedeeld]]*Tariefsopbouw!$E$35</f>
        <v>#DIV/0!</v>
      </c>
      <c r="AB806" s="441">
        <f>Ruimtestaat[[#This Row],[Uitvoeringen werkdagen]]*Ruimtestaat[[#This Row],[BSO]]</f>
        <v>0</v>
      </c>
      <c r="AC806" s="443" t="e">
        <f>IF(U806&gt;0,Ruimtestaat[[#This Row],[Prest. (m2 / jaar) werkdagen BSO]]/Ruimtestaat[[#This Row],[Norm (m2/uur) werkdagen]],0)</f>
        <v>#DIV/0!</v>
      </c>
      <c r="AD806" s="443" t="e">
        <f>Ruimtestaat[[#This Row],[uren / jaar werkdagen BSO]]*Tariefsopbouw!$E$35</f>
        <v>#DIV/0!</v>
      </c>
      <c r="AE806" s="444">
        <f>Ruimtestaat[[#This Row],[uren / jaar werkdagen]]*Tariefsopbouw!$E$35</f>
        <v>0</v>
      </c>
      <c r="AF806" s="454"/>
      <c r="AG806" s="455">
        <f>IF(Ruimtestaat[[#This Row],[Frequentie weekend]]&gt;0,VALUE(LEFT(AF806,1))*S806,0)</f>
        <v>0</v>
      </c>
      <c r="AH806" s="455">
        <f>IF($AG806&gt;0,VLOOKUP($J806,Ruimtegroepen[],3,FALSE)*VLOOKUP($L806,Vloersoorten[],3,FALSE)*VLOOKUP($AF806,Frequenties[],3,FALSE)*VLOOKUP(#REF!,Locaties[],3,FALSE),0)</f>
        <v>0</v>
      </c>
      <c r="AI806" s="434">
        <f>Ruimtestaat[[#This Row],[Uitvoeringen weekend]]*Ruimtestaat[[#This Row],[Oppervlak (netto)]]</f>
        <v>0</v>
      </c>
      <c r="AJ806" s="434">
        <f>IF(AH806&gt;0,Ruimtestaat[[#This Row],[Prest. (m2 /jaar) weekend]]/Ruimtestaat[[#This Row],[Norm (m2/uur) weekend]],0)</f>
        <v>0</v>
      </c>
      <c r="AK806" s="444">
        <f>Ruimtestaat[[#This Row],[uren / jaar weekend]]*Tariefsopbouw!$D$40</f>
        <v>0</v>
      </c>
      <c r="AL806" s="441">
        <f>Ruimtestaat[[#This Row],[Prest. (m2 /jaar) weekend]]+Ruimtestaat[[#This Row],[Prest. (m2 /jaar) werkdagen]]</f>
        <v>280</v>
      </c>
      <c r="AM806" s="441">
        <f>Ruimtestaat[[#This Row],[uren / jaar weekend]]+Ruimtestaat[[#This Row],[uren / jaar werkdagen]]</f>
        <v>0</v>
      </c>
      <c r="AN806" s="446">
        <f>Ruimtestaat[[#This Row],[kosten / jaar weekend]]+Ruimtestaat[[#This Row],[kosten / jaar werkdagen]]</f>
        <v>0</v>
      </c>
      <c r="AO806" s="446"/>
      <c r="AP806" s="446" t="str">
        <f>IF(Ruimtestaat[[#This Row],[Frequentie werkdagen]]="","",_xlfn.CONCAT(Ruimtestaat[[#This Row],[Ruimte code]],"-",Ruimtestaat[[#This Row],[Frequentie werkdagen]]," ",Ruimtestaat[[#This Row],[Vloer code]]))</f>
        <v>11-5w L</v>
      </c>
      <c r="AQ806" s="448" t="str">
        <f>_xlfn.IFNA(VLOOKUP($AP806,Programma!$F$3:$G$1101,2,0),"")</f>
        <v>_</v>
      </c>
      <c r="AR806" s="448" t="str">
        <f>_xlfn.IFNA(VLOOKUP($AP806,Programma!$F$3:$H$1101,3,0),"")</f>
        <v>_</v>
      </c>
      <c r="AS806" s="448" t="str">
        <f>_xlfn.IFNA(VLOOKUP($AP806,Programma!$F$3:$I$1101,4,0),"")</f>
        <v>4w</v>
      </c>
      <c r="AT806" s="448" t="str">
        <f>_xlfn.IFNA(VLOOKUP($AP806,Programma!$F$3:$J$1101,5,0),"")</f>
        <v>1w</v>
      </c>
      <c r="AU806" s="448" t="str">
        <f>_xlfn.IFNA(VLOOKUP($AP806,Programma!$F$3:$K$1101,6,0),"")</f>
        <v>_</v>
      </c>
      <c r="AV806" s="448" t="str">
        <f>_xlfn.IFNA(VLOOKUP($AP806,Programma!$F$3:$L$1101,7,0),"")</f>
        <v>_</v>
      </c>
      <c r="AW806" s="448" t="str">
        <f>_xlfn.IFNA(VLOOKUP($AP806,Programma!$F$3:$M$1101,8,0),"")</f>
        <v>_</v>
      </c>
      <c r="AX806" s="448" t="str">
        <f>_xlfn.IFNA(VLOOKUP($AP806,Programma!$F$3:$N$1101,9,0),"")</f>
        <v>_</v>
      </c>
      <c r="AY806" s="448" t="str">
        <f>_xlfn.IFNA(VLOOKUP($AP806,Programma!$F$3:$O$1101,10,0),"")</f>
        <v>5w</v>
      </c>
      <c r="AZ806" s="448" t="str">
        <f>_xlfn.IFNA(VLOOKUP($AP806,Programma!$F$3:$P$1101,11,0),"")</f>
        <v>5w</v>
      </c>
      <c r="BA806" s="448" t="str">
        <f>_xlfn.IFNA(VLOOKUP($AP806,Programma!$F$3:$Q$1101,12,0),"")</f>
        <v>1w</v>
      </c>
      <c r="BB806" s="448" t="str">
        <f>_xlfn.IFNA(VLOOKUP($AP806,Programma!$F$3:$R$1101,13,0),"")</f>
        <v>1w</v>
      </c>
      <c r="BC806" s="448" t="str">
        <f>_xlfn.IFNA(VLOOKUP($AP806,Programma!$F$3:$S$1101,14,0),"")</f>
        <v>1m</v>
      </c>
      <c r="BD806" s="448" t="str">
        <f>_xlfn.IFNA(VLOOKUP($AP806,Programma!$F$3:$T$1101,15,0),"")</f>
        <v>2j</v>
      </c>
      <c r="BE806" s="448" t="str">
        <f>_xlfn.IFNA(VLOOKUP($AP806,Programma!$F$3:$U$1101,16,0),"")</f>
        <v>1j</v>
      </c>
      <c r="BF806" s="448" t="str">
        <f>_xlfn.IFNA(VLOOKUP($AP806,Programma!$F$3:$V$1101,17,0),"")</f>
        <v>_</v>
      </c>
      <c r="BG806" s="448" t="str">
        <f>_xlfn.IFNA(VLOOKUP($AP806,Programma!$F$3:$W$1101,18,0),"")</f>
        <v>_</v>
      </c>
      <c r="BH806" s="448" t="str">
        <f>_xlfn.IFNA(VLOOKUP($AP806,Programma!$F$3:$X$1101,19,0),"")</f>
        <v>_</v>
      </c>
      <c r="BI806" s="448" t="str">
        <f>_xlfn.IFNA(VLOOKUP($AP806,Programma!$F$3:$Y$1101,20,0),"")</f>
        <v>_</v>
      </c>
      <c r="BJ806" s="449"/>
      <c r="BK806" s="446" t="str">
        <f>IF(Ruimtestaat[[#This Row],[Frequentie weekend]]="","",_xlfn.CONCAT(Ruimtestaat[[#This Row],[Ruimte code]],"-",Ruimtestaat[[#This Row],[Frequentie weekend]]," ",Ruimtestaat[[#This Row],[Vloer code]]))</f>
        <v/>
      </c>
      <c r="BL806" s="448" t="str">
        <f>_xlfn.IFNA(VLOOKUP($BK806,Programma!$F$3:$G$1101,2,0),"")</f>
        <v/>
      </c>
      <c r="BM806" s="448" t="str">
        <f>_xlfn.IFNA(VLOOKUP($BK806,Programma!$F$3:$H$1101,3,0),"")</f>
        <v/>
      </c>
      <c r="BN806" s="448" t="str">
        <f>_xlfn.IFNA(VLOOKUP($BK806,Programma!$F$3:$I$1101,4,0),"")</f>
        <v/>
      </c>
      <c r="BO806" s="448" t="str">
        <f>_xlfn.IFNA(VLOOKUP($BK806,Programma!$F$3:$J$1101,5,0),"")</f>
        <v/>
      </c>
      <c r="BP806" s="448" t="str">
        <f>_xlfn.IFNA(VLOOKUP($BK806,Programma!$F$3:$K$1101,6,0),"")</f>
        <v/>
      </c>
      <c r="BQ806" s="448" t="str">
        <f>_xlfn.IFNA(VLOOKUP($BK806,Programma!$F$3:$L$1101,7,0),"")</f>
        <v/>
      </c>
      <c r="BR806" s="448" t="str">
        <f>_xlfn.IFNA(VLOOKUP($BK806,Programma!$F$3:$M$1101,8,0),"")</f>
        <v/>
      </c>
      <c r="BS806" s="448" t="str">
        <f>_xlfn.IFNA(VLOOKUP($BK806,Programma!$F$3:$N$1101,9,0),"")</f>
        <v/>
      </c>
      <c r="BT806" s="448" t="str">
        <f>_xlfn.IFNA(VLOOKUP($BK806,Programma!$F$3:$O$1101,10,0),"")</f>
        <v/>
      </c>
      <c r="BU806" s="448" t="str">
        <f>_xlfn.IFNA(VLOOKUP($BK806,Programma!$F$3:$P$1101,11,0),"")</f>
        <v/>
      </c>
      <c r="BV806" s="448" t="str">
        <f>_xlfn.IFNA(VLOOKUP($BK806,Programma!$F$3:$Q$1101,12,0),"")</f>
        <v/>
      </c>
      <c r="BW806" s="448" t="str">
        <f>_xlfn.IFNA(VLOOKUP($BK806,Programma!$F$3:$R$1101,13,0),"")</f>
        <v/>
      </c>
      <c r="BX806" s="448" t="str">
        <f>_xlfn.IFNA(VLOOKUP($BK806,Programma!$F$3:$S$1101,14,0),"")</f>
        <v/>
      </c>
      <c r="BY806" s="448" t="str">
        <f>_xlfn.IFNA(VLOOKUP($BK806,Programma!$F$3:$T$1101,15,0),"")</f>
        <v/>
      </c>
      <c r="BZ806" s="448" t="str">
        <f>_xlfn.IFNA(VLOOKUP($BK806,Programma!$F$3:$U$1101,16,0),"")</f>
        <v/>
      </c>
      <c r="CA806" s="448" t="str">
        <f>_xlfn.IFNA(VLOOKUP($BK806,Programma!$F$3:$V$1101,17,0),"")</f>
        <v/>
      </c>
      <c r="CB806" s="448" t="str">
        <f>_xlfn.IFNA(VLOOKUP($BK806,Programma!$F$3:$W$1101,18,0),"")</f>
        <v/>
      </c>
      <c r="CC806" s="448" t="str">
        <f>_xlfn.IFNA(VLOOKUP($BK806,Programma!$F$3:$X$1101,19,0),"")</f>
        <v/>
      </c>
      <c r="CD806" s="448" t="str">
        <f>_xlfn.IFNA(VLOOKUP($BK806,Programma!$F$3:$Y$1101,20,0),"")</f>
        <v/>
      </c>
    </row>
    <row r="807" spans="1:82" ht="15" customHeight="1">
      <c r="A807" s="327">
        <v>24</v>
      </c>
      <c r="B807" s="435" t="str">
        <f>VLOOKUP(Ruimtestaat[[#This Row],[Code]],Locaties[[Code]:[Locatie]],2,FALSE)</f>
        <v>IKC De Gaerde</v>
      </c>
      <c r="C807" s="435" t="str">
        <f>VLOOKUP(Ruimtestaat[[#This Row],[Code]],Locaties[[#All],[Code]:[Adres]],4,FALSE)</f>
        <v>Moerbeigaarde 58A</v>
      </c>
      <c r="D807" s="435" t="str">
        <f>VLOOKUP(Ruimtestaat[[#This Row],[Code]],Locaties[[#All],[Code]:[Postcode]],5,FALSE)</f>
        <v>2723 AG</v>
      </c>
      <c r="E807" s="435" t="str">
        <f>VLOOKUP(Ruimtestaat[[#This Row],[Code]],Locaties[#All],6,FALSE)</f>
        <v>Zoetermeer</v>
      </c>
      <c r="F807" s="450"/>
      <c r="G807" s="330" t="s">
        <v>1678</v>
      </c>
      <c r="H807" s="330" t="s">
        <v>1763</v>
      </c>
      <c r="I807" s="450" t="s">
        <v>1914</v>
      </c>
      <c r="J807" s="330">
        <v>1</v>
      </c>
      <c r="K807" s="450" t="str">
        <f>VLOOKUP(Ruimtestaat[[#This Row],[Ruimte code]],Ruimtegroepen[[#All],[Code]:[Ruimte omschrijving]],2,FALSE)</f>
        <v>Magazijnen/bergingen</v>
      </c>
      <c r="L807" s="330" t="s">
        <v>100</v>
      </c>
      <c r="M807" s="437" t="s">
        <v>2058</v>
      </c>
      <c r="N807" s="439">
        <v>1.8</v>
      </c>
      <c r="O807" s="439"/>
      <c r="P807" s="439"/>
      <c r="Q807" s="439"/>
      <c r="R807" s="440" t="str">
        <f>VLOOKUP(Ruimtestaat[[#This Row],[Ruimte code]],Ruimtegroepen[],4,FALSE)</f>
        <v>Ve</v>
      </c>
      <c r="S807" s="434">
        <v>40</v>
      </c>
      <c r="T807" s="434" t="s">
        <v>16</v>
      </c>
      <c r="U807" s="453">
        <f>IF(S807&gt;0,IF(RIGHT(Ruimtestaat[[#This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07" s="434">
        <f>IF(U807&gt;0,VLOOKUP($J807,Ruimtegroepen[],3,FALSE)*VLOOKUP($L807,Vloersoorten[],3,FALSE)*VLOOKUP($T807,Frequenties[],3,FALSE)*VLOOKUP($A807,Locaties[],3,FALSE),0)</f>
        <v>0</v>
      </c>
      <c r="W807" s="434">
        <f>Ruimtestaat[[#This Row],[Uitvoeringen werkdagen]]*Ruimtestaat[[#This Row],[Oppervlak (netto)]]</f>
        <v>21.6</v>
      </c>
      <c r="X807" s="441">
        <f>IF(V807&gt;0,Ruimtestaat[[#This Row],[Prest. (m2 /jaar) werkdagen]]/Ruimtestaat[[#This Row],[Norm (m2/uur) werkdagen]],0)</f>
        <v>0</v>
      </c>
      <c r="Y807" s="442">
        <f>Ruimtestaat[[#This Row],[Uitvoeringen werkdagen]]*Ruimtestaat[[#This Row],[Gedeeltelijk]]</f>
        <v>0</v>
      </c>
      <c r="Z807" s="443" t="e">
        <f>IF(U807&gt;0,Ruimtestaat[[#This Row],[Prest. (m2 / jaar) werkdagen gedeeld]]/Ruimtestaat[[#This Row],[Norm (m2/uur) werkdagen]],0)</f>
        <v>#DIV/0!</v>
      </c>
      <c r="AA807" s="441" t="e">
        <f>Ruimtestaat[[#This Row],[uren / jaar werkdagen gedeeld]]*Tariefsopbouw!$E$35</f>
        <v>#DIV/0!</v>
      </c>
      <c r="AB807" s="441">
        <f>Ruimtestaat[[#This Row],[Uitvoeringen werkdagen]]*Ruimtestaat[[#This Row],[BSO]]</f>
        <v>0</v>
      </c>
      <c r="AC807" s="443" t="e">
        <f>IF(U807&gt;0,Ruimtestaat[[#This Row],[Prest. (m2 / jaar) werkdagen BSO]]/Ruimtestaat[[#This Row],[Norm (m2/uur) werkdagen]],0)</f>
        <v>#DIV/0!</v>
      </c>
      <c r="AD807" s="443" t="e">
        <f>Ruimtestaat[[#This Row],[uren / jaar werkdagen BSO]]*Tariefsopbouw!$E$35</f>
        <v>#DIV/0!</v>
      </c>
      <c r="AE807" s="444">
        <f>Ruimtestaat[[#This Row],[uren / jaar werkdagen]]*Tariefsopbouw!$E$35</f>
        <v>0</v>
      </c>
      <c r="AF807" s="454"/>
      <c r="AG807" s="455">
        <f>IF(Ruimtestaat[[#This Row],[Frequentie weekend]]&gt;0,VALUE(LEFT(AF807,1))*S807,0)</f>
        <v>0</v>
      </c>
      <c r="AH807" s="455">
        <f>IF($AG807&gt;0,VLOOKUP($J807,Ruimtegroepen[],3,FALSE)*VLOOKUP($L807,Vloersoorten[],3,FALSE)*VLOOKUP($AF807,Frequenties[],3,FALSE)*VLOOKUP(#REF!,Locaties[],3,FALSE),0)</f>
        <v>0</v>
      </c>
      <c r="AI807" s="434">
        <f>Ruimtestaat[[#This Row],[Uitvoeringen weekend]]*Ruimtestaat[[#This Row],[Oppervlak (netto)]]</f>
        <v>0</v>
      </c>
      <c r="AJ807" s="434">
        <f>IF(AH807&gt;0,Ruimtestaat[[#This Row],[Prest. (m2 /jaar) weekend]]/Ruimtestaat[[#This Row],[Norm (m2/uur) weekend]],0)</f>
        <v>0</v>
      </c>
      <c r="AK807" s="444">
        <f>Ruimtestaat[[#This Row],[uren / jaar weekend]]*Tariefsopbouw!$D$40</f>
        <v>0</v>
      </c>
      <c r="AL807" s="441">
        <f>Ruimtestaat[[#This Row],[Prest. (m2 /jaar) weekend]]+Ruimtestaat[[#This Row],[Prest. (m2 /jaar) werkdagen]]</f>
        <v>21.6</v>
      </c>
      <c r="AM807" s="441">
        <f>Ruimtestaat[[#This Row],[uren / jaar weekend]]+Ruimtestaat[[#This Row],[uren / jaar werkdagen]]</f>
        <v>0</v>
      </c>
      <c r="AN807" s="446">
        <f>Ruimtestaat[[#This Row],[kosten / jaar weekend]]+Ruimtestaat[[#This Row],[kosten / jaar werkdagen]]</f>
        <v>0</v>
      </c>
      <c r="AO807" s="446"/>
      <c r="AP807" s="446" t="str">
        <f>IF(Ruimtestaat[[#This Row],[Frequentie werkdagen]]="","",_xlfn.CONCAT(Ruimtestaat[[#This Row],[Ruimte code]],"-",Ruimtestaat[[#This Row],[Frequentie werkdagen]]," ",Ruimtestaat[[#This Row],[Vloer code]]))</f>
        <v>1-1m L</v>
      </c>
      <c r="AQ807" s="448" t="str">
        <f>_xlfn.IFNA(VLOOKUP($AP807,Programma!$F$3:$G$1101,2,0),"")</f>
        <v>_</v>
      </c>
      <c r="AR807" s="448" t="str">
        <f>_xlfn.IFNA(VLOOKUP($AP807,Programma!$F$3:$H$1101,3,0),"")</f>
        <v>_</v>
      </c>
      <c r="AS807" s="448" t="str">
        <f>_xlfn.IFNA(VLOOKUP($AP807,Programma!$F$3:$I$1101,4,0),"")</f>
        <v>1m</v>
      </c>
      <c r="AT807" s="448" t="str">
        <f>_xlfn.IFNA(VLOOKUP($AP807,Programma!$F$3:$J$1101,5,0),"")</f>
        <v>1m</v>
      </c>
      <c r="AU807" s="448" t="str">
        <f>_xlfn.IFNA(VLOOKUP($AP807,Programma!$F$3:$K$1101,6,0),"")</f>
        <v>_</v>
      </c>
      <c r="AV807" s="448" t="str">
        <f>_xlfn.IFNA(VLOOKUP($AP807,Programma!$F$3:$L$1101,7,0),"")</f>
        <v>_</v>
      </c>
      <c r="AW807" s="448" t="str">
        <f>_xlfn.IFNA(VLOOKUP($AP807,Programma!$F$3:$M$1101,8,0),"")</f>
        <v>_</v>
      </c>
      <c r="AX807" s="448" t="str">
        <f>_xlfn.IFNA(VLOOKUP($AP807,Programma!$F$3:$N$1101,9,0),"")</f>
        <v>_</v>
      </c>
      <c r="AY807" s="448" t="str">
        <f>_xlfn.IFNA(VLOOKUP($AP807,Programma!$F$3:$O$1101,10,0),"")</f>
        <v>_</v>
      </c>
      <c r="AZ807" s="448" t="str">
        <f>_xlfn.IFNA(VLOOKUP($AP807,Programma!$F$3:$P$1101,11,0),"")</f>
        <v>_</v>
      </c>
      <c r="BA807" s="448" t="str">
        <f>_xlfn.IFNA(VLOOKUP($AP807,Programma!$F$3:$Q$1101,12,0),"")</f>
        <v>_</v>
      </c>
      <c r="BB807" s="448" t="str">
        <f>_xlfn.IFNA(VLOOKUP($AP807,Programma!$F$3:$R$1101,13,0),"")</f>
        <v>_</v>
      </c>
      <c r="BC807" s="448" t="str">
        <f>_xlfn.IFNA(VLOOKUP($AP807,Programma!$F$3:$S$1101,14,0),"")</f>
        <v>1m</v>
      </c>
      <c r="BD807" s="448" t="str">
        <f>_xlfn.IFNA(VLOOKUP($AP807,Programma!$F$3:$T$1101,15,0),"")</f>
        <v>4j</v>
      </c>
      <c r="BE807" s="448" t="str">
        <f>_xlfn.IFNA(VLOOKUP($AP807,Programma!$F$3:$U$1101,16,0),"")</f>
        <v>4j</v>
      </c>
      <c r="BF807" s="448" t="str">
        <f>_xlfn.IFNA(VLOOKUP($AP807,Programma!$F$3:$V$1101,17,0),"")</f>
        <v>_</v>
      </c>
      <c r="BG807" s="448" t="str">
        <f>_xlfn.IFNA(VLOOKUP($AP807,Programma!$F$3:$W$1101,18,0),"")</f>
        <v>_</v>
      </c>
      <c r="BH807" s="448" t="str">
        <f>_xlfn.IFNA(VLOOKUP($AP807,Programma!$F$3:$X$1101,19,0),"")</f>
        <v>_</v>
      </c>
      <c r="BI807" s="448" t="str">
        <f>_xlfn.IFNA(VLOOKUP($AP807,Programma!$F$3:$Y$1101,20,0),"")</f>
        <v>_</v>
      </c>
      <c r="BJ807" s="449"/>
      <c r="BK807" s="446" t="str">
        <f>IF(Ruimtestaat[[#This Row],[Frequentie weekend]]="","",_xlfn.CONCAT(Ruimtestaat[[#This Row],[Ruimte code]],"-",Ruimtestaat[[#This Row],[Frequentie weekend]]," ",Ruimtestaat[[#This Row],[Vloer code]]))</f>
        <v/>
      </c>
      <c r="BL807" s="448" t="str">
        <f>_xlfn.IFNA(VLOOKUP($BK807,Programma!$F$3:$G$1101,2,0),"")</f>
        <v/>
      </c>
      <c r="BM807" s="448" t="str">
        <f>_xlfn.IFNA(VLOOKUP($BK807,Programma!$F$3:$H$1101,3,0),"")</f>
        <v/>
      </c>
      <c r="BN807" s="448" t="str">
        <f>_xlfn.IFNA(VLOOKUP($BK807,Programma!$F$3:$I$1101,4,0),"")</f>
        <v/>
      </c>
      <c r="BO807" s="448" t="str">
        <f>_xlfn.IFNA(VLOOKUP($BK807,Programma!$F$3:$J$1101,5,0),"")</f>
        <v/>
      </c>
      <c r="BP807" s="448" t="str">
        <f>_xlfn.IFNA(VLOOKUP($BK807,Programma!$F$3:$K$1101,6,0),"")</f>
        <v/>
      </c>
      <c r="BQ807" s="448" t="str">
        <f>_xlfn.IFNA(VLOOKUP($BK807,Programma!$F$3:$L$1101,7,0),"")</f>
        <v/>
      </c>
      <c r="BR807" s="448" t="str">
        <f>_xlfn.IFNA(VLOOKUP($BK807,Programma!$F$3:$M$1101,8,0),"")</f>
        <v/>
      </c>
      <c r="BS807" s="448" t="str">
        <f>_xlfn.IFNA(VLOOKUP($BK807,Programma!$F$3:$N$1101,9,0),"")</f>
        <v/>
      </c>
      <c r="BT807" s="448" t="str">
        <f>_xlfn.IFNA(VLOOKUP($BK807,Programma!$F$3:$O$1101,10,0),"")</f>
        <v/>
      </c>
      <c r="BU807" s="448" t="str">
        <f>_xlfn.IFNA(VLOOKUP($BK807,Programma!$F$3:$P$1101,11,0),"")</f>
        <v/>
      </c>
      <c r="BV807" s="448" t="str">
        <f>_xlfn.IFNA(VLOOKUP($BK807,Programma!$F$3:$Q$1101,12,0),"")</f>
        <v/>
      </c>
      <c r="BW807" s="448" t="str">
        <f>_xlfn.IFNA(VLOOKUP($BK807,Programma!$F$3:$R$1101,13,0),"")</f>
        <v/>
      </c>
      <c r="BX807" s="448" t="str">
        <f>_xlfn.IFNA(VLOOKUP($BK807,Programma!$F$3:$S$1101,14,0),"")</f>
        <v/>
      </c>
      <c r="BY807" s="448" t="str">
        <f>_xlfn.IFNA(VLOOKUP($BK807,Programma!$F$3:$T$1101,15,0),"")</f>
        <v/>
      </c>
      <c r="BZ807" s="448" t="str">
        <f>_xlfn.IFNA(VLOOKUP($BK807,Programma!$F$3:$U$1101,16,0),"")</f>
        <v/>
      </c>
      <c r="CA807" s="448" t="str">
        <f>_xlfn.IFNA(VLOOKUP($BK807,Programma!$F$3:$V$1101,17,0),"")</f>
        <v/>
      </c>
      <c r="CB807" s="448" t="str">
        <f>_xlfn.IFNA(VLOOKUP($BK807,Programma!$F$3:$W$1101,18,0),"")</f>
        <v/>
      </c>
      <c r="CC807" s="448" t="str">
        <f>_xlfn.IFNA(VLOOKUP($BK807,Programma!$F$3:$X$1101,19,0),"")</f>
        <v/>
      </c>
      <c r="CD807" s="448" t="str">
        <f>_xlfn.IFNA(VLOOKUP($BK807,Programma!$F$3:$Y$1101,20,0),"")</f>
        <v/>
      </c>
    </row>
    <row r="808" spans="1:82" ht="15" customHeight="1">
      <c r="A808" s="327">
        <v>24</v>
      </c>
      <c r="B808" s="435" t="str">
        <f>VLOOKUP(Ruimtestaat[[#This Row],[Code]],Locaties[[Code]:[Locatie]],2,FALSE)</f>
        <v>IKC De Gaerde</v>
      </c>
      <c r="C808" s="435" t="str">
        <f>VLOOKUP(Ruimtestaat[[#This Row],[Code]],Locaties[[#All],[Code]:[Adres]],4,FALSE)</f>
        <v>Moerbeigaarde 58A</v>
      </c>
      <c r="D808" s="435" t="str">
        <f>VLOOKUP(Ruimtestaat[[#This Row],[Code]],Locaties[[#All],[Code]:[Postcode]],5,FALSE)</f>
        <v>2723 AG</v>
      </c>
      <c r="E808" s="435" t="str">
        <f>VLOOKUP(Ruimtestaat[[#This Row],[Code]],Locaties[#All],6,FALSE)</f>
        <v>Zoetermeer</v>
      </c>
      <c r="F808" s="450"/>
      <c r="G808" s="330" t="s">
        <v>1678</v>
      </c>
      <c r="H808" s="330" t="s">
        <v>1764</v>
      </c>
      <c r="I808" s="450" t="s">
        <v>1842</v>
      </c>
      <c r="J808" s="330">
        <v>16</v>
      </c>
      <c r="K808" s="450" t="str">
        <f>VLOOKUP(Ruimtestaat[[#This Row],[Ruimte code]],Ruimtegroepen[[#All],[Code]:[Ruimte omschrijving]],2,FALSE)</f>
        <v>Leslokalen</v>
      </c>
      <c r="L808" s="330" t="s">
        <v>100</v>
      </c>
      <c r="M808" s="437" t="s">
        <v>2058</v>
      </c>
      <c r="N808" s="439">
        <v>49.4</v>
      </c>
      <c r="O808" s="439"/>
      <c r="P808" s="439"/>
      <c r="Q808" s="439"/>
      <c r="R808" s="440" t="str">
        <f>VLOOKUP(Ruimtestaat[[#This Row],[Ruimte code]],Ruimtegroepen[],4,FALSE)</f>
        <v>Le</v>
      </c>
      <c r="S808" s="434">
        <v>40</v>
      </c>
      <c r="T808" s="434" t="s">
        <v>2</v>
      </c>
      <c r="U808" s="453">
        <f>IF(S808&gt;0,IF(RIGHT(Ruimtestaat[[#This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8" s="434">
        <f>IF(U808&gt;0,VLOOKUP($J808,Ruimtegroepen[],3,FALSE)*VLOOKUP($L808,Vloersoorten[],3,FALSE)*VLOOKUP($T808,Frequenties[],3,FALSE)*VLOOKUP($A808,Locaties[],3,FALSE),0)</f>
        <v>0</v>
      </c>
      <c r="W808" s="434">
        <f>Ruimtestaat[[#This Row],[Uitvoeringen werkdagen]]*Ruimtestaat[[#This Row],[Oppervlak (netto)]]</f>
        <v>9880</v>
      </c>
      <c r="X808" s="441">
        <f>IF(V808&gt;0,Ruimtestaat[[#This Row],[Prest. (m2 /jaar) werkdagen]]/Ruimtestaat[[#This Row],[Norm (m2/uur) werkdagen]],0)</f>
        <v>0</v>
      </c>
      <c r="Y808" s="442">
        <f>Ruimtestaat[[#This Row],[Uitvoeringen werkdagen]]*Ruimtestaat[[#This Row],[Gedeeltelijk]]</f>
        <v>0</v>
      </c>
      <c r="Z808" s="443" t="e">
        <f>IF(U808&gt;0,Ruimtestaat[[#This Row],[Prest. (m2 / jaar) werkdagen gedeeld]]/Ruimtestaat[[#This Row],[Norm (m2/uur) werkdagen]],0)</f>
        <v>#DIV/0!</v>
      </c>
      <c r="AA808" s="441" t="e">
        <f>Ruimtestaat[[#This Row],[uren / jaar werkdagen gedeeld]]*Tariefsopbouw!$E$35</f>
        <v>#DIV/0!</v>
      </c>
      <c r="AB808" s="441">
        <f>Ruimtestaat[[#This Row],[Uitvoeringen werkdagen]]*Ruimtestaat[[#This Row],[BSO]]</f>
        <v>0</v>
      </c>
      <c r="AC808" s="443" t="e">
        <f>IF(U808&gt;0,Ruimtestaat[[#This Row],[Prest. (m2 / jaar) werkdagen BSO]]/Ruimtestaat[[#This Row],[Norm (m2/uur) werkdagen]],0)</f>
        <v>#DIV/0!</v>
      </c>
      <c r="AD808" s="443" t="e">
        <f>Ruimtestaat[[#This Row],[uren / jaar werkdagen BSO]]*Tariefsopbouw!$E$35</f>
        <v>#DIV/0!</v>
      </c>
      <c r="AE808" s="444">
        <f>Ruimtestaat[[#This Row],[uren / jaar werkdagen]]*Tariefsopbouw!$E$35</f>
        <v>0</v>
      </c>
      <c r="AF808" s="454"/>
      <c r="AG808" s="455">
        <f>IF(Ruimtestaat[[#This Row],[Frequentie weekend]]&gt;0,VALUE(LEFT(AF808,1))*S808,0)</f>
        <v>0</v>
      </c>
      <c r="AH808" s="455">
        <f>IF($AG808&gt;0,VLOOKUP($J808,Ruimtegroepen[],3,FALSE)*VLOOKUP($L808,Vloersoorten[],3,FALSE)*VLOOKUP($AF808,Frequenties[],3,FALSE)*VLOOKUP(#REF!,Locaties[],3,FALSE),0)</f>
        <v>0</v>
      </c>
      <c r="AI808" s="434">
        <f>Ruimtestaat[[#This Row],[Uitvoeringen weekend]]*Ruimtestaat[[#This Row],[Oppervlak (netto)]]</f>
        <v>0</v>
      </c>
      <c r="AJ808" s="434">
        <f>IF(AH808&gt;0,Ruimtestaat[[#This Row],[Prest. (m2 /jaar) weekend]]/Ruimtestaat[[#This Row],[Norm (m2/uur) weekend]],0)</f>
        <v>0</v>
      </c>
      <c r="AK808" s="444">
        <f>Ruimtestaat[[#This Row],[uren / jaar weekend]]*Tariefsopbouw!$D$40</f>
        <v>0</v>
      </c>
      <c r="AL808" s="441">
        <f>Ruimtestaat[[#This Row],[Prest. (m2 /jaar) weekend]]+Ruimtestaat[[#This Row],[Prest. (m2 /jaar) werkdagen]]</f>
        <v>9880</v>
      </c>
      <c r="AM808" s="441">
        <f>Ruimtestaat[[#This Row],[uren / jaar weekend]]+Ruimtestaat[[#This Row],[uren / jaar werkdagen]]</f>
        <v>0</v>
      </c>
      <c r="AN808" s="446">
        <f>Ruimtestaat[[#This Row],[kosten / jaar weekend]]+Ruimtestaat[[#This Row],[kosten / jaar werkdagen]]</f>
        <v>0</v>
      </c>
      <c r="AO808" s="446"/>
      <c r="AP808" s="446" t="str">
        <f>IF(Ruimtestaat[[#This Row],[Frequentie werkdagen]]="","",_xlfn.CONCAT(Ruimtestaat[[#This Row],[Ruimte code]],"-",Ruimtestaat[[#This Row],[Frequentie werkdagen]]," ",Ruimtestaat[[#This Row],[Vloer code]]))</f>
        <v>16-5w L</v>
      </c>
      <c r="AQ808" s="448" t="str">
        <f>_xlfn.IFNA(VLOOKUP($AP808,Programma!$F$3:$G$1101,2,0),"")</f>
        <v>_</v>
      </c>
      <c r="AR808" s="448" t="str">
        <f>_xlfn.IFNA(VLOOKUP($AP808,Programma!$F$3:$H$1101,3,0),"")</f>
        <v>_</v>
      </c>
      <c r="AS808" s="448" t="str">
        <f>_xlfn.IFNA(VLOOKUP($AP808,Programma!$F$3:$I$1101,4,0),"")</f>
        <v>4w</v>
      </c>
      <c r="AT808" s="448" t="str">
        <f>_xlfn.IFNA(VLOOKUP($AP808,Programma!$F$3:$J$1101,5,0),"")</f>
        <v>1w</v>
      </c>
      <c r="AU808" s="448" t="str">
        <f>_xlfn.IFNA(VLOOKUP($AP808,Programma!$F$3:$K$1101,6,0),"")</f>
        <v>_</v>
      </c>
      <c r="AV808" s="448" t="str">
        <f>_xlfn.IFNA(VLOOKUP($AP808,Programma!$F$3:$L$1101,7,0),"")</f>
        <v>_</v>
      </c>
      <c r="AW808" s="448" t="str">
        <f>_xlfn.IFNA(VLOOKUP($AP808,Programma!$F$3:$M$1101,8,0),"")</f>
        <v>_</v>
      </c>
      <c r="AX808" s="448" t="str">
        <f>_xlfn.IFNA(VLOOKUP($AP808,Programma!$F$3:$N$1101,9,0),"")</f>
        <v>_</v>
      </c>
      <c r="AY808" s="448" t="str">
        <f>_xlfn.IFNA(VLOOKUP($AP808,Programma!$F$3:$O$1101,10,0),"")</f>
        <v>5w</v>
      </c>
      <c r="AZ808" s="448" t="str">
        <f>_xlfn.IFNA(VLOOKUP($AP808,Programma!$F$3:$P$1101,11,0),"")</f>
        <v>5w</v>
      </c>
      <c r="BA808" s="448" t="str">
        <f>_xlfn.IFNA(VLOOKUP($AP808,Programma!$F$3:$Q$1101,12,0),"")</f>
        <v>1w</v>
      </c>
      <c r="BB808" s="448" t="str">
        <f>_xlfn.IFNA(VLOOKUP($AP808,Programma!$F$3:$R$1101,13,0),"")</f>
        <v>1w</v>
      </c>
      <c r="BC808" s="448" t="str">
        <f>_xlfn.IFNA(VLOOKUP($AP808,Programma!$F$3:$S$1101,14,0),"")</f>
        <v>1m</v>
      </c>
      <c r="BD808" s="448" t="str">
        <f>_xlfn.IFNA(VLOOKUP($AP808,Programma!$F$3:$T$1101,15,0),"")</f>
        <v>2j</v>
      </c>
      <c r="BE808" s="448" t="str">
        <f>_xlfn.IFNA(VLOOKUP($AP808,Programma!$F$3:$U$1101,16,0),"")</f>
        <v>1j</v>
      </c>
      <c r="BF808" s="448" t="str">
        <f>_xlfn.IFNA(VLOOKUP($AP808,Programma!$F$3:$V$1101,17,0),"")</f>
        <v>_</v>
      </c>
      <c r="BG808" s="448" t="str">
        <f>_xlfn.IFNA(VLOOKUP($AP808,Programma!$F$3:$W$1101,18,0),"")</f>
        <v>_</v>
      </c>
      <c r="BH808" s="448" t="str">
        <f>_xlfn.IFNA(VLOOKUP($AP808,Programma!$F$3:$X$1101,19,0),"")</f>
        <v>_</v>
      </c>
      <c r="BI808" s="448" t="str">
        <f>_xlfn.IFNA(VLOOKUP($AP808,Programma!$F$3:$Y$1101,20,0),"")</f>
        <v>_</v>
      </c>
      <c r="BJ808" s="449"/>
      <c r="BK808" s="446" t="str">
        <f>IF(Ruimtestaat[[#This Row],[Frequentie weekend]]="","",_xlfn.CONCAT(Ruimtestaat[[#This Row],[Ruimte code]],"-",Ruimtestaat[[#This Row],[Frequentie weekend]]," ",Ruimtestaat[[#This Row],[Vloer code]]))</f>
        <v/>
      </c>
      <c r="BL808" s="448" t="str">
        <f>_xlfn.IFNA(VLOOKUP($BK808,Programma!$F$3:$G$1101,2,0),"")</f>
        <v/>
      </c>
      <c r="BM808" s="448" t="str">
        <f>_xlfn.IFNA(VLOOKUP($BK808,Programma!$F$3:$H$1101,3,0),"")</f>
        <v/>
      </c>
      <c r="BN808" s="448" t="str">
        <f>_xlfn.IFNA(VLOOKUP($BK808,Programma!$F$3:$I$1101,4,0),"")</f>
        <v/>
      </c>
      <c r="BO808" s="448" t="str">
        <f>_xlfn.IFNA(VLOOKUP($BK808,Programma!$F$3:$J$1101,5,0),"")</f>
        <v/>
      </c>
      <c r="BP808" s="448" t="str">
        <f>_xlfn.IFNA(VLOOKUP($BK808,Programma!$F$3:$K$1101,6,0),"")</f>
        <v/>
      </c>
      <c r="BQ808" s="448" t="str">
        <f>_xlfn.IFNA(VLOOKUP($BK808,Programma!$F$3:$L$1101,7,0),"")</f>
        <v/>
      </c>
      <c r="BR808" s="448" t="str">
        <f>_xlfn.IFNA(VLOOKUP($BK808,Programma!$F$3:$M$1101,8,0),"")</f>
        <v/>
      </c>
      <c r="BS808" s="448" t="str">
        <f>_xlfn.IFNA(VLOOKUP($BK808,Programma!$F$3:$N$1101,9,0),"")</f>
        <v/>
      </c>
      <c r="BT808" s="448" t="str">
        <f>_xlfn.IFNA(VLOOKUP($BK808,Programma!$F$3:$O$1101,10,0),"")</f>
        <v/>
      </c>
      <c r="BU808" s="448" t="str">
        <f>_xlfn.IFNA(VLOOKUP($BK808,Programma!$F$3:$P$1101,11,0),"")</f>
        <v/>
      </c>
      <c r="BV808" s="448" t="str">
        <f>_xlfn.IFNA(VLOOKUP($BK808,Programma!$F$3:$Q$1101,12,0),"")</f>
        <v/>
      </c>
      <c r="BW808" s="448" t="str">
        <f>_xlfn.IFNA(VLOOKUP($BK808,Programma!$F$3:$R$1101,13,0),"")</f>
        <v/>
      </c>
      <c r="BX808" s="448" t="str">
        <f>_xlfn.IFNA(VLOOKUP($BK808,Programma!$F$3:$S$1101,14,0),"")</f>
        <v/>
      </c>
      <c r="BY808" s="448" t="str">
        <f>_xlfn.IFNA(VLOOKUP($BK808,Programma!$F$3:$T$1101,15,0),"")</f>
        <v/>
      </c>
      <c r="BZ808" s="448" t="str">
        <f>_xlfn.IFNA(VLOOKUP($BK808,Programma!$F$3:$U$1101,16,0),"")</f>
        <v/>
      </c>
      <c r="CA808" s="448" t="str">
        <f>_xlfn.IFNA(VLOOKUP($BK808,Programma!$F$3:$V$1101,17,0),"")</f>
        <v/>
      </c>
      <c r="CB808" s="448" t="str">
        <f>_xlfn.IFNA(VLOOKUP($BK808,Programma!$F$3:$W$1101,18,0),"")</f>
        <v/>
      </c>
      <c r="CC808" s="448" t="str">
        <f>_xlfn.IFNA(VLOOKUP($BK808,Programma!$F$3:$X$1101,19,0),"")</f>
        <v/>
      </c>
      <c r="CD808" s="448" t="str">
        <f>_xlfn.IFNA(VLOOKUP($BK808,Programma!$F$3:$Y$1101,20,0),"")</f>
        <v/>
      </c>
    </row>
    <row r="809" spans="1:82" ht="15" customHeight="1">
      <c r="A809" s="327">
        <v>24</v>
      </c>
      <c r="B809" s="435" t="str">
        <f>VLOOKUP(Ruimtestaat[[#This Row],[Code]],Locaties[[Code]:[Locatie]],2,FALSE)</f>
        <v>IKC De Gaerde</v>
      </c>
      <c r="C809" s="435" t="str">
        <f>VLOOKUP(Ruimtestaat[[#This Row],[Code]],Locaties[[#All],[Code]:[Adres]],4,FALSE)</f>
        <v>Moerbeigaarde 58A</v>
      </c>
      <c r="D809" s="435" t="str">
        <f>VLOOKUP(Ruimtestaat[[#This Row],[Code]],Locaties[[#All],[Code]:[Postcode]],5,FALSE)</f>
        <v>2723 AG</v>
      </c>
      <c r="E809" s="435" t="str">
        <f>VLOOKUP(Ruimtestaat[[#This Row],[Code]],Locaties[#All],6,FALSE)</f>
        <v>Zoetermeer</v>
      </c>
      <c r="F809" s="450"/>
      <c r="G809" s="330" t="s">
        <v>1678</v>
      </c>
      <c r="H809" s="330" t="s">
        <v>1827</v>
      </c>
      <c r="I809" s="450" t="s">
        <v>2025</v>
      </c>
      <c r="J809" s="330">
        <v>9</v>
      </c>
      <c r="K809" s="450" t="str">
        <f>VLOOKUP(Ruimtestaat[[#This Row],[Ruimte code]],Ruimtegroepen[[#All],[Code]:[Ruimte omschrijving]],2,FALSE)</f>
        <v>Bibliotheek/OLC</v>
      </c>
      <c r="L809" s="330" t="s">
        <v>100</v>
      </c>
      <c r="M809" s="437" t="s">
        <v>2058</v>
      </c>
      <c r="N809" s="439">
        <v>15.4</v>
      </c>
      <c r="O809" s="439"/>
      <c r="P809" s="439"/>
      <c r="Q809" s="439"/>
      <c r="R809" s="440" t="str">
        <f>VLOOKUP(Ruimtestaat[[#This Row],[Ruimte code]],Ruimtegroepen[],4,FALSE)</f>
        <v>Le</v>
      </c>
      <c r="S809" s="434">
        <v>40</v>
      </c>
      <c r="T809" s="434" t="s">
        <v>2</v>
      </c>
      <c r="U809" s="453">
        <f>IF(S809&gt;0,IF(RIGHT(Ruimtestaat[[#This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9" s="434">
        <f>IF(U809&gt;0,VLOOKUP($J809,Ruimtegroepen[],3,FALSE)*VLOOKUP($L809,Vloersoorten[],3,FALSE)*VLOOKUP($T809,Frequenties[],3,FALSE)*VLOOKUP($A809,Locaties[],3,FALSE),0)</f>
        <v>0</v>
      </c>
      <c r="W809" s="434">
        <f>Ruimtestaat[[#This Row],[Uitvoeringen werkdagen]]*Ruimtestaat[[#This Row],[Oppervlak (netto)]]</f>
        <v>3080</v>
      </c>
      <c r="X809" s="441">
        <f>IF(V809&gt;0,Ruimtestaat[[#This Row],[Prest. (m2 /jaar) werkdagen]]/Ruimtestaat[[#This Row],[Norm (m2/uur) werkdagen]],0)</f>
        <v>0</v>
      </c>
      <c r="Y809" s="442">
        <f>Ruimtestaat[[#This Row],[Uitvoeringen werkdagen]]*Ruimtestaat[[#This Row],[Gedeeltelijk]]</f>
        <v>0</v>
      </c>
      <c r="Z809" s="443" t="e">
        <f>IF(U809&gt;0,Ruimtestaat[[#This Row],[Prest. (m2 / jaar) werkdagen gedeeld]]/Ruimtestaat[[#This Row],[Norm (m2/uur) werkdagen]],0)</f>
        <v>#DIV/0!</v>
      </c>
      <c r="AA809" s="441" t="e">
        <f>Ruimtestaat[[#This Row],[uren / jaar werkdagen gedeeld]]*Tariefsopbouw!$E$35</f>
        <v>#DIV/0!</v>
      </c>
      <c r="AB809" s="441">
        <f>Ruimtestaat[[#This Row],[Uitvoeringen werkdagen]]*Ruimtestaat[[#This Row],[BSO]]</f>
        <v>0</v>
      </c>
      <c r="AC809" s="443" t="e">
        <f>IF(U809&gt;0,Ruimtestaat[[#This Row],[Prest. (m2 / jaar) werkdagen BSO]]/Ruimtestaat[[#This Row],[Norm (m2/uur) werkdagen]],0)</f>
        <v>#DIV/0!</v>
      </c>
      <c r="AD809" s="443" t="e">
        <f>Ruimtestaat[[#This Row],[uren / jaar werkdagen BSO]]*Tariefsopbouw!$E$35</f>
        <v>#DIV/0!</v>
      </c>
      <c r="AE809" s="444">
        <f>Ruimtestaat[[#This Row],[uren / jaar werkdagen]]*Tariefsopbouw!$E$35</f>
        <v>0</v>
      </c>
      <c r="AF809" s="454"/>
      <c r="AG809" s="455">
        <f>IF(Ruimtestaat[[#This Row],[Frequentie weekend]]&gt;0,VALUE(LEFT(AF809,1))*S809,0)</f>
        <v>0</v>
      </c>
      <c r="AH809" s="455">
        <f>IF($AG809&gt;0,VLOOKUP($J809,Ruimtegroepen[],3,FALSE)*VLOOKUP($L809,Vloersoorten[],3,FALSE)*VLOOKUP($AF809,Frequenties[],3,FALSE)*VLOOKUP(#REF!,Locaties[],3,FALSE),0)</f>
        <v>0</v>
      </c>
      <c r="AI809" s="434">
        <f>Ruimtestaat[[#This Row],[Uitvoeringen weekend]]*Ruimtestaat[[#This Row],[Oppervlak (netto)]]</f>
        <v>0</v>
      </c>
      <c r="AJ809" s="434">
        <f>IF(AH809&gt;0,Ruimtestaat[[#This Row],[Prest. (m2 /jaar) weekend]]/Ruimtestaat[[#This Row],[Norm (m2/uur) weekend]],0)</f>
        <v>0</v>
      </c>
      <c r="AK809" s="444">
        <f>Ruimtestaat[[#This Row],[uren / jaar weekend]]*Tariefsopbouw!$D$40</f>
        <v>0</v>
      </c>
      <c r="AL809" s="441">
        <f>Ruimtestaat[[#This Row],[Prest. (m2 /jaar) weekend]]+Ruimtestaat[[#This Row],[Prest. (m2 /jaar) werkdagen]]</f>
        <v>3080</v>
      </c>
      <c r="AM809" s="441">
        <f>Ruimtestaat[[#This Row],[uren / jaar weekend]]+Ruimtestaat[[#This Row],[uren / jaar werkdagen]]</f>
        <v>0</v>
      </c>
      <c r="AN809" s="446">
        <f>Ruimtestaat[[#This Row],[kosten / jaar weekend]]+Ruimtestaat[[#This Row],[kosten / jaar werkdagen]]</f>
        <v>0</v>
      </c>
      <c r="AO809" s="446"/>
      <c r="AP809" s="446" t="str">
        <f>IF(Ruimtestaat[[#This Row],[Frequentie werkdagen]]="","",_xlfn.CONCAT(Ruimtestaat[[#This Row],[Ruimte code]],"-",Ruimtestaat[[#This Row],[Frequentie werkdagen]]," ",Ruimtestaat[[#This Row],[Vloer code]]))</f>
        <v>9-5w L</v>
      </c>
      <c r="AQ809" s="448" t="str">
        <f>_xlfn.IFNA(VLOOKUP($AP809,Programma!$F$3:$G$1101,2,0),"")</f>
        <v>_</v>
      </c>
      <c r="AR809" s="448" t="str">
        <f>_xlfn.IFNA(VLOOKUP($AP809,Programma!$F$3:$H$1101,3,0),"")</f>
        <v>_</v>
      </c>
      <c r="AS809" s="448" t="str">
        <f>_xlfn.IFNA(VLOOKUP($AP809,Programma!$F$3:$I$1101,4,0),"")</f>
        <v>4w</v>
      </c>
      <c r="AT809" s="448" t="str">
        <f>_xlfn.IFNA(VLOOKUP($AP809,Programma!$F$3:$J$1101,5,0),"")</f>
        <v>1w</v>
      </c>
      <c r="AU809" s="448" t="str">
        <f>_xlfn.IFNA(VLOOKUP($AP809,Programma!$F$3:$K$1101,6,0),"")</f>
        <v>_</v>
      </c>
      <c r="AV809" s="448" t="str">
        <f>_xlfn.IFNA(VLOOKUP($AP809,Programma!$F$3:$L$1101,7,0),"")</f>
        <v>_</v>
      </c>
      <c r="AW809" s="448" t="str">
        <f>_xlfn.IFNA(VLOOKUP($AP809,Programma!$F$3:$M$1101,8,0),"")</f>
        <v>_</v>
      </c>
      <c r="AX809" s="448" t="str">
        <f>_xlfn.IFNA(VLOOKUP($AP809,Programma!$F$3:$N$1101,9,0),"")</f>
        <v>_</v>
      </c>
      <c r="AY809" s="448" t="str">
        <f>_xlfn.IFNA(VLOOKUP($AP809,Programma!$F$3:$O$1101,10,0),"")</f>
        <v>5w</v>
      </c>
      <c r="AZ809" s="448" t="str">
        <f>_xlfn.IFNA(VLOOKUP($AP809,Programma!$F$3:$P$1101,11,0),"")</f>
        <v>5w</v>
      </c>
      <c r="BA809" s="448" t="str">
        <f>_xlfn.IFNA(VLOOKUP($AP809,Programma!$F$3:$Q$1101,12,0),"")</f>
        <v>1w</v>
      </c>
      <c r="BB809" s="448" t="str">
        <f>_xlfn.IFNA(VLOOKUP($AP809,Programma!$F$3:$R$1101,13,0),"")</f>
        <v>1w</v>
      </c>
      <c r="BC809" s="448" t="str">
        <f>_xlfn.IFNA(VLOOKUP($AP809,Programma!$F$3:$S$1101,14,0),"")</f>
        <v>1m</v>
      </c>
      <c r="BD809" s="448" t="str">
        <f>_xlfn.IFNA(VLOOKUP($AP809,Programma!$F$3:$T$1101,15,0),"")</f>
        <v>2j</v>
      </c>
      <c r="BE809" s="448" t="str">
        <f>_xlfn.IFNA(VLOOKUP($AP809,Programma!$F$3:$U$1101,16,0),"")</f>
        <v>1j</v>
      </c>
      <c r="BF809" s="448" t="str">
        <f>_xlfn.IFNA(VLOOKUP($AP809,Programma!$F$3:$V$1101,17,0),"")</f>
        <v>_</v>
      </c>
      <c r="BG809" s="448" t="str">
        <f>_xlfn.IFNA(VLOOKUP($AP809,Programma!$F$3:$W$1101,18,0),"")</f>
        <v>_</v>
      </c>
      <c r="BH809" s="448" t="str">
        <f>_xlfn.IFNA(VLOOKUP($AP809,Programma!$F$3:$X$1101,19,0),"")</f>
        <v>_</v>
      </c>
      <c r="BI809" s="448" t="str">
        <f>_xlfn.IFNA(VLOOKUP($AP809,Programma!$F$3:$Y$1101,20,0),"")</f>
        <v>_</v>
      </c>
      <c r="BJ809" s="449"/>
      <c r="BK809" s="446" t="str">
        <f>IF(Ruimtestaat[[#This Row],[Frequentie weekend]]="","",_xlfn.CONCAT(Ruimtestaat[[#This Row],[Ruimte code]],"-",Ruimtestaat[[#This Row],[Frequentie weekend]]," ",Ruimtestaat[[#This Row],[Vloer code]]))</f>
        <v/>
      </c>
      <c r="BL809" s="448" t="str">
        <f>_xlfn.IFNA(VLOOKUP($BK809,Programma!$F$3:$G$1101,2,0),"")</f>
        <v/>
      </c>
      <c r="BM809" s="448" t="str">
        <f>_xlfn.IFNA(VLOOKUP($BK809,Programma!$F$3:$H$1101,3,0),"")</f>
        <v/>
      </c>
      <c r="BN809" s="448" t="str">
        <f>_xlfn.IFNA(VLOOKUP($BK809,Programma!$F$3:$I$1101,4,0),"")</f>
        <v/>
      </c>
      <c r="BO809" s="448" t="str">
        <f>_xlfn.IFNA(VLOOKUP($BK809,Programma!$F$3:$J$1101,5,0),"")</f>
        <v/>
      </c>
      <c r="BP809" s="448" t="str">
        <f>_xlfn.IFNA(VLOOKUP($BK809,Programma!$F$3:$K$1101,6,0),"")</f>
        <v/>
      </c>
      <c r="BQ809" s="448" t="str">
        <f>_xlfn.IFNA(VLOOKUP($BK809,Programma!$F$3:$L$1101,7,0),"")</f>
        <v/>
      </c>
      <c r="BR809" s="448" t="str">
        <f>_xlfn.IFNA(VLOOKUP($BK809,Programma!$F$3:$M$1101,8,0),"")</f>
        <v/>
      </c>
      <c r="BS809" s="448" t="str">
        <f>_xlfn.IFNA(VLOOKUP($BK809,Programma!$F$3:$N$1101,9,0),"")</f>
        <v/>
      </c>
      <c r="BT809" s="448" t="str">
        <f>_xlfn.IFNA(VLOOKUP($BK809,Programma!$F$3:$O$1101,10,0),"")</f>
        <v/>
      </c>
      <c r="BU809" s="448" t="str">
        <f>_xlfn.IFNA(VLOOKUP($BK809,Programma!$F$3:$P$1101,11,0),"")</f>
        <v/>
      </c>
      <c r="BV809" s="448" t="str">
        <f>_xlfn.IFNA(VLOOKUP($BK809,Programma!$F$3:$Q$1101,12,0),"")</f>
        <v/>
      </c>
      <c r="BW809" s="448" t="str">
        <f>_xlfn.IFNA(VLOOKUP($BK809,Programma!$F$3:$R$1101,13,0),"")</f>
        <v/>
      </c>
      <c r="BX809" s="448" t="str">
        <f>_xlfn.IFNA(VLOOKUP($BK809,Programma!$F$3:$S$1101,14,0),"")</f>
        <v/>
      </c>
      <c r="BY809" s="448" t="str">
        <f>_xlfn.IFNA(VLOOKUP($BK809,Programma!$F$3:$T$1101,15,0),"")</f>
        <v/>
      </c>
      <c r="BZ809" s="448" t="str">
        <f>_xlfn.IFNA(VLOOKUP($BK809,Programma!$F$3:$U$1101,16,0),"")</f>
        <v/>
      </c>
      <c r="CA809" s="448" t="str">
        <f>_xlfn.IFNA(VLOOKUP($BK809,Programma!$F$3:$V$1101,17,0),"")</f>
        <v/>
      </c>
      <c r="CB809" s="448" t="str">
        <f>_xlfn.IFNA(VLOOKUP($BK809,Programma!$F$3:$W$1101,18,0),"")</f>
        <v/>
      </c>
      <c r="CC809" s="448" t="str">
        <f>_xlfn.IFNA(VLOOKUP($BK809,Programma!$F$3:$X$1101,19,0),"")</f>
        <v/>
      </c>
      <c r="CD809" s="448" t="str">
        <f>_xlfn.IFNA(VLOOKUP($BK809,Programma!$F$3:$Y$1101,20,0),"")</f>
        <v/>
      </c>
    </row>
    <row r="810" spans="1:82" ht="15" customHeight="1">
      <c r="A810" s="327">
        <v>24</v>
      </c>
      <c r="B810" s="435" t="str">
        <f>VLOOKUP(Ruimtestaat[[#This Row],[Code]],Locaties[[Code]:[Locatie]],2,FALSE)</f>
        <v>IKC De Gaerde</v>
      </c>
      <c r="C810" s="435" t="str">
        <f>VLOOKUP(Ruimtestaat[[#This Row],[Code]],Locaties[[#All],[Code]:[Adres]],4,FALSE)</f>
        <v>Moerbeigaarde 58A</v>
      </c>
      <c r="D810" s="435" t="str">
        <f>VLOOKUP(Ruimtestaat[[#This Row],[Code]],Locaties[[#All],[Code]:[Postcode]],5,FALSE)</f>
        <v>2723 AG</v>
      </c>
      <c r="E810" s="435" t="str">
        <f>VLOOKUP(Ruimtestaat[[#This Row],[Code]],Locaties[#All],6,FALSE)</f>
        <v>Zoetermeer</v>
      </c>
      <c r="F810" s="450"/>
      <c r="G810" s="330" t="s">
        <v>1678</v>
      </c>
      <c r="H810" s="330" t="s">
        <v>1828</v>
      </c>
      <c r="I810" s="450" t="s">
        <v>1901</v>
      </c>
      <c r="J810" s="330">
        <v>11</v>
      </c>
      <c r="K810" s="450" t="str">
        <f>VLOOKUP(Ruimtestaat[[#This Row],[Ruimte code]],Ruimtegroepen[[#All],[Code]:[Ruimte omschrijving]],2,FALSE)</f>
        <v>Garderobes</v>
      </c>
      <c r="L810" s="330" t="s">
        <v>100</v>
      </c>
      <c r="M810" s="437" t="s">
        <v>2058</v>
      </c>
      <c r="N810" s="439">
        <v>1.4</v>
      </c>
      <c r="O810" s="439"/>
      <c r="P810" s="439"/>
      <c r="Q810" s="439"/>
      <c r="R810" s="440" t="str">
        <f>VLOOKUP(Ruimtestaat[[#This Row],[Ruimte code]],Ruimtegroepen[],4,FALSE)</f>
        <v>Ve</v>
      </c>
      <c r="S810" s="434">
        <v>40</v>
      </c>
      <c r="T810" s="434" t="s">
        <v>2</v>
      </c>
      <c r="U810" s="453">
        <f>IF(S810&gt;0,IF(RIGHT(Ruimtestaat[[#This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0" s="434">
        <f>IF(U810&gt;0,VLOOKUP($J810,Ruimtegroepen[],3,FALSE)*VLOOKUP($L810,Vloersoorten[],3,FALSE)*VLOOKUP($T810,Frequenties[],3,FALSE)*VLOOKUP($A810,Locaties[],3,FALSE),0)</f>
        <v>0</v>
      </c>
      <c r="W810" s="434">
        <f>Ruimtestaat[[#This Row],[Uitvoeringen werkdagen]]*Ruimtestaat[[#This Row],[Oppervlak (netto)]]</f>
        <v>280</v>
      </c>
      <c r="X810" s="441">
        <f>IF(V810&gt;0,Ruimtestaat[[#This Row],[Prest. (m2 /jaar) werkdagen]]/Ruimtestaat[[#This Row],[Norm (m2/uur) werkdagen]],0)</f>
        <v>0</v>
      </c>
      <c r="Y810" s="442">
        <f>Ruimtestaat[[#This Row],[Uitvoeringen werkdagen]]*Ruimtestaat[[#This Row],[Gedeeltelijk]]</f>
        <v>0</v>
      </c>
      <c r="Z810" s="443" t="e">
        <f>IF(U810&gt;0,Ruimtestaat[[#This Row],[Prest. (m2 / jaar) werkdagen gedeeld]]/Ruimtestaat[[#This Row],[Norm (m2/uur) werkdagen]],0)</f>
        <v>#DIV/0!</v>
      </c>
      <c r="AA810" s="441" t="e">
        <f>Ruimtestaat[[#This Row],[uren / jaar werkdagen gedeeld]]*Tariefsopbouw!$E$35</f>
        <v>#DIV/0!</v>
      </c>
      <c r="AB810" s="441">
        <f>Ruimtestaat[[#This Row],[Uitvoeringen werkdagen]]*Ruimtestaat[[#This Row],[BSO]]</f>
        <v>0</v>
      </c>
      <c r="AC810" s="443" t="e">
        <f>IF(U810&gt;0,Ruimtestaat[[#This Row],[Prest. (m2 / jaar) werkdagen BSO]]/Ruimtestaat[[#This Row],[Norm (m2/uur) werkdagen]],0)</f>
        <v>#DIV/0!</v>
      </c>
      <c r="AD810" s="443" t="e">
        <f>Ruimtestaat[[#This Row],[uren / jaar werkdagen BSO]]*Tariefsopbouw!$E$35</f>
        <v>#DIV/0!</v>
      </c>
      <c r="AE810" s="444">
        <f>Ruimtestaat[[#This Row],[uren / jaar werkdagen]]*Tariefsopbouw!$E$35</f>
        <v>0</v>
      </c>
      <c r="AF810" s="454"/>
      <c r="AG810" s="455">
        <f>IF(Ruimtestaat[[#This Row],[Frequentie weekend]]&gt;0,VALUE(LEFT(AF810,1))*S810,0)</f>
        <v>0</v>
      </c>
      <c r="AH810" s="455">
        <f>IF($AG810&gt;0,VLOOKUP($J810,Ruimtegroepen[],3,FALSE)*VLOOKUP($L810,Vloersoorten[],3,FALSE)*VLOOKUP($AF810,Frequenties[],3,FALSE)*VLOOKUP(#REF!,Locaties[],3,FALSE),0)</f>
        <v>0</v>
      </c>
      <c r="AI810" s="434">
        <f>Ruimtestaat[[#This Row],[Uitvoeringen weekend]]*Ruimtestaat[[#This Row],[Oppervlak (netto)]]</f>
        <v>0</v>
      </c>
      <c r="AJ810" s="434">
        <f>IF(AH810&gt;0,Ruimtestaat[[#This Row],[Prest. (m2 /jaar) weekend]]/Ruimtestaat[[#This Row],[Norm (m2/uur) weekend]],0)</f>
        <v>0</v>
      </c>
      <c r="AK810" s="444">
        <f>Ruimtestaat[[#This Row],[uren / jaar weekend]]*Tariefsopbouw!$D$40</f>
        <v>0</v>
      </c>
      <c r="AL810" s="441">
        <f>Ruimtestaat[[#This Row],[Prest. (m2 /jaar) weekend]]+Ruimtestaat[[#This Row],[Prest. (m2 /jaar) werkdagen]]</f>
        <v>280</v>
      </c>
      <c r="AM810" s="441">
        <f>Ruimtestaat[[#This Row],[uren / jaar weekend]]+Ruimtestaat[[#This Row],[uren / jaar werkdagen]]</f>
        <v>0</v>
      </c>
      <c r="AN810" s="446">
        <f>Ruimtestaat[[#This Row],[kosten / jaar weekend]]+Ruimtestaat[[#This Row],[kosten / jaar werkdagen]]</f>
        <v>0</v>
      </c>
      <c r="AO810" s="446"/>
      <c r="AP810" s="446" t="str">
        <f>IF(Ruimtestaat[[#This Row],[Frequentie werkdagen]]="","",_xlfn.CONCAT(Ruimtestaat[[#This Row],[Ruimte code]],"-",Ruimtestaat[[#This Row],[Frequentie werkdagen]]," ",Ruimtestaat[[#This Row],[Vloer code]]))</f>
        <v>11-5w L</v>
      </c>
      <c r="AQ810" s="448" t="str">
        <f>_xlfn.IFNA(VLOOKUP($AP810,Programma!$F$3:$G$1101,2,0),"")</f>
        <v>_</v>
      </c>
      <c r="AR810" s="448" t="str">
        <f>_xlfn.IFNA(VLOOKUP($AP810,Programma!$F$3:$H$1101,3,0),"")</f>
        <v>_</v>
      </c>
      <c r="AS810" s="448" t="str">
        <f>_xlfn.IFNA(VLOOKUP($AP810,Programma!$F$3:$I$1101,4,0),"")</f>
        <v>4w</v>
      </c>
      <c r="AT810" s="448" t="str">
        <f>_xlfn.IFNA(VLOOKUP($AP810,Programma!$F$3:$J$1101,5,0),"")</f>
        <v>1w</v>
      </c>
      <c r="AU810" s="448" t="str">
        <f>_xlfn.IFNA(VLOOKUP($AP810,Programma!$F$3:$K$1101,6,0),"")</f>
        <v>_</v>
      </c>
      <c r="AV810" s="448" t="str">
        <f>_xlfn.IFNA(VLOOKUP($AP810,Programma!$F$3:$L$1101,7,0),"")</f>
        <v>_</v>
      </c>
      <c r="AW810" s="448" t="str">
        <f>_xlfn.IFNA(VLOOKUP($AP810,Programma!$F$3:$M$1101,8,0),"")</f>
        <v>_</v>
      </c>
      <c r="AX810" s="448" t="str">
        <f>_xlfn.IFNA(VLOOKUP($AP810,Programma!$F$3:$N$1101,9,0),"")</f>
        <v>_</v>
      </c>
      <c r="AY810" s="448" t="str">
        <f>_xlfn.IFNA(VLOOKUP($AP810,Programma!$F$3:$O$1101,10,0),"")</f>
        <v>5w</v>
      </c>
      <c r="AZ810" s="448" t="str">
        <f>_xlfn.IFNA(VLOOKUP($AP810,Programma!$F$3:$P$1101,11,0),"")</f>
        <v>5w</v>
      </c>
      <c r="BA810" s="448" t="str">
        <f>_xlfn.IFNA(VLOOKUP($AP810,Programma!$F$3:$Q$1101,12,0),"")</f>
        <v>1w</v>
      </c>
      <c r="BB810" s="448" t="str">
        <f>_xlfn.IFNA(VLOOKUP($AP810,Programma!$F$3:$R$1101,13,0),"")</f>
        <v>1w</v>
      </c>
      <c r="BC810" s="448" t="str">
        <f>_xlfn.IFNA(VLOOKUP($AP810,Programma!$F$3:$S$1101,14,0),"")</f>
        <v>1m</v>
      </c>
      <c r="BD810" s="448" t="str">
        <f>_xlfn.IFNA(VLOOKUP($AP810,Programma!$F$3:$T$1101,15,0),"")</f>
        <v>2j</v>
      </c>
      <c r="BE810" s="448" t="str">
        <f>_xlfn.IFNA(VLOOKUP($AP810,Programma!$F$3:$U$1101,16,0),"")</f>
        <v>1j</v>
      </c>
      <c r="BF810" s="448" t="str">
        <f>_xlfn.IFNA(VLOOKUP($AP810,Programma!$F$3:$V$1101,17,0),"")</f>
        <v>_</v>
      </c>
      <c r="BG810" s="448" t="str">
        <f>_xlfn.IFNA(VLOOKUP($AP810,Programma!$F$3:$W$1101,18,0),"")</f>
        <v>_</v>
      </c>
      <c r="BH810" s="448" t="str">
        <f>_xlfn.IFNA(VLOOKUP($AP810,Programma!$F$3:$X$1101,19,0),"")</f>
        <v>_</v>
      </c>
      <c r="BI810" s="448" t="str">
        <f>_xlfn.IFNA(VLOOKUP($AP810,Programma!$F$3:$Y$1101,20,0),"")</f>
        <v>_</v>
      </c>
      <c r="BJ810" s="449"/>
      <c r="BK810" s="446" t="str">
        <f>IF(Ruimtestaat[[#This Row],[Frequentie weekend]]="","",_xlfn.CONCAT(Ruimtestaat[[#This Row],[Ruimte code]],"-",Ruimtestaat[[#This Row],[Frequentie weekend]]," ",Ruimtestaat[[#This Row],[Vloer code]]))</f>
        <v/>
      </c>
      <c r="BL810" s="448" t="str">
        <f>_xlfn.IFNA(VLOOKUP($BK810,Programma!$F$3:$G$1101,2,0),"")</f>
        <v/>
      </c>
      <c r="BM810" s="448" t="str">
        <f>_xlfn.IFNA(VLOOKUP($BK810,Programma!$F$3:$H$1101,3,0),"")</f>
        <v/>
      </c>
      <c r="BN810" s="448" t="str">
        <f>_xlfn.IFNA(VLOOKUP($BK810,Programma!$F$3:$I$1101,4,0),"")</f>
        <v/>
      </c>
      <c r="BO810" s="448" t="str">
        <f>_xlfn.IFNA(VLOOKUP($BK810,Programma!$F$3:$J$1101,5,0),"")</f>
        <v/>
      </c>
      <c r="BP810" s="448" t="str">
        <f>_xlfn.IFNA(VLOOKUP($BK810,Programma!$F$3:$K$1101,6,0),"")</f>
        <v/>
      </c>
      <c r="BQ810" s="448" t="str">
        <f>_xlfn.IFNA(VLOOKUP($BK810,Programma!$F$3:$L$1101,7,0),"")</f>
        <v/>
      </c>
      <c r="BR810" s="448" t="str">
        <f>_xlfn.IFNA(VLOOKUP($BK810,Programma!$F$3:$M$1101,8,0),"")</f>
        <v/>
      </c>
      <c r="BS810" s="448" t="str">
        <f>_xlfn.IFNA(VLOOKUP($BK810,Programma!$F$3:$N$1101,9,0),"")</f>
        <v/>
      </c>
      <c r="BT810" s="448" t="str">
        <f>_xlfn.IFNA(VLOOKUP($BK810,Programma!$F$3:$O$1101,10,0),"")</f>
        <v/>
      </c>
      <c r="BU810" s="448" t="str">
        <f>_xlfn.IFNA(VLOOKUP($BK810,Programma!$F$3:$P$1101,11,0),"")</f>
        <v/>
      </c>
      <c r="BV810" s="448" t="str">
        <f>_xlfn.IFNA(VLOOKUP($BK810,Programma!$F$3:$Q$1101,12,0),"")</f>
        <v/>
      </c>
      <c r="BW810" s="448" t="str">
        <f>_xlfn.IFNA(VLOOKUP($BK810,Programma!$F$3:$R$1101,13,0),"")</f>
        <v/>
      </c>
      <c r="BX810" s="448" t="str">
        <f>_xlfn.IFNA(VLOOKUP($BK810,Programma!$F$3:$S$1101,14,0),"")</f>
        <v/>
      </c>
      <c r="BY810" s="448" t="str">
        <f>_xlfn.IFNA(VLOOKUP($BK810,Programma!$F$3:$T$1101,15,0),"")</f>
        <v/>
      </c>
      <c r="BZ810" s="448" t="str">
        <f>_xlfn.IFNA(VLOOKUP($BK810,Programma!$F$3:$U$1101,16,0),"")</f>
        <v/>
      </c>
      <c r="CA810" s="448" t="str">
        <f>_xlfn.IFNA(VLOOKUP($BK810,Programma!$F$3:$V$1101,17,0),"")</f>
        <v/>
      </c>
      <c r="CB810" s="448" t="str">
        <f>_xlfn.IFNA(VLOOKUP($BK810,Programma!$F$3:$W$1101,18,0),"")</f>
        <v/>
      </c>
      <c r="CC810" s="448" t="str">
        <f>_xlfn.IFNA(VLOOKUP($BK810,Programma!$F$3:$X$1101,19,0),"")</f>
        <v/>
      </c>
      <c r="CD810" s="448" t="str">
        <f>_xlfn.IFNA(VLOOKUP($BK810,Programma!$F$3:$Y$1101,20,0),"")</f>
        <v/>
      </c>
    </row>
    <row r="811" spans="1:82" ht="15" customHeight="1">
      <c r="A811" s="327">
        <v>24</v>
      </c>
      <c r="B811" s="435" t="str">
        <f>VLOOKUP(Ruimtestaat[[#This Row],[Code]],Locaties[[Code]:[Locatie]],2,FALSE)</f>
        <v>IKC De Gaerde</v>
      </c>
      <c r="C811" s="435" t="str">
        <f>VLOOKUP(Ruimtestaat[[#This Row],[Code]],Locaties[[#All],[Code]:[Adres]],4,FALSE)</f>
        <v>Moerbeigaarde 58A</v>
      </c>
      <c r="D811" s="435" t="str">
        <f>VLOOKUP(Ruimtestaat[[#This Row],[Code]],Locaties[[#All],[Code]:[Postcode]],5,FALSE)</f>
        <v>2723 AG</v>
      </c>
      <c r="E811" s="435" t="str">
        <f>VLOOKUP(Ruimtestaat[[#This Row],[Code]],Locaties[#All],6,FALSE)</f>
        <v>Zoetermeer</v>
      </c>
      <c r="F811" s="450"/>
      <c r="G811" s="330" t="s">
        <v>1678</v>
      </c>
      <c r="H811" s="330" t="s">
        <v>1829</v>
      </c>
      <c r="I811" s="450" t="s">
        <v>1914</v>
      </c>
      <c r="J811" s="330">
        <v>1</v>
      </c>
      <c r="K811" s="450" t="str">
        <f>VLOOKUP(Ruimtestaat[[#This Row],[Ruimte code]],Ruimtegroepen[[#All],[Code]:[Ruimte omschrijving]],2,FALSE)</f>
        <v>Magazijnen/bergingen</v>
      </c>
      <c r="L811" s="330" t="s">
        <v>100</v>
      </c>
      <c r="M811" s="437" t="s">
        <v>2058</v>
      </c>
      <c r="N811" s="439">
        <v>1.8</v>
      </c>
      <c r="O811" s="439"/>
      <c r="P811" s="439"/>
      <c r="Q811" s="439"/>
      <c r="R811" s="440" t="str">
        <f>VLOOKUP(Ruimtestaat[[#This Row],[Ruimte code]],Ruimtegroepen[],4,FALSE)</f>
        <v>Ve</v>
      </c>
      <c r="S811" s="434">
        <v>40</v>
      </c>
      <c r="T811" s="434" t="s">
        <v>16</v>
      </c>
      <c r="U811" s="453">
        <f>IF(S811&gt;0,IF(RIGHT(Ruimtestaat[[#This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11" s="434">
        <f>IF(U811&gt;0,VLOOKUP($J811,Ruimtegroepen[],3,FALSE)*VLOOKUP($L811,Vloersoorten[],3,FALSE)*VLOOKUP($T811,Frequenties[],3,FALSE)*VLOOKUP($A811,Locaties[],3,FALSE),0)</f>
        <v>0</v>
      </c>
      <c r="W811" s="434">
        <f>Ruimtestaat[[#This Row],[Uitvoeringen werkdagen]]*Ruimtestaat[[#This Row],[Oppervlak (netto)]]</f>
        <v>21.6</v>
      </c>
      <c r="X811" s="441">
        <f>IF(V811&gt;0,Ruimtestaat[[#This Row],[Prest. (m2 /jaar) werkdagen]]/Ruimtestaat[[#This Row],[Norm (m2/uur) werkdagen]],0)</f>
        <v>0</v>
      </c>
      <c r="Y811" s="442">
        <f>Ruimtestaat[[#This Row],[Uitvoeringen werkdagen]]*Ruimtestaat[[#This Row],[Gedeeltelijk]]</f>
        <v>0</v>
      </c>
      <c r="Z811" s="443" t="e">
        <f>IF(U811&gt;0,Ruimtestaat[[#This Row],[Prest. (m2 / jaar) werkdagen gedeeld]]/Ruimtestaat[[#This Row],[Norm (m2/uur) werkdagen]],0)</f>
        <v>#DIV/0!</v>
      </c>
      <c r="AA811" s="441" t="e">
        <f>Ruimtestaat[[#This Row],[uren / jaar werkdagen gedeeld]]*Tariefsopbouw!$E$35</f>
        <v>#DIV/0!</v>
      </c>
      <c r="AB811" s="441">
        <f>Ruimtestaat[[#This Row],[Uitvoeringen werkdagen]]*Ruimtestaat[[#This Row],[BSO]]</f>
        <v>0</v>
      </c>
      <c r="AC811" s="443" t="e">
        <f>IF(U811&gt;0,Ruimtestaat[[#This Row],[Prest. (m2 / jaar) werkdagen BSO]]/Ruimtestaat[[#This Row],[Norm (m2/uur) werkdagen]],0)</f>
        <v>#DIV/0!</v>
      </c>
      <c r="AD811" s="443" t="e">
        <f>Ruimtestaat[[#This Row],[uren / jaar werkdagen BSO]]*Tariefsopbouw!$E$35</f>
        <v>#DIV/0!</v>
      </c>
      <c r="AE811" s="444">
        <f>Ruimtestaat[[#This Row],[uren / jaar werkdagen]]*Tariefsopbouw!$E$35</f>
        <v>0</v>
      </c>
      <c r="AF811" s="454"/>
      <c r="AG811" s="455">
        <f>IF(Ruimtestaat[[#This Row],[Frequentie weekend]]&gt;0,VALUE(LEFT(AF811,1))*S811,0)</f>
        <v>0</v>
      </c>
      <c r="AH811" s="455">
        <f>IF($AG811&gt;0,VLOOKUP($J811,Ruimtegroepen[],3,FALSE)*VLOOKUP($L811,Vloersoorten[],3,FALSE)*VLOOKUP($AF811,Frequenties[],3,FALSE)*VLOOKUP(#REF!,Locaties[],3,FALSE),0)</f>
        <v>0</v>
      </c>
      <c r="AI811" s="434">
        <f>Ruimtestaat[[#This Row],[Uitvoeringen weekend]]*Ruimtestaat[[#This Row],[Oppervlak (netto)]]</f>
        <v>0</v>
      </c>
      <c r="AJ811" s="434">
        <f>IF(AH811&gt;0,Ruimtestaat[[#This Row],[Prest. (m2 /jaar) weekend]]/Ruimtestaat[[#This Row],[Norm (m2/uur) weekend]],0)</f>
        <v>0</v>
      </c>
      <c r="AK811" s="444">
        <f>Ruimtestaat[[#This Row],[uren / jaar weekend]]*Tariefsopbouw!$D$40</f>
        <v>0</v>
      </c>
      <c r="AL811" s="441">
        <f>Ruimtestaat[[#This Row],[Prest. (m2 /jaar) weekend]]+Ruimtestaat[[#This Row],[Prest. (m2 /jaar) werkdagen]]</f>
        <v>21.6</v>
      </c>
      <c r="AM811" s="441">
        <f>Ruimtestaat[[#This Row],[uren / jaar weekend]]+Ruimtestaat[[#This Row],[uren / jaar werkdagen]]</f>
        <v>0</v>
      </c>
      <c r="AN811" s="446">
        <f>Ruimtestaat[[#This Row],[kosten / jaar weekend]]+Ruimtestaat[[#This Row],[kosten / jaar werkdagen]]</f>
        <v>0</v>
      </c>
      <c r="AO811" s="446"/>
      <c r="AP811" s="446" t="str">
        <f>IF(Ruimtestaat[[#This Row],[Frequentie werkdagen]]="","",_xlfn.CONCAT(Ruimtestaat[[#This Row],[Ruimte code]],"-",Ruimtestaat[[#This Row],[Frequentie werkdagen]]," ",Ruimtestaat[[#This Row],[Vloer code]]))</f>
        <v>1-1m L</v>
      </c>
      <c r="AQ811" s="448" t="str">
        <f>_xlfn.IFNA(VLOOKUP($AP811,Programma!$F$3:$G$1101,2,0),"")</f>
        <v>_</v>
      </c>
      <c r="AR811" s="448" t="str">
        <f>_xlfn.IFNA(VLOOKUP($AP811,Programma!$F$3:$H$1101,3,0),"")</f>
        <v>_</v>
      </c>
      <c r="AS811" s="448" t="str">
        <f>_xlfn.IFNA(VLOOKUP($AP811,Programma!$F$3:$I$1101,4,0),"")</f>
        <v>1m</v>
      </c>
      <c r="AT811" s="448" t="str">
        <f>_xlfn.IFNA(VLOOKUP($AP811,Programma!$F$3:$J$1101,5,0),"")</f>
        <v>1m</v>
      </c>
      <c r="AU811" s="448" t="str">
        <f>_xlfn.IFNA(VLOOKUP($AP811,Programma!$F$3:$K$1101,6,0),"")</f>
        <v>_</v>
      </c>
      <c r="AV811" s="448" t="str">
        <f>_xlfn.IFNA(VLOOKUP($AP811,Programma!$F$3:$L$1101,7,0),"")</f>
        <v>_</v>
      </c>
      <c r="AW811" s="448" t="str">
        <f>_xlfn.IFNA(VLOOKUP($AP811,Programma!$F$3:$M$1101,8,0),"")</f>
        <v>_</v>
      </c>
      <c r="AX811" s="448" t="str">
        <f>_xlfn.IFNA(VLOOKUP($AP811,Programma!$F$3:$N$1101,9,0),"")</f>
        <v>_</v>
      </c>
      <c r="AY811" s="448" t="str">
        <f>_xlfn.IFNA(VLOOKUP($AP811,Programma!$F$3:$O$1101,10,0),"")</f>
        <v>_</v>
      </c>
      <c r="AZ811" s="448" t="str">
        <f>_xlfn.IFNA(VLOOKUP($AP811,Programma!$F$3:$P$1101,11,0),"")</f>
        <v>_</v>
      </c>
      <c r="BA811" s="448" t="str">
        <f>_xlfn.IFNA(VLOOKUP($AP811,Programma!$F$3:$Q$1101,12,0),"")</f>
        <v>_</v>
      </c>
      <c r="BB811" s="448" t="str">
        <f>_xlfn.IFNA(VLOOKUP($AP811,Programma!$F$3:$R$1101,13,0),"")</f>
        <v>_</v>
      </c>
      <c r="BC811" s="448" t="str">
        <f>_xlfn.IFNA(VLOOKUP($AP811,Programma!$F$3:$S$1101,14,0),"")</f>
        <v>1m</v>
      </c>
      <c r="BD811" s="448" t="str">
        <f>_xlfn.IFNA(VLOOKUP($AP811,Programma!$F$3:$T$1101,15,0),"")</f>
        <v>4j</v>
      </c>
      <c r="BE811" s="448" t="str">
        <f>_xlfn.IFNA(VLOOKUP($AP811,Programma!$F$3:$U$1101,16,0),"")</f>
        <v>4j</v>
      </c>
      <c r="BF811" s="448" t="str">
        <f>_xlfn.IFNA(VLOOKUP($AP811,Programma!$F$3:$V$1101,17,0),"")</f>
        <v>_</v>
      </c>
      <c r="BG811" s="448" t="str">
        <f>_xlfn.IFNA(VLOOKUP($AP811,Programma!$F$3:$W$1101,18,0),"")</f>
        <v>_</v>
      </c>
      <c r="BH811" s="448" t="str">
        <f>_xlfn.IFNA(VLOOKUP($AP811,Programma!$F$3:$X$1101,19,0),"")</f>
        <v>_</v>
      </c>
      <c r="BI811" s="448" t="str">
        <f>_xlfn.IFNA(VLOOKUP($AP811,Programma!$F$3:$Y$1101,20,0),"")</f>
        <v>_</v>
      </c>
      <c r="BJ811" s="449"/>
      <c r="BK811" s="446" t="str">
        <f>IF(Ruimtestaat[[#This Row],[Frequentie weekend]]="","",_xlfn.CONCAT(Ruimtestaat[[#This Row],[Ruimte code]],"-",Ruimtestaat[[#This Row],[Frequentie weekend]]," ",Ruimtestaat[[#This Row],[Vloer code]]))</f>
        <v/>
      </c>
      <c r="BL811" s="448" t="str">
        <f>_xlfn.IFNA(VLOOKUP($BK811,Programma!$F$3:$G$1101,2,0),"")</f>
        <v/>
      </c>
      <c r="BM811" s="448" t="str">
        <f>_xlfn.IFNA(VLOOKUP($BK811,Programma!$F$3:$H$1101,3,0),"")</f>
        <v/>
      </c>
      <c r="BN811" s="448" t="str">
        <f>_xlfn.IFNA(VLOOKUP($BK811,Programma!$F$3:$I$1101,4,0),"")</f>
        <v/>
      </c>
      <c r="BO811" s="448" t="str">
        <f>_xlfn.IFNA(VLOOKUP($BK811,Programma!$F$3:$J$1101,5,0),"")</f>
        <v/>
      </c>
      <c r="BP811" s="448" t="str">
        <f>_xlfn.IFNA(VLOOKUP($BK811,Programma!$F$3:$K$1101,6,0),"")</f>
        <v/>
      </c>
      <c r="BQ811" s="448" t="str">
        <f>_xlfn.IFNA(VLOOKUP($BK811,Programma!$F$3:$L$1101,7,0),"")</f>
        <v/>
      </c>
      <c r="BR811" s="448" t="str">
        <f>_xlfn.IFNA(VLOOKUP($BK811,Programma!$F$3:$M$1101,8,0),"")</f>
        <v/>
      </c>
      <c r="BS811" s="448" t="str">
        <f>_xlfn.IFNA(VLOOKUP($BK811,Programma!$F$3:$N$1101,9,0),"")</f>
        <v/>
      </c>
      <c r="BT811" s="448" t="str">
        <f>_xlfn.IFNA(VLOOKUP($BK811,Programma!$F$3:$O$1101,10,0),"")</f>
        <v/>
      </c>
      <c r="BU811" s="448" t="str">
        <f>_xlfn.IFNA(VLOOKUP($BK811,Programma!$F$3:$P$1101,11,0),"")</f>
        <v/>
      </c>
      <c r="BV811" s="448" t="str">
        <f>_xlfn.IFNA(VLOOKUP($BK811,Programma!$F$3:$Q$1101,12,0),"")</f>
        <v/>
      </c>
      <c r="BW811" s="448" t="str">
        <f>_xlfn.IFNA(VLOOKUP($BK811,Programma!$F$3:$R$1101,13,0),"")</f>
        <v/>
      </c>
      <c r="BX811" s="448" t="str">
        <f>_xlfn.IFNA(VLOOKUP($BK811,Programma!$F$3:$S$1101,14,0),"")</f>
        <v/>
      </c>
      <c r="BY811" s="448" t="str">
        <f>_xlfn.IFNA(VLOOKUP($BK811,Programma!$F$3:$T$1101,15,0),"")</f>
        <v/>
      </c>
      <c r="BZ811" s="448" t="str">
        <f>_xlfn.IFNA(VLOOKUP($BK811,Programma!$F$3:$U$1101,16,0),"")</f>
        <v/>
      </c>
      <c r="CA811" s="448" t="str">
        <f>_xlfn.IFNA(VLOOKUP($BK811,Programma!$F$3:$V$1101,17,0),"")</f>
        <v/>
      </c>
      <c r="CB811" s="448" t="str">
        <f>_xlfn.IFNA(VLOOKUP($BK811,Programma!$F$3:$W$1101,18,0),"")</f>
        <v/>
      </c>
      <c r="CC811" s="448" t="str">
        <f>_xlfn.IFNA(VLOOKUP($BK811,Programma!$F$3:$X$1101,19,0),"")</f>
        <v/>
      </c>
      <c r="CD811" s="448" t="str">
        <f>_xlfn.IFNA(VLOOKUP($BK811,Programma!$F$3:$Y$1101,20,0),"")</f>
        <v/>
      </c>
    </row>
    <row r="812" spans="1:82" ht="15" customHeight="1">
      <c r="A812" s="327">
        <v>24</v>
      </c>
      <c r="B812" s="435" t="str">
        <f>VLOOKUP(Ruimtestaat[[#This Row],[Code]],Locaties[[Code]:[Locatie]],2,FALSE)</f>
        <v>IKC De Gaerde</v>
      </c>
      <c r="C812" s="435" t="str">
        <f>VLOOKUP(Ruimtestaat[[#This Row],[Code]],Locaties[[#All],[Code]:[Adres]],4,FALSE)</f>
        <v>Moerbeigaarde 58A</v>
      </c>
      <c r="D812" s="435" t="str">
        <f>VLOOKUP(Ruimtestaat[[#This Row],[Code]],Locaties[[#All],[Code]:[Postcode]],5,FALSE)</f>
        <v>2723 AG</v>
      </c>
      <c r="E812" s="435" t="str">
        <f>VLOOKUP(Ruimtestaat[[#This Row],[Code]],Locaties[#All],6,FALSE)</f>
        <v>Zoetermeer</v>
      </c>
      <c r="F812" s="450"/>
      <c r="G812" s="330" t="s">
        <v>1678</v>
      </c>
      <c r="H812" s="330" t="s">
        <v>2026</v>
      </c>
      <c r="I812" s="450" t="s">
        <v>1720</v>
      </c>
      <c r="J812" s="330">
        <v>5</v>
      </c>
      <c r="K812" s="450" t="str">
        <f>VLOOKUP(Ruimtestaat[[#This Row],[Ruimte code]],Ruimtegroepen[[#All],[Code]:[Ruimte omschrijving]],2,FALSE)</f>
        <v>Sanitair</v>
      </c>
      <c r="L812" s="330" t="s">
        <v>101</v>
      </c>
      <c r="M812" s="437" t="s">
        <v>1816</v>
      </c>
      <c r="N812" s="439">
        <v>5.8</v>
      </c>
      <c r="O812" s="439"/>
      <c r="P812" s="439"/>
      <c r="Q812" s="439"/>
      <c r="R812" s="440" t="str">
        <f>VLOOKUP(Ruimtestaat[[#This Row],[Ruimte code]],Ruimtegroepen[],4,FALSE)</f>
        <v>Sa</v>
      </c>
      <c r="S812" s="434">
        <v>41</v>
      </c>
      <c r="T812" s="434" t="s">
        <v>2</v>
      </c>
      <c r="U812" s="453">
        <f>IF(S812&gt;0,IF(RIGHT(Ruimtestaat[[#This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12" s="434">
        <f>IF(U812&gt;0,VLOOKUP($J812,Ruimtegroepen[],3,FALSE)*VLOOKUP($L812,Vloersoorten[],3,FALSE)*VLOOKUP($T812,Frequenties[],3,FALSE)*VLOOKUP($A812,Locaties[],3,FALSE),0)</f>
        <v>0</v>
      </c>
      <c r="W812" s="434">
        <f>Ruimtestaat[[#This Row],[Uitvoeringen werkdagen]]*Ruimtestaat[[#This Row],[Oppervlak (netto)]]</f>
        <v>1189</v>
      </c>
      <c r="X812" s="441">
        <f>IF(V812&gt;0,Ruimtestaat[[#This Row],[Prest. (m2 /jaar) werkdagen]]/Ruimtestaat[[#This Row],[Norm (m2/uur) werkdagen]],0)</f>
        <v>0</v>
      </c>
      <c r="Y812" s="442">
        <f>Ruimtestaat[[#This Row],[Uitvoeringen werkdagen]]*Ruimtestaat[[#This Row],[Gedeeltelijk]]</f>
        <v>0</v>
      </c>
      <c r="Z812" s="443" t="e">
        <f>IF(U812&gt;0,Ruimtestaat[[#This Row],[Prest. (m2 / jaar) werkdagen gedeeld]]/Ruimtestaat[[#This Row],[Norm (m2/uur) werkdagen]],0)</f>
        <v>#DIV/0!</v>
      </c>
      <c r="AA812" s="441" t="e">
        <f>Ruimtestaat[[#This Row],[uren / jaar werkdagen gedeeld]]*Tariefsopbouw!$E$35</f>
        <v>#DIV/0!</v>
      </c>
      <c r="AB812" s="441">
        <f>Ruimtestaat[[#This Row],[Uitvoeringen werkdagen]]*Ruimtestaat[[#This Row],[BSO]]</f>
        <v>0</v>
      </c>
      <c r="AC812" s="443" t="e">
        <f>IF(U812&gt;0,Ruimtestaat[[#This Row],[Prest. (m2 / jaar) werkdagen BSO]]/Ruimtestaat[[#This Row],[Norm (m2/uur) werkdagen]],0)</f>
        <v>#DIV/0!</v>
      </c>
      <c r="AD812" s="443" t="e">
        <f>Ruimtestaat[[#This Row],[uren / jaar werkdagen BSO]]*Tariefsopbouw!$E$35</f>
        <v>#DIV/0!</v>
      </c>
      <c r="AE812" s="444">
        <f>Ruimtestaat[[#This Row],[uren / jaar werkdagen]]*Tariefsopbouw!$E$35</f>
        <v>0</v>
      </c>
      <c r="AF812" s="454"/>
      <c r="AG812" s="455">
        <f>IF(Ruimtestaat[[#This Row],[Frequentie weekend]]&gt;0,VALUE(LEFT(AF812,1))*S812,0)</f>
        <v>0</v>
      </c>
      <c r="AH812" s="455">
        <f>IF($AG812&gt;0,VLOOKUP($J812,Ruimtegroepen[],3,FALSE)*VLOOKUP($L812,Vloersoorten[],3,FALSE)*VLOOKUP($AF812,Frequenties[],3,FALSE)*VLOOKUP(#REF!,Locaties[],3,FALSE),0)</f>
        <v>0</v>
      </c>
      <c r="AI812" s="434">
        <f>Ruimtestaat[[#This Row],[Uitvoeringen weekend]]*Ruimtestaat[[#This Row],[Oppervlak (netto)]]</f>
        <v>0</v>
      </c>
      <c r="AJ812" s="434">
        <f>IF(AH812&gt;0,Ruimtestaat[[#This Row],[Prest. (m2 /jaar) weekend]]/Ruimtestaat[[#This Row],[Norm (m2/uur) weekend]],0)</f>
        <v>0</v>
      </c>
      <c r="AK812" s="444">
        <f>Ruimtestaat[[#This Row],[uren / jaar weekend]]*Tariefsopbouw!$D$40</f>
        <v>0</v>
      </c>
      <c r="AL812" s="441">
        <f>Ruimtestaat[[#This Row],[Prest. (m2 /jaar) weekend]]+Ruimtestaat[[#This Row],[Prest. (m2 /jaar) werkdagen]]</f>
        <v>1189</v>
      </c>
      <c r="AM812" s="441">
        <f>Ruimtestaat[[#This Row],[uren / jaar weekend]]+Ruimtestaat[[#This Row],[uren / jaar werkdagen]]</f>
        <v>0</v>
      </c>
      <c r="AN812" s="446">
        <f>Ruimtestaat[[#This Row],[kosten / jaar weekend]]+Ruimtestaat[[#This Row],[kosten / jaar werkdagen]]</f>
        <v>0</v>
      </c>
      <c r="AO812" s="446"/>
      <c r="AP812" s="446" t="str">
        <f>IF(Ruimtestaat[[#This Row],[Frequentie werkdagen]]="","",_xlfn.CONCAT(Ruimtestaat[[#This Row],[Ruimte code]],"-",Ruimtestaat[[#This Row],[Frequentie werkdagen]]," ",Ruimtestaat[[#This Row],[Vloer code]]))</f>
        <v>5-5w S</v>
      </c>
      <c r="AQ812" s="448" t="str">
        <f>_xlfn.IFNA(VLOOKUP($AP812,Programma!$F$3:$G$1101,2,0),"")</f>
        <v>_</v>
      </c>
      <c r="AR812" s="448" t="str">
        <f>_xlfn.IFNA(VLOOKUP($AP812,Programma!$F$3:$H$1101,3,0),"")</f>
        <v>_</v>
      </c>
      <c r="AS812" s="448" t="str">
        <f>_xlfn.IFNA(VLOOKUP($AP812,Programma!$F$3:$I$1101,4,0),"")</f>
        <v>_</v>
      </c>
      <c r="AT812" s="448" t="str">
        <f>_xlfn.IFNA(VLOOKUP($AP812,Programma!$F$3:$J$1101,5,0),"")</f>
        <v>4w</v>
      </c>
      <c r="AU812" s="448" t="str">
        <f>_xlfn.IFNA(VLOOKUP($AP812,Programma!$F$3:$K$1101,6,0),"")</f>
        <v>1w</v>
      </c>
      <c r="AV812" s="448" t="str">
        <f>_xlfn.IFNA(VLOOKUP($AP812,Programma!$F$3:$L$1101,7,0),"")</f>
        <v>_</v>
      </c>
      <c r="AW812" s="448" t="str">
        <f>_xlfn.IFNA(VLOOKUP($AP812,Programma!$F$3:$M$1101,8,0),"")</f>
        <v>_</v>
      </c>
      <c r="AX812" s="448" t="str">
        <f>_xlfn.IFNA(VLOOKUP($AP812,Programma!$F$3:$N$1101,9,0),"")</f>
        <v>_</v>
      </c>
      <c r="AY812" s="448" t="str">
        <f>_xlfn.IFNA(VLOOKUP($AP812,Programma!$F$3:$O$1101,10,0),"")</f>
        <v>_</v>
      </c>
      <c r="AZ812" s="448" t="str">
        <f>_xlfn.IFNA(VLOOKUP($AP812,Programma!$F$3:$P$1101,11,0),"")</f>
        <v>_</v>
      </c>
      <c r="BA812" s="448" t="str">
        <f>_xlfn.IFNA(VLOOKUP($AP812,Programma!$F$3:$Q$1101,12,0),"")</f>
        <v>_</v>
      </c>
      <c r="BB812" s="448" t="str">
        <f>_xlfn.IFNA(VLOOKUP($AP812,Programma!$F$3:$R$1101,13,0),"")</f>
        <v>_</v>
      </c>
      <c r="BC812" s="448" t="str">
        <f>_xlfn.IFNA(VLOOKUP($AP812,Programma!$F$3:$S$1101,14,0),"")</f>
        <v>_</v>
      </c>
      <c r="BD812" s="448" t="str">
        <f>_xlfn.IFNA(VLOOKUP($AP812,Programma!$F$3:$T$1101,15,0),"")</f>
        <v>_</v>
      </c>
      <c r="BE812" s="448" t="str">
        <f>_xlfn.IFNA(VLOOKUP($AP812,Programma!$F$3:$U$1101,16,0),"")</f>
        <v>_</v>
      </c>
      <c r="BF812" s="448" t="str">
        <f>_xlfn.IFNA(VLOOKUP($AP812,Programma!$F$3:$V$1101,17,0),"")</f>
        <v>_</v>
      </c>
      <c r="BG812" s="448" t="str">
        <f>_xlfn.IFNA(VLOOKUP($AP812,Programma!$F$3:$W$1101,18,0),"")</f>
        <v>4w</v>
      </c>
      <c r="BH812" s="448" t="str">
        <f>_xlfn.IFNA(VLOOKUP($AP812,Programma!$F$3:$X$1101,19,0),"")</f>
        <v>1w</v>
      </c>
      <c r="BI812" s="448" t="str">
        <f>_xlfn.IFNA(VLOOKUP($AP812,Programma!$F$3:$Y$1101,20,0),"")</f>
        <v>_</v>
      </c>
      <c r="BJ812" s="449"/>
      <c r="BK812" s="446" t="str">
        <f>IF(Ruimtestaat[[#This Row],[Frequentie weekend]]="","",_xlfn.CONCAT(Ruimtestaat[[#This Row],[Ruimte code]],"-",Ruimtestaat[[#This Row],[Frequentie weekend]]," ",Ruimtestaat[[#This Row],[Vloer code]]))</f>
        <v/>
      </c>
      <c r="BL812" s="448" t="str">
        <f>_xlfn.IFNA(VLOOKUP($BK812,Programma!$F$3:$G$1101,2,0),"")</f>
        <v/>
      </c>
      <c r="BM812" s="448" t="str">
        <f>_xlfn.IFNA(VLOOKUP($BK812,Programma!$F$3:$H$1101,3,0),"")</f>
        <v/>
      </c>
      <c r="BN812" s="448" t="str">
        <f>_xlfn.IFNA(VLOOKUP($BK812,Programma!$F$3:$I$1101,4,0),"")</f>
        <v/>
      </c>
      <c r="BO812" s="448" t="str">
        <f>_xlfn.IFNA(VLOOKUP($BK812,Programma!$F$3:$J$1101,5,0),"")</f>
        <v/>
      </c>
      <c r="BP812" s="448" t="str">
        <f>_xlfn.IFNA(VLOOKUP($BK812,Programma!$F$3:$K$1101,6,0),"")</f>
        <v/>
      </c>
      <c r="BQ812" s="448" t="str">
        <f>_xlfn.IFNA(VLOOKUP($BK812,Programma!$F$3:$L$1101,7,0),"")</f>
        <v/>
      </c>
      <c r="BR812" s="448" t="str">
        <f>_xlfn.IFNA(VLOOKUP($BK812,Programma!$F$3:$M$1101,8,0),"")</f>
        <v/>
      </c>
      <c r="BS812" s="448" t="str">
        <f>_xlfn.IFNA(VLOOKUP($BK812,Programma!$F$3:$N$1101,9,0),"")</f>
        <v/>
      </c>
      <c r="BT812" s="448" t="str">
        <f>_xlfn.IFNA(VLOOKUP($BK812,Programma!$F$3:$O$1101,10,0),"")</f>
        <v/>
      </c>
      <c r="BU812" s="448" t="str">
        <f>_xlfn.IFNA(VLOOKUP($BK812,Programma!$F$3:$P$1101,11,0),"")</f>
        <v/>
      </c>
      <c r="BV812" s="448" t="str">
        <f>_xlfn.IFNA(VLOOKUP($BK812,Programma!$F$3:$Q$1101,12,0),"")</f>
        <v/>
      </c>
      <c r="BW812" s="448" t="str">
        <f>_xlfn.IFNA(VLOOKUP($BK812,Programma!$F$3:$R$1101,13,0),"")</f>
        <v/>
      </c>
      <c r="BX812" s="448" t="str">
        <f>_xlfn.IFNA(VLOOKUP($BK812,Programma!$F$3:$S$1101,14,0),"")</f>
        <v/>
      </c>
      <c r="BY812" s="448" t="str">
        <f>_xlfn.IFNA(VLOOKUP($BK812,Programma!$F$3:$T$1101,15,0),"")</f>
        <v/>
      </c>
      <c r="BZ812" s="448" t="str">
        <f>_xlfn.IFNA(VLOOKUP($BK812,Programma!$F$3:$U$1101,16,0),"")</f>
        <v/>
      </c>
      <c r="CA812" s="448" t="str">
        <f>_xlfn.IFNA(VLOOKUP($BK812,Programma!$F$3:$V$1101,17,0),"")</f>
        <v/>
      </c>
      <c r="CB812" s="448" t="str">
        <f>_xlfn.IFNA(VLOOKUP($BK812,Programma!$F$3:$W$1101,18,0),"")</f>
        <v/>
      </c>
      <c r="CC812" s="448" t="str">
        <f>_xlfn.IFNA(VLOOKUP($BK812,Programma!$F$3:$X$1101,19,0),"")</f>
        <v/>
      </c>
      <c r="CD812" s="448" t="str">
        <f>_xlfn.IFNA(VLOOKUP($BK812,Programma!$F$3:$Y$1101,20,0),"")</f>
        <v/>
      </c>
    </row>
    <row r="813" spans="1:82" ht="15" customHeight="1">
      <c r="A813" s="327">
        <v>24</v>
      </c>
      <c r="B813" s="435" t="str">
        <f>VLOOKUP(Ruimtestaat[[#This Row],[Code]],Locaties[[Code]:[Locatie]],2,FALSE)</f>
        <v>IKC De Gaerde</v>
      </c>
      <c r="C813" s="435" t="str">
        <f>VLOOKUP(Ruimtestaat[[#This Row],[Code]],Locaties[[#All],[Code]:[Adres]],4,FALSE)</f>
        <v>Moerbeigaarde 58A</v>
      </c>
      <c r="D813" s="435" t="str">
        <f>VLOOKUP(Ruimtestaat[[#This Row],[Code]],Locaties[[#All],[Code]:[Postcode]],5,FALSE)</f>
        <v>2723 AG</v>
      </c>
      <c r="E813" s="435" t="str">
        <f>VLOOKUP(Ruimtestaat[[#This Row],[Code]],Locaties[#All],6,FALSE)</f>
        <v>Zoetermeer</v>
      </c>
      <c r="F813" s="450"/>
      <c r="G813" s="330" t="s">
        <v>1678</v>
      </c>
      <c r="H813" s="330" t="s">
        <v>2027</v>
      </c>
      <c r="I813" s="450" t="s">
        <v>1720</v>
      </c>
      <c r="J813" s="330">
        <v>5</v>
      </c>
      <c r="K813" s="450" t="str">
        <f>VLOOKUP(Ruimtestaat[[#This Row],[Ruimte code]],Ruimtegroepen[[#All],[Code]:[Ruimte omschrijving]],2,FALSE)</f>
        <v>Sanitair</v>
      </c>
      <c r="L813" s="330" t="s">
        <v>101</v>
      </c>
      <c r="M813" s="437" t="s">
        <v>1816</v>
      </c>
      <c r="N813" s="439">
        <v>5.8</v>
      </c>
      <c r="O813" s="439"/>
      <c r="P813" s="439"/>
      <c r="Q813" s="439"/>
      <c r="R813" s="440" t="str">
        <f>VLOOKUP(Ruimtestaat[[#This Row],[Ruimte code]],Ruimtegroepen[],4,FALSE)</f>
        <v>Sa</v>
      </c>
      <c r="S813" s="434">
        <v>41</v>
      </c>
      <c r="T813" s="434" t="s">
        <v>2</v>
      </c>
      <c r="U813" s="453">
        <f>IF(S813&gt;0,IF(RIGHT(Ruimtestaat[[#This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13" s="434">
        <f>IF(U813&gt;0,VLOOKUP($J813,Ruimtegroepen[],3,FALSE)*VLOOKUP($L813,Vloersoorten[],3,FALSE)*VLOOKUP($T813,Frequenties[],3,FALSE)*VLOOKUP($A813,Locaties[],3,FALSE),0)</f>
        <v>0</v>
      </c>
      <c r="W813" s="434">
        <f>Ruimtestaat[[#This Row],[Uitvoeringen werkdagen]]*Ruimtestaat[[#This Row],[Oppervlak (netto)]]</f>
        <v>1189</v>
      </c>
      <c r="X813" s="441">
        <f>IF(V813&gt;0,Ruimtestaat[[#This Row],[Prest. (m2 /jaar) werkdagen]]/Ruimtestaat[[#This Row],[Norm (m2/uur) werkdagen]],0)</f>
        <v>0</v>
      </c>
      <c r="Y813" s="442">
        <f>Ruimtestaat[[#This Row],[Uitvoeringen werkdagen]]*Ruimtestaat[[#This Row],[Gedeeltelijk]]</f>
        <v>0</v>
      </c>
      <c r="Z813" s="443" t="e">
        <f>IF(U813&gt;0,Ruimtestaat[[#This Row],[Prest. (m2 / jaar) werkdagen gedeeld]]/Ruimtestaat[[#This Row],[Norm (m2/uur) werkdagen]],0)</f>
        <v>#DIV/0!</v>
      </c>
      <c r="AA813" s="441" t="e">
        <f>Ruimtestaat[[#This Row],[uren / jaar werkdagen gedeeld]]*Tariefsopbouw!$E$35</f>
        <v>#DIV/0!</v>
      </c>
      <c r="AB813" s="441">
        <f>Ruimtestaat[[#This Row],[Uitvoeringen werkdagen]]*Ruimtestaat[[#This Row],[BSO]]</f>
        <v>0</v>
      </c>
      <c r="AC813" s="443" t="e">
        <f>IF(U813&gt;0,Ruimtestaat[[#This Row],[Prest. (m2 / jaar) werkdagen BSO]]/Ruimtestaat[[#This Row],[Norm (m2/uur) werkdagen]],0)</f>
        <v>#DIV/0!</v>
      </c>
      <c r="AD813" s="443" t="e">
        <f>Ruimtestaat[[#This Row],[uren / jaar werkdagen BSO]]*Tariefsopbouw!$E$35</f>
        <v>#DIV/0!</v>
      </c>
      <c r="AE813" s="444">
        <f>Ruimtestaat[[#This Row],[uren / jaar werkdagen]]*Tariefsopbouw!$E$35</f>
        <v>0</v>
      </c>
      <c r="AF813" s="454"/>
      <c r="AG813" s="455">
        <f>IF(Ruimtestaat[[#This Row],[Frequentie weekend]]&gt;0,VALUE(LEFT(AF813,1))*S813,0)</f>
        <v>0</v>
      </c>
      <c r="AH813" s="455">
        <f>IF($AG813&gt;0,VLOOKUP($J813,Ruimtegroepen[],3,FALSE)*VLOOKUP($L813,Vloersoorten[],3,FALSE)*VLOOKUP($AF813,Frequenties[],3,FALSE)*VLOOKUP(#REF!,Locaties[],3,FALSE),0)</f>
        <v>0</v>
      </c>
      <c r="AI813" s="434">
        <f>Ruimtestaat[[#This Row],[Uitvoeringen weekend]]*Ruimtestaat[[#This Row],[Oppervlak (netto)]]</f>
        <v>0</v>
      </c>
      <c r="AJ813" s="434">
        <f>IF(AH813&gt;0,Ruimtestaat[[#This Row],[Prest. (m2 /jaar) weekend]]/Ruimtestaat[[#This Row],[Norm (m2/uur) weekend]],0)</f>
        <v>0</v>
      </c>
      <c r="AK813" s="444">
        <f>Ruimtestaat[[#This Row],[uren / jaar weekend]]*Tariefsopbouw!$D$40</f>
        <v>0</v>
      </c>
      <c r="AL813" s="441">
        <f>Ruimtestaat[[#This Row],[Prest. (m2 /jaar) weekend]]+Ruimtestaat[[#This Row],[Prest. (m2 /jaar) werkdagen]]</f>
        <v>1189</v>
      </c>
      <c r="AM813" s="441">
        <f>Ruimtestaat[[#This Row],[uren / jaar weekend]]+Ruimtestaat[[#This Row],[uren / jaar werkdagen]]</f>
        <v>0</v>
      </c>
      <c r="AN813" s="446">
        <f>Ruimtestaat[[#This Row],[kosten / jaar weekend]]+Ruimtestaat[[#This Row],[kosten / jaar werkdagen]]</f>
        <v>0</v>
      </c>
      <c r="AO813" s="446"/>
      <c r="AP813" s="446" t="str">
        <f>IF(Ruimtestaat[[#This Row],[Frequentie werkdagen]]="","",_xlfn.CONCAT(Ruimtestaat[[#This Row],[Ruimte code]],"-",Ruimtestaat[[#This Row],[Frequentie werkdagen]]," ",Ruimtestaat[[#This Row],[Vloer code]]))</f>
        <v>5-5w S</v>
      </c>
      <c r="AQ813" s="448" t="str">
        <f>_xlfn.IFNA(VLOOKUP($AP813,Programma!$F$3:$G$1101,2,0),"")</f>
        <v>_</v>
      </c>
      <c r="AR813" s="448" t="str">
        <f>_xlfn.IFNA(VLOOKUP($AP813,Programma!$F$3:$H$1101,3,0),"")</f>
        <v>_</v>
      </c>
      <c r="AS813" s="448" t="str">
        <f>_xlfn.IFNA(VLOOKUP($AP813,Programma!$F$3:$I$1101,4,0),"")</f>
        <v>_</v>
      </c>
      <c r="AT813" s="448" t="str">
        <f>_xlfn.IFNA(VLOOKUP($AP813,Programma!$F$3:$J$1101,5,0),"")</f>
        <v>4w</v>
      </c>
      <c r="AU813" s="448" t="str">
        <f>_xlfn.IFNA(VLOOKUP($AP813,Programma!$F$3:$K$1101,6,0),"")</f>
        <v>1w</v>
      </c>
      <c r="AV813" s="448" t="str">
        <f>_xlfn.IFNA(VLOOKUP($AP813,Programma!$F$3:$L$1101,7,0),"")</f>
        <v>_</v>
      </c>
      <c r="AW813" s="448" t="str">
        <f>_xlfn.IFNA(VLOOKUP($AP813,Programma!$F$3:$M$1101,8,0),"")</f>
        <v>_</v>
      </c>
      <c r="AX813" s="448" t="str">
        <f>_xlfn.IFNA(VLOOKUP($AP813,Programma!$F$3:$N$1101,9,0),"")</f>
        <v>_</v>
      </c>
      <c r="AY813" s="448" t="str">
        <f>_xlfn.IFNA(VLOOKUP($AP813,Programma!$F$3:$O$1101,10,0),"")</f>
        <v>_</v>
      </c>
      <c r="AZ813" s="448" t="str">
        <f>_xlfn.IFNA(VLOOKUP($AP813,Programma!$F$3:$P$1101,11,0),"")</f>
        <v>_</v>
      </c>
      <c r="BA813" s="448" t="str">
        <f>_xlfn.IFNA(VLOOKUP($AP813,Programma!$F$3:$Q$1101,12,0),"")</f>
        <v>_</v>
      </c>
      <c r="BB813" s="448" t="str">
        <f>_xlfn.IFNA(VLOOKUP($AP813,Programma!$F$3:$R$1101,13,0),"")</f>
        <v>_</v>
      </c>
      <c r="BC813" s="448" t="str">
        <f>_xlfn.IFNA(VLOOKUP($AP813,Programma!$F$3:$S$1101,14,0),"")</f>
        <v>_</v>
      </c>
      <c r="BD813" s="448" t="str">
        <f>_xlfn.IFNA(VLOOKUP($AP813,Programma!$F$3:$T$1101,15,0),"")</f>
        <v>_</v>
      </c>
      <c r="BE813" s="448" t="str">
        <f>_xlfn.IFNA(VLOOKUP($AP813,Programma!$F$3:$U$1101,16,0),"")</f>
        <v>_</v>
      </c>
      <c r="BF813" s="448" t="str">
        <f>_xlfn.IFNA(VLOOKUP($AP813,Programma!$F$3:$V$1101,17,0),"")</f>
        <v>_</v>
      </c>
      <c r="BG813" s="448" t="str">
        <f>_xlfn.IFNA(VLOOKUP($AP813,Programma!$F$3:$W$1101,18,0),"")</f>
        <v>4w</v>
      </c>
      <c r="BH813" s="448" t="str">
        <f>_xlfn.IFNA(VLOOKUP($AP813,Programma!$F$3:$X$1101,19,0),"")</f>
        <v>1w</v>
      </c>
      <c r="BI813" s="448" t="str">
        <f>_xlfn.IFNA(VLOOKUP($AP813,Programma!$F$3:$Y$1101,20,0),"")</f>
        <v>_</v>
      </c>
      <c r="BJ813" s="449"/>
      <c r="BK813" s="446" t="str">
        <f>IF(Ruimtestaat[[#This Row],[Frequentie weekend]]="","",_xlfn.CONCAT(Ruimtestaat[[#This Row],[Ruimte code]],"-",Ruimtestaat[[#This Row],[Frequentie weekend]]," ",Ruimtestaat[[#This Row],[Vloer code]]))</f>
        <v/>
      </c>
      <c r="BL813" s="448" t="str">
        <f>_xlfn.IFNA(VLOOKUP($BK813,Programma!$F$3:$G$1101,2,0),"")</f>
        <v/>
      </c>
      <c r="BM813" s="448" t="str">
        <f>_xlfn.IFNA(VLOOKUP($BK813,Programma!$F$3:$H$1101,3,0),"")</f>
        <v/>
      </c>
      <c r="BN813" s="448" t="str">
        <f>_xlfn.IFNA(VLOOKUP($BK813,Programma!$F$3:$I$1101,4,0),"")</f>
        <v/>
      </c>
      <c r="BO813" s="448" t="str">
        <f>_xlfn.IFNA(VLOOKUP($BK813,Programma!$F$3:$J$1101,5,0),"")</f>
        <v/>
      </c>
      <c r="BP813" s="448" t="str">
        <f>_xlfn.IFNA(VLOOKUP($BK813,Programma!$F$3:$K$1101,6,0),"")</f>
        <v/>
      </c>
      <c r="BQ813" s="448" t="str">
        <f>_xlfn.IFNA(VLOOKUP($BK813,Programma!$F$3:$L$1101,7,0),"")</f>
        <v/>
      </c>
      <c r="BR813" s="448" t="str">
        <f>_xlfn.IFNA(VLOOKUP($BK813,Programma!$F$3:$M$1101,8,0),"")</f>
        <v/>
      </c>
      <c r="BS813" s="448" t="str">
        <f>_xlfn.IFNA(VLOOKUP($BK813,Programma!$F$3:$N$1101,9,0),"")</f>
        <v/>
      </c>
      <c r="BT813" s="448" t="str">
        <f>_xlfn.IFNA(VLOOKUP($BK813,Programma!$F$3:$O$1101,10,0),"")</f>
        <v/>
      </c>
      <c r="BU813" s="448" t="str">
        <f>_xlfn.IFNA(VLOOKUP($BK813,Programma!$F$3:$P$1101,11,0),"")</f>
        <v/>
      </c>
      <c r="BV813" s="448" t="str">
        <f>_xlfn.IFNA(VLOOKUP($BK813,Programma!$F$3:$Q$1101,12,0),"")</f>
        <v/>
      </c>
      <c r="BW813" s="448" t="str">
        <f>_xlfn.IFNA(VLOOKUP($BK813,Programma!$F$3:$R$1101,13,0),"")</f>
        <v/>
      </c>
      <c r="BX813" s="448" t="str">
        <f>_xlfn.IFNA(VLOOKUP($BK813,Programma!$F$3:$S$1101,14,0),"")</f>
        <v/>
      </c>
      <c r="BY813" s="448" t="str">
        <f>_xlfn.IFNA(VLOOKUP($BK813,Programma!$F$3:$T$1101,15,0),"")</f>
        <v/>
      </c>
      <c r="BZ813" s="448" t="str">
        <f>_xlfn.IFNA(VLOOKUP($BK813,Programma!$F$3:$U$1101,16,0),"")</f>
        <v/>
      </c>
      <c r="CA813" s="448" t="str">
        <f>_xlfn.IFNA(VLOOKUP($BK813,Programma!$F$3:$V$1101,17,0),"")</f>
        <v/>
      </c>
      <c r="CB813" s="448" t="str">
        <f>_xlfn.IFNA(VLOOKUP($BK813,Programma!$F$3:$W$1101,18,0),"")</f>
        <v/>
      </c>
      <c r="CC813" s="448" t="str">
        <f>_xlfn.IFNA(VLOOKUP($BK813,Programma!$F$3:$X$1101,19,0),"")</f>
        <v/>
      </c>
      <c r="CD813" s="448" t="str">
        <f>_xlfn.IFNA(VLOOKUP($BK813,Programma!$F$3:$Y$1101,20,0),"")</f>
        <v/>
      </c>
    </row>
    <row r="814" spans="1:82" ht="15" customHeight="1">
      <c r="A814" s="327">
        <v>24</v>
      </c>
      <c r="B814" s="435" t="str">
        <f>VLOOKUP(Ruimtestaat[[#This Row],[Code]],Locaties[[Code]:[Locatie]],2,FALSE)</f>
        <v>IKC De Gaerde</v>
      </c>
      <c r="C814" s="435" t="str">
        <f>VLOOKUP(Ruimtestaat[[#This Row],[Code]],Locaties[[#All],[Code]:[Adres]],4,FALSE)</f>
        <v>Moerbeigaarde 58A</v>
      </c>
      <c r="D814" s="435" t="str">
        <f>VLOOKUP(Ruimtestaat[[#This Row],[Code]],Locaties[[#All],[Code]:[Postcode]],5,FALSE)</f>
        <v>2723 AG</v>
      </c>
      <c r="E814" s="435" t="str">
        <f>VLOOKUP(Ruimtestaat[[#This Row],[Code]],Locaties[#All],6,FALSE)</f>
        <v>Zoetermeer</v>
      </c>
      <c r="F814" s="450"/>
      <c r="G814" s="330" t="s">
        <v>1678</v>
      </c>
      <c r="H814" s="330" t="s">
        <v>1831</v>
      </c>
      <c r="I814" s="450" t="s">
        <v>2028</v>
      </c>
      <c r="J814" s="330">
        <v>20</v>
      </c>
      <c r="K814" s="450" t="str">
        <f>VLOOKUP(Ruimtestaat[[#This Row],[Ruimte code]],Ruimtegroepen[[#All],[Code]:[Ruimte omschrijving]],2,FALSE)</f>
        <v>Niet in Onderhoud</v>
      </c>
      <c r="L814" s="330" t="s">
        <v>100</v>
      </c>
      <c r="M814" s="437" t="s">
        <v>2058</v>
      </c>
      <c r="N814" s="439"/>
      <c r="O814" s="439">
        <v>4.3</v>
      </c>
      <c r="P814" s="439"/>
      <c r="Q814" s="439"/>
      <c r="R814" s="440">
        <f>VLOOKUP(Ruimtestaat[[#This Row],[Ruimte code]],Ruimtegroepen[],4,FALSE)</f>
        <v>0</v>
      </c>
      <c r="S814" s="434"/>
      <c r="T814" s="434"/>
      <c r="U814" s="453">
        <f>IF(S814&gt;0,IF(RIGHT(Ruimtestaat[[#This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14" s="434">
        <f>IF(U814&gt;0,VLOOKUP($J814,Ruimtegroepen[],3,FALSE)*VLOOKUP($L814,Vloersoorten[],3,FALSE)*VLOOKUP($T814,Frequenties[],3,FALSE)*VLOOKUP($A814,Locaties[],3,FALSE),0)</f>
        <v>0</v>
      </c>
      <c r="W814" s="434">
        <f>Ruimtestaat[[#This Row],[Uitvoeringen werkdagen]]*Ruimtestaat[[#This Row],[Oppervlak (netto)]]</f>
        <v>0</v>
      </c>
      <c r="X814" s="441">
        <f>IF(V814&gt;0,Ruimtestaat[[#This Row],[Prest. (m2 /jaar) werkdagen]]/Ruimtestaat[[#This Row],[Norm (m2/uur) werkdagen]],0)</f>
        <v>0</v>
      </c>
      <c r="Y814" s="442">
        <f>Ruimtestaat[[#This Row],[Uitvoeringen werkdagen]]*Ruimtestaat[[#This Row],[Gedeeltelijk]]</f>
        <v>0</v>
      </c>
      <c r="Z814" s="443">
        <f>IF(U814&gt;0,Ruimtestaat[[#This Row],[Prest. (m2 / jaar) werkdagen gedeeld]]/Ruimtestaat[[#This Row],[Norm (m2/uur) werkdagen]],0)</f>
        <v>0</v>
      </c>
      <c r="AA814" s="441">
        <f>Ruimtestaat[[#This Row],[uren / jaar werkdagen gedeeld]]*Tariefsopbouw!$E$35</f>
        <v>0</v>
      </c>
      <c r="AB814" s="441">
        <f>Ruimtestaat[[#This Row],[Uitvoeringen werkdagen]]*Ruimtestaat[[#This Row],[BSO]]</f>
        <v>0</v>
      </c>
      <c r="AC814" s="443">
        <f>IF(U814&gt;0,Ruimtestaat[[#This Row],[Prest. (m2 / jaar) werkdagen BSO]]/Ruimtestaat[[#This Row],[Norm (m2/uur) werkdagen]],0)</f>
        <v>0</v>
      </c>
      <c r="AD814" s="443">
        <f>Ruimtestaat[[#This Row],[uren / jaar werkdagen BSO]]*Tariefsopbouw!$E$35</f>
        <v>0</v>
      </c>
      <c r="AE814" s="444">
        <f>Ruimtestaat[[#This Row],[uren / jaar werkdagen]]*Tariefsopbouw!$E$35</f>
        <v>0</v>
      </c>
      <c r="AF814" s="454"/>
      <c r="AG814" s="455">
        <f>IF(Ruimtestaat[[#This Row],[Frequentie weekend]]&gt;0,VALUE(LEFT(AF814,1))*S814,0)</f>
        <v>0</v>
      </c>
      <c r="AH814" s="455">
        <f>IF($AG814&gt;0,VLOOKUP($J814,Ruimtegroepen[],3,FALSE)*VLOOKUP($L814,Vloersoorten[],3,FALSE)*VLOOKUP($AF814,Frequenties[],3,FALSE)*VLOOKUP(#REF!,Locaties[],3,FALSE),0)</f>
        <v>0</v>
      </c>
      <c r="AI814" s="434">
        <f>Ruimtestaat[[#This Row],[Uitvoeringen weekend]]*Ruimtestaat[[#This Row],[Oppervlak (netto)]]</f>
        <v>0</v>
      </c>
      <c r="AJ814" s="434">
        <f>IF(AH814&gt;0,Ruimtestaat[[#This Row],[Prest. (m2 /jaar) weekend]]/Ruimtestaat[[#This Row],[Norm (m2/uur) weekend]],0)</f>
        <v>0</v>
      </c>
      <c r="AK814" s="444">
        <f>Ruimtestaat[[#This Row],[uren / jaar weekend]]*Tariefsopbouw!$D$40</f>
        <v>0</v>
      </c>
      <c r="AL814" s="441">
        <f>Ruimtestaat[[#This Row],[Prest. (m2 /jaar) weekend]]+Ruimtestaat[[#This Row],[Prest. (m2 /jaar) werkdagen]]</f>
        <v>0</v>
      </c>
      <c r="AM814" s="441">
        <f>Ruimtestaat[[#This Row],[uren / jaar weekend]]+Ruimtestaat[[#This Row],[uren / jaar werkdagen]]</f>
        <v>0</v>
      </c>
      <c r="AN814" s="446">
        <f>Ruimtestaat[[#This Row],[kosten / jaar weekend]]+Ruimtestaat[[#This Row],[kosten / jaar werkdagen]]</f>
        <v>0</v>
      </c>
      <c r="AO814" s="446"/>
      <c r="AP814" s="446" t="str">
        <f>IF(Ruimtestaat[[#This Row],[Frequentie werkdagen]]="","",_xlfn.CONCAT(Ruimtestaat[[#This Row],[Ruimte code]],"-",Ruimtestaat[[#This Row],[Frequentie werkdagen]]," ",Ruimtestaat[[#This Row],[Vloer code]]))</f>
        <v/>
      </c>
      <c r="AQ814" s="448" t="str">
        <f>_xlfn.IFNA(VLOOKUP($AP814,Programma!$F$3:$G$1101,2,0),"")</f>
        <v/>
      </c>
      <c r="AR814" s="448" t="str">
        <f>_xlfn.IFNA(VLOOKUP($AP814,Programma!$F$3:$H$1101,3,0),"")</f>
        <v/>
      </c>
      <c r="AS814" s="448" t="str">
        <f>_xlfn.IFNA(VLOOKUP($AP814,Programma!$F$3:$I$1101,4,0),"")</f>
        <v/>
      </c>
      <c r="AT814" s="448" t="str">
        <f>_xlfn.IFNA(VLOOKUP($AP814,Programma!$F$3:$J$1101,5,0),"")</f>
        <v/>
      </c>
      <c r="AU814" s="448" t="str">
        <f>_xlfn.IFNA(VLOOKUP($AP814,Programma!$F$3:$K$1101,6,0),"")</f>
        <v/>
      </c>
      <c r="AV814" s="448" t="str">
        <f>_xlfn.IFNA(VLOOKUP($AP814,Programma!$F$3:$L$1101,7,0),"")</f>
        <v/>
      </c>
      <c r="AW814" s="448" t="str">
        <f>_xlfn.IFNA(VLOOKUP($AP814,Programma!$F$3:$M$1101,8,0),"")</f>
        <v/>
      </c>
      <c r="AX814" s="448" t="str">
        <f>_xlfn.IFNA(VLOOKUP($AP814,Programma!$F$3:$N$1101,9,0),"")</f>
        <v/>
      </c>
      <c r="AY814" s="448" t="str">
        <f>_xlfn.IFNA(VLOOKUP($AP814,Programma!$F$3:$O$1101,10,0),"")</f>
        <v/>
      </c>
      <c r="AZ814" s="448" t="str">
        <f>_xlfn.IFNA(VLOOKUP($AP814,Programma!$F$3:$P$1101,11,0),"")</f>
        <v/>
      </c>
      <c r="BA814" s="448" t="str">
        <f>_xlfn.IFNA(VLOOKUP($AP814,Programma!$F$3:$Q$1101,12,0),"")</f>
        <v/>
      </c>
      <c r="BB814" s="448" t="str">
        <f>_xlfn.IFNA(VLOOKUP($AP814,Programma!$F$3:$R$1101,13,0),"")</f>
        <v/>
      </c>
      <c r="BC814" s="448" t="str">
        <f>_xlfn.IFNA(VLOOKUP($AP814,Programma!$F$3:$S$1101,14,0),"")</f>
        <v/>
      </c>
      <c r="BD814" s="448" t="str">
        <f>_xlfn.IFNA(VLOOKUP($AP814,Programma!$F$3:$T$1101,15,0),"")</f>
        <v/>
      </c>
      <c r="BE814" s="448" t="str">
        <f>_xlfn.IFNA(VLOOKUP($AP814,Programma!$F$3:$U$1101,16,0),"")</f>
        <v/>
      </c>
      <c r="BF814" s="448" t="str">
        <f>_xlfn.IFNA(VLOOKUP($AP814,Programma!$F$3:$V$1101,17,0),"")</f>
        <v/>
      </c>
      <c r="BG814" s="448" t="str">
        <f>_xlfn.IFNA(VLOOKUP($AP814,Programma!$F$3:$W$1101,18,0),"")</f>
        <v/>
      </c>
      <c r="BH814" s="448" t="str">
        <f>_xlfn.IFNA(VLOOKUP($AP814,Programma!$F$3:$X$1101,19,0),"")</f>
        <v/>
      </c>
      <c r="BI814" s="448" t="str">
        <f>_xlfn.IFNA(VLOOKUP($AP814,Programma!$F$3:$Y$1101,20,0),"")</f>
        <v/>
      </c>
      <c r="BJ814" s="449"/>
      <c r="BK814" s="446" t="str">
        <f>IF(Ruimtestaat[[#This Row],[Frequentie weekend]]="","",_xlfn.CONCAT(Ruimtestaat[[#This Row],[Ruimte code]],"-",Ruimtestaat[[#This Row],[Frequentie weekend]]," ",Ruimtestaat[[#This Row],[Vloer code]]))</f>
        <v/>
      </c>
      <c r="BL814" s="448" t="str">
        <f>_xlfn.IFNA(VLOOKUP($BK814,Programma!$F$3:$G$1101,2,0),"")</f>
        <v/>
      </c>
      <c r="BM814" s="448" t="str">
        <f>_xlfn.IFNA(VLOOKUP($BK814,Programma!$F$3:$H$1101,3,0),"")</f>
        <v/>
      </c>
      <c r="BN814" s="448" t="str">
        <f>_xlfn.IFNA(VLOOKUP($BK814,Programma!$F$3:$I$1101,4,0),"")</f>
        <v/>
      </c>
      <c r="BO814" s="448" t="str">
        <f>_xlfn.IFNA(VLOOKUP($BK814,Programma!$F$3:$J$1101,5,0),"")</f>
        <v/>
      </c>
      <c r="BP814" s="448" t="str">
        <f>_xlfn.IFNA(VLOOKUP($BK814,Programma!$F$3:$K$1101,6,0),"")</f>
        <v/>
      </c>
      <c r="BQ814" s="448" t="str">
        <f>_xlfn.IFNA(VLOOKUP($BK814,Programma!$F$3:$L$1101,7,0),"")</f>
        <v/>
      </c>
      <c r="BR814" s="448" t="str">
        <f>_xlfn.IFNA(VLOOKUP($BK814,Programma!$F$3:$M$1101,8,0),"")</f>
        <v/>
      </c>
      <c r="BS814" s="448" t="str">
        <f>_xlfn.IFNA(VLOOKUP($BK814,Programma!$F$3:$N$1101,9,0),"")</f>
        <v/>
      </c>
      <c r="BT814" s="448" t="str">
        <f>_xlfn.IFNA(VLOOKUP($BK814,Programma!$F$3:$O$1101,10,0),"")</f>
        <v/>
      </c>
      <c r="BU814" s="448" t="str">
        <f>_xlfn.IFNA(VLOOKUP($BK814,Programma!$F$3:$P$1101,11,0),"")</f>
        <v/>
      </c>
      <c r="BV814" s="448" t="str">
        <f>_xlfn.IFNA(VLOOKUP($BK814,Programma!$F$3:$Q$1101,12,0),"")</f>
        <v/>
      </c>
      <c r="BW814" s="448" t="str">
        <f>_xlfn.IFNA(VLOOKUP($BK814,Programma!$F$3:$R$1101,13,0),"")</f>
        <v/>
      </c>
      <c r="BX814" s="448" t="str">
        <f>_xlfn.IFNA(VLOOKUP($BK814,Programma!$F$3:$S$1101,14,0),"")</f>
        <v/>
      </c>
      <c r="BY814" s="448" t="str">
        <f>_xlfn.IFNA(VLOOKUP($BK814,Programma!$F$3:$T$1101,15,0),"")</f>
        <v/>
      </c>
      <c r="BZ814" s="448" t="str">
        <f>_xlfn.IFNA(VLOOKUP($BK814,Programma!$F$3:$U$1101,16,0),"")</f>
        <v/>
      </c>
      <c r="CA814" s="448" t="str">
        <f>_xlfn.IFNA(VLOOKUP($BK814,Programma!$F$3:$V$1101,17,0),"")</f>
        <v/>
      </c>
      <c r="CB814" s="448" t="str">
        <f>_xlfn.IFNA(VLOOKUP($BK814,Programma!$F$3:$W$1101,18,0),"")</f>
        <v/>
      </c>
      <c r="CC814" s="448" t="str">
        <f>_xlfn.IFNA(VLOOKUP($BK814,Programma!$F$3:$X$1101,19,0),"")</f>
        <v/>
      </c>
      <c r="CD814" s="448" t="str">
        <f>_xlfn.IFNA(VLOOKUP($BK814,Programma!$F$3:$Y$1101,20,0),"")</f>
        <v/>
      </c>
    </row>
    <row r="815" spans="1:82" ht="15" customHeight="1">
      <c r="A815" s="327">
        <v>24</v>
      </c>
      <c r="B815" s="435" t="str">
        <f>VLOOKUP(Ruimtestaat[[#This Row],[Code]],Locaties[[Code]:[Locatie]],2,FALSE)</f>
        <v>IKC De Gaerde</v>
      </c>
      <c r="C815" s="435" t="str">
        <f>VLOOKUP(Ruimtestaat[[#This Row],[Code]],Locaties[[#All],[Code]:[Adres]],4,FALSE)</f>
        <v>Moerbeigaarde 58A</v>
      </c>
      <c r="D815" s="435" t="str">
        <f>VLOOKUP(Ruimtestaat[[#This Row],[Code]],Locaties[[#All],[Code]:[Postcode]],5,FALSE)</f>
        <v>2723 AG</v>
      </c>
      <c r="E815" s="435" t="str">
        <f>VLOOKUP(Ruimtestaat[[#This Row],[Code]],Locaties[#All],6,FALSE)</f>
        <v>Zoetermeer</v>
      </c>
      <c r="F815" s="450"/>
      <c r="G815" s="330" t="s">
        <v>1678</v>
      </c>
      <c r="H815" s="330" t="s">
        <v>2029</v>
      </c>
      <c r="I815" s="450" t="s">
        <v>2030</v>
      </c>
      <c r="J815" s="330">
        <v>1</v>
      </c>
      <c r="K815" s="450" t="str">
        <f>VLOOKUP(Ruimtestaat[[#This Row],[Ruimte code]],Ruimtegroepen[[#All],[Code]:[Ruimte omschrijving]],2,FALSE)</f>
        <v>Magazijnen/bergingen</v>
      </c>
      <c r="L815" s="330" t="s">
        <v>100</v>
      </c>
      <c r="M815" s="437" t="s">
        <v>2058</v>
      </c>
      <c r="N815" s="439">
        <v>7.2</v>
      </c>
      <c r="O815" s="439"/>
      <c r="P815" s="439"/>
      <c r="Q815" s="439"/>
      <c r="R815" s="440" t="str">
        <f>VLOOKUP(Ruimtestaat[[#This Row],[Ruimte code]],Ruimtegroepen[],4,FALSE)</f>
        <v>Ve</v>
      </c>
      <c r="S815" s="434">
        <v>40</v>
      </c>
      <c r="T815" s="434" t="s">
        <v>16</v>
      </c>
      <c r="U815" s="453">
        <f>IF(S815&gt;0,IF(RIGHT(Ruimtestaat[[#This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15" s="434">
        <f>IF(U815&gt;0,VLOOKUP($J815,Ruimtegroepen[],3,FALSE)*VLOOKUP($L815,Vloersoorten[],3,FALSE)*VLOOKUP($T815,Frequenties[],3,FALSE)*VLOOKUP($A815,Locaties[],3,FALSE),0)</f>
        <v>0</v>
      </c>
      <c r="W815" s="434">
        <f>Ruimtestaat[[#This Row],[Uitvoeringen werkdagen]]*Ruimtestaat[[#This Row],[Oppervlak (netto)]]</f>
        <v>86.4</v>
      </c>
      <c r="X815" s="441">
        <f>IF(V815&gt;0,Ruimtestaat[[#This Row],[Prest. (m2 /jaar) werkdagen]]/Ruimtestaat[[#This Row],[Norm (m2/uur) werkdagen]],0)</f>
        <v>0</v>
      </c>
      <c r="Y815" s="442">
        <f>Ruimtestaat[[#This Row],[Uitvoeringen werkdagen]]*Ruimtestaat[[#This Row],[Gedeeltelijk]]</f>
        <v>0</v>
      </c>
      <c r="Z815" s="443" t="e">
        <f>IF(U815&gt;0,Ruimtestaat[[#This Row],[Prest. (m2 / jaar) werkdagen gedeeld]]/Ruimtestaat[[#This Row],[Norm (m2/uur) werkdagen]],0)</f>
        <v>#DIV/0!</v>
      </c>
      <c r="AA815" s="441" t="e">
        <f>Ruimtestaat[[#This Row],[uren / jaar werkdagen gedeeld]]*Tariefsopbouw!$E$35</f>
        <v>#DIV/0!</v>
      </c>
      <c r="AB815" s="441">
        <f>Ruimtestaat[[#This Row],[Uitvoeringen werkdagen]]*Ruimtestaat[[#This Row],[BSO]]</f>
        <v>0</v>
      </c>
      <c r="AC815" s="443" t="e">
        <f>IF(U815&gt;0,Ruimtestaat[[#This Row],[Prest. (m2 / jaar) werkdagen BSO]]/Ruimtestaat[[#This Row],[Norm (m2/uur) werkdagen]],0)</f>
        <v>#DIV/0!</v>
      </c>
      <c r="AD815" s="443" t="e">
        <f>Ruimtestaat[[#This Row],[uren / jaar werkdagen BSO]]*Tariefsopbouw!$E$35</f>
        <v>#DIV/0!</v>
      </c>
      <c r="AE815" s="444">
        <f>Ruimtestaat[[#This Row],[uren / jaar werkdagen]]*Tariefsopbouw!$E$35</f>
        <v>0</v>
      </c>
      <c r="AF815" s="454"/>
      <c r="AG815" s="455">
        <f>IF(Ruimtestaat[[#This Row],[Frequentie weekend]]&gt;0,VALUE(LEFT(AF815,1))*S815,0)</f>
        <v>0</v>
      </c>
      <c r="AH815" s="455">
        <f>IF($AG815&gt;0,VLOOKUP($J815,Ruimtegroepen[],3,FALSE)*VLOOKUP($L815,Vloersoorten[],3,FALSE)*VLOOKUP($AF815,Frequenties[],3,FALSE)*VLOOKUP(#REF!,Locaties[],3,FALSE),0)</f>
        <v>0</v>
      </c>
      <c r="AI815" s="434">
        <f>Ruimtestaat[[#This Row],[Uitvoeringen weekend]]*Ruimtestaat[[#This Row],[Oppervlak (netto)]]</f>
        <v>0</v>
      </c>
      <c r="AJ815" s="434">
        <f>IF(AH815&gt;0,Ruimtestaat[[#This Row],[Prest. (m2 /jaar) weekend]]/Ruimtestaat[[#This Row],[Norm (m2/uur) weekend]],0)</f>
        <v>0</v>
      </c>
      <c r="AK815" s="444">
        <f>Ruimtestaat[[#This Row],[uren / jaar weekend]]*Tariefsopbouw!$D$40</f>
        <v>0</v>
      </c>
      <c r="AL815" s="441">
        <f>Ruimtestaat[[#This Row],[Prest. (m2 /jaar) weekend]]+Ruimtestaat[[#This Row],[Prest. (m2 /jaar) werkdagen]]</f>
        <v>86.4</v>
      </c>
      <c r="AM815" s="441">
        <f>Ruimtestaat[[#This Row],[uren / jaar weekend]]+Ruimtestaat[[#This Row],[uren / jaar werkdagen]]</f>
        <v>0</v>
      </c>
      <c r="AN815" s="446">
        <f>Ruimtestaat[[#This Row],[kosten / jaar weekend]]+Ruimtestaat[[#This Row],[kosten / jaar werkdagen]]</f>
        <v>0</v>
      </c>
      <c r="AO815" s="446"/>
      <c r="AP815" s="446" t="str">
        <f>IF(Ruimtestaat[[#This Row],[Frequentie werkdagen]]="","",_xlfn.CONCAT(Ruimtestaat[[#This Row],[Ruimte code]],"-",Ruimtestaat[[#This Row],[Frequentie werkdagen]]," ",Ruimtestaat[[#This Row],[Vloer code]]))</f>
        <v>1-1m L</v>
      </c>
      <c r="AQ815" s="448" t="str">
        <f>_xlfn.IFNA(VLOOKUP($AP815,Programma!$F$3:$G$1101,2,0),"")</f>
        <v>_</v>
      </c>
      <c r="AR815" s="448" t="str">
        <f>_xlfn.IFNA(VLOOKUP($AP815,Programma!$F$3:$H$1101,3,0),"")</f>
        <v>_</v>
      </c>
      <c r="AS815" s="448" t="str">
        <f>_xlfn.IFNA(VLOOKUP($AP815,Programma!$F$3:$I$1101,4,0),"")</f>
        <v>1m</v>
      </c>
      <c r="AT815" s="448" t="str">
        <f>_xlfn.IFNA(VLOOKUP($AP815,Programma!$F$3:$J$1101,5,0),"")</f>
        <v>1m</v>
      </c>
      <c r="AU815" s="448" t="str">
        <f>_xlfn.IFNA(VLOOKUP($AP815,Programma!$F$3:$K$1101,6,0),"")</f>
        <v>_</v>
      </c>
      <c r="AV815" s="448" t="str">
        <f>_xlfn.IFNA(VLOOKUP($AP815,Programma!$F$3:$L$1101,7,0),"")</f>
        <v>_</v>
      </c>
      <c r="AW815" s="448" t="str">
        <f>_xlfn.IFNA(VLOOKUP($AP815,Programma!$F$3:$M$1101,8,0),"")</f>
        <v>_</v>
      </c>
      <c r="AX815" s="448" t="str">
        <f>_xlfn.IFNA(VLOOKUP($AP815,Programma!$F$3:$N$1101,9,0),"")</f>
        <v>_</v>
      </c>
      <c r="AY815" s="448" t="str">
        <f>_xlfn.IFNA(VLOOKUP($AP815,Programma!$F$3:$O$1101,10,0),"")</f>
        <v>_</v>
      </c>
      <c r="AZ815" s="448" t="str">
        <f>_xlfn.IFNA(VLOOKUP($AP815,Programma!$F$3:$P$1101,11,0),"")</f>
        <v>_</v>
      </c>
      <c r="BA815" s="448" t="str">
        <f>_xlfn.IFNA(VLOOKUP($AP815,Programma!$F$3:$Q$1101,12,0),"")</f>
        <v>_</v>
      </c>
      <c r="BB815" s="448" t="str">
        <f>_xlfn.IFNA(VLOOKUP($AP815,Programma!$F$3:$R$1101,13,0),"")</f>
        <v>_</v>
      </c>
      <c r="BC815" s="448" t="str">
        <f>_xlfn.IFNA(VLOOKUP($AP815,Programma!$F$3:$S$1101,14,0),"")</f>
        <v>1m</v>
      </c>
      <c r="BD815" s="448" t="str">
        <f>_xlfn.IFNA(VLOOKUP($AP815,Programma!$F$3:$T$1101,15,0),"")</f>
        <v>4j</v>
      </c>
      <c r="BE815" s="448" t="str">
        <f>_xlfn.IFNA(VLOOKUP($AP815,Programma!$F$3:$U$1101,16,0),"")</f>
        <v>4j</v>
      </c>
      <c r="BF815" s="448" t="str">
        <f>_xlfn.IFNA(VLOOKUP($AP815,Programma!$F$3:$V$1101,17,0),"")</f>
        <v>_</v>
      </c>
      <c r="BG815" s="448" t="str">
        <f>_xlfn.IFNA(VLOOKUP($AP815,Programma!$F$3:$W$1101,18,0),"")</f>
        <v>_</v>
      </c>
      <c r="BH815" s="448" t="str">
        <f>_xlfn.IFNA(VLOOKUP($AP815,Programma!$F$3:$X$1101,19,0),"")</f>
        <v>_</v>
      </c>
      <c r="BI815" s="448" t="str">
        <f>_xlfn.IFNA(VLOOKUP($AP815,Programma!$F$3:$Y$1101,20,0),"")</f>
        <v>_</v>
      </c>
      <c r="BJ815" s="449"/>
      <c r="BK815" s="446" t="str">
        <f>IF(Ruimtestaat[[#This Row],[Frequentie weekend]]="","",_xlfn.CONCAT(Ruimtestaat[[#This Row],[Ruimte code]],"-",Ruimtestaat[[#This Row],[Frequentie weekend]]," ",Ruimtestaat[[#This Row],[Vloer code]]))</f>
        <v/>
      </c>
      <c r="BL815" s="448" t="str">
        <f>_xlfn.IFNA(VLOOKUP($BK815,Programma!$F$3:$G$1101,2,0),"")</f>
        <v/>
      </c>
      <c r="BM815" s="448" t="str">
        <f>_xlfn.IFNA(VLOOKUP($BK815,Programma!$F$3:$H$1101,3,0),"")</f>
        <v/>
      </c>
      <c r="BN815" s="448" t="str">
        <f>_xlfn.IFNA(VLOOKUP($BK815,Programma!$F$3:$I$1101,4,0),"")</f>
        <v/>
      </c>
      <c r="BO815" s="448" t="str">
        <f>_xlfn.IFNA(VLOOKUP($BK815,Programma!$F$3:$J$1101,5,0),"")</f>
        <v/>
      </c>
      <c r="BP815" s="448" t="str">
        <f>_xlfn.IFNA(VLOOKUP($BK815,Programma!$F$3:$K$1101,6,0),"")</f>
        <v/>
      </c>
      <c r="BQ815" s="448" t="str">
        <f>_xlfn.IFNA(VLOOKUP($BK815,Programma!$F$3:$L$1101,7,0),"")</f>
        <v/>
      </c>
      <c r="BR815" s="448" t="str">
        <f>_xlfn.IFNA(VLOOKUP($BK815,Programma!$F$3:$M$1101,8,0),"")</f>
        <v/>
      </c>
      <c r="BS815" s="448" t="str">
        <f>_xlfn.IFNA(VLOOKUP($BK815,Programma!$F$3:$N$1101,9,0),"")</f>
        <v/>
      </c>
      <c r="BT815" s="448" t="str">
        <f>_xlfn.IFNA(VLOOKUP($BK815,Programma!$F$3:$O$1101,10,0),"")</f>
        <v/>
      </c>
      <c r="BU815" s="448" t="str">
        <f>_xlfn.IFNA(VLOOKUP($BK815,Programma!$F$3:$P$1101,11,0),"")</f>
        <v/>
      </c>
      <c r="BV815" s="448" t="str">
        <f>_xlfn.IFNA(VLOOKUP($BK815,Programma!$F$3:$Q$1101,12,0),"")</f>
        <v/>
      </c>
      <c r="BW815" s="448" t="str">
        <f>_xlfn.IFNA(VLOOKUP($BK815,Programma!$F$3:$R$1101,13,0),"")</f>
        <v/>
      </c>
      <c r="BX815" s="448" t="str">
        <f>_xlfn.IFNA(VLOOKUP($BK815,Programma!$F$3:$S$1101,14,0),"")</f>
        <v/>
      </c>
      <c r="BY815" s="448" t="str">
        <f>_xlfn.IFNA(VLOOKUP($BK815,Programma!$F$3:$T$1101,15,0),"")</f>
        <v/>
      </c>
      <c r="BZ815" s="448" t="str">
        <f>_xlfn.IFNA(VLOOKUP($BK815,Programma!$F$3:$U$1101,16,0),"")</f>
        <v/>
      </c>
      <c r="CA815" s="448" t="str">
        <f>_xlfn.IFNA(VLOOKUP($BK815,Programma!$F$3:$V$1101,17,0),"")</f>
        <v/>
      </c>
      <c r="CB815" s="448" t="str">
        <f>_xlfn.IFNA(VLOOKUP($BK815,Programma!$F$3:$W$1101,18,0),"")</f>
        <v/>
      </c>
      <c r="CC815" s="448" t="str">
        <f>_xlfn.IFNA(VLOOKUP($BK815,Programma!$F$3:$X$1101,19,0),"")</f>
        <v/>
      </c>
      <c r="CD815" s="448" t="str">
        <f>_xlfn.IFNA(VLOOKUP($BK815,Programma!$F$3:$Y$1101,20,0),"")</f>
        <v/>
      </c>
    </row>
    <row r="816" spans="1:82" ht="15" customHeight="1">
      <c r="A816" s="327">
        <v>24</v>
      </c>
      <c r="B816" s="435" t="str">
        <f>VLOOKUP(Ruimtestaat[[#This Row],[Code]],Locaties[[Code]:[Locatie]],2,FALSE)</f>
        <v>IKC De Gaerde</v>
      </c>
      <c r="C816" s="435" t="str">
        <f>VLOOKUP(Ruimtestaat[[#This Row],[Code]],Locaties[[#All],[Code]:[Adres]],4,FALSE)</f>
        <v>Moerbeigaarde 58A</v>
      </c>
      <c r="D816" s="435" t="str">
        <f>VLOOKUP(Ruimtestaat[[#This Row],[Code]],Locaties[[#All],[Code]:[Postcode]],5,FALSE)</f>
        <v>2723 AG</v>
      </c>
      <c r="E816" s="435" t="str">
        <f>VLOOKUP(Ruimtestaat[[#This Row],[Code]],Locaties[#All],6,FALSE)</f>
        <v>Zoetermeer</v>
      </c>
      <c r="F816" s="450"/>
      <c r="G816" s="330" t="s">
        <v>1678</v>
      </c>
      <c r="H816" s="330" t="s">
        <v>1904</v>
      </c>
      <c r="I816" s="450" t="s">
        <v>2025</v>
      </c>
      <c r="J816" s="330">
        <v>9</v>
      </c>
      <c r="K816" s="450" t="str">
        <f>VLOOKUP(Ruimtestaat[[#This Row],[Ruimte code]],Ruimtegroepen[[#All],[Code]:[Ruimte omschrijving]],2,FALSE)</f>
        <v>Bibliotheek/OLC</v>
      </c>
      <c r="L816" s="330" t="s">
        <v>100</v>
      </c>
      <c r="M816" s="437" t="s">
        <v>2058</v>
      </c>
      <c r="N816" s="439">
        <v>15.7</v>
      </c>
      <c r="O816" s="439"/>
      <c r="P816" s="439"/>
      <c r="Q816" s="439"/>
      <c r="R816" s="440" t="str">
        <f>VLOOKUP(Ruimtestaat[[#This Row],[Ruimte code]],Ruimtegroepen[],4,FALSE)</f>
        <v>Le</v>
      </c>
      <c r="S816" s="434">
        <v>40</v>
      </c>
      <c r="T816" s="434" t="s">
        <v>2</v>
      </c>
      <c r="U816" s="453">
        <f>IF(S816&gt;0,IF(RIGHT(Ruimtestaat[[#This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6" s="434">
        <f>IF(U816&gt;0,VLOOKUP($J816,Ruimtegroepen[],3,FALSE)*VLOOKUP($L816,Vloersoorten[],3,FALSE)*VLOOKUP($T816,Frequenties[],3,FALSE)*VLOOKUP($A816,Locaties[],3,FALSE),0)</f>
        <v>0</v>
      </c>
      <c r="W816" s="434">
        <f>Ruimtestaat[[#This Row],[Uitvoeringen werkdagen]]*Ruimtestaat[[#This Row],[Oppervlak (netto)]]</f>
        <v>3140</v>
      </c>
      <c r="X816" s="441">
        <f>IF(V816&gt;0,Ruimtestaat[[#This Row],[Prest. (m2 /jaar) werkdagen]]/Ruimtestaat[[#This Row],[Norm (m2/uur) werkdagen]],0)</f>
        <v>0</v>
      </c>
      <c r="Y816" s="442">
        <f>Ruimtestaat[[#This Row],[Uitvoeringen werkdagen]]*Ruimtestaat[[#This Row],[Gedeeltelijk]]</f>
        <v>0</v>
      </c>
      <c r="Z816" s="443" t="e">
        <f>IF(U816&gt;0,Ruimtestaat[[#This Row],[Prest. (m2 / jaar) werkdagen gedeeld]]/Ruimtestaat[[#This Row],[Norm (m2/uur) werkdagen]],0)</f>
        <v>#DIV/0!</v>
      </c>
      <c r="AA816" s="441" t="e">
        <f>Ruimtestaat[[#This Row],[uren / jaar werkdagen gedeeld]]*Tariefsopbouw!$E$35</f>
        <v>#DIV/0!</v>
      </c>
      <c r="AB816" s="441">
        <f>Ruimtestaat[[#This Row],[Uitvoeringen werkdagen]]*Ruimtestaat[[#This Row],[BSO]]</f>
        <v>0</v>
      </c>
      <c r="AC816" s="443" t="e">
        <f>IF(U816&gt;0,Ruimtestaat[[#This Row],[Prest. (m2 / jaar) werkdagen BSO]]/Ruimtestaat[[#This Row],[Norm (m2/uur) werkdagen]],0)</f>
        <v>#DIV/0!</v>
      </c>
      <c r="AD816" s="443" t="e">
        <f>Ruimtestaat[[#This Row],[uren / jaar werkdagen BSO]]*Tariefsopbouw!$E$35</f>
        <v>#DIV/0!</v>
      </c>
      <c r="AE816" s="444">
        <f>Ruimtestaat[[#This Row],[uren / jaar werkdagen]]*Tariefsopbouw!$E$35</f>
        <v>0</v>
      </c>
      <c r="AF816" s="454"/>
      <c r="AG816" s="455">
        <f>IF(Ruimtestaat[[#This Row],[Frequentie weekend]]&gt;0,VALUE(LEFT(AF816,1))*S816,0)</f>
        <v>0</v>
      </c>
      <c r="AH816" s="455">
        <f>IF($AG816&gt;0,VLOOKUP($J816,Ruimtegroepen[],3,FALSE)*VLOOKUP($L816,Vloersoorten[],3,FALSE)*VLOOKUP($AF816,Frequenties[],3,FALSE)*VLOOKUP(#REF!,Locaties[],3,FALSE),0)</f>
        <v>0</v>
      </c>
      <c r="AI816" s="434">
        <f>Ruimtestaat[[#This Row],[Uitvoeringen weekend]]*Ruimtestaat[[#This Row],[Oppervlak (netto)]]</f>
        <v>0</v>
      </c>
      <c r="AJ816" s="434">
        <f>IF(AH816&gt;0,Ruimtestaat[[#This Row],[Prest. (m2 /jaar) weekend]]/Ruimtestaat[[#This Row],[Norm (m2/uur) weekend]],0)</f>
        <v>0</v>
      </c>
      <c r="AK816" s="444">
        <f>Ruimtestaat[[#This Row],[uren / jaar weekend]]*Tariefsopbouw!$D$40</f>
        <v>0</v>
      </c>
      <c r="AL816" s="441">
        <f>Ruimtestaat[[#This Row],[Prest. (m2 /jaar) weekend]]+Ruimtestaat[[#This Row],[Prest. (m2 /jaar) werkdagen]]</f>
        <v>3140</v>
      </c>
      <c r="AM816" s="441">
        <f>Ruimtestaat[[#This Row],[uren / jaar weekend]]+Ruimtestaat[[#This Row],[uren / jaar werkdagen]]</f>
        <v>0</v>
      </c>
      <c r="AN816" s="446">
        <f>Ruimtestaat[[#This Row],[kosten / jaar weekend]]+Ruimtestaat[[#This Row],[kosten / jaar werkdagen]]</f>
        <v>0</v>
      </c>
      <c r="AO816" s="446"/>
      <c r="AP816" s="446" t="str">
        <f>IF(Ruimtestaat[[#This Row],[Frequentie werkdagen]]="","",_xlfn.CONCAT(Ruimtestaat[[#This Row],[Ruimte code]],"-",Ruimtestaat[[#This Row],[Frequentie werkdagen]]," ",Ruimtestaat[[#This Row],[Vloer code]]))</f>
        <v>9-5w L</v>
      </c>
      <c r="AQ816" s="448" t="str">
        <f>_xlfn.IFNA(VLOOKUP($AP816,Programma!$F$3:$G$1101,2,0),"")</f>
        <v>_</v>
      </c>
      <c r="AR816" s="448" t="str">
        <f>_xlfn.IFNA(VLOOKUP($AP816,Programma!$F$3:$H$1101,3,0),"")</f>
        <v>_</v>
      </c>
      <c r="AS816" s="448" t="str">
        <f>_xlfn.IFNA(VLOOKUP($AP816,Programma!$F$3:$I$1101,4,0),"")</f>
        <v>4w</v>
      </c>
      <c r="AT816" s="448" t="str">
        <f>_xlfn.IFNA(VLOOKUP($AP816,Programma!$F$3:$J$1101,5,0),"")</f>
        <v>1w</v>
      </c>
      <c r="AU816" s="448" t="str">
        <f>_xlfn.IFNA(VLOOKUP($AP816,Programma!$F$3:$K$1101,6,0),"")</f>
        <v>_</v>
      </c>
      <c r="AV816" s="448" t="str">
        <f>_xlfn.IFNA(VLOOKUP($AP816,Programma!$F$3:$L$1101,7,0),"")</f>
        <v>_</v>
      </c>
      <c r="AW816" s="448" t="str">
        <f>_xlfn.IFNA(VLOOKUP($AP816,Programma!$F$3:$M$1101,8,0),"")</f>
        <v>_</v>
      </c>
      <c r="AX816" s="448" t="str">
        <f>_xlfn.IFNA(VLOOKUP($AP816,Programma!$F$3:$N$1101,9,0),"")</f>
        <v>_</v>
      </c>
      <c r="AY816" s="448" t="str">
        <f>_xlfn.IFNA(VLOOKUP($AP816,Programma!$F$3:$O$1101,10,0),"")</f>
        <v>5w</v>
      </c>
      <c r="AZ816" s="448" t="str">
        <f>_xlfn.IFNA(VLOOKUP($AP816,Programma!$F$3:$P$1101,11,0),"")</f>
        <v>5w</v>
      </c>
      <c r="BA816" s="448" t="str">
        <f>_xlfn.IFNA(VLOOKUP($AP816,Programma!$F$3:$Q$1101,12,0),"")</f>
        <v>1w</v>
      </c>
      <c r="BB816" s="448" t="str">
        <f>_xlfn.IFNA(VLOOKUP($AP816,Programma!$F$3:$R$1101,13,0),"")</f>
        <v>1w</v>
      </c>
      <c r="BC816" s="448" t="str">
        <f>_xlfn.IFNA(VLOOKUP($AP816,Programma!$F$3:$S$1101,14,0),"")</f>
        <v>1m</v>
      </c>
      <c r="BD816" s="448" t="str">
        <f>_xlfn.IFNA(VLOOKUP($AP816,Programma!$F$3:$T$1101,15,0),"")</f>
        <v>2j</v>
      </c>
      <c r="BE816" s="448" t="str">
        <f>_xlfn.IFNA(VLOOKUP($AP816,Programma!$F$3:$U$1101,16,0),"")</f>
        <v>1j</v>
      </c>
      <c r="BF816" s="448" t="str">
        <f>_xlfn.IFNA(VLOOKUP($AP816,Programma!$F$3:$V$1101,17,0),"")</f>
        <v>_</v>
      </c>
      <c r="BG816" s="448" t="str">
        <f>_xlfn.IFNA(VLOOKUP($AP816,Programma!$F$3:$W$1101,18,0),"")</f>
        <v>_</v>
      </c>
      <c r="BH816" s="448" t="str">
        <f>_xlfn.IFNA(VLOOKUP($AP816,Programma!$F$3:$X$1101,19,0),"")</f>
        <v>_</v>
      </c>
      <c r="BI816" s="448" t="str">
        <f>_xlfn.IFNA(VLOOKUP($AP816,Programma!$F$3:$Y$1101,20,0),"")</f>
        <v>_</v>
      </c>
      <c r="BJ816" s="449"/>
      <c r="BK816" s="446" t="str">
        <f>IF(Ruimtestaat[[#This Row],[Frequentie weekend]]="","",_xlfn.CONCAT(Ruimtestaat[[#This Row],[Ruimte code]],"-",Ruimtestaat[[#This Row],[Frequentie weekend]]," ",Ruimtestaat[[#This Row],[Vloer code]]))</f>
        <v/>
      </c>
      <c r="BL816" s="448" t="str">
        <f>_xlfn.IFNA(VLOOKUP($BK816,Programma!$F$3:$G$1101,2,0),"")</f>
        <v/>
      </c>
      <c r="BM816" s="448" t="str">
        <f>_xlfn.IFNA(VLOOKUP($BK816,Programma!$F$3:$H$1101,3,0),"")</f>
        <v/>
      </c>
      <c r="BN816" s="448" t="str">
        <f>_xlfn.IFNA(VLOOKUP($BK816,Programma!$F$3:$I$1101,4,0),"")</f>
        <v/>
      </c>
      <c r="BO816" s="448" t="str">
        <f>_xlfn.IFNA(VLOOKUP($BK816,Programma!$F$3:$J$1101,5,0),"")</f>
        <v/>
      </c>
      <c r="BP816" s="448" t="str">
        <f>_xlfn.IFNA(VLOOKUP($BK816,Programma!$F$3:$K$1101,6,0),"")</f>
        <v/>
      </c>
      <c r="BQ816" s="448" t="str">
        <f>_xlfn.IFNA(VLOOKUP($BK816,Programma!$F$3:$L$1101,7,0),"")</f>
        <v/>
      </c>
      <c r="BR816" s="448" t="str">
        <f>_xlfn.IFNA(VLOOKUP($BK816,Programma!$F$3:$M$1101,8,0),"")</f>
        <v/>
      </c>
      <c r="BS816" s="448" t="str">
        <f>_xlfn.IFNA(VLOOKUP($BK816,Programma!$F$3:$N$1101,9,0),"")</f>
        <v/>
      </c>
      <c r="BT816" s="448" t="str">
        <f>_xlfn.IFNA(VLOOKUP($BK816,Programma!$F$3:$O$1101,10,0),"")</f>
        <v/>
      </c>
      <c r="BU816" s="448" t="str">
        <f>_xlfn.IFNA(VLOOKUP($BK816,Programma!$F$3:$P$1101,11,0),"")</f>
        <v/>
      </c>
      <c r="BV816" s="448" t="str">
        <f>_xlfn.IFNA(VLOOKUP($BK816,Programma!$F$3:$Q$1101,12,0),"")</f>
        <v/>
      </c>
      <c r="BW816" s="448" t="str">
        <f>_xlfn.IFNA(VLOOKUP($BK816,Programma!$F$3:$R$1101,13,0),"")</f>
        <v/>
      </c>
      <c r="BX816" s="448" t="str">
        <f>_xlfn.IFNA(VLOOKUP($BK816,Programma!$F$3:$S$1101,14,0),"")</f>
        <v/>
      </c>
      <c r="BY816" s="448" t="str">
        <f>_xlfn.IFNA(VLOOKUP($BK816,Programma!$F$3:$T$1101,15,0),"")</f>
        <v/>
      </c>
      <c r="BZ816" s="448" t="str">
        <f>_xlfn.IFNA(VLOOKUP($BK816,Programma!$F$3:$U$1101,16,0),"")</f>
        <v/>
      </c>
      <c r="CA816" s="448" t="str">
        <f>_xlfn.IFNA(VLOOKUP($BK816,Programma!$F$3:$V$1101,17,0),"")</f>
        <v/>
      </c>
      <c r="CB816" s="448" t="str">
        <f>_xlfn.IFNA(VLOOKUP($BK816,Programma!$F$3:$W$1101,18,0),"")</f>
        <v/>
      </c>
      <c r="CC816" s="448" t="str">
        <f>_xlfn.IFNA(VLOOKUP($BK816,Programma!$F$3:$X$1101,19,0),"")</f>
        <v/>
      </c>
      <c r="CD816" s="448" t="str">
        <f>_xlfn.IFNA(VLOOKUP($BK816,Programma!$F$3:$Y$1101,20,0),"")</f>
        <v/>
      </c>
    </row>
    <row r="817" spans="1:82" ht="15" customHeight="1">
      <c r="A817" s="327">
        <v>24</v>
      </c>
      <c r="B817" s="435" t="str">
        <f>VLOOKUP(Ruimtestaat[[#This Row],[Code]],Locaties[[Code]:[Locatie]],2,FALSE)</f>
        <v>IKC De Gaerde</v>
      </c>
      <c r="C817" s="435" t="str">
        <f>VLOOKUP(Ruimtestaat[[#This Row],[Code]],Locaties[[#All],[Code]:[Adres]],4,FALSE)</f>
        <v>Moerbeigaarde 58A</v>
      </c>
      <c r="D817" s="435" t="str">
        <f>VLOOKUP(Ruimtestaat[[#This Row],[Code]],Locaties[[#All],[Code]:[Postcode]],5,FALSE)</f>
        <v>2723 AG</v>
      </c>
      <c r="E817" s="435" t="str">
        <f>VLOOKUP(Ruimtestaat[[#This Row],[Code]],Locaties[#All],6,FALSE)</f>
        <v>Zoetermeer</v>
      </c>
      <c r="F817" s="450"/>
      <c r="G817" s="330" t="s">
        <v>1678</v>
      </c>
      <c r="H817" s="330" t="s">
        <v>1905</v>
      </c>
      <c r="I817" s="450" t="s">
        <v>1901</v>
      </c>
      <c r="J817" s="330">
        <v>11</v>
      </c>
      <c r="K817" s="450" t="str">
        <f>VLOOKUP(Ruimtestaat[[#This Row],[Ruimte code]],Ruimtegroepen[[#All],[Code]:[Ruimte omschrijving]],2,FALSE)</f>
        <v>Garderobes</v>
      </c>
      <c r="L817" s="330" t="s">
        <v>100</v>
      </c>
      <c r="M817" s="437" t="s">
        <v>2058</v>
      </c>
      <c r="N817" s="439">
        <v>1.4</v>
      </c>
      <c r="O817" s="439"/>
      <c r="P817" s="439"/>
      <c r="Q817" s="439"/>
      <c r="R817" s="440" t="str">
        <f>VLOOKUP(Ruimtestaat[[#This Row],[Ruimte code]],Ruimtegroepen[],4,FALSE)</f>
        <v>Ve</v>
      </c>
      <c r="S817" s="434">
        <v>40</v>
      </c>
      <c r="T817" s="434" t="s">
        <v>2</v>
      </c>
      <c r="U817" s="453">
        <f>IF(S817&gt;0,IF(RIGHT(Ruimtestaat[[#This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7" s="434">
        <f>IF(U817&gt;0,VLOOKUP($J817,Ruimtegroepen[],3,FALSE)*VLOOKUP($L817,Vloersoorten[],3,FALSE)*VLOOKUP($T817,Frequenties[],3,FALSE)*VLOOKUP($A817,Locaties[],3,FALSE),0)</f>
        <v>0</v>
      </c>
      <c r="W817" s="434">
        <f>Ruimtestaat[[#This Row],[Uitvoeringen werkdagen]]*Ruimtestaat[[#This Row],[Oppervlak (netto)]]</f>
        <v>280</v>
      </c>
      <c r="X817" s="441">
        <f>IF(V817&gt;0,Ruimtestaat[[#This Row],[Prest. (m2 /jaar) werkdagen]]/Ruimtestaat[[#This Row],[Norm (m2/uur) werkdagen]],0)</f>
        <v>0</v>
      </c>
      <c r="Y817" s="442">
        <f>Ruimtestaat[[#This Row],[Uitvoeringen werkdagen]]*Ruimtestaat[[#This Row],[Gedeeltelijk]]</f>
        <v>0</v>
      </c>
      <c r="Z817" s="443" t="e">
        <f>IF(U817&gt;0,Ruimtestaat[[#This Row],[Prest. (m2 / jaar) werkdagen gedeeld]]/Ruimtestaat[[#This Row],[Norm (m2/uur) werkdagen]],0)</f>
        <v>#DIV/0!</v>
      </c>
      <c r="AA817" s="441" t="e">
        <f>Ruimtestaat[[#This Row],[uren / jaar werkdagen gedeeld]]*Tariefsopbouw!$E$35</f>
        <v>#DIV/0!</v>
      </c>
      <c r="AB817" s="441">
        <f>Ruimtestaat[[#This Row],[Uitvoeringen werkdagen]]*Ruimtestaat[[#This Row],[BSO]]</f>
        <v>0</v>
      </c>
      <c r="AC817" s="443" t="e">
        <f>IF(U817&gt;0,Ruimtestaat[[#This Row],[Prest. (m2 / jaar) werkdagen BSO]]/Ruimtestaat[[#This Row],[Norm (m2/uur) werkdagen]],0)</f>
        <v>#DIV/0!</v>
      </c>
      <c r="AD817" s="443" t="e">
        <f>Ruimtestaat[[#This Row],[uren / jaar werkdagen BSO]]*Tariefsopbouw!$E$35</f>
        <v>#DIV/0!</v>
      </c>
      <c r="AE817" s="444">
        <f>Ruimtestaat[[#This Row],[uren / jaar werkdagen]]*Tariefsopbouw!$E$35</f>
        <v>0</v>
      </c>
      <c r="AF817" s="454"/>
      <c r="AG817" s="455">
        <f>IF(Ruimtestaat[[#This Row],[Frequentie weekend]]&gt;0,VALUE(LEFT(AF817,1))*S817,0)</f>
        <v>0</v>
      </c>
      <c r="AH817" s="455">
        <f>IF($AG817&gt;0,VLOOKUP($J817,Ruimtegroepen[],3,FALSE)*VLOOKUP($L817,Vloersoorten[],3,FALSE)*VLOOKUP($AF817,Frequenties[],3,FALSE)*VLOOKUP(#REF!,Locaties[],3,FALSE),0)</f>
        <v>0</v>
      </c>
      <c r="AI817" s="434">
        <f>Ruimtestaat[[#This Row],[Uitvoeringen weekend]]*Ruimtestaat[[#This Row],[Oppervlak (netto)]]</f>
        <v>0</v>
      </c>
      <c r="AJ817" s="434">
        <f>IF(AH817&gt;0,Ruimtestaat[[#This Row],[Prest. (m2 /jaar) weekend]]/Ruimtestaat[[#This Row],[Norm (m2/uur) weekend]],0)</f>
        <v>0</v>
      </c>
      <c r="AK817" s="444">
        <f>Ruimtestaat[[#This Row],[uren / jaar weekend]]*Tariefsopbouw!$D$40</f>
        <v>0</v>
      </c>
      <c r="AL817" s="441">
        <f>Ruimtestaat[[#This Row],[Prest. (m2 /jaar) weekend]]+Ruimtestaat[[#This Row],[Prest. (m2 /jaar) werkdagen]]</f>
        <v>280</v>
      </c>
      <c r="AM817" s="441">
        <f>Ruimtestaat[[#This Row],[uren / jaar weekend]]+Ruimtestaat[[#This Row],[uren / jaar werkdagen]]</f>
        <v>0</v>
      </c>
      <c r="AN817" s="446">
        <f>Ruimtestaat[[#This Row],[kosten / jaar weekend]]+Ruimtestaat[[#This Row],[kosten / jaar werkdagen]]</f>
        <v>0</v>
      </c>
      <c r="AO817" s="446"/>
      <c r="AP817" s="446" t="str">
        <f>IF(Ruimtestaat[[#This Row],[Frequentie werkdagen]]="","",_xlfn.CONCAT(Ruimtestaat[[#This Row],[Ruimte code]],"-",Ruimtestaat[[#This Row],[Frequentie werkdagen]]," ",Ruimtestaat[[#This Row],[Vloer code]]))</f>
        <v>11-5w L</v>
      </c>
      <c r="AQ817" s="448" t="str">
        <f>_xlfn.IFNA(VLOOKUP($AP817,Programma!$F$3:$G$1101,2,0),"")</f>
        <v>_</v>
      </c>
      <c r="AR817" s="448" t="str">
        <f>_xlfn.IFNA(VLOOKUP($AP817,Programma!$F$3:$H$1101,3,0),"")</f>
        <v>_</v>
      </c>
      <c r="AS817" s="448" t="str">
        <f>_xlfn.IFNA(VLOOKUP($AP817,Programma!$F$3:$I$1101,4,0),"")</f>
        <v>4w</v>
      </c>
      <c r="AT817" s="448" t="str">
        <f>_xlfn.IFNA(VLOOKUP($AP817,Programma!$F$3:$J$1101,5,0),"")</f>
        <v>1w</v>
      </c>
      <c r="AU817" s="448" t="str">
        <f>_xlfn.IFNA(VLOOKUP($AP817,Programma!$F$3:$K$1101,6,0),"")</f>
        <v>_</v>
      </c>
      <c r="AV817" s="448" t="str">
        <f>_xlfn.IFNA(VLOOKUP($AP817,Programma!$F$3:$L$1101,7,0),"")</f>
        <v>_</v>
      </c>
      <c r="AW817" s="448" t="str">
        <f>_xlfn.IFNA(VLOOKUP($AP817,Programma!$F$3:$M$1101,8,0),"")</f>
        <v>_</v>
      </c>
      <c r="AX817" s="448" t="str">
        <f>_xlfn.IFNA(VLOOKUP($AP817,Programma!$F$3:$N$1101,9,0),"")</f>
        <v>_</v>
      </c>
      <c r="AY817" s="448" t="str">
        <f>_xlfn.IFNA(VLOOKUP($AP817,Programma!$F$3:$O$1101,10,0),"")</f>
        <v>5w</v>
      </c>
      <c r="AZ817" s="448" t="str">
        <f>_xlfn.IFNA(VLOOKUP($AP817,Programma!$F$3:$P$1101,11,0),"")</f>
        <v>5w</v>
      </c>
      <c r="BA817" s="448" t="str">
        <f>_xlfn.IFNA(VLOOKUP($AP817,Programma!$F$3:$Q$1101,12,0),"")</f>
        <v>1w</v>
      </c>
      <c r="BB817" s="448" t="str">
        <f>_xlfn.IFNA(VLOOKUP($AP817,Programma!$F$3:$R$1101,13,0),"")</f>
        <v>1w</v>
      </c>
      <c r="BC817" s="448" t="str">
        <f>_xlfn.IFNA(VLOOKUP($AP817,Programma!$F$3:$S$1101,14,0),"")</f>
        <v>1m</v>
      </c>
      <c r="BD817" s="448" t="str">
        <f>_xlfn.IFNA(VLOOKUP($AP817,Programma!$F$3:$T$1101,15,0),"")</f>
        <v>2j</v>
      </c>
      <c r="BE817" s="448" t="str">
        <f>_xlfn.IFNA(VLOOKUP($AP817,Programma!$F$3:$U$1101,16,0),"")</f>
        <v>1j</v>
      </c>
      <c r="BF817" s="448" t="str">
        <f>_xlfn.IFNA(VLOOKUP($AP817,Programma!$F$3:$V$1101,17,0),"")</f>
        <v>_</v>
      </c>
      <c r="BG817" s="448" t="str">
        <f>_xlfn.IFNA(VLOOKUP($AP817,Programma!$F$3:$W$1101,18,0),"")</f>
        <v>_</v>
      </c>
      <c r="BH817" s="448" t="str">
        <f>_xlfn.IFNA(VLOOKUP($AP817,Programma!$F$3:$X$1101,19,0),"")</f>
        <v>_</v>
      </c>
      <c r="BI817" s="448" t="str">
        <f>_xlfn.IFNA(VLOOKUP($AP817,Programma!$F$3:$Y$1101,20,0),"")</f>
        <v>_</v>
      </c>
      <c r="BJ817" s="449"/>
      <c r="BK817" s="446" t="str">
        <f>IF(Ruimtestaat[[#This Row],[Frequentie weekend]]="","",_xlfn.CONCAT(Ruimtestaat[[#This Row],[Ruimte code]],"-",Ruimtestaat[[#This Row],[Frequentie weekend]]," ",Ruimtestaat[[#This Row],[Vloer code]]))</f>
        <v/>
      </c>
      <c r="BL817" s="448" t="str">
        <f>_xlfn.IFNA(VLOOKUP($BK817,Programma!$F$3:$G$1101,2,0),"")</f>
        <v/>
      </c>
      <c r="BM817" s="448" t="str">
        <f>_xlfn.IFNA(VLOOKUP($BK817,Programma!$F$3:$H$1101,3,0),"")</f>
        <v/>
      </c>
      <c r="BN817" s="448" t="str">
        <f>_xlfn.IFNA(VLOOKUP($BK817,Programma!$F$3:$I$1101,4,0),"")</f>
        <v/>
      </c>
      <c r="BO817" s="448" t="str">
        <f>_xlfn.IFNA(VLOOKUP($BK817,Programma!$F$3:$J$1101,5,0),"")</f>
        <v/>
      </c>
      <c r="BP817" s="448" t="str">
        <f>_xlfn.IFNA(VLOOKUP($BK817,Programma!$F$3:$K$1101,6,0),"")</f>
        <v/>
      </c>
      <c r="BQ817" s="448" t="str">
        <f>_xlfn.IFNA(VLOOKUP($BK817,Programma!$F$3:$L$1101,7,0),"")</f>
        <v/>
      </c>
      <c r="BR817" s="448" t="str">
        <f>_xlfn.IFNA(VLOOKUP($BK817,Programma!$F$3:$M$1101,8,0),"")</f>
        <v/>
      </c>
      <c r="BS817" s="448" t="str">
        <f>_xlfn.IFNA(VLOOKUP($BK817,Programma!$F$3:$N$1101,9,0),"")</f>
        <v/>
      </c>
      <c r="BT817" s="448" t="str">
        <f>_xlfn.IFNA(VLOOKUP($BK817,Programma!$F$3:$O$1101,10,0),"")</f>
        <v/>
      </c>
      <c r="BU817" s="448" t="str">
        <f>_xlfn.IFNA(VLOOKUP($BK817,Programma!$F$3:$P$1101,11,0),"")</f>
        <v/>
      </c>
      <c r="BV817" s="448" t="str">
        <f>_xlfn.IFNA(VLOOKUP($BK817,Programma!$F$3:$Q$1101,12,0),"")</f>
        <v/>
      </c>
      <c r="BW817" s="448" t="str">
        <f>_xlfn.IFNA(VLOOKUP($BK817,Programma!$F$3:$R$1101,13,0),"")</f>
        <v/>
      </c>
      <c r="BX817" s="448" t="str">
        <f>_xlfn.IFNA(VLOOKUP($BK817,Programma!$F$3:$S$1101,14,0),"")</f>
        <v/>
      </c>
      <c r="BY817" s="448" t="str">
        <f>_xlfn.IFNA(VLOOKUP($BK817,Programma!$F$3:$T$1101,15,0),"")</f>
        <v/>
      </c>
      <c r="BZ817" s="448" t="str">
        <f>_xlfn.IFNA(VLOOKUP($BK817,Programma!$F$3:$U$1101,16,0),"")</f>
        <v/>
      </c>
      <c r="CA817" s="448" t="str">
        <f>_xlfn.IFNA(VLOOKUP($BK817,Programma!$F$3:$V$1101,17,0),"")</f>
        <v/>
      </c>
      <c r="CB817" s="448" t="str">
        <f>_xlfn.IFNA(VLOOKUP($BK817,Programma!$F$3:$W$1101,18,0),"")</f>
        <v/>
      </c>
      <c r="CC817" s="448" t="str">
        <f>_xlfn.IFNA(VLOOKUP($BK817,Programma!$F$3:$X$1101,19,0),"")</f>
        <v/>
      </c>
      <c r="CD817" s="448" t="str">
        <f>_xlfn.IFNA(VLOOKUP($BK817,Programma!$F$3:$Y$1101,20,0),"")</f>
        <v/>
      </c>
    </row>
    <row r="818" spans="1:82" ht="15" customHeight="1">
      <c r="A818" s="327">
        <v>24</v>
      </c>
      <c r="B818" s="435" t="str">
        <f>VLOOKUP(Ruimtestaat[[#This Row],[Code]],Locaties[[Code]:[Locatie]],2,FALSE)</f>
        <v>IKC De Gaerde</v>
      </c>
      <c r="C818" s="435" t="str">
        <f>VLOOKUP(Ruimtestaat[[#This Row],[Code]],Locaties[[#All],[Code]:[Adres]],4,FALSE)</f>
        <v>Moerbeigaarde 58A</v>
      </c>
      <c r="D818" s="435" t="str">
        <f>VLOOKUP(Ruimtestaat[[#This Row],[Code]],Locaties[[#All],[Code]:[Postcode]],5,FALSE)</f>
        <v>2723 AG</v>
      </c>
      <c r="E818" s="435" t="str">
        <f>VLOOKUP(Ruimtestaat[[#This Row],[Code]],Locaties[#All],6,FALSE)</f>
        <v>Zoetermeer</v>
      </c>
      <c r="F818" s="450"/>
      <c r="G818" s="330" t="s">
        <v>1678</v>
      </c>
      <c r="H818" s="330" t="s">
        <v>1907</v>
      </c>
      <c r="I818" s="450" t="s">
        <v>1914</v>
      </c>
      <c r="J818" s="330">
        <v>1</v>
      </c>
      <c r="K818" s="450" t="str">
        <f>VLOOKUP(Ruimtestaat[[#This Row],[Ruimte code]],Ruimtegroepen[[#All],[Code]:[Ruimte omschrijving]],2,FALSE)</f>
        <v>Magazijnen/bergingen</v>
      </c>
      <c r="L818" s="330" t="s">
        <v>100</v>
      </c>
      <c r="M818" s="437" t="s">
        <v>2058</v>
      </c>
      <c r="N818" s="439">
        <v>1.8</v>
      </c>
      <c r="O818" s="439"/>
      <c r="P818" s="439"/>
      <c r="Q818" s="439"/>
      <c r="R818" s="440" t="str">
        <f>VLOOKUP(Ruimtestaat[[#This Row],[Ruimte code]],Ruimtegroepen[],4,FALSE)</f>
        <v>Ve</v>
      </c>
      <c r="S818" s="434">
        <v>40</v>
      </c>
      <c r="T818" s="434" t="s">
        <v>16</v>
      </c>
      <c r="U818" s="453">
        <f>IF(S818&gt;0,IF(RIGHT(Ruimtestaat[[#This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18" s="434">
        <f>IF(U818&gt;0,VLOOKUP($J818,Ruimtegroepen[],3,FALSE)*VLOOKUP($L818,Vloersoorten[],3,FALSE)*VLOOKUP($T818,Frequenties[],3,FALSE)*VLOOKUP($A818,Locaties[],3,FALSE),0)</f>
        <v>0</v>
      </c>
      <c r="W818" s="434">
        <f>Ruimtestaat[[#This Row],[Uitvoeringen werkdagen]]*Ruimtestaat[[#This Row],[Oppervlak (netto)]]</f>
        <v>21.6</v>
      </c>
      <c r="X818" s="441">
        <f>IF(V818&gt;0,Ruimtestaat[[#This Row],[Prest. (m2 /jaar) werkdagen]]/Ruimtestaat[[#This Row],[Norm (m2/uur) werkdagen]],0)</f>
        <v>0</v>
      </c>
      <c r="Y818" s="442">
        <f>Ruimtestaat[[#This Row],[Uitvoeringen werkdagen]]*Ruimtestaat[[#This Row],[Gedeeltelijk]]</f>
        <v>0</v>
      </c>
      <c r="Z818" s="443" t="e">
        <f>IF(U818&gt;0,Ruimtestaat[[#This Row],[Prest. (m2 / jaar) werkdagen gedeeld]]/Ruimtestaat[[#This Row],[Norm (m2/uur) werkdagen]],0)</f>
        <v>#DIV/0!</v>
      </c>
      <c r="AA818" s="441" t="e">
        <f>Ruimtestaat[[#This Row],[uren / jaar werkdagen gedeeld]]*Tariefsopbouw!$E$35</f>
        <v>#DIV/0!</v>
      </c>
      <c r="AB818" s="441">
        <f>Ruimtestaat[[#This Row],[Uitvoeringen werkdagen]]*Ruimtestaat[[#This Row],[BSO]]</f>
        <v>0</v>
      </c>
      <c r="AC818" s="443" t="e">
        <f>IF(U818&gt;0,Ruimtestaat[[#This Row],[Prest. (m2 / jaar) werkdagen BSO]]/Ruimtestaat[[#This Row],[Norm (m2/uur) werkdagen]],0)</f>
        <v>#DIV/0!</v>
      </c>
      <c r="AD818" s="443" t="e">
        <f>Ruimtestaat[[#This Row],[uren / jaar werkdagen BSO]]*Tariefsopbouw!$E$35</f>
        <v>#DIV/0!</v>
      </c>
      <c r="AE818" s="444">
        <f>Ruimtestaat[[#This Row],[uren / jaar werkdagen]]*Tariefsopbouw!$E$35</f>
        <v>0</v>
      </c>
      <c r="AF818" s="454"/>
      <c r="AG818" s="455">
        <f>IF(Ruimtestaat[[#This Row],[Frequentie weekend]]&gt;0,VALUE(LEFT(AF818,1))*S818,0)</f>
        <v>0</v>
      </c>
      <c r="AH818" s="455">
        <f>IF($AG818&gt;0,VLOOKUP($J818,Ruimtegroepen[],3,FALSE)*VLOOKUP($L818,Vloersoorten[],3,FALSE)*VLOOKUP($AF818,Frequenties[],3,FALSE)*VLOOKUP(#REF!,Locaties[],3,FALSE),0)</f>
        <v>0</v>
      </c>
      <c r="AI818" s="434">
        <f>Ruimtestaat[[#This Row],[Uitvoeringen weekend]]*Ruimtestaat[[#This Row],[Oppervlak (netto)]]</f>
        <v>0</v>
      </c>
      <c r="AJ818" s="434">
        <f>IF(AH818&gt;0,Ruimtestaat[[#This Row],[Prest. (m2 /jaar) weekend]]/Ruimtestaat[[#This Row],[Norm (m2/uur) weekend]],0)</f>
        <v>0</v>
      </c>
      <c r="AK818" s="444">
        <f>Ruimtestaat[[#This Row],[uren / jaar weekend]]*Tariefsopbouw!$D$40</f>
        <v>0</v>
      </c>
      <c r="AL818" s="441">
        <f>Ruimtestaat[[#This Row],[Prest. (m2 /jaar) weekend]]+Ruimtestaat[[#This Row],[Prest. (m2 /jaar) werkdagen]]</f>
        <v>21.6</v>
      </c>
      <c r="AM818" s="441">
        <f>Ruimtestaat[[#This Row],[uren / jaar weekend]]+Ruimtestaat[[#This Row],[uren / jaar werkdagen]]</f>
        <v>0</v>
      </c>
      <c r="AN818" s="446">
        <f>Ruimtestaat[[#This Row],[kosten / jaar weekend]]+Ruimtestaat[[#This Row],[kosten / jaar werkdagen]]</f>
        <v>0</v>
      </c>
      <c r="AO818" s="446"/>
      <c r="AP818" s="446" t="str">
        <f>IF(Ruimtestaat[[#This Row],[Frequentie werkdagen]]="","",_xlfn.CONCAT(Ruimtestaat[[#This Row],[Ruimte code]],"-",Ruimtestaat[[#This Row],[Frequentie werkdagen]]," ",Ruimtestaat[[#This Row],[Vloer code]]))</f>
        <v>1-1m L</v>
      </c>
      <c r="AQ818" s="448" t="str">
        <f>_xlfn.IFNA(VLOOKUP($AP818,Programma!$F$3:$G$1101,2,0),"")</f>
        <v>_</v>
      </c>
      <c r="AR818" s="448" t="str">
        <f>_xlfn.IFNA(VLOOKUP($AP818,Programma!$F$3:$H$1101,3,0),"")</f>
        <v>_</v>
      </c>
      <c r="AS818" s="448" t="str">
        <f>_xlfn.IFNA(VLOOKUP($AP818,Programma!$F$3:$I$1101,4,0),"")</f>
        <v>1m</v>
      </c>
      <c r="AT818" s="448" t="str">
        <f>_xlfn.IFNA(VLOOKUP($AP818,Programma!$F$3:$J$1101,5,0),"")</f>
        <v>1m</v>
      </c>
      <c r="AU818" s="448" t="str">
        <f>_xlfn.IFNA(VLOOKUP($AP818,Programma!$F$3:$K$1101,6,0),"")</f>
        <v>_</v>
      </c>
      <c r="AV818" s="448" t="str">
        <f>_xlfn.IFNA(VLOOKUP($AP818,Programma!$F$3:$L$1101,7,0),"")</f>
        <v>_</v>
      </c>
      <c r="AW818" s="448" t="str">
        <f>_xlfn.IFNA(VLOOKUP($AP818,Programma!$F$3:$M$1101,8,0),"")</f>
        <v>_</v>
      </c>
      <c r="AX818" s="448" t="str">
        <f>_xlfn.IFNA(VLOOKUP($AP818,Programma!$F$3:$N$1101,9,0),"")</f>
        <v>_</v>
      </c>
      <c r="AY818" s="448" t="str">
        <f>_xlfn.IFNA(VLOOKUP($AP818,Programma!$F$3:$O$1101,10,0),"")</f>
        <v>_</v>
      </c>
      <c r="AZ818" s="448" t="str">
        <f>_xlfn.IFNA(VLOOKUP($AP818,Programma!$F$3:$P$1101,11,0),"")</f>
        <v>_</v>
      </c>
      <c r="BA818" s="448" t="str">
        <f>_xlfn.IFNA(VLOOKUP($AP818,Programma!$F$3:$Q$1101,12,0),"")</f>
        <v>_</v>
      </c>
      <c r="BB818" s="448" t="str">
        <f>_xlfn.IFNA(VLOOKUP($AP818,Programma!$F$3:$R$1101,13,0),"")</f>
        <v>_</v>
      </c>
      <c r="BC818" s="448" t="str">
        <f>_xlfn.IFNA(VLOOKUP($AP818,Programma!$F$3:$S$1101,14,0),"")</f>
        <v>1m</v>
      </c>
      <c r="BD818" s="448" t="str">
        <f>_xlfn.IFNA(VLOOKUP($AP818,Programma!$F$3:$T$1101,15,0),"")</f>
        <v>4j</v>
      </c>
      <c r="BE818" s="448" t="str">
        <f>_xlfn.IFNA(VLOOKUP($AP818,Programma!$F$3:$U$1101,16,0),"")</f>
        <v>4j</v>
      </c>
      <c r="BF818" s="448" t="str">
        <f>_xlfn.IFNA(VLOOKUP($AP818,Programma!$F$3:$V$1101,17,0),"")</f>
        <v>_</v>
      </c>
      <c r="BG818" s="448" t="str">
        <f>_xlfn.IFNA(VLOOKUP($AP818,Programma!$F$3:$W$1101,18,0),"")</f>
        <v>_</v>
      </c>
      <c r="BH818" s="448" t="str">
        <f>_xlfn.IFNA(VLOOKUP($AP818,Programma!$F$3:$X$1101,19,0),"")</f>
        <v>_</v>
      </c>
      <c r="BI818" s="448" t="str">
        <f>_xlfn.IFNA(VLOOKUP($AP818,Programma!$F$3:$Y$1101,20,0),"")</f>
        <v>_</v>
      </c>
      <c r="BJ818" s="449"/>
      <c r="BK818" s="446" t="str">
        <f>IF(Ruimtestaat[[#This Row],[Frequentie weekend]]="","",_xlfn.CONCAT(Ruimtestaat[[#This Row],[Ruimte code]],"-",Ruimtestaat[[#This Row],[Frequentie weekend]]," ",Ruimtestaat[[#This Row],[Vloer code]]))</f>
        <v/>
      </c>
      <c r="BL818" s="448" t="str">
        <f>_xlfn.IFNA(VLOOKUP($BK818,Programma!$F$3:$G$1101,2,0),"")</f>
        <v/>
      </c>
      <c r="BM818" s="448" t="str">
        <f>_xlfn.IFNA(VLOOKUP($BK818,Programma!$F$3:$H$1101,3,0),"")</f>
        <v/>
      </c>
      <c r="BN818" s="448" t="str">
        <f>_xlfn.IFNA(VLOOKUP($BK818,Programma!$F$3:$I$1101,4,0),"")</f>
        <v/>
      </c>
      <c r="BO818" s="448" t="str">
        <f>_xlfn.IFNA(VLOOKUP($BK818,Programma!$F$3:$J$1101,5,0),"")</f>
        <v/>
      </c>
      <c r="BP818" s="448" t="str">
        <f>_xlfn.IFNA(VLOOKUP($BK818,Programma!$F$3:$K$1101,6,0),"")</f>
        <v/>
      </c>
      <c r="BQ818" s="448" t="str">
        <f>_xlfn.IFNA(VLOOKUP($BK818,Programma!$F$3:$L$1101,7,0),"")</f>
        <v/>
      </c>
      <c r="BR818" s="448" t="str">
        <f>_xlfn.IFNA(VLOOKUP($BK818,Programma!$F$3:$M$1101,8,0),"")</f>
        <v/>
      </c>
      <c r="BS818" s="448" t="str">
        <f>_xlfn.IFNA(VLOOKUP($BK818,Programma!$F$3:$N$1101,9,0),"")</f>
        <v/>
      </c>
      <c r="BT818" s="448" t="str">
        <f>_xlfn.IFNA(VLOOKUP($BK818,Programma!$F$3:$O$1101,10,0),"")</f>
        <v/>
      </c>
      <c r="BU818" s="448" t="str">
        <f>_xlfn.IFNA(VLOOKUP($BK818,Programma!$F$3:$P$1101,11,0),"")</f>
        <v/>
      </c>
      <c r="BV818" s="448" t="str">
        <f>_xlfn.IFNA(VLOOKUP($BK818,Programma!$F$3:$Q$1101,12,0),"")</f>
        <v/>
      </c>
      <c r="BW818" s="448" t="str">
        <f>_xlfn.IFNA(VLOOKUP($BK818,Programma!$F$3:$R$1101,13,0),"")</f>
        <v/>
      </c>
      <c r="BX818" s="448" t="str">
        <f>_xlfn.IFNA(VLOOKUP($BK818,Programma!$F$3:$S$1101,14,0),"")</f>
        <v/>
      </c>
      <c r="BY818" s="448" t="str">
        <f>_xlfn.IFNA(VLOOKUP($BK818,Programma!$F$3:$T$1101,15,0),"")</f>
        <v/>
      </c>
      <c r="BZ818" s="448" t="str">
        <f>_xlfn.IFNA(VLOOKUP($BK818,Programma!$F$3:$U$1101,16,0),"")</f>
        <v/>
      </c>
      <c r="CA818" s="448" t="str">
        <f>_xlfn.IFNA(VLOOKUP($BK818,Programma!$F$3:$V$1101,17,0),"")</f>
        <v/>
      </c>
      <c r="CB818" s="448" t="str">
        <f>_xlfn.IFNA(VLOOKUP($BK818,Programma!$F$3:$W$1101,18,0),"")</f>
        <v/>
      </c>
      <c r="CC818" s="448" t="str">
        <f>_xlfn.IFNA(VLOOKUP($BK818,Programma!$F$3:$X$1101,19,0),"")</f>
        <v/>
      </c>
      <c r="CD818" s="448" t="str">
        <f>_xlfn.IFNA(VLOOKUP($BK818,Programma!$F$3:$Y$1101,20,0),"")</f>
        <v/>
      </c>
    </row>
    <row r="819" spans="1:82" ht="15" customHeight="1">
      <c r="A819" s="327">
        <v>24</v>
      </c>
      <c r="B819" s="435" t="str">
        <f>VLOOKUP(Ruimtestaat[[#This Row],[Code]],Locaties[[Code]:[Locatie]],2,FALSE)</f>
        <v>IKC De Gaerde</v>
      </c>
      <c r="C819" s="435" t="str">
        <f>VLOOKUP(Ruimtestaat[[#This Row],[Code]],Locaties[[#All],[Code]:[Adres]],4,FALSE)</f>
        <v>Moerbeigaarde 58A</v>
      </c>
      <c r="D819" s="435" t="str">
        <f>VLOOKUP(Ruimtestaat[[#This Row],[Code]],Locaties[[#All],[Code]:[Postcode]],5,FALSE)</f>
        <v>2723 AG</v>
      </c>
      <c r="E819" s="435" t="str">
        <f>VLOOKUP(Ruimtestaat[[#This Row],[Code]],Locaties[#All],6,FALSE)</f>
        <v>Zoetermeer</v>
      </c>
      <c r="F819" s="450"/>
      <c r="G819" s="330" t="s">
        <v>1678</v>
      </c>
      <c r="H819" s="330" t="s">
        <v>1909</v>
      </c>
      <c r="I819" s="450" t="s">
        <v>1842</v>
      </c>
      <c r="J819" s="330">
        <v>16</v>
      </c>
      <c r="K819" s="450" t="str">
        <f>VLOOKUP(Ruimtestaat[[#This Row],[Ruimte code]],Ruimtegroepen[[#All],[Code]:[Ruimte omschrijving]],2,FALSE)</f>
        <v>Leslokalen</v>
      </c>
      <c r="L819" s="330" t="s">
        <v>100</v>
      </c>
      <c r="M819" s="437" t="s">
        <v>2058</v>
      </c>
      <c r="N819" s="439">
        <v>49.4</v>
      </c>
      <c r="O819" s="439"/>
      <c r="P819" s="439"/>
      <c r="Q819" s="439"/>
      <c r="R819" s="440" t="str">
        <f>VLOOKUP(Ruimtestaat[[#This Row],[Ruimte code]],Ruimtegroepen[],4,FALSE)</f>
        <v>Le</v>
      </c>
      <c r="S819" s="434">
        <v>40</v>
      </c>
      <c r="T819" s="434" t="s">
        <v>2</v>
      </c>
      <c r="U819" s="453">
        <f>IF(S819&gt;0,IF(RIGHT(Ruimtestaat[[#This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9" s="434">
        <f>IF(U819&gt;0,VLOOKUP($J819,Ruimtegroepen[],3,FALSE)*VLOOKUP($L819,Vloersoorten[],3,FALSE)*VLOOKUP($T819,Frequenties[],3,FALSE)*VLOOKUP($A819,Locaties[],3,FALSE),0)</f>
        <v>0</v>
      </c>
      <c r="W819" s="434">
        <f>Ruimtestaat[[#This Row],[Uitvoeringen werkdagen]]*Ruimtestaat[[#This Row],[Oppervlak (netto)]]</f>
        <v>9880</v>
      </c>
      <c r="X819" s="441">
        <f>IF(V819&gt;0,Ruimtestaat[[#This Row],[Prest. (m2 /jaar) werkdagen]]/Ruimtestaat[[#This Row],[Norm (m2/uur) werkdagen]],0)</f>
        <v>0</v>
      </c>
      <c r="Y819" s="442">
        <f>Ruimtestaat[[#This Row],[Uitvoeringen werkdagen]]*Ruimtestaat[[#This Row],[Gedeeltelijk]]</f>
        <v>0</v>
      </c>
      <c r="Z819" s="443" t="e">
        <f>IF(U819&gt;0,Ruimtestaat[[#This Row],[Prest. (m2 / jaar) werkdagen gedeeld]]/Ruimtestaat[[#This Row],[Norm (m2/uur) werkdagen]],0)</f>
        <v>#DIV/0!</v>
      </c>
      <c r="AA819" s="441" t="e">
        <f>Ruimtestaat[[#This Row],[uren / jaar werkdagen gedeeld]]*Tariefsopbouw!$E$35</f>
        <v>#DIV/0!</v>
      </c>
      <c r="AB819" s="441">
        <f>Ruimtestaat[[#This Row],[Uitvoeringen werkdagen]]*Ruimtestaat[[#This Row],[BSO]]</f>
        <v>0</v>
      </c>
      <c r="AC819" s="443" t="e">
        <f>IF(U819&gt;0,Ruimtestaat[[#This Row],[Prest. (m2 / jaar) werkdagen BSO]]/Ruimtestaat[[#This Row],[Norm (m2/uur) werkdagen]],0)</f>
        <v>#DIV/0!</v>
      </c>
      <c r="AD819" s="443" t="e">
        <f>Ruimtestaat[[#This Row],[uren / jaar werkdagen BSO]]*Tariefsopbouw!$E$35</f>
        <v>#DIV/0!</v>
      </c>
      <c r="AE819" s="444">
        <f>Ruimtestaat[[#This Row],[uren / jaar werkdagen]]*Tariefsopbouw!$E$35</f>
        <v>0</v>
      </c>
      <c r="AF819" s="454"/>
      <c r="AG819" s="455">
        <f>IF(Ruimtestaat[[#This Row],[Frequentie weekend]]&gt;0,VALUE(LEFT(AF819,1))*S819,0)</f>
        <v>0</v>
      </c>
      <c r="AH819" s="455">
        <f>IF($AG819&gt;0,VLOOKUP($J819,Ruimtegroepen[],3,FALSE)*VLOOKUP($L819,Vloersoorten[],3,FALSE)*VLOOKUP($AF819,Frequenties[],3,FALSE)*VLOOKUP(#REF!,Locaties[],3,FALSE),0)</f>
        <v>0</v>
      </c>
      <c r="AI819" s="434">
        <f>Ruimtestaat[[#This Row],[Uitvoeringen weekend]]*Ruimtestaat[[#This Row],[Oppervlak (netto)]]</f>
        <v>0</v>
      </c>
      <c r="AJ819" s="434">
        <f>IF(AH819&gt;0,Ruimtestaat[[#This Row],[Prest. (m2 /jaar) weekend]]/Ruimtestaat[[#This Row],[Norm (m2/uur) weekend]],0)</f>
        <v>0</v>
      </c>
      <c r="AK819" s="444">
        <f>Ruimtestaat[[#This Row],[uren / jaar weekend]]*Tariefsopbouw!$D$40</f>
        <v>0</v>
      </c>
      <c r="AL819" s="441">
        <f>Ruimtestaat[[#This Row],[Prest. (m2 /jaar) weekend]]+Ruimtestaat[[#This Row],[Prest. (m2 /jaar) werkdagen]]</f>
        <v>9880</v>
      </c>
      <c r="AM819" s="441">
        <f>Ruimtestaat[[#This Row],[uren / jaar weekend]]+Ruimtestaat[[#This Row],[uren / jaar werkdagen]]</f>
        <v>0</v>
      </c>
      <c r="AN819" s="446">
        <f>Ruimtestaat[[#This Row],[kosten / jaar weekend]]+Ruimtestaat[[#This Row],[kosten / jaar werkdagen]]</f>
        <v>0</v>
      </c>
      <c r="AO819" s="446"/>
      <c r="AP819" s="446" t="str">
        <f>IF(Ruimtestaat[[#This Row],[Frequentie werkdagen]]="","",_xlfn.CONCAT(Ruimtestaat[[#This Row],[Ruimte code]],"-",Ruimtestaat[[#This Row],[Frequentie werkdagen]]," ",Ruimtestaat[[#This Row],[Vloer code]]))</f>
        <v>16-5w L</v>
      </c>
      <c r="AQ819" s="448" t="str">
        <f>_xlfn.IFNA(VLOOKUP($AP819,Programma!$F$3:$G$1101,2,0),"")</f>
        <v>_</v>
      </c>
      <c r="AR819" s="448" t="str">
        <f>_xlfn.IFNA(VLOOKUP($AP819,Programma!$F$3:$H$1101,3,0),"")</f>
        <v>_</v>
      </c>
      <c r="AS819" s="448" t="str">
        <f>_xlfn.IFNA(VLOOKUP($AP819,Programma!$F$3:$I$1101,4,0),"")</f>
        <v>4w</v>
      </c>
      <c r="AT819" s="448" t="str">
        <f>_xlfn.IFNA(VLOOKUP($AP819,Programma!$F$3:$J$1101,5,0),"")</f>
        <v>1w</v>
      </c>
      <c r="AU819" s="448" t="str">
        <f>_xlfn.IFNA(VLOOKUP($AP819,Programma!$F$3:$K$1101,6,0),"")</f>
        <v>_</v>
      </c>
      <c r="AV819" s="448" t="str">
        <f>_xlfn.IFNA(VLOOKUP($AP819,Programma!$F$3:$L$1101,7,0),"")</f>
        <v>_</v>
      </c>
      <c r="AW819" s="448" t="str">
        <f>_xlfn.IFNA(VLOOKUP($AP819,Programma!$F$3:$M$1101,8,0),"")</f>
        <v>_</v>
      </c>
      <c r="AX819" s="448" t="str">
        <f>_xlfn.IFNA(VLOOKUP($AP819,Programma!$F$3:$N$1101,9,0),"")</f>
        <v>_</v>
      </c>
      <c r="AY819" s="448" t="str">
        <f>_xlfn.IFNA(VLOOKUP($AP819,Programma!$F$3:$O$1101,10,0),"")</f>
        <v>5w</v>
      </c>
      <c r="AZ819" s="448" t="str">
        <f>_xlfn.IFNA(VLOOKUP($AP819,Programma!$F$3:$P$1101,11,0),"")</f>
        <v>5w</v>
      </c>
      <c r="BA819" s="448" t="str">
        <f>_xlfn.IFNA(VLOOKUP($AP819,Programma!$F$3:$Q$1101,12,0),"")</f>
        <v>1w</v>
      </c>
      <c r="BB819" s="448" t="str">
        <f>_xlfn.IFNA(VLOOKUP($AP819,Programma!$F$3:$R$1101,13,0),"")</f>
        <v>1w</v>
      </c>
      <c r="BC819" s="448" t="str">
        <f>_xlfn.IFNA(VLOOKUP($AP819,Programma!$F$3:$S$1101,14,0),"")</f>
        <v>1m</v>
      </c>
      <c r="BD819" s="448" t="str">
        <f>_xlfn.IFNA(VLOOKUP($AP819,Programma!$F$3:$T$1101,15,0),"")</f>
        <v>2j</v>
      </c>
      <c r="BE819" s="448" t="str">
        <f>_xlfn.IFNA(VLOOKUP($AP819,Programma!$F$3:$U$1101,16,0),"")</f>
        <v>1j</v>
      </c>
      <c r="BF819" s="448" t="str">
        <f>_xlfn.IFNA(VLOOKUP($AP819,Programma!$F$3:$V$1101,17,0),"")</f>
        <v>_</v>
      </c>
      <c r="BG819" s="448" t="str">
        <f>_xlfn.IFNA(VLOOKUP($AP819,Programma!$F$3:$W$1101,18,0),"")</f>
        <v>_</v>
      </c>
      <c r="BH819" s="448" t="str">
        <f>_xlfn.IFNA(VLOOKUP($AP819,Programma!$F$3:$X$1101,19,0),"")</f>
        <v>_</v>
      </c>
      <c r="BI819" s="448" t="str">
        <f>_xlfn.IFNA(VLOOKUP($AP819,Programma!$F$3:$Y$1101,20,0),"")</f>
        <v>_</v>
      </c>
      <c r="BJ819" s="449"/>
      <c r="BK819" s="446" t="str">
        <f>IF(Ruimtestaat[[#This Row],[Frequentie weekend]]="","",_xlfn.CONCAT(Ruimtestaat[[#This Row],[Ruimte code]],"-",Ruimtestaat[[#This Row],[Frequentie weekend]]," ",Ruimtestaat[[#This Row],[Vloer code]]))</f>
        <v/>
      </c>
      <c r="BL819" s="448" t="str">
        <f>_xlfn.IFNA(VLOOKUP($BK819,Programma!$F$3:$G$1101,2,0),"")</f>
        <v/>
      </c>
      <c r="BM819" s="448" t="str">
        <f>_xlfn.IFNA(VLOOKUP($BK819,Programma!$F$3:$H$1101,3,0),"")</f>
        <v/>
      </c>
      <c r="BN819" s="448" t="str">
        <f>_xlfn.IFNA(VLOOKUP($BK819,Programma!$F$3:$I$1101,4,0),"")</f>
        <v/>
      </c>
      <c r="BO819" s="448" t="str">
        <f>_xlfn.IFNA(VLOOKUP($BK819,Programma!$F$3:$J$1101,5,0),"")</f>
        <v/>
      </c>
      <c r="BP819" s="448" t="str">
        <f>_xlfn.IFNA(VLOOKUP($BK819,Programma!$F$3:$K$1101,6,0),"")</f>
        <v/>
      </c>
      <c r="BQ819" s="448" t="str">
        <f>_xlfn.IFNA(VLOOKUP($BK819,Programma!$F$3:$L$1101,7,0),"")</f>
        <v/>
      </c>
      <c r="BR819" s="448" t="str">
        <f>_xlfn.IFNA(VLOOKUP($BK819,Programma!$F$3:$M$1101,8,0),"")</f>
        <v/>
      </c>
      <c r="BS819" s="448" t="str">
        <f>_xlfn.IFNA(VLOOKUP($BK819,Programma!$F$3:$N$1101,9,0),"")</f>
        <v/>
      </c>
      <c r="BT819" s="448" t="str">
        <f>_xlfn.IFNA(VLOOKUP($BK819,Programma!$F$3:$O$1101,10,0),"")</f>
        <v/>
      </c>
      <c r="BU819" s="448" t="str">
        <f>_xlfn.IFNA(VLOOKUP($BK819,Programma!$F$3:$P$1101,11,0),"")</f>
        <v/>
      </c>
      <c r="BV819" s="448" t="str">
        <f>_xlfn.IFNA(VLOOKUP($BK819,Programma!$F$3:$Q$1101,12,0),"")</f>
        <v/>
      </c>
      <c r="BW819" s="448" t="str">
        <f>_xlfn.IFNA(VLOOKUP($BK819,Programma!$F$3:$R$1101,13,0),"")</f>
        <v/>
      </c>
      <c r="BX819" s="448" t="str">
        <f>_xlfn.IFNA(VLOOKUP($BK819,Programma!$F$3:$S$1101,14,0),"")</f>
        <v/>
      </c>
      <c r="BY819" s="448" t="str">
        <f>_xlfn.IFNA(VLOOKUP($BK819,Programma!$F$3:$T$1101,15,0),"")</f>
        <v/>
      </c>
      <c r="BZ819" s="448" t="str">
        <f>_xlfn.IFNA(VLOOKUP($BK819,Programma!$F$3:$U$1101,16,0),"")</f>
        <v/>
      </c>
      <c r="CA819" s="448" t="str">
        <f>_xlfn.IFNA(VLOOKUP($BK819,Programma!$F$3:$V$1101,17,0),"")</f>
        <v/>
      </c>
      <c r="CB819" s="448" t="str">
        <f>_xlfn.IFNA(VLOOKUP($BK819,Programma!$F$3:$W$1101,18,0),"")</f>
        <v/>
      </c>
      <c r="CC819" s="448" t="str">
        <f>_xlfn.IFNA(VLOOKUP($BK819,Programma!$F$3:$X$1101,19,0),"")</f>
        <v/>
      </c>
      <c r="CD819" s="448" t="str">
        <f>_xlfn.IFNA(VLOOKUP($BK819,Programma!$F$3:$Y$1101,20,0),"")</f>
        <v/>
      </c>
    </row>
    <row r="820" spans="1:82" ht="15" customHeight="1">
      <c r="A820" s="327">
        <v>24</v>
      </c>
      <c r="B820" s="435" t="str">
        <f>VLOOKUP(Ruimtestaat[[#This Row],[Code]],Locaties[[Code]:[Locatie]],2,FALSE)</f>
        <v>IKC De Gaerde</v>
      </c>
      <c r="C820" s="435" t="str">
        <f>VLOOKUP(Ruimtestaat[[#This Row],[Code]],Locaties[[#All],[Code]:[Adres]],4,FALSE)</f>
        <v>Moerbeigaarde 58A</v>
      </c>
      <c r="D820" s="435" t="str">
        <f>VLOOKUP(Ruimtestaat[[#This Row],[Code]],Locaties[[#All],[Code]:[Postcode]],5,FALSE)</f>
        <v>2723 AG</v>
      </c>
      <c r="E820" s="435" t="str">
        <f>VLOOKUP(Ruimtestaat[[#This Row],[Code]],Locaties[#All],6,FALSE)</f>
        <v>Zoetermeer</v>
      </c>
      <c r="F820" s="450"/>
      <c r="G820" s="330" t="s">
        <v>1678</v>
      </c>
      <c r="H820" s="330" t="s">
        <v>1910</v>
      </c>
      <c r="I820" s="450" t="s">
        <v>2025</v>
      </c>
      <c r="J820" s="330">
        <v>9</v>
      </c>
      <c r="K820" s="450" t="str">
        <f>VLOOKUP(Ruimtestaat[[#This Row],[Ruimte code]],Ruimtegroepen[[#All],[Code]:[Ruimte omschrijving]],2,FALSE)</f>
        <v>Bibliotheek/OLC</v>
      </c>
      <c r="L820" s="330" t="s">
        <v>100</v>
      </c>
      <c r="M820" s="437" t="s">
        <v>2058</v>
      </c>
      <c r="N820" s="439">
        <v>15.1</v>
      </c>
      <c r="O820" s="439"/>
      <c r="P820" s="439"/>
      <c r="Q820" s="439"/>
      <c r="R820" s="440" t="str">
        <f>VLOOKUP(Ruimtestaat[[#This Row],[Ruimte code]],Ruimtegroepen[],4,FALSE)</f>
        <v>Le</v>
      </c>
      <c r="S820" s="434">
        <v>40</v>
      </c>
      <c r="T820" s="434" t="s">
        <v>2</v>
      </c>
      <c r="U820" s="453">
        <f>IF(S820&gt;0,IF(RIGHT(Ruimtestaat[[#This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0" s="434">
        <f>IF(U820&gt;0,VLOOKUP($J820,Ruimtegroepen[],3,FALSE)*VLOOKUP($L820,Vloersoorten[],3,FALSE)*VLOOKUP($T820,Frequenties[],3,FALSE)*VLOOKUP($A820,Locaties[],3,FALSE),0)</f>
        <v>0</v>
      </c>
      <c r="W820" s="434">
        <f>Ruimtestaat[[#This Row],[Uitvoeringen werkdagen]]*Ruimtestaat[[#This Row],[Oppervlak (netto)]]</f>
        <v>3020</v>
      </c>
      <c r="X820" s="441">
        <f>IF(V820&gt;0,Ruimtestaat[[#This Row],[Prest. (m2 /jaar) werkdagen]]/Ruimtestaat[[#This Row],[Norm (m2/uur) werkdagen]],0)</f>
        <v>0</v>
      </c>
      <c r="Y820" s="442">
        <f>Ruimtestaat[[#This Row],[Uitvoeringen werkdagen]]*Ruimtestaat[[#This Row],[Gedeeltelijk]]</f>
        <v>0</v>
      </c>
      <c r="Z820" s="443" t="e">
        <f>IF(U820&gt;0,Ruimtestaat[[#This Row],[Prest. (m2 / jaar) werkdagen gedeeld]]/Ruimtestaat[[#This Row],[Norm (m2/uur) werkdagen]],0)</f>
        <v>#DIV/0!</v>
      </c>
      <c r="AA820" s="441" t="e">
        <f>Ruimtestaat[[#This Row],[uren / jaar werkdagen gedeeld]]*Tariefsopbouw!$E$35</f>
        <v>#DIV/0!</v>
      </c>
      <c r="AB820" s="441">
        <f>Ruimtestaat[[#This Row],[Uitvoeringen werkdagen]]*Ruimtestaat[[#This Row],[BSO]]</f>
        <v>0</v>
      </c>
      <c r="AC820" s="443" t="e">
        <f>IF(U820&gt;0,Ruimtestaat[[#This Row],[Prest. (m2 / jaar) werkdagen BSO]]/Ruimtestaat[[#This Row],[Norm (m2/uur) werkdagen]],0)</f>
        <v>#DIV/0!</v>
      </c>
      <c r="AD820" s="443" t="e">
        <f>Ruimtestaat[[#This Row],[uren / jaar werkdagen BSO]]*Tariefsopbouw!$E$35</f>
        <v>#DIV/0!</v>
      </c>
      <c r="AE820" s="444">
        <f>Ruimtestaat[[#This Row],[uren / jaar werkdagen]]*Tariefsopbouw!$E$35</f>
        <v>0</v>
      </c>
      <c r="AF820" s="454"/>
      <c r="AG820" s="455">
        <f>IF(Ruimtestaat[[#This Row],[Frequentie weekend]]&gt;0,VALUE(LEFT(AF820,1))*S820,0)</f>
        <v>0</v>
      </c>
      <c r="AH820" s="455">
        <f>IF($AG820&gt;0,VLOOKUP($J820,Ruimtegroepen[],3,FALSE)*VLOOKUP($L820,Vloersoorten[],3,FALSE)*VLOOKUP($AF820,Frequenties[],3,FALSE)*VLOOKUP(#REF!,Locaties[],3,FALSE),0)</f>
        <v>0</v>
      </c>
      <c r="AI820" s="434">
        <f>Ruimtestaat[[#This Row],[Uitvoeringen weekend]]*Ruimtestaat[[#This Row],[Oppervlak (netto)]]</f>
        <v>0</v>
      </c>
      <c r="AJ820" s="434">
        <f>IF(AH820&gt;0,Ruimtestaat[[#This Row],[Prest. (m2 /jaar) weekend]]/Ruimtestaat[[#This Row],[Norm (m2/uur) weekend]],0)</f>
        <v>0</v>
      </c>
      <c r="AK820" s="444">
        <f>Ruimtestaat[[#This Row],[uren / jaar weekend]]*Tariefsopbouw!$D$40</f>
        <v>0</v>
      </c>
      <c r="AL820" s="441">
        <f>Ruimtestaat[[#This Row],[Prest. (m2 /jaar) weekend]]+Ruimtestaat[[#This Row],[Prest. (m2 /jaar) werkdagen]]</f>
        <v>3020</v>
      </c>
      <c r="AM820" s="441">
        <f>Ruimtestaat[[#This Row],[uren / jaar weekend]]+Ruimtestaat[[#This Row],[uren / jaar werkdagen]]</f>
        <v>0</v>
      </c>
      <c r="AN820" s="446">
        <f>Ruimtestaat[[#This Row],[kosten / jaar weekend]]+Ruimtestaat[[#This Row],[kosten / jaar werkdagen]]</f>
        <v>0</v>
      </c>
      <c r="AO820" s="446"/>
      <c r="AP820" s="446" t="str">
        <f>IF(Ruimtestaat[[#This Row],[Frequentie werkdagen]]="","",_xlfn.CONCAT(Ruimtestaat[[#This Row],[Ruimte code]],"-",Ruimtestaat[[#This Row],[Frequentie werkdagen]]," ",Ruimtestaat[[#This Row],[Vloer code]]))</f>
        <v>9-5w L</v>
      </c>
      <c r="AQ820" s="448" t="str">
        <f>_xlfn.IFNA(VLOOKUP($AP820,Programma!$F$3:$G$1101,2,0),"")</f>
        <v>_</v>
      </c>
      <c r="AR820" s="448" t="str">
        <f>_xlfn.IFNA(VLOOKUP($AP820,Programma!$F$3:$H$1101,3,0),"")</f>
        <v>_</v>
      </c>
      <c r="AS820" s="448" t="str">
        <f>_xlfn.IFNA(VLOOKUP($AP820,Programma!$F$3:$I$1101,4,0),"")</f>
        <v>4w</v>
      </c>
      <c r="AT820" s="448" t="str">
        <f>_xlfn.IFNA(VLOOKUP($AP820,Programma!$F$3:$J$1101,5,0),"")</f>
        <v>1w</v>
      </c>
      <c r="AU820" s="448" t="str">
        <f>_xlfn.IFNA(VLOOKUP($AP820,Programma!$F$3:$K$1101,6,0),"")</f>
        <v>_</v>
      </c>
      <c r="AV820" s="448" t="str">
        <f>_xlfn.IFNA(VLOOKUP($AP820,Programma!$F$3:$L$1101,7,0),"")</f>
        <v>_</v>
      </c>
      <c r="AW820" s="448" t="str">
        <f>_xlfn.IFNA(VLOOKUP($AP820,Programma!$F$3:$M$1101,8,0),"")</f>
        <v>_</v>
      </c>
      <c r="AX820" s="448" t="str">
        <f>_xlfn.IFNA(VLOOKUP($AP820,Programma!$F$3:$N$1101,9,0),"")</f>
        <v>_</v>
      </c>
      <c r="AY820" s="448" t="str">
        <f>_xlfn.IFNA(VLOOKUP($AP820,Programma!$F$3:$O$1101,10,0),"")</f>
        <v>5w</v>
      </c>
      <c r="AZ820" s="448" t="str">
        <f>_xlfn.IFNA(VLOOKUP($AP820,Programma!$F$3:$P$1101,11,0),"")</f>
        <v>5w</v>
      </c>
      <c r="BA820" s="448" t="str">
        <f>_xlfn.IFNA(VLOOKUP($AP820,Programma!$F$3:$Q$1101,12,0),"")</f>
        <v>1w</v>
      </c>
      <c r="BB820" s="448" t="str">
        <f>_xlfn.IFNA(VLOOKUP($AP820,Programma!$F$3:$R$1101,13,0),"")</f>
        <v>1w</v>
      </c>
      <c r="BC820" s="448" t="str">
        <f>_xlfn.IFNA(VLOOKUP($AP820,Programma!$F$3:$S$1101,14,0),"")</f>
        <v>1m</v>
      </c>
      <c r="BD820" s="448" t="str">
        <f>_xlfn.IFNA(VLOOKUP($AP820,Programma!$F$3:$T$1101,15,0),"")</f>
        <v>2j</v>
      </c>
      <c r="BE820" s="448" t="str">
        <f>_xlfn.IFNA(VLOOKUP($AP820,Programma!$F$3:$U$1101,16,0),"")</f>
        <v>1j</v>
      </c>
      <c r="BF820" s="448" t="str">
        <f>_xlfn.IFNA(VLOOKUP($AP820,Programma!$F$3:$V$1101,17,0),"")</f>
        <v>_</v>
      </c>
      <c r="BG820" s="448" t="str">
        <f>_xlfn.IFNA(VLOOKUP($AP820,Programma!$F$3:$W$1101,18,0),"")</f>
        <v>_</v>
      </c>
      <c r="BH820" s="448" t="str">
        <f>_xlfn.IFNA(VLOOKUP($AP820,Programma!$F$3:$X$1101,19,0),"")</f>
        <v>_</v>
      </c>
      <c r="BI820" s="448" t="str">
        <f>_xlfn.IFNA(VLOOKUP($AP820,Programma!$F$3:$Y$1101,20,0),"")</f>
        <v>_</v>
      </c>
      <c r="BJ820" s="449"/>
      <c r="BK820" s="446" t="str">
        <f>IF(Ruimtestaat[[#This Row],[Frequentie weekend]]="","",_xlfn.CONCAT(Ruimtestaat[[#This Row],[Ruimte code]],"-",Ruimtestaat[[#This Row],[Frequentie weekend]]," ",Ruimtestaat[[#This Row],[Vloer code]]))</f>
        <v/>
      </c>
      <c r="BL820" s="448" t="str">
        <f>_xlfn.IFNA(VLOOKUP($BK820,Programma!$F$3:$G$1101,2,0),"")</f>
        <v/>
      </c>
      <c r="BM820" s="448" t="str">
        <f>_xlfn.IFNA(VLOOKUP($BK820,Programma!$F$3:$H$1101,3,0),"")</f>
        <v/>
      </c>
      <c r="BN820" s="448" t="str">
        <f>_xlfn.IFNA(VLOOKUP($BK820,Programma!$F$3:$I$1101,4,0),"")</f>
        <v/>
      </c>
      <c r="BO820" s="448" t="str">
        <f>_xlfn.IFNA(VLOOKUP($BK820,Programma!$F$3:$J$1101,5,0),"")</f>
        <v/>
      </c>
      <c r="BP820" s="448" t="str">
        <f>_xlfn.IFNA(VLOOKUP($BK820,Programma!$F$3:$K$1101,6,0),"")</f>
        <v/>
      </c>
      <c r="BQ820" s="448" t="str">
        <f>_xlfn.IFNA(VLOOKUP($BK820,Programma!$F$3:$L$1101,7,0),"")</f>
        <v/>
      </c>
      <c r="BR820" s="448" t="str">
        <f>_xlfn.IFNA(VLOOKUP($BK820,Programma!$F$3:$M$1101,8,0),"")</f>
        <v/>
      </c>
      <c r="BS820" s="448" t="str">
        <f>_xlfn.IFNA(VLOOKUP($BK820,Programma!$F$3:$N$1101,9,0),"")</f>
        <v/>
      </c>
      <c r="BT820" s="448" t="str">
        <f>_xlfn.IFNA(VLOOKUP($BK820,Programma!$F$3:$O$1101,10,0),"")</f>
        <v/>
      </c>
      <c r="BU820" s="448" t="str">
        <f>_xlfn.IFNA(VLOOKUP($BK820,Programma!$F$3:$P$1101,11,0),"")</f>
        <v/>
      </c>
      <c r="BV820" s="448" t="str">
        <f>_xlfn.IFNA(VLOOKUP($BK820,Programma!$F$3:$Q$1101,12,0),"")</f>
        <v/>
      </c>
      <c r="BW820" s="448" t="str">
        <f>_xlfn.IFNA(VLOOKUP($BK820,Programma!$F$3:$R$1101,13,0),"")</f>
        <v/>
      </c>
      <c r="BX820" s="448" t="str">
        <f>_xlfn.IFNA(VLOOKUP($BK820,Programma!$F$3:$S$1101,14,0),"")</f>
        <v/>
      </c>
      <c r="BY820" s="448" t="str">
        <f>_xlfn.IFNA(VLOOKUP($BK820,Programma!$F$3:$T$1101,15,0),"")</f>
        <v/>
      </c>
      <c r="BZ820" s="448" t="str">
        <f>_xlfn.IFNA(VLOOKUP($BK820,Programma!$F$3:$U$1101,16,0),"")</f>
        <v/>
      </c>
      <c r="CA820" s="448" t="str">
        <f>_xlfn.IFNA(VLOOKUP($BK820,Programma!$F$3:$V$1101,17,0),"")</f>
        <v/>
      </c>
      <c r="CB820" s="448" t="str">
        <f>_xlfn.IFNA(VLOOKUP($BK820,Programma!$F$3:$W$1101,18,0),"")</f>
        <v/>
      </c>
      <c r="CC820" s="448" t="str">
        <f>_xlfn.IFNA(VLOOKUP($BK820,Programma!$F$3:$X$1101,19,0),"")</f>
        <v/>
      </c>
      <c r="CD820" s="448" t="str">
        <f>_xlfn.IFNA(VLOOKUP($BK820,Programma!$F$3:$Y$1101,20,0),"")</f>
        <v/>
      </c>
    </row>
    <row r="821" spans="1:82" ht="15" customHeight="1">
      <c r="A821" s="327">
        <v>24</v>
      </c>
      <c r="B821" s="435" t="str">
        <f>VLOOKUP(Ruimtestaat[[#This Row],[Code]],Locaties[[Code]:[Locatie]],2,FALSE)</f>
        <v>IKC De Gaerde</v>
      </c>
      <c r="C821" s="435" t="str">
        <f>VLOOKUP(Ruimtestaat[[#This Row],[Code]],Locaties[[#All],[Code]:[Adres]],4,FALSE)</f>
        <v>Moerbeigaarde 58A</v>
      </c>
      <c r="D821" s="435" t="str">
        <f>VLOOKUP(Ruimtestaat[[#This Row],[Code]],Locaties[[#All],[Code]:[Postcode]],5,FALSE)</f>
        <v>2723 AG</v>
      </c>
      <c r="E821" s="435" t="str">
        <f>VLOOKUP(Ruimtestaat[[#This Row],[Code]],Locaties[#All],6,FALSE)</f>
        <v>Zoetermeer</v>
      </c>
      <c r="F821" s="450"/>
      <c r="G821" s="330" t="s">
        <v>1678</v>
      </c>
      <c r="H821" s="330" t="s">
        <v>1912</v>
      </c>
      <c r="I821" s="450" t="s">
        <v>1901</v>
      </c>
      <c r="J821" s="330">
        <v>11</v>
      </c>
      <c r="K821" s="450" t="str">
        <f>VLOOKUP(Ruimtestaat[[#This Row],[Ruimte code]],Ruimtegroepen[[#All],[Code]:[Ruimte omschrijving]],2,FALSE)</f>
        <v>Garderobes</v>
      </c>
      <c r="L821" s="330" t="s">
        <v>100</v>
      </c>
      <c r="M821" s="437" t="s">
        <v>2058</v>
      </c>
      <c r="N821" s="439">
        <v>1.4</v>
      </c>
      <c r="O821" s="439"/>
      <c r="P821" s="439"/>
      <c r="Q821" s="439"/>
      <c r="R821" s="440" t="str">
        <f>VLOOKUP(Ruimtestaat[[#This Row],[Ruimte code]],Ruimtegroepen[],4,FALSE)</f>
        <v>Ve</v>
      </c>
      <c r="S821" s="434">
        <v>40</v>
      </c>
      <c r="T821" s="434" t="s">
        <v>2</v>
      </c>
      <c r="U821" s="453">
        <f>IF(S821&gt;0,IF(RIGHT(Ruimtestaat[[#This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1" s="434">
        <f>IF(U821&gt;0,VLOOKUP($J821,Ruimtegroepen[],3,FALSE)*VLOOKUP($L821,Vloersoorten[],3,FALSE)*VLOOKUP($T821,Frequenties[],3,FALSE)*VLOOKUP($A821,Locaties[],3,FALSE),0)</f>
        <v>0</v>
      </c>
      <c r="W821" s="434">
        <f>Ruimtestaat[[#This Row],[Uitvoeringen werkdagen]]*Ruimtestaat[[#This Row],[Oppervlak (netto)]]</f>
        <v>280</v>
      </c>
      <c r="X821" s="441">
        <f>IF(V821&gt;0,Ruimtestaat[[#This Row],[Prest. (m2 /jaar) werkdagen]]/Ruimtestaat[[#This Row],[Norm (m2/uur) werkdagen]],0)</f>
        <v>0</v>
      </c>
      <c r="Y821" s="442">
        <f>Ruimtestaat[[#This Row],[Uitvoeringen werkdagen]]*Ruimtestaat[[#This Row],[Gedeeltelijk]]</f>
        <v>0</v>
      </c>
      <c r="Z821" s="443" t="e">
        <f>IF(U821&gt;0,Ruimtestaat[[#This Row],[Prest. (m2 / jaar) werkdagen gedeeld]]/Ruimtestaat[[#This Row],[Norm (m2/uur) werkdagen]],0)</f>
        <v>#DIV/0!</v>
      </c>
      <c r="AA821" s="441" t="e">
        <f>Ruimtestaat[[#This Row],[uren / jaar werkdagen gedeeld]]*Tariefsopbouw!$E$35</f>
        <v>#DIV/0!</v>
      </c>
      <c r="AB821" s="441">
        <f>Ruimtestaat[[#This Row],[Uitvoeringen werkdagen]]*Ruimtestaat[[#This Row],[BSO]]</f>
        <v>0</v>
      </c>
      <c r="AC821" s="443" t="e">
        <f>IF(U821&gt;0,Ruimtestaat[[#This Row],[Prest. (m2 / jaar) werkdagen BSO]]/Ruimtestaat[[#This Row],[Norm (m2/uur) werkdagen]],0)</f>
        <v>#DIV/0!</v>
      </c>
      <c r="AD821" s="443" t="e">
        <f>Ruimtestaat[[#This Row],[uren / jaar werkdagen BSO]]*Tariefsopbouw!$E$35</f>
        <v>#DIV/0!</v>
      </c>
      <c r="AE821" s="444">
        <f>Ruimtestaat[[#This Row],[uren / jaar werkdagen]]*Tariefsopbouw!$E$35</f>
        <v>0</v>
      </c>
      <c r="AF821" s="454"/>
      <c r="AG821" s="455">
        <f>IF(Ruimtestaat[[#This Row],[Frequentie weekend]]&gt;0,VALUE(LEFT(AF821,1))*S821,0)</f>
        <v>0</v>
      </c>
      <c r="AH821" s="455">
        <f>IF($AG821&gt;0,VLOOKUP($J821,Ruimtegroepen[],3,FALSE)*VLOOKUP($L821,Vloersoorten[],3,FALSE)*VLOOKUP($AF821,Frequenties[],3,FALSE)*VLOOKUP(#REF!,Locaties[],3,FALSE),0)</f>
        <v>0</v>
      </c>
      <c r="AI821" s="434">
        <f>Ruimtestaat[[#This Row],[Uitvoeringen weekend]]*Ruimtestaat[[#This Row],[Oppervlak (netto)]]</f>
        <v>0</v>
      </c>
      <c r="AJ821" s="434">
        <f>IF(AH821&gt;0,Ruimtestaat[[#This Row],[Prest. (m2 /jaar) weekend]]/Ruimtestaat[[#This Row],[Norm (m2/uur) weekend]],0)</f>
        <v>0</v>
      </c>
      <c r="AK821" s="444">
        <f>Ruimtestaat[[#This Row],[uren / jaar weekend]]*Tariefsopbouw!$D$40</f>
        <v>0</v>
      </c>
      <c r="AL821" s="441">
        <f>Ruimtestaat[[#This Row],[Prest. (m2 /jaar) weekend]]+Ruimtestaat[[#This Row],[Prest. (m2 /jaar) werkdagen]]</f>
        <v>280</v>
      </c>
      <c r="AM821" s="441">
        <f>Ruimtestaat[[#This Row],[uren / jaar weekend]]+Ruimtestaat[[#This Row],[uren / jaar werkdagen]]</f>
        <v>0</v>
      </c>
      <c r="AN821" s="446">
        <f>Ruimtestaat[[#This Row],[kosten / jaar weekend]]+Ruimtestaat[[#This Row],[kosten / jaar werkdagen]]</f>
        <v>0</v>
      </c>
      <c r="AO821" s="446"/>
      <c r="AP821" s="446" t="str">
        <f>IF(Ruimtestaat[[#This Row],[Frequentie werkdagen]]="","",_xlfn.CONCAT(Ruimtestaat[[#This Row],[Ruimte code]],"-",Ruimtestaat[[#This Row],[Frequentie werkdagen]]," ",Ruimtestaat[[#This Row],[Vloer code]]))</f>
        <v>11-5w L</v>
      </c>
      <c r="AQ821" s="448" t="str">
        <f>_xlfn.IFNA(VLOOKUP($AP821,Programma!$F$3:$G$1101,2,0),"")</f>
        <v>_</v>
      </c>
      <c r="AR821" s="448" t="str">
        <f>_xlfn.IFNA(VLOOKUP($AP821,Programma!$F$3:$H$1101,3,0),"")</f>
        <v>_</v>
      </c>
      <c r="AS821" s="448" t="str">
        <f>_xlfn.IFNA(VLOOKUP($AP821,Programma!$F$3:$I$1101,4,0),"")</f>
        <v>4w</v>
      </c>
      <c r="AT821" s="448" t="str">
        <f>_xlfn.IFNA(VLOOKUP($AP821,Programma!$F$3:$J$1101,5,0),"")</f>
        <v>1w</v>
      </c>
      <c r="AU821" s="448" t="str">
        <f>_xlfn.IFNA(VLOOKUP($AP821,Programma!$F$3:$K$1101,6,0),"")</f>
        <v>_</v>
      </c>
      <c r="AV821" s="448" t="str">
        <f>_xlfn.IFNA(VLOOKUP($AP821,Programma!$F$3:$L$1101,7,0),"")</f>
        <v>_</v>
      </c>
      <c r="AW821" s="448" t="str">
        <f>_xlfn.IFNA(VLOOKUP($AP821,Programma!$F$3:$M$1101,8,0),"")</f>
        <v>_</v>
      </c>
      <c r="AX821" s="448" t="str">
        <f>_xlfn.IFNA(VLOOKUP($AP821,Programma!$F$3:$N$1101,9,0),"")</f>
        <v>_</v>
      </c>
      <c r="AY821" s="448" t="str">
        <f>_xlfn.IFNA(VLOOKUP($AP821,Programma!$F$3:$O$1101,10,0),"")</f>
        <v>5w</v>
      </c>
      <c r="AZ821" s="448" t="str">
        <f>_xlfn.IFNA(VLOOKUP($AP821,Programma!$F$3:$P$1101,11,0),"")</f>
        <v>5w</v>
      </c>
      <c r="BA821" s="448" t="str">
        <f>_xlfn.IFNA(VLOOKUP($AP821,Programma!$F$3:$Q$1101,12,0),"")</f>
        <v>1w</v>
      </c>
      <c r="BB821" s="448" t="str">
        <f>_xlfn.IFNA(VLOOKUP($AP821,Programma!$F$3:$R$1101,13,0),"")</f>
        <v>1w</v>
      </c>
      <c r="BC821" s="448" t="str">
        <f>_xlfn.IFNA(VLOOKUP($AP821,Programma!$F$3:$S$1101,14,0),"")</f>
        <v>1m</v>
      </c>
      <c r="BD821" s="448" t="str">
        <f>_xlfn.IFNA(VLOOKUP($AP821,Programma!$F$3:$T$1101,15,0),"")</f>
        <v>2j</v>
      </c>
      <c r="BE821" s="448" t="str">
        <f>_xlfn.IFNA(VLOOKUP($AP821,Programma!$F$3:$U$1101,16,0),"")</f>
        <v>1j</v>
      </c>
      <c r="BF821" s="448" t="str">
        <f>_xlfn.IFNA(VLOOKUP($AP821,Programma!$F$3:$V$1101,17,0),"")</f>
        <v>_</v>
      </c>
      <c r="BG821" s="448" t="str">
        <f>_xlfn.IFNA(VLOOKUP($AP821,Programma!$F$3:$W$1101,18,0),"")</f>
        <v>_</v>
      </c>
      <c r="BH821" s="448" t="str">
        <f>_xlfn.IFNA(VLOOKUP($AP821,Programma!$F$3:$X$1101,19,0),"")</f>
        <v>_</v>
      </c>
      <c r="BI821" s="448" t="str">
        <f>_xlfn.IFNA(VLOOKUP($AP821,Programma!$F$3:$Y$1101,20,0),"")</f>
        <v>_</v>
      </c>
      <c r="BJ821" s="449"/>
      <c r="BK821" s="446" t="str">
        <f>IF(Ruimtestaat[[#This Row],[Frequentie weekend]]="","",_xlfn.CONCAT(Ruimtestaat[[#This Row],[Ruimte code]],"-",Ruimtestaat[[#This Row],[Frequentie weekend]]," ",Ruimtestaat[[#This Row],[Vloer code]]))</f>
        <v/>
      </c>
      <c r="BL821" s="448" t="str">
        <f>_xlfn.IFNA(VLOOKUP($BK821,Programma!$F$3:$G$1101,2,0),"")</f>
        <v/>
      </c>
      <c r="BM821" s="448" t="str">
        <f>_xlfn.IFNA(VLOOKUP($BK821,Programma!$F$3:$H$1101,3,0),"")</f>
        <v/>
      </c>
      <c r="BN821" s="448" t="str">
        <f>_xlfn.IFNA(VLOOKUP($BK821,Programma!$F$3:$I$1101,4,0),"")</f>
        <v/>
      </c>
      <c r="BO821" s="448" t="str">
        <f>_xlfn.IFNA(VLOOKUP($BK821,Programma!$F$3:$J$1101,5,0),"")</f>
        <v/>
      </c>
      <c r="BP821" s="448" t="str">
        <f>_xlfn.IFNA(VLOOKUP($BK821,Programma!$F$3:$K$1101,6,0),"")</f>
        <v/>
      </c>
      <c r="BQ821" s="448" t="str">
        <f>_xlfn.IFNA(VLOOKUP($BK821,Programma!$F$3:$L$1101,7,0),"")</f>
        <v/>
      </c>
      <c r="BR821" s="448" t="str">
        <f>_xlfn.IFNA(VLOOKUP($BK821,Programma!$F$3:$M$1101,8,0),"")</f>
        <v/>
      </c>
      <c r="BS821" s="448" t="str">
        <f>_xlfn.IFNA(VLOOKUP($BK821,Programma!$F$3:$N$1101,9,0),"")</f>
        <v/>
      </c>
      <c r="BT821" s="448" t="str">
        <f>_xlfn.IFNA(VLOOKUP($BK821,Programma!$F$3:$O$1101,10,0),"")</f>
        <v/>
      </c>
      <c r="BU821" s="448" t="str">
        <f>_xlfn.IFNA(VLOOKUP($BK821,Programma!$F$3:$P$1101,11,0),"")</f>
        <v/>
      </c>
      <c r="BV821" s="448" t="str">
        <f>_xlfn.IFNA(VLOOKUP($BK821,Programma!$F$3:$Q$1101,12,0),"")</f>
        <v/>
      </c>
      <c r="BW821" s="448" t="str">
        <f>_xlfn.IFNA(VLOOKUP($BK821,Programma!$F$3:$R$1101,13,0),"")</f>
        <v/>
      </c>
      <c r="BX821" s="448" t="str">
        <f>_xlfn.IFNA(VLOOKUP($BK821,Programma!$F$3:$S$1101,14,0),"")</f>
        <v/>
      </c>
      <c r="BY821" s="448" t="str">
        <f>_xlfn.IFNA(VLOOKUP($BK821,Programma!$F$3:$T$1101,15,0),"")</f>
        <v/>
      </c>
      <c r="BZ821" s="448" t="str">
        <f>_xlfn.IFNA(VLOOKUP($BK821,Programma!$F$3:$U$1101,16,0),"")</f>
        <v/>
      </c>
      <c r="CA821" s="448" t="str">
        <f>_xlfn.IFNA(VLOOKUP($BK821,Programma!$F$3:$V$1101,17,0),"")</f>
        <v/>
      </c>
      <c r="CB821" s="448" t="str">
        <f>_xlfn.IFNA(VLOOKUP($BK821,Programma!$F$3:$W$1101,18,0),"")</f>
        <v/>
      </c>
      <c r="CC821" s="448" t="str">
        <f>_xlfn.IFNA(VLOOKUP($BK821,Programma!$F$3:$X$1101,19,0),"")</f>
        <v/>
      </c>
      <c r="CD821" s="448" t="str">
        <f>_xlfn.IFNA(VLOOKUP($BK821,Programma!$F$3:$Y$1101,20,0),"")</f>
        <v/>
      </c>
    </row>
    <row r="822" spans="1:82" ht="15" customHeight="1">
      <c r="A822" s="327">
        <v>24</v>
      </c>
      <c r="B822" s="435" t="str">
        <f>VLOOKUP(Ruimtestaat[[#This Row],[Code]],Locaties[[Code]:[Locatie]],2,FALSE)</f>
        <v>IKC De Gaerde</v>
      </c>
      <c r="C822" s="435" t="str">
        <f>VLOOKUP(Ruimtestaat[[#This Row],[Code]],Locaties[[#All],[Code]:[Adres]],4,FALSE)</f>
        <v>Moerbeigaarde 58A</v>
      </c>
      <c r="D822" s="435" t="str">
        <f>VLOOKUP(Ruimtestaat[[#This Row],[Code]],Locaties[[#All],[Code]:[Postcode]],5,FALSE)</f>
        <v>2723 AG</v>
      </c>
      <c r="E822" s="435" t="str">
        <f>VLOOKUP(Ruimtestaat[[#This Row],[Code]],Locaties[#All],6,FALSE)</f>
        <v>Zoetermeer</v>
      </c>
      <c r="F822" s="450"/>
      <c r="G822" s="330" t="s">
        <v>1678</v>
      </c>
      <c r="H822" s="330" t="s">
        <v>1915</v>
      </c>
      <c r="I822" s="450" t="s">
        <v>1914</v>
      </c>
      <c r="J822" s="330">
        <v>1</v>
      </c>
      <c r="K822" s="450" t="str">
        <f>VLOOKUP(Ruimtestaat[[#This Row],[Ruimte code]],Ruimtegroepen[[#All],[Code]:[Ruimte omschrijving]],2,FALSE)</f>
        <v>Magazijnen/bergingen</v>
      </c>
      <c r="L822" s="330" t="s">
        <v>100</v>
      </c>
      <c r="M822" s="437" t="s">
        <v>2058</v>
      </c>
      <c r="N822" s="439">
        <v>1.8</v>
      </c>
      <c r="O822" s="439"/>
      <c r="P822" s="439"/>
      <c r="Q822" s="439"/>
      <c r="R822" s="440" t="str">
        <f>VLOOKUP(Ruimtestaat[[#This Row],[Ruimte code]],Ruimtegroepen[],4,FALSE)</f>
        <v>Ve</v>
      </c>
      <c r="S822" s="434">
        <v>40</v>
      </c>
      <c r="T822" s="434" t="s">
        <v>16</v>
      </c>
      <c r="U822" s="453">
        <f>IF(S822&gt;0,IF(RIGHT(Ruimtestaat[[#This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22" s="434">
        <f>IF(U822&gt;0,VLOOKUP($J822,Ruimtegroepen[],3,FALSE)*VLOOKUP($L822,Vloersoorten[],3,FALSE)*VLOOKUP($T822,Frequenties[],3,FALSE)*VLOOKUP($A822,Locaties[],3,FALSE),0)</f>
        <v>0</v>
      </c>
      <c r="W822" s="434">
        <f>Ruimtestaat[[#This Row],[Uitvoeringen werkdagen]]*Ruimtestaat[[#This Row],[Oppervlak (netto)]]</f>
        <v>21.6</v>
      </c>
      <c r="X822" s="441">
        <f>IF(V822&gt;0,Ruimtestaat[[#This Row],[Prest. (m2 /jaar) werkdagen]]/Ruimtestaat[[#This Row],[Norm (m2/uur) werkdagen]],0)</f>
        <v>0</v>
      </c>
      <c r="Y822" s="442">
        <f>Ruimtestaat[[#This Row],[Uitvoeringen werkdagen]]*Ruimtestaat[[#This Row],[Gedeeltelijk]]</f>
        <v>0</v>
      </c>
      <c r="Z822" s="443" t="e">
        <f>IF(U822&gt;0,Ruimtestaat[[#This Row],[Prest. (m2 / jaar) werkdagen gedeeld]]/Ruimtestaat[[#This Row],[Norm (m2/uur) werkdagen]],0)</f>
        <v>#DIV/0!</v>
      </c>
      <c r="AA822" s="441" t="e">
        <f>Ruimtestaat[[#This Row],[uren / jaar werkdagen gedeeld]]*Tariefsopbouw!$E$35</f>
        <v>#DIV/0!</v>
      </c>
      <c r="AB822" s="441">
        <f>Ruimtestaat[[#This Row],[Uitvoeringen werkdagen]]*Ruimtestaat[[#This Row],[BSO]]</f>
        <v>0</v>
      </c>
      <c r="AC822" s="443" t="e">
        <f>IF(U822&gt;0,Ruimtestaat[[#This Row],[Prest. (m2 / jaar) werkdagen BSO]]/Ruimtestaat[[#This Row],[Norm (m2/uur) werkdagen]],0)</f>
        <v>#DIV/0!</v>
      </c>
      <c r="AD822" s="443" t="e">
        <f>Ruimtestaat[[#This Row],[uren / jaar werkdagen BSO]]*Tariefsopbouw!$E$35</f>
        <v>#DIV/0!</v>
      </c>
      <c r="AE822" s="444">
        <f>Ruimtestaat[[#This Row],[uren / jaar werkdagen]]*Tariefsopbouw!$E$35</f>
        <v>0</v>
      </c>
      <c r="AF822" s="454"/>
      <c r="AG822" s="455">
        <f>IF(Ruimtestaat[[#This Row],[Frequentie weekend]]&gt;0,VALUE(LEFT(AF822,1))*S822,0)</f>
        <v>0</v>
      </c>
      <c r="AH822" s="455">
        <f>IF($AG822&gt;0,VLOOKUP($J822,Ruimtegroepen[],3,FALSE)*VLOOKUP($L822,Vloersoorten[],3,FALSE)*VLOOKUP($AF822,Frequenties[],3,FALSE)*VLOOKUP(#REF!,Locaties[],3,FALSE),0)</f>
        <v>0</v>
      </c>
      <c r="AI822" s="434">
        <f>Ruimtestaat[[#This Row],[Uitvoeringen weekend]]*Ruimtestaat[[#This Row],[Oppervlak (netto)]]</f>
        <v>0</v>
      </c>
      <c r="AJ822" s="434">
        <f>IF(AH822&gt;0,Ruimtestaat[[#This Row],[Prest. (m2 /jaar) weekend]]/Ruimtestaat[[#This Row],[Norm (m2/uur) weekend]],0)</f>
        <v>0</v>
      </c>
      <c r="AK822" s="444">
        <f>Ruimtestaat[[#This Row],[uren / jaar weekend]]*Tariefsopbouw!$D$40</f>
        <v>0</v>
      </c>
      <c r="AL822" s="441">
        <f>Ruimtestaat[[#This Row],[Prest. (m2 /jaar) weekend]]+Ruimtestaat[[#This Row],[Prest. (m2 /jaar) werkdagen]]</f>
        <v>21.6</v>
      </c>
      <c r="AM822" s="441">
        <f>Ruimtestaat[[#This Row],[uren / jaar weekend]]+Ruimtestaat[[#This Row],[uren / jaar werkdagen]]</f>
        <v>0</v>
      </c>
      <c r="AN822" s="446">
        <f>Ruimtestaat[[#This Row],[kosten / jaar weekend]]+Ruimtestaat[[#This Row],[kosten / jaar werkdagen]]</f>
        <v>0</v>
      </c>
      <c r="AO822" s="446"/>
      <c r="AP822" s="446" t="str">
        <f>IF(Ruimtestaat[[#This Row],[Frequentie werkdagen]]="","",_xlfn.CONCAT(Ruimtestaat[[#This Row],[Ruimte code]],"-",Ruimtestaat[[#This Row],[Frequentie werkdagen]]," ",Ruimtestaat[[#This Row],[Vloer code]]))</f>
        <v>1-1m L</v>
      </c>
      <c r="AQ822" s="448" t="str">
        <f>_xlfn.IFNA(VLOOKUP($AP822,Programma!$F$3:$G$1101,2,0),"")</f>
        <v>_</v>
      </c>
      <c r="AR822" s="448" t="str">
        <f>_xlfn.IFNA(VLOOKUP($AP822,Programma!$F$3:$H$1101,3,0),"")</f>
        <v>_</v>
      </c>
      <c r="AS822" s="448" t="str">
        <f>_xlfn.IFNA(VLOOKUP($AP822,Programma!$F$3:$I$1101,4,0),"")</f>
        <v>1m</v>
      </c>
      <c r="AT822" s="448" t="str">
        <f>_xlfn.IFNA(VLOOKUP($AP822,Programma!$F$3:$J$1101,5,0),"")</f>
        <v>1m</v>
      </c>
      <c r="AU822" s="448" t="str">
        <f>_xlfn.IFNA(VLOOKUP($AP822,Programma!$F$3:$K$1101,6,0),"")</f>
        <v>_</v>
      </c>
      <c r="AV822" s="448" t="str">
        <f>_xlfn.IFNA(VLOOKUP($AP822,Programma!$F$3:$L$1101,7,0),"")</f>
        <v>_</v>
      </c>
      <c r="AW822" s="448" t="str">
        <f>_xlfn.IFNA(VLOOKUP($AP822,Programma!$F$3:$M$1101,8,0),"")</f>
        <v>_</v>
      </c>
      <c r="AX822" s="448" t="str">
        <f>_xlfn.IFNA(VLOOKUP($AP822,Programma!$F$3:$N$1101,9,0),"")</f>
        <v>_</v>
      </c>
      <c r="AY822" s="448" t="str">
        <f>_xlfn.IFNA(VLOOKUP($AP822,Programma!$F$3:$O$1101,10,0),"")</f>
        <v>_</v>
      </c>
      <c r="AZ822" s="448" t="str">
        <f>_xlfn.IFNA(VLOOKUP($AP822,Programma!$F$3:$P$1101,11,0),"")</f>
        <v>_</v>
      </c>
      <c r="BA822" s="448" t="str">
        <f>_xlfn.IFNA(VLOOKUP($AP822,Programma!$F$3:$Q$1101,12,0),"")</f>
        <v>_</v>
      </c>
      <c r="BB822" s="448" t="str">
        <f>_xlfn.IFNA(VLOOKUP($AP822,Programma!$F$3:$R$1101,13,0),"")</f>
        <v>_</v>
      </c>
      <c r="BC822" s="448" t="str">
        <f>_xlfn.IFNA(VLOOKUP($AP822,Programma!$F$3:$S$1101,14,0),"")</f>
        <v>1m</v>
      </c>
      <c r="BD822" s="448" t="str">
        <f>_xlfn.IFNA(VLOOKUP($AP822,Programma!$F$3:$T$1101,15,0),"")</f>
        <v>4j</v>
      </c>
      <c r="BE822" s="448" t="str">
        <f>_xlfn.IFNA(VLOOKUP($AP822,Programma!$F$3:$U$1101,16,0),"")</f>
        <v>4j</v>
      </c>
      <c r="BF822" s="448" t="str">
        <f>_xlfn.IFNA(VLOOKUP($AP822,Programma!$F$3:$V$1101,17,0),"")</f>
        <v>_</v>
      </c>
      <c r="BG822" s="448" t="str">
        <f>_xlfn.IFNA(VLOOKUP($AP822,Programma!$F$3:$W$1101,18,0),"")</f>
        <v>_</v>
      </c>
      <c r="BH822" s="448" t="str">
        <f>_xlfn.IFNA(VLOOKUP($AP822,Programma!$F$3:$X$1101,19,0),"")</f>
        <v>_</v>
      </c>
      <c r="BI822" s="448" t="str">
        <f>_xlfn.IFNA(VLOOKUP($AP822,Programma!$F$3:$Y$1101,20,0),"")</f>
        <v>_</v>
      </c>
      <c r="BJ822" s="449"/>
      <c r="BK822" s="446" t="str">
        <f>IF(Ruimtestaat[[#This Row],[Frequentie weekend]]="","",_xlfn.CONCAT(Ruimtestaat[[#This Row],[Ruimte code]],"-",Ruimtestaat[[#This Row],[Frequentie weekend]]," ",Ruimtestaat[[#This Row],[Vloer code]]))</f>
        <v/>
      </c>
      <c r="BL822" s="448" t="str">
        <f>_xlfn.IFNA(VLOOKUP($BK822,Programma!$F$3:$G$1101,2,0),"")</f>
        <v/>
      </c>
      <c r="BM822" s="448" t="str">
        <f>_xlfn.IFNA(VLOOKUP($BK822,Programma!$F$3:$H$1101,3,0),"")</f>
        <v/>
      </c>
      <c r="BN822" s="448" t="str">
        <f>_xlfn.IFNA(VLOOKUP($BK822,Programma!$F$3:$I$1101,4,0),"")</f>
        <v/>
      </c>
      <c r="BO822" s="448" t="str">
        <f>_xlfn.IFNA(VLOOKUP($BK822,Programma!$F$3:$J$1101,5,0),"")</f>
        <v/>
      </c>
      <c r="BP822" s="448" t="str">
        <f>_xlfn.IFNA(VLOOKUP($BK822,Programma!$F$3:$K$1101,6,0),"")</f>
        <v/>
      </c>
      <c r="BQ822" s="448" t="str">
        <f>_xlfn.IFNA(VLOOKUP($BK822,Programma!$F$3:$L$1101,7,0),"")</f>
        <v/>
      </c>
      <c r="BR822" s="448" t="str">
        <f>_xlfn.IFNA(VLOOKUP($BK822,Programma!$F$3:$M$1101,8,0),"")</f>
        <v/>
      </c>
      <c r="BS822" s="448" t="str">
        <f>_xlfn.IFNA(VLOOKUP($BK822,Programma!$F$3:$N$1101,9,0),"")</f>
        <v/>
      </c>
      <c r="BT822" s="448" t="str">
        <f>_xlfn.IFNA(VLOOKUP($BK822,Programma!$F$3:$O$1101,10,0),"")</f>
        <v/>
      </c>
      <c r="BU822" s="448" t="str">
        <f>_xlfn.IFNA(VLOOKUP($BK822,Programma!$F$3:$P$1101,11,0),"")</f>
        <v/>
      </c>
      <c r="BV822" s="448" t="str">
        <f>_xlfn.IFNA(VLOOKUP($BK822,Programma!$F$3:$Q$1101,12,0),"")</f>
        <v/>
      </c>
      <c r="BW822" s="448" t="str">
        <f>_xlfn.IFNA(VLOOKUP($BK822,Programma!$F$3:$R$1101,13,0),"")</f>
        <v/>
      </c>
      <c r="BX822" s="448" t="str">
        <f>_xlfn.IFNA(VLOOKUP($BK822,Programma!$F$3:$S$1101,14,0),"")</f>
        <v/>
      </c>
      <c r="BY822" s="448" t="str">
        <f>_xlfn.IFNA(VLOOKUP($BK822,Programma!$F$3:$T$1101,15,0),"")</f>
        <v/>
      </c>
      <c r="BZ822" s="448" t="str">
        <f>_xlfn.IFNA(VLOOKUP($BK822,Programma!$F$3:$U$1101,16,0),"")</f>
        <v/>
      </c>
      <c r="CA822" s="448" t="str">
        <f>_xlfn.IFNA(VLOOKUP($BK822,Programma!$F$3:$V$1101,17,0),"")</f>
        <v/>
      </c>
      <c r="CB822" s="448" t="str">
        <f>_xlfn.IFNA(VLOOKUP($BK822,Programma!$F$3:$W$1101,18,0),"")</f>
        <v/>
      </c>
      <c r="CC822" s="448" t="str">
        <f>_xlfn.IFNA(VLOOKUP($BK822,Programma!$F$3:$X$1101,19,0),"")</f>
        <v/>
      </c>
      <c r="CD822" s="448" t="str">
        <f>_xlfn.IFNA(VLOOKUP($BK822,Programma!$F$3:$Y$1101,20,0),"")</f>
        <v/>
      </c>
    </row>
    <row r="823" spans="1:82" ht="15" customHeight="1">
      <c r="A823" s="327">
        <v>24</v>
      </c>
      <c r="B823" s="435" t="str">
        <f>VLOOKUP(Ruimtestaat[[#This Row],[Code]],Locaties[[Code]:[Locatie]],2,FALSE)</f>
        <v>IKC De Gaerde</v>
      </c>
      <c r="C823" s="435" t="str">
        <f>VLOOKUP(Ruimtestaat[[#This Row],[Code]],Locaties[[#All],[Code]:[Adres]],4,FALSE)</f>
        <v>Moerbeigaarde 58A</v>
      </c>
      <c r="D823" s="435" t="str">
        <f>VLOOKUP(Ruimtestaat[[#This Row],[Code]],Locaties[[#All],[Code]:[Postcode]],5,FALSE)</f>
        <v>2723 AG</v>
      </c>
      <c r="E823" s="435" t="str">
        <f>VLOOKUP(Ruimtestaat[[#This Row],[Code]],Locaties[#All],6,FALSE)</f>
        <v>Zoetermeer</v>
      </c>
      <c r="F823" s="450"/>
      <c r="G823" s="330" t="s">
        <v>1678</v>
      </c>
      <c r="H823" s="330" t="s">
        <v>1917</v>
      </c>
      <c r="I823" s="450" t="s">
        <v>1842</v>
      </c>
      <c r="J823" s="330">
        <v>16</v>
      </c>
      <c r="K823" s="450" t="str">
        <f>VLOOKUP(Ruimtestaat[[#This Row],[Ruimte code]],Ruimtegroepen[[#All],[Code]:[Ruimte omschrijving]],2,FALSE)</f>
        <v>Leslokalen</v>
      </c>
      <c r="L823" s="330" t="s">
        <v>100</v>
      </c>
      <c r="M823" s="437" t="s">
        <v>2058</v>
      </c>
      <c r="N823" s="439">
        <v>49.5</v>
      </c>
      <c r="O823" s="439"/>
      <c r="P823" s="439"/>
      <c r="Q823" s="439"/>
      <c r="R823" s="440" t="str">
        <f>VLOOKUP(Ruimtestaat[[#This Row],[Ruimte code]],Ruimtegroepen[],4,FALSE)</f>
        <v>Le</v>
      </c>
      <c r="S823" s="434">
        <v>40</v>
      </c>
      <c r="T823" s="434" t="s">
        <v>2</v>
      </c>
      <c r="U823" s="453">
        <f>IF(S823&gt;0,IF(RIGHT(Ruimtestaat[[#This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3" s="434">
        <f>IF(U823&gt;0,VLOOKUP($J823,Ruimtegroepen[],3,FALSE)*VLOOKUP($L823,Vloersoorten[],3,FALSE)*VLOOKUP($T823,Frequenties[],3,FALSE)*VLOOKUP($A823,Locaties[],3,FALSE),0)</f>
        <v>0</v>
      </c>
      <c r="W823" s="434">
        <f>Ruimtestaat[[#This Row],[Uitvoeringen werkdagen]]*Ruimtestaat[[#This Row],[Oppervlak (netto)]]</f>
        <v>9900</v>
      </c>
      <c r="X823" s="441">
        <f>IF(V823&gt;0,Ruimtestaat[[#This Row],[Prest. (m2 /jaar) werkdagen]]/Ruimtestaat[[#This Row],[Norm (m2/uur) werkdagen]],0)</f>
        <v>0</v>
      </c>
      <c r="Y823" s="442">
        <f>Ruimtestaat[[#This Row],[Uitvoeringen werkdagen]]*Ruimtestaat[[#This Row],[Gedeeltelijk]]</f>
        <v>0</v>
      </c>
      <c r="Z823" s="443" t="e">
        <f>IF(U823&gt;0,Ruimtestaat[[#This Row],[Prest. (m2 / jaar) werkdagen gedeeld]]/Ruimtestaat[[#This Row],[Norm (m2/uur) werkdagen]],0)</f>
        <v>#DIV/0!</v>
      </c>
      <c r="AA823" s="441" t="e">
        <f>Ruimtestaat[[#This Row],[uren / jaar werkdagen gedeeld]]*Tariefsopbouw!$E$35</f>
        <v>#DIV/0!</v>
      </c>
      <c r="AB823" s="441">
        <f>Ruimtestaat[[#This Row],[Uitvoeringen werkdagen]]*Ruimtestaat[[#This Row],[BSO]]</f>
        <v>0</v>
      </c>
      <c r="AC823" s="443" t="e">
        <f>IF(U823&gt;0,Ruimtestaat[[#This Row],[Prest. (m2 / jaar) werkdagen BSO]]/Ruimtestaat[[#This Row],[Norm (m2/uur) werkdagen]],0)</f>
        <v>#DIV/0!</v>
      </c>
      <c r="AD823" s="443" t="e">
        <f>Ruimtestaat[[#This Row],[uren / jaar werkdagen BSO]]*Tariefsopbouw!$E$35</f>
        <v>#DIV/0!</v>
      </c>
      <c r="AE823" s="444">
        <f>Ruimtestaat[[#This Row],[uren / jaar werkdagen]]*Tariefsopbouw!$E$35</f>
        <v>0</v>
      </c>
      <c r="AF823" s="454"/>
      <c r="AG823" s="455">
        <f>IF(Ruimtestaat[[#This Row],[Frequentie weekend]]&gt;0,VALUE(LEFT(AF823,1))*S823,0)</f>
        <v>0</v>
      </c>
      <c r="AH823" s="455">
        <f>IF($AG823&gt;0,VLOOKUP($J823,Ruimtegroepen[],3,FALSE)*VLOOKUP($L823,Vloersoorten[],3,FALSE)*VLOOKUP($AF823,Frequenties[],3,FALSE)*VLOOKUP(#REF!,Locaties[],3,FALSE),0)</f>
        <v>0</v>
      </c>
      <c r="AI823" s="434">
        <f>Ruimtestaat[[#This Row],[Uitvoeringen weekend]]*Ruimtestaat[[#This Row],[Oppervlak (netto)]]</f>
        <v>0</v>
      </c>
      <c r="AJ823" s="434">
        <f>IF(AH823&gt;0,Ruimtestaat[[#This Row],[Prest. (m2 /jaar) weekend]]/Ruimtestaat[[#This Row],[Norm (m2/uur) weekend]],0)</f>
        <v>0</v>
      </c>
      <c r="AK823" s="444">
        <f>Ruimtestaat[[#This Row],[uren / jaar weekend]]*Tariefsopbouw!$D$40</f>
        <v>0</v>
      </c>
      <c r="AL823" s="441">
        <f>Ruimtestaat[[#This Row],[Prest. (m2 /jaar) weekend]]+Ruimtestaat[[#This Row],[Prest. (m2 /jaar) werkdagen]]</f>
        <v>9900</v>
      </c>
      <c r="AM823" s="441">
        <f>Ruimtestaat[[#This Row],[uren / jaar weekend]]+Ruimtestaat[[#This Row],[uren / jaar werkdagen]]</f>
        <v>0</v>
      </c>
      <c r="AN823" s="446">
        <f>Ruimtestaat[[#This Row],[kosten / jaar weekend]]+Ruimtestaat[[#This Row],[kosten / jaar werkdagen]]</f>
        <v>0</v>
      </c>
      <c r="AO823" s="446"/>
      <c r="AP823" s="446" t="str">
        <f>IF(Ruimtestaat[[#This Row],[Frequentie werkdagen]]="","",_xlfn.CONCAT(Ruimtestaat[[#This Row],[Ruimte code]],"-",Ruimtestaat[[#This Row],[Frequentie werkdagen]]," ",Ruimtestaat[[#This Row],[Vloer code]]))</f>
        <v>16-5w L</v>
      </c>
      <c r="AQ823" s="448" t="str">
        <f>_xlfn.IFNA(VLOOKUP($AP823,Programma!$F$3:$G$1101,2,0),"")</f>
        <v>_</v>
      </c>
      <c r="AR823" s="448" t="str">
        <f>_xlfn.IFNA(VLOOKUP($AP823,Programma!$F$3:$H$1101,3,0),"")</f>
        <v>_</v>
      </c>
      <c r="AS823" s="448" t="str">
        <f>_xlfn.IFNA(VLOOKUP($AP823,Programma!$F$3:$I$1101,4,0),"")</f>
        <v>4w</v>
      </c>
      <c r="AT823" s="448" t="str">
        <f>_xlfn.IFNA(VLOOKUP($AP823,Programma!$F$3:$J$1101,5,0),"")</f>
        <v>1w</v>
      </c>
      <c r="AU823" s="448" t="str">
        <f>_xlfn.IFNA(VLOOKUP($AP823,Programma!$F$3:$K$1101,6,0),"")</f>
        <v>_</v>
      </c>
      <c r="AV823" s="448" t="str">
        <f>_xlfn.IFNA(VLOOKUP($AP823,Programma!$F$3:$L$1101,7,0),"")</f>
        <v>_</v>
      </c>
      <c r="AW823" s="448" t="str">
        <f>_xlfn.IFNA(VLOOKUP($AP823,Programma!$F$3:$M$1101,8,0),"")</f>
        <v>_</v>
      </c>
      <c r="AX823" s="448" t="str">
        <f>_xlfn.IFNA(VLOOKUP($AP823,Programma!$F$3:$N$1101,9,0),"")</f>
        <v>_</v>
      </c>
      <c r="AY823" s="448" t="str">
        <f>_xlfn.IFNA(VLOOKUP($AP823,Programma!$F$3:$O$1101,10,0),"")</f>
        <v>5w</v>
      </c>
      <c r="AZ823" s="448" t="str">
        <f>_xlfn.IFNA(VLOOKUP($AP823,Programma!$F$3:$P$1101,11,0),"")</f>
        <v>5w</v>
      </c>
      <c r="BA823" s="448" t="str">
        <f>_xlfn.IFNA(VLOOKUP($AP823,Programma!$F$3:$Q$1101,12,0),"")</f>
        <v>1w</v>
      </c>
      <c r="BB823" s="448" t="str">
        <f>_xlfn.IFNA(VLOOKUP($AP823,Programma!$F$3:$R$1101,13,0),"")</f>
        <v>1w</v>
      </c>
      <c r="BC823" s="448" t="str">
        <f>_xlfn.IFNA(VLOOKUP($AP823,Programma!$F$3:$S$1101,14,0),"")</f>
        <v>1m</v>
      </c>
      <c r="BD823" s="448" t="str">
        <f>_xlfn.IFNA(VLOOKUP($AP823,Programma!$F$3:$T$1101,15,0),"")</f>
        <v>2j</v>
      </c>
      <c r="BE823" s="448" t="str">
        <f>_xlfn.IFNA(VLOOKUP($AP823,Programma!$F$3:$U$1101,16,0),"")</f>
        <v>1j</v>
      </c>
      <c r="BF823" s="448" t="str">
        <f>_xlfn.IFNA(VLOOKUP($AP823,Programma!$F$3:$V$1101,17,0),"")</f>
        <v>_</v>
      </c>
      <c r="BG823" s="448" t="str">
        <f>_xlfn.IFNA(VLOOKUP($AP823,Programma!$F$3:$W$1101,18,0),"")</f>
        <v>_</v>
      </c>
      <c r="BH823" s="448" t="str">
        <f>_xlfn.IFNA(VLOOKUP($AP823,Programma!$F$3:$X$1101,19,0),"")</f>
        <v>_</v>
      </c>
      <c r="BI823" s="448" t="str">
        <f>_xlfn.IFNA(VLOOKUP($AP823,Programma!$F$3:$Y$1101,20,0),"")</f>
        <v>_</v>
      </c>
      <c r="BJ823" s="449"/>
      <c r="BK823" s="446" t="str">
        <f>IF(Ruimtestaat[[#This Row],[Frequentie weekend]]="","",_xlfn.CONCAT(Ruimtestaat[[#This Row],[Ruimte code]],"-",Ruimtestaat[[#This Row],[Frequentie weekend]]," ",Ruimtestaat[[#This Row],[Vloer code]]))</f>
        <v/>
      </c>
      <c r="BL823" s="448" t="str">
        <f>_xlfn.IFNA(VLOOKUP($BK823,Programma!$F$3:$G$1101,2,0),"")</f>
        <v/>
      </c>
      <c r="BM823" s="448" t="str">
        <f>_xlfn.IFNA(VLOOKUP($BK823,Programma!$F$3:$H$1101,3,0),"")</f>
        <v/>
      </c>
      <c r="BN823" s="448" t="str">
        <f>_xlfn.IFNA(VLOOKUP($BK823,Programma!$F$3:$I$1101,4,0),"")</f>
        <v/>
      </c>
      <c r="BO823" s="448" t="str">
        <f>_xlfn.IFNA(VLOOKUP($BK823,Programma!$F$3:$J$1101,5,0),"")</f>
        <v/>
      </c>
      <c r="BP823" s="448" t="str">
        <f>_xlfn.IFNA(VLOOKUP($BK823,Programma!$F$3:$K$1101,6,0),"")</f>
        <v/>
      </c>
      <c r="BQ823" s="448" t="str">
        <f>_xlfn.IFNA(VLOOKUP($BK823,Programma!$F$3:$L$1101,7,0),"")</f>
        <v/>
      </c>
      <c r="BR823" s="448" t="str">
        <f>_xlfn.IFNA(VLOOKUP($BK823,Programma!$F$3:$M$1101,8,0),"")</f>
        <v/>
      </c>
      <c r="BS823" s="448" t="str">
        <f>_xlfn.IFNA(VLOOKUP($BK823,Programma!$F$3:$N$1101,9,0),"")</f>
        <v/>
      </c>
      <c r="BT823" s="448" t="str">
        <f>_xlfn.IFNA(VLOOKUP($BK823,Programma!$F$3:$O$1101,10,0),"")</f>
        <v/>
      </c>
      <c r="BU823" s="448" t="str">
        <f>_xlfn.IFNA(VLOOKUP($BK823,Programma!$F$3:$P$1101,11,0),"")</f>
        <v/>
      </c>
      <c r="BV823" s="448" t="str">
        <f>_xlfn.IFNA(VLOOKUP($BK823,Programma!$F$3:$Q$1101,12,0),"")</f>
        <v/>
      </c>
      <c r="BW823" s="448" t="str">
        <f>_xlfn.IFNA(VLOOKUP($BK823,Programma!$F$3:$R$1101,13,0),"")</f>
        <v/>
      </c>
      <c r="BX823" s="448" t="str">
        <f>_xlfn.IFNA(VLOOKUP($BK823,Programma!$F$3:$S$1101,14,0),"")</f>
        <v/>
      </c>
      <c r="BY823" s="448" t="str">
        <f>_xlfn.IFNA(VLOOKUP($BK823,Programma!$F$3:$T$1101,15,0),"")</f>
        <v/>
      </c>
      <c r="BZ823" s="448" t="str">
        <f>_xlfn.IFNA(VLOOKUP($BK823,Programma!$F$3:$U$1101,16,0),"")</f>
        <v/>
      </c>
      <c r="CA823" s="448" t="str">
        <f>_xlfn.IFNA(VLOOKUP($BK823,Programma!$F$3:$V$1101,17,0),"")</f>
        <v/>
      </c>
      <c r="CB823" s="448" t="str">
        <f>_xlfn.IFNA(VLOOKUP($BK823,Programma!$F$3:$W$1101,18,0),"")</f>
        <v/>
      </c>
      <c r="CC823" s="448" t="str">
        <f>_xlfn.IFNA(VLOOKUP($BK823,Programma!$F$3:$X$1101,19,0),"")</f>
        <v/>
      </c>
      <c r="CD823" s="448" t="str">
        <f>_xlfn.IFNA(VLOOKUP($BK823,Programma!$F$3:$Y$1101,20,0),"")</f>
        <v/>
      </c>
    </row>
    <row r="824" spans="1:82" ht="15" customHeight="1">
      <c r="A824" s="327">
        <v>24</v>
      </c>
      <c r="B824" s="435" t="str">
        <f>VLOOKUP(Ruimtestaat[[#This Row],[Code]],Locaties[[Code]:[Locatie]],2,FALSE)</f>
        <v>IKC De Gaerde</v>
      </c>
      <c r="C824" s="435" t="str">
        <f>VLOOKUP(Ruimtestaat[[#This Row],[Code]],Locaties[[#All],[Code]:[Adres]],4,FALSE)</f>
        <v>Moerbeigaarde 58A</v>
      </c>
      <c r="D824" s="435" t="str">
        <f>VLOOKUP(Ruimtestaat[[#This Row],[Code]],Locaties[[#All],[Code]:[Postcode]],5,FALSE)</f>
        <v>2723 AG</v>
      </c>
      <c r="E824" s="435" t="str">
        <f>VLOOKUP(Ruimtestaat[[#This Row],[Code]],Locaties[#All],6,FALSE)</f>
        <v>Zoetermeer</v>
      </c>
      <c r="F824" s="450" t="s">
        <v>1705</v>
      </c>
      <c r="G824" s="330" t="s">
        <v>1678</v>
      </c>
      <c r="H824" s="330" t="s">
        <v>1918</v>
      </c>
      <c r="I824" s="450" t="s">
        <v>2031</v>
      </c>
      <c r="J824" s="330">
        <v>9</v>
      </c>
      <c r="K824" s="450" t="str">
        <f>VLOOKUP(Ruimtestaat[[#This Row],[Ruimte code]],Ruimtegroepen[[#All],[Code]:[Ruimte omschrijving]],2,FALSE)</f>
        <v>Bibliotheek/OLC</v>
      </c>
      <c r="L824" s="330" t="s">
        <v>100</v>
      </c>
      <c r="M824" s="437" t="s">
        <v>2058</v>
      </c>
      <c r="N824" s="439"/>
      <c r="O824" s="439"/>
      <c r="P824" s="439"/>
      <c r="Q824" s="439">
        <v>15.8</v>
      </c>
      <c r="R824" s="440" t="str">
        <f>VLOOKUP(Ruimtestaat[[#This Row],[Ruimte code]],Ruimtegroepen[],4,FALSE)</f>
        <v>Le</v>
      </c>
      <c r="S824" s="434">
        <v>51</v>
      </c>
      <c r="T824" s="434" t="s">
        <v>2</v>
      </c>
      <c r="U824" s="453">
        <f>IF(S824&gt;0,IF(RIGHT(Ruimtestaat[[#This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24" s="434">
        <f>IF(U824&gt;0,VLOOKUP($J824,Ruimtegroepen[],3,FALSE)*VLOOKUP($L824,Vloersoorten[],3,FALSE)*VLOOKUP($T824,Frequenties[],3,FALSE)*VLOOKUP($A824,Locaties[],3,FALSE),0)</f>
        <v>0</v>
      </c>
      <c r="W824" s="434">
        <f>Ruimtestaat[[#This Row],[Uitvoeringen werkdagen]]*Ruimtestaat[[#This Row],[Oppervlak (netto)]]</f>
        <v>0</v>
      </c>
      <c r="X824" s="441">
        <f>IF(V824&gt;0,Ruimtestaat[[#This Row],[Prest. (m2 /jaar) werkdagen]]/Ruimtestaat[[#This Row],[Norm (m2/uur) werkdagen]],0)</f>
        <v>0</v>
      </c>
      <c r="Y824" s="442">
        <f>Ruimtestaat[[#This Row],[Uitvoeringen werkdagen]]*Ruimtestaat[[#This Row],[Gedeeltelijk]]</f>
        <v>0</v>
      </c>
      <c r="Z824" s="443" t="e">
        <f>IF(U824&gt;0,Ruimtestaat[[#This Row],[Prest. (m2 / jaar) werkdagen gedeeld]]/Ruimtestaat[[#This Row],[Norm (m2/uur) werkdagen]],0)</f>
        <v>#DIV/0!</v>
      </c>
      <c r="AA824" s="441" t="e">
        <f>Ruimtestaat[[#This Row],[uren / jaar werkdagen gedeeld]]*Tariefsopbouw!$E$35</f>
        <v>#DIV/0!</v>
      </c>
      <c r="AB824" s="441">
        <f>Ruimtestaat[[#This Row],[Uitvoeringen werkdagen]]*Ruimtestaat[[#This Row],[BSO]]</f>
        <v>4029</v>
      </c>
      <c r="AC824" s="443" t="e">
        <f>IF(U824&gt;0,Ruimtestaat[[#This Row],[Prest. (m2 / jaar) werkdagen BSO]]/Ruimtestaat[[#This Row],[Norm (m2/uur) werkdagen]],0)</f>
        <v>#DIV/0!</v>
      </c>
      <c r="AD824" s="443" t="e">
        <f>Ruimtestaat[[#This Row],[uren / jaar werkdagen BSO]]*Tariefsopbouw!$E$35</f>
        <v>#DIV/0!</v>
      </c>
      <c r="AE824" s="444">
        <f>Ruimtestaat[[#This Row],[uren / jaar werkdagen]]*Tariefsopbouw!$E$35</f>
        <v>0</v>
      </c>
      <c r="AF824" s="454"/>
      <c r="AG824" s="455">
        <f>IF(Ruimtestaat[[#This Row],[Frequentie weekend]]&gt;0,VALUE(LEFT(AF824,1))*S824,0)</f>
        <v>0</v>
      </c>
      <c r="AH824" s="455">
        <f>IF($AG824&gt;0,VLOOKUP($J824,Ruimtegroepen[],3,FALSE)*VLOOKUP($L824,Vloersoorten[],3,FALSE)*VLOOKUP($AF824,Frequenties[],3,FALSE)*VLOOKUP(#REF!,Locaties[],3,FALSE),0)</f>
        <v>0</v>
      </c>
      <c r="AI824" s="434">
        <f>Ruimtestaat[[#This Row],[Uitvoeringen weekend]]*Ruimtestaat[[#This Row],[Oppervlak (netto)]]</f>
        <v>0</v>
      </c>
      <c r="AJ824" s="434">
        <f>IF(AH824&gt;0,Ruimtestaat[[#This Row],[Prest. (m2 /jaar) weekend]]/Ruimtestaat[[#This Row],[Norm (m2/uur) weekend]],0)</f>
        <v>0</v>
      </c>
      <c r="AK824" s="444">
        <f>Ruimtestaat[[#This Row],[uren / jaar weekend]]*Tariefsopbouw!$D$40</f>
        <v>0</v>
      </c>
      <c r="AL824" s="441">
        <f>Ruimtestaat[[#This Row],[Prest. (m2 /jaar) weekend]]+Ruimtestaat[[#This Row],[Prest. (m2 /jaar) werkdagen]]</f>
        <v>0</v>
      </c>
      <c r="AM824" s="441">
        <f>Ruimtestaat[[#This Row],[uren / jaar weekend]]+Ruimtestaat[[#This Row],[uren / jaar werkdagen]]</f>
        <v>0</v>
      </c>
      <c r="AN824" s="446">
        <f>Ruimtestaat[[#This Row],[kosten / jaar weekend]]+Ruimtestaat[[#This Row],[kosten / jaar werkdagen]]</f>
        <v>0</v>
      </c>
      <c r="AO824" s="446"/>
      <c r="AP824" s="446" t="str">
        <f>IF(Ruimtestaat[[#This Row],[Frequentie werkdagen]]="","",_xlfn.CONCAT(Ruimtestaat[[#This Row],[Ruimte code]],"-",Ruimtestaat[[#This Row],[Frequentie werkdagen]]," ",Ruimtestaat[[#This Row],[Vloer code]]))</f>
        <v>9-5w L</v>
      </c>
      <c r="AQ824" s="448" t="str">
        <f>_xlfn.IFNA(VLOOKUP($AP824,Programma!$F$3:$G$1101,2,0),"")</f>
        <v>_</v>
      </c>
      <c r="AR824" s="448" t="str">
        <f>_xlfn.IFNA(VLOOKUP($AP824,Programma!$F$3:$H$1101,3,0),"")</f>
        <v>_</v>
      </c>
      <c r="AS824" s="448" t="str">
        <f>_xlfn.IFNA(VLOOKUP($AP824,Programma!$F$3:$I$1101,4,0),"")</f>
        <v>4w</v>
      </c>
      <c r="AT824" s="448" t="str">
        <f>_xlfn.IFNA(VLOOKUP($AP824,Programma!$F$3:$J$1101,5,0),"")</f>
        <v>1w</v>
      </c>
      <c r="AU824" s="448" t="str">
        <f>_xlfn.IFNA(VLOOKUP($AP824,Programma!$F$3:$K$1101,6,0),"")</f>
        <v>_</v>
      </c>
      <c r="AV824" s="448" t="str">
        <f>_xlfn.IFNA(VLOOKUP($AP824,Programma!$F$3:$L$1101,7,0),"")</f>
        <v>_</v>
      </c>
      <c r="AW824" s="448" t="str">
        <f>_xlfn.IFNA(VLOOKUP($AP824,Programma!$F$3:$M$1101,8,0),"")</f>
        <v>_</v>
      </c>
      <c r="AX824" s="448" t="str">
        <f>_xlfn.IFNA(VLOOKUP($AP824,Programma!$F$3:$N$1101,9,0),"")</f>
        <v>_</v>
      </c>
      <c r="AY824" s="448" t="str">
        <f>_xlfn.IFNA(VLOOKUP($AP824,Programma!$F$3:$O$1101,10,0),"")</f>
        <v>5w</v>
      </c>
      <c r="AZ824" s="448" t="str">
        <f>_xlfn.IFNA(VLOOKUP($AP824,Programma!$F$3:$P$1101,11,0),"")</f>
        <v>5w</v>
      </c>
      <c r="BA824" s="448" t="str">
        <f>_xlfn.IFNA(VLOOKUP($AP824,Programma!$F$3:$Q$1101,12,0),"")</f>
        <v>1w</v>
      </c>
      <c r="BB824" s="448" t="str">
        <f>_xlfn.IFNA(VLOOKUP($AP824,Programma!$F$3:$R$1101,13,0),"")</f>
        <v>1w</v>
      </c>
      <c r="BC824" s="448" t="str">
        <f>_xlfn.IFNA(VLOOKUP($AP824,Programma!$F$3:$S$1101,14,0),"")</f>
        <v>1m</v>
      </c>
      <c r="BD824" s="448" t="str">
        <f>_xlfn.IFNA(VLOOKUP($AP824,Programma!$F$3:$T$1101,15,0),"")</f>
        <v>2j</v>
      </c>
      <c r="BE824" s="448" t="str">
        <f>_xlfn.IFNA(VLOOKUP($AP824,Programma!$F$3:$U$1101,16,0),"")</f>
        <v>1j</v>
      </c>
      <c r="BF824" s="448" t="str">
        <f>_xlfn.IFNA(VLOOKUP($AP824,Programma!$F$3:$V$1101,17,0),"")</f>
        <v>_</v>
      </c>
      <c r="BG824" s="448" t="str">
        <f>_xlfn.IFNA(VLOOKUP($AP824,Programma!$F$3:$W$1101,18,0),"")</f>
        <v>_</v>
      </c>
      <c r="BH824" s="448" t="str">
        <f>_xlfn.IFNA(VLOOKUP($AP824,Programma!$F$3:$X$1101,19,0),"")</f>
        <v>_</v>
      </c>
      <c r="BI824" s="448" t="str">
        <f>_xlfn.IFNA(VLOOKUP($AP824,Programma!$F$3:$Y$1101,20,0),"")</f>
        <v>_</v>
      </c>
      <c r="BJ824" s="449"/>
      <c r="BK824" s="446" t="str">
        <f>IF(Ruimtestaat[[#This Row],[Frequentie weekend]]="","",_xlfn.CONCAT(Ruimtestaat[[#This Row],[Ruimte code]],"-",Ruimtestaat[[#This Row],[Frequentie weekend]]," ",Ruimtestaat[[#This Row],[Vloer code]]))</f>
        <v/>
      </c>
      <c r="BL824" s="448" t="str">
        <f>_xlfn.IFNA(VLOOKUP($BK824,Programma!$F$3:$G$1101,2,0),"")</f>
        <v/>
      </c>
      <c r="BM824" s="448" t="str">
        <f>_xlfn.IFNA(VLOOKUP($BK824,Programma!$F$3:$H$1101,3,0),"")</f>
        <v/>
      </c>
      <c r="BN824" s="448" t="str">
        <f>_xlfn.IFNA(VLOOKUP($BK824,Programma!$F$3:$I$1101,4,0),"")</f>
        <v/>
      </c>
      <c r="BO824" s="448" t="str">
        <f>_xlfn.IFNA(VLOOKUP($BK824,Programma!$F$3:$J$1101,5,0),"")</f>
        <v/>
      </c>
      <c r="BP824" s="448" t="str">
        <f>_xlfn.IFNA(VLOOKUP($BK824,Programma!$F$3:$K$1101,6,0),"")</f>
        <v/>
      </c>
      <c r="BQ824" s="448" t="str">
        <f>_xlfn.IFNA(VLOOKUP($BK824,Programma!$F$3:$L$1101,7,0),"")</f>
        <v/>
      </c>
      <c r="BR824" s="448" t="str">
        <f>_xlfn.IFNA(VLOOKUP($BK824,Programma!$F$3:$M$1101,8,0),"")</f>
        <v/>
      </c>
      <c r="BS824" s="448" t="str">
        <f>_xlfn.IFNA(VLOOKUP($BK824,Programma!$F$3:$N$1101,9,0),"")</f>
        <v/>
      </c>
      <c r="BT824" s="448" t="str">
        <f>_xlfn.IFNA(VLOOKUP($BK824,Programma!$F$3:$O$1101,10,0),"")</f>
        <v/>
      </c>
      <c r="BU824" s="448" t="str">
        <f>_xlfn.IFNA(VLOOKUP($BK824,Programma!$F$3:$P$1101,11,0),"")</f>
        <v/>
      </c>
      <c r="BV824" s="448" t="str">
        <f>_xlfn.IFNA(VLOOKUP($BK824,Programma!$F$3:$Q$1101,12,0),"")</f>
        <v/>
      </c>
      <c r="BW824" s="448" t="str">
        <f>_xlfn.IFNA(VLOOKUP($BK824,Programma!$F$3:$R$1101,13,0),"")</f>
        <v/>
      </c>
      <c r="BX824" s="448" t="str">
        <f>_xlfn.IFNA(VLOOKUP($BK824,Programma!$F$3:$S$1101,14,0),"")</f>
        <v/>
      </c>
      <c r="BY824" s="448" t="str">
        <f>_xlfn.IFNA(VLOOKUP($BK824,Programma!$F$3:$T$1101,15,0),"")</f>
        <v/>
      </c>
      <c r="BZ824" s="448" t="str">
        <f>_xlfn.IFNA(VLOOKUP($BK824,Programma!$F$3:$U$1101,16,0),"")</f>
        <v/>
      </c>
      <c r="CA824" s="448" t="str">
        <f>_xlfn.IFNA(VLOOKUP($BK824,Programma!$F$3:$V$1101,17,0),"")</f>
        <v/>
      </c>
      <c r="CB824" s="448" t="str">
        <f>_xlfn.IFNA(VLOOKUP($BK824,Programma!$F$3:$W$1101,18,0),"")</f>
        <v/>
      </c>
      <c r="CC824" s="448" t="str">
        <f>_xlfn.IFNA(VLOOKUP($BK824,Programma!$F$3:$X$1101,19,0),"")</f>
        <v/>
      </c>
      <c r="CD824" s="448" t="str">
        <f>_xlfn.IFNA(VLOOKUP($BK824,Programma!$F$3:$Y$1101,20,0),"")</f>
        <v/>
      </c>
    </row>
    <row r="825" spans="1:82" ht="15" customHeight="1">
      <c r="A825" s="327">
        <v>24</v>
      </c>
      <c r="B825" s="435" t="str">
        <f>VLOOKUP(Ruimtestaat[[#This Row],[Code]],Locaties[[Code]:[Locatie]],2,FALSE)</f>
        <v>IKC De Gaerde</v>
      </c>
      <c r="C825" s="435" t="str">
        <f>VLOOKUP(Ruimtestaat[[#This Row],[Code]],Locaties[[#All],[Code]:[Adres]],4,FALSE)</f>
        <v>Moerbeigaarde 58A</v>
      </c>
      <c r="D825" s="435" t="str">
        <f>VLOOKUP(Ruimtestaat[[#This Row],[Code]],Locaties[[#All],[Code]:[Postcode]],5,FALSE)</f>
        <v>2723 AG</v>
      </c>
      <c r="E825" s="435" t="str">
        <f>VLOOKUP(Ruimtestaat[[#This Row],[Code]],Locaties[#All],6,FALSE)</f>
        <v>Zoetermeer</v>
      </c>
      <c r="F825" s="450" t="s">
        <v>1705</v>
      </c>
      <c r="G825" s="330" t="s">
        <v>1678</v>
      </c>
      <c r="H825" s="330" t="s">
        <v>1920</v>
      </c>
      <c r="I825" s="450" t="s">
        <v>1720</v>
      </c>
      <c r="J825" s="330">
        <v>5</v>
      </c>
      <c r="K825" s="450" t="str">
        <f>VLOOKUP(Ruimtestaat[[#This Row],[Ruimte code]],Ruimtegroepen[[#All],[Code]:[Ruimte omschrijving]],2,FALSE)</f>
        <v>Sanitair</v>
      </c>
      <c r="L825" s="330" t="s">
        <v>101</v>
      </c>
      <c r="M825" s="437" t="s">
        <v>1816</v>
      </c>
      <c r="N825" s="439"/>
      <c r="O825" s="439"/>
      <c r="P825" s="439"/>
      <c r="Q825" s="439">
        <v>9.4</v>
      </c>
      <c r="R825" s="440" t="str">
        <f>VLOOKUP(Ruimtestaat[[#This Row],[Ruimte code]],Ruimtegroepen[],4,FALSE)</f>
        <v>Sa</v>
      </c>
      <c r="S825" s="434">
        <v>51</v>
      </c>
      <c r="T825" s="434" t="s">
        <v>2</v>
      </c>
      <c r="U825" s="453">
        <f>IF(S825&gt;0,IF(RIGHT(Ruimtestaat[[#This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25" s="434">
        <f>IF(U825&gt;0,VLOOKUP($J825,Ruimtegroepen[],3,FALSE)*VLOOKUP($L825,Vloersoorten[],3,FALSE)*VLOOKUP($T825,Frequenties[],3,FALSE)*VLOOKUP($A825,Locaties[],3,FALSE),0)</f>
        <v>0</v>
      </c>
      <c r="W825" s="434">
        <f>Ruimtestaat[[#This Row],[Uitvoeringen werkdagen]]*Ruimtestaat[[#This Row],[Oppervlak (netto)]]</f>
        <v>0</v>
      </c>
      <c r="X825" s="441">
        <f>IF(V825&gt;0,Ruimtestaat[[#This Row],[Prest. (m2 /jaar) werkdagen]]/Ruimtestaat[[#This Row],[Norm (m2/uur) werkdagen]],0)</f>
        <v>0</v>
      </c>
      <c r="Y825" s="442">
        <f>Ruimtestaat[[#This Row],[Uitvoeringen werkdagen]]*Ruimtestaat[[#This Row],[Gedeeltelijk]]</f>
        <v>0</v>
      </c>
      <c r="Z825" s="443" t="e">
        <f>IF(U825&gt;0,Ruimtestaat[[#This Row],[Prest. (m2 / jaar) werkdagen gedeeld]]/Ruimtestaat[[#This Row],[Norm (m2/uur) werkdagen]],0)</f>
        <v>#DIV/0!</v>
      </c>
      <c r="AA825" s="441" t="e">
        <f>Ruimtestaat[[#This Row],[uren / jaar werkdagen gedeeld]]*Tariefsopbouw!$E$35</f>
        <v>#DIV/0!</v>
      </c>
      <c r="AB825" s="441">
        <f>Ruimtestaat[[#This Row],[Uitvoeringen werkdagen]]*Ruimtestaat[[#This Row],[BSO]]</f>
        <v>2397</v>
      </c>
      <c r="AC825" s="443" t="e">
        <f>IF(U825&gt;0,Ruimtestaat[[#This Row],[Prest. (m2 / jaar) werkdagen BSO]]/Ruimtestaat[[#This Row],[Norm (m2/uur) werkdagen]],0)</f>
        <v>#DIV/0!</v>
      </c>
      <c r="AD825" s="443" t="e">
        <f>Ruimtestaat[[#This Row],[uren / jaar werkdagen BSO]]*Tariefsopbouw!$E$35</f>
        <v>#DIV/0!</v>
      </c>
      <c r="AE825" s="444">
        <f>Ruimtestaat[[#This Row],[uren / jaar werkdagen]]*Tariefsopbouw!$E$35</f>
        <v>0</v>
      </c>
      <c r="AF825" s="454"/>
      <c r="AG825" s="455">
        <f>IF(Ruimtestaat[[#This Row],[Frequentie weekend]]&gt;0,VALUE(LEFT(AF825,1))*S825,0)</f>
        <v>0</v>
      </c>
      <c r="AH825" s="455">
        <f>IF($AG825&gt;0,VLOOKUP($J825,Ruimtegroepen[],3,FALSE)*VLOOKUP($L825,Vloersoorten[],3,FALSE)*VLOOKUP($AF825,Frequenties[],3,FALSE)*VLOOKUP(#REF!,Locaties[],3,FALSE),0)</f>
        <v>0</v>
      </c>
      <c r="AI825" s="434">
        <f>Ruimtestaat[[#This Row],[Uitvoeringen weekend]]*Ruimtestaat[[#This Row],[Oppervlak (netto)]]</f>
        <v>0</v>
      </c>
      <c r="AJ825" s="434">
        <f>IF(AH825&gt;0,Ruimtestaat[[#This Row],[Prest. (m2 /jaar) weekend]]/Ruimtestaat[[#This Row],[Norm (m2/uur) weekend]],0)</f>
        <v>0</v>
      </c>
      <c r="AK825" s="444">
        <f>Ruimtestaat[[#This Row],[uren / jaar weekend]]*Tariefsopbouw!$D$40</f>
        <v>0</v>
      </c>
      <c r="AL825" s="441">
        <f>Ruimtestaat[[#This Row],[Prest. (m2 /jaar) weekend]]+Ruimtestaat[[#This Row],[Prest. (m2 /jaar) werkdagen]]</f>
        <v>0</v>
      </c>
      <c r="AM825" s="441">
        <f>Ruimtestaat[[#This Row],[uren / jaar weekend]]+Ruimtestaat[[#This Row],[uren / jaar werkdagen]]</f>
        <v>0</v>
      </c>
      <c r="AN825" s="446">
        <f>Ruimtestaat[[#This Row],[kosten / jaar weekend]]+Ruimtestaat[[#This Row],[kosten / jaar werkdagen]]</f>
        <v>0</v>
      </c>
      <c r="AO825" s="446"/>
      <c r="AP825" s="446" t="str">
        <f>IF(Ruimtestaat[[#This Row],[Frequentie werkdagen]]="","",_xlfn.CONCAT(Ruimtestaat[[#This Row],[Ruimte code]],"-",Ruimtestaat[[#This Row],[Frequentie werkdagen]]," ",Ruimtestaat[[#This Row],[Vloer code]]))</f>
        <v>5-5w S</v>
      </c>
      <c r="AQ825" s="448" t="str">
        <f>_xlfn.IFNA(VLOOKUP($AP825,Programma!$F$3:$G$1101,2,0),"")</f>
        <v>_</v>
      </c>
      <c r="AR825" s="448" t="str">
        <f>_xlfn.IFNA(VLOOKUP($AP825,Programma!$F$3:$H$1101,3,0),"")</f>
        <v>_</v>
      </c>
      <c r="AS825" s="448" t="str">
        <f>_xlfn.IFNA(VLOOKUP($AP825,Programma!$F$3:$I$1101,4,0),"")</f>
        <v>_</v>
      </c>
      <c r="AT825" s="448" t="str">
        <f>_xlfn.IFNA(VLOOKUP($AP825,Programma!$F$3:$J$1101,5,0),"")</f>
        <v>4w</v>
      </c>
      <c r="AU825" s="448" t="str">
        <f>_xlfn.IFNA(VLOOKUP($AP825,Programma!$F$3:$K$1101,6,0),"")</f>
        <v>1w</v>
      </c>
      <c r="AV825" s="448" t="str">
        <f>_xlfn.IFNA(VLOOKUP($AP825,Programma!$F$3:$L$1101,7,0),"")</f>
        <v>_</v>
      </c>
      <c r="AW825" s="448" t="str">
        <f>_xlfn.IFNA(VLOOKUP($AP825,Programma!$F$3:$M$1101,8,0),"")</f>
        <v>_</v>
      </c>
      <c r="AX825" s="448" t="str">
        <f>_xlfn.IFNA(VLOOKUP($AP825,Programma!$F$3:$N$1101,9,0),"")</f>
        <v>_</v>
      </c>
      <c r="AY825" s="448" t="str">
        <f>_xlfn.IFNA(VLOOKUP($AP825,Programma!$F$3:$O$1101,10,0),"")</f>
        <v>_</v>
      </c>
      <c r="AZ825" s="448" t="str">
        <f>_xlfn.IFNA(VLOOKUP($AP825,Programma!$F$3:$P$1101,11,0),"")</f>
        <v>_</v>
      </c>
      <c r="BA825" s="448" t="str">
        <f>_xlfn.IFNA(VLOOKUP($AP825,Programma!$F$3:$Q$1101,12,0),"")</f>
        <v>_</v>
      </c>
      <c r="BB825" s="448" t="str">
        <f>_xlfn.IFNA(VLOOKUP($AP825,Programma!$F$3:$R$1101,13,0),"")</f>
        <v>_</v>
      </c>
      <c r="BC825" s="448" t="str">
        <f>_xlfn.IFNA(VLOOKUP($AP825,Programma!$F$3:$S$1101,14,0),"")</f>
        <v>_</v>
      </c>
      <c r="BD825" s="448" t="str">
        <f>_xlfn.IFNA(VLOOKUP($AP825,Programma!$F$3:$T$1101,15,0),"")</f>
        <v>_</v>
      </c>
      <c r="BE825" s="448" t="str">
        <f>_xlfn.IFNA(VLOOKUP($AP825,Programma!$F$3:$U$1101,16,0),"")</f>
        <v>_</v>
      </c>
      <c r="BF825" s="448" t="str">
        <f>_xlfn.IFNA(VLOOKUP($AP825,Programma!$F$3:$V$1101,17,0),"")</f>
        <v>_</v>
      </c>
      <c r="BG825" s="448" t="str">
        <f>_xlfn.IFNA(VLOOKUP($AP825,Programma!$F$3:$W$1101,18,0),"")</f>
        <v>4w</v>
      </c>
      <c r="BH825" s="448" t="str">
        <f>_xlfn.IFNA(VLOOKUP($AP825,Programma!$F$3:$X$1101,19,0),"")</f>
        <v>1w</v>
      </c>
      <c r="BI825" s="448" t="str">
        <f>_xlfn.IFNA(VLOOKUP($AP825,Programma!$F$3:$Y$1101,20,0),"")</f>
        <v>_</v>
      </c>
      <c r="BJ825" s="449"/>
      <c r="BK825" s="446" t="str">
        <f>IF(Ruimtestaat[[#This Row],[Frequentie weekend]]="","",_xlfn.CONCAT(Ruimtestaat[[#This Row],[Ruimte code]],"-",Ruimtestaat[[#This Row],[Frequentie weekend]]," ",Ruimtestaat[[#This Row],[Vloer code]]))</f>
        <v/>
      </c>
      <c r="BL825" s="448" t="str">
        <f>_xlfn.IFNA(VLOOKUP($BK825,Programma!$F$3:$G$1101,2,0),"")</f>
        <v/>
      </c>
      <c r="BM825" s="448" t="str">
        <f>_xlfn.IFNA(VLOOKUP($BK825,Programma!$F$3:$H$1101,3,0),"")</f>
        <v/>
      </c>
      <c r="BN825" s="448" t="str">
        <f>_xlfn.IFNA(VLOOKUP($BK825,Programma!$F$3:$I$1101,4,0),"")</f>
        <v/>
      </c>
      <c r="BO825" s="448" t="str">
        <f>_xlfn.IFNA(VLOOKUP($BK825,Programma!$F$3:$J$1101,5,0),"")</f>
        <v/>
      </c>
      <c r="BP825" s="448" t="str">
        <f>_xlfn.IFNA(VLOOKUP($BK825,Programma!$F$3:$K$1101,6,0),"")</f>
        <v/>
      </c>
      <c r="BQ825" s="448" t="str">
        <f>_xlfn.IFNA(VLOOKUP($BK825,Programma!$F$3:$L$1101,7,0),"")</f>
        <v/>
      </c>
      <c r="BR825" s="448" t="str">
        <f>_xlfn.IFNA(VLOOKUP($BK825,Programma!$F$3:$M$1101,8,0),"")</f>
        <v/>
      </c>
      <c r="BS825" s="448" t="str">
        <f>_xlfn.IFNA(VLOOKUP($BK825,Programma!$F$3:$N$1101,9,0),"")</f>
        <v/>
      </c>
      <c r="BT825" s="448" t="str">
        <f>_xlfn.IFNA(VLOOKUP($BK825,Programma!$F$3:$O$1101,10,0),"")</f>
        <v/>
      </c>
      <c r="BU825" s="448" t="str">
        <f>_xlfn.IFNA(VLOOKUP($BK825,Programma!$F$3:$P$1101,11,0),"")</f>
        <v/>
      </c>
      <c r="BV825" s="448" t="str">
        <f>_xlfn.IFNA(VLOOKUP($BK825,Programma!$F$3:$Q$1101,12,0),"")</f>
        <v/>
      </c>
      <c r="BW825" s="448" t="str">
        <f>_xlfn.IFNA(VLOOKUP($BK825,Programma!$F$3:$R$1101,13,0),"")</f>
        <v/>
      </c>
      <c r="BX825" s="448" t="str">
        <f>_xlfn.IFNA(VLOOKUP($BK825,Programma!$F$3:$S$1101,14,0),"")</f>
        <v/>
      </c>
      <c r="BY825" s="448" t="str">
        <f>_xlfn.IFNA(VLOOKUP($BK825,Programma!$F$3:$T$1101,15,0),"")</f>
        <v/>
      </c>
      <c r="BZ825" s="448" t="str">
        <f>_xlfn.IFNA(VLOOKUP($BK825,Programma!$F$3:$U$1101,16,0),"")</f>
        <v/>
      </c>
      <c r="CA825" s="448" t="str">
        <f>_xlfn.IFNA(VLOOKUP($BK825,Programma!$F$3:$V$1101,17,0),"")</f>
        <v/>
      </c>
      <c r="CB825" s="448" t="str">
        <f>_xlfn.IFNA(VLOOKUP($BK825,Programma!$F$3:$W$1101,18,0),"")</f>
        <v/>
      </c>
      <c r="CC825" s="448" t="str">
        <f>_xlfn.IFNA(VLOOKUP($BK825,Programma!$F$3:$X$1101,19,0),"")</f>
        <v/>
      </c>
      <c r="CD825" s="448" t="str">
        <f>_xlfn.IFNA(VLOOKUP($BK825,Programma!$F$3:$Y$1101,20,0),"")</f>
        <v/>
      </c>
    </row>
    <row r="826" spans="1:82" ht="15" customHeight="1">
      <c r="A826" s="327">
        <v>24</v>
      </c>
      <c r="B826" s="435" t="str">
        <f>VLOOKUP(Ruimtestaat[[#This Row],[Code]],Locaties[[Code]:[Locatie]],2,FALSE)</f>
        <v>IKC De Gaerde</v>
      </c>
      <c r="C826" s="435" t="str">
        <f>VLOOKUP(Ruimtestaat[[#This Row],[Code]],Locaties[[#All],[Code]:[Adres]],4,FALSE)</f>
        <v>Moerbeigaarde 58A</v>
      </c>
      <c r="D826" s="435" t="str">
        <f>VLOOKUP(Ruimtestaat[[#This Row],[Code]],Locaties[[#All],[Code]:[Postcode]],5,FALSE)</f>
        <v>2723 AG</v>
      </c>
      <c r="E826" s="435" t="str">
        <f>VLOOKUP(Ruimtestaat[[#This Row],[Code]],Locaties[#All],6,FALSE)</f>
        <v>Zoetermeer</v>
      </c>
      <c r="F826" s="450" t="s">
        <v>1705</v>
      </c>
      <c r="G826" s="330" t="s">
        <v>1678</v>
      </c>
      <c r="H826" s="330" t="s">
        <v>1921</v>
      </c>
      <c r="I826" s="450" t="s">
        <v>2032</v>
      </c>
      <c r="J826" s="330">
        <v>1</v>
      </c>
      <c r="K826" s="450" t="str">
        <f>VLOOKUP(Ruimtestaat[[#This Row],[Ruimte code]],Ruimtegroepen[[#All],[Code]:[Ruimte omschrijving]],2,FALSE)</f>
        <v>Magazijnen/bergingen</v>
      </c>
      <c r="L826" s="330" t="s">
        <v>100</v>
      </c>
      <c r="M826" s="437" t="s">
        <v>2058</v>
      </c>
      <c r="N826" s="439"/>
      <c r="O826" s="439"/>
      <c r="P826" s="439"/>
      <c r="Q826" s="439">
        <v>11.7</v>
      </c>
      <c r="R826" s="440" t="str">
        <f>VLOOKUP(Ruimtestaat[[#This Row],[Ruimte code]],Ruimtegroepen[],4,FALSE)</f>
        <v>Ve</v>
      </c>
      <c r="S826" s="434">
        <v>51</v>
      </c>
      <c r="T826" s="434" t="s">
        <v>16</v>
      </c>
      <c r="U826" s="453">
        <f>IF(S826&gt;0,IF(RIGHT(Ruimtestaat[[#This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26" s="434">
        <f>IF(U826&gt;0,VLOOKUP($J826,Ruimtegroepen[],3,FALSE)*VLOOKUP($L826,Vloersoorten[],3,FALSE)*VLOOKUP($T826,Frequenties[],3,FALSE)*VLOOKUP($A826,Locaties[],3,FALSE),0)</f>
        <v>0</v>
      </c>
      <c r="W826" s="434">
        <f>Ruimtestaat[[#This Row],[Uitvoeringen werkdagen]]*Ruimtestaat[[#This Row],[Oppervlak (netto)]]</f>
        <v>0</v>
      </c>
      <c r="X826" s="441">
        <f>IF(V826&gt;0,Ruimtestaat[[#This Row],[Prest. (m2 /jaar) werkdagen]]/Ruimtestaat[[#This Row],[Norm (m2/uur) werkdagen]],0)</f>
        <v>0</v>
      </c>
      <c r="Y826" s="442">
        <f>Ruimtestaat[[#This Row],[Uitvoeringen werkdagen]]*Ruimtestaat[[#This Row],[Gedeeltelijk]]</f>
        <v>0</v>
      </c>
      <c r="Z826" s="443" t="e">
        <f>IF(U826&gt;0,Ruimtestaat[[#This Row],[Prest. (m2 / jaar) werkdagen gedeeld]]/Ruimtestaat[[#This Row],[Norm (m2/uur) werkdagen]],0)</f>
        <v>#DIV/0!</v>
      </c>
      <c r="AA826" s="441" t="e">
        <f>Ruimtestaat[[#This Row],[uren / jaar werkdagen gedeeld]]*Tariefsopbouw!$E$35</f>
        <v>#DIV/0!</v>
      </c>
      <c r="AB826" s="441">
        <f>Ruimtestaat[[#This Row],[Uitvoeringen werkdagen]]*Ruimtestaat[[#This Row],[BSO]]</f>
        <v>140.39999999999998</v>
      </c>
      <c r="AC826" s="443" t="e">
        <f>IF(U826&gt;0,Ruimtestaat[[#This Row],[Prest. (m2 / jaar) werkdagen BSO]]/Ruimtestaat[[#This Row],[Norm (m2/uur) werkdagen]],0)</f>
        <v>#DIV/0!</v>
      </c>
      <c r="AD826" s="443" t="e">
        <f>Ruimtestaat[[#This Row],[uren / jaar werkdagen BSO]]*Tariefsopbouw!$E$35</f>
        <v>#DIV/0!</v>
      </c>
      <c r="AE826" s="444">
        <f>Ruimtestaat[[#This Row],[uren / jaar werkdagen]]*Tariefsopbouw!$E$35</f>
        <v>0</v>
      </c>
      <c r="AF826" s="454"/>
      <c r="AG826" s="455">
        <f>IF(Ruimtestaat[[#This Row],[Frequentie weekend]]&gt;0,VALUE(LEFT(AF826,1))*S826,0)</f>
        <v>0</v>
      </c>
      <c r="AH826" s="455">
        <f>IF($AG826&gt;0,VLOOKUP($J826,Ruimtegroepen[],3,FALSE)*VLOOKUP($L826,Vloersoorten[],3,FALSE)*VLOOKUP($AF826,Frequenties[],3,FALSE)*VLOOKUP(#REF!,Locaties[],3,FALSE),0)</f>
        <v>0</v>
      </c>
      <c r="AI826" s="434">
        <f>Ruimtestaat[[#This Row],[Uitvoeringen weekend]]*Ruimtestaat[[#This Row],[Oppervlak (netto)]]</f>
        <v>0</v>
      </c>
      <c r="AJ826" s="434">
        <f>IF(AH826&gt;0,Ruimtestaat[[#This Row],[Prest. (m2 /jaar) weekend]]/Ruimtestaat[[#This Row],[Norm (m2/uur) weekend]],0)</f>
        <v>0</v>
      </c>
      <c r="AK826" s="444">
        <f>Ruimtestaat[[#This Row],[uren / jaar weekend]]*Tariefsopbouw!$D$40</f>
        <v>0</v>
      </c>
      <c r="AL826" s="441">
        <f>Ruimtestaat[[#This Row],[Prest. (m2 /jaar) weekend]]+Ruimtestaat[[#This Row],[Prest. (m2 /jaar) werkdagen]]</f>
        <v>0</v>
      </c>
      <c r="AM826" s="441">
        <f>Ruimtestaat[[#This Row],[uren / jaar weekend]]+Ruimtestaat[[#This Row],[uren / jaar werkdagen]]</f>
        <v>0</v>
      </c>
      <c r="AN826" s="446">
        <f>Ruimtestaat[[#This Row],[kosten / jaar weekend]]+Ruimtestaat[[#This Row],[kosten / jaar werkdagen]]</f>
        <v>0</v>
      </c>
      <c r="AO826" s="446"/>
      <c r="AP826" s="446" t="str">
        <f>IF(Ruimtestaat[[#This Row],[Frequentie werkdagen]]="","",_xlfn.CONCAT(Ruimtestaat[[#This Row],[Ruimte code]],"-",Ruimtestaat[[#This Row],[Frequentie werkdagen]]," ",Ruimtestaat[[#This Row],[Vloer code]]))</f>
        <v>1-1m L</v>
      </c>
      <c r="AQ826" s="448" t="str">
        <f>_xlfn.IFNA(VLOOKUP($AP826,Programma!$F$3:$G$1101,2,0),"")</f>
        <v>_</v>
      </c>
      <c r="AR826" s="448" t="str">
        <f>_xlfn.IFNA(VLOOKUP($AP826,Programma!$F$3:$H$1101,3,0),"")</f>
        <v>_</v>
      </c>
      <c r="AS826" s="448" t="str">
        <f>_xlfn.IFNA(VLOOKUP($AP826,Programma!$F$3:$I$1101,4,0),"")</f>
        <v>1m</v>
      </c>
      <c r="AT826" s="448" t="str">
        <f>_xlfn.IFNA(VLOOKUP($AP826,Programma!$F$3:$J$1101,5,0),"")</f>
        <v>1m</v>
      </c>
      <c r="AU826" s="448" t="str">
        <f>_xlfn.IFNA(VLOOKUP($AP826,Programma!$F$3:$K$1101,6,0),"")</f>
        <v>_</v>
      </c>
      <c r="AV826" s="448" t="str">
        <f>_xlfn.IFNA(VLOOKUP($AP826,Programma!$F$3:$L$1101,7,0),"")</f>
        <v>_</v>
      </c>
      <c r="AW826" s="448" t="str">
        <f>_xlfn.IFNA(VLOOKUP($AP826,Programma!$F$3:$M$1101,8,0),"")</f>
        <v>_</v>
      </c>
      <c r="AX826" s="448" t="str">
        <f>_xlfn.IFNA(VLOOKUP($AP826,Programma!$F$3:$N$1101,9,0),"")</f>
        <v>_</v>
      </c>
      <c r="AY826" s="448" t="str">
        <f>_xlfn.IFNA(VLOOKUP($AP826,Programma!$F$3:$O$1101,10,0),"")</f>
        <v>_</v>
      </c>
      <c r="AZ826" s="448" t="str">
        <f>_xlfn.IFNA(VLOOKUP($AP826,Programma!$F$3:$P$1101,11,0),"")</f>
        <v>_</v>
      </c>
      <c r="BA826" s="448" t="str">
        <f>_xlfn.IFNA(VLOOKUP($AP826,Programma!$F$3:$Q$1101,12,0),"")</f>
        <v>_</v>
      </c>
      <c r="BB826" s="448" t="str">
        <f>_xlfn.IFNA(VLOOKUP($AP826,Programma!$F$3:$R$1101,13,0),"")</f>
        <v>_</v>
      </c>
      <c r="BC826" s="448" t="str">
        <f>_xlfn.IFNA(VLOOKUP($AP826,Programma!$F$3:$S$1101,14,0),"")</f>
        <v>1m</v>
      </c>
      <c r="BD826" s="448" t="str">
        <f>_xlfn.IFNA(VLOOKUP($AP826,Programma!$F$3:$T$1101,15,0),"")</f>
        <v>4j</v>
      </c>
      <c r="BE826" s="448" t="str">
        <f>_xlfn.IFNA(VLOOKUP($AP826,Programma!$F$3:$U$1101,16,0),"")</f>
        <v>4j</v>
      </c>
      <c r="BF826" s="448" t="str">
        <f>_xlfn.IFNA(VLOOKUP($AP826,Programma!$F$3:$V$1101,17,0),"")</f>
        <v>_</v>
      </c>
      <c r="BG826" s="448" t="str">
        <f>_xlfn.IFNA(VLOOKUP($AP826,Programma!$F$3:$W$1101,18,0),"")</f>
        <v>_</v>
      </c>
      <c r="BH826" s="448" t="str">
        <f>_xlfn.IFNA(VLOOKUP($AP826,Programma!$F$3:$X$1101,19,0),"")</f>
        <v>_</v>
      </c>
      <c r="BI826" s="448" t="str">
        <f>_xlfn.IFNA(VLOOKUP($AP826,Programma!$F$3:$Y$1101,20,0),"")</f>
        <v>_</v>
      </c>
      <c r="BJ826" s="449"/>
      <c r="BK826" s="446" t="str">
        <f>IF(Ruimtestaat[[#This Row],[Frequentie weekend]]="","",_xlfn.CONCAT(Ruimtestaat[[#This Row],[Ruimte code]],"-",Ruimtestaat[[#This Row],[Frequentie weekend]]," ",Ruimtestaat[[#This Row],[Vloer code]]))</f>
        <v/>
      </c>
      <c r="BL826" s="448" t="str">
        <f>_xlfn.IFNA(VLOOKUP($BK826,Programma!$F$3:$G$1101,2,0),"")</f>
        <v/>
      </c>
      <c r="BM826" s="448" t="str">
        <f>_xlfn.IFNA(VLOOKUP($BK826,Programma!$F$3:$H$1101,3,0),"")</f>
        <v/>
      </c>
      <c r="BN826" s="448" t="str">
        <f>_xlfn.IFNA(VLOOKUP($BK826,Programma!$F$3:$I$1101,4,0),"")</f>
        <v/>
      </c>
      <c r="BO826" s="448" t="str">
        <f>_xlfn.IFNA(VLOOKUP($BK826,Programma!$F$3:$J$1101,5,0),"")</f>
        <v/>
      </c>
      <c r="BP826" s="448" t="str">
        <f>_xlfn.IFNA(VLOOKUP($BK826,Programma!$F$3:$K$1101,6,0),"")</f>
        <v/>
      </c>
      <c r="BQ826" s="448" t="str">
        <f>_xlfn.IFNA(VLOOKUP($BK826,Programma!$F$3:$L$1101,7,0),"")</f>
        <v/>
      </c>
      <c r="BR826" s="448" t="str">
        <f>_xlfn.IFNA(VLOOKUP($BK826,Programma!$F$3:$M$1101,8,0),"")</f>
        <v/>
      </c>
      <c r="BS826" s="448" t="str">
        <f>_xlfn.IFNA(VLOOKUP($BK826,Programma!$F$3:$N$1101,9,0),"")</f>
        <v/>
      </c>
      <c r="BT826" s="448" t="str">
        <f>_xlfn.IFNA(VLOOKUP($BK826,Programma!$F$3:$O$1101,10,0),"")</f>
        <v/>
      </c>
      <c r="BU826" s="448" t="str">
        <f>_xlfn.IFNA(VLOOKUP($BK826,Programma!$F$3:$P$1101,11,0),"")</f>
        <v/>
      </c>
      <c r="BV826" s="448" t="str">
        <f>_xlfn.IFNA(VLOOKUP($BK826,Programma!$F$3:$Q$1101,12,0),"")</f>
        <v/>
      </c>
      <c r="BW826" s="448" t="str">
        <f>_xlfn.IFNA(VLOOKUP($BK826,Programma!$F$3:$R$1101,13,0),"")</f>
        <v/>
      </c>
      <c r="BX826" s="448" t="str">
        <f>_xlfn.IFNA(VLOOKUP($BK826,Programma!$F$3:$S$1101,14,0),"")</f>
        <v/>
      </c>
      <c r="BY826" s="448" t="str">
        <f>_xlfn.IFNA(VLOOKUP($BK826,Programma!$F$3:$T$1101,15,0),"")</f>
        <v/>
      </c>
      <c r="BZ826" s="448" t="str">
        <f>_xlfn.IFNA(VLOOKUP($BK826,Programma!$F$3:$U$1101,16,0),"")</f>
        <v/>
      </c>
      <c r="CA826" s="448" t="str">
        <f>_xlfn.IFNA(VLOOKUP($BK826,Programma!$F$3:$V$1101,17,0),"")</f>
        <v/>
      </c>
      <c r="CB826" s="448" t="str">
        <f>_xlfn.IFNA(VLOOKUP($BK826,Programma!$F$3:$W$1101,18,0),"")</f>
        <v/>
      </c>
      <c r="CC826" s="448" t="str">
        <f>_xlfn.IFNA(VLOOKUP($BK826,Programma!$F$3:$X$1101,19,0),"")</f>
        <v/>
      </c>
      <c r="CD826" s="448" t="str">
        <f>_xlfn.IFNA(VLOOKUP($BK826,Programma!$F$3:$Y$1101,20,0),"")</f>
        <v/>
      </c>
    </row>
    <row r="827" spans="1:82" ht="15" customHeight="1">
      <c r="A827" s="327">
        <v>24</v>
      </c>
      <c r="B827" s="435" t="str">
        <f>VLOOKUP(Ruimtestaat[[#This Row],[Code]],Locaties[[Code]:[Locatie]],2,FALSE)</f>
        <v>IKC De Gaerde</v>
      </c>
      <c r="C827" s="435" t="str">
        <f>VLOOKUP(Ruimtestaat[[#This Row],[Code]],Locaties[[#All],[Code]:[Adres]],4,FALSE)</f>
        <v>Moerbeigaarde 58A</v>
      </c>
      <c r="D827" s="435" t="str">
        <f>VLOOKUP(Ruimtestaat[[#This Row],[Code]],Locaties[[#All],[Code]:[Postcode]],5,FALSE)</f>
        <v>2723 AG</v>
      </c>
      <c r="E827" s="435" t="str">
        <f>VLOOKUP(Ruimtestaat[[#This Row],[Code]],Locaties[#All],6,FALSE)</f>
        <v>Zoetermeer</v>
      </c>
      <c r="F827" s="450" t="s">
        <v>1705</v>
      </c>
      <c r="G827" s="330" t="s">
        <v>1678</v>
      </c>
      <c r="H827" s="330" t="s">
        <v>1922</v>
      </c>
      <c r="I827" s="450" t="s">
        <v>2033</v>
      </c>
      <c r="J827" s="330">
        <v>16</v>
      </c>
      <c r="K827" s="450" t="str">
        <f>VLOOKUP(Ruimtestaat[[#This Row],[Ruimte code]],Ruimtegroepen[[#All],[Code]:[Ruimte omschrijving]],2,FALSE)</f>
        <v>Leslokalen</v>
      </c>
      <c r="L827" s="330" t="s">
        <v>100</v>
      </c>
      <c r="M827" s="437" t="s">
        <v>2058</v>
      </c>
      <c r="N827" s="439"/>
      <c r="O827" s="439"/>
      <c r="P827" s="439"/>
      <c r="Q827" s="439">
        <v>58.5</v>
      </c>
      <c r="R827" s="440" t="str">
        <f>VLOOKUP(Ruimtestaat[[#This Row],[Ruimte code]],Ruimtegroepen[],4,FALSE)</f>
        <v>Le</v>
      </c>
      <c r="S827" s="434">
        <v>51</v>
      </c>
      <c r="T827" s="434" t="s">
        <v>2</v>
      </c>
      <c r="U827" s="453">
        <f>IF(S827&gt;0,IF(RIGHT(Ruimtestaat[[#This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27" s="434">
        <f>IF(U827&gt;0,VLOOKUP($J827,Ruimtegroepen[],3,FALSE)*VLOOKUP($L827,Vloersoorten[],3,FALSE)*VLOOKUP($T827,Frequenties[],3,FALSE)*VLOOKUP($A827,Locaties[],3,FALSE),0)</f>
        <v>0</v>
      </c>
      <c r="W827" s="434">
        <f>Ruimtestaat[[#This Row],[Uitvoeringen werkdagen]]*Ruimtestaat[[#This Row],[Oppervlak (netto)]]</f>
        <v>0</v>
      </c>
      <c r="X827" s="441">
        <f>IF(V827&gt;0,Ruimtestaat[[#This Row],[Prest. (m2 /jaar) werkdagen]]/Ruimtestaat[[#This Row],[Norm (m2/uur) werkdagen]],0)</f>
        <v>0</v>
      </c>
      <c r="Y827" s="442">
        <f>Ruimtestaat[[#This Row],[Uitvoeringen werkdagen]]*Ruimtestaat[[#This Row],[Gedeeltelijk]]</f>
        <v>0</v>
      </c>
      <c r="Z827" s="443" t="e">
        <f>IF(U827&gt;0,Ruimtestaat[[#This Row],[Prest. (m2 / jaar) werkdagen gedeeld]]/Ruimtestaat[[#This Row],[Norm (m2/uur) werkdagen]],0)</f>
        <v>#DIV/0!</v>
      </c>
      <c r="AA827" s="441" t="e">
        <f>Ruimtestaat[[#This Row],[uren / jaar werkdagen gedeeld]]*Tariefsopbouw!$E$35</f>
        <v>#DIV/0!</v>
      </c>
      <c r="AB827" s="441">
        <f>Ruimtestaat[[#This Row],[Uitvoeringen werkdagen]]*Ruimtestaat[[#This Row],[BSO]]</f>
        <v>14917.5</v>
      </c>
      <c r="AC827" s="443" t="e">
        <f>IF(U827&gt;0,Ruimtestaat[[#This Row],[Prest. (m2 / jaar) werkdagen BSO]]/Ruimtestaat[[#This Row],[Norm (m2/uur) werkdagen]],0)</f>
        <v>#DIV/0!</v>
      </c>
      <c r="AD827" s="443" t="e">
        <f>Ruimtestaat[[#This Row],[uren / jaar werkdagen BSO]]*Tariefsopbouw!$E$35</f>
        <v>#DIV/0!</v>
      </c>
      <c r="AE827" s="444">
        <f>Ruimtestaat[[#This Row],[uren / jaar werkdagen]]*Tariefsopbouw!$E$35</f>
        <v>0</v>
      </c>
      <c r="AF827" s="454"/>
      <c r="AG827" s="455">
        <f>IF(Ruimtestaat[[#This Row],[Frequentie weekend]]&gt;0,VALUE(LEFT(AF827,1))*S827,0)</f>
        <v>0</v>
      </c>
      <c r="AH827" s="455">
        <f>IF($AG827&gt;0,VLOOKUP($J827,Ruimtegroepen[],3,FALSE)*VLOOKUP($L827,Vloersoorten[],3,FALSE)*VLOOKUP($AF827,Frequenties[],3,FALSE)*VLOOKUP(#REF!,Locaties[],3,FALSE),0)</f>
        <v>0</v>
      </c>
      <c r="AI827" s="434">
        <f>Ruimtestaat[[#This Row],[Uitvoeringen weekend]]*Ruimtestaat[[#This Row],[Oppervlak (netto)]]</f>
        <v>0</v>
      </c>
      <c r="AJ827" s="434">
        <f>IF(AH827&gt;0,Ruimtestaat[[#This Row],[Prest. (m2 /jaar) weekend]]/Ruimtestaat[[#This Row],[Norm (m2/uur) weekend]],0)</f>
        <v>0</v>
      </c>
      <c r="AK827" s="444">
        <f>Ruimtestaat[[#This Row],[uren / jaar weekend]]*Tariefsopbouw!$D$40</f>
        <v>0</v>
      </c>
      <c r="AL827" s="441">
        <f>Ruimtestaat[[#This Row],[Prest. (m2 /jaar) weekend]]+Ruimtestaat[[#This Row],[Prest. (m2 /jaar) werkdagen]]</f>
        <v>0</v>
      </c>
      <c r="AM827" s="441">
        <f>Ruimtestaat[[#This Row],[uren / jaar weekend]]+Ruimtestaat[[#This Row],[uren / jaar werkdagen]]</f>
        <v>0</v>
      </c>
      <c r="AN827" s="446">
        <f>Ruimtestaat[[#This Row],[kosten / jaar weekend]]+Ruimtestaat[[#This Row],[kosten / jaar werkdagen]]</f>
        <v>0</v>
      </c>
      <c r="AO827" s="446"/>
      <c r="AP827" s="446" t="str">
        <f>IF(Ruimtestaat[[#This Row],[Frequentie werkdagen]]="","",_xlfn.CONCAT(Ruimtestaat[[#This Row],[Ruimte code]],"-",Ruimtestaat[[#This Row],[Frequentie werkdagen]]," ",Ruimtestaat[[#This Row],[Vloer code]]))</f>
        <v>16-5w L</v>
      </c>
      <c r="AQ827" s="448" t="str">
        <f>_xlfn.IFNA(VLOOKUP($AP827,Programma!$F$3:$G$1101,2,0),"")</f>
        <v>_</v>
      </c>
      <c r="AR827" s="448" t="str">
        <f>_xlfn.IFNA(VLOOKUP($AP827,Programma!$F$3:$H$1101,3,0),"")</f>
        <v>_</v>
      </c>
      <c r="AS827" s="448" t="str">
        <f>_xlfn.IFNA(VLOOKUP($AP827,Programma!$F$3:$I$1101,4,0),"")</f>
        <v>4w</v>
      </c>
      <c r="AT827" s="448" t="str">
        <f>_xlfn.IFNA(VLOOKUP($AP827,Programma!$F$3:$J$1101,5,0),"")</f>
        <v>1w</v>
      </c>
      <c r="AU827" s="448" t="str">
        <f>_xlfn.IFNA(VLOOKUP($AP827,Programma!$F$3:$K$1101,6,0),"")</f>
        <v>_</v>
      </c>
      <c r="AV827" s="448" t="str">
        <f>_xlfn.IFNA(VLOOKUP($AP827,Programma!$F$3:$L$1101,7,0),"")</f>
        <v>_</v>
      </c>
      <c r="AW827" s="448" t="str">
        <f>_xlfn.IFNA(VLOOKUP($AP827,Programma!$F$3:$M$1101,8,0),"")</f>
        <v>_</v>
      </c>
      <c r="AX827" s="448" t="str">
        <f>_xlfn.IFNA(VLOOKUP($AP827,Programma!$F$3:$N$1101,9,0),"")</f>
        <v>_</v>
      </c>
      <c r="AY827" s="448" t="str">
        <f>_xlfn.IFNA(VLOOKUP($AP827,Programma!$F$3:$O$1101,10,0),"")</f>
        <v>5w</v>
      </c>
      <c r="AZ827" s="448" t="str">
        <f>_xlfn.IFNA(VLOOKUP($AP827,Programma!$F$3:$P$1101,11,0),"")</f>
        <v>5w</v>
      </c>
      <c r="BA827" s="448" t="str">
        <f>_xlfn.IFNA(VLOOKUP($AP827,Programma!$F$3:$Q$1101,12,0),"")</f>
        <v>1w</v>
      </c>
      <c r="BB827" s="448" t="str">
        <f>_xlfn.IFNA(VLOOKUP($AP827,Programma!$F$3:$R$1101,13,0),"")</f>
        <v>1w</v>
      </c>
      <c r="BC827" s="448" t="str">
        <f>_xlfn.IFNA(VLOOKUP($AP827,Programma!$F$3:$S$1101,14,0),"")</f>
        <v>1m</v>
      </c>
      <c r="BD827" s="448" t="str">
        <f>_xlfn.IFNA(VLOOKUP($AP827,Programma!$F$3:$T$1101,15,0),"")</f>
        <v>2j</v>
      </c>
      <c r="BE827" s="448" t="str">
        <f>_xlfn.IFNA(VLOOKUP($AP827,Programma!$F$3:$U$1101,16,0),"")</f>
        <v>1j</v>
      </c>
      <c r="BF827" s="448" t="str">
        <f>_xlfn.IFNA(VLOOKUP($AP827,Programma!$F$3:$V$1101,17,0),"")</f>
        <v>_</v>
      </c>
      <c r="BG827" s="448" t="str">
        <f>_xlfn.IFNA(VLOOKUP($AP827,Programma!$F$3:$W$1101,18,0),"")</f>
        <v>_</v>
      </c>
      <c r="BH827" s="448" t="str">
        <f>_xlfn.IFNA(VLOOKUP($AP827,Programma!$F$3:$X$1101,19,0),"")</f>
        <v>_</v>
      </c>
      <c r="BI827" s="448" t="str">
        <f>_xlfn.IFNA(VLOOKUP($AP827,Programma!$F$3:$Y$1101,20,0),"")</f>
        <v>_</v>
      </c>
      <c r="BJ827" s="449"/>
      <c r="BK827" s="446" t="str">
        <f>IF(Ruimtestaat[[#This Row],[Frequentie weekend]]="","",_xlfn.CONCAT(Ruimtestaat[[#This Row],[Ruimte code]],"-",Ruimtestaat[[#This Row],[Frequentie weekend]]," ",Ruimtestaat[[#This Row],[Vloer code]]))</f>
        <v/>
      </c>
      <c r="BL827" s="448" t="str">
        <f>_xlfn.IFNA(VLOOKUP($BK827,Programma!$F$3:$G$1101,2,0),"")</f>
        <v/>
      </c>
      <c r="BM827" s="448" t="str">
        <f>_xlfn.IFNA(VLOOKUP($BK827,Programma!$F$3:$H$1101,3,0),"")</f>
        <v/>
      </c>
      <c r="BN827" s="448" t="str">
        <f>_xlfn.IFNA(VLOOKUP($BK827,Programma!$F$3:$I$1101,4,0),"")</f>
        <v/>
      </c>
      <c r="BO827" s="448" t="str">
        <f>_xlfn.IFNA(VLOOKUP($BK827,Programma!$F$3:$J$1101,5,0),"")</f>
        <v/>
      </c>
      <c r="BP827" s="448" t="str">
        <f>_xlfn.IFNA(VLOOKUP($BK827,Programma!$F$3:$K$1101,6,0),"")</f>
        <v/>
      </c>
      <c r="BQ827" s="448" t="str">
        <f>_xlfn.IFNA(VLOOKUP($BK827,Programma!$F$3:$L$1101,7,0),"")</f>
        <v/>
      </c>
      <c r="BR827" s="448" t="str">
        <f>_xlfn.IFNA(VLOOKUP($BK827,Programma!$F$3:$M$1101,8,0),"")</f>
        <v/>
      </c>
      <c r="BS827" s="448" t="str">
        <f>_xlfn.IFNA(VLOOKUP($BK827,Programma!$F$3:$N$1101,9,0),"")</f>
        <v/>
      </c>
      <c r="BT827" s="448" t="str">
        <f>_xlfn.IFNA(VLOOKUP($BK827,Programma!$F$3:$O$1101,10,0),"")</f>
        <v/>
      </c>
      <c r="BU827" s="448" t="str">
        <f>_xlfn.IFNA(VLOOKUP($BK827,Programma!$F$3:$P$1101,11,0),"")</f>
        <v/>
      </c>
      <c r="BV827" s="448" t="str">
        <f>_xlfn.IFNA(VLOOKUP($BK827,Programma!$F$3:$Q$1101,12,0),"")</f>
        <v/>
      </c>
      <c r="BW827" s="448" t="str">
        <f>_xlfn.IFNA(VLOOKUP($BK827,Programma!$F$3:$R$1101,13,0),"")</f>
        <v/>
      </c>
      <c r="BX827" s="448" t="str">
        <f>_xlfn.IFNA(VLOOKUP($BK827,Programma!$F$3:$S$1101,14,0),"")</f>
        <v/>
      </c>
      <c r="BY827" s="448" t="str">
        <f>_xlfn.IFNA(VLOOKUP($BK827,Programma!$F$3:$T$1101,15,0),"")</f>
        <v/>
      </c>
      <c r="BZ827" s="448" t="str">
        <f>_xlfn.IFNA(VLOOKUP($BK827,Programma!$F$3:$U$1101,16,0),"")</f>
        <v/>
      </c>
      <c r="CA827" s="448" t="str">
        <f>_xlfn.IFNA(VLOOKUP($BK827,Programma!$F$3:$V$1101,17,0),"")</f>
        <v/>
      </c>
      <c r="CB827" s="448" t="str">
        <f>_xlfn.IFNA(VLOOKUP($BK827,Programma!$F$3:$W$1101,18,0),"")</f>
        <v/>
      </c>
      <c r="CC827" s="448" t="str">
        <f>_xlfn.IFNA(VLOOKUP($BK827,Programma!$F$3:$X$1101,19,0),"")</f>
        <v/>
      </c>
      <c r="CD827" s="448" t="str">
        <f>_xlfn.IFNA(VLOOKUP($BK827,Programma!$F$3:$Y$1101,20,0),"")</f>
        <v/>
      </c>
    </row>
    <row r="828" spans="1:82" ht="15" customHeight="1">
      <c r="A828" s="327">
        <v>24</v>
      </c>
      <c r="B828" s="435" t="str">
        <f>VLOOKUP(Ruimtestaat[[#This Row],[Code]],Locaties[[Code]:[Locatie]],2,FALSE)</f>
        <v>IKC De Gaerde</v>
      </c>
      <c r="C828" s="435" t="str">
        <f>VLOOKUP(Ruimtestaat[[#This Row],[Code]],Locaties[[#All],[Code]:[Adres]],4,FALSE)</f>
        <v>Moerbeigaarde 58A</v>
      </c>
      <c r="D828" s="435" t="str">
        <f>VLOOKUP(Ruimtestaat[[#This Row],[Code]],Locaties[[#All],[Code]:[Postcode]],5,FALSE)</f>
        <v>2723 AG</v>
      </c>
      <c r="E828" s="435" t="str">
        <f>VLOOKUP(Ruimtestaat[[#This Row],[Code]],Locaties[#All],6,FALSE)</f>
        <v>Zoetermeer</v>
      </c>
      <c r="F828" s="450"/>
      <c r="G828" s="330" t="s">
        <v>1678</v>
      </c>
      <c r="H828" s="330" t="s">
        <v>1959</v>
      </c>
      <c r="I828" s="450" t="s">
        <v>2034</v>
      </c>
      <c r="J828" s="330">
        <v>20</v>
      </c>
      <c r="K828" s="450" t="str">
        <f>VLOOKUP(Ruimtestaat[[#This Row],[Ruimte code]],Ruimtegroepen[[#All],[Code]:[Ruimte omschrijving]],2,FALSE)</f>
        <v>Niet in Onderhoud</v>
      </c>
      <c r="L828" s="330" t="s">
        <v>100</v>
      </c>
      <c r="M828" s="437" t="s">
        <v>2058</v>
      </c>
      <c r="N828" s="439"/>
      <c r="O828" s="439"/>
      <c r="P828" s="439"/>
      <c r="Q828" s="439"/>
      <c r="R828" s="440">
        <f>VLOOKUP(Ruimtestaat[[#This Row],[Ruimte code]],Ruimtegroepen[],4,FALSE)</f>
        <v>0</v>
      </c>
      <c r="S828" s="434"/>
      <c r="T828" s="434"/>
      <c r="U828" s="453">
        <f>IF(S828&gt;0,IF(RIGHT(Ruimtestaat[[#This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28" s="434">
        <f>IF(U828&gt;0,VLOOKUP($J828,Ruimtegroepen[],3,FALSE)*VLOOKUP($L828,Vloersoorten[],3,FALSE)*VLOOKUP($T828,Frequenties[],3,FALSE)*VLOOKUP($A828,Locaties[],3,FALSE),0)</f>
        <v>0</v>
      </c>
      <c r="W828" s="434">
        <f>Ruimtestaat[[#This Row],[Uitvoeringen werkdagen]]*Ruimtestaat[[#This Row],[Oppervlak (netto)]]</f>
        <v>0</v>
      </c>
      <c r="X828" s="441">
        <f>IF(V828&gt;0,Ruimtestaat[[#This Row],[Prest. (m2 /jaar) werkdagen]]/Ruimtestaat[[#This Row],[Norm (m2/uur) werkdagen]],0)</f>
        <v>0</v>
      </c>
      <c r="Y828" s="442">
        <f>Ruimtestaat[[#This Row],[Uitvoeringen werkdagen]]*Ruimtestaat[[#This Row],[Gedeeltelijk]]</f>
        <v>0</v>
      </c>
      <c r="Z828" s="443">
        <f>IF(U828&gt;0,Ruimtestaat[[#This Row],[Prest. (m2 / jaar) werkdagen gedeeld]]/Ruimtestaat[[#This Row],[Norm (m2/uur) werkdagen]],0)</f>
        <v>0</v>
      </c>
      <c r="AA828" s="441">
        <f>Ruimtestaat[[#This Row],[uren / jaar werkdagen gedeeld]]*Tariefsopbouw!$E$35</f>
        <v>0</v>
      </c>
      <c r="AB828" s="441">
        <f>Ruimtestaat[[#This Row],[Uitvoeringen werkdagen]]*Ruimtestaat[[#This Row],[BSO]]</f>
        <v>0</v>
      </c>
      <c r="AC828" s="443">
        <f>IF(U828&gt;0,Ruimtestaat[[#This Row],[Prest. (m2 / jaar) werkdagen BSO]]/Ruimtestaat[[#This Row],[Norm (m2/uur) werkdagen]],0)</f>
        <v>0</v>
      </c>
      <c r="AD828" s="443">
        <f>Ruimtestaat[[#This Row],[uren / jaar werkdagen BSO]]*Tariefsopbouw!$E$35</f>
        <v>0</v>
      </c>
      <c r="AE828" s="444">
        <f>Ruimtestaat[[#This Row],[uren / jaar werkdagen]]*Tariefsopbouw!$E$35</f>
        <v>0</v>
      </c>
      <c r="AF828" s="454"/>
      <c r="AG828" s="455">
        <f>IF(Ruimtestaat[[#This Row],[Frequentie weekend]]&gt;0,VALUE(LEFT(AF828,1))*S828,0)</f>
        <v>0</v>
      </c>
      <c r="AH828" s="455">
        <f>IF($AG828&gt;0,VLOOKUP($J828,Ruimtegroepen[],3,FALSE)*VLOOKUP($L828,Vloersoorten[],3,FALSE)*VLOOKUP($AF828,Frequenties[],3,FALSE)*VLOOKUP(#REF!,Locaties[],3,FALSE),0)</f>
        <v>0</v>
      </c>
      <c r="AI828" s="434">
        <f>Ruimtestaat[[#This Row],[Uitvoeringen weekend]]*Ruimtestaat[[#This Row],[Oppervlak (netto)]]</f>
        <v>0</v>
      </c>
      <c r="AJ828" s="434">
        <f>IF(AH828&gt;0,Ruimtestaat[[#This Row],[Prest. (m2 /jaar) weekend]]/Ruimtestaat[[#This Row],[Norm (m2/uur) weekend]],0)</f>
        <v>0</v>
      </c>
      <c r="AK828" s="444">
        <f>Ruimtestaat[[#This Row],[uren / jaar weekend]]*Tariefsopbouw!$D$40</f>
        <v>0</v>
      </c>
      <c r="AL828" s="441">
        <f>Ruimtestaat[[#This Row],[Prest. (m2 /jaar) weekend]]+Ruimtestaat[[#This Row],[Prest. (m2 /jaar) werkdagen]]</f>
        <v>0</v>
      </c>
      <c r="AM828" s="441">
        <f>Ruimtestaat[[#This Row],[uren / jaar weekend]]+Ruimtestaat[[#This Row],[uren / jaar werkdagen]]</f>
        <v>0</v>
      </c>
      <c r="AN828" s="446">
        <f>Ruimtestaat[[#This Row],[kosten / jaar weekend]]+Ruimtestaat[[#This Row],[kosten / jaar werkdagen]]</f>
        <v>0</v>
      </c>
      <c r="AO828" s="446"/>
      <c r="AP828" s="446" t="str">
        <f>IF(Ruimtestaat[[#This Row],[Frequentie werkdagen]]="","",_xlfn.CONCAT(Ruimtestaat[[#This Row],[Ruimte code]],"-",Ruimtestaat[[#This Row],[Frequentie werkdagen]]," ",Ruimtestaat[[#This Row],[Vloer code]]))</f>
        <v/>
      </c>
      <c r="AQ828" s="448" t="str">
        <f>_xlfn.IFNA(VLOOKUP($AP828,Programma!$F$3:$G$1101,2,0),"")</f>
        <v/>
      </c>
      <c r="AR828" s="448" t="str">
        <f>_xlfn.IFNA(VLOOKUP($AP828,Programma!$F$3:$H$1101,3,0),"")</f>
        <v/>
      </c>
      <c r="AS828" s="448" t="str">
        <f>_xlfn.IFNA(VLOOKUP($AP828,Programma!$F$3:$I$1101,4,0),"")</f>
        <v/>
      </c>
      <c r="AT828" s="448" t="str">
        <f>_xlfn.IFNA(VLOOKUP($AP828,Programma!$F$3:$J$1101,5,0),"")</f>
        <v/>
      </c>
      <c r="AU828" s="448" t="str">
        <f>_xlfn.IFNA(VLOOKUP($AP828,Programma!$F$3:$K$1101,6,0),"")</f>
        <v/>
      </c>
      <c r="AV828" s="448" t="str">
        <f>_xlfn.IFNA(VLOOKUP($AP828,Programma!$F$3:$L$1101,7,0),"")</f>
        <v/>
      </c>
      <c r="AW828" s="448" t="str">
        <f>_xlfn.IFNA(VLOOKUP($AP828,Programma!$F$3:$M$1101,8,0),"")</f>
        <v/>
      </c>
      <c r="AX828" s="448" t="str">
        <f>_xlfn.IFNA(VLOOKUP($AP828,Programma!$F$3:$N$1101,9,0),"")</f>
        <v/>
      </c>
      <c r="AY828" s="448" t="str">
        <f>_xlfn.IFNA(VLOOKUP($AP828,Programma!$F$3:$O$1101,10,0),"")</f>
        <v/>
      </c>
      <c r="AZ828" s="448" t="str">
        <f>_xlfn.IFNA(VLOOKUP($AP828,Programma!$F$3:$P$1101,11,0),"")</f>
        <v/>
      </c>
      <c r="BA828" s="448" t="str">
        <f>_xlfn.IFNA(VLOOKUP($AP828,Programma!$F$3:$Q$1101,12,0),"")</f>
        <v/>
      </c>
      <c r="BB828" s="448" t="str">
        <f>_xlfn.IFNA(VLOOKUP($AP828,Programma!$F$3:$R$1101,13,0),"")</f>
        <v/>
      </c>
      <c r="BC828" s="448" t="str">
        <f>_xlfn.IFNA(VLOOKUP($AP828,Programma!$F$3:$S$1101,14,0),"")</f>
        <v/>
      </c>
      <c r="BD828" s="448" t="str">
        <f>_xlfn.IFNA(VLOOKUP($AP828,Programma!$F$3:$T$1101,15,0),"")</f>
        <v/>
      </c>
      <c r="BE828" s="448" t="str">
        <f>_xlfn.IFNA(VLOOKUP($AP828,Programma!$F$3:$U$1101,16,0),"")</f>
        <v/>
      </c>
      <c r="BF828" s="448" t="str">
        <f>_xlfn.IFNA(VLOOKUP($AP828,Programma!$F$3:$V$1101,17,0),"")</f>
        <v/>
      </c>
      <c r="BG828" s="448" t="str">
        <f>_xlfn.IFNA(VLOOKUP($AP828,Programma!$F$3:$W$1101,18,0),"")</f>
        <v/>
      </c>
      <c r="BH828" s="448" t="str">
        <f>_xlfn.IFNA(VLOOKUP($AP828,Programma!$F$3:$X$1101,19,0),"")</f>
        <v/>
      </c>
      <c r="BI828" s="448" t="str">
        <f>_xlfn.IFNA(VLOOKUP($AP828,Programma!$F$3:$Y$1101,20,0),"")</f>
        <v/>
      </c>
      <c r="BJ828" s="449"/>
      <c r="BK828" s="446" t="str">
        <f>IF(Ruimtestaat[[#This Row],[Frequentie weekend]]="","",_xlfn.CONCAT(Ruimtestaat[[#This Row],[Ruimte code]],"-",Ruimtestaat[[#This Row],[Frequentie weekend]]," ",Ruimtestaat[[#This Row],[Vloer code]]))</f>
        <v/>
      </c>
      <c r="BL828" s="448" t="str">
        <f>_xlfn.IFNA(VLOOKUP($BK828,Programma!$F$3:$G$1101,2,0),"")</f>
        <v/>
      </c>
      <c r="BM828" s="448" t="str">
        <f>_xlfn.IFNA(VLOOKUP($BK828,Programma!$F$3:$H$1101,3,0),"")</f>
        <v/>
      </c>
      <c r="BN828" s="448" t="str">
        <f>_xlfn.IFNA(VLOOKUP($BK828,Programma!$F$3:$I$1101,4,0),"")</f>
        <v/>
      </c>
      <c r="BO828" s="448" t="str">
        <f>_xlfn.IFNA(VLOOKUP($BK828,Programma!$F$3:$J$1101,5,0),"")</f>
        <v/>
      </c>
      <c r="BP828" s="448" t="str">
        <f>_xlfn.IFNA(VLOOKUP($BK828,Programma!$F$3:$K$1101,6,0),"")</f>
        <v/>
      </c>
      <c r="BQ828" s="448" t="str">
        <f>_xlfn.IFNA(VLOOKUP($BK828,Programma!$F$3:$L$1101,7,0),"")</f>
        <v/>
      </c>
      <c r="BR828" s="448" t="str">
        <f>_xlfn.IFNA(VLOOKUP($BK828,Programma!$F$3:$M$1101,8,0),"")</f>
        <v/>
      </c>
      <c r="BS828" s="448" t="str">
        <f>_xlfn.IFNA(VLOOKUP($BK828,Programma!$F$3:$N$1101,9,0),"")</f>
        <v/>
      </c>
      <c r="BT828" s="448" t="str">
        <f>_xlfn.IFNA(VLOOKUP($BK828,Programma!$F$3:$O$1101,10,0),"")</f>
        <v/>
      </c>
      <c r="BU828" s="448" t="str">
        <f>_xlfn.IFNA(VLOOKUP($BK828,Programma!$F$3:$P$1101,11,0),"")</f>
        <v/>
      </c>
      <c r="BV828" s="448" t="str">
        <f>_xlfn.IFNA(VLOOKUP($BK828,Programma!$F$3:$Q$1101,12,0),"")</f>
        <v/>
      </c>
      <c r="BW828" s="448" t="str">
        <f>_xlfn.IFNA(VLOOKUP($BK828,Programma!$F$3:$R$1101,13,0),"")</f>
        <v/>
      </c>
      <c r="BX828" s="448" t="str">
        <f>_xlfn.IFNA(VLOOKUP($BK828,Programma!$F$3:$S$1101,14,0),"")</f>
        <v/>
      </c>
      <c r="BY828" s="448" t="str">
        <f>_xlfn.IFNA(VLOOKUP($BK828,Programma!$F$3:$T$1101,15,0),"")</f>
        <v/>
      </c>
      <c r="BZ828" s="448" t="str">
        <f>_xlfn.IFNA(VLOOKUP($BK828,Programma!$F$3:$U$1101,16,0),"")</f>
        <v/>
      </c>
      <c r="CA828" s="448" t="str">
        <f>_xlfn.IFNA(VLOOKUP($BK828,Programma!$F$3:$V$1101,17,0),"")</f>
        <v/>
      </c>
      <c r="CB828" s="448" t="str">
        <f>_xlfn.IFNA(VLOOKUP($BK828,Programma!$F$3:$W$1101,18,0),"")</f>
        <v/>
      </c>
      <c r="CC828" s="448" t="str">
        <f>_xlfn.IFNA(VLOOKUP($BK828,Programma!$F$3:$X$1101,19,0),"")</f>
        <v/>
      </c>
      <c r="CD828" s="448" t="str">
        <f>_xlfn.IFNA(VLOOKUP($BK828,Programma!$F$3:$Y$1101,20,0),"")</f>
        <v/>
      </c>
    </row>
    <row r="829" spans="1:82" ht="15" customHeight="1">
      <c r="A829" s="327">
        <v>24</v>
      </c>
      <c r="B829" s="435" t="str">
        <f>VLOOKUP(Ruimtestaat[[#This Row],[Code]],Locaties[[Code]:[Locatie]],2,FALSE)</f>
        <v>IKC De Gaerde</v>
      </c>
      <c r="C829" s="435" t="str">
        <f>VLOOKUP(Ruimtestaat[[#This Row],[Code]],Locaties[[#All],[Code]:[Adres]],4,FALSE)</f>
        <v>Moerbeigaarde 58A</v>
      </c>
      <c r="D829" s="435" t="str">
        <f>VLOOKUP(Ruimtestaat[[#This Row],[Code]],Locaties[[#All],[Code]:[Postcode]],5,FALSE)</f>
        <v>2723 AG</v>
      </c>
      <c r="E829" s="435" t="str">
        <f>VLOOKUP(Ruimtestaat[[#This Row],[Code]],Locaties[#All],6,FALSE)</f>
        <v>Zoetermeer</v>
      </c>
      <c r="F829" s="450"/>
      <c r="G829" s="330" t="s">
        <v>1678</v>
      </c>
      <c r="H829" s="330" t="s">
        <v>2035</v>
      </c>
      <c r="I829" s="450" t="s">
        <v>1726</v>
      </c>
      <c r="J829" s="330">
        <v>16</v>
      </c>
      <c r="K829" s="450" t="str">
        <f>VLOOKUP(Ruimtestaat[[#This Row],[Ruimte code]],Ruimtegroepen[[#All],[Code]:[Ruimte omschrijving]],2,FALSE)</f>
        <v>Leslokalen</v>
      </c>
      <c r="L829" s="330" t="s">
        <v>100</v>
      </c>
      <c r="M829" s="437" t="s">
        <v>2058</v>
      </c>
      <c r="N829" s="439">
        <v>83.2</v>
      </c>
      <c r="O829" s="439"/>
      <c r="P829" s="439"/>
      <c r="Q829" s="439"/>
      <c r="R829" s="440" t="str">
        <f>VLOOKUP(Ruimtestaat[[#This Row],[Ruimte code]],Ruimtegroepen[],4,FALSE)</f>
        <v>Le</v>
      </c>
      <c r="S829" s="434">
        <v>40</v>
      </c>
      <c r="T829" s="434" t="s">
        <v>2</v>
      </c>
      <c r="U829" s="453">
        <f>IF(S829&gt;0,IF(RIGHT(Ruimtestaat[[#This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9" s="434">
        <f>IF(U829&gt;0,VLOOKUP($J829,Ruimtegroepen[],3,FALSE)*VLOOKUP($L829,Vloersoorten[],3,FALSE)*VLOOKUP($T829,Frequenties[],3,FALSE)*VLOOKUP($A829,Locaties[],3,FALSE),0)</f>
        <v>0</v>
      </c>
      <c r="W829" s="434">
        <f>Ruimtestaat[[#This Row],[Uitvoeringen werkdagen]]*Ruimtestaat[[#This Row],[Oppervlak (netto)]]</f>
        <v>16640</v>
      </c>
      <c r="X829" s="441">
        <f>IF(V829&gt;0,Ruimtestaat[[#This Row],[Prest. (m2 /jaar) werkdagen]]/Ruimtestaat[[#This Row],[Norm (m2/uur) werkdagen]],0)</f>
        <v>0</v>
      </c>
      <c r="Y829" s="442">
        <f>Ruimtestaat[[#This Row],[Uitvoeringen werkdagen]]*Ruimtestaat[[#This Row],[Gedeeltelijk]]</f>
        <v>0</v>
      </c>
      <c r="Z829" s="443" t="e">
        <f>IF(U829&gt;0,Ruimtestaat[[#This Row],[Prest. (m2 / jaar) werkdagen gedeeld]]/Ruimtestaat[[#This Row],[Norm (m2/uur) werkdagen]],0)</f>
        <v>#DIV/0!</v>
      </c>
      <c r="AA829" s="441" t="e">
        <f>Ruimtestaat[[#This Row],[uren / jaar werkdagen gedeeld]]*Tariefsopbouw!$E$35</f>
        <v>#DIV/0!</v>
      </c>
      <c r="AB829" s="441">
        <f>Ruimtestaat[[#This Row],[Uitvoeringen werkdagen]]*Ruimtestaat[[#This Row],[BSO]]</f>
        <v>0</v>
      </c>
      <c r="AC829" s="443" t="e">
        <f>IF(U829&gt;0,Ruimtestaat[[#This Row],[Prest. (m2 / jaar) werkdagen BSO]]/Ruimtestaat[[#This Row],[Norm (m2/uur) werkdagen]],0)</f>
        <v>#DIV/0!</v>
      </c>
      <c r="AD829" s="443" t="e">
        <f>Ruimtestaat[[#This Row],[uren / jaar werkdagen BSO]]*Tariefsopbouw!$E$35</f>
        <v>#DIV/0!</v>
      </c>
      <c r="AE829" s="444">
        <f>Ruimtestaat[[#This Row],[uren / jaar werkdagen]]*Tariefsopbouw!$E$35</f>
        <v>0</v>
      </c>
      <c r="AF829" s="454"/>
      <c r="AG829" s="455">
        <f>IF(Ruimtestaat[[#This Row],[Frequentie weekend]]&gt;0,VALUE(LEFT(AF829,1))*S829,0)</f>
        <v>0</v>
      </c>
      <c r="AH829" s="455">
        <f>IF($AG829&gt;0,VLOOKUP($J829,Ruimtegroepen[],3,FALSE)*VLOOKUP($L829,Vloersoorten[],3,FALSE)*VLOOKUP($AF829,Frequenties[],3,FALSE)*VLOOKUP(#REF!,Locaties[],3,FALSE),0)</f>
        <v>0</v>
      </c>
      <c r="AI829" s="434">
        <f>Ruimtestaat[[#This Row],[Uitvoeringen weekend]]*Ruimtestaat[[#This Row],[Oppervlak (netto)]]</f>
        <v>0</v>
      </c>
      <c r="AJ829" s="434">
        <f>IF(AH829&gt;0,Ruimtestaat[[#This Row],[Prest. (m2 /jaar) weekend]]/Ruimtestaat[[#This Row],[Norm (m2/uur) weekend]],0)</f>
        <v>0</v>
      </c>
      <c r="AK829" s="444">
        <f>Ruimtestaat[[#This Row],[uren / jaar weekend]]*Tariefsopbouw!$D$40</f>
        <v>0</v>
      </c>
      <c r="AL829" s="441">
        <f>Ruimtestaat[[#This Row],[Prest. (m2 /jaar) weekend]]+Ruimtestaat[[#This Row],[Prest. (m2 /jaar) werkdagen]]</f>
        <v>16640</v>
      </c>
      <c r="AM829" s="441">
        <f>Ruimtestaat[[#This Row],[uren / jaar weekend]]+Ruimtestaat[[#This Row],[uren / jaar werkdagen]]</f>
        <v>0</v>
      </c>
      <c r="AN829" s="446">
        <f>Ruimtestaat[[#This Row],[kosten / jaar weekend]]+Ruimtestaat[[#This Row],[kosten / jaar werkdagen]]</f>
        <v>0</v>
      </c>
      <c r="AO829" s="446"/>
      <c r="AP829" s="446" t="str">
        <f>IF(Ruimtestaat[[#This Row],[Frequentie werkdagen]]="","",_xlfn.CONCAT(Ruimtestaat[[#This Row],[Ruimte code]],"-",Ruimtestaat[[#This Row],[Frequentie werkdagen]]," ",Ruimtestaat[[#This Row],[Vloer code]]))</f>
        <v>16-5w L</v>
      </c>
      <c r="AQ829" s="448" t="str">
        <f>_xlfn.IFNA(VLOOKUP($AP829,Programma!$F$3:$G$1101,2,0),"")</f>
        <v>_</v>
      </c>
      <c r="AR829" s="448" t="str">
        <f>_xlfn.IFNA(VLOOKUP($AP829,Programma!$F$3:$H$1101,3,0),"")</f>
        <v>_</v>
      </c>
      <c r="AS829" s="448" t="str">
        <f>_xlfn.IFNA(VLOOKUP($AP829,Programma!$F$3:$I$1101,4,0),"")</f>
        <v>4w</v>
      </c>
      <c r="AT829" s="448" t="str">
        <f>_xlfn.IFNA(VLOOKUP($AP829,Programma!$F$3:$J$1101,5,0),"")</f>
        <v>1w</v>
      </c>
      <c r="AU829" s="448" t="str">
        <f>_xlfn.IFNA(VLOOKUP($AP829,Programma!$F$3:$K$1101,6,0),"")</f>
        <v>_</v>
      </c>
      <c r="AV829" s="448" t="str">
        <f>_xlfn.IFNA(VLOOKUP($AP829,Programma!$F$3:$L$1101,7,0),"")</f>
        <v>_</v>
      </c>
      <c r="AW829" s="448" t="str">
        <f>_xlfn.IFNA(VLOOKUP($AP829,Programma!$F$3:$M$1101,8,0),"")</f>
        <v>_</v>
      </c>
      <c r="AX829" s="448" t="str">
        <f>_xlfn.IFNA(VLOOKUP($AP829,Programma!$F$3:$N$1101,9,0),"")</f>
        <v>_</v>
      </c>
      <c r="AY829" s="448" t="str">
        <f>_xlfn.IFNA(VLOOKUP($AP829,Programma!$F$3:$O$1101,10,0),"")</f>
        <v>5w</v>
      </c>
      <c r="AZ829" s="448" t="str">
        <f>_xlfn.IFNA(VLOOKUP($AP829,Programma!$F$3:$P$1101,11,0),"")</f>
        <v>5w</v>
      </c>
      <c r="BA829" s="448" t="str">
        <f>_xlfn.IFNA(VLOOKUP($AP829,Programma!$F$3:$Q$1101,12,0),"")</f>
        <v>1w</v>
      </c>
      <c r="BB829" s="448" t="str">
        <f>_xlfn.IFNA(VLOOKUP($AP829,Programma!$F$3:$R$1101,13,0),"")</f>
        <v>1w</v>
      </c>
      <c r="BC829" s="448" t="str">
        <f>_xlfn.IFNA(VLOOKUP($AP829,Programma!$F$3:$S$1101,14,0),"")</f>
        <v>1m</v>
      </c>
      <c r="BD829" s="448" t="str">
        <f>_xlfn.IFNA(VLOOKUP($AP829,Programma!$F$3:$T$1101,15,0),"")</f>
        <v>2j</v>
      </c>
      <c r="BE829" s="448" t="str">
        <f>_xlfn.IFNA(VLOOKUP($AP829,Programma!$F$3:$U$1101,16,0),"")</f>
        <v>1j</v>
      </c>
      <c r="BF829" s="448" t="str">
        <f>_xlfn.IFNA(VLOOKUP($AP829,Programma!$F$3:$V$1101,17,0),"")</f>
        <v>_</v>
      </c>
      <c r="BG829" s="448" t="str">
        <f>_xlfn.IFNA(VLOOKUP($AP829,Programma!$F$3:$W$1101,18,0),"")</f>
        <v>_</v>
      </c>
      <c r="BH829" s="448" t="str">
        <f>_xlfn.IFNA(VLOOKUP($AP829,Programma!$F$3:$X$1101,19,0),"")</f>
        <v>_</v>
      </c>
      <c r="BI829" s="448" t="str">
        <f>_xlfn.IFNA(VLOOKUP($AP829,Programma!$F$3:$Y$1101,20,0),"")</f>
        <v>_</v>
      </c>
      <c r="BJ829" s="449"/>
      <c r="BK829" s="446" t="str">
        <f>IF(Ruimtestaat[[#This Row],[Frequentie weekend]]="","",_xlfn.CONCAT(Ruimtestaat[[#This Row],[Ruimte code]],"-",Ruimtestaat[[#This Row],[Frequentie weekend]]," ",Ruimtestaat[[#This Row],[Vloer code]]))</f>
        <v/>
      </c>
      <c r="BL829" s="448" t="str">
        <f>_xlfn.IFNA(VLOOKUP($BK829,Programma!$F$3:$G$1101,2,0),"")</f>
        <v/>
      </c>
      <c r="BM829" s="448" t="str">
        <f>_xlfn.IFNA(VLOOKUP($BK829,Programma!$F$3:$H$1101,3,0),"")</f>
        <v/>
      </c>
      <c r="BN829" s="448" t="str">
        <f>_xlfn.IFNA(VLOOKUP($BK829,Programma!$F$3:$I$1101,4,0),"")</f>
        <v/>
      </c>
      <c r="BO829" s="448" t="str">
        <f>_xlfn.IFNA(VLOOKUP($BK829,Programma!$F$3:$J$1101,5,0),"")</f>
        <v/>
      </c>
      <c r="BP829" s="448" t="str">
        <f>_xlfn.IFNA(VLOOKUP($BK829,Programma!$F$3:$K$1101,6,0),"")</f>
        <v/>
      </c>
      <c r="BQ829" s="448" t="str">
        <f>_xlfn.IFNA(VLOOKUP($BK829,Programma!$F$3:$L$1101,7,0),"")</f>
        <v/>
      </c>
      <c r="BR829" s="448" t="str">
        <f>_xlfn.IFNA(VLOOKUP($BK829,Programma!$F$3:$M$1101,8,0),"")</f>
        <v/>
      </c>
      <c r="BS829" s="448" t="str">
        <f>_xlfn.IFNA(VLOOKUP($BK829,Programma!$F$3:$N$1101,9,0),"")</f>
        <v/>
      </c>
      <c r="BT829" s="448" t="str">
        <f>_xlfn.IFNA(VLOOKUP($BK829,Programma!$F$3:$O$1101,10,0),"")</f>
        <v/>
      </c>
      <c r="BU829" s="448" t="str">
        <f>_xlfn.IFNA(VLOOKUP($BK829,Programma!$F$3:$P$1101,11,0),"")</f>
        <v/>
      </c>
      <c r="BV829" s="448" t="str">
        <f>_xlfn.IFNA(VLOOKUP($BK829,Programma!$F$3:$Q$1101,12,0),"")</f>
        <v/>
      </c>
      <c r="BW829" s="448" t="str">
        <f>_xlfn.IFNA(VLOOKUP($BK829,Programma!$F$3:$R$1101,13,0),"")</f>
        <v/>
      </c>
      <c r="BX829" s="448" t="str">
        <f>_xlfn.IFNA(VLOOKUP($BK829,Programma!$F$3:$S$1101,14,0),"")</f>
        <v/>
      </c>
      <c r="BY829" s="448" t="str">
        <f>_xlfn.IFNA(VLOOKUP($BK829,Programma!$F$3:$T$1101,15,0),"")</f>
        <v/>
      </c>
      <c r="BZ829" s="448" t="str">
        <f>_xlfn.IFNA(VLOOKUP($BK829,Programma!$F$3:$U$1101,16,0),"")</f>
        <v/>
      </c>
      <c r="CA829" s="448" t="str">
        <f>_xlfn.IFNA(VLOOKUP($BK829,Programma!$F$3:$V$1101,17,0),"")</f>
        <v/>
      </c>
      <c r="CB829" s="448" t="str">
        <f>_xlfn.IFNA(VLOOKUP($BK829,Programma!$F$3:$W$1101,18,0),"")</f>
        <v/>
      </c>
      <c r="CC829" s="448" t="str">
        <f>_xlfn.IFNA(VLOOKUP($BK829,Programma!$F$3:$X$1101,19,0),"")</f>
        <v/>
      </c>
      <c r="CD829" s="448" t="str">
        <f>_xlfn.IFNA(VLOOKUP($BK829,Programma!$F$3:$Y$1101,20,0),"")</f>
        <v/>
      </c>
    </row>
    <row r="830" spans="1:82" ht="15" customHeight="1">
      <c r="A830" s="327">
        <v>24</v>
      </c>
      <c r="B830" s="435" t="str">
        <f>VLOOKUP(Ruimtestaat[[#This Row],[Code]],Locaties[[Code]:[Locatie]],2,FALSE)</f>
        <v>IKC De Gaerde</v>
      </c>
      <c r="C830" s="435" t="str">
        <f>VLOOKUP(Ruimtestaat[[#This Row],[Code]],Locaties[[#All],[Code]:[Adres]],4,FALSE)</f>
        <v>Moerbeigaarde 58A</v>
      </c>
      <c r="D830" s="435" t="str">
        <f>VLOOKUP(Ruimtestaat[[#This Row],[Code]],Locaties[[#All],[Code]:[Postcode]],5,FALSE)</f>
        <v>2723 AG</v>
      </c>
      <c r="E830" s="435" t="str">
        <f>VLOOKUP(Ruimtestaat[[#This Row],[Code]],Locaties[#All],6,FALSE)</f>
        <v>Zoetermeer</v>
      </c>
      <c r="F830" s="450"/>
      <c r="G830" s="330" t="s">
        <v>1678</v>
      </c>
      <c r="H830" s="330" t="s">
        <v>2036</v>
      </c>
      <c r="I830" s="450" t="s">
        <v>1900</v>
      </c>
      <c r="J830" s="330">
        <v>17</v>
      </c>
      <c r="K830" s="450" t="str">
        <f>VLOOKUP(Ruimtestaat[[#This Row],[Ruimte code]],Ruimtegroepen[[#All],[Code]:[Ruimte omschrijving]],2,FALSE)</f>
        <v>Toestelberging</v>
      </c>
      <c r="L830" s="330" t="s">
        <v>100</v>
      </c>
      <c r="M830" s="437" t="s">
        <v>2058</v>
      </c>
      <c r="N830" s="439">
        <v>9.3000000000000007</v>
      </c>
      <c r="O830" s="439"/>
      <c r="P830" s="439"/>
      <c r="Q830" s="439"/>
      <c r="R830" s="440" t="str">
        <f>VLOOKUP(Ruimtestaat[[#This Row],[Ruimte code]],Ruimtegroepen[],4,FALSE)</f>
        <v>Ve</v>
      </c>
      <c r="S830" s="434">
        <v>40</v>
      </c>
      <c r="T830" s="434" t="s">
        <v>2</v>
      </c>
      <c r="U830" s="453">
        <f>IF(S830&gt;0,IF(RIGHT(Ruimtestaat[[#This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0" s="434">
        <f>IF(U830&gt;0,VLOOKUP($J830,Ruimtegroepen[],3,FALSE)*VLOOKUP($L830,Vloersoorten[],3,FALSE)*VLOOKUP($T830,Frequenties[],3,FALSE)*VLOOKUP($A830,Locaties[],3,FALSE),0)</f>
        <v>0</v>
      </c>
      <c r="W830" s="434">
        <f>Ruimtestaat[[#This Row],[Uitvoeringen werkdagen]]*Ruimtestaat[[#This Row],[Oppervlak (netto)]]</f>
        <v>1860.0000000000002</v>
      </c>
      <c r="X830" s="441">
        <f>IF(V830&gt;0,Ruimtestaat[[#This Row],[Prest. (m2 /jaar) werkdagen]]/Ruimtestaat[[#This Row],[Norm (m2/uur) werkdagen]],0)</f>
        <v>0</v>
      </c>
      <c r="Y830" s="442">
        <f>Ruimtestaat[[#This Row],[Uitvoeringen werkdagen]]*Ruimtestaat[[#This Row],[Gedeeltelijk]]</f>
        <v>0</v>
      </c>
      <c r="Z830" s="443" t="e">
        <f>IF(U830&gt;0,Ruimtestaat[[#This Row],[Prest. (m2 / jaar) werkdagen gedeeld]]/Ruimtestaat[[#This Row],[Norm (m2/uur) werkdagen]],0)</f>
        <v>#DIV/0!</v>
      </c>
      <c r="AA830" s="441" t="e">
        <f>Ruimtestaat[[#This Row],[uren / jaar werkdagen gedeeld]]*Tariefsopbouw!$E$35</f>
        <v>#DIV/0!</v>
      </c>
      <c r="AB830" s="441">
        <f>Ruimtestaat[[#This Row],[Uitvoeringen werkdagen]]*Ruimtestaat[[#This Row],[BSO]]</f>
        <v>0</v>
      </c>
      <c r="AC830" s="443" t="e">
        <f>IF(U830&gt;0,Ruimtestaat[[#This Row],[Prest. (m2 / jaar) werkdagen BSO]]/Ruimtestaat[[#This Row],[Norm (m2/uur) werkdagen]],0)</f>
        <v>#DIV/0!</v>
      </c>
      <c r="AD830" s="443" t="e">
        <f>Ruimtestaat[[#This Row],[uren / jaar werkdagen BSO]]*Tariefsopbouw!$E$35</f>
        <v>#DIV/0!</v>
      </c>
      <c r="AE830" s="444">
        <f>Ruimtestaat[[#This Row],[uren / jaar werkdagen]]*Tariefsopbouw!$E$35</f>
        <v>0</v>
      </c>
      <c r="AF830" s="454"/>
      <c r="AG830" s="455">
        <f>IF(Ruimtestaat[[#This Row],[Frequentie weekend]]&gt;0,VALUE(LEFT(AF830,1))*S830,0)</f>
        <v>0</v>
      </c>
      <c r="AH830" s="455">
        <f>IF($AG830&gt;0,VLOOKUP($J830,Ruimtegroepen[],3,FALSE)*VLOOKUP($L830,Vloersoorten[],3,FALSE)*VLOOKUP($AF830,Frequenties[],3,FALSE)*VLOOKUP(#REF!,Locaties[],3,FALSE),0)</f>
        <v>0</v>
      </c>
      <c r="AI830" s="434">
        <f>Ruimtestaat[[#This Row],[Uitvoeringen weekend]]*Ruimtestaat[[#This Row],[Oppervlak (netto)]]</f>
        <v>0</v>
      </c>
      <c r="AJ830" s="434">
        <f>IF(AH830&gt;0,Ruimtestaat[[#This Row],[Prest. (m2 /jaar) weekend]]/Ruimtestaat[[#This Row],[Norm (m2/uur) weekend]],0)</f>
        <v>0</v>
      </c>
      <c r="AK830" s="444">
        <f>Ruimtestaat[[#This Row],[uren / jaar weekend]]*Tariefsopbouw!$D$40</f>
        <v>0</v>
      </c>
      <c r="AL830" s="441">
        <f>Ruimtestaat[[#This Row],[Prest. (m2 /jaar) weekend]]+Ruimtestaat[[#This Row],[Prest. (m2 /jaar) werkdagen]]</f>
        <v>1860.0000000000002</v>
      </c>
      <c r="AM830" s="441">
        <f>Ruimtestaat[[#This Row],[uren / jaar weekend]]+Ruimtestaat[[#This Row],[uren / jaar werkdagen]]</f>
        <v>0</v>
      </c>
      <c r="AN830" s="446">
        <f>Ruimtestaat[[#This Row],[kosten / jaar weekend]]+Ruimtestaat[[#This Row],[kosten / jaar werkdagen]]</f>
        <v>0</v>
      </c>
      <c r="AO830" s="446"/>
      <c r="AP830" s="446" t="str">
        <f>IF(Ruimtestaat[[#This Row],[Frequentie werkdagen]]="","",_xlfn.CONCAT(Ruimtestaat[[#This Row],[Ruimte code]],"-",Ruimtestaat[[#This Row],[Frequentie werkdagen]]," ",Ruimtestaat[[#This Row],[Vloer code]]))</f>
        <v>17-5w L</v>
      </c>
      <c r="AQ830" s="448" t="str">
        <f>_xlfn.IFNA(VLOOKUP($AP830,Programma!$F$3:$G$1101,2,0),"")</f>
        <v>_</v>
      </c>
      <c r="AR830" s="448" t="str">
        <f>_xlfn.IFNA(VLOOKUP($AP830,Programma!$F$3:$H$1101,3,0),"")</f>
        <v>_</v>
      </c>
      <c r="AS830" s="448" t="str">
        <f>_xlfn.IFNA(VLOOKUP($AP830,Programma!$F$3:$I$1101,4,0),"")</f>
        <v>4w</v>
      </c>
      <c r="AT830" s="448" t="str">
        <f>_xlfn.IFNA(VLOOKUP($AP830,Programma!$F$3:$J$1101,5,0),"")</f>
        <v>1w</v>
      </c>
      <c r="AU830" s="448" t="str">
        <f>_xlfn.IFNA(VLOOKUP($AP830,Programma!$F$3:$K$1101,6,0),"")</f>
        <v>_</v>
      </c>
      <c r="AV830" s="448" t="str">
        <f>_xlfn.IFNA(VLOOKUP($AP830,Programma!$F$3:$L$1101,7,0),"")</f>
        <v>_</v>
      </c>
      <c r="AW830" s="448" t="str">
        <f>_xlfn.IFNA(VLOOKUP($AP830,Programma!$F$3:$M$1101,8,0),"")</f>
        <v>_</v>
      </c>
      <c r="AX830" s="448" t="str">
        <f>_xlfn.IFNA(VLOOKUP($AP830,Programma!$F$3:$N$1101,9,0),"")</f>
        <v>_</v>
      </c>
      <c r="AY830" s="448" t="str">
        <f>_xlfn.IFNA(VLOOKUP($AP830,Programma!$F$3:$O$1101,10,0),"")</f>
        <v>5w</v>
      </c>
      <c r="AZ830" s="448" t="str">
        <f>_xlfn.IFNA(VLOOKUP($AP830,Programma!$F$3:$P$1101,11,0),"")</f>
        <v>5w</v>
      </c>
      <c r="BA830" s="448" t="str">
        <f>_xlfn.IFNA(VLOOKUP($AP830,Programma!$F$3:$Q$1101,12,0),"")</f>
        <v>1w</v>
      </c>
      <c r="BB830" s="448" t="str">
        <f>_xlfn.IFNA(VLOOKUP($AP830,Programma!$F$3:$R$1101,13,0),"")</f>
        <v>1w</v>
      </c>
      <c r="BC830" s="448" t="str">
        <f>_xlfn.IFNA(VLOOKUP($AP830,Programma!$F$3:$S$1101,14,0),"")</f>
        <v>1m</v>
      </c>
      <c r="BD830" s="448" t="str">
        <f>_xlfn.IFNA(VLOOKUP($AP830,Programma!$F$3:$T$1101,15,0),"")</f>
        <v>2j</v>
      </c>
      <c r="BE830" s="448" t="str">
        <f>_xlfn.IFNA(VLOOKUP($AP830,Programma!$F$3:$U$1101,16,0),"")</f>
        <v>1j</v>
      </c>
      <c r="BF830" s="448" t="str">
        <f>_xlfn.IFNA(VLOOKUP($AP830,Programma!$F$3:$V$1101,17,0),"")</f>
        <v>_</v>
      </c>
      <c r="BG830" s="448" t="str">
        <f>_xlfn.IFNA(VLOOKUP($AP830,Programma!$F$3:$W$1101,18,0),"")</f>
        <v>_</v>
      </c>
      <c r="BH830" s="448" t="str">
        <f>_xlfn.IFNA(VLOOKUP($AP830,Programma!$F$3:$X$1101,19,0),"")</f>
        <v>_</v>
      </c>
      <c r="BI830" s="448" t="str">
        <f>_xlfn.IFNA(VLOOKUP($AP830,Programma!$F$3:$Y$1101,20,0),"")</f>
        <v>_</v>
      </c>
      <c r="BJ830" s="449"/>
      <c r="BK830" s="446" t="str">
        <f>IF(Ruimtestaat[[#This Row],[Frequentie weekend]]="","",_xlfn.CONCAT(Ruimtestaat[[#This Row],[Ruimte code]],"-",Ruimtestaat[[#This Row],[Frequentie weekend]]," ",Ruimtestaat[[#This Row],[Vloer code]]))</f>
        <v/>
      </c>
      <c r="BL830" s="448" t="str">
        <f>_xlfn.IFNA(VLOOKUP($BK830,Programma!$F$3:$G$1101,2,0),"")</f>
        <v/>
      </c>
      <c r="BM830" s="448" t="str">
        <f>_xlfn.IFNA(VLOOKUP($BK830,Programma!$F$3:$H$1101,3,0),"")</f>
        <v/>
      </c>
      <c r="BN830" s="448" t="str">
        <f>_xlfn.IFNA(VLOOKUP($BK830,Programma!$F$3:$I$1101,4,0),"")</f>
        <v/>
      </c>
      <c r="BO830" s="448" t="str">
        <f>_xlfn.IFNA(VLOOKUP($BK830,Programma!$F$3:$J$1101,5,0),"")</f>
        <v/>
      </c>
      <c r="BP830" s="448" t="str">
        <f>_xlfn.IFNA(VLOOKUP($BK830,Programma!$F$3:$K$1101,6,0),"")</f>
        <v/>
      </c>
      <c r="BQ830" s="448" t="str">
        <f>_xlfn.IFNA(VLOOKUP($BK830,Programma!$F$3:$L$1101,7,0),"")</f>
        <v/>
      </c>
      <c r="BR830" s="448" t="str">
        <f>_xlfn.IFNA(VLOOKUP($BK830,Programma!$F$3:$M$1101,8,0),"")</f>
        <v/>
      </c>
      <c r="BS830" s="448" t="str">
        <f>_xlfn.IFNA(VLOOKUP($BK830,Programma!$F$3:$N$1101,9,0),"")</f>
        <v/>
      </c>
      <c r="BT830" s="448" t="str">
        <f>_xlfn.IFNA(VLOOKUP($BK830,Programma!$F$3:$O$1101,10,0),"")</f>
        <v/>
      </c>
      <c r="BU830" s="448" t="str">
        <f>_xlfn.IFNA(VLOOKUP($BK830,Programma!$F$3:$P$1101,11,0),"")</f>
        <v/>
      </c>
      <c r="BV830" s="448" t="str">
        <f>_xlfn.IFNA(VLOOKUP($BK830,Programma!$F$3:$Q$1101,12,0),"")</f>
        <v/>
      </c>
      <c r="BW830" s="448" t="str">
        <f>_xlfn.IFNA(VLOOKUP($BK830,Programma!$F$3:$R$1101,13,0),"")</f>
        <v/>
      </c>
      <c r="BX830" s="448" t="str">
        <f>_xlfn.IFNA(VLOOKUP($BK830,Programma!$F$3:$S$1101,14,0),"")</f>
        <v/>
      </c>
      <c r="BY830" s="448" t="str">
        <f>_xlfn.IFNA(VLOOKUP($BK830,Programma!$F$3:$T$1101,15,0),"")</f>
        <v/>
      </c>
      <c r="BZ830" s="448" t="str">
        <f>_xlfn.IFNA(VLOOKUP($BK830,Programma!$F$3:$U$1101,16,0),"")</f>
        <v/>
      </c>
      <c r="CA830" s="448" t="str">
        <f>_xlfn.IFNA(VLOOKUP($BK830,Programma!$F$3:$V$1101,17,0),"")</f>
        <v/>
      </c>
      <c r="CB830" s="448" t="str">
        <f>_xlfn.IFNA(VLOOKUP($BK830,Programma!$F$3:$W$1101,18,0),"")</f>
        <v/>
      </c>
      <c r="CC830" s="448" t="str">
        <f>_xlfn.IFNA(VLOOKUP($BK830,Programma!$F$3:$X$1101,19,0),"")</f>
        <v/>
      </c>
      <c r="CD830" s="448" t="str">
        <f>_xlfn.IFNA(VLOOKUP($BK830,Programma!$F$3:$Y$1101,20,0),"")</f>
        <v/>
      </c>
    </row>
    <row r="831" spans="1:82" ht="15" customHeight="1">
      <c r="A831" s="327">
        <v>24</v>
      </c>
      <c r="B831" s="435" t="str">
        <f>VLOOKUP(Ruimtestaat[[#This Row],[Code]],Locaties[[Code]:[Locatie]],2,FALSE)</f>
        <v>IKC De Gaerde</v>
      </c>
      <c r="C831" s="435" t="str">
        <f>VLOOKUP(Ruimtestaat[[#This Row],[Code]],Locaties[[#All],[Code]:[Adres]],4,FALSE)</f>
        <v>Moerbeigaarde 58A</v>
      </c>
      <c r="D831" s="435" t="str">
        <f>VLOOKUP(Ruimtestaat[[#This Row],[Code]],Locaties[[#All],[Code]:[Postcode]],5,FALSE)</f>
        <v>2723 AG</v>
      </c>
      <c r="E831" s="435" t="str">
        <f>VLOOKUP(Ruimtestaat[[#This Row],[Code]],Locaties[#All],6,FALSE)</f>
        <v>Zoetermeer</v>
      </c>
      <c r="F831" s="450"/>
      <c r="G831" s="330" t="s">
        <v>1678</v>
      </c>
      <c r="H831" s="330" t="s">
        <v>1783</v>
      </c>
      <c r="I831" s="450" t="s">
        <v>1783</v>
      </c>
      <c r="J831" s="330">
        <v>10</v>
      </c>
      <c r="K831" s="450" t="str">
        <f>VLOOKUP(Ruimtestaat[[#This Row],[Ruimte code]],Ruimtegroepen[[#All],[Code]:[Ruimte omschrijving]],2,FALSE)</f>
        <v>Trappenhuizen/lift</v>
      </c>
      <c r="L831" s="330" t="s">
        <v>100</v>
      </c>
      <c r="M831" s="437" t="s">
        <v>2058</v>
      </c>
      <c r="N831" s="439"/>
      <c r="O831" s="439"/>
      <c r="P831" s="439"/>
      <c r="Q831" s="439"/>
      <c r="R831" s="440" t="str">
        <f>VLOOKUP(Ruimtestaat[[#This Row],[Ruimte code]],Ruimtegroepen[],4,FALSE)</f>
        <v>Ve</v>
      </c>
      <c r="S831" s="434">
        <v>51</v>
      </c>
      <c r="T831" s="434" t="s">
        <v>2</v>
      </c>
      <c r="U831" s="453">
        <f>IF(S831&gt;0,IF(RIGHT(Ruimtestaat[[#This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31" s="434">
        <f>IF(U831&gt;0,VLOOKUP($J831,Ruimtegroepen[],3,FALSE)*VLOOKUP($L831,Vloersoorten[],3,FALSE)*VLOOKUP($T831,Frequenties[],3,FALSE)*VLOOKUP($A831,Locaties[],3,FALSE),0)</f>
        <v>0</v>
      </c>
      <c r="W831" s="434">
        <f>Ruimtestaat[[#This Row],[Uitvoeringen werkdagen]]*Ruimtestaat[[#This Row],[Oppervlak (netto)]]</f>
        <v>0</v>
      </c>
      <c r="X831" s="441">
        <f>IF(V831&gt;0,Ruimtestaat[[#This Row],[Prest. (m2 /jaar) werkdagen]]/Ruimtestaat[[#This Row],[Norm (m2/uur) werkdagen]],0)</f>
        <v>0</v>
      </c>
      <c r="Y831" s="442">
        <f>Ruimtestaat[[#This Row],[Uitvoeringen werkdagen]]*Ruimtestaat[[#This Row],[Gedeeltelijk]]</f>
        <v>0</v>
      </c>
      <c r="Z831" s="443" t="e">
        <f>IF(U831&gt;0,Ruimtestaat[[#This Row],[Prest. (m2 / jaar) werkdagen gedeeld]]/Ruimtestaat[[#This Row],[Norm (m2/uur) werkdagen]],0)</f>
        <v>#DIV/0!</v>
      </c>
      <c r="AA831" s="441" t="e">
        <f>Ruimtestaat[[#This Row],[uren / jaar werkdagen gedeeld]]*Tariefsopbouw!$E$35</f>
        <v>#DIV/0!</v>
      </c>
      <c r="AB831" s="441">
        <f>Ruimtestaat[[#This Row],[Uitvoeringen werkdagen]]*Ruimtestaat[[#This Row],[BSO]]</f>
        <v>0</v>
      </c>
      <c r="AC831" s="443" t="e">
        <f>IF(U831&gt;0,Ruimtestaat[[#This Row],[Prest. (m2 / jaar) werkdagen BSO]]/Ruimtestaat[[#This Row],[Norm (m2/uur) werkdagen]],0)</f>
        <v>#DIV/0!</v>
      </c>
      <c r="AD831" s="443" t="e">
        <f>Ruimtestaat[[#This Row],[uren / jaar werkdagen BSO]]*Tariefsopbouw!$E$35</f>
        <v>#DIV/0!</v>
      </c>
      <c r="AE831" s="444">
        <f>Ruimtestaat[[#This Row],[uren / jaar werkdagen]]*Tariefsopbouw!$E$35</f>
        <v>0</v>
      </c>
      <c r="AF831" s="454"/>
      <c r="AG831" s="455">
        <f>IF(Ruimtestaat[[#This Row],[Frequentie weekend]]&gt;0,VALUE(LEFT(AF831,1))*S831,0)</f>
        <v>0</v>
      </c>
      <c r="AH831" s="455">
        <f>IF($AG831&gt;0,VLOOKUP($J831,Ruimtegroepen[],3,FALSE)*VLOOKUP($L831,Vloersoorten[],3,FALSE)*VLOOKUP($AF831,Frequenties[],3,FALSE)*VLOOKUP(#REF!,Locaties[],3,FALSE),0)</f>
        <v>0</v>
      </c>
      <c r="AI831" s="434">
        <f>Ruimtestaat[[#This Row],[Uitvoeringen weekend]]*Ruimtestaat[[#This Row],[Oppervlak (netto)]]</f>
        <v>0</v>
      </c>
      <c r="AJ831" s="434">
        <f>IF(AH831&gt;0,Ruimtestaat[[#This Row],[Prest. (m2 /jaar) weekend]]/Ruimtestaat[[#This Row],[Norm (m2/uur) weekend]],0)</f>
        <v>0</v>
      </c>
      <c r="AK831" s="444">
        <f>Ruimtestaat[[#This Row],[uren / jaar weekend]]*Tariefsopbouw!$D$40</f>
        <v>0</v>
      </c>
      <c r="AL831" s="441">
        <f>Ruimtestaat[[#This Row],[Prest. (m2 /jaar) weekend]]+Ruimtestaat[[#This Row],[Prest. (m2 /jaar) werkdagen]]</f>
        <v>0</v>
      </c>
      <c r="AM831" s="441">
        <f>Ruimtestaat[[#This Row],[uren / jaar weekend]]+Ruimtestaat[[#This Row],[uren / jaar werkdagen]]</f>
        <v>0</v>
      </c>
      <c r="AN831" s="446">
        <f>Ruimtestaat[[#This Row],[kosten / jaar weekend]]+Ruimtestaat[[#This Row],[kosten / jaar werkdagen]]</f>
        <v>0</v>
      </c>
      <c r="AO831" s="446"/>
      <c r="AP831" s="446" t="str">
        <f>IF(Ruimtestaat[[#This Row],[Frequentie werkdagen]]="","",_xlfn.CONCAT(Ruimtestaat[[#This Row],[Ruimte code]],"-",Ruimtestaat[[#This Row],[Frequentie werkdagen]]," ",Ruimtestaat[[#This Row],[Vloer code]]))</f>
        <v>10-5w L</v>
      </c>
      <c r="AQ831" s="448" t="str">
        <f>_xlfn.IFNA(VLOOKUP($AP831,Programma!$F$3:$G$1101,2,0),"")</f>
        <v>_</v>
      </c>
      <c r="AR831" s="448" t="str">
        <f>_xlfn.IFNA(VLOOKUP($AP831,Programma!$F$3:$H$1101,3,0),"")</f>
        <v>_</v>
      </c>
      <c r="AS831" s="448" t="str">
        <f>_xlfn.IFNA(VLOOKUP($AP831,Programma!$F$3:$I$1101,4,0),"")</f>
        <v>4w</v>
      </c>
      <c r="AT831" s="448" t="str">
        <f>_xlfn.IFNA(VLOOKUP($AP831,Programma!$F$3:$J$1101,5,0),"")</f>
        <v>1w</v>
      </c>
      <c r="AU831" s="448" t="str">
        <f>_xlfn.IFNA(VLOOKUP($AP831,Programma!$F$3:$K$1101,6,0),"")</f>
        <v>_</v>
      </c>
      <c r="AV831" s="448" t="str">
        <f>_xlfn.IFNA(VLOOKUP($AP831,Programma!$F$3:$L$1101,7,0),"")</f>
        <v>_</v>
      </c>
      <c r="AW831" s="448" t="str">
        <f>_xlfn.IFNA(VLOOKUP($AP831,Programma!$F$3:$M$1101,8,0),"")</f>
        <v>_</v>
      </c>
      <c r="AX831" s="448" t="str">
        <f>_xlfn.IFNA(VLOOKUP($AP831,Programma!$F$3:$N$1101,9,0),"")</f>
        <v>_</v>
      </c>
      <c r="AY831" s="448" t="str">
        <f>_xlfn.IFNA(VLOOKUP($AP831,Programma!$F$3:$O$1101,10,0),"")</f>
        <v>5w</v>
      </c>
      <c r="AZ831" s="448" t="str">
        <f>_xlfn.IFNA(VLOOKUP($AP831,Programma!$F$3:$P$1101,11,0),"")</f>
        <v>5w</v>
      </c>
      <c r="BA831" s="448" t="str">
        <f>_xlfn.IFNA(VLOOKUP($AP831,Programma!$F$3:$Q$1101,12,0),"")</f>
        <v>1w</v>
      </c>
      <c r="BB831" s="448" t="str">
        <f>_xlfn.IFNA(VLOOKUP($AP831,Programma!$F$3:$R$1101,13,0),"")</f>
        <v>1w</v>
      </c>
      <c r="BC831" s="448" t="str">
        <f>_xlfn.IFNA(VLOOKUP($AP831,Programma!$F$3:$S$1101,14,0),"")</f>
        <v>1m</v>
      </c>
      <c r="BD831" s="448" t="str">
        <f>_xlfn.IFNA(VLOOKUP($AP831,Programma!$F$3:$T$1101,15,0),"")</f>
        <v>2j</v>
      </c>
      <c r="BE831" s="448" t="str">
        <f>_xlfn.IFNA(VLOOKUP($AP831,Programma!$F$3:$U$1101,16,0),"")</f>
        <v>1j</v>
      </c>
      <c r="BF831" s="448" t="str">
        <f>_xlfn.IFNA(VLOOKUP($AP831,Programma!$F$3:$V$1101,17,0),"")</f>
        <v>_</v>
      </c>
      <c r="BG831" s="448" t="str">
        <f>_xlfn.IFNA(VLOOKUP($AP831,Programma!$F$3:$W$1101,18,0),"")</f>
        <v>_</v>
      </c>
      <c r="BH831" s="448" t="str">
        <f>_xlfn.IFNA(VLOOKUP($AP831,Programma!$F$3:$X$1101,19,0),"")</f>
        <v>_</v>
      </c>
      <c r="BI831" s="448" t="str">
        <f>_xlfn.IFNA(VLOOKUP($AP831,Programma!$F$3:$Y$1101,20,0),"")</f>
        <v>_</v>
      </c>
      <c r="BJ831" s="449"/>
      <c r="BK831" s="446" t="str">
        <f>IF(Ruimtestaat[[#This Row],[Frequentie weekend]]="","",_xlfn.CONCAT(Ruimtestaat[[#This Row],[Ruimte code]],"-",Ruimtestaat[[#This Row],[Frequentie weekend]]," ",Ruimtestaat[[#This Row],[Vloer code]]))</f>
        <v/>
      </c>
      <c r="BL831" s="448" t="str">
        <f>_xlfn.IFNA(VLOOKUP($BK831,Programma!$F$3:$G$1101,2,0),"")</f>
        <v/>
      </c>
      <c r="BM831" s="448" t="str">
        <f>_xlfn.IFNA(VLOOKUP($BK831,Programma!$F$3:$H$1101,3,0),"")</f>
        <v/>
      </c>
      <c r="BN831" s="448" t="str">
        <f>_xlfn.IFNA(VLOOKUP($BK831,Programma!$F$3:$I$1101,4,0),"")</f>
        <v/>
      </c>
      <c r="BO831" s="448" t="str">
        <f>_xlfn.IFNA(VLOOKUP($BK831,Programma!$F$3:$J$1101,5,0),"")</f>
        <v/>
      </c>
      <c r="BP831" s="448" t="str">
        <f>_xlfn.IFNA(VLOOKUP($BK831,Programma!$F$3:$K$1101,6,0),"")</f>
        <v/>
      </c>
      <c r="BQ831" s="448" t="str">
        <f>_xlfn.IFNA(VLOOKUP($BK831,Programma!$F$3:$L$1101,7,0),"")</f>
        <v/>
      </c>
      <c r="BR831" s="448" t="str">
        <f>_xlfn.IFNA(VLOOKUP($BK831,Programma!$F$3:$M$1101,8,0),"")</f>
        <v/>
      </c>
      <c r="BS831" s="448" t="str">
        <f>_xlfn.IFNA(VLOOKUP($BK831,Programma!$F$3:$N$1101,9,0),"")</f>
        <v/>
      </c>
      <c r="BT831" s="448" t="str">
        <f>_xlfn.IFNA(VLOOKUP($BK831,Programma!$F$3:$O$1101,10,0),"")</f>
        <v/>
      </c>
      <c r="BU831" s="448" t="str">
        <f>_xlfn.IFNA(VLOOKUP($BK831,Programma!$F$3:$P$1101,11,0),"")</f>
        <v/>
      </c>
      <c r="BV831" s="448" t="str">
        <f>_xlfn.IFNA(VLOOKUP($BK831,Programma!$F$3:$Q$1101,12,0),"")</f>
        <v/>
      </c>
      <c r="BW831" s="448" t="str">
        <f>_xlfn.IFNA(VLOOKUP($BK831,Programma!$F$3:$R$1101,13,0),"")</f>
        <v/>
      </c>
      <c r="BX831" s="448" t="str">
        <f>_xlfn.IFNA(VLOOKUP($BK831,Programma!$F$3:$S$1101,14,0),"")</f>
        <v/>
      </c>
      <c r="BY831" s="448" t="str">
        <f>_xlfn.IFNA(VLOOKUP($BK831,Programma!$F$3:$T$1101,15,0),"")</f>
        <v/>
      </c>
      <c r="BZ831" s="448" t="str">
        <f>_xlfn.IFNA(VLOOKUP($BK831,Programma!$F$3:$U$1101,16,0),"")</f>
        <v/>
      </c>
      <c r="CA831" s="448" t="str">
        <f>_xlfn.IFNA(VLOOKUP($BK831,Programma!$F$3:$V$1101,17,0),"")</f>
        <v/>
      </c>
      <c r="CB831" s="448" t="str">
        <f>_xlfn.IFNA(VLOOKUP($BK831,Programma!$F$3:$W$1101,18,0),"")</f>
        <v/>
      </c>
      <c r="CC831" s="448" t="str">
        <f>_xlfn.IFNA(VLOOKUP($BK831,Programma!$F$3:$X$1101,19,0),"")</f>
        <v/>
      </c>
      <c r="CD831" s="448" t="str">
        <f>_xlfn.IFNA(VLOOKUP($BK831,Programma!$F$3:$Y$1101,20,0),"")</f>
        <v/>
      </c>
    </row>
    <row r="832" spans="1:82" ht="15" customHeight="1">
      <c r="A832" s="327">
        <v>24</v>
      </c>
      <c r="B832" s="435" t="str">
        <f>VLOOKUP(Ruimtestaat[[#This Row],[Code]],Locaties[[Code]:[Locatie]],2,FALSE)</f>
        <v>IKC De Gaerde</v>
      </c>
      <c r="C832" s="435" t="str">
        <f>VLOOKUP(Ruimtestaat[[#This Row],[Code]],Locaties[[#All],[Code]:[Adres]],4,FALSE)</f>
        <v>Moerbeigaarde 58A</v>
      </c>
      <c r="D832" s="435" t="str">
        <f>VLOOKUP(Ruimtestaat[[#This Row],[Code]],Locaties[[#All],[Code]:[Postcode]],5,FALSE)</f>
        <v>2723 AG</v>
      </c>
      <c r="E832" s="435" t="str">
        <f>VLOOKUP(Ruimtestaat[[#This Row],[Code]],Locaties[#All],6,FALSE)</f>
        <v>Zoetermeer</v>
      </c>
      <c r="F832" s="450"/>
      <c r="G832" s="330" t="s">
        <v>1678</v>
      </c>
      <c r="H832" s="330" t="s">
        <v>2037</v>
      </c>
      <c r="I832" s="450" t="s">
        <v>2038</v>
      </c>
      <c r="J832" s="330">
        <v>10</v>
      </c>
      <c r="K832" s="450" t="str">
        <f>VLOOKUP(Ruimtestaat[[#This Row],[Ruimte code]],Ruimtegroepen[[#All],[Code]:[Ruimte omschrijving]],2,FALSE)</f>
        <v>Trappenhuizen/lift</v>
      </c>
      <c r="L832" s="330" t="s">
        <v>100</v>
      </c>
      <c r="M832" s="437" t="s">
        <v>2058</v>
      </c>
      <c r="N832" s="439"/>
      <c r="O832" s="439"/>
      <c r="P832" s="439"/>
      <c r="Q832" s="439"/>
      <c r="R832" s="440" t="str">
        <f>VLOOKUP(Ruimtestaat[[#This Row],[Ruimte code]],Ruimtegroepen[],4,FALSE)</f>
        <v>Ve</v>
      </c>
      <c r="S832" s="434">
        <v>51</v>
      </c>
      <c r="T832" s="434" t="s">
        <v>2</v>
      </c>
      <c r="U832" s="453">
        <f>IF(S832&gt;0,IF(RIGHT(Ruimtestaat[[#This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32" s="434">
        <f>IF(U832&gt;0,VLOOKUP($J832,Ruimtegroepen[],3,FALSE)*VLOOKUP($L832,Vloersoorten[],3,FALSE)*VLOOKUP($T832,Frequenties[],3,FALSE)*VLOOKUP($A832,Locaties[],3,FALSE),0)</f>
        <v>0</v>
      </c>
      <c r="W832" s="434">
        <f>Ruimtestaat[[#This Row],[Uitvoeringen werkdagen]]*Ruimtestaat[[#This Row],[Oppervlak (netto)]]</f>
        <v>0</v>
      </c>
      <c r="X832" s="441">
        <f>IF(V832&gt;0,Ruimtestaat[[#This Row],[Prest. (m2 /jaar) werkdagen]]/Ruimtestaat[[#This Row],[Norm (m2/uur) werkdagen]],0)</f>
        <v>0</v>
      </c>
      <c r="Y832" s="442">
        <f>Ruimtestaat[[#This Row],[Uitvoeringen werkdagen]]*Ruimtestaat[[#This Row],[Gedeeltelijk]]</f>
        <v>0</v>
      </c>
      <c r="Z832" s="443" t="e">
        <f>IF(U832&gt;0,Ruimtestaat[[#This Row],[Prest. (m2 / jaar) werkdagen gedeeld]]/Ruimtestaat[[#This Row],[Norm (m2/uur) werkdagen]],0)</f>
        <v>#DIV/0!</v>
      </c>
      <c r="AA832" s="441" t="e">
        <f>Ruimtestaat[[#This Row],[uren / jaar werkdagen gedeeld]]*Tariefsopbouw!$E$35</f>
        <v>#DIV/0!</v>
      </c>
      <c r="AB832" s="441">
        <f>Ruimtestaat[[#This Row],[Uitvoeringen werkdagen]]*Ruimtestaat[[#This Row],[BSO]]</f>
        <v>0</v>
      </c>
      <c r="AC832" s="443" t="e">
        <f>IF(U832&gt;0,Ruimtestaat[[#This Row],[Prest. (m2 / jaar) werkdagen BSO]]/Ruimtestaat[[#This Row],[Norm (m2/uur) werkdagen]],0)</f>
        <v>#DIV/0!</v>
      </c>
      <c r="AD832" s="443" t="e">
        <f>Ruimtestaat[[#This Row],[uren / jaar werkdagen BSO]]*Tariefsopbouw!$E$35</f>
        <v>#DIV/0!</v>
      </c>
      <c r="AE832" s="444">
        <f>Ruimtestaat[[#This Row],[uren / jaar werkdagen]]*Tariefsopbouw!$E$35</f>
        <v>0</v>
      </c>
      <c r="AF832" s="454"/>
      <c r="AG832" s="455">
        <f>IF(Ruimtestaat[[#This Row],[Frequentie weekend]]&gt;0,VALUE(LEFT(AF832,1))*S832,0)</f>
        <v>0</v>
      </c>
      <c r="AH832" s="455">
        <f>IF($AG832&gt;0,VLOOKUP($J832,Ruimtegroepen[],3,FALSE)*VLOOKUP($L832,Vloersoorten[],3,FALSE)*VLOOKUP($AF832,Frequenties[],3,FALSE)*VLOOKUP(#REF!,Locaties[],3,FALSE),0)</f>
        <v>0</v>
      </c>
      <c r="AI832" s="434">
        <f>Ruimtestaat[[#This Row],[Uitvoeringen weekend]]*Ruimtestaat[[#This Row],[Oppervlak (netto)]]</f>
        <v>0</v>
      </c>
      <c r="AJ832" s="434">
        <f>IF(AH832&gt;0,Ruimtestaat[[#This Row],[Prest. (m2 /jaar) weekend]]/Ruimtestaat[[#This Row],[Norm (m2/uur) weekend]],0)</f>
        <v>0</v>
      </c>
      <c r="AK832" s="444">
        <f>Ruimtestaat[[#This Row],[uren / jaar weekend]]*Tariefsopbouw!$D$40</f>
        <v>0</v>
      </c>
      <c r="AL832" s="441">
        <f>Ruimtestaat[[#This Row],[Prest. (m2 /jaar) weekend]]+Ruimtestaat[[#This Row],[Prest. (m2 /jaar) werkdagen]]</f>
        <v>0</v>
      </c>
      <c r="AM832" s="441">
        <f>Ruimtestaat[[#This Row],[uren / jaar weekend]]+Ruimtestaat[[#This Row],[uren / jaar werkdagen]]</f>
        <v>0</v>
      </c>
      <c r="AN832" s="446">
        <f>Ruimtestaat[[#This Row],[kosten / jaar weekend]]+Ruimtestaat[[#This Row],[kosten / jaar werkdagen]]</f>
        <v>0</v>
      </c>
      <c r="AO832" s="446"/>
      <c r="AP832" s="446" t="str">
        <f>IF(Ruimtestaat[[#This Row],[Frequentie werkdagen]]="","",_xlfn.CONCAT(Ruimtestaat[[#This Row],[Ruimte code]],"-",Ruimtestaat[[#This Row],[Frequentie werkdagen]]," ",Ruimtestaat[[#This Row],[Vloer code]]))</f>
        <v>10-5w L</v>
      </c>
      <c r="AQ832" s="448" t="str">
        <f>_xlfn.IFNA(VLOOKUP($AP832,Programma!$F$3:$G$1101,2,0),"")</f>
        <v>_</v>
      </c>
      <c r="AR832" s="448" t="str">
        <f>_xlfn.IFNA(VLOOKUP($AP832,Programma!$F$3:$H$1101,3,0),"")</f>
        <v>_</v>
      </c>
      <c r="AS832" s="448" t="str">
        <f>_xlfn.IFNA(VLOOKUP($AP832,Programma!$F$3:$I$1101,4,0),"")</f>
        <v>4w</v>
      </c>
      <c r="AT832" s="448" t="str">
        <f>_xlfn.IFNA(VLOOKUP($AP832,Programma!$F$3:$J$1101,5,0),"")</f>
        <v>1w</v>
      </c>
      <c r="AU832" s="448" t="str">
        <f>_xlfn.IFNA(VLOOKUP($AP832,Programma!$F$3:$K$1101,6,0),"")</f>
        <v>_</v>
      </c>
      <c r="AV832" s="448" t="str">
        <f>_xlfn.IFNA(VLOOKUP($AP832,Programma!$F$3:$L$1101,7,0),"")</f>
        <v>_</v>
      </c>
      <c r="AW832" s="448" t="str">
        <f>_xlfn.IFNA(VLOOKUP($AP832,Programma!$F$3:$M$1101,8,0),"")</f>
        <v>_</v>
      </c>
      <c r="AX832" s="448" t="str">
        <f>_xlfn.IFNA(VLOOKUP($AP832,Programma!$F$3:$N$1101,9,0),"")</f>
        <v>_</v>
      </c>
      <c r="AY832" s="448" t="str">
        <f>_xlfn.IFNA(VLOOKUP($AP832,Programma!$F$3:$O$1101,10,0),"")</f>
        <v>5w</v>
      </c>
      <c r="AZ832" s="448" t="str">
        <f>_xlfn.IFNA(VLOOKUP($AP832,Programma!$F$3:$P$1101,11,0),"")</f>
        <v>5w</v>
      </c>
      <c r="BA832" s="448" t="str">
        <f>_xlfn.IFNA(VLOOKUP($AP832,Programma!$F$3:$Q$1101,12,0),"")</f>
        <v>1w</v>
      </c>
      <c r="BB832" s="448" t="str">
        <f>_xlfn.IFNA(VLOOKUP($AP832,Programma!$F$3:$R$1101,13,0),"")</f>
        <v>1w</v>
      </c>
      <c r="BC832" s="448" t="str">
        <f>_xlfn.IFNA(VLOOKUP($AP832,Programma!$F$3:$S$1101,14,0),"")</f>
        <v>1m</v>
      </c>
      <c r="BD832" s="448" t="str">
        <f>_xlfn.IFNA(VLOOKUP($AP832,Programma!$F$3:$T$1101,15,0),"")</f>
        <v>2j</v>
      </c>
      <c r="BE832" s="448" t="str">
        <f>_xlfn.IFNA(VLOOKUP($AP832,Programma!$F$3:$U$1101,16,0),"")</f>
        <v>1j</v>
      </c>
      <c r="BF832" s="448" t="str">
        <f>_xlfn.IFNA(VLOOKUP($AP832,Programma!$F$3:$V$1101,17,0),"")</f>
        <v>_</v>
      </c>
      <c r="BG832" s="448" t="str">
        <f>_xlfn.IFNA(VLOOKUP($AP832,Programma!$F$3:$W$1101,18,0),"")</f>
        <v>_</v>
      </c>
      <c r="BH832" s="448" t="str">
        <f>_xlfn.IFNA(VLOOKUP($AP832,Programma!$F$3:$X$1101,19,0),"")</f>
        <v>_</v>
      </c>
      <c r="BI832" s="448" t="str">
        <f>_xlfn.IFNA(VLOOKUP($AP832,Programma!$F$3:$Y$1101,20,0),"")</f>
        <v>_</v>
      </c>
      <c r="BJ832" s="449"/>
      <c r="BK832" s="446" t="str">
        <f>IF(Ruimtestaat[[#This Row],[Frequentie weekend]]="","",_xlfn.CONCAT(Ruimtestaat[[#This Row],[Ruimte code]],"-",Ruimtestaat[[#This Row],[Frequentie weekend]]," ",Ruimtestaat[[#This Row],[Vloer code]]))</f>
        <v/>
      </c>
      <c r="BL832" s="448" t="str">
        <f>_xlfn.IFNA(VLOOKUP($BK832,Programma!$F$3:$G$1101,2,0),"")</f>
        <v/>
      </c>
      <c r="BM832" s="448" t="str">
        <f>_xlfn.IFNA(VLOOKUP($BK832,Programma!$F$3:$H$1101,3,0),"")</f>
        <v/>
      </c>
      <c r="BN832" s="448" t="str">
        <f>_xlfn.IFNA(VLOOKUP($BK832,Programma!$F$3:$I$1101,4,0),"")</f>
        <v/>
      </c>
      <c r="BO832" s="448" t="str">
        <f>_xlfn.IFNA(VLOOKUP($BK832,Programma!$F$3:$J$1101,5,0),"")</f>
        <v/>
      </c>
      <c r="BP832" s="448" t="str">
        <f>_xlfn.IFNA(VLOOKUP($BK832,Programma!$F$3:$K$1101,6,0),"")</f>
        <v/>
      </c>
      <c r="BQ832" s="448" t="str">
        <f>_xlfn.IFNA(VLOOKUP($BK832,Programma!$F$3:$L$1101,7,0),"")</f>
        <v/>
      </c>
      <c r="BR832" s="448" t="str">
        <f>_xlfn.IFNA(VLOOKUP($BK832,Programma!$F$3:$M$1101,8,0),"")</f>
        <v/>
      </c>
      <c r="BS832" s="448" t="str">
        <f>_xlfn.IFNA(VLOOKUP($BK832,Programma!$F$3:$N$1101,9,0),"")</f>
        <v/>
      </c>
      <c r="BT832" s="448" t="str">
        <f>_xlfn.IFNA(VLOOKUP($BK832,Programma!$F$3:$O$1101,10,0),"")</f>
        <v/>
      </c>
      <c r="BU832" s="448" t="str">
        <f>_xlfn.IFNA(VLOOKUP($BK832,Programma!$F$3:$P$1101,11,0),"")</f>
        <v/>
      </c>
      <c r="BV832" s="448" t="str">
        <f>_xlfn.IFNA(VLOOKUP($BK832,Programma!$F$3:$Q$1101,12,0),"")</f>
        <v/>
      </c>
      <c r="BW832" s="448" t="str">
        <f>_xlfn.IFNA(VLOOKUP($BK832,Programma!$F$3:$R$1101,13,0),"")</f>
        <v/>
      </c>
      <c r="BX832" s="448" t="str">
        <f>_xlfn.IFNA(VLOOKUP($BK832,Programma!$F$3:$S$1101,14,0),"")</f>
        <v/>
      </c>
      <c r="BY832" s="448" t="str">
        <f>_xlfn.IFNA(VLOOKUP($BK832,Programma!$F$3:$T$1101,15,0),"")</f>
        <v/>
      </c>
      <c r="BZ832" s="448" t="str">
        <f>_xlfn.IFNA(VLOOKUP($BK832,Programma!$F$3:$U$1101,16,0),"")</f>
        <v/>
      </c>
      <c r="CA832" s="448" t="str">
        <f>_xlfn.IFNA(VLOOKUP($BK832,Programma!$F$3:$V$1101,17,0),"")</f>
        <v/>
      </c>
      <c r="CB832" s="448" t="str">
        <f>_xlfn.IFNA(VLOOKUP($BK832,Programma!$F$3:$W$1101,18,0),"")</f>
        <v/>
      </c>
      <c r="CC832" s="448" t="str">
        <f>_xlfn.IFNA(VLOOKUP($BK832,Programma!$F$3:$X$1101,19,0),"")</f>
        <v/>
      </c>
      <c r="CD832" s="448" t="str">
        <f>_xlfn.IFNA(VLOOKUP($BK832,Programma!$F$3:$Y$1101,20,0),"")</f>
        <v/>
      </c>
    </row>
    <row r="833" spans="1:82" ht="15" customHeight="1">
      <c r="A833" s="327">
        <v>24</v>
      </c>
      <c r="B833" s="435" t="str">
        <f>VLOOKUP(Ruimtestaat[[#This Row],[Code]],Locaties[[Code]:[Locatie]],2,FALSE)</f>
        <v>IKC De Gaerde</v>
      </c>
      <c r="C833" s="435" t="str">
        <f>VLOOKUP(Ruimtestaat[[#This Row],[Code]],Locaties[[#All],[Code]:[Adres]],4,FALSE)</f>
        <v>Moerbeigaarde 58A</v>
      </c>
      <c r="D833" s="435" t="str">
        <f>VLOOKUP(Ruimtestaat[[#This Row],[Code]],Locaties[[#All],[Code]:[Postcode]],5,FALSE)</f>
        <v>2723 AG</v>
      </c>
      <c r="E833" s="435" t="str">
        <f>VLOOKUP(Ruimtestaat[[#This Row],[Code]],Locaties[#All],6,FALSE)</f>
        <v>Zoetermeer</v>
      </c>
      <c r="F833" s="450"/>
      <c r="G833" s="330" t="s">
        <v>1769</v>
      </c>
      <c r="H833" s="330" t="s">
        <v>1923</v>
      </c>
      <c r="I833" s="450" t="s">
        <v>1708</v>
      </c>
      <c r="J833" s="330">
        <v>6</v>
      </c>
      <c r="K833" s="450" t="str">
        <f>VLOOKUP(Ruimtestaat[[#This Row],[Ruimte code]],Ruimtegroepen[[#All],[Code]:[Ruimte omschrijving]],2,FALSE)</f>
        <v>Gangen/hallen</v>
      </c>
      <c r="L833" s="330" t="s">
        <v>100</v>
      </c>
      <c r="M833" s="437" t="s">
        <v>2058</v>
      </c>
      <c r="N833" s="439">
        <v>24.6</v>
      </c>
      <c r="O833" s="439"/>
      <c r="P833" s="439"/>
      <c r="Q833" s="439"/>
      <c r="R833" s="440" t="str">
        <f>VLOOKUP(Ruimtestaat[[#This Row],[Ruimte code]],Ruimtegroepen[],4,FALSE)</f>
        <v>Ve</v>
      </c>
      <c r="S833" s="434">
        <v>41</v>
      </c>
      <c r="T833" s="434" t="s">
        <v>2</v>
      </c>
      <c r="U833" s="453">
        <f>IF(S833&gt;0,IF(RIGHT(Ruimtestaat[[#This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33" s="434">
        <f>IF(U833&gt;0,VLOOKUP($J833,Ruimtegroepen[],3,FALSE)*VLOOKUP($L833,Vloersoorten[],3,FALSE)*VLOOKUP($T833,Frequenties[],3,FALSE)*VLOOKUP($A833,Locaties[],3,FALSE),0)</f>
        <v>0</v>
      </c>
      <c r="W833" s="434">
        <f>Ruimtestaat[[#This Row],[Uitvoeringen werkdagen]]*Ruimtestaat[[#This Row],[Oppervlak (netto)]]</f>
        <v>5043</v>
      </c>
      <c r="X833" s="441">
        <f>IF(V833&gt;0,Ruimtestaat[[#This Row],[Prest. (m2 /jaar) werkdagen]]/Ruimtestaat[[#This Row],[Norm (m2/uur) werkdagen]],0)</f>
        <v>0</v>
      </c>
      <c r="Y833" s="442">
        <f>Ruimtestaat[[#This Row],[Uitvoeringen werkdagen]]*Ruimtestaat[[#This Row],[Gedeeltelijk]]</f>
        <v>0</v>
      </c>
      <c r="Z833" s="443" t="e">
        <f>IF(U833&gt;0,Ruimtestaat[[#This Row],[Prest. (m2 / jaar) werkdagen gedeeld]]/Ruimtestaat[[#This Row],[Norm (m2/uur) werkdagen]],0)</f>
        <v>#DIV/0!</v>
      </c>
      <c r="AA833" s="441" t="e">
        <f>Ruimtestaat[[#This Row],[uren / jaar werkdagen gedeeld]]*Tariefsopbouw!$E$35</f>
        <v>#DIV/0!</v>
      </c>
      <c r="AB833" s="441">
        <f>Ruimtestaat[[#This Row],[Uitvoeringen werkdagen]]*Ruimtestaat[[#This Row],[BSO]]</f>
        <v>0</v>
      </c>
      <c r="AC833" s="443" t="e">
        <f>IF(U833&gt;0,Ruimtestaat[[#This Row],[Prest. (m2 / jaar) werkdagen BSO]]/Ruimtestaat[[#This Row],[Norm (m2/uur) werkdagen]],0)</f>
        <v>#DIV/0!</v>
      </c>
      <c r="AD833" s="443" t="e">
        <f>Ruimtestaat[[#This Row],[uren / jaar werkdagen BSO]]*Tariefsopbouw!$E$35</f>
        <v>#DIV/0!</v>
      </c>
      <c r="AE833" s="444">
        <f>Ruimtestaat[[#This Row],[uren / jaar werkdagen]]*Tariefsopbouw!$E$35</f>
        <v>0</v>
      </c>
      <c r="AF833" s="454"/>
      <c r="AG833" s="455">
        <f>IF(Ruimtestaat[[#This Row],[Frequentie weekend]]&gt;0,VALUE(LEFT(AF833,1))*S833,0)</f>
        <v>0</v>
      </c>
      <c r="AH833" s="455">
        <f>IF($AG833&gt;0,VLOOKUP($J833,Ruimtegroepen[],3,FALSE)*VLOOKUP($L833,Vloersoorten[],3,FALSE)*VLOOKUP($AF833,Frequenties[],3,FALSE)*VLOOKUP(#REF!,Locaties[],3,FALSE),0)</f>
        <v>0</v>
      </c>
      <c r="AI833" s="434">
        <f>Ruimtestaat[[#This Row],[Uitvoeringen weekend]]*Ruimtestaat[[#This Row],[Oppervlak (netto)]]</f>
        <v>0</v>
      </c>
      <c r="AJ833" s="434">
        <f>IF(AH833&gt;0,Ruimtestaat[[#This Row],[Prest. (m2 /jaar) weekend]]/Ruimtestaat[[#This Row],[Norm (m2/uur) weekend]],0)</f>
        <v>0</v>
      </c>
      <c r="AK833" s="444">
        <f>Ruimtestaat[[#This Row],[uren / jaar weekend]]*Tariefsopbouw!$D$40</f>
        <v>0</v>
      </c>
      <c r="AL833" s="441">
        <f>Ruimtestaat[[#This Row],[Prest. (m2 /jaar) weekend]]+Ruimtestaat[[#This Row],[Prest. (m2 /jaar) werkdagen]]</f>
        <v>5043</v>
      </c>
      <c r="AM833" s="441">
        <f>Ruimtestaat[[#This Row],[uren / jaar weekend]]+Ruimtestaat[[#This Row],[uren / jaar werkdagen]]</f>
        <v>0</v>
      </c>
      <c r="AN833" s="446">
        <f>Ruimtestaat[[#This Row],[kosten / jaar weekend]]+Ruimtestaat[[#This Row],[kosten / jaar werkdagen]]</f>
        <v>0</v>
      </c>
      <c r="AO833" s="446"/>
      <c r="AP833" s="446" t="str">
        <f>IF(Ruimtestaat[[#This Row],[Frequentie werkdagen]]="","",_xlfn.CONCAT(Ruimtestaat[[#This Row],[Ruimte code]],"-",Ruimtestaat[[#This Row],[Frequentie werkdagen]]," ",Ruimtestaat[[#This Row],[Vloer code]]))</f>
        <v>6-5w L</v>
      </c>
      <c r="AQ833" s="448" t="str">
        <f>_xlfn.IFNA(VLOOKUP($AP833,Programma!$F$3:$G$1101,2,0),"")</f>
        <v>_</v>
      </c>
      <c r="AR833" s="448" t="str">
        <f>_xlfn.IFNA(VLOOKUP($AP833,Programma!$F$3:$H$1101,3,0),"")</f>
        <v>_</v>
      </c>
      <c r="AS833" s="448" t="str">
        <f>_xlfn.IFNA(VLOOKUP($AP833,Programma!$F$3:$I$1101,4,0),"")</f>
        <v>_</v>
      </c>
      <c r="AT833" s="448" t="str">
        <f>_xlfn.IFNA(VLOOKUP($AP833,Programma!$F$3:$J$1101,5,0),"")</f>
        <v>5w</v>
      </c>
      <c r="AU833" s="448" t="str">
        <f>_xlfn.IFNA(VLOOKUP($AP833,Programma!$F$3:$K$1101,6,0),"")</f>
        <v>_</v>
      </c>
      <c r="AV833" s="448" t="str">
        <f>_xlfn.IFNA(VLOOKUP($AP833,Programma!$F$3:$L$1101,7,0),"")</f>
        <v>_</v>
      </c>
      <c r="AW833" s="448" t="str">
        <f>_xlfn.IFNA(VLOOKUP($AP833,Programma!$F$3:$M$1101,8,0),"")</f>
        <v>_</v>
      </c>
      <c r="AX833" s="448" t="str">
        <f>_xlfn.IFNA(VLOOKUP($AP833,Programma!$F$3:$N$1101,9,0),"")</f>
        <v>_</v>
      </c>
      <c r="AY833" s="448" t="str">
        <f>_xlfn.IFNA(VLOOKUP($AP833,Programma!$F$3:$O$1101,10,0),"")</f>
        <v>5w</v>
      </c>
      <c r="AZ833" s="448" t="str">
        <f>_xlfn.IFNA(VLOOKUP($AP833,Programma!$F$3:$P$1101,11,0),"")</f>
        <v>5w</v>
      </c>
      <c r="BA833" s="448" t="str">
        <f>_xlfn.IFNA(VLOOKUP($AP833,Programma!$F$3:$Q$1101,12,0),"")</f>
        <v>1w</v>
      </c>
      <c r="BB833" s="448" t="str">
        <f>_xlfn.IFNA(VLOOKUP($AP833,Programma!$F$3:$R$1101,13,0),"")</f>
        <v>1w</v>
      </c>
      <c r="BC833" s="448" t="str">
        <f>_xlfn.IFNA(VLOOKUP($AP833,Programma!$F$3:$S$1101,14,0),"")</f>
        <v>1m</v>
      </c>
      <c r="BD833" s="448" t="str">
        <f>_xlfn.IFNA(VLOOKUP($AP833,Programma!$F$3:$T$1101,15,0),"")</f>
        <v>2j</v>
      </c>
      <c r="BE833" s="448" t="str">
        <f>_xlfn.IFNA(VLOOKUP($AP833,Programma!$F$3:$U$1101,16,0),"")</f>
        <v>1j</v>
      </c>
      <c r="BF833" s="448" t="str">
        <f>_xlfn.IFNA(VLOOKUP($AP833,Programma!$F$3:$V$1101,17,0),"")</f>
        <v>_</v>
      </c>
      <c r="BG833" s="448" t="str">
        <f>_xlfn.IFNA(VLOOKUP($AP833,Programma!$F$3:$W$1101,18,0),"")</f>
        <v>_</v>
      </c>
      <c r="BH833" s="448" t="str">
        <f>_xlfn.IFNA(VLOOKUP($AP833,Programma!$F$3:$X$1101,19,0),"")</f>
        <v>_</v>
      </c>
      <c r="BI833" s="448" t="str">
        <f>_xlfn.IFNA(VLOOKUP($AP833,Programma!$F$3:$Y$1101,20,0),"")</f>
        <v>_</v>
      </c>
      <c r="BJ833" s="449"/>
      <c r="BK833" s="446" t="str">
        <f>IF(Ruimtestaat[[#This Row],[Frequentie weekend]]="","",_xlfn.CONCAT(Ruimtestaat[[#This Row],[Ruimte code]],"-",Ruimtestaat[[#This Row],[Frequentie weekend]]," ",Ruimtestaat[[#This Row],[Vloer code]]))</f>
        <v/>
      </c>
      <c r="BL833" s="448" t="str">
        <f>_xlfn.IFNA(VLOOKUP($BK833,Programma!$F$3:$G$1101,2,0),"")</f>
        <v/>
      </c>
      <c r="BM833" s="448" t="str">
        <f>_xlfn.IFNA(VLOOKUP($BK833,Programma!$F$3:$H$1101,3,0),"")</f>
        <v/>
      </c>
      <c r="BN833" s="448" t="str">
        <f>_xlfn.IFNA(VLOOKUP($BK833,Programma!$F$3:$I$1101,4,0),"")</f>
        <v/>
      </c>
      <c r="BO833" s="448" t="str">
        <f>_xlfn.IFNA(VLOOKUP($BK833,Programma!$F$3:$J$1101,5,0),"")</f>
        <v/>
      </c>
      <c r="BP833" s="448" t="str">
        <f>_xlfn.IFNA(VLOOKUP($BK833,Programma!$F$3:$K$1101,6,0),"")</f>
        <v/>
      </c>
      <c r="BQ833" s="448" t="str">
        <f>_xlfn.IFNA(VLOOKUP($BK833,Programma!$F$3:$L$1101,7,0),"")</f>
        <v/>
      </c>
      <c r="BR833" s="448" t="str">
        <f>_xlfn.IFNA(VLOOKUP($BK833,Programma!$F$3:$M$1101,8,0),"")</f>
        <v/>
      </c>
      <c r="BS833" s="448" t="str">
        <f>_xlfn.IFNA(VLOOKUP($BK833,Programma!$F$3:$N$1101,9,0),"")</f>
        <v/>
      </c>
      <c r="BT833" s="448" t="str">
        <f>_xlfn.IFNA(VLOOKUP($BK833,Programma!$F$3:$O$1101,10,0),"")</f>
        <v/>
      </c>
      <c r="BU833" s="448" t="str">
        <f>_xlfn.IFNA(VLOOKUP($BK833,Programma!$F$3:$P$1101,11,0),"")</f>
        <v/>
      </c>
      <c r="BV833" s="448" t="str">
        <f>_xlfn.IFNA(VLOOKUP($BK833,Programma!$F$3:$Q$1101,12,0),"")</f>
        <v/>
      </c>
      <c r="BW833" s="448" t="str">
        <f>_xlfn.IFNA(VLOOKUP($BK833,Programma!$F$3:$R$1101,13,0),"")</f>
        <v/>
      </c>
      <c r="BX833" s="448" t="str">
        <f>_xlfn.IFNA(VLOOKUP($BK833,Programma!$F$3:$S$1101,14,0),"")</f>
        <v/>
      </c>
      <c r="BY833" s="448" t="str">
        <f>_xlfn.IFNA(VLOOKUP($BK833,Programma!$F$3:$T$1101,15,0),"")</f>
        <v/>
      </c>
      <c r="BZ833" s="448" t="str">
        <f>_xlfn.IFNA(VLOOKUP($BK833,Programma!$F$3:$U$1101,16,0),"")</f>
        <v/>
      </c>
      <c r="CA833" s="448" t="str">
        <f>_xlfn.IFNA(VLOOKUP($BK833,Programma!$F$3:$V$1101,17,0),"")</f>
        <v/>
      </c>
      <c r="CB833" s="448" t="str">
        <f>_xlfn.IFNA(VLOOKUP($BK833,Programma!$F$3:$W$1101,18,0),"")</f>
        <v/>
      </c>
      <c r="CC833" s="448" t="str">
        <f>_xlfn.IFNA(VLOOKUP($BK833,Programma!$F$3:$X$1101,19,0),"")</f>
        <v/>
      </c>
      <c r="CD833" s="448" t="str">
        <f>_xlfn.IFNA(VLOOKUP($BK833,Programma!$F$3:$Y$1101,20,0),"")</f>
        <v/>
      </c>
    </row>
    <row r="834" spans="1:82" ht="15" customHeight="1">
      <c r="A834" s="327">
        <v>24</v>
      </c>
      <c r="B834" s="435" t="str">
        <f>VLOOKUP(Ruimtestaat[[#This Row],[Code]],Locaties[[Code]:[Locatie]],2,FALSE)</f>
        <v>IKC De Gaerde</v>
      </c>
      <c r="C834" s="435" t="str">
        <f>VLOOKUP(Ruimtestaat[[#This Row],[Code]],Locaties[[#All],[Code]:[Adres]],4,FALSE)</f>
        <v>Moerbeigaarde 58A</v>
      </c>
      <c r="D834" s="435" t="str">
        <f>VLOOKUP(Ruimtestaat[[#This Row],[Code]],Locaties[[#All],[Code]:[Postcode]],5,FALSE)</f>
        <v>2723 AG</v>
      </c>
      <c r="E834" s="435" t="str">
        <f>VLOOKUP(Ruimtestaat[[#This Row],[Code]],Locaties[#All],6,FALSE)</f>
        <v>Zoetermeer</v>
      </c>
      <c r="F834" s="450"/>
      <c r="G834" s="330" t="s">
        <v>1769</v>
      </c>
      <c r="H834" s="330" t="s">
        <v>1925</v>
      </c>
      <c r="I834" s="450" t="s">
        <v>2039</v>
      </c>
      <c r="J834" s="330">
        <v>13</v>
      </c>
      <c r="K834" s="450" t="str">
        <f>VLOOKUP(Ruimtestaat[[#This Row],[Ruimte code]],Ruimtegroepen[[#All],[Code]:[Ruimte omschrijving]],2,FALSE)</f>
        <v>Personeelskamer</v>
      </c>
      <c r="L834" s="330" t="s">
        <v>100</v>
      </c>
      <c r="M834" s="437" t="s">
        <v>2058</v>
      </c>
      <c r="N834" s="439">
        <v>26.7</v>
      </c>
      <c r="O834" s="439"/>
      <c r="P834" s="439"/>
      <c r="Q834" s="439"/>
      <c r="R834" s="440" t="str">
        <f>VLOOKUP(Ruimtestaat[[#This Row],[Ruimte code]],Ruimtegroepen[],4,FALSE)</f>
        <v>Ve</v>
      </c>
      <c r="S834" s="434">
        <v>41</v>
      </c>
      <c r="T834" s="434" t="s">
        <v>2</v>
      </c>
      <c r="U834" s="453">
        <f>IF(S834&gt;0,IF(RIGHT(Ruimtestaat[[#This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34" s="434">
        <f>IF(U834&gt;0,VLOOKUP($J834,Ruimtegroepen[],3,FALSE)*VLOOKUP($L834,Vloersoorten[],3,FALSE)*VLOOKUP($T834,Frequenties[],3,FALSE)*VLOOKUP($A834,Locaties[],3,FALSE),0)</f>
        <v>0</v>
      </c>
      <c r="W834" s="434">
        <f>Ruimtestaat[[#This Row],[Uitvoeringen werkdagen]]*Ruimtestaat[[#This Row],[Oppervlak (netto)]]</f>
        <v>5473.5</v>
      </c>
      <c r="X834" s="441">
        <f>IF(V834&gt;0,Ruimtestaat[[#This Row],[Prest. (m2 /jaar) werkdagen]]/Ruimtestaat[[#This Row],[Norm (m2/uur) werkdagen]],0)</f>
        <v>0</v>
      </c>
      <c r="Y834" s="442">
        <f>Ruimtestaat[[#This Row],[Uitvoeringen werkdagen]]*Ruimtestaat[[#This Row],[Gedeeltelijk]]</f>
        <v>0</v>
      </c>
      <c r="Z834" s="443" t="e">
        <f>IF(U834&gt;0,Ruimtestaat[[#This Row],[Prest. (m2 / jaar) werkdagen gedeeld]]/Ruimtestaat[[#This Row],[Norm (m2/uur) werkdagen]],0)</f>
        <v>#DIV/0!</v>
      </c>
      <c r="AA834" s="441" t="e">
        <f>Ruimtestaat[[#This Row],[uren / jaar werkdagen gedeeld]]*Tariefsopbouw!$E$35</f>
        <v>#DIV/0!</v>
      </c>
      <c r="AB834" s="441">
        <f>Ruimtestaat[[#This Row],[Uitvoeringen werkdagen]]*Ruimtestaat[[#This Row],[BSO]]</f>
        <v>0</v>
      </c>
      <c r="AC834" s="443" t="e">
        <f>IF(U834&gt;0,Ruimtestaat[[#This Row],[Prest. (m2 / jaar) werkdagen BSO]]/Ruimtestaat[[#This Row],[Norm (m2/uur) werkdagen]],0)</f>
        <v>#DIV/0!</v>
      </c>
      <c r="AD834" s="443" t="e">
        <f>Ruimtestaat[[#This Row],[uren / jaar werkdagen BSO]]*Tariefsopbouw!$E$35</f>
        <v>#DIV/0!</v>
      </c>
      <c r="AE834" s="444">
        <f>Ruimtestaat[[#This Row],[uren / jaar werkdagen]]*Tariefsopbouw!$E$35</f>
        <v>0</v>
      </c>
      <c r="AF834" s="454"/>
      <c r="AG834" s="455">
        <f>IF(Ruimtestaat[[#This Row],[Frequentie weekend]]&gt;0,VALUE(LEFT(AF834,1))*S834,0)</f>
        <v>0</v>
      </c>
      <c r="AH834" s="455">
        <f>IF($AG834&gt;0,VLOOKUP($J834,Ruimtegroepen[],3,FALSE)*VLOOKUP($L834,Vloersoorten[],3,FALSE)*VLOOKUP($AF834,Frequenties[],3,FALSE)*VLOOKUP(#REF!,Locaties[],3,FALSE),0)</f>
        <v>0</v>
      </c>
      <c r="AI834" s="434">
        <f>Ruimtestaat[[#This Row],[Uitvoeringen weekend]]*Ruimtestaat[[#This Row],[Oppervlak (netto)]]</f>
        <v>0</v>
      </c>
      <c r="AJ834" s="434">
        <f>IF(AH834&gt;0,Ruimtestaat[[#This Row],[Prest. (m2 /jaar) weekend]]/Ruimtestaat[[#This Row],[Norm (m2/uur) weekend]],0)</f>
        <v>0</v>
      </c>
      <c r="AK834" s="444">
        <f>Ruimtestaat[[#This Row],[uren / jaar weekend]]*Tariefsopbouw!$D$40</f>
        <v>0</v>
      </c>
      <c r="AL834" s="441">
        <f>Ruimtestaat[[#This Row],[Prest. (m2 /jaar) weekend]]+Ruimtestaat[[#This Row],[Prest. (m2 /jaar) werkdagen]]</f>
        <v>5473.5</v>
      </c>
      <c r="AM834" s="441">
        <f>Ruimtestaat[[#This Row],[uren / jaar weekend]]+Ruimtestaat[[#This Row],[uren / jaar werkdagen]]</f>
        <v>0</v>
      </c>
      <c r="AN834" s="446">
        <f>Ruimtestaat[[#This Row],[kosten / jaar weekend]]+Ruimtestaat[[#This Row],[kosten / jaar werkdagen]]</f>
        <v>0</v>
      </c>
      <c r="AO834" s="446"/>
      <c r="AP834" s="446" t="str">
        <f>IF(Ruimtestaat[[#This Row],[Frequentie werkdagen]]="","",_xlfn.CONCAT(Ruimtestaat[[#This Row],[Ruimte code]],"-",Ruimtestaat[[#This Row],[Frequentie werkdagen]]," ",Ruimtestaat[[#This Row],[Vloer code]]))</f>
        <v>13-5w L</v>
      </c>
      <c r="AQ834" s="448" t="str">
        <f>_xlfn.IFNA(VLOOKUP($AP834,Programma!$F$3:$G$1101,2,0),"")</f>
        <v>_</v>
      </c>
      <c r="AR834" s="448" t="str">
        <f>_xlfn.IFNA(VLOOKUP($AP834,Programma!$F$3:$H$1101,3,0),"")</f>
        <v>_</v>
      </c>
      <c r="AS834" s="448" t="str">
        <f>_xlfn.IFNA(VLOOKUP($AP834,Programma!$F$3:$I$1101,4,0),"")</f>
        <v>4w</v>
      </c>
      <c r="AT834" s="448" t="str">
        <f>_xlfn.IFNA(VLOOKUP($AP834,Programma!$F$3:$J$1101,5,0),"")</f>
        <v>1w</v>
      </c>
      <c r="AU834" s="448" t="str">
        <f>_xlfn.IFNA(VLOOKUP($AP834,Programma!$F$3:$K$1101,6,0),"")</f>
        <v>_</v>
      </c>
      <c r="AV834" s="448" t="str">
        <f>_xlfn.IFNA(VLOOKUP($AP834,Programma!$F$3:$L$1101,7,0),"")</f>
        <v>_</v>
      </c>
      <c r="AW834" s="448" t="str">
        <f>_xlfn.IFNA(VLOOKUP($AP834,Programma!$F$3:$M$1101,8,0),"")</f>
        <v>_</v>
      </c>
      <c r="AX834" s="448" t="str">
        <f>_xlfn.IFNA(VLOOKUP($AP834,Programma!$F$3:$N$1101,9,0),"")</f>
        <v>_</v>
      </c>
      <c r="AY834" s="448" t="str">
        <f>_xlfn.IFNA(VLOOKUP($AP834,Programma!$F$3:$O$1101,10,0),"")</f>
        <v>5w</v>
      </c>
      <c r="AZ834" s="448" t="str">
        <f>_xlfn.IFNA(VLOOKUP($AP834,Programma!$F$3:$P$1101,11,0),"")</f>
        <v>5w</v>
      </c>
      <c r="BA834" s="448" t="str">
        <f>_xlfn.IFNA(VLOOKUP($AP834,Programma!$F$3:$Q$1101,12,0),"")</f>
        <v>1w</v>
      </c>
      <c r="BB834" s="448" t="str">
        <f>_xlfn.IFNA(VLOOKUP($AP834,Programma!$F$3:$R$1101,13,0),"")</f>
        <v>1w</v>
      </c>
      <c r="BC834" s="448" t="str">
        <f>_xlfn.IFNA(VLOOKUP($AP834,Programma!$F$3:$S$1101,14,0),"")</f>
        <v>1m</v>
      </c>
      <c r="BD834" s="448" t="str">
        <f>_xlfn.IFNA(VLOOKUP($AP834,Programma!$F$3:$T$1101,15,0),"")</f>
        <v>2j</v>
      </c>
      <c r="BE834" s="448" t="str">
        <f>_xlfn.IFNA(VLOOKUP($AP834,Programma!$F$3:$U$1101,16,0),"")</f>
        <v>1j</v>
      </c>
      <c r="BF834" s="448" t="str">
        <f>_xlfn.IFNA(VLOOKUP($AP834,Programma!$F$3:$V$1101,17,0),"")</f>
        <v>_</v>
      </c>
      <c r="BG834" s="448" t="str">
        <f>_xlfn.IFNA(VLOOKUP($AP834,Programma!$F$3:$W$1101,18,0),"")</f>
        <v>_</v>
      </c>
      <c r="BH834" s="448" t="str">
        <f>_xlfn.IFNA(VLOOKUP($AP834,Programma!$F$3:$X$1101,19,0),"")</f>
        <v>_</v>
      </c>
      <c r="BI834" s="448" t="str">
        <f>_xlfn.IFNA(VLOOKUP($AP834,Programma!$F$3:$Y$1101,20,0),"")</f>
        <v>_</v>
      </c>
      <c r="BJ834" s="449"/>
      <c r="BK834" s="446" t="str">
        <f>IF(Ruimtestaat[[#This Row],[Frequentie weekend]]="","",_xlfn.CONCAT(Ruimtestaat[[#This Row],[Ruimte code]],"-",Ruimtestaat[[#This Row],[Frequentie weekend]]," ",Ruimtestaat[[#This Row],[Vloer code]]))</f>
        <v/>
      </c>
      <c r="BL834" s="448" t="str">
        <f>_xlfn.IFNA(VLOOKUP($BK834,Programma!$F$3:$G$1101,2,0),"")</f>
        <v/>
      </c>
      <c r="BM834" s="448" t="str">
        <f>_xlfn.IFNA(VLOOKUP($BK834,Programma!$F$3:$H$1101,3,0),"")</f>
        <v/>
      </c>
      <c r="BN834" s="448" t="str">
        <f>_xlfn.IFNA(VLOOKUP($BK834,Programma!$F$3:$I$1101,4,0),"")</f>
        <v/>
      </c>
      <c r="BO834" s="448" t="str">
        <f>_xlfn.IFNA(VLOOKUP($BK834,Programma!$F$3:$J$1101,5,0),"")</f>
        <v/>
      </c>
      <c r="BP834" s="448" t="str">
        <f>_xlfn.IFNA(VLOOKUP($BK834,Programma!$F$3:$K$1101,6,0),"")</f>
        <v/>
      </c>
      <c r="BQ834" s="448" t="str">
        <f>_xlfn.IFNA(VLOOKUP($BK834,Programma!$F$3:$L$1101,7,0),"")</f>
        <v/>
      </c>
      <c r="BR834" s="448" t="str">
        <f>_xlfn.IFNA(VLOOKUP($BK834,Programma!$F$3:$M$1101,8,0),"")</f>
        <v/>
      </c>
      <c r="BS834" s="448" t="str">
        <f>_xlfn.IFNA(VLOOKUP($BK834,Programma!$F$3:$N$1101,9,0),"")</f>
        <v/>
      </c>
      <c r="BT834" s="448" t="str">
        <f>_xlfn.IFNA(VLOOKUP($BK834,Programma!$F$3:$O$1101,10,0),"")</f>
        <v/>
      </c>
      <c r="BU834" s="448" t="str">
        <f>_xlfn.IFNA(VLOOKUP($BK834,Programma!$F$3:$P$1101,11,0),"")</f>
        <v/>
      </c>
      <c r="BV834" s="448" t="str">
        <f>_xlfn.IFNA(VLOOKUP($BK834,Programma!$F$3:$Q$1101,12,0),"")</f>
        <v/>
      </c>
      <c r="BW834" s="448" t="str">
        <f>_xlfn.IFNA(VLOOKUP($BK834,Programma!$F$3:$R$1101,13,0),"")</f>
        <v/>
      </c>
      <c r="BX834" s="448" t="str">
        <f>_xlfn.IFNA(VLOOKUP($BK834,Programma!$F$3:$S$1101,14,0),"")</f>
        <v/>
      </c>
      <c r="BY834" s="448" t="str">
        <f>_xlfn.IFNA(VLOOKUP($BK834,Programma!$F$3:$T$1101,15,0),"")</f>
        <v/>
      </c>
      <c r="BZ834" s="448" t="str">
        <f>_xlfn.IFNA(VLOOKUP($BK834,Programma!$F$3:$U$1101,16,0),"")</f>
        <v/>
      </c>
      <c r="CA834" s="448" t="str">
        <f>_xlfn.IFNA(VLOOKUP($BK834,Programma!$F$3:$V$1101,17,0),"")</f>
        <v/>
      </c>
      <c r="CB834" s="448" t="str">
        <f>_xlfn.IFNA(VLOOKUP($BK834,Programma!$F$3:$W$1101,18,0),"")</f>
        <v/>
      </c>
      <c r="CC834" s="448" t="str">
        <f>_xlfn.IFNA(VLOOKUP($BK834,Programma!$F$3:$X$1101,19,0),"")</f>
        <v/>
      </c>
      <c r="CD834" s="448" t="str">
        <f>_xlfn.IFNA(VLOOKUP($BK834,Programma!$F$3:$Y$1101,20,0),"")</f>
        <v/>
      </c>
    </row>
    <row r="835" spans="1:82" ht="15" customHeight="1">
      <c r="A835" s="327">
        <v>24</v>
      </c>
      <c r="B835" s="435" t="str">
        <f>VLOOKUP(Ruimtestaat[[#This Row],[Code]],Locaties[[Code]:[Locatie]],2,FALSE)</f>
        <v>IKC De Gaerde</v>
      </c>
      <c r="C835" s="435" t="str">
        <f>VLOOKUP(Ruimtestaat[[#This Row],[Code]],Locaties[[#All],[Code]:[Adres]],4,FALSE)</f>
        <v>Moerbeigaarde 58A</v>
      </c>
      <c r="D835" s="435" t="str">
        <f>VLOOKUP(Ruimtestaat[[#This Row],[Code]],Locaties[[#All],[Code]:[Postcode]],5,FALSE)</f>
        <v>2723 AG</v>
      </c>
      <c r="E835" s="435" t="str">
        <f>VLOOKUP(Ruimtestaat[[#This Row],[Code]],Locaties[#All],6,FALSE)</f>
        <v>Zoetermeer</v>
      </c>
      <c r="F835" s="450"/>
      <c r="G835" s="330" t="s">
        <v>1769</v>
      </c>
      <c r="H835" s="330" t="s">
        <v>1928</v>
      </c>
      <c r="I835" s="450" t="s">
        <v>1914</v>
      </c>
      <c r="J835" s="330">
        <v>1</v>
      </c>
      <c r="K835" s="450" t="str">
        <f>VLOOKUP(Ruimtestaat[[#This Row],[Ruimte code]],Ruimtegroepen[[#All],[Code]:[Ruimte omschrijving]],2,FALSE)</f>
        <v>Magazijnen/bergingen</v>
      </c>
      <c r="L835" s="330" t="s">
        <v>100</v>
      </c>
      <c r="M835" s="437" t="s">
        <v>2058</v>
      </c>
      <c r="N835" s="439"/>
      <c r="O835" s="439"/>
      <c r="P835" s="439"/>
      <c r="Q835" s="439"/>
      <c r="R835" s="440" t="str">
        <f>VLOOKUP(Ruimtestaat[[#This Row],[Ruimte code]],Ruimtegroepen[],4,FALSE)</f>
        <v>Ve</v>
      </c>
      <c r="S835" s="434">
        <v>51</v>
      </c>
      <c r="T835" s="434" t="s">
        <v>16</v>
      </c>
      <c r="U835" s="453">
        <f>IF(S835&gt;0,IF(RIGHT(Ruimtestaat[[#This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35" s="434">
        <f>IF(U835&gt;0,VLOOKUP($J835,Ruimtegroepen[],3,FALSE)*VLOOKUP($L835,Vloersoorten[],3,FALSE)*VLOOKUP($T835,Frequenties[],3,FALSE)*VLOOKUP($A835,Locaties[],3,FALSE),0)</f>
        <v>0</v>
      </c>
      <c r="W835" s="434">
        <f>Ruimtestaat[[#This Row],[Uitvoeringen werkdagen]]*Ruimtestaat[[#This Row],[Oppervlak (netto)]]</f>
        <v>0</v>
      </c>
      <c r="X835" s="441">
        <f>IF(V835&gt;0,Ruimtestaat[[#This Row],[Prest. (m2 /jaar) werkdagen]]/Ruimtestaat[[#This Row],[Norm (m2/uur) werkdagen]],0)</f>
        <v>0</v>
      </c>
      <c r="Y835" s="442">
        <f>Ruimtestaat[[#This Row],[Uitvoeringen werkdagen]]*Ruimtestaat[[#This Row],[Gedeeltelijk]]</f>
        <v>0</v>
      </c>
      <c r="Z835" s="443" t="e">
        <f>IF(U835&gt;0,Ruimtestaat[[#This Row],[Prest. (m2 / jaar) werkdagen gedeeld]]/Ruimtestaat[[#This Row],[Norm (m2/uur) werkdagen]],0)</f>
        <v>#DIV/0!</v>
      </c>
      <c r="AA835" s="441" t="e">
        <f>Ruimtestaat[[#This Row],[uren / jaar werkdagen gedeeld]]*Tariefsopbouw!$E$35</f>
        <v>#DIV/0!</v>
      </c>
      <c r="AB835" s="441">
        <f>Ruimtestaat[[#This Row],[Uitvoeringen werkdagen]]*Ruimtestaat[[#This Row],[BSO]]</f>
        <v>0</v>
      </c>
      <c r="AC835" s="443" t="e">
        <f>IF(U835&gt;0,Ruimtestaat[[#This Row],[Prest. (m2 / jaar) werkdagen BSO]]/Ruimtestaat[[#This Row],[Norm (m2/uur) werkdagen]],0)</f>
        <v>#DIV/0!</v>
      </c>
      <c r="AD835" s="443" t="e">
        <f>Ruimtestaat[[#This Row],[uren / jaar werkdagen BSO]]*Tariefsopbouw!$E$35</f>
        <v>#DIV/0!</v>
      </c>
      <c r="AE835" s="444">
        <f>Ruimtestaat[[#This Row],[uren / jaar werkdagen]]*Tariefsopbouw!$E$35</f>
        <v>0</v>
      </c>
      <c r="AF835" s="454"/>
      <c r="AG835" s="455">
        <f>IF(Ruimtestaat[[#This Row],[Frequentie weekend]]&gt;0,VALUE(LEFT(AF835,1))*S835,0)</f>
        <v>0</v>
      </c>
      <c r="AH835" s="455">
        <f>IF($AG835&gt;0,VLOOKUP($J835,Ruimtegroepen[],3,FALSE)*VLOOKUP($L835,Vloersoorten[],3,FALSE)*VLOOKUP($AF835,Frequenties[],3,FALSE)*VLOOKUP(#REF!,Locaties[],3,FALSE),0)</f>
        <v>0</v>
      </c>
      <c r="AI835" s="434">
        <f>Ruimtestaat[[#This Row],[Uitvoeringen weekend]]*Ruimtestaat[[#This Row],[Oppervlak (netto)]]</f>
        <v>0</v>
      </c>
      <c r="AJ835" s="434">
        <f>IF(AH835&gt;0,Ruimtestaat[[#This Row],[Prest. (m2 /jaar) weekend]]/Ruimtestaat[[#This Row],[Norm (m2/uur) weekend]],0)</f>
        <v>0</v>
      </c>
      <c r="AK835" s="444">
        <f>Ruimtestaat[[#This Row],[uren / jaar weekend]]*Tariefsopbouw!$D$40</f>
        <v>0</v>
      </c>
      <c r="AL835" s="441">
        <f>Ruimtestaat[[#This Row],[Prest. (m2 /jaar) weekend]]+Ruimtestaat[[#This Row],[Prest. (m2 /jaar) werkdagen]]</f>
        <v>0</v>
      </c>
      <c r="AM835" s="441">
        <f>Ruimtestaat[[#This Row],[uren / jaar weekend]]+Ruimtestaat[[#This Row],[uren / jaar werkdagen]]</f>
        <v>0</v>
      </c>
      <c r="AN835" s="446">
        <f>Ruimtestaat[[#This Row],[kosten / jaar weekend]]+Ruimtestaat[[#This Row],[kosten / jaar werkdagen]]</f>
        <v>0</v>
      </c>
      <c r="AO835" s="446"/>
      <c r="AP835" s="446" t="str">
        <f>IF(Ruimtestaat[[#This Row],[Frequentie werkdagen]]="","",_xlfn.CONCAT(Ruimtestaat[[#This Row],[Ruimte code]],"-",Ruimtestaat[[#This Row],[Frequentie werkdagen]]," ",Ruimtestaat[[#This Row],[Vloer code]]))</f>
        <v>1-1m L</v>
      </c>
      <c r="AQ835" s="448" t="str">
        <f>_xlfn.IFNA(VLOOKUP($AP835,Programma!$F$3:$G$1101,2,0),"")</f>
        <v>_</v>
      </c>
      <c r="AR835" s="448" t="str">
        <f>_xlfn.IFNA(VLOOKUP($AP835,Programma!$F$3:$H$1101,3,0),"")</f>
        <v>_</v>
      </c>
      <c r="AS835" s="448" t="str">
        <f>_xlfn.IFNA(VLOOKUP($AP835,Programma!$F$3:$I$1101,4,0),"")</f>
        <v>1m</v>
      </c>
      <c r="AT835" s="448" t="str">
        <f>_xlfn.IFNA(VLOOKUP($AP835,Programma!$F$3:$J$1101,5,0),"")</f>
        <v>1m</v>
      </c>
      <c r="AU835" s="448" t="str">
        <f>_xlfn.IFNA(VLOOKUP($AP835,Programma!$F$3:$K$1101,6,0),"")</f>
        <v>_</v>
      </c>
      <c r="AV835" s="448" t="str">
        <f>_xlfn.IFNA(VLOOKUP($AP835,Programma!$F$3:$L$1101,7,0),"")</f>
        <v>_</v>
      </c>
      <c r="AW835" s="448" t="str">
        <f>_xlfn.IFNA(VLOOKUP($AP835,Programma!$F$3:$M$1101,8,0),"")</f>
        <v>_</v>
      </c>
      <c r="AX835" s="448" t="str">
        <f>_xlfn.IFNA(VLOOKUP($AP835,Programma!$F$3:$N$1101,9,0),"")</f>
        <v>_</v>
      </c>
      <c r="AY835" s="448" t="str">
        <f>_xlfn.IFNA(VLOOKUP($AP835,Programma!$F$3:$O$1101,10,0),"")</f>
        <v>_</v>
      </c>
      <c r="AZ835" s="448" t="str">
        <f>_xlfn.IFNA(VLOOKUP($AP835,Programma!$F$3:$P$1101,11,0),"")</f>
        <v>_</v>
      </c>
      <c r="BA835" s="448" t="str">
        <f>_xlfn.IFNA(VLOOKUP($AP835,Programma!$F$3:$Q$1101,12,0),"")</f>
        <v>_</v>
      </c>
      <c r="BB835" s="448" t="str">
        <f>_xlfn.IFNA(VLOOKUP($AP835,Programma!$F$3:$R$1101,13,0),"")</f>
        <v>_</v>
      </c>
      <c r="BC835" s="448" t="str">
        <f>_xlfn.IFNA(VLOOKUP($AP835,Programma!$F$3:$S$1101,14,0),"")</f>
        <v>1m</v>
      </c>
      <c r="BD835" s="448" t="str">
        <f>_xlfn.IFNA(VLOOKUP($AP835,Programma!$F$3:$T$1101,15,0),"")</f>
        <v>4j</v>
      </c>
      <c r="BE835" s="448" t="str">
        <f>_xlfn.IFNA(VLOOKUP($AP835,Programma!$F$3:$U$1101,16,0),"")</f>
        <v>4j</v>
      </c>
      <c r="BF835" s="448" t="str">
        <f>_xlfn.IFNA(VLOOKUP($AP835,Programma!$F$3:$V$1101,17,0),"")</f>
        <v>_</v>
      </c>
      <c r="BG835" s="448" t="str">
        <f>_xlfn.IFNA(VLOOKUP($AP835,Programma!$F$3:$W$1101,18,0),"")</f>
        <v>_</v>
      </c>
      <c r="BH835" s="448" t="str">
        <f>_xlfn.IFNA(VLOOKUP($AP835,Programma!$F$3:$X$1101,19,0),"")</f>
        <v>_</v>
      </c>
      <c r="BI835" s="448" t="str">
        <f>_xlfn.IFNA(VLOOKUP($AP835,Programma!$F$3:$Y$1101,20,0),"")</f>
        <v>_</v>
      </c>
      <c r="BJ835" s="449"/>
      <c r="BK835" s="446" t="str">
        <f>IF(Ruimtestaat[[#This Row],[Frequentie weekend]]="","",_xlfn.CONCAT(Ruimtestaat[[#This Row],[Ruimte code]],"-",Ruimtestaat[[#This Row],[Frequentie weekend]]," ",Ruimtestaat[[#This Row],[Vloer code]]))</f>
        <v/>
      </c>
      <c r="BL835" s="448" t="str">
        <f>_xlfn.IFNA(VLOOKUP($BK835,Programma!$F$3:$G$1101,2,0),"")</f>
        <v/>
      </c>
      <c r="BM835" s="448" t="str">
        <f>_xlfn.IFNA(VLOOKUP($BK835,Programma!$F$3:$H$1101,3,0),"")</f>
        <v/>
      </c>
      <c r="BN835" s="448" t="str">
        <f>_xlfn.IFNA(VLOOKUP($BK835,Programma!$F$3:$I$1101,4,0),"")</f>
        <v/>
      </c>
      <c r="BO835" s="448" t="str">
        <f>_xlfn.IFNA(VLOOKUP($BK835,Programma!$F$3:$J$1101,5,0),"")</f>
        <v/>
      </c>
      <c r="BP835" s="448" t="str">
        <f>_xlfn.IFNA(VLOOKUP($BK835,Programma!$F$3:$K$1101,6,0),"")</f>
        <v/>
      </c>
      <c r="BQ835" s="448" t="str">
        <f>_xlfn.IFNA(VLOOKUP($BK835,Programma!$F$3:$L$1101,7,0),"")</f>
        <v/>
      </c>
      <c r="BR835" s="448" t="str">
        <f>_xlfn.IFNA(VLOOKUP($BK835,Programma!$F$3:$M$1101,8,0),"")</f>
        <v/>
      </c>
      <c r="BS835" s="448" t="str">
        <f>_xlfn.IFNA(VLOOKUP($BK835,Programma!$F$3:$N$1101,9,0),"")</f>
        <v/>
      </c>
      <c r="BT835" s="448" t="str">
        <f>_xlfn.IFNA(VLOOKUP($BK835,Programma!$F$3:$O$1101,10,0),"")</f>
        <v/>
      </c>
      <c r="BU835" s="448" t="str">
        <f>_xlfn.IFNA(VLOOKUP($BK835,Programma!$F$3:$P$1101,11,0),"")</f>
        <v/>
      </c>
      <c r="BV835" s="448" t="str">
        <f>_xlfn.IFNA(VLOOKUP($BK835,Programma!$F$3:$Q$1101,12,0),"")</f>
        <v/>
      </c>
      <c r="BW835" s="448" t="str">
        <f>_xlfn.IFNA(VLOOKUP($BK835,Programma!$F$3:$R$1101,13,0),"")</f>
        <v/>
      </c>
      <c r="BX835" s="448" t="str">
        <f>_xlfn.IFNA(VLOOKUP($BK835,Programma!$F$3:$S$1101,14,0),"")</f>
        <v/>
      </c>
      <c r="BY835" s="448" t="str">
        <f>_xlfn.IFNA(VLOOKUP($BK835,Programma!$F$3:$T$1101,15,0),"")</f>
        <v/>
      </c>
      <c r="BZ835" s="448" t="str">
        <f>_xlfn.IFNA(VLOOKUP($BK835,Programma!$F$3:$U$1101,16,0),"")</f>
        <v/>
      </c>
      <c r="CA835" s="448" t="str">
        <f>_xlfn.IFNA(VLOOKUP($BK835,Programma!$F$3:$V$1101,17,0),"")</f>
        <v/>
      </c>
      <c r="CB835" s="448" t="str">
        <f>_xlfn.IFNA(VLOOKUP($BK835,Programma!$F$3:$W$1101,18,0),"")</f>
        <v/>
      </c>
      <c r="CC835" s="448" t="str">
        <f>_xlfn.IFNA(VLOOKUP($BK835,Programma!$F$3:$X$1101,19,0),"")</f>
        <v/>
      </c>
      <c r="CD835" s="448" t="str">
        <f>_xlfn.IFNA(VLOOKUP($BK835,Programma!$F$3:$Y$1101,20,0),"")</f>
        <v/>
      </c>
    </row>
    <row r="836" spans="1:82" ht="15" customHeight="1">
      <c r="A836" s="327">
        <v>24</v>
      </c>
      <c r="B836" s="435" t="str">
        <f>VLOOKUP(Ruimtestaat[[#This Row],[Code]],Locaties[[Code]:[Locatie]],2,FALSE)</f>
        <v>IKC De Gaerde</v>
      </c>
      <c r="C836" s="435" t="str">
        <f>VLOOKUP(Ruimtestaat[[#This Row],[Code]],Locaties[[#All],[Code]:[Adres]],4,FALSE)</f>
        <v>Moerbeigaarde 58A</v>
      </c>
      <c r="D836" s="435" t="str">
        <f>VLOOKUP(Ruimtestaat[[#This Row],[Code]],Locaties[[#All],[Code]:[Postcode]],5,FALSE)</f>
        <v>2723 AG</v>
      </c>
      <c r="E836" s="435" t="str">
        <f>VLOOKUP(Ruimtestaat[[#This Row],[Code]],Locaties[#All],6,FALSE)</f>
        <v>Zoetermeer</v>
      </c>
      <c r="F836" s="450"/>
      <c r="G836" s="330" t="s">
        <v>1769</v>
      </c>
      <c r="H836" s="330" t="s">
        <v>1929</v>
      </c>
      <c r="I836" s="450" t="s">
        <v>1697</v>
      </c>
      <c r="J836" s="330">
        <v>4</v>
      </c>
      <c r="K836" s="450" t="str">
        <f>VLOOKUP(Ruimtestaat[[#This Row],[Ruimte code]],Ruimtegroepen[[#All],[Code]:[Ruimte omschrijving]],2,FALSE)</f>
        <v>Vergader/spreekkamers</v>
      </c>
      <c r="L836" s="330" t="s">
        <v>100</v>
      </c>
      <c r="M836" s="437" t="s">
        <v>2058</v>
      </c>
      <c r="N836" s="439">
        <v>8.6</v>
      </c>
      <c r="O836" s="439"/>
      <c r="P836" s="439"/>
      <c r="Q836" s="439"/>
      <c r="R836" s="440" t="str">
        <f>VLOOKUP(Ruimtestaat[[#This Row],[Ruimte code]],Ruimtegroepen[],4,FALSE)</f>
        <v>Bu</v>
      </c>
      <c r="S836" s="434">
        <v>40</v>
      </c>
      <c r="T836" s="434" t="s">
        <v>2</v>
      </c>
      <c r="U836" s="453">
        <f>IF(S836&gt;0,IF(RIGHT(Ruimtestaat[[#This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6" s="434">
        <f>IF(U836&gt;0,VLOOKUP($J836,Ruimtegroepen[],3,FALSE)*VLOOKUP($L836,Vloersoorten[],3,FALSE)*VLOOKUP($T836,Frequenties[],3,FALSE)*VLOOKUP($A836,Locaties[],3,FALSE),0)</f>
        <v>0</v>
      </c>
      <c r="W836" s="434">
        <f>Ruimtestaat[[#This Row],[Uitvoeringen werkdagen]]*Ruimtestaat[[#This Row],[Oppervlak (netto)]]</f>
        <v>1720</v>
      </c>
      <c r="X836" s="441">
        <f>IF(V836&gt;0,Ruimtestaat[[#This Row],[Prest. (m2 /jaar) werkdagen]]/Ruimtestaat[[#This Row],[Norm (m2/uur) werkdagen]],0)</f>
        <v>0</v>
      </c>
      <c r="Y836" s="442">
        <f>Ruimtestaat[[#This Row],[Uitvoeringen werkdagen]]*Ruimtestaat[[#This Row],[Gedeeltelijk]]</f>
        <v>0</v>
      </c>
      <c r="Z836" s="443" t="e">
        <f>IF(U836&gt;0,Ruimtestaat[[#This Row],[Prest. (m2 / jaar) werkdagen gedeeld]]/Ruimtestaat[[#This Row],[Norm (m2/uur) werkdagen]],0)</f>
        <v>#DIV/0!</v>
      </c>
      <c r="AA836" s="441" t="e">
        <f>Ruimtestaat[[#This Row],[uren / jaar werkdagen gedeeld]]*Tariefsopbouw!$E$35</f>
        <v>#DIV/0!</v>
      </c>
      <c r="AB836" s="441">
        <f>Ruimtestaat[[#This Row],[Uitvoeringen werkdagen]]*Ruimtestaat[[#This Row],[BSO]]</f>
        <v>0</v>
      </c>
      <c r="AC836" s="443" t="e">
        <f>IF(U836&gt;0,Ruimtestaat[[#This Row],[Prest. (m2 / jaar) werkdagen BSO]]/Ruimtestaat[[#This Row],[Norm (m2/uur) werkdagen]],0)</f>
        <v>#DIV/0!</v>
      </c>
      <c r="AD836" s="443" t="e">
        <f>Ruimtestaat[[#This Row],[uren / jaar werkdagen BSO]]*Tariefsopbouw!$E$35</f>
        <v>#DIV/0!</v>
      </c>
      <c r="AE836" s="444">
        <f>Ruimtestaat[[#This Row],[uren / jaar werkdagen]]*Tariefsopbouw!$E$35</f>
        <v>0</v>
      </c>
      <c r="AF836" s="454"/>
      <c r="AG836" s="455">
        <f>IF(Ruimtestaat[[#This Row],[Frequentie weekend]]&gt;0,VALUE(LEFT(AF836,1))*S836,0)</f>
        <v>0</v>
      </c>
      <c r="AH836" s="455">
        <f>IF($AG836&gt;0,VLOOKUP($J836,Ruimtegroepen[],3,FALSE)*VLOOKUP($L836,Vloersoorten[],3,FALSE)*VLOOKUP($AF836,Frequenties[],3,FALSE)*VLOOKUP(#REF!,Locaties[],3,FALSE),0)</f>
        <v>0</v>
      </c>
      <c r="AI836" s="434">
        <f>Ruimtestaat[[#This Row],[Uitvoeringen weekend]]*Ruimtestaat[[#This Row],[Oppervlak (netto)]]</f>
        <v>0</v>
      </c>
      <c r="AJ836" s="434">
        <f>IF(AH836&gt;0,Ruimtestaat[[#This Row],[Prest. (m2 /jaar) weekend]]/Ruimtestaat[[#This Row],[Norm (m2/uur) weekend]],0)</f>
        <v>0</v>
      </c>
      <c r="AK836" s="444">
        <f>Ruimtestaat[[#This Row],[uren / jaar weekend]]*Tariefsopbouw!$D$40</f>
        <v>0</v>
      </c>
      <c r="AL836" s="441">
        <f>Ruimtestaat[[#This Row],[Prest. (m2 /jaar) weekend]]+Ruimtestaat[[#This Row],[Prest. (m2 /jaar) werkdagen]]</f>
        <v>1720</v>
      </c>
      <c r="AM836" s="441">
        <f>Ruimtestaat[[#This Row],[uren / jaar weekend]]+Ruimtestaat[[#This Row],[uren / jaar werkdagen]]</f>
        <v>0</v>
      </c>
      <c r="AN836" s="446">
        <f>Ruimtestaat[[#This Row],[kosten / jaar weekend]]+Ruimtestaat[[#This Row],[kosten / jaar werkdagen]]</f>
        <v>0</v>
      </c>
      <c r="AO836" s="446"/>
      <c r="AP836" s="446" t="str">
        <f>IF(Ruimtestaat[[#This Row],[Frequentie werkdagen]]="","",_xlfn.CONCAT(Ruimtestaat[[#This Row],[Ruimte code]],"-",Ruimtestaat[[#This Row],[Frequentie werkdagen]]," ",Ruimtestaat[[#This Row],[Vloer code]]))</f>
        <v>4-5w L</v>
      </c>
      <c r="AQ836" s="448" t="str">
        <f>_xlfn.IFNA(VLOOKUP($AP836,Programma!$F$3:$G$1101,2,0),"")</f>
        <v>_</v>
      </c>
      <c r="AR836" s="448" t="str">
        <f>_xlfn.IFNA(VLOOKUP($AP836,Programma!$F$3:$H$1101,3,0),"")</f>
        <v>_</v>
      </c>
      <c r="AS836" s="448" t="str">
        <f>_xlfn.IFNA(VLOOKUP($AP836,Programma!$F$3:$I$1101,4,0),"")</f>
        <v>4w</v>
      </c>
      <c r="AT836" s="448" t="str">
        <f>_xlfn.IFNA(VLOOKUP($AP836,Programma!$F$3:$J$1101,5,0),"")</f>
        <v>1w</v>
      </c>
      <c r="AU836" s="448" t="str">
        <f>_xlfn.IFNA(VLOOKUP($AP836,Programma!$F$3:$K$1101,6,0),"")</f>
        <v>_</v>
      </c>
      <c r="AV836" s="448" t="str">
        <f>_xlfn.IFNA(VLOOKUP($AP836,Programma!$F$3:$L$1101,7,0),"")</f>
        <v>_</v>
      </c>
      <c r="AW836" s="448" t="str">
        <f>_xlfn.IFNA(VLOOKUP($AP836,Programma!$F$3:$M$1101,8,0),"")</f>
        <v>_</v>
      </c>
      <c r="AX836" s="448" t="str">
        <f>_xlfn.IFNA(VLOOKUP($AP836,Programma!$F$3:$N$1101,9,0),"")</f>
        <v>_</v>
      </c>
      <c r="AY836" s="448" t="str">
        <f>_xlfn.IFNA(VLOOKUP($AP836,Programma!$F$3:$O$1101,10,0),"")</f>
        <v>5w</v>
      </c>
      <c r="AZ836" s="448" t="str">
        <f>_xlfn.IFNA(VLOOKUP($AP836,Programma!$F$3:$P$1101,11,0),"")</f>
        <v>5w</v>
      </c>
      <c r="BA836" s="448" t="str">
        <f>_xlfn.IFNA(VLOOKUP($AP836,Programma!$F$3:$Q$1101,12,0),"")</f>
        <v>1w</v>
      </c>
      <c r="BB836" s="448" t="str">
        <f>_xlfn.IFNA(VLOOKUP($AP836,Programma!$F$3:$R$1101,13,0),"")</f>
        <v>1w</v>
      </c>
      <c r="BC836" s="448" t="str">
        <f>_xlfn.IFNA(VLOOKUP($AP836,Programma!$F$3:$S$1101,14,0),"")</f>
        <v>1m</v>
      </c>
      <c r="BD836" s="448" t="str">
        <f>_xlfn.IFNA(VLOOKUP($AP836,Programma!$F$3:$T$1101,15,0),"")</f>
        <v>2j</v>
      </c>
      <c r="BE836" s="448" t="str">
        <f>_xlfn.IFNA(VLOOKUP($AP836,Programma!$F$3:$U$1101,16,0),"")</f>
        <v>1j</v>
      </c>
      <c r="BF836" s="448" t="str">
        <f>_xlfn.IFNA(VLOOKUP($AP836,Programma!$F$3:$V$1101,17,0),"")</f>
        <v>_</v>
      </c>
      <c r="BG836" s="448" t="str">
        <f>_xlfn.IFNA(VLOOKUP($AP836,Programma!$F$3:$W$1101,18,0),"")</f>
        <v>_</v>
      </c>
      <c r="BH836" s="448" t="str">
        <f>_xlfn.IFNA(VLOOKUP($AP836,Programma!$F$3:$X$1101,19,0),"")</f>
        <v>_</v>
      </c>
      <c r="BI836" s="448" t="str">
        <f>_xlfn.IFNA(VLOOKUP($AP836,Programma!$F$3:$Y$1101,20,0),"")</f>
        <v>_</v>
      </c>
      <c r="BJ836" s="449"/>
      <c r="BK836" s="446" t="str">
        <f>IF(Ruimtestaat[[#This Row],[Frequentie weekend]]="","",_xlfn.CONCAT(Ruimtestaat[[#This Row],[Ruimte code]],"-",Ruimtestaat[[#This Row],[Frequentie weekend]]," ",Ruimtestaat[[#This Row],[Vloer code]]))</f>
        <v/>
      </c>
      <c r="BL836" s="448" t="str">
        <f>_xlfn.IFNA(VLOOKUP($BK836,Programma!$F$3:$G$1101,2,0),"")</f>
        <v/>
      </c>
      <c r="BM836" s="448" t="str">
        <f>_xlfn.IFNA(VLOOKUP($BK836,Programma!$F$3:$H$1101,3,0),"")</f>
        <v/>
      </c>
      <c r="BN836" s="448" t="str">
        <f>_xlfn.IFNA(VLOOKUP($BK836,Programma!$F$3:$I$1101,4,0),"")</f>
        <v/>
      </c>
      <c r="BO836" s="448" t="str">
        <f>_xlfn.IFNA(VLOOKUP($BK836,Programma!$F$3:$J$1101,5,0),"")</f>
        <v/>
      </c>
      <c r="BP836" s="448" t="str">
        <f>_xlfn.IFNA(VLOOKUP($BK836,Programma!$F$3:$K$1101,6,0),"")</f>
        <v/>
      </c>
      <c r="BQ836" s="448" t="str">
        <f>_xlfn.IFNA(VLOOKUP($BK836,Programma!$F$3:$L$1101,7,0),"")</f>
        <v/>
      </c>
      <c r="BR836" s="448" t="str">
        <f>_xlfn.IFNA(VLOOKUP($BK836,Programma!$F$3:$M$1101,8,0),"")</f>
        <v/>
      </c>
      <c r="BS836" s="448" t="str">
        <f>_xlfn.IFNA(VLOOKUP($BK836,Programma!$F$3:$N$1101,9,0),"")</f>
        <v/>
      </c>
      <c r="BT836" s="448" t="str">
        <f>_xlfn.IFNA(VLOOKUP($BK836,Programma!$F$3:$O$1101,10,0),"")</f>
        <v/>
      </c>
      <c r="BU836" s="448" t="str">
        <f>_xlfn.IFNA(VLOOKUP($BK836,Programma!$F$3:$P$1101,11,0),"")</f>
        <v/>
      </c>
      <c r="BV836" s="448" t="str">
        <f>_xlfn.IFNA(VLOOKUP($BK836,Programma!$F$3:$Q$1101,12,0),"")</f>
        <v/>
      </c>
      <c r="BW836" s="448" t="str">
        <f>_xlfn.IFNA(VLOOKUP($BK836,Programma!$F$3:$R$1101,13,0),"")</f>
        <v/>
      </c>
      <c r="BX836" s="448" t="str">
        <f>_xlfn.IFNA(VLOOKUP($BK836,Programma!$F$3:$S$1101,14,0),"")</f>
        <v/>
      </c>
      <c r="BY836" s="448" t="str">
        <f>_xlfn.IFNA(VLOOKUP($BK836,Programma!$F$3:$T$1101,15,0),"")</f>
        <v/>
      </c>
      <c r="BZ836" s="448" t="str">
        <f>_xlfn.IFNA(VLOOKUP($BK836,Programma!$F$3:$U$1101,16,0),"")</f>
        <v/>
      </c>
      <c r="CA836" s="448" t="str">
        <f>_xlfn.IFNA(VLOOKUP($BK836,Programma!$F$3:$V$1101,17,0),"")</f>
        <v/>
      </c>
      <c r="CB836" s="448" t="str">
        <f>_xlfn.IFNA(VLOOKUP($BK836,Programma!$F$3:$W$1101,18,0),"")</f>
        <v/>
      </c>
      <c r="CC836" s="448" t="str">
        <f>_xlfn.IFNA(VLOOKUP($BK836,Programma!$F$3:$X$1101,19,0),"")</f>
        <v/>
      </c>
      <c r="CD836" s="448" t="str">
        <f>_xlfn.IFNA(VLOOKUP($BK836,Programma!$F$3:$Y$1101,20,0),"")</f>
        <v/>
      </c>
    </row>
    <row r="837" spans="1:82" ht="15" customHeight="1">
      <c r="A837" s="327">
        <v>24</v>
      </c>
      <c r="B837" s="435" t="str">
        <f>VLOOKUP(Ruimtestaat[[#This Row],[Code]],Locaties[[Code]:[Locatie]],2,FALSE)</f>
        <v>IKC De Gaerde</v>
      </c>
      <c r="C837" s="435" t="str">
        <f>VLOOKUP(Ruimtestaat[[#This Row],[Code]],Locaties[[#All],[Code]:[Adres]],4,FALSE)</f>
        <v>Moerbeigaarde 58A</v>
      </c>
      <c r="D837" s="435" t="str">
        <f>VLOOKUP(Ruimtestaat[[#This Row],[Code]],Locaties[[#All],[Code]:[Postcode]],5,FALSE)</f>
        <v>2723 AG</v>
      </c>
      <c r="E837" s="435" t="str">
        <f>VLOOKUP(Ruimtestaat[[#This Row],[Code]],Locaties[#All],6,FALSE)</f>
        <v>Zoetermeer</v>
      </c>
      <c r="F837" s="450"/>
      <c r="G837" s="330" t="s">
        <v>1769</v>
      </c>
      <c r="H837" s="330" t="s">
        <v>1930</v>
      </c>
      <c r="I837" s="450" t="s">
        <v>1773</v>
      </c>
      <c r="J837" s="330">
        <v>10</v>
      </c>
      <c r="K837" s="450" t="str">
        <f>VLOOKUP(Ruimtestaat[[#This Row],[Ruimte code]],Ruimtegroepen[[#All],[Code]:[Ruimte omschrijving]],2,FALSE)</f>
        <v>Trappenhuizen/lift</v>
      </c>
      <c r="L837" s="330" t="s">
        <v>100</v>
      </c>
      <c r="M837" s="437" t="s">
        <v>2058</v>
      </c>
      <c r="N837" s="439">
        <v>2.2999999999999998</v>
      </c>
      <c r="O837" s="439"/>
      <c r="P837" s="439"/>
      <c r="Q837" s="439"/>
      <c r="R837" s="440" t="str">
        <f>VLOOKUP(Ruimtestaat[[#This Row],[Ruimte code]],Ruimtegroepen[],4,FALSE)</f>
        <v>Ve</v>
      </c>
      <c r="S837" s="434">
        <v>41</v>
      </c>
      <c r="T837" s="434" t="s">
        <v>2</v>
      </c>
      <c r="U837" s="453">
        <f>IF(S837&gt;0,IF(RIGHT(Ruimtestaat[[#This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37" s="434">
        <f>IF(U837&gt;0,VLOOKUP($J837,Ruimtegroepen[],3,FALSE)*VLOOKUP($L837,Vloersoorten[],3,FALSE)*VLOOKUP($T837,Frequenties[],3,FALSE)*VLOOKUP($A837,Locaties[],3,FALSE),0)</f>
        <v>0</v>
      </c>
      <c r="W837" s="434">
        <f>Ruimtestaat[[#This Row],[Uitvoeringen werkdagen]]*Ruimtestaat[[#This Row],[Oppervlak (netto)]]</f>
        <v>471.49999999999994</v>
      </c>
      <c r="X837" s="441">
        <f>IF(V837&gt;0,Ruimtestaat[[#This Row],[Prest. (m2 /jaar) werkdagen]]/Ruimtestaat[[#This Row],[Norm (m2/uur) werkdagen]],0)</f>
        <v>0</v>
      </c>
      <c r="Y837" s="442">
        <f>Ruimtestaat[[#This Row],[Uitvoeringen werkdagen]]*Ruimtestaat[[#This Row],[Gedeeltelijk]]</f>
        <v>0</v>
      </c>
      <c r="Z837" s="443" t="e">
        <f>IF(U837&gt;0,Ruimtestaat[[#This Row],[Prest. (m2 / jaar) werkdagen gedeeld]]/Ruimtestaat[[#This Row],[Norm (m2/uur) werkdagen]],0)</f>
        <v>#DIV/0!</v>
      </c>
      <c r="AA837" s="441" t="e">
        <f>Ruimtestaat[[#This Row],[uren / jaar werkdagen gedeeld]]*Tariefsopbouw!$E$35</f>
        <v>#DIV/0!</v>
      </c>
      <c r="AB837" s="441">
        <f>Ruimtestaat[[#This Row],[Uitvoeringen werkdagen]]*Ruimtestaat[[#This Row],[BSO]]</f>
        <v>0</v>
      </c>
      <c r="AC837" s="443" t="e">
        <f>IF(U837&gt;0,Ruimtestaat[[#This Row],[Prest. (m2 / jaar) werkdagen BSO]]/Ruimtestaat[[#This Row],[Norm (m2/uur) werkdagen]],0)</f>
        <v>#DIV/0!</v>
      </c>
      <c r="AD837" s="443" t="e">
        <f>Ruimtestaat[[#This Row],[uren / jaar werkdagen BSO]]*Tariefsopbouw!$E$35</f>
        <v>#DIV/0!</v>
      </c>
      <c r="AE837" s="444">
        <f>Ruimtestaat[[#This Row],[uren / jaar werkdagen]]*Tariefsopbouw!$E$35</f>
        <v>0</v>
      </c>
      <c r="AF837" s="454"/>
      <c r="AG837" s="455">
        <f>IF(Ruimtestaat[[#This Row],[Frequentie weekend]]&gt;0,VALUE(LEFT(AF837,1))*S837,0)</f>
        <v>0</v>
      </c>
      <c r="AH837" s="455">
        <f>IF($AG837&gt;0,VLOOKUP($J837,Ruimtegroepen[],3,FALSE)*VLOOKUP($L837,Vloersoorten[],3,FALSE)*VLOOKUP($AF837,Frequenties[],3,FALSE)*VLOOKUP(#REF!,Locaties[],3,FALSE),0)</f>
        <v>0</v>
      </c>
      <c r="AI837" s="434">
        <f>Ruimtestaat[[#This Row],[Uitvoeringen weekend]]*Ruimtestaat[[#This Row],[Oppervlak (netto)]]</f>
        <v>0</v>
      </c>
      <c r="AJ837" s="434">
        <f>IF(AH837&gt;0,Ruimtestaat[[#This Row],[Prest. (m2 /jaar) weekend]]/Ruimtestaat[[#This Row],[Norm (m2/uur) weekend]],0)</f>
        <v>0</v>
      </c>
      <c r="AK837" s="444">
        <f>Ruimtestaat[[#This Row],[uren / jaar weekend]]*Tariefsopbouw!$D$40</f>
        <v>0</v>
      </c>
      <c r="AL837" s="441">
        <f>Ruimtestaat[[#This Row],[Prest. (m2 /jaar) weekend]]+Ruimtestaat[[#This Row],[Prest. (m2 /jaar) werkdagen]]</f>
        <v>471.49999999999994</v>
      </c>
      <c r="AM837" s="441">
        <f>Ruimtestaat[[#This Row],[uren / jaar weekend]]+Ruimtestaat[[#This Row],[uren / jaar werkdagen]]</f>
        <v>0</v>
      </c>
      <c r="AN837" s="446">
        <f>Ruimtestaat[[#This Row],[kosten / jaar weekend]]+Ruimtestaat[[#This Row],[kosten / jaar werkdagen]]</f>
        <v>0</v>
      </c>
      <c r="AO837" s="446"/>
      <c r="AP837" s="446" t="str">
        <f>IF(Ruimtestaat[[#This Row],[Frequentie werkdagen]]="","",_xlfn.CONCAT(Ruimtestaat[[#This Row],[Ruimte code]],"-",Ruimtestaat[[#This Row],[Frequentie werkdagen]]," ",Ruimtestaat[[#This Row],[Vloer code]]))</f>
        <v>10-5w L</v>
      </c>
      <c r="AQ837" s="448" t="str">
        <f>_xlfn.IFNA(VLOOKUP($AP837,Programma!$F$3:$G$1101,2,0),"")</f>
        <v>_</v>
      </c>
      <c r="AR837" s="448" t="str">
        <f>_xlfn.IFNA(VLOOKUP($AP837,Programma!$F$3:$H$1101,3,0),"")</f>
        <v>_</v>
      </c>
      <c r="AS837" s="448" t="str">
        <f>_xlfn.IFNA(VLOOKUP($AP837,Programma!$F$3:$I$1101,4,0),"")</f>
        <v>4w</v>
      </c>
      <c r="AT837" s="448" t="str">
        <f>_xlfn.IFNA(VLOOKUP($AP837,Programma!$F$3:$J$1101,5,0),"")</f>
        <v>1w</v>
      </c>
      <c r="AU837" s="448" t="str">
        <f>_xlfn.IFNA(VLOOKUP($AP837,Programma!$F$3:$K$1101,6,0),"")</f>
        <v>_</v>
      </c>
      <c r="AV837" s="448" t="str">
        <f>_xlfn.IFNA(VLOOKUP($AP837,Programma!$F$3:$L$1101,7,0),"")</f>
        <v>_</v>
      </c>
      <c r="AW837" s="448" t="str">
        <f>_xlfn.IFNA(VLOOKUP($AP837,Programma!$F$3:$M$1101,8,0),"")</f>
        <v>_</v>
      </c>
      <c r="AX837" s="448" t="str">
        <f>_xlfn.IFNA(VLOOKUP($AP837,Programma!$F$3:$N$1101,9,0),"")</f>
        <v>_</v>
      </c>
      <c r="AY837" s="448" t="str">
        <f>_xlfn.IFNA(VLOOKUP($AP837,Programma!$F$3:$O$1101,10,0),"")</f>
        <v>5w</v>
      </c>
      <c r="AZ837" s="448" t="str">
        <f>_xlfn.IFNA(VLOOKUP($AP837,Programma!$F$3:$P$1101,11,0),"")</f>
        <v>5w</v>
      </c>
      <c r="BA837" s="448" t="str">
        <f>_xlfn.IFNA(VLOOKUP($AP837,Programma!$F$3:$Q$1101,12,0),"")</f>
        <v>1w</v>
      </c>
      <c r="BB837" s="448" t="str">
        <f>_xlfn.IFNA(VLOOKUP($AP837,Programma!$F$3:$R$1101,13,0),"")</f>
        <v>1w</v>
      </c>
      <c r="BC837" s="448" t="str">
        <f>_xlfn.IFNA(VLOOKUP($AP837,Programma!$F$3:$S$1101,14,0),"")</f>
        <v>1m</v>
      </c>
      <c r="BD837" s="448" t="str">
        <f>_xlfn.IFNA(VLOOKUP($AP837,Programma!$F$3:$T$1101,15,0),"")</f>
        <v>2j</v>
      </c>
      <c r="BE837" s="448" t="str">
        <f>_xlfn.IFNA(VLOOKUP($AP837,Programma!$F$3:$U$1101,16,0),"")</f>
        <v>1j</v>
      </c>
      <c r="BF837" s="448" t="str">
        <f>_xlfn.IFNA(VLOOKUP($AP837,Programma!$F$3:$V$1101,17,0),"")</f>
        <v>_</v>
      </c>
      <c r="BG837" s="448" t="str">
        <f>_xlfn.IFNA(VLOOKUP($AP837,Programma!$F$3:$W$1101,18,0),"")</f>
        <v>_</v>
      </c>
      <c r="BH837" s="448" t="str">
        <f>_xlfn.IFNA(VLOOKUP($AP837,Programma!$F$3:$X$1101,19,0),"")</f>
        <v>_</v>
      </c>
      <c r="BI837" s="448" t="str">
        <f>_xlfn.IFNA(VLOOKUP($AP837,Programma!$F$3:$Y$1101,20,0),"")</f>
        <v>_</v>
      </c>
      <c r="BJ837" s="449"/>
      <c r="BK837" s="446" t="str">
        <f>IF(Ruimtestaat[[#This Row],[Frequentie weekend]]="","",_xlfn.CONCAT(Ruimtestaat[[#This Row],[Ruimte code]],"-",Ruimtestaat[[#This Row],[Frequentie weekend]]," ",Ruimtestaat[[#This Row],[Vloer code]]))</f>
        <v/>
      </c>
      <c r="BL837" s="448" t="str">
        <f>_xlfn.IFNA(VLOOKUP($BK837,Programma!$F$3:$G$1101,2,0),"")</f>
        <v/>
      </c>
      <c r="BM837" s="448" t="str">
        <f>_xlfn.IFNA(VLOOKUP($BK837,Programma!$F$3:$H$1101,3,0),"")</f>
        <v/>
      </c>
      <c r="BN837" s="448" t="str">
        <f>_xlfn.IFNA(VLOOKUP($BK837,Programma!$F$3:$I$1101,4,0),"")</f>
        <v/>
      </c>
      <c r="BO837" s="448" t="str">
        <f>_xlfn.IFNA(VLOOKUP($BK837,Programma!$F$3:$J$1101,5,0),"")</f>
        <v/>
      </c>
      <c r="BP837" s="448" t="str">
        <f>_xlfn.IFNA(VLOOKUP($BK837,Programma!$F$3:$K$1101,6,0),"")</f>
        <v/>
      </c>
      <c r="BQ837" s="448" t="str">
        <f>_xlfn.IFNA(VLOOKUP($BK837,Programma!$F$3:$L$1101,7,0),"")</f>
        <v/>
      </c>
      <c r="BR837" s="448" t="str">
        <f>_xlfn.IFNA(VLOOKUP($BK837,Programma!$F$3:$M$1101,8,0),"")</f>
        <v/>
      </c>
      <c r="BS837" s="448" t="str">
        <f>_xlfn.IFNA(VLOOKUP($BK837,Programma!$F$3:$N$1101,9,0),"")</f>
        <v/>
      </c>
      <c r="BT837" s="448" t="str">
        <f>_xlfn.IFNA(VLOOKUP($BK837,Programma!$F$3:$O$1101,10,0),"")</f>
        <v/>
      </c>
      <c r="BU837" s="448" t="str">
        <f>_xlfn.IFNA(VLOOKUP($BK837,Programma!$F$3:$P$1101,11,0),"")</f>
        <v/>
      </c>
      <c r="BV837" s="448" t="str">
        <f>_xlfn.IFNA(VLOOKUP($BK837,Programma!$F$3:$Q$1101,12,0),"")</f>
        <v/>
      </c>
      <c r="BW837" s="448" t="str">
        <f>_xlfn.IFNA(VLOOKUP($BK837,Programma!$F$3:$R$1101,13,0),"")</f>
        <v/>
      </c>
      <c r="BX837" s="448" t="str">
        <f>_xlfn.IFNA(VLOOKUP($BK837,Programma!$F$3:$S$1101,14,0),"")</f>
        <v/>
      </c>
      <c r="BY837" s="448" t="str">
        <f>_xlfn.IFNA(VLOOKUP($BK837,Programma!$F$3:$T$1101,15,0),"")</f>
        <v/>
      </c>
      <c r="BZ837" s="448" t="str">
        <f>_xlfn.IFNA(VLOOKUP($BK837,Programma!$F$3:$U$1101,16,0),"")</f>
        <v/>
      </c>
      <c r="CA837" s="448" t="str">
        <f>_xlfn.IFNA(VLOOKUP($BK837,Programma!$F$3:$V$1101,17,0),"")</f>
        <v/>
      </c>
      <c r="CB837" s="448" t="str">
        <f>_xlfn.IFNA(VLOOKUP($BK837,Programma!$F$3:$W$1101,18,0),"")</f>
        <v/>
      </c>
      <c r="CC837" s="448" t="str">
        <f>_xlfn.IFNA(VLOOKUP($BK837,Programma!$F$3:$X$1101,19,0),"")</f>
        <v/>
      </c>
      <c r="CD837" s="448" t="str">
        <f>_xlfn.IFNA(VLOOKUP($BK837,Programma!$F$3:$Y$1101,20,0),"")</f>
        <v/>
      </c>
    </row>
    <row r="838" spans="1:82" ht="15" customHeight="1">
      <c r="A838" s="327">
        <v>24</v>
      </c>
      <c r="B838" s="435" t="str">
        <f>VLOOKUP(Ruimtestaat[[#This Row],[Code]],Locaties[[Code]:[Locatie]],2,FALSE)</f>
        <v>IKC De Gaerde</v>
      </c>
      <c r="C838" s="435" t="str">
        <f>VLOOKUP(Ruimtestaat[[#This Row],[Code]],Locaties[[#All],[Code]:[Adres]],4,FALSE)</f>
        <v>Moerbeigaarde 58A</v>
      </c>
      <c r="D838" s="435" t="str">
        <f>VLOOKUP(Ruimtestaat[[#This Row],[Code]],Locaties[[#All],[Code]:[Postcode]],5,FALSE)</f>
        <v>2723 AG</v>
      </c>
      <c r="E838" s="435" t="str">
        <f>VLOOKUP(Ruimtestaat[[#This Row],[Code]],Locaties[#All],6,FALSE)</f>
        <v>Zoetermeer</v>
      </c>
      <c r="F838" s="450"/>
      <c r="G838" s="330" t="s">
        <v>1769</v>
      </c>
      <c r="H838" s="330" t="s">
        <v>1931</v>
      </c>
      <c r="I838" s="450" t="s">
        <v>2040</v>
      </c>
      <c r="J838" s="330">
        <v>2</v>
      </c>
      <c r="K838" s="450" t="str">
        <f>VLOOKUP(Ruimtestaat[[#This Row],[Ruimte code]],Ruimtegroepen[[#All],[Code]:[Ruimte omschrijving]],2,FALSE)</f>
        <v>Kantoren</v>
      </c>
      <c r="L838" s="330" t="s">
        <v>100</v>
      </c>
      <c r="M838" s="437" t="s">
        <v>2058</v>
      </c>
      <c r="N838" s="439">
        <v>9.3000000000000007</v>
      </c>
      <c r="O838" s="439"/>
      <c r="P838" s="439"/>
      <c r="Q838" s="439"/>
      <c r="R838" s="440" t="str">
        <f>VLOOKUP(Ruimtestaat[[#This Row],[Ruimte code]],Ruimtegroepen[],4,FALSE)</f>
        <v>Bu</v>
      </c>
      <c r="S838" s="434">
        <v>41</v>
      </c>
      <c r="T838" s="434" t="s">
        <v>2</v>
      </c>
      <c r="U838" s="453">
        <f>IF(S838&gt;0,IF(RIGHT(Ruimtestaat[[#This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38" s="434">
        <f>IF(U838&gt;0,VLOOKUP($J838,Ruimtegroepen[],3,FALSE)*VLOOKUP($L838,Vloersoorten[],3,FALSE)*VLOOKUP($T838,Frequenties[],3,FALSE)*VLOOKUP($A838,Locaties[],3,FALSE),0)</f>
        <v>0</v>
      </c>
      <c r="W838" s="434">
        <f>Ruimtestaat[[#This Row],[Uitvoeringen werkdagen]]*Ruimtestaat[[#This Row],[Oppervlak (netto)]]</f>
        <v>1906.5000000000002</v>
      </c>
      <c r="X838" s="441">
        <f>IF(V838&gt;0,Ruimtestaat[[#This Row],[Prest. (m2 /jaar) werkdagen]]/Ruimtestaat[[#This Row],[Norm (m2/uur) werkdagen]],0)</f>
        <v>0</v>
      </c>
      <c r="Y838" s="442">
        <f>Ruimtestaat[[#This Row],[Uitvoeringen werkdagen]]*Ruimtestaat[[#This Row],[Gedeeltelijk]]</f>
        <v>0</v>
      </c>
      <c r="Z838" s="443" t="e">
        <f>IF(U838&gt;0,Ruimtestaat[[#This Row],[Prest. (m2 / jaar) werkdagen gedeeld]]/Ruimtestaat[[#This Row],[Norm (m2/uur) werkdagen]],0)</f>
        <v>#DIV/0!</v>
      </c>
      <c r="AA838" s="441" t="e">
        <f>Ruimtestaat[[#This Row],[uren / jaar werkdagen gedeeld]]*Tariefsopbouw!$E$35</f>
        <v>#DIV/0!</v>
      </c>
      <c r="AB838" s="441">
        <f>Ruimtestaat[[#This Row],[Uitvoeringen werkdagen]]*Ruimtestaat[[#This Row],[BSO]]</f>
        <v>0</v>
      </c>
      <c r="AC838" s="443" t="e">
        <f>IF(U838&gt;0,Ruimtestaat[[#This Row],[Prest. (m2 / jaar) werkdagen BSO]]/Ruimtestaat[[#This Row],[Norm (m2/uur) werkdagen]],0)</f>
        <v>#DIV/0!</v>
      </c>
      <c r="AD838" s="443" t="e">
        <f>Ruimtestaat[[#This Row],[uren / jaar werkdagen BSO]]*Tariefsopbouw!$E$35</f>
        <v>#DIV/0!</v>
      </c>
      <c r="AE838" s="444">
        <f>Ruimtestaat[[#This Row],[uren / jaar werkdagen]]*Tariefsopbouw!$E$35</f>
        <v>0</v>
      </c>
      <c r="AF838" s="454"/>
      <c r="AG838" s="455">
        <f>IF(Ruimtestaat[[#This Row],[Frequentie weekend]]&gt;0,VALUE(LEFT(AF838,1))*S838,0)</f>
        <v>0</v>
      </c>
      <c r="AH838" s="455">
        <f>IF($AG838&gt;0,VLOOKUP($J838,Ruimtegroepen[],3,FALSE)*VLOOKUP($L838,Vloersoorten[],3,FALSE)*VLOOKUP($AF838,Frequenties[],3,FALSE)*VLOOKUP(#REF!,Locaties[],3,FALSE),0)</f>
        <v>0</v>
      </c>
      <c r="AI838" s="434">
        <f>Ruimtestaat[[#This Row],[Uitvoeringen weekend]]*Ruimtestaat[[#This Row],[Oppervlak (netto)]]</f>
        <v>0</v>
      </c>
      <c r="AJ838" s="434">
        <f>IF(AH838&gt;0,Ruimtestaat[[#This Row],[Prest. (m2 /jaar) weekend]]/Ruimtestaat[[#This Row],[Norm (m2/uur) weekend]],0)</f>
        <v>0</v>
      </c>
      <c r="AK838" s="444">
        <f>Ruimtestaat[[#This Row],[uren / jaar weekend]]*Tariefsopbouw!$D$40</f>
        <v>0</v>
      </c>
      <c r="AL838" s="441">
        <f>Ruimtestaat[[#This Row],[Prest. (m2 /jaar) weekend]]+Ruimtestaat[[#This Row],[Prest. (m2 /jaar) werkdagen]]</f>
        <v>1906.5000000000002</v>
      </c>
      <c r="AM838" s="441">
        <f>Ruimtestaat[[#This Row],[uren / jaar weekend]]+Ruimtestaat[[#This Row],[uren / jaar werkdagen]]</f>
        <v>0</v>
      </c>
      <c r="AN838" s="446">
        <f>Ruimtestaat[[#This Row],[kosten / jaar weekend]]+Ruimtestaat[[#This Row],[kosten / jaar werkdagen]]</f>
        <v>0</v>
      </c>
      <c r="AO838" s="446"/>
      <c r="AP838" s="446" t="str">
        <f>IF(Ruimtestaat[[#This Row],[Frequentie werkdagen]]="","",_xlfn.CONCAT(Ruimtestaat[[#This Row],[Ruimte code]],"-",Ruimtestaat[[#This Row],[Frequentie werkdagen]]," ",Ruimtestaat[[#This Row],[Vloer code]]))</f>
        <v>2-5w L</v>
      </c>
      <c r="AQ838" s="448" t="str">
        <f>_xlfn.IFNA(VLOOKUP($AP838,Programma!$F$3:$G$1101,2,0),"")</f>
        <v>_</v>
      </c>
      <c r="AR838" s="448" t="str">
        <f>_xlfn.IFNA(VLOOKUP($AP838,Programma!$F$3:$H$1101,3,0),"")</f>
        <v>_</v>
      </c>
      <c r="AS838" s="448" t="str">
        <f>_xlfn.IFNA(VLOOKUP($AP838,Programma!$F$3:$I$1101,4,0),"")</f>
        <v>4w</v>
      </c>
      <c r="AT838" s="448" t="str">
        <f>_xlfn.IFNA(VLOOKUP($AP838,Programma!$F$3:$J$1101,5,0),"")</f>
        <v>1w</v>
      </c>
      <c r="AU838" s="448" t="str">
        <f>_xlfn.IFNA(VLOOKUP($AP838,Programma!$F$3:$K$1101,6,0),"")</f>
        <v>_</v>
      </c>
      <c r="AV838" s="448" t="str">
        <f>_xlfn.IFNA(VLOOKUP($AP838,Programma!$F$3:$L$1101,7,0),"")</f>
        <v>_</v>
      </c>
      <c r="AW838" s="448" t="str">
        <f>_xlfn.IFNA(VLOOKUP($AP838,Programma!$F$3:$M$1101,8,0),"")</f>
        <v>_</v>
      </c>
      <c r="AX838" s="448" t="str">
        <f>_xlfn.IFNA(VLOOKUP($AP838,Programma!$F$3:$N$1101,9,0),"")</f>
        <v>_</v>
      </c>
      <c r="AY838" s="448" t="str">
        <f>_xlfn.IFNA(VLOOKUP($AP838,Programma!$F$3:$O$1101,10,0),"")</f>
        <v>5w</v>
      </c>
      <c r="AZ838" s="448" t="str">
        <f>_xlfn.IFNA(VLOOKUP($AP838,Programma!$F$3:$P$1101,11,0),"")</f>
        <v>5w</v>
      </c>
      <c r="BA838" s="448" t="str">
        <f>_xlfn.IFNA(VLOOKUP($AP838,Programma!$F$3:$Q$1101,12,0),"")</f>
        <v>1w</v>
      </c>
      <c r="BB838" s="448" t="str">
        <f>_xlfn.IFNA(VLOOKUP($AP838,Programma!$F$3:$R$1101,13,0),"")</f>
        <v>1w</v>
      </c>
      <c r="BC838" s="448" t="str">
        <f>_xlfn.IFNA(VLOOKUP($AP838,Programma!$F$3:$S$1101,14,0),"")</f>
        <v>1m</v>
      </c>
      <c r="BD838" s="448" t="str">
        <f>_xlfn.IFNA(VLOOKUP($AP838,Programma!$F$3:$T$1101,15,0),"")</f>
        <v>2j</v>
      </c>
      <c r="BE838" s="448" t="str">
        <f>_xlfn.IFNA(VLOOKUP($AP838,Programma!$F$3:$U$1101,16,0),"")</f>
        <v>1j</v>
      </c>
      <c r="BF838" s="448" t="str">
        <f>_xlfn.IFNA(VLOOKUP($AP838,Programma!$F$3:$V$1101,17,0),"")</f>
        <v>_</v>
      </c>
      <c r="BG838" s="448" t="str">
        <f>_xlfn.IFNA(VLOOKUP($AP838,Programma!$F$3:$W$1101,18,0),"")</f>
        <v>_</v>
      </c>
      <c r="BH838" s="448" t="str">
        <f>_xlfn.IFNA(VLOOKUP($AP838,Programma!$F$3:$X$1101,19,0),"")</f>
        <v>_</v>
      </c>
      <c r="BI838" s="448" t="str">
        <f>_xlfn.IFNA(VLOOKUP($AP838,Programma!$F$3:$Y$1101,20,0),"")</f>
        <v>_</v>
      </c>
      <c r="BJ838" s="449"/>
      <c r="BK838" s="446" t="str">
        <f>IF(Ruimtestaat[[#This Row],[Frequentie weekend]]="","",_xlfn.CONCAT(Ruimtestaat[[#This Row],[Ruimte code]],"-",Ruimtestaat[[#This Row],[Frequentie weekend]]," ",Ruimtestaat[[#This Row],[Vloer code]]))</f>
        <v/>
      </c>
      <c r="BL838" s="448" t="str">
        <f>_xlfn.IFNA(VLOOKUP($BK838,Programma!$F$3:$G$1101,2,0),"")</f>
        <v/>
      </c>
      <c r="BM838" s="448" t="str">
        <f>_xlfn.IFNA(VLOOKUP($BK838,Programma!$F$3:$H$1101,3,0),"")</f>
        <v/>
      </c>
      <c r="BN838" s="448" t="str">
        <f>_xlfn.IFNA(VLOOKUP($BK838,Programma!$F$3:$I$1101,4,0),"")</f>
        <v/>
      </c>
      <c r="BO838" s="448" t="str">
        <f>_xlfn.IFNA(VLOOKUP($BK838,Programma!$F$3:$J$1101,5,0),"")</f>
        <v/>
      </c>
      <c r="BP838" s="448" t="str">
        <f>_xlfn.IFNA(VLOOKUP($BK838,Programma!$F$3:$K$1101,6,0),"")</f>
        <v/>
      </c>
      <c r="BQ838" s="448" t="str">
        <f>_xlfn.IFNA(VLOOKUP($BK838,Programma!$F$3:$L$1101,7,0),"")</f>
        <v/>
      </c>
      <c r="BR838" s="448" t="str">
        <f>_xlfn.IFNA(VLOOKUP($BK838,Programma!$F$3:$M$1101,8,0),"")</f>
        <v/>
      </c>
      <c r="BS838" s="448" t="str">
        <f>_xlfn.IFNA(VLOOKUP($BK838,Programma!$F$3:$N$1101,9,0),"")</f>
        <v/>
      </c>
      <c r="BT838" s="448" t="str">
        <f>_xlfn.IFNA(VLOOKUP($BK838,Programma!$F$3:$O$1101,10,0),"")</f>
        <v/>
      </c>
      <c r="BU838" s="448" t="str">
        <f>_xlfn.IFNA(VLOOKUP($BK838,Programma!$F$3:$P$1101,11,0),"")</f>
        <v/>
      </c>
      <c r="BV838" s="448" t="str">
        <f>_xlfn.IFNA(VLOOKUP($BK838,Programma!$F$3:$Q$1101,12,0),"")</f>
        <v/>
      </c>
      <c r="BW838" s="448" t="str">
        <f>_xlfn.IFNA(VLOOKUP($BK838,Programma!$F$3:$R$1101,13,0),"")</f>
        <v/>
      </c>
      <c r="BX838" s="448" t="str">
        <f>_xlfn.IFNA(VLOOKUP($BK838,Programma!$F$3:$S$1101,14,0),"")</f>
        <v/>
      </c>
      <c r="BY838" s="448" t="str">
        <f>_xlfn.IFNA(VLOOKUP($BK838,Programma!$F$3:$T$1101,15,0),"")</f>
        <v/>
      </c>
      <c r="BZ838" s="448" t="str">
        <f>_xlfn.IFNA(VLOOKUP($BK838,Programma!$F$3:$U$1101,16,0),"")</f>
        <v/>
      </c>
      <c r="CA838" s="448" t="str">
        <f>_xlfn.IFNA(VLOOKUP($BK838,Programma!$F$3:$V$1101,17,0),"")</f>
        <v/>
      </c>
      <c r="CB838" s="448" t="str">
        <f>_xlfn.IFNA(VLOOKUP($BK838,Programma!$F$3:$W$1101,18,0),"")</f>
        <v/>
      </c>
      <c r="CC838" s="448" t="str">
        <f>_xlfn.IFNA(VLOOKUP($BK838,Programma!$F$3:$X$1101,19,0),"")</f>
        <v/>
      </c>
      <c r="CD838" s="448" t="str">
        <f>_xlfn.IFNA(VLOOKUP($BK838,Programma!$F$3:$Y$1101,20,0),"")</f>
        <v/>
      </c>
    </row>
    <row r="839" spans="1:82" ht="15" customHeight="1">
      <c r="A839" s="327">
        <v>24</v>
      </c>
      <c r="B839" s="435" t="str">
        <f>VLOOKUP(Ruimtestaat[[#This Row],[Code]],Locaties[[Code]:[Locatie]],2,FALSE)</f>
        <v>IKC De Gaerde</v>
      </c>
      <c r="C839" s="435" t="str">
        <f>VLOOKUP(Ruimtestaat[[#This Row],[Code]],Locaties[[#All],[Code]:[Adres]],4,FALSE)</f>
        <v>Moerbeigaarde 58A</v>
      </c>
      <c r="D839" s="435" t="str">
        <f>VLOOKUP(Ruimtestaat[[#This Row],[Code]],Locaties[[#All],[Code]:[Postcode]],5,FALSE)</f>
        <v>2723 AG</v>
      </c>
      <c r="E839" s="435" t="str">
        <f>VLOOKUP(Ruimtestaat[[#This Row],[Code]],Locaties[#All],6,FALSE)</f>
        <v>Zoetermeer</v>
      </c>
      <c r="F839" s="450"/>
      <c r="G839" s="330" t="s">
        <v>1769</v>
      </c>
      <c r="H839" s="330" t="s">
        <v>1933</v>
      </c>
      <c r="I839" s="450" t="s">
        <v>2041</v>
      </c>
      <c r="J839" s="330">
        <v>20</v>
      </c>
      <c r="K839" s="450" t="str">
        <f>VLOOKUP(Ruimtestaat[[#This Row],[Ruimte code]],Ruimtegroepen[[#All],[Code]:[Ruimte omschrijving]],2,FALSE)</f>
        <v>Niet in Onderhoud</v>
      </c>
      <c r="L839" s="330" t="s">
        <v>100</v>
      </c>
      <c r="M839" s="437" t="s">
        <v>2058</v>
      </c>
      <c r="N839" s="439"/>
      <c r="O839" s="439">
        <v>13.3</v>
      </c>
      <c r="P839" s="439"/>
      <c r="Q839" s="439"/>
      <c r="R839" s="440">
        <f>VLOOKUP(Ruimtestaat[[#This Row],[Ruimte code]],Ruimtegroepen[],4,FALSE)</f>
        <v>0</v>
      </c>
      <c r="S839" s="434"/>
      <c r="T839" s="434"/>
      <c r="U839" s="453">
        <f>IF(S839&gt;0,IF(RIGHT(Ruimtestaat[[#This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39" s="434">
        <f>IF(U839&gt;0,VLOOKUP($J839,Ruimtegroepen[],3,FALSE)*VLOOKUP($L839,Vloersoorten[],3,FALSE)*VLOOKUP($T839,Frequenties[],3,FALSE)*VLOOKUP($A839,Locaties[],3,FALSE),0)</f>
        <v>0</v>
      </c>
      <c r="W839" s="434">
        <f>Ruimtestaat[[#This Row],[Uitvoeringen werkdagen]]*Ruimtestaat[[#This Row],[Oppervlak (netto)]]</f>
        <v>0</v>
      </c>
      <c r="X839" s="441">
        <f>IF(V839&gt;0,Ruimtestaat[[#This Row],[Prest. (m2 /jaar) werkdagen]]/Ruimtestaat[[#This Row],[Norm (m2/uur) werkdagen]],0)</f>
        <v>0</v>
      </c>
      <c r="Y839" s="442">
        <f>Ruimtestaat[[#This Row],[Uitvoeringen werkdagen]]*Ruimtestaat[[#This Row],[Gedeeltelijk]]</f>
        <v>0</v>
      </c>
      <c r="Z839" s="443">
        <f>IF(U839&gt;0,Ruimtestaat[[#This Row],[Prest. (m2 / jaar) werkdagen gedeeld]]/Ruimtestaat[[#This Row],[Norm (m2/uur) werkdagen]],0)</f>
        <v>0</v>
      </c>
      <c r="AA839" s="441">
        <f>Ruimtestaat[[#This Row],[uren / jaar werkdagen gedeeld]]*Tariefsopbouw!$E$35</f>
        <v>0</v>
      </c>
      <c r="AB839" s="441">
        <f>Ruimtestaat[[#This Row],[Uitvoeringen werkdagen]]*Ruimtestaat[[#This Row],[BSO]]</f>
        <v>0</v>
      </c>
      <c r="AC839" s="443">
        <f>IF(U839&gt;0,Ruimtestaat[[#This Row],[Prest. (m2 / jaar) werkdagen BSO]]/Ruimtestaat[[#This Row],[Norm (m2/uur) werkdagen]],0)</f>
        <v>0</v>
      </c>
      <c r="AD839" s="443">
        <f>Ruimtestaat[[#This Row],[uren / jaar werkdagen BSO]]*Tariefsopbouw!$E$35</f>
        <v>0</v>
      </c>
      <c r="AE839" s="444">
        <f>Ruimtestaat[[#This Row],[uren / jaar werkdagen]]*Tariefsopbouw!$E$35</f>
        <v>0</v>
      </c>
      <c r="AF839" s="454"/>
      <c r="AG839" s="455">
        <f>IF(Ruimtestaat[[#This Row],[Frequentie weekend]]&gt;0,VALUE(LEFT(AF839,1))*S839,0)</f>
        <v>0</v>
      </c>
      <c r="AH839" s="455">
        <f>IF($AG839&gt;0,VLOOKUP($J839,Ruimtegroepen[],3,FALSE)*VLOOKUP($L839,Vloersoorten[],3,FALSE)*VLOOKUP($AF839,Frequenties[],3,FALSE)*VLOOKUP(#REF!,Locaties[],3,FALSE),0)</f>
        <v>0</v>
      </c>
      <c r="AI839" s="434">
        <f>Ruimtestaat[[#This Row],[Uitvoeringen weekend]]*Ruimtestaat[[#This Row],[Oppervlak (netto)]]</f>
        <v>0</v>
      </c>
      <c r="AJ839" s="434">
        <f>IF(AH839&gt;0,Ruimtestaat[[#This Row],[Prest. (m2 /jaar) weekend]]/Ruimtestaat[[#This Row],[Norm (m2/uur) weekend]],0)</f>
        <v>0</v>
      </c>
      <c r="AK839" s="444">
        <f>Ruimtestaat[[#This Row],[uren / jaar weekend]]*Tariefsopbouw!$D$40</f>
        <v>0</v>
      </c>
      <c r="AL839" s="441">
        <f>Ruimtestaat[[#This Row],[Prest. (m2 /jaar) weekend]]+Ruimtestaat[[#This Row],[Prest. (m2 /jaar) werkdagen]]</f>
        <v>0</v>
      </c>
      <c r="AM839" s="441">
        <f>Ruimtestaat[[#This Row],[uren / jaar weekend]]+Ruimtestaat[[#This Row],[uren / jaar werkdagen]]</f>
        <v>0</v>
      </c>
      <c r="AN839" s="446">
        <f>Ruimtestaat[[#This Row],[kosten / jaar weekend]]+Ruimtestaat[[#This Row],[kosten / jaar werkdagen]]</f>
        <v>0</v>
      </c>
      <c r="AO839" s="446"/>
      <c r="AP839" s="446" t="str">
        <f>IF(Ruimtestaat[[#This Row],[Frequentie werkdagen]]="","",_xlfn.CONCAT(Ruimtestaat[[#This Row],[Ruimte code]],"-",Ruimtestaat[[#This Row],[Frequentie werkdagen]]," ",Ruimtestaat[[#This Row],[Vloer code]]))</f>
        <v/>
      </c>
      <c r="AQ839" s="448" t="str">
        <f>_xlfn.IFNA(VLOOKUP($AP839,Programma!$F$3:$G$1101,2,0),"")</f>
        <v/>
      </c>
      <c r="AR839" s="448" t="str">
        <f>_xlfn.IFNA(VLOOKUP($AP839,Programma!$F$3:$H$1101,3,0),"")</f>
        <v/>
      </c>
      <c r="AS839" s="448" t="str">
        <f>_xlfn.IFNA(VLOOKUP($AP839,Programma!$F$3:$I$1101,4,0),"")</f>
        <v/>
      </c>
      <c r="AT839" s="448" t="str">
        <f>_xlfn.IFNA(VLOOKUP($AP839,Programma!$F$3:$J$1101,5,0),"")</f>
        <v/>
      </c>
      <c r="AU839" s="448" t="str">
        <f>_xlfn.IFNA(VLOOKUP($AP839,Programma!$F$3:$K$1101,6,0),"")</f>
        <v/>
      </c>
      <c r="AV839" s="448" t="str">
        <f>_xlfn.IFNA(VLOOKUP($AP839,Programma!$F$3:$L$1101,7,0),"")</f>
        <v/>
      </c>
      <c r="AW839" s="448" t="str">
        <f>_xlfn.IFNA(VLOOKUP($AP839,Programma!$F$3:$M$1101,8,0),"")</f>
        <v/>
      </c>
      <c r="AX839" s="448" t="str">
        <f>_xlfn.IFNA(VLOOKUP($AP839,Programma!$F$3:$N$1101,9,0),"")</f>
        <v/>
      </c>
      <c r="AY839" s="448" t="str">
        <f>_xlfn.IFNA(VLOOKUP($AP839,Programma!$F$3:$O$1101,10,0),"")</f>
        <v/>
      </c>
      <c r="AZ839" s="448" t="str">
        <f>_xlfn.IFNA(VLOOKUP($AP839,Programma!$F$3:$P$1101,11,0),"")</f>
        <v/>
      </c>
      <c r="BA839" s="448" t="str">
        <f>_xlfn.IFNA(VLOOKUP($AP839,Programma!$F$3:$Q$1101,12,0),"")</f>
        <v/>
      </c>
      <c r="BB839" s="448" t="str">
        <f>_xlfn.IFNA(VLOOKUP($AP839,Programma!$F$3:$R$1101,13,0),"")</f>
        <v/>
      </c>
      <c r="BC839" s="448" t="str">
        <f>_xlfn.IFNA(VLOOKUP($AP839,Programma!$F$3:$S$1101,14,0),"")</f>
        <v/>
      </c>
      <c r="BD839" s="448" t="str">
        <f>_xlfn.IFNA(VLOOKUP($AP839,Programma!$F$3:$T$1101,15,0),"")</f>
        <v/>
      </c>
      <c r="BE839" s="448" t="str">
        <f>_xlfn.IFNA(VLOOKUP($AP839,Programma!$F$3:$U$1101,16,0),"")</f>
        <v/>
      </c>
      <c r="BF839" s="448" t="str">
        <f>_xlfn.IFNA(VLOOKUP($AP839,Programma!$F$3:$V$1101,17,0),"")</f>
        <v/>
      </c>
      <c r="BG839" s="448" t="str">
        <f>_xlfn.IFNA(VLOOKUP($AP839,Programma!$F$3:$W$1101,18,0),"")</f>
        <v/>
      </c>
      <c r="BH839" s="448" t="str">
        <f>_xlfn.IFNA(VLOOKUP($AP839,Programma!$F$3:$X$1101,19,0),"")</f>
        <v/>
      </c>
      <c r="BI839" s="448" t="str">
        <f>_xlfn.IFNA(VLOOKUP($AP839,Programma!$F$3:$Y$1101,20,0),"")</f>
        <v/>
      </c>
      <c r="BJ839" s="449"/>
      <c r="BK839" s="446" t="str">
        <f>IF(Ruimtestaat[[#This Row],[Frequentie weekend]]="","",_xlfn.CONCAT(Ruimtestaat[[#This Row],[Ruimte code]],"-",Ruimtestaat[[#This Row],[Frequentie weekend]]," ",Ruimtestaat[[#This Row],[Vloer code]]))</f>
        <v/>
      </c>
      <c r="BL839" s="448" t="str">
        <f>_xlfn.IFNA(VLOOKUP($BK839,Programma!$F$3:$G$1101,2,0),"")</f>
        <v/>
      </c>
      <c r="BM839" s="448" t="str">
        <f>_xlfn.IFNA(VLOOKUP($BK839,Programma!$F$3:$H$1101,3,0),"")</f>
        <v/>
      </c>
      <c r="BN839" s="448" t="str">
        <f>_xlfn.IFNA(VLOOKUP($BK839,Programma!$F$3:$I$1101,4,0),"")</f>
        <v/>
      </c>
      <c r="BO839" s="448" t="str">
        <f>_xlfn.IFNA(VLOOKUP($BK839,Programma!$F$3:$J$1101,5,0),"")</f>
        <v/>
      </c>
      <c r="BP839" s="448" t="str">
        <f>_xlfn.IFNA(VLOOKUP($BK839,Programma!$F$3:$K$1101,6,0),"")</f>
        <v/>
      </c>
      <c r="BQ839" s="448" t="str">
        <f>_xlfn.IFNA(VLOOKUP($BK839,Programma!$F$3:$L$1101,7,0),"")</f>
        <v/>
      </c>
      <c r="BR839" s="448" t="str">
        <f>_xlfn.IFNA(VLOOKUP($BK839,Programma!$F$3:$M$1101,8,0),"")</f>
        <v/>
      </c>
      <c r="BS839" s="448" t="str">
        <f>_xlfn.IFNA(VLOOKUP($BK839,Programma!$F$3:$N$1101,9,0),"")</f>
        <v/>
      </c>
      <c r="BT839" s="448" t="str">
        <f>_xlfn.IFNA(VLOOKUP($BK839,Programma!$F$3:$O$1101,10,0),"")</f>
        <v/>
      </c>
      <c r="BU839" s="448" t="str">
        <f>_xlfn.IFNA(VLOOKUP($BK839,Programma!$F$3:$P$1101,11,0),"")</f>
        <v/>
      </c>
      <c r="BV839" s="448" t="str">
        <f>_xlfn.IFNA(VLOOKUP($BK839,Programma!$F$3:$Q$1101,12,0),"")</f>
        <v/>
      </c>
      <c r="BW839" s="448" t="str">
        <f>_xlfn.IFNA(VLOOKUP($BK839,Programma!$F$3:$R$1101,13,0),"")</f>
        <v/>
      </c>
      <c r="BX839" s="448" t="str">
        <f>_xlfn.IFNA(VLOOKUP($BK839,Programma!$F$3:$S$1101,14,0),"")</f>
        <v/>
      </c>
      <c r="BY839" s="448" t="str">
        <f>_xlfn.IFNA(VLOOKUP($BK839,Programma!$F$3:$T$1101,15,0),"")</f>
        <v/>
      </c>
      <c r="BZ839" s="448" t="str">
        <f>_xlfn.IFNA(VLOOKUP($BK839,Programma!$F$3:$U$1101,16,0),"")</f>
        <v/>
      </c>
      <c r="CA839" s="448" t="str">
        <f>_xlfn.IFNA(VLOOKUP($BK839,Programma!$F$3:$V$1101,17,0),"")</f>
        <v/>
      </c>
      <c r="CB839" s="448" t="str">
        <f>_xlfn.IFNA(VLOOKUP($BK839,Programma!$F$3:$W$1101,18,0),"")</f>
        <v/>
      </c>
      <c r="CC839" s="448" t="str">
        <f>_xlfn.IFNA(VLOOKUP($BK839,Programma!$F$3:$X$1101,19,0),"")</f>
        <v/>
      </c>
      <c r="CD839" s="448" t="str">
        <f>_xlfn.IFNA(VLOOKUP($BK839,Programma!$F$3:$Y$1101,20,0),"")</f>
        <v/>
      </c>
    </row>
    <row r="840" spans="1:82" ht="15" customHeight="1">
      <c r="A840" s="327">
        <v>24</v>
      </c>
      <c r="B840" s="435" t="str">
        <f>VLOOKUP(Ruimtestaat[[#This Row],[Code]],Locaties[[Code]:[Locatie]],2,FALSE)</f>
        <v>IKC De Gaerde</v>
      </c>
      <c r="C840" s="435" t="str">
        <f>VLOOKUP(Ruimtestaat[[#This Row],[Code]],Locaties[[#All],[Code]:[Adres]],4,FALSE)</f>
        <v>Moerbeigaarde 58A</v>
      </c>
      <c r="D840" s="435" t="str">
        <f>VLOOKUP(Ruimtestaat[[#This Row],[Code]],Locaties[[#All],[Code]:[Postcode]],5,FALSE)</f>
        <v>2723 AG</v>
      </c>
      <c r="E840" s="435" t="str">
        <f>VLOOKUP(Ruimtestaat[[#This Row],[Code]],Locaties[#All],6,FALSE)</f>
        <v>Zoetermeer</v>
      </c>
      <c r="F840" s="450"/>
      <c r="G840" s="330" t="s">
        <v>1769</v>
      </c>
      <c r="H840" s="330" t="s">
        <v>2042</v>
      </c>
      <c r="I840" s="450" t="s">
        <v>1720</v>
      </c>
      <c r="J840" s="330">
        <v>5</v>
      </c>
      <c r="K840" s="450" t="str">
        <f>VLOOKUP(Ruimtestaat[[#This Row],[Ruimte code]],Ruimtegroepen[[#All],[Code]:[Ruimte omschrijving]],2,FALSE)</f>
        <v>Sanitair</v>
      </c>
      <c r="L840" s="330" t="s">
        <v>101</v>
      </c>
      <c r="M840" s="437" t="s">
        <v>1816</v>
      </c>
      <c r="N840" s="439">
        <v>2.5</v>
      </c>
      <c r="O840" s="439"/>
      <c r="P840" s="439"/>
      <c r="Q840" s="439"/>
      <c r="R840" s="440" t="str">
        <f>VLOOKUP(Ruimtestaat[[#This Row],[Ruimte code]],Ruimtegroepen[],4,FALSE)</f>
        <v>Sa</v>
      </c>
      <c r="S840" s="434">
        <v>41</v>
      </c>
      <c r="T840" s="434" t="s">
        <v>2</v>
      </c>
      <c r="U840" s="453">
        <f>IF(S840&gt;0,IF(RIGHT(Ruimtestaat[[#This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40" s="434">
        <f>IF(U840&gt;0,VLOOKUP($J840,Ruimtegroepen[],3,FALSE)*VLOOKUP($L840,Vloersoorten[],3,FALSE)*VLOOKUP($T840,Frequenties[],3,FALSE)*VLOOKUP($A840,Locaties[],3,FALSE),0)</f>
        <v>0</v>
      </c>
      <c r="W840" s="434">
        <f>Ruimtestaat[[#This Row],[Uitvoeringen werkdagen]]*Ruimtestaat[[#This Row],[Oppervlak (netto)]]</f>
        <v>512.5</v>
      </c>
      <c r="X840" s="441">
        <f>IF(V840&gt;0,Ruimtestaat[[#This Row],[Prest. (m2 /jaar) werkdagen]]/Ruimtestaat[[#This Row],[Norm (m2/uur) werkdagen]],0)</f>
        <v>0</v>
      </c>
      <c r="Y840" s="442">
        <f>Ruimtestaat[[#This Row],[Uitvoeringen werkdagen]]*Ruimtestaat[[#This Row],[Gedeeltelijk]]</f>
        <v>0</v>
      </c>
      <c r="Z840" s="443" t="e">
        <f>IF(U840&gt;0,Ruimtestaat[[#This Row],[Prest. (m2 / jaar) werkdagen gedeeld]]/Ruimtestaat[[#This Row],[Norm (m2/uur) werkdagen]],0)</f>
        <v>#DIV/0!</v>
      </c>
      <c r="AA840" s="441" t="e">
        <f>Ruimtestaat[[#This Row],[uren / jaar werkdagen gedeeld]]*Tariefsopbouw!$E$35</f>
        <v>#DIV/0!</v>
      </c>
      <c r="AB840" s="441">
        <f>Ruimtestaat[[#This Row],[Uitvoeringen werkdagen]]*Ruimtestaat[[#This Row],[BSO]]</f>
        <v>0</v>
      </c>
      <c r="AC840" s="443" t="e">
        <f>IF(U840&gt;0,Ruimtestaat[[#This Row],[Prest. (m2 / jaar) werkdagen BSO]]/Ruimtestaat[[#This Row],[Norm (m2/uur) werkdagen]],0)</f>
        <v>#DIV/0!</v>
      </c>
      <c r="AD840" s="443" t="e">
        <f>Ruimtestaat[[#This Row],[uren / jaar werkdagen BSO]]*Tariefsopbouw!$E$35</f>
        <v>#DIV/0!</v>
      </c>
      <c r="AE840" s="444">
        <f>Ruimtestaat[[#This Row],[uren / jaar werkdagen]]*Tariefsopbouw!$E$35</f>
        <v>0</v>
      </c>
      <c r="AF840" s="454"/>
      <c r="AG840" s="455">
        <f>IF(Ruimtestaat[[#This Row],[Frequentie weekend]]&gt;0,VALUE(LEFT(AF840,1))*S840,0)</f>
        <v>0</v>
      </c>
      <c r="AH840" s="455">
        <f>IF($AG840&gt;0,VLOOKUP($J840,Ruimtegroepen[],3,FALSE)*VLOOKUP($L840,Vloersoorten[],3,FALSE)*VLOOKUP($AF840,Frequenties[],3,FALSE)*VLOOKUP(#REF!,Locaties[],3,FALSE),0)</f>
        <v>0</v>
      </c>
      <c r="AI840" s="434">
        <f>Ruimtestaat[[#This Row],[Uitvoeringen weekend]]*Ruimtestaat[[#This Row],[Oppervlak (netto)]]</f>
        <v>0</v>
      </c>
      <c r="AJ840" s="434">
        <f>IF(AH840&gt;0,Ruimtestaat[[#This Row],[Prest. (m2 /jaar) weekend]]/Ruimtestaat[[#This Row],[Norm (m2/uur) weekend]],0)</f>
        <v>0</v>
      </c>
      <c r="AK840" s="444">
        <f>Ruimtestaat[[#This Row],[uren / jaar weekend]]*Tariefsopbouw!$D$40</f>
        <v>0</v>
      </c>
      <c r="AL840" s="441">
        <f>Ruimtestaat[[#This Row],[Prest. (m2 /jaar) weekend]]+Ruimtestaat[[#This Row],[Prest. (m2 /jaar) werkdagen]]</f>
        <v>512.5</v>
      </c>
      <c r="AM840" s="441">
        <f>Ruimtestaat[[#This Row],[uren / jaar weekend]]+Ruimtestaat[[#This Row],[uren / jaar werkdagen]]</f>
        <v>0</v>
      </c>
      <c r="AN840" s="446">
        <f>Ruimtestaat[[#This Row],[kosten / jaar weekend]]+Ruimtestaat[[#This Row],[kosten / jaar werkdagen]]</f>
        <v>0</v>
      </c>
      <c r="AO840" s="446"/>
      <c r="AP840" s="446" t="str">
        <f>IF(Ruimtestaat[[#This Row],[Frequentie werkdagen]]="","",_xlfn.CONCAT(Ruimtestaat[[#This Row],[Ruimte code]],"-",Ruimtestaat[[#This Row],[Frequentie werkdagen]]," ",Ruimtestaat[[#This Row],[Vloer code]]))</f>
        <v>5-5w S</v>
      </c>
      <c r="AQ840" s="448" t="str">
        <f>_xlfn.IFNA(VLOOKUP($AP840,Programma!$F$3:$G$1101,2,0),"")</f>
        <v>_</v>
      </c>
      <c r="AR840" s="448" t="str">
        <f>_xlfn.IFNA(VLOOKUP($AP840,Programma!$F$3:$H$1101,3,0),"")</f>
        <v>_</v>
      </c>
      <c r="AS840" s="448" t="str">
        <f>_xlfn.IFNA(VLOOKUP($AP840,Programma!$F$3:$I$1101,4,0),"")</f>
        <v>_</v>
      </c>
      <c r="AT840" s="448" t="str">
        <f>_xlfn.IFNA(VLOOKUP($AP840,Programma!$F$3:$J$1101,5,0),"")</f>
        <v>4w</v>
      </c>
      <c r="AU840" s="448" t="str">
        <f>_xlfn.IFNA(VLOOKUP($AP840,Programma!$F$3:$K$1101,6,0),"")</f>
        <v>1w</v>
      </c>
      <c r="AV840" s="448" t="str">
        <f>_xlfn.IFNA(VLOOKUP($AP840,Programma!$F$3:$L$1101,7,0),"")</f>
        <v>_</v>
      </c>
      <c r="AW840" s="448" t="str">
        <f>_xlfn.IFNA(VLOOKUP($AP840,Programma!$F$3:$M$1101,8,0),"")</f>
        <v>_</v>
      </c>
      <c r="AX840" s="448" t="str">
        <f>_xlfn.IFNA(VLOOKUP($AP840,Programma!$F$3:$N$1101,9,0),"")</f>
        <v>_</v>
      </c>
      <c r="AY840" s="448" t="str">
        <f>_xlfn.IFNA(VLOOKUP($AP840,Programma!$F$3:$O$1101,10,0),"")</f>
        <v>_</v>
      </c>
      <c r="AZ840" s="448" t="str">
        <f>_xlfn.IFNA(VLOOKUP($AP840,Programma!$F$3:$P$1101,11,0),"")</f>
        <v>_</v>
      </c>
      <c r="BA840" s="448" t="str">
        <f>_xlfn.IFNA(VLOOKUP($AP840,Programma!$F$3:$Q$1101,12,0),"")</f>
        <v>_</v>
      </c>
      <c r="BB840" s="448" t="str">
        <f>_xlfn.IFNA(VLOOKUP($AP840,Programma!$F$3:$R$1101,13,0),"")</f>
        <v>_</v>
      </c>
      <c r="BC840" s="448" t="str">
        <f>_xlfn.IFNA(VLOOKUP($AP840,Programma!$F$3:$S$1101,14,0),"")</f>
        <v>_</v>
      </c>
      <c r="BD840" s="448" t="str">
        <f>_xlfn.IFNA(VLOOKUP($AP840,Programma!$F$3:$T$1101,15,0),"")</f>
        <v>_</v>
      </c>
      <c r="BE840" s="448" t="str">
        <f>_xlfn.IFNA(VLOOKUP($AP840,Programma!$F$3:$U$1101,16,0),"")</f>
        <v>_</v>
      </c>
      <c r="BF840" s="448" t="str">
        <f>_xlfn.IFNA(VLOOKUP($AP840,Programma!$F$3:$V$1101,17,0),"")</f>
        <v>_</v>
      </c>
      <c r="BG840" s="448" t="str">
        <f>_xlfn.IFNA(VLOOKUP($AP840,Programma!$F$3:$W$1101,18,0),"")</f>
        <v>4w</v>
      </c>
      <c r="BH840" s="448" t="str">
        <f>_xlfn.IFNA(VLOOKUP($AP840,Programma!$F$3:$X$1101,19,0),"")</f>
        <v>1w</v>
      </c>
      <c r="BI840" s="448" t="str">
        <f>_xlfn.IFNA(VLOOKUP($AP840,Programma!$F$3:$Y$1101,20,0),"")</f>
        <v>_</v>
      </c>
      <c r="BJ840" s="449"/>
      <c r="BK840" s="446" t="str">
        <f>IF(Ruimtestaat[[#This Row],[Frequentie weekend]]="","",_xlfn.CONCAT(Ruimtestaat[[#This Row],[Ruimte code]],"-",Ruimtestaat[[#This Row],[Frequentie weekend]]," ",Ruimtestaat[[#This Row],[Vloer code]]))</f>
        <v/>
      </c>
      <c r="BL840" s="448" t="str">
        <f>_xlfn.IFNA(VLOOKUP($BK840,Programma!$F$3:$G$1101,2,0),"")</f>
        <v/>
      </c>
      <c r="BM840" s="448" t="str">
        <f>_xlfn.IFNA(VLOOKUP($BK840,Programma!$F$3:$H$1101,3,0),"")</f>
        <v/>
      </c>
      <c r="BN840" s="448" t="str">
        <f>_xlfn.IFNA(VLOOKUP($BK840,Programma!$F$3:$I$1101,4,0),"")</f>
        <v/>
      </c>
      <c r="BO840" s="448" t="str">
        <f>_xlfn.IFNA(VLOOKUP($BK840,Programma!$F$3:$J$1101,5,0),"")</f>
        <v/>
      </c>
      <c r="BP840" s="448" t="str">
        <f>_xlfn.IFNA(VLOOKUP($BK840,Programma!$F$3:$K$1101,6,0),"")</f>
        <v/>
      </c>
      <c r="BQ840" s="448" t="str">
        <f>_xlfn.IFNA(VLOOKUP($BK840,Programma!$F$3:$L$1101,7,0),"")</f>
        <v/>
      </c>
      <c r="BR840" s="448" t="str">
        <f>_xlfn.IFNA(VLOOKUP($BK840,Programma!$F$3:$M$1101,8,0),"")</f>
        <v/>
      </c>
      <c r="BS840" s="448" t="str">
        <f>_xlfn.IFNA(VLOOKUP($BK840,Programma!$F$3:$N$1101,9,0),"")</f>
        <v/>
      </c>
      <c r="BT840" s="448" t="str">
        <f>_xlfn.IFNA(VLOOKUP($BK840,Programma!$F$3:$O$1101,10,0),"")</f>
        <v/>
      </c>
      <c r="BU840" s="448" t="str">
        <f>_xlfn.IFNA(VLOOKUP($BK840,Programma!$F$3:$P$1101,11,0),"")</f>
        <v/>
      </c>
      <c r="BV840" s="448" t="str">
        <f>_xlfn.IFNA(VLOOKUP($BK840,Programma!$F$3:$Q$1101,12,0),"")</f>
        <v/>
      </c>
      <c r="BW840" s="448" t="str">
        <f>_xlfn.IFNA(VLOOKUP($BK840,Programma!$F$3:$R$1101,13,0),"")</f>
        <v/>
      </c>
      <c r="BX840" s="448" t="str">
        <f>_xlfn.IFNA(VLOOKUP($BK840,Programma!$F$3:$S$1101,14,0),"")</f>
        <v/>
      </c>
      <c r="BY840" s="448" t="str">
        <f>_xlfn.IFNA(VLOOKUP($BK840,Programma!$F$3:$T$1101,15,0),"")</f>
        <v/>
      </c>
      <c r="BZ840" s="448" t="str">
        <f>_xlfn.IFNA(VLOOKUP($BK840,Programma!$F$3:$U$1101,16,0),"")</f>
        <v/>
      </c>
      <c r="CA840" s="448" t="str">
        <f>_xlfn.IFNA(VLOOKUP($BK840,Programma!$F$3:$V$1101,17,0),"")</f>
        <v/>
      </c>
      <c r="CB840" s="448" t="str">
        <f>_xlfn.IFNA(VLOOKUP($BK840,Programma!$F$3:$W$1101,18,0),"")</f>
        <v/>
      </c>
      <c r="CC840" s="448" t="str">
        <f>_xlfn.IFNA(VLOOKUP($BK840,Programma!$F$3:$X$1101,19,0),"")</f>
        <v/>
      </c>
      <c r="CD840" s="448" t="str">
        <f>_xlfn.IFNA(VLOOKUP($BK840,Programma!$F$3:$Y$1101,20,0),"")</f>
        <v/>
      </c>
    </row>
    <row r="841" spans="1:82" ht="15" customHeight="1">
      <c r="A841" s="327">
        <v>24</v>
      </c>
      <c r="B841" s="435" t="str">
        <f>VLOOKUP(Ruimtestaat[[#This Row],[Code]],Locaties[[Code]:[Locatie]],2,FALSE)</f>
        <v>IKC De Gaerde</v>
      </c>
      <c r="C841" s="435" t="str">
        <f>VLOOKUP(Ruimtestaat[[#This Row],[Code]],Locaties[[#All],[Code]:[Adres]],4,FALSE)</f>
        <v>Moerbeigaarde 58A</v>
      </c>
      <c r="D841" s="435" t="str">
        <f>VLOOKUP(Ruimtestaat[[#This Row],[Code]],Locaties[[#All],[Code]:[Postcode]],5,FALSE)</f>
        <v>2723 AG</v>
      </c>
      <c r="E841" s="435" t="str">
        <f>VLOOKUP(Ruimtestaat[[#This Row],[Code]],Locaties[#All],6,FALSE)</f>
        <v>Zoetermeer</v>
      </c>
      <c r="F841" s="450"/>
      <c r="G841" s="330" t="s">
        <v>1769</v>
      </c>
      <c r="H841" s="330" t="s">
        <v>2043</v>
      </c>
      <c r="I841" s="450" t="s">
        <v>2044</v>
      </c>
      <c r="J841" s="330">
        <v>20</v>
      </c>
      <c r="K841" s="450" t="str">
        <f>VLOOKUP(Ruimtestaat[[#This Row],[Ruimte code]],Ruimtegroepen[[#All],[Code]:[Ruimte omschrijving]],2,FALSE)</f>
        <v>Niet in Onderhoud</v>
      </c>
      <c r="L841" s="330" t="s">
        <v>100</v>
      </c>
      <c r="M841" s="437" t="s">
        <v>2058</v>
      </c>
      <c r="N841" s="439"/>
      <c r="O841" s="439">
        <v>1.9</v>
      </c>
      <c r="P841" s="439"/>
      <c r="Q841" s="439"/>
      <c r="R841" s="440">
        <f>VLOOKUP(Ruimtestaat[[#This Row],[Ruimte code]],Ruimtegroepen[],4,FALSE)</f>
        <v>0</v>
      </c>
      <c r="S841" s="434"/>
      <c r="T841" s="434"/>
      <c r="U841" s="453">
        <f>IF(S841&gt;0,IF(RIGHT(Ruimtestaat[[#This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41" s="434">
        <f>IF(U841&gt;0,VLOOKUP($J841,Ruimtegroepen[],3,FALSE)*VLOOKUP($L841,Vloersoorten[],3,FALSE)*VLOOKUP($T841,Frequenties[],3,FALSE)*VLOOKUP($A841,Locaties[],3,FALSE),0)</f>
        <v>0</v>
      </c>
      <c r="W841" s="434">
        <f>Ruimtestaat[[#This Row],[Uitvoeringen werkdagen]]*Ruimtestaat[[#This Row],[Oppervlak (netto)]]</f>
        <v>0</v>
      </c>
      <c r="X841" s="441">
        <f>IF(V841&gt;0,Ruimtestaat[[#This Row],[Prest. (m2 /jaar) werkdagen]]/Ruimtestaat[[#This Row],[Norm (m2/uur) werkdagen]],0)</f>
        <v>0</v>
      </c>
      <c r="Y841" s="442">
        <f>Ruimtestaat[[#This Row],[Uitvoeringen werkdagen]]*Ruimtestaat[[#This Row],[Gedeeltelijk]]</f>
        <v>0</v>
      </c>
      <c r="Z841" s="443">
        <f>IF(U841&gt;0,Ruimtestaat[[#This Row],[Prest. (m2 / jaar) werkdagen gedeeld]]/Ruimtestaat[[#This Row],[Norm (m2/uur) werkdagen]],0)</f>
        <v>0</v>
      </c>
      <c r="AA841" s="441">
        <f>Ruimtestaat[[#This Row],[uren / jaar werkdagen gedeeld]]*Tariefsopbouw!$E$35</f>
        <v>0</v>
      </c>
      <c r="AB841" s="441">
        <f>Ruimtestaat[[#This Row],[Uitvoeringen werkdagen]]*Ruimtestaat[[#This Row],[BSO]]</f>
        <v>0</v>
      </c>
      <c r="AC841" s="443">
        <f>IF(U841&gt;0,Ruimtestaat[[#This Row],[Prest. (m2 / jaar) werkdagen BSO]]/Ruimtestaat[[#This Row],[Norm (m2/uur) werkdagen]],0)</f>
        <v>0</v>
      </c>
      <c r="AD841" s="443">
        <f>Ruimtestaat[[#This Row],[uren / jaar werkdagen BSO]]*Tariefsopbouw!$E$35</f>
        <v>0</v>
      </c>
      <c r="AE841" s="444">
        <f>Ruimtestaat[[#This Row],[uren / jaar werkdagen]]*Tariefsopbouw!$E$35</f>
        <v>0</v>
      </c>
      <c r="AF841" s="454"/>
      <c r="AG841" s="455">
        <f>IF(Ruimtestaat[[#This Row],[Frequentie weekend]]&gt;0,VALUE(LEFT(AF841,1))*S841,0)</f>
        <v>0</v>
      </c>
      <c r="AH841" s="455">
        <f>IF($AG841&gt;0,VLOOKUP($J841,Ruimtegroepen[],3,FALSE)*VLOOKUP($L841,Vloersoorten[],3,FALSE)*VLOOKUP($AF841,Frequenties[],3,FALSE)*VLOOKUP(#REF!,Locaties[],3,FALSE),0)</f>
        <v>0</v>
      </c>
      <c r="AI841" s="434">
        <f>Ruimtestaat[[#This Row],[Uitvoeringen weekend]]*Ruimtestaat[[#This Row],[Oppervlak (netto)]]</f>
        <v>0</v>
      </c>
      <c r="AJ841" s="434">
        <f>IF(AH841&gt;0,Ruimtestaat[[#This Row],[Prest. (m2 /jaar) weekend]]/Ruimtestaat[[#This Row],[Norm (m2/uur) weekend]],0)</f>
        <v>0</v>
      </c>
      <c r="AK841" s="444">
        <f>Ruimtestaat[[#This Row],[uren / jaar weekend]]*Tariefsopbouw!$D$40</f>
        <v>0</v>
      </c>
      <c r="AL841" s="441">
        <f>Ruimtestaat[[#This Row],[Prest. (m2 /jaar) weekend]]+Ruimtestaat[[#This Row],[Prest. (m2 /jaar) werkdagen]]</f>
        <v>0</v>
      </c>
      <c r="AM841" s="441">
        <f>Ruimtestaat[[#This Row],[uren / jaar weekend]]+Ruimtestaat[[#This Row],[uren / jaar werkdagen]]</f>
        <v>0</v>
      </c>
      <c r="AN841" s="446">
        <f>Ruimtestaat[[#This Row],[kosten / jaar weekend]]+Ruimtestaat[[#This Row],[kosten / jaar werkdagen]]</f>
        <v>0</v>
      </c>
      <c r="AO841" s="446"/>
      <c r="AP841" s="446" t="str">
        <f>IF(Ruimtestaat[[#This Row],[Frequentie werkdagen]]="","",_xlfn.CONCAT(Ruimtestaat[[#This Row],[Ruimte code]],"-",Ruimtestaat[[#This Row],[Frequentie werkdagen]]," ",Ruimtestaat[[#This Row],[Vloer code]]))</f>
        <v/>
      </c>
      <c r="AQ841" s="448" t="str">
        <f>_xlfn.IFNA(VLOOKUP($AP841,Programma!$F$3:$G$1101,2,0),"")</f>
        <v/>
      </c>
      <c r="AR841" s="448" t="str">
        <f>_xlfn.IFNA(VLOOKUP($AP841,Programma!$F$3:$H$1101,3,0),"")</f>
        <v/>
      </c>
      <c r="AS841" s="448" t="str">
        <f>_xlfn.IFNA(VLOOKUP($AP841,Programma!$F$3:$I$1101,4,0),"")</f>
        <v/>
      </c>
      <c r="AT841" s="448" t="str">
        <f>_xlfn.IFNA(VLOOKUP($AP841,Programma!$F$3:$J$1101,5,0),"")</f>
        <v/>
      </c>
      <c r="AU841" s="448" t="str">
        <f>_xlfn.IFNA(VLOOKUP($AP841,Programma!$F$3:$K$1101,6,0),"")</f>
        <v/>
      </c>
      <c r="AV841" s="448" t="str">
        <f>_xlfn.IFNA(VLOOKUP($AP841,Programma!$F$3:$L$1101,7,0),"")</f>
        <v/>
      </c>
      <c r="AW841" s="448" t="str">
        <f>_xlfn.IFNA(VLOOKUP($AP841,Programma!$F$3:$M$1101,8,0),"")</f>
        <v/>
      </c>
      <c r="AX841" s="448" t="str">
        <f>_xlfn.IFNA(VLOOKUP($AP841,Programma!$F$3:$N$1101,9,0),"")</f>
        <v/>
      </c>
      <c r="AY841" s="448" t="str">
        <f>_xlfn.IFNA(VLOOKUP($AP841,Programma!$F$3:$O$1101,10,0),"")</f>
        <v/>
      </c>
      <c r="AZ841" s="448" t="str">
        <f>_xlfn.IFNA(VLOOKUP($AP841,Programma!$F$3:$P$1101,11,0),"")</f>
        <v/>
      </c>
      <c r="BA841" s="448" t="str">
        <f>_xlfn.IFNA(VLOOKUP($AP841,Programma!$F$3:$Q$1101,12,0),"")</f>
        <v/>
      </c>
      <c r="BB841" s="448" t="str">
        <f>_xlfn.IFNA(VLOOKUP($AP841,Programma!$F$3:$R$1101,13,0),"")</f>
        <v/>
      </c>
      <c r="BC841" s="448" t="str">
        <f>_xlfn.IFNA(VLOOKUP($AP841,Programma!$F$3:$S$1101,14,0),"")</f>
        <v/>
      </c>
      <c r="BD841" s="448" t="str">
        <f>_xlfn.IFNA(VLOOKUP($AP841,Programma!$F$3:$T$1101,15,0),"")</f>
        <v/>
      </c>
      <c r="BE841" s="448" t="str">
        <f>_xlfn.IFNA(VLOOKUP($AP841,Programma!$F$3:$U$1101,16,0),"")</f>
        <v/>
      </c>
      <c r="BF841" s="448" t="str">
        <f>_xlfn.IFNA(VLOOKUP($AP841,Programma!$F$3:$V$1101,17,0),"")</f>
        <v/>
      </c>
      <c r="BG841" s="448" t="str">
        <f>_xlfn.IFNA(VLOOKUP($AP841,Programma!$F$3:$W$1101,18,0),"")</f>
        <v/>
      </c>
      <c r="BH841" s="448" t="str">
        <f>_xlfn.IFNA(VLOOKUP($AP841,Programma!$F$3:$X$1101,19,0),"")</f>
        <v/>
      </c>
      <c r="BI841" s="448" t="str">
        <f>_xlfn.IFNA(VLOOKUP($AP841,Programma!$F$3:$Y$1101,20,0),"")</f>
        <v/>
      </c>
      <c r="BJ841" s="449"/>
      <c r="BK841" s="446" t="str">
        <f>IF(Ruimtestaat[[#This Row],[Frequentie weekend]]="","",_xlfn.CONCAT(Ruimtestaat[[#This Row],[Ruimte code]],"-",Ruimtestaat[[#This Row],[Frequentie weekend]]," ",Ruimtestaat[[#This Row],[Vloer code]]))</f>
        <v/>
      </c>
      <c r="BL841" s="448" t="str">
        <f>_xlfn.IFNA(VLOOKUP($BK841,Programma!$F$3:$G$1101,2,0),"")</f>
        <v/>
      </c>
      <c r="BM841" s="448" t="str">
        <f>_xlfn.IFNA(VLOOKUP($BK841,Programma!$F$3:$H$1101,3,0),"")</f>
        <v/>
      </c>
      <c r="BN841" s="448" t="str">
        <f>_xlfn.IFNA(VLOOKUP($BK841,Programma!$F$3:$I$1101,4,0),"")</f>
        <v/>
      </c>
      <c r="BO841" s="448" t="str">
        <f>_xlfn.IFNA(VLOOKUP($BK841,Programma!$F$3:$J$1101,5,0),"")</f>
        <v/>
      </c>
      <c r="BP841" s="448" t="str">
        <f>_xlfn.IFNA(VLOOKUP($BK841,Programma!$F$3:$K$1101,6,0),"")</f>
        <v/>
      </c>
      <c r="BQ841" s="448" t="str">
        <f>_xlfn.IFNA(VLOOKUP($BK841,Programma!$F$3:$L$1101,7,0),"")</f>
        <v/>
      </c>
      <c r="BR841" s="448" t="str">
        <f>_xlfn.IFNA(VLOOKUP($BK841,Programma!$F$3:$M$1101,8,0),"")</f>
        <v/>
      </c>
      <c r="BS841" s="448" t="str">
        <f>_xlfn.IFNA(VLOOKUP($BK841,Programma!$F$3:$N$1101,9,0),"")</f>
        <v/>
      </c>
      <c r="BT841" s="448" t="str">
        <f>_xlfn.IFNA(VLOOKUP($BK841,Programma!$F$3:$O$1101,10,0),"")</f>
        <v/>
      </c>
      <c r="BU841" s="448" t="str">
        <f>_xlfn.IFNA(VLOOKUP($BK841,Programma!$F$3:$P$1101,11,0),"")</f>
        <v/>
      </c>
      <c r="BV841" s="448" t="str">
        <f>_xlfn.IFNA(VLOOKUP($BK841,Programma!$F$3:$Q$1101,12,0),"")</f>
        <v/>
      </c>
      <c r="BW841" s="448" t="str">
        <f>_xlfn.IFNA(VLOOKUP($BK841,Programma!$F$3:$R$1101,13,0),"")</f>
        <v/>
      </c>
      <c r="BX841" s="448" t="str">
        <f>_xlfn.IFNA(VLOOKUP($BK841,Programma!$F$3:$S$1101,14,0),"")</f>
        <v/>
      </c>
      <c r="BY841" s="448" t="str">
        <f>_xlfn.IFNA(VLOOKUP($BK841,Programma!$F$3:$T$1101,15,0),"")</f>
        <v/>
      </c>
      <c r="BZ841" s="448" t="str">
        <f>_xlfn.IFNA(VLOOKUP($BK841,Programma!$F$3:$U$1101,16,0),"")</f>
        <v/>
      </c>
      <c r="CA841" s="448" t="str">
        <f>_xlfn.IFNA(VLOOKUP($BK841,Programma!$F$3:$V$1101,17,0),"")</f>
        <v/>
      </c>
      <c r="CB841" s="448" t="str">
        <f>_xlfn.IFNA(VLOOKUP($BK841,Programma!$F$3:$W$1101,18,0),"")</f>
        <v/>
      </c>
      <c r="CC841" s="448" t="str">
        <f>_xlfn.IFNA(VLOOKUP($BK841,Programma!$F$3:$X$1101,19,0),"")</f>
        <v/>
      </c>
      <c r="CD841" s="448" t="str">
        <f>_xlfn.IFNA(VLOOKUP($BK841,Programma!$F$3:$Y$1101,20,0),"")</f>
        <v/>
      </c>
    </row>
    <row r="842" spans="1:82" ht="15" customHeight="1">
      <c r="A842" s="327">
        <v>24</v>
      </c>
      <c r="B842" s="435" t="str">
        <f>VLOOKUP(Ruimtestaat[[#This Row],[Code]],Locaties[[Code]:[Locatie]],2,FALSE)</f>
        <v>IKC De Gaerde</v>
      </c>
      <c r="C842" s="435" t="str">
        <f>VLOOKUP(Ruimtestaat[[#This Row],[Code]],Locaties[[#All],[Code]:[Adres]],4,FALSE)</f>
        <v>Moerbeigaarde 58A</v>
      </c>
      <c r="D842" s="435" t="str">
        <f>VLOOKUP(Ruimtestaat[[#This Row],[Code]],Locaties[[#All],[Code]:[Postcode]],5,FALSE)</f>
        <v>2723 AG</v>
      </c>
      <c r="E842" s="435" t="str">
        <f>VLOOKUP(Ruimtestaat[[#This Row],[Code]],Locaties[#All],6,FALSE)</f>
        <v>Zoetermeer</v>
      </c>
      <c r="F842" s="450" t="s">
        <v>1705</v>
      </c>
      <c r="G842" s="330" t="s">
        <v>1769</v>
      </c>
      <c r="H842" s="330" t="s">
        <v>1748</v>
      </c>
      <c r="I842" s="450" t="s">
        <v>2045</v>
      </c>
      <c r="J842" s="330">
        <v>12</v>
      </c>
      <c r="K842" s="450" t="str">
        <f>VLOOKUP(Ruimtestaat[[#This Row],[Ruimte code]],Ruimtegroepen[[#All],[Code]:[Ruimte omschrijving]],2,FALSE)</f>
        <v>Kantine/Aula</v>
      </c>
      <c r="L842" s="330" t="s">
        <v>100</v>
      </c>
      <c r="M842" s="437" t="s">
        <v>2058</v>
      </c>
      <c r="N842" s="439"/>
      <c r="O842" s="439"/>
      <c r="P842" s="439"/>
      <c r="Q842" s="439">
        <v>123</v>
      </c>
      <c r="R842" s="440" t="str">
        <f>VLOOKUP(Ruimtestaat[[#This Row],[Ruimte code]],Ruimtegroepen[],4,FALSE)</f>
        <v>Ve</v>
      </c>
      <c r="S842" s="434">
        <v>51</v>
      </c>
      <c r="T842" s="434" t="s">
        <v>2</v>
      </c>
      <c r="U842" s="453">
        <f>IF(S842&gt;0,IF(RIGHT(Ruimtestaat[[#This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42" s="434">
        <f>IF(U842&gt;0,VLOOKUP($J842,Ruimtegroepen[],3,FALSE)*VLOOKUP($L842,Vloersoorten[],3,FALSE)*VLOOKUP($T842,Frequenties[],3,FALSE)*VLOOKUP($A842,Locaties[],3,FALSE),0)</f>
        <v>0</v>
      </c>
      <c r="W842" s="434">
        <f>Ruimtestaat[[#This Row],[Uitvoeringen werkdagen]]*Ruimtestaat[[#This Row],[Oppervlak (netto)]]</f>
        <v>0</v>
      </c>
      <c r="X842" s="441">
        <f>IF(V842&gt;0,Ruimtestaat[[#This Row],[Prest. (m2 /jaar) werkdagen]]/Ruimtestaat[[#This Row],[Norm (m2/uur) werkdagen]],0)</f>
        <v>0</v>
      </c>
      <c r="Y842" s="442">
        <f>Ruimtestaat[[#This Row],[Uitvoeringen werkdagen]]*Ruimtestaat[[#This Row],[Gedeeltelijk]]</f>
        <v>0</v>
      </c>
      <c r="Z842" s="443" t="e">
        <f>IF(U842&gt;0,Ruimtestaat[[#This Row],[Prest. (m2 / jaar) werkdagen gedeeld]]/Ruimtestaat[[#This Row],[Norm (m2/uur) werkdagen]],0)</f>
        <v>#DIV/0!</v>
      </c>
      <c r="AA842" s="441" t="e">
        <f>Ruimtestaat[[#This Row],[uren / jaar werkdagen gedeeld]]*Tariefsopbouw!$E$35</f>
        <v>#DIV/0!</v>
      </c>
      <c r="AB842" s="441">
        <f>Ruimtestaat[[#This Row],[Uitvoeringen werkdagen]]*Ruimtestaat[[#This Row],[BSO]]</f>
        <v>31365</v>
      </c>
      <c r="AC842" s="443" t="e">
        <f>IF(U842&gt;0,Ruimtestaat[[#This Row],[Prest. (m2 / jaar) werkdagen BSO]]/Ruimtestaat[[#This Row],[Norm (m2/uur) werkdagen]],0)</f>
        <v>#DIV/0!</v>
      </c>
      <c r="AD842" s="443" t="e">
        <f>Ruimtestaat[[#This Row],[uren / jaar werkdagen BSO]]*Tariefsopbouw!$E$35</f>
        <v>#DIV/0!</v>
      </c>
      <c r="AE842" s="444">
        <f>Ruimtestaat[[#This Row],[uren / jaar werkdagen]]*Tariefsopbouw!$E$35</f>
        <v>0</v>
      </c>
      <c r="AF842" s="454"/>
      <c r="AG842" s="455">
        <f>IF(Ruimtestaat[[#This Row],[Frequentie weekend]]&gt;0,VALUE(LEFT(AF842,1))*S842,0)</f>
        <v>0</v>
      </c>
      <c r="AH842" s="455">
        <f>IF($AG842&gt;0,VLOOKUP($J842,Ruimtegroepen[],3,FALSE)*VLOOKUP($L842,Vloersoorten[],3,FALSE)*VLOOKUP($AF842,Frequenties[],3,FALSE)*VLOOKUP(#REF!,Locaties[],3,FALSE),0)</f>
        <v>0</v>
      </c>
      <c r="AI842" s="434">
        <f>Ruimtestaat[[#This Row],[Uitvoeringen weekend]]*Ruimtestaat[[#This Row],[Oppervlak (netto)]]</f>
        <v>0</v>
      </c>
      <c r="AJ842" s="434">
        <f>IF(AH842&gt;0,Ruimtestaat[[#This Row],[Prest. (m2 /jaar) weekend]]/Ruimtestaat[[#This Row],[Norm (m2/uur) weekend]],0)</f>
        <v>0</v>
      </c>
      <c r="AK842" s="444">
        <f>Ruimtestaat[[#This Row],[uren / jaar weekend]]*Tariefsopbouw!$D$40</f>
        <v>0</v>
      </c>
      <c r="AL842" s="441">
        <f>Ruimtestaat[[#This Row],[Prest. (m2 /jaar) weekend]]+Ruimtestaat[[#This Row],[Prest. (m2 /jaar) werkdagen]]</f>
        <v>0</v>
      </c>
      <c r="AM842" s="441">
        <f>Ruimtestaat[[#This Row],[uren / jaar weekend]]+Ruimtestaat[[#This Row],[uren / jaar werkdagen]]</f>
        <v>0</v>
      </c>
      <c r="AN842" s="446">
        <f>Ruimtestaat[[#This Row],[kosten / jaar weekend]]+Ruimtestaat[[#This Row],[kosten / jaar werkdagen]]</f>
        <v>0</v>
      </c>
      <c r="AO842" s="446"/>
      <c r="AP842" s="446" t="str">
        <f>IF(Ruimtestaat[[#This Row],[Frequentie werkdagen]]="","",_xlfn.CONCAT(Ruimtestaat[[#This Row],[Ruimte code]],"-",Ruimtestaat[[#This Row],[Frequentie werkdagen]]," ",Ruimtestaat[[#This Row],[Vloer code]]))</f>
        <v>12-5w L</v>
      </c>
      <c r="AQ842" s="448" t="str">
        <f>_xlfn.IFNA(VLOOKUP($AP842,Programma!$F$3:$G$1101,2,0),"")</f>
        <v>_</v>
      </c>
      <c r="AR842" s="448" t="str">
        <f>_xlfn.IFNA(VLOOKUP($AP842,Programma!$F$3:$H$1101,3,0),"")</f>
        <v>_</v>
      </c>
      <c r="AS842" s="448" t="str">
        <f>_xlfn.IFNA(VLOOKUP($AP842,Programma!$F$3:$I$1101,4,0),"")</f>
        <v>_</v>
      </c>
      <c r="AT842" s="448" t="str">
        <f>_xlfn.IFNA(VLOOKUP($AP842,Programma!$F$3:$J$1101,5,0),"")</f>
        <v>5w</v>
      </c>
      <c r="AU842" s="448" t="str">
        <f>_xlfn.IFNA(VLOOKUP($AP842,Programma!$F$3:$K$1101,6,0),"")</f>
        <v>_</v>
      </c>
      <c r="AV842" s="448" t="str">
        <f>_xlfn.IFNA(VLOOKUP($AP842,Programma!$F$3:$L$1101,7,0),"")</f>
        <v>_</v>
      </c>
      <c r="AW842" s="448" t="str">
        <f>_xlfn.IFNA(VLOOKUP($AP842,Programma!$F$3:$M$1101,8,0),"")</f>
        <v>_</v>
      </c>
      <c r="AX842" s="448" t="str">
        <f>_xlfn.IFNA(VLOOKUP($AP842,Programma!$F$3:$N$1101,9,0),"")</f>
        <v>_</v>
      </c>
      <c r="AY842" s="448" t="str">
        <f>_xlfn.IFNA(VLOOKUP($AP842,Programma!$F$3:$O$1101,10,0),"")</f>
        <v>5w</v>
      </c>
      <c r="AZ842" s="448" t="str">
        <f>_xlfn.IFNA(VLOOKUP($AP842,Programma!$F$3:$P$1101,11,0),"")</f>
        <v>5w</v>
      </c>
      <c r="BA842" s="448" t="str">
        <f>_xlfn.IFNA(VLOOKUP($AP842,Programma!$F$3:$Q$1101,12,0),"")</f>
        <v>1w</v>
      </c>
      <c r="BB842" s="448" t="str">
        <f>_xlfn.IFNA(VLOOKUP($AP842,Programma!$F$3:$R$1101,13,0),"")</f>
        <v>1w</v>
      </c>
      <c r="BC842" s="448" t="str">
        <f>_xlfn.IFNA(VLOOKUP($AP842,Programma!$F$3:$S$1101,14,0),"")</f>
        <v>1m</v>
      </c>
      <c r="BD842" s="448" t="str">
        <f>_xlfn.IFNA(VLOOKUP($AP842,Programma!$F$3:$T$1101,15,0),"")</f>
        <v>2j</v>
      </c>
      <c r="BE842" s="448" t="str">
        <f>_xlfn.IFNA(VLOOKUP($AP842,Programma!$F$3:$U$1101,16,0),"")</f>
        <v>1j</v>
      </c>
      <c r="BF842" s="448" t="str">
        <f>_xlfn.IFNA(VLOOKUP($AP842,Programma!$F$3:$V$1101,17,0),"")</f>
        <v>_</v>
      </c>
      <c r="BG842" s="448" t="str">
        <f>_xlfn.IFNA(VLOOKUP($AP842,Programma!$F$3:$W$1101,18,0),"")</f>
        <v>_</v>
      </c>
      <c r="BH842" s="448" t="str">
        <f>_xlfn.IFNA(VLOOKUP($AP842,Programma!$F$3:$X$1101,19,0),"")</f>
        <v>_</v>
      </c>
      <c r="BI842" s="448" t="str">
        <f>_xlfn.IFNA(VLOOKUP($AP842,Programma!$F$3:$Y$1101,20,0),"")</f>
        <v>_</v>
      </c>
      <c r="BJ842" s="449"/>
      <c r="BK842" s="446" t="str">
        <f>IF(Ruimtestaat[[#This Row],[Frequentie weekend]]="","",_xlfn.CONCAT(Ruimtestaat[[#This Row],[Ruimte code]],"-",Ruimtestaat[[#This Row],[Frequentie weekend]]," ",Ruimtestaat[[#This Row],[Vloer code]]))</f>
        <v/>
      </c>
      <c r="BL842" s="448" t="str">
        <f>_xlfn.IFNA(VLOOKUP($BK842,Programma!$F$3:$G$1101,2,0),"")</f>
        <v/>
      </c>
      <c r="BM842" s="448" t="str">
        <f>_xlfn.IFNA(VLOOKUP($BK842,Programma!$F$3:$H$1101,3,0),"")</f>
        <v/>
      </c>
      <c r="BN842" s="448" t="str">
        <f>_xlfn.IFNA(VLOOKUP($BK842,Programma!$F$3:$I$1101,4,0),"")</f>
        <v/>
      </c>
      <c r="BO842" s="448" t="str">
        <f>_xlfn.IFNA(VLOOKUP($BK842,Programma!$F$3:$J$1101,5,0),"")</f>
        <v/>
      </c>
      <c r="BP842" s="448" t="str">
        <f>_xlfn.IFNA(VLOOKUP($BK842,Programma!$F$3:$K$1101,6,0),"")</f>
        <v/>
      </c>
      <c r="BQ842" s="448" t="str">
        <f>_xlfn.IFNA(VLOOKUP($BK842,Programma!$F$3:$L$1101,7,0),"")</f>
        <v/>
      </c>
      <c r="BR842" s="448" t="str">
        <f>_xlfn.IFNA(VLOOKUP($BK842,Programma!$F$3:$M$1101,8,0),"")</f>
        <v/>
      </c>
      <c r="BS842" s="448" t="str">
        <f>_xlfn.IFNA(VLOOKUP($BK842,Programma!$F$3:$N$1101,9,0),"")</f>
        <v/>
      </c>
      <c r="BT842" s="448" t="str">
        <f>_xlfn.IFNA(VLOOKUP($BK842,Programma!$F$3:$O$1101,10,0),"")</f>
        <v/>
      </c>
      <c r="BU842" s="448" t="str">
        <f>_xlfn.IFNA(VLOOKUP($BK842,Programma!$F$3:$P$1101,11,0),"")</f>
        <v/>
      </c>
      <c r="BV842" s="448" t="str">
        <f>_xlfn.IFNA(VLOOKUP($BK842,Programma!$F$3:$Q$1101,12,0),"")</f>
        <v/>
      </c>
      <c r="BW842" s="448" t="str">
        <f>_xlfn.IFNA(VLOOKUP($BK842,Programma!$F$3:$R$1101,13,0),"")</f>
        <v/>
      </c>
      <c r="BX842" s="448" t="str">
        <f>_xlfn.IFNA(VLOOKUP($BK842,Programma!$F$3:$S$1101,14,0),"")</f>
        <v/>
      </c>
      <c r="BY842" s="448" t="str">
        <f>_xlfn.IFNA(VLOOKUP($BK842,Programma!$F$3:$T$1101,15,0),"")</f>
        <v/>
      </c>
      <c r="BZ842" s="448" t="str">
        <f>_xlfn.IFNA(VLOOKUP($BK842,Programma!$F$3:$U$1101,16,0),"")</f>
        <v/>
      </c>
      <c r="CA842" s="448" t="str">
        <f>_xlfn.IFNA(VLOOKUP($BK842,Programma!$F$3:$V$1101,17,0),"")</f>
        <v/>
      </c>
      <c r="CB842" s="448" t="str">
        <f>_xlfn.IFNA(VLOOKUP($BK842,Programma!$F$3:$W$1101,18,0),"")</f>
        <v/>
      </c>
      <c r="CC842" s="448" t="str">
        <f>_xlfn.IFNA(VLOOKUP($BK842,Programma!$F$3:$X$1101,19,0),"")</f>
        <v/>
      </c>
      <c r="CD842" s="448" t="str">
        <f>_xlfn.IFNA(VLOOKUP($BK842,Programma!$F$3:$Y$1101,20,0),"")</f>
        <v/>
      </c>
    </row>
    <row r="843" spans="1:82" ht="15" customHeight="1">
      <c r="A843" s="327">
        <v>24</v>
      </c>
      <c r="B843" s="435" t="str">
        <f>VLOOKUP(Ruimtestaat[[#This Row],[Code]],Locaties[[Code]:[Locatie]],2,FALSE)</f>
        <v>IKC De Gaerde</v>
      </c>
      <c r="C843" s="435" t="str">
        <f>VLOOKUP(Ruimtestaat[[#This Row],[Code]],Locaties[[#All],[Code]:[Adres]],4,FALSE)</f>
        <v>Moerbeigaarde 58A</v>
      </c>
      <c r="D843" s="435" t="str">
        <f>VLOOKUP(Ruimtestaat[[#This Row],[Code]],Locaties[[#All],[Code]:[Postcode]],5,FALSE)</f>
        <v>2723 AG</v>
      </c>
      <c r="E843" s="435" t="str">
        <f>VLOOKUP(Ruimtestaat[[#This Row],[Code]],Locaties[#All],6,FALSE)</f>
        <v>Zoetermeer</v>
      </c>
      <c r="F843" s="450"/>
      <c r="G843" s="330" t="s">
        <v>1769</v>
      </c>
      <c r="H843" s="330" t="s">
        <v>1750</v>
      </c>
      <c r="I843" s="450" t="s">
        <v>1842</v>
      </c>
      <c r="J843" s="330">
        <v>16</v>
      </c>
      <c r="K843" s="450" t="str">
        <f>VLOOKUP(Ruimtestaat[[#This Row],[Ruimte code]],Ruimtegroepen[[#All],[Code]:[Ruimte omschrijving]],2,FALSE)</f>
        <v>Leslokalen</v>
      </c>
      <c r="L843" s="330" t="s">
        <v>100</v>
      </c>
      <c r="M843" s="437" t="s">
        <v>2058</v>
      </c>
      <c r="N843" s="439">
        <v>49.5</v>
      </c>
      <c r="O843" s="439"/>
      <c r="P843" s="439"/>
      <c r="Q843" s="439"/>
      <c r="R843" s="440" t="str">
        <f>VLOOKUP(Ruimtestaat[[#This Row],[Ruimte code]],Ruimtegroepen[],4,FALSE)</f>
        <v>Le</v>
      </c>
      <c r="S843" s="434">
        <v>40</v>
      </c>
      <c r="T843" s="434" t="s">
        <v>2</v>
      </c>
      <c r="U843" s="453">
        <f>IF(S843&gt;0,IF(RIGHT(Ruimtestaat[[#This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3" s="434">
        <f>IF(U843&gt;0,VLOOKUP($J843,Ruimtegroepen[],3,FALSE)*VLOOKUP($L843,Vloersoorten[],3,FALSE)*VLOOKUP($T843,Frequenties[],3,FALSE)*VLOOKUP($A843,Locaties[],3,FALSE),0)</f>
        <v>0</v>
      </c>
      <c r="W843" s="434">
        <f>Ruimtestaat[[#This Row],[Uitvoeringen werkdagen]]*Ruimtestaat[[#This Row],[Oppervlak (netto)]]</f>
        <v>9900</v>
      </c>
      <c r="X843" s="441">
        <f>IF(V843&gt;0,Ruimtestaat[[#This Row],[Prest. (m2 /jaar) werkdagen]]/Ruimtestaat[[#This Row],[Norm (m2/uur) werkdagen]],0)</f>
        <v>0</v>
      </c>
      <c r="Y843" s="442">
        <f>Ruimtestaat[[#This Row],[Uitvoeringen werkdagen]]*Ruimtestaat[[#This Row],[Gedeeltelijk]]</f>
        <v>0</v>
      </c>
      <c r="Z843" s="443" t="e">
        <f>IF(U843&gt;0,Ruimtestaat[[#This Row],[Prest. (m2 / jaar) werkdagen gedeeld]]/Ruimtestaat[[#This Row],[Norm (m2/uur) werkdagen]],0)</f>
        <v>#DIV/0!</v>
      </c>
      <c r="AA843" s="441" t="e">
        <f>Ruimtestaat[[#This Row],[uren / jaar werkdagen gedeeld]]*Tariefsopbouw!$E$35</f>
        <v>#DIV/0!</v>
      </c>
      <c r="AB843" s="441">
        <f>Ruimtestaat[[#This Row],[Uitvoeringen werkdagen]]*Ruimtestaat[[#This Row],[BSO]]</f>
        <v>0</v>
      </c>
      <c r="AC843" s="443" t="e">
        <f>IF(U843&gt;0,Ruimtestaat[[#This Row],[Prest. (m2 / jaar) werkdagen BSO]]/Ruimtestaat[[#This Row],[Norm (m2/uur) werkdagen]],0)</f>
        <v>#DIV/0!</v>
      </c>
      <c r="AD843" s="443" t="e">
        <f>Ruimtestaat[[#This Row],[uren / jaar werkdagen BSO]]*Tariefsopbouw!$E$35</f>
        <v>#DIV/0!</v>
      </c>
      <c r="AE843" s="444">
        <f>Ruimtestaat[[#This Row],[uren / jaar werkdagen]]*Tariefsopbouw!$E$35</f>
        <v>0</v>
      </c>
      <c r="AF843" s="454"/>
      <c r="AG843" s="455">
        <f>IF(Ruimtestaat[[#This Row],[Frequentie weekend]]&gt;0,VALUE(LEFT(AF843,1))*S843,0)</f>
        <v>0</v>
      </c>
      <c r="AH843" s="455">
        <f>IF($AG843&gt;0,VLOOKUP($J843,Ruimtegroepen[],3,FALSE)*VLOOKUP($L843,Vloersoorten[],3,FALSE)*VLOOKUP($AF843,Frequenties[],3,FALSE)*VLOOKUP(#REF!,Locaties[],3,FALSE),0)</f>
        <v>0</v>
      </c>
      <c r="AI843" s="434">
        <f>Ruimtestaat[[#This Row],[Uitvoeringen weekend]]*Ruimtestaat[[#This Row],[Oppervlak (netto)]]</f>
        <v>0</v>
      </c>
      <c r="AJ843" s="434">
        <f>IF(AH843&gt;0,Ruimtestaat[[#This Row],[Prest. (m2 /jaar) weekend]]/Ruimtestaat[[#This Row],[Norm (m2/uur) weekend]],0)</f>
        <v>0</v>
      </c>
      <c r="AK843" s="444">
        <f>Ruimtestaat[[#This Row],[uren / jaar weekend]]*Tariefsopbouw!$D$40</f>
        <v>0</v>
      </c>
      <c r="AL843" s="441">
        <f>Ruimtestaat[[#This Row],[Prest. (m2 /jaar) weekend]]+Ruimtestaat[[#This Row],[Prest. (m2 /jaar) werkdagen]]</f>
        <v>9900</v>
      </c>
      <c r="AM843" s="441">
        <f>Ruimtestaat[[#This Row],[uren / jaar weekend]]+Ruimtestaat[[#This Row],[uren / jaar werkdagen]]</f>
        <v>0</v>
      </c>
      <c r="AN843" s="446">
        <f>Ruimtestaat[[#This Row],[kosten / jaar weekend]]+Ruimtestaat[[#This Row],[kosten / jaar werkdagen]]</f>
        <v>0</v>
      </c>
      <c r="AO843" s="446"/>
      <c r="AP843" s="446" t="str">
        <f>IF(Ruimtestaat[[#This Row],[Frequentie werkdagen]]="","",_xlfn.CONCAT(Ruimtestaat[[#This Row],[Ruimte code]],"-",Ruimtestaat[[#This Row],[Frequentie werkdagen]]," ",Ruimtestaat[[#This Row],[Vloer code]]))</f>
        <v>16-5w L</v>
      </c>
      <c r="AQ843" s="448" t="str">
        <f>_xlfn.IFNA(VLOOKUP($AP843,Programma!$F$3:$G$1101,2,0),"")</f>
        <v>_</v>
      </c>
      <c r="AR843" s="448" t="str">
        <f>_xlfn.IFNA(VLOOKUP($AP843,Programma!$F$3:$H$1101,3,0),"")</f>
        <v>_</v>
      </c>
      <c r="AS843" s="448" t="str">
        <f>_xlfn.IFNA(VLOOKUP($AP843,Programma!$F$3:$I$1101,4,0),"")</f>
        <v>4w</v>
      </c>
      <c r="AT843" s="448" t="str">
        <f>_xlfn.IFNA(VLOOKUP($AP843,Programma!$F$3:$J$1101,5,0),"")</f>
        <v>1w</v>
      </c>
      <c r="AU843" s="448" t="str">
        <f>_xlfn.IFNA(VLOOKUP($AP843,Programma!$F$3:$K$1101,6,0),"")</f>
        <v>_</v>
      </c>
      <c r="AV843" s="448" t="str">
        <f>_xlfn.IFNA(VLOOKUP($AP843,Programma!$F$3:$L$1101,7,0),"")</f>
        <v>_</v>
      </c>
      <c r="AW843" s="448" t="str">
        <f>_xlfn.IFNA(VLOOKUP($AP843,Programma!$F$3:$M$1101,8,0),"")</f>
        <v>_</v>
      </c>
      <c r="AX843" s="448" t="str">
        <f>_xlfn.IFNA(VLOOKUP($AP843,Programma!$F$3:$N$1101,9,0),"")</f>
        <v>_</v>
      </c>
      <c r="AY843" s="448" t="str">
        <f>_xlfn.IFNA(VLOOKUP($AP843,Programma!$F$3:$O$1101,10,0),"")</f>
        <v>5w</v>
      </c>
      <c r="AZ843" s="448" t="str">
        <f>_xlfn.IFNA(VLOOKUP($AP843,Programma!$F$3:$P$1101,11,0),"")</f>
        <v>5w</v>
      </c>
      <c r="BA843" s="448" t="str">
        <f>_xlfn.IFNA(VLOOKUP($AP843,Programma!$F$3:$Q$1101,12,0),"")</f>
        <v>1w</v>
      </c>
      <c r="BB843" s="448" t="str">
        <f>_xlfn.IFNA(VLOOKUP($AP843,Programma!$F$3:$R$1101,13,0),"")</f>
        <v>1w</v>
      </c>
      <c r="BC843" s="448" t="str">
        <f>_xlfn.IFNA(VLOOKUP($AP843,Programma!$F$3:$S$1101,14,0),"")</f>
        <v>1m</v>
      </c>
      <c r="BD843" s="448" t="str">
        <f>_xlfn.IFNA(VLOOKUP($AP843,Programma!$F$3:$T$1101,15,0),"")</f>
        <v>2j</v>
      </c>
      <c r="BE843" s="448" t="str">
        <f>_xlfn.IFNA(VLOOKUP($AP843,Programma!$F$3:$U$1101,16,0),"")</f>
        <v>1j</v>
      </c>
      <c r="BF843" s="448" t="str">
        <f>_xlfn.IFNA(VLOOKUP($AP843,Programma!$F$3:$V$1101,17,0),"")</f>
        <v>_</v>
      </c>
      <c r="BG843" s="448" t="str">
        <f>_xlfn.IFNA(VLOOKUP($AP843,Programma!$F$3:$W$1101,18,0),"")</f>
        <v>_</v>
      </c>
      <c r="BH843" s="448" t="str">
        <f>_xlfn.IFNA(VLOOKUP($AP843,Programma!$F$3:$X$1101,19,0),"")</f>
        <v>_</v>
      </c>
      <c r="BI843" s="448" t="str">
        <f>_xlfn.IFNA(VLOOKUP($AP843,Programma!$F$3:$Y$1101,20,0),"")</f>
        <v>_</v>
      </c>
      <c r="BJ843" s="449"/>
      <c r="BK843" s="446" t="str">
        <f>IF(Ruimtestaat[[#This Row],[Frequentie weekend]]="","",_xlfn.CONCAT(Ruimtestaat[[#This Row],[Ruimte code]],"-",Ruimtestaat[[#This Row],[Frequentie weekend]]," ",Ruimtestaat[[#This Row],[Vloer code]]))</f>
        <v/>
      </c>
      <c r="BL843" s="448" t="str">
        <f>_xlfn.IFNA(VLOOKUP($BK843,Programma!$F$3:$G$1101,2,0),"")</f>
        <v/>
      </c>
      <c r="BM843" s="448" t="str">
        <f>_xlfn.IFNA(VLOOKUP($BK843,Programma!$F$3:$H$1101,3,0),"")</f>
        <v/>
      </c>
      <c r="BN843" s="448" t="str">
        <f>_xlfn.IFNA(VLOOKUP($BK843,Programma!$F$3:$I$1101,4,0),"")</f>
        <v/>
      </c>
      <c r="BO843" s="448" t="str">
        <f>_xlfn.IFNA(VLOOKUP($BK843,Programma!$F$3:$J$1101,5,0),"")</f>
        <v/>
      </c>
      <c r="BP843" s="448" t="str">
        <f>_xlfn.IFNA(VLOOKUP($BK843,Programma!$F$3:$K$1101,6,0),"")</f>
        <v/>
      </c>
      <c r="BQ843" s="448" t="str">
        <f>_xlfn.IFNA(VLOOKUP($BK843,Programma!$F$3:$L$1101,7,0),"")</f>
        <v/>
      </c>
      <c r="BR843" s="448" t="str">
        <f>_xlfn.IFNA(VLOOKUP($BK843,Programma!$F$3:$M$1101,8,0),"")</f>
        <v/>
      </c>
      <c r="BS843" s="448" t="str">
        <f>_xlfn.IFNA(VLOOKUP($BK843,Programma!$F$3:$N$1101,9,0),"")</f>
        <v/>
      </c>
      <c r="BT843" s="448" t="str">
        <f>_xlfn.IFNA(VLOOKUP($BK843,Programma!$F$3:$O$1101,10,0),"")</f>
        <v/>
      </c>
      <c r="BU843" s="448" t="str">
        <f>_xlfn.IFNA(VLOOKUP($BK843,Programma!$F$3:$P$1101,11,0),"")</f>
        <v/>
      </c>
      <c r="BV843" s="448" t="str">
        <f>_xlfn.IFNA(VLOOKUP($BK843,Programma!$F$3:$Q$1101,12,0),"")</f>
        <v/>
      </c>
      <c r="BW843" s="448" t="str">
        <f>_xlfn.IFNA(VLOOKUP($BK843,Programma!$F$3:$R$1101,13,0),"")</f>
        <v/>
      </c>
      <c r="BX843" s="448" t="str">
        <f>_xlfn.IFNA(VLOOKUP($BK843,Programma!$F$3:$S$1101,14,0),"")</f>
        <v/>
      </c>
      <c r="BY843" s="448" t="str">
        <f>_xlfn.IFNA(VLOOKUP($BK843,Programma!$F$3:$T$1101,15,0),"")</f>
        <v/>
      </c>
      <c r="BZ843" s="448" t="str">
        <f>_xlfn.IFNA(VLOOKUP($BK843,Programma!$F$3:$U$1101,16,0),"")</f>
        <v/>
      </c>
      <c r="CA843" s="448" t="str">
        <f>_xlfn.IFNA(VLOOKUP($BK843,Programma!$F$3:$V$1101,17,0),"")</f>
        <v/>
      </c>
      <c r="CB843" s="448" t="str">
        <f>_xlfn.IFNA(VLOOKUP($BK843,Programma!$F$3:$W$1101,18,0),"")</f>
        <v/>
      </c>
      <c r="CC843" s="448" t="str">
        <f>_xlfn.IFNA(VLOOKUP($BK843,Programma!$F$3:$X$1101,19,0),"")</f>
        <v/>
      </c>
      <c r="CD843" s="448" t="str">
        <f>_xlfn.IFNA(VLOOKUP($BK843,Programma!$F$3:$Y$1101,20,0),"")</f>
        <v/>
      </c>
    </row>
    <row r="844" spans="1:82" ht="15" customHeight="1">
      <c r="A844" s="327">
        <v>24</v>
      </c>
      <c r="B844" s="435" t="str">
        <f>VLOOKUP(Ruimtestaat[[#This Row],[Code]],Locaties[[Code]:[Locatie]],2,FALSE)</f>
        <v>IKC De Gaerde</v>
      </c>
      <c r="C844" s="435" t="str">
        <f>VLOOKUP(Ruimtestaat[[#This Row],[Code]],Locaties[[#All],[Code]:[Adres]],4,FALSE)</f>
        <v>Moerbeigaarde 58A</v>
      </c>
      <c r="D844" s="435" t="str">
        <f>VLOOKUP(Ruimtestaat[[#This Row],[Code]],Locaties[[#All],[Code]:[Postcode]],5,FALSE)</f>
        <v>2723 AG</v>
      </c>
      <c r="E844" s="435" t="str">
        <f>VLOOKUP(Ruimtestaat[[#This Row],[Code]],Locaties[#All],6,FALSE)</f>
        <v>Zoetermeer</v>
      </c>
      <c r="F844" s="450" t="s">
        <v>1705</v>
      </c>
      <c r="G844" s="330" t="s">
        <v>1769</v>
      </c>
      <c r="H844" s="330" t="s">
        <v>1752</v>
      </c>
      <c r="I844" s="450" t="s">
        <v>2025</v>
      </c>
      <c r="J844" s="330">
        <v>9</v>
      </c>
      <c r="K844" s="450" t="str">
        <f>VLOOKUP(Ruimtestaat[[#This Row],[Ruimte code]],Ruimtegroepen[[#All],[Code]:[Ruimte omschrijving]],2,FALSE)</f>
        <v>Bibliotheek/OLC</v>
      </c>
      <c r="L844" s="330" t="s">
        <v>100</v>
      </c>
      <c r="M844" s="437" t="s">
        <v>2058</v>
      </c>
      <c r="N844" s="439"/>
      <c r="O844" s="439"/>
      <c r="P844" s="439"/>
      <c r="Q844" s="439">
        <v>13.2</v>
      </c>
      <c r="R844" s="440" t="str">
        <f>VLOOKUP(Ruimtestaat[[#This Row],[Ruimte code]],Ruimtegroepen[],4,FALSE)</f>
        <v>Le</v>
      </c>
      <c r="S844" s="434">
        <v>51</v>
      </c>
      <c r="T844" s="434" t="s">
        <v>2</v>
      </c>
      <c r="U844" s="453">
        <f>IF(S844&gt;0,IF(RIGHT(Ruimtestaat[[#This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44" s="434">
        <f>IF(U844&gt;0,VLOOKUP($J844,Ruimtegroepen[],3,FALSE)*VLOOKUP($L844,Vloersoorten[],3,FALSE)*VLOOKUP($T844,Frequenties[],3,FALSE)*VLOOKUP($A844,Locaties[],3,FALSE),0)</f>
        <v>0</v>
      </c>
      <c r="W844" s="434">
        <f>Ruimtestaat[[#This Row],[Uitvoeringen werkdagen]]*Ruimtestaat[[#This Row],[Oppervlak (netto)]]</f>
        <v>0</v>
      </c>
      <c r="X844" s="441">
        <f>IF(V844&gt;0,Ruimtestaat[[#This Row],[Prest. (m2 /jaar) werkdagen]]/Ruimtestaat[[#This Row],[Norm (m2/uur) werkdagen]],0)</f>
        <v>0</v>
      </c>
      <c r="Y844" s="442">
        <f>Ruimtestaat[[#This Row],[Uitvoeringen werkdagen]]*Ruimtestaat[[#This Row],[Gedeeltelijk]]</f>
        <v>0</v>
      </c>
      <c r="Z844" s="443" t="e">
        <f>IF(U844&gt;0,Ruimtestaat[[#This Row],[Prest. (m2 / jaar) werkdagen gedeeld]]/Ruimtestaat[[#This Row],[Norm (m2/uur) werkdagen]],0)</f>
        <v>#DIV/0!</v>
      </c>
      <c r="AA844" s="441" t="e">
        <f>Ruimtestaat[[#This Row],[uren / jaar werkdagen gedeeld]]*Tariefsopbouw!$E$35</f>
        <v>#DIV/0!</v>
      </c>
      <c r="AB844" s="441">
        <f>Ruimtestaat[[#This Row],[Uitvoeringen werkdagen]]*Ruimtestaat[[#This Row],[BSO]]</f>
        <v>3366</v>
      </c>
      <c r="AC844" s="443" t="e">
        <f>IF(U844&gt;0,Ruimtestaat[[#This Row],[Prest. (m2 / jaar) werkdagen BSO]]/Ruimtestaat[[#This Row],[Norm (m2/uur) werkdagen]],0)</f>
        <v>#DIV/0!</v>
      </c>
      <c r="AD844" s="443" t="e">
        <f>Ruimtestaat[[#This Row],[uren / jaar werkdagen BSO]]*Tariefsopbouw!$E$35</f>
        <v>#DIV/0!</v>
      </c>
      <c r="AE844" s="444">
        <f>Ruimtestaat[[#This Row],[uren / jaar werkdagen]]*Tariefsopbouw!$E$35</f>
        <v>0</v>
      </c>
      <c r="AF844" s="454"/>
      <c r="AG844" s="455">
        <f>IF(Ruimtestaat[[#This Row],[Frequentie weekend]]&gt;0,VALUE(LEFT(AF844,1))*S844,0)</f>
        <v>0</v>
      </c>
      <c r="AH844" s="455">
        <f>IF($AG844&gt;0,VLOOKUP($J844,Ruimtegroepen[],3,FALSE)*VLOOKUP($L844,Vloersoorten[],3,FALSE)*VLOOKUP($AF844,Frequenties[],3,FALSE)*VLOOKUP(#REF!,Locaties[],3,FALSE),0)</f>
        <v>0</v>
      </c>
      <c r="AI844" s="434">
        <f>Ruimtestaat[[#This Row],[Uitvoeringen weekend]]*Ruimtestaat[[#This Row],[Oppervlak (netto)]]</f>
        <v>0</v>
      </c>
      <c r="AJ844" s="434">
        <f>IF(AH844&gt;0,Ruimtestaat[[#This Row],[Prest. (m2 /jaar) weekend]]/Ruimtestaat[[#This Row],[Norm (m2/uur) weekend]],0)</f>
        <v>0</v>
      </c>
      <c r="AK844" s="444">
        <f>Ruimtestaat[[#This Row],[uren / jaar weekend]]*Tariefsopbouw!$D$40</f>
        <v>0</v>
      </c>
      <c r="AL844" s="441">
        <f>Ruimtestaat[[#This Row],[Prest. (m2 /jaar) weekend]]+Ruimtestaat[[#This Row],[Prest. (m2 /jaar) werkdagen]]</f>
        <v>0</v>
      </c>
      <c r="AM844" s="441">
        <f>Ruimtestaat[[#This Row],[uren / jaar weekend]]+Ruimtestaat[[#This Row],[uren / jaar werkdagen]]</f>
        <v>0</v>
      </c>
      <c r="AN844" s="446">
        <f>Ruimtestaat[[#This Row],[kosten / jaar weekend]]+Ruimtestaat[[#This Row],[kosten / jaar werkdagen]]</f>
        <v>0</v>
      </c>
      <c r="AO844" s="446"/>
      <c r="AP844" s="446" t="str">
        <f>IF(Ruimtestaat[[#This Row],[Frequentie werkdagen]]="","",_xlfn.CONCAT(Ruimtestaat[[#This Row],[Ruimte code]],"-",Ruimtestaat[[#This Row],[Frequentie werkdagen]]," ",Ruimtestaat[[#This Row],[Vloer code]]))</f>
        <v>9-5w L</v>
      </c>
      <c r="AQ844" s="448" t="str">
        <f>_xlfn.IFNA(VLOOKUP($AP844,Programma!$F$3:$G$1101,2,0),"")</f>
        <v>_</v>
      </c>
      <c r="AR844" s="448" t="str">
        <f>_xlfn.IFNA(VLOOKUP($AP844,Programma!$F$3:$H$1101,3,0),"")</f>
        <v>_</v>
      </c>
      <c r="AS844" s="448" t="str">
        <f>_xlfn.IFNA(VLOOKUP($AP844,Programma!$F$3:$I$1101,4,0),"")</f>
        <v>4w</v>
      </c>
      <c r="AT844" s="448" t="str">
        <f>_xlfn.IFNA(VLOOKUP($AP844,Programma!$F$3:$J$1101,5,0),"")</f>
        <v>1w</v>
      </c>
      <c r="AU844" s="448" t="str">
        <f>_xlfn.IFNA(VLOOKUP($AP844,Programma!$F$3:$K$1101,6,0),"")</f>
        <v>_</v>
      </c>
      <c r="AV844" s="448" t="str">
        <f>_xlfn.IFNA(VLOOKUP($AP844,Programma!$F$3:$L$1101,7,0),"")</f>
        <v>_</v>
      </c>
      <c r="AW844" s="448" t="str">
        <f>_xlfn.IFNA(VLOOKUP($AP844,Programma!$F$3:$M$1101,8,0),"")</f>
        <v>_</v>
      </c>
      <c r="AX844" s="448" t="str">
        <f>_xlfn.IFNA(VLOOKUP($AP844,Programma!$F$3:$N$1101,9,0),"")</f>
        <v>_</v>
      </c>
      <c r="AY844" s="448" t="str">
        <f>_xlfn.IFNA(VLOOKUP($AP844,Programma!$F$3:$O$1101,10,0),"")</f>
        <v>5w</v>
      </c>
      <c r="AZ844" s="448" t="str">
        <f>_xlfn.IFNA(VLOOKUP($AP844,Programma!$F$3:$P$1101,11,0),"")</f>
        <v>5w</v>
      </c>
      <c r="BA844" s="448" t="str">
        <f>_xlfn.IFNA(VLOOKUP($AP844,Programma!$F$3:$Q$1101,12,0),"")</f>
        <v>1w</v>
      </c>
      <c r="BB844" s="448" t="str">
        <f>_xlfn.IFNA(VLOOKUP($AP844,Programma!$F$3:$R$1101,13,0),"")</f>
        <v>1w</v>
      </c>
      <c r="BC844" s="448" t="str">
        <f>_xlfn.IFNA(VLOOKUP($AP844,Programma!$F$3:$S$1101,14,0),"")</f>
        <v>1m</v>
      </c>
      <c r="BD844" s="448" t="str">
        <f>_xlfn.IFNA(VLOOKUP($AP844,Programma!$F$3:$T$1101,15,0),"")</f>
        <v>2j</v>
      </c>
      <c r="BE844" s="448" t="str">
        <f>_xlfn.IFNA(VLOOKUP($AP844,Programma!$F$3:$U$1101,16,0),"")</f>
        <v>1j</v>
      </c>
      <c r="BF844" s="448" t="str">
        <f>_xlfn.IFNA(VLOOKUP($AP844,Programma!$F$3:$V$1101,17,0),"")</f>
        <v>_</v>
      </c>
      <c r="BG844" s="448" t="str">
        <f>_xlfn.IFNA(VLOOKUP($AP844,Programma!$F$3:$W$1101,18,0),"")</f>
        <v>_</v>
      </c>
      <c r="BH844" s="448" t="str">
        <f>_xlfn.IFNA(VLOOKUP($AP844,Programma!$F$3:$X$1101,19,0),"")</f>
        <v>_</v>
      </c>
      <c r="BI844" s="448" t="str">
        <f>_xlfn.IFNA(VLOOKUP($AP844,Programma!$F$3:$Y$1101,20,0),"")</f>
        <v>_</v>
      </c>
      <c r="BJ844" s="449"/>
      <c r="BK844" s="446" t="str">
        <f>IF(Ruimtestaat[[#This Row],[Frequentie weekend]]="","",_xlfn.CONCAT(Ruimtestaat[[#This Row],[Ruimte code]],"-",Ruimtestaat[[#This Row],[Frequentie weekend]]," ",Ruimtestaat[[#This Row],[Vloer code]]))</f>
        <v/>
      </c>
      <c r="BL844" s="448" t="str">
        <f>_xlfn.IFNA(VLOOKUP($BK844,Programma!$F$3:$G$1101,2,0),"")</f>
        <v/>
      </c>
      <c r="BM844" s="448" t="str">
        <f>_xlfn.IFNA(VLOOKUP($BK844,Programma!$F$3:$H$1101,3,0),"")</f>
        <v/>
      </c>
      <c r="BN844" s="448" t="str">
        <f>_xlfn.IFNA(VLOOKUP($BK844,Programma!$F$3:$I$1101,4,0),"")</f>
        <v/>
      </c>
      <c r="BO844" s="448" t="str">
        <f>_xlfn.IFNA(VLOOKUP($BK844,Programma!$F$3:$J$1101,5,0),"")</f>
        <v/>
      </c>
      <c r="BP844" s="448" t="str">
        <f>_xlfn.IFNA(VLOOKUP($BK844,Programma!$F$3:$K$1101,6,0),"")</f>
        <v/>
      </c>
      <c r="BQ844" s="448" t="str">
        <f>_xlfn.IFNA(VLOOKUP($BK844,Programma!$F$3:$L$1101,7,0),"")</f>
        <v/>
      </c>
      <c r="BR844" s="448" t="str">
        <f>_xlfn.IFNA(VLOOKUP($BK844,Programma!$F$3:$M$1101,8,0),"")</f>
        <v/>
      </c>
      <c r="BS844" s="448" t="str">
        <f>_xlfn.IFNA(VLOOKUP($BK844,Programma!$F$3:$N$1101,9,0),"")</f>
        <v/>
      </c>
      <c r="BT844" s="448" t="str">
        <f>_xlfn.IFNA(VLOOKUP($BK844,Programma!$F$3:$O$1101,10,0),"")</f>
        <v/>
      </c>
      <c r="BU844" s="448" t="str">
        <f>_xlfn.IFNA(VLOOKUP($BK844,Programma!$F$3:$P$1101,11,0),"")</f>
        <v/>
      </c>
      <c r="BV844" s="448" t="str">
        <f>_xlfn.IFNA(VLOOKUP($BK844,Programma!$F$3:$Q$1101,12,0),"")</f>
        <v/>
      </c>
      <c r="BW844" s="448" t="str">
        <f>_xlfn.IFNA(VLOOKUP($BK844,Programma!$F$3:$R$1101,13,0),"")</f>
        <v/>
      </c>
      <c r="BX844" s="448" t="str">
        <f>_xlfn.IFNA(VLOOKUP($BK844,Programma!$F$3:$S$1101,14,0),"")</f>
        <v/>
      </c>
      <c r="BY844" s="448" t="str">
        <f>_xlfn.IFNA(VLOOKUP($BK844,Programma!$F$3:$T$1101,15,0),"")</f>
        <v/>
      </c>
      <c r="BZ844" s="448" t="str">
        <f>_xlfn.IFNA(VLOOKUP($BK844,Programma!$F$3:$U$1101,16,0),"")</f>
        <v/>
      </c>
      <c r="CA844" s="448" t="str">
        <f>_xlfn.IFNA(VLOOKUP($BK844,Programma!$F$3:$V$1101,17,0),"")</f>
        <v/>
      </c>
      <c r="CB844" s="448" t="str">
        <f>_xlfn.IFNA(VLOOKUP($BK844,Programma!$F$3:$W$1101,18,0),"")</f>
        <v/>
      </c>
      <c r="CC844" s="448" t="str">
        <f>_xlfn.IFNA(VLOOKUP($BK844,Programma!$F$3:$X$1101,19,0),"")</f>
        <v/>
      </c>
      <c r="CD844" s="448" t="str">
        <f>_xlfn.IFNA(VLOOKUP($BK844,Programma!$F$3:$Y$1101,20,0),"")</f>
        <v/>
      </c>
    </row>
    <row r="845" spans="1:82" ht="15" customHeight="1">
      <c r="A845" s="327">
        <v>24</v>
      </c>
      <c r="B845" s="435" t="str">
        <f>VLOOKUP(Ruimtestaat[[#This Row],[Code]],Locaties[[Code]:[Locatie]],2,FALSE)</f>
        <v>IKC De Gaerde</v>
      </c>
      <c r="C845" s="435" t="str">
        <f>VLOOKUP(Ruimtestaat[[#This Row],[Code]],Locaties[[#All],[Code]:[Adres]],4,FALSE)</f>
        <v>Moerbeigaarde 58A</v>
      </c>
      <c r="D845" s="435" t="str">
        <f>VLOOKUP(Ruimtestaat[[#This Row],[Code]],Locaties[[#All],[Code]:[Postcode]],5,FALSE)</f>
        <v>2723 AG</v>
      </c>
      <c r="E845" s="435" t="str">
        <f>VLOOKUP(Ruimtestaat[[#This Row],[Code]],Locaties[#All],6,FALSE)</f>
        <v>Zoetermeer</v>
      </c>
      <c r="F845" s="450"/>
      <c r="G845" s="330" t="s">
        <v>1769</v>
      </c>
      <c r="H845" s="330" t="s">
        <v>1839</v>
      </c>
      <c r="I845" s="450" t="s">
        <v>1901</v>
      </c>
      <c r="J845" s="330">
        <v>11</v>
      </c>
      <c r="K845" s="450" t="str">
        <f>VLOOKUP(Ruimtestaat[[#This Row],[Ruimte code]],Ruimtegroepen[[#All],[Code]:[Ruimte omschrijving]],2,FALSE)</f>
        <v>Garderobes</v>
      </c>
      <c r="L845" s="330" t="s">
        <v>100</v>
      </c>
      <c r="M845" s="437" t="s">
        <v>2058</v>
      </c>
      <c r="N845" s="439">
        <v>1.4</v>
      </c>
      <c r="O845" s="439"/>
      <c r="P845" s="439"/>
      <c r="Q845" s="439"/>
      <c r="R845" s="440" t="str">
        <f>VLOOKUP(Ruimtestaat[[#This Row],[Ruimte code]],Ruimtegroepen[],4,FALSE)</f>
        <v>Ve</v>
      </c>
      <c r="S845" s="434">
        <v>40</v>
      </c>
      <c r="T845" s="434" t="s">
        <v>2</v>
      </c>
      <c r="U845" s="453">
        <f>IF(S845&gt;0,IF(RIGHT(Ruimtestaat[[#This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5" s="434">
        <f>IF(U845&gt;0,VLOOKUP($J845,Ruimtegroepen[],3,FALSE)*VLOOKUP($L845,Vloersoorten[],3,FALSE)*VLOOKUP($T845,Frequenties[],3,FALSE)*VLOOKUP($A845,Locaties[],3,FALSE),0)</f>
        <v>0</v>
      </c>
      <c r="W845" s="434">
        <f>Ruimtestaat[[#This Row],[Uitvoeringen werkdagen]]*Ruimtestaat[[#This Row],[Oppervlak (netto)]]</f>
        <v>280</v>
      </c>
      <c r="X845" s="441">
        <f>IF(V845&gt;0,Ruimtestaat[[#This Row],[Prest. (m2 /jaar) werkdagen]]/Ruimtestaat[[#This Row],[Norm (m2/uur) werkdagen]],0)</f>
        <v>0</v>
      </c>
      <c r="Y845" s="442">
        <f>Ruimtestaat[[#This Row],[Uitvoeringen werkdagen]]*Ruimtestaat[[#This Row],[Gedeeltelijk]]</f>
        <v>0</v>
      </c>
      <c r="Z845" s="443" t="e">
        <f>IF(U845&gt;0,Ruimtestaat[[#This Row],[Prest. (m2 / jaar) werkdagen gedeeld]]/Ruimtestaat[[#This Row],[Norm (m2/uur) werkdagen]],0)</f>
        <v>#DIV/0!</v>
      </c>
      <c r="AA845" s="441" t="e">
        <f>Ruimtestaat[[#This Row],[uren / jaar werkdagen gedeeld]]*Tariefsopbouw!$E$35</f>
        <v>#DIV/0!</v>
      </c>
      <c r="AB845" s="441">
        <f>Ruimtestaat[[#This Row],[Uitvoeringen werkdagen]]*Ruimtestaat[[#This Row],[BSO]]</f>
        <v>0</v>
      </c>
      <c r="AC845" s="443" t="e">
        <f>IF(U845&gt;0,Ruimtestaat[[#This Row],[Prest. (m2 / jaar) werkdagen BSO]]/Ruimtestaat[[#This Row],[Norm (m2/uur) werkdagen]],0)</f>
        <v>#DIV/0!</v>
      </c>
      <c r="AD845" s="443" t="e">
        <f>Ruimtestaat[[#This Row],[uren / jaar werkdagen BSO]]*Tariefsopbouw!$E$35</f>
        <v>#DIV/0!</v>
      </c>
      <c r="AE845" s="444">
        <f>Ruimtestaat[[#This Row],[uren / jaar werkdagen]]*Tariefsopbouw!$E$35</f>
        <v>0</v>
      </c>
      <c r="AF845" s="454"/>
      <c r="AG845" s="455">
        <f>IF(Ruimtestaat[[#This Row],[Frequentie weekend]]&gt;0,VALUE(LEFT(AF845,1))*S845,0)</f>
        <v>0</v>
      </c>
      <c r="AH845" s="455">
        <f>IF($AG845&gt;0,VLOOKUP($J845,Ruimtegroepen[],3,FALSE)*VLOOKUP($L845,Vloersoorten[],3,FALSE)*VLOOKUP($AF845,Frequenties[],3,FALSE)*VLOOKUP(#REF!,Locaties[],3,FALSE),0)</f>
        <v>0</v>
      </c>
      <c r="AI845" s="434">
        <f>Ruimtestaat[[#This Row],[Uitvoeringen weekend]]*Ruimtestaat[[#This Row],[Oppervlak (netto)]]</f>
        <v>0</v>
      </c>
      <c r="AJ845" s="434">
        <f>IF(AH845&gt;0,Ruimtestaat[[#This Row],[Prest. (m2 /jaar) weekend]]/Ruimtestaat[[#This Row],[Norm (m2/uur) weekend]],0)</f>
        <v>0</v>
      </c>
      <c r="AK845" s="444">
        <f>Ruimtestaat[[#This Row],[uren / jaar weekend]]*Tariefsopbouw!$D$40</f>
        <v>0</v>
      </c>
      <c r="AL845" s="441">
        <f>Ruimtestaat[[#This Row],[Prest. (m2 /jaar) weekend]]+Ruimtestaat[[#This Row],[Prest. (m2 /jaar) werkdagen]]</f>
        <v>280</v>
      </c>
      <c r="AM845" s="441">
        <f>Ruimtestaat[[#This Row],[uren / jaar weekend]]+Ruimtestaat[[#This Row],[uren / jaar werkdagen]]</f>
        <v>0</v>
      </c>
      <c r="AN845" s="446">
        <f>Ruimtestaat[[#This Row],[kosten / jaar weekend]]+Ruimtestaat[[#This Row],[kosten / jaar werkdagen]]</f>
        <v>0</v>
      </c>
      <c r="AO845" s="446"/>
      <c r="AP845" s="446" t="str">
        <f>IF(Ruimtestaat[[#This Row],[Frequentie werkdagen]]="","",_xlfn.CONCAT(Ruimtestaat[[#This Row],[Ruimte code]],"-",Ruimtestaat[[#This Row],[Frequentie werkdagen]]," ",Ruimtestaat[[#This Row],[Vloer code]]))</f>
        <v>11-5w L</v>
      </c>
      <c r="AQ845" s="448" t="str">
        <f>_xlfn.IFNA(VLOOKUP($AP845,Programma!$F$3:$G$1101,2,0),"")</f>
        <v>_</v>
      </c>
      <c r="AR845" s="448" t="str">
        <f>_xlfn.IFNA(VLOOKUP($AP845,Programma!$F$3:$H$1101,3,0),"")</f>
        <v>_</v>
      </c>
      <c r="AS845" s="448" t="str">
        <f>_xlfn.IFNA(VLOOKUP($AP845,Programma!$F$3:$I$1101,4,0),"")</f>
        <v>4w</v>
      </c>
      <c r="AT845" s="448" t="str">
        <f>_xlfn.IFNA(VLOOKUP($AP845,Programma!$F$3:$J$1101,5,0),"")</f>
        <v>1w</v>
      </c>
      <c r="AU845" s="448" t="str">
        <f>_xlfn.IFNA(VLOOKUP($AP845,Programma!$F$3:$K$1101,6,0),"")</f>
        <v>_</v>
      </c>
      <c r="AV845" s="448" t="str">
        <f>_xlfn.IFNA(VLOOKUP($AP845,Programma!$F$3:$L$1101,7,0),"")</f>
        <v>_</v>
      </c>
      <c r="AW845" s="448" t="str">
        <f>_xlfn.IFNA(VLOOKUP($AP845,Programma!$F$3:$M$1101,8,0),"")</f>
        <v>_</v>
      </c>
      <c r="AX845" s="448" t="str">
        <f>_xlfn.IFNA(VLOOKUP($AP845,Programma!$F$3:$N$1101,9,0),"")</f>
        <v>_</v>
      </c>
      <c r="AY845" s="448" t="str">
        <f>_xlfn.IFNA(VLOOKUP($AP845,Programma!$F$3:$O$1101,10,0),"")</f>
        <v>5w</v>
      </c>
      <c r="AZ845" s="448" t="str">
        <f>_xlfn.IFNA(VLOOKUP($AP845,Programma!$F$3:$P$1101,11,0),"")</f>
        <v>5w</v>
      </c>
      <c r="BA845" s="448" t="str">
        <f>_xlfn.IFNA(VLOOKUP($AP845,Programma!$F$3:$Q$1101,12,0),"")</f>
        <v>1w</v>
      </c>
      <c r="BB845" s="448" t="str">
        <f>_xlfn.IFNA(VLOOKUP($AP845,Programma!$F$3:$R$1101,13,0),"")</f>
        <v>1w</v>
      </c>
      <c r="BC845" s="448" t="str">
        <f>_xlfn.IFNA(VLOOKUP($AP845,Programma!$F$3:$S$1101,14,0),"")</f>
        <v>1m</v>
      </c>
      <c r="BD845" s="448" t="str">
        <f>_xlfn.IFNA(VLOOKUP($AP845,Programma!$F$3:$T$1101,15,0),"")</f>
        <v>2j</v>
      </c>
      <c r="BE845" s="448" t="str">
        <f>_xlfn.IFNA(VLOOKUP($AP845,Programma!$F$3:$U$1101,16,0),"")</f>
        <v>1j</v>
      </c>
      <c r="BF845" s="448" t="str">
        <f>_xlfn.IFNA(VLOOKUP($AP845,Programma!$F$3:$V$1101,17,0),"")</f>
        <v>_</v>
      </c>
      <c r="BG845" s="448" t="str">
        <f>_xlfn.IFNA(VLOOKUP($AP845,Programma!$F$3:$W$1101,18,0),"")</f>
        <v>_</v>
      </c>
      <c r="BH845" s="448" t="str">
        <f>_xlfn.IFNA(VLOOKUP($AP845,Programma!$F$3:$X$1101,19,0),"")</f>
        <v>_</v>
      </c>
      <c r="BI845" s="448" t="str">
        <f>_xlfn.IFNA(VLOOKUP($AP845,Programma!$F$3:$Y$1101,20,0),"")</f>
        <v>_</v>
      </c>
      <c r="BJ845" s="449"/>
      <c r="BK845" s="446" t="str">
        <f>IF(Ruimtestaat[[#This Row],[Frequentie weekend]]="","",_xlfn.CONCAT(Ruimtestaat[[#This Row],[Ruimte code]],"-",Ruimtestaat[[#This Row],[Frequentie weekend]]," ",Ruimtestaat[[#This Row],[Vloer code]]))</f>
        <v/>
      </c>
      <c r="BL845" s="448" t="str">
        <f>_xlfn.IFNA(VLOOKUP($BK845,Programma!$F$3:$G$1101,2,0),"")</f>
        <v/>
      </c>
      <c r="BM845" s="448" t="str">
        <f>_xlfn.IFNA(VLOOKUP($BK845,Programma!$F$3:$H$1101,3,0),"")</f>
        <v/>
      </c>
      <c r="BN845" s="448" t="str">
        <f>_xlfn.IFNA(VLOOKUP($BK845,Programma!$F$3:$I$1101,4,0),"")</f>
        <v/>
      </c>
      <c r="BO845" s="448" t="str">
        <f>_xlfn.IFNA(VLOOKUP($BK845,Programma!$F$3:$J$1101,5,0),"")</f>
        <v/>
      </c>
      <c r="BP845" s="448" t="str">
        <f>_xlfn.IFNA(VLOOKUP($BK845,Programma!$F$3:$K$1101,6,0),"")</f>
        <v/>
      </c>
      <c r="BQ845" s="448" t="str">
        <f>_xlfn.IFNA(VLOOKUP($BK845,Programma!$F$3:$L$1101,7,0),"")</f>
        <v/>
      </c>
      <c r="BR845" s="448" t="str">
        <f>_xlfn.IFNA(VLOOKUP($BK845,Programma!$F$3:$M$1101,8,0),"")</f>
        <v/>
      </c>
      <c r="BS845" s="448" t="str">
        <f>_xlfn.IFNA(VLOOKUP($BK845,Programma!$F$3:$N$1101,9,0),"")</f>
        <v/>
      </c>
      <c r="BT845" s="448" t="str">
        <f>_xlfn.IFNA(VLOOKUP($BK845,Programma!$F$3:$O$1101,10,0),"")</f>
        <v/>
      </c>
      <c r="BU845" s="448" t="str">
        <f>_xlfn.IFNA(VLOOKUP($BK845,Programma!$F$3:$P$1101,11,0),"")</f>
        <v/>
      </c>
      <c r="BV845" s="448" t="str">
        <f>_xlfn.IFNA(VLOOKUP($BK845,Programma!$F$3:$Q$1101,12,0),"")</f>
        <v/>
      </c>
      <c r="BW845" s="448" t="str">
        <f>_xlfn.IFNA(VLOOKUP($BK845,Programma!$F$3:$R$1101,13,0),"")</f>
        <v/>
      </c>
      <c r="BX845" s="448" t="str">
        <f>_xlfn.IFNA(VLOOKUP($BK845,Programma!$F$3:$S$1101,14,0),"")</f>
        <v/>
      </c>
      <c r="BY845" s="448" t="str">
        <f>_xlfn.IFNA(VLOOKUP($BK845,Programma!$F$3:$T$1101,15,0),"")</f>
        <v/>
      </c>
      <c r="BZ845" s="448" t="str">
        <f>_xlfn.IFNA(VLOOKUP($BK845,Programma!$F$3:$U$1101,16,0),"")</f>
        <v/>
      </c>
      <c r="CA845" s="448" t="str">
        <f>_xlfn.IFNA(VLOOKUP($BK845,Programma!$F$3:$V$1101,17,0),"")</f>
        <v/>
      </c>
      <c r="CB845" s="448" t="str">
        <f>_xlfn.IFNA(VLOOKUP($BK845,Programma!$F$3:$W$1101,18,0),"")</f>
        <v/>
      </c>
      <c r="CC845" s="448" t="str">
        <f>_xlfn.IFNA(VLOOKUP($BK845,Programma!$F$3:$X$1101,19,0),"")</f>
        <v/>
      </c>
      <c r="CD845" s="448" t="str">
        <f>_xlfn.IFNA(VLOOKUP($BK845,Programma!$F$3:$Y$1101,20,0),"")</f>
        <v/>
      </c>
    </row>
    <row r="846" spans="1:82" ht="15" customHeight="1">
      <c r="A846" s="327">
        <v>24</v>
      </c>
      <c r="B846" s="435" t="str">
        <f>VLOOKUP(Ruimtestaat[[#This Row],[Code]],Locaties[[Code]:[Locatie]],2,FALSE)</f>
        <v>IKC De Gaerde</v>
      </c>
      <c r="C846" s="435" t="str">
        <f>VLOOKUP(Ruimtestaat[[#This Row],[Code]],Locaties[[#All],[Code]:[Adres]],4,FALSE)</f>
        <v>Moerbeigaarde 58A</v>
      </c>
      <c r="D846" s="435" t="str">
        <f>VLOOKUP(Ruimtestaat[[#This Row],[Code]],Locaties[[#All],[Code]:[Postcode]],5,FALSE)</f>
        <v>2723 AG</v>
      </c>
      <c r="E846" s="435" t="str">
        <f>VLOOKUP(Ruimtestaat[[#This Row],[Code]],Locaties[#All],6,FALSE)</f>
        <v>Zoetermeer</v>
      </c>
      <c r="F846" s="450"/>
      <c r="G846" s="330" t="s">
        <v>1769</v>
      </c>
      <c r="H846" s="330" t="s">
        <v>1753</v>
      </c>
      <c r="I846" s="450" t="s">
        <v>1914</v>
      </c>
      <c r="J846" s="330">
        <v>1</v>
      </c>
      <c r="K846" s="450" t="str">
        <f>VLOOKUP(Ruimtestaat[[#This Row],[Ruimte code]],Ruimtegroepen[[#All],[Code]:[Ruimte omschrijving]],2,FALSE)</f>
        <v>Magazijnen/bergingen</v>
      </c>
      <c r="L846" s="330" t="s">
        <v>100</v>
      </c>
      <c r="M846" s="437" t="s">
        <v>2058</v>
      </c>
      <c r="N846" s="439">
        <v>2.2999999999999998</v>
      </c>
      <c r="O846" s="439"/>
      <c r="P846" s="439"/>
      <c r="Q846" s="439"/>
      <c r="R846" s="440" t="str">
        <f>VLOOKUP(Ruimtestaat[[#This Row],[Ruimte code]],Ruimtegroepen[],4,FALSE)</f>
        <v>Ve</v>
      </c>
      <c r="S846" s="434">
        <v>40</v>
      </c>
      <c r="T846" s="434" t="s">
        <v>16</v>
      </c>
      <c r="U846" s="453">
        <f>IF(S846&gt;0,IF(RIGHT(Ruimtestaat[[#This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46" s="434">
        <f>IF(U846&gt;0,VLOOKUP($J846,Ruimtegroepen[],3,FALSE)*VLOOKUP($L846,Vloersoorten[],3,FALSE)*VLOOKUP($T846,Frequenties[],3,FALSE)*VLOOKUP($A846,Locaties[],3,FALSE),0)</f>
        <v>0</v>
      </c>
      <c r="W846" s="434">
        <f>Ruimtestaat[[#This Row],[Uitvoeringen werkdagen]]*Ruimtestaat[[#This Row],[Oppervlak (netto)]]</f>
        <v>27.599999999999998</v>
      </c>
      <c r="X846" s="441">
        <f>IF(V846&gt;0,Ruimtestaat[[#This Row],[Prest. (m2 /jaar) werkdagen]]/Ruimtestaat[[#This Row],[Norm (m2/uur) werkdagen]],0)</f>
        <v>0</v>
      </c>
      <c r="Y846" s="442">
        <f>Ruimtestaat[[#This Row],[Uitvoeringen werkdagen]]*Ruimtestaat[[#This Row],[Gedeeltelijk]]</f>
        <v>0</v>
      </c>
      <c r="Z846" s="443" t="e">
        <f>IF(U846&gt;0,Ruimtestaat[[#This Row],[Prest. (m2 / jaar) werkdagen gedeeld]]/Ruimtestaat[[#This Row],[Norm (m2/uur) werkdagen]],0)</f>
        <v>#DIV/0!</v>
      </c>
      <c r="AA846" s="441" t="e">
        <f>Ruimtestaat[[#This Row],[uren / jaar werkdagen gedeeld]]*Tariefsopbouw!$E$35</f>
        <v>#DIV/0!</v>
      </c>
      <c r="AB846" s="441">
        <f>Ruimtestaat[[#This Row],[Uitvoeringen werkdagen]]*Ruimtestaat[[#This Row],[BSO]]</f>
        <v>0</v>
      </c>
      <c r="AC846" s="443" t="e">
        <f>IF(U846&gt;0,Ruimtestaat[[#This Row],[Prest. (m2 / jaar) werkdagen BSO]]/Ruimtestaat[[#This Row],[Norm (m2/uur) werkdagen]],0)</f>
        <v>#DIV/0!</v>
      </c>
      <c r="AD846" s="443" t="e">
        <f>Ruimtestaat[[#This Row],[uren / jaar werkdagen BSO]]*Tariefsopbouw!$E$35</f>
        <v>#DIV/0!</v>
      </c>
      <c r="AE846" s="444">
        <f>Ruimtestaat[[#This Row],[uren / jaar werkdagen]]*Tariefsopbouw!$E$35</f>
        <v>0</v>
      </c>
      <c r="AF846" s="454"/>
      <c r="AG846" s="455">
        <f>IF(Ruimtestaat[[#This Row],[Frequentie weekend]]&gt;0,VALUE(LEFT(AF846,1))*S846,0)</f>
        <v>0</v>
      </c>
      <c r="AH846" s="455">
        <f>IF($AG846&gt;0,VLOOKUP($J846,Ruimtegroepen[],3,FALSE)*VLOOKUP($L846,Vloersoorten[],3,FALSE)*VLOOKUP($AF846,Frequenties[],3,FALSE)*VLOOKUP(#REF!,Locaties[],3,FALSE),0)</f>
        <v>0</v>
      </c>
      <c r="AI846" s="434">
        <f>Ruimtestaat[[#This Row],[Uitvoeringen weekend]]*Ruimtestaat[[#This Row],[Oppervlak (netto)]]</f>
        <v>0</v>
      </c>
      <c r="AJ846" s="434">
        <f>IF(AH846&gt;0,Ruimtestaat[[#This Row],[Prest. (m2 /jaar) weekend]]/Ruimtestaat[[#This Row],[Norm (m2/uur) weekend]],0)</f>
        <v>0</v>
      </c>
      <c r="AK846" s="444">
        <f>Ruimtestaat[[#This Row],[uren / jaar weekend]]*Tariefsopbouw!$D$40</f>
        <v>0</v>
      </c>
      <c r="AL846" s="441">
        <f>Ruimtestaat[[#This Row],[Prest. (m2 /jaar) weekend]]+Ruimtestaat[[#This Row],[Prest. (m2 /jaar) werkdagen]]</f>
        <v>27.599999999999998</v>
      </c>
      <c r="AM846" s="441">
        <f>Ruimtestaat[[#This Row],[uren / jaar weekend]]+Ruimtestaat[[#This Row],[uren / jaar werkdagen]]</f>
        <v>0</v>
      </c>
      <c r="AN846" s="446">
        <f>Ruimtestaat[[#This Row],[kosten / jaar weekend]]+Ruimtestaat[[#This Row],[kosten / jaar werkdagen]]</f>
        <v>0</v>
      </c>
      <c r="AO846" s="446"/>
      <c r="AP846" s="446" t="str">
        <f>IF(Ruimtestaat[[#This Row],[Frequentie werkdagen]]="","",_xlfn.CONCAT(Ruimtestaat[[#This Row],[Ruimte code]],"-",Ruimtestaat[[#This Row],[Frequentie werkdagen]]," ",Ruimtestaat[[#This Row],[Vloer code]]))</f>
        <v>1-1m L</v>
      </c>
      <c r="AQ846" s="448" t="str">
        <f>_xlfn.IFNA(VLOOKUP($AP846,Programma!$F$3:$G$1101,2,0),"")</f>
        <v>_</v>
      </c>
      <c r="AR846" s="448" t="str">
        <f>_xlfn.IFNA(VLOOKUP($AP846,Programma!$F$3:$H$1101,3,0),"")</f>
        <v>_</v>
      </c>
      <c r="AS846" s="448" t="str">
        <f>_xlfn.IFNA(VLOOKUP($AP846,Programma!$F$3:$I$1101,4,0),"")</f>
        <v>1m</v>
      </c>
      <c r="AT846" s="448" t="str">
        <f>_xlfn.IFNA(VLOOKUP($AP846,Programma!$F$3:$J$1101,5,0),"")</f>
        <v>1m</v>
      </c>
      <c r="AU846" s="448" t="str">
        <f>_xlfn.IFNA(VLOOKUP($AP846,Programma!$F$3:$K$1101,6,0),"")</f>
        <v>_</v>
      </c>
      <c r="AV846" s="448" t="str">
        <f>_xlfn.IFNA(VLOOKUP($AP846,Programma!$F$3:$L$1101,7,0),"")</f>
        <v>_</v>
      </c>
      <c r="AW846" s="448" t="str">
        <f>_xlfn.IFNA(VLOOKUP($AP846,Programma!$F$3:$M$1101,8,0),"")</f>
        <v>_</v>
      </c>
      <c r="AX846" s="448" t="str">
        <f>_xlfn.IFNA(VLOOKUP($AP846,Programma!$F$3:$N$1101,9,0),"")</f>
        <v>_</v>
      </c>
      <c r="AY846" s="448" t="str">
        <f>_xlfn.IFNA(VLOOKUP($AP846,Programma!$F$3:$O$1101,10,0),"")</f>
        <v>_</v>
      </c>
      <c r="AZ846" s="448" t="str">
        <f>_xlfn.IFNA(VLOOKUP($AP846,Programma!$F$3:$P$1101,11,0),"")</f>
        <v>_</v>
      </c>
      <c r="BA846" s="448" t="str">
        <f>_xlfn.IFNA(VLOOKUP($AP846,Programma!$F$3:$Q$1101,12,0),"")</f>
        <v>_</v>
      </c>
      <c r="BB846" s="448" t="str">
        <f>_xlfn.IFNA(VLOOKUP($AP846,Programma!$F$3:$R$1101,13,0),"")</f>
        <v>_</v>
      </c>
      <c r="BC846" s="448" t="str">
        <f>_xlfn.IFNA(VLOOKUP($AP846,Programma!$F$3:$S$1101,14,0),"")</f>
        <v>1m</v>
      </c>
      <c r="BD846" s="448" t="str">
        <f>_xlfn.IFNA(VLOOKUP($AP846,Programma!$F$3:$T$1101,15,0),"")</f>
        <v>4j</v>
      </c>
      <c r="BE846" s="448" t="str">
        <f>_xlfn.IFNA(VLOOKUP($AP846,Programma!$F$3:$U$1101,16,0),"")</f>
        <v>4j</v>
      </c>
      <c r="BF846" s="448" t="str">
        <f>_xlfn.IFNA(VLOOKUP($AP846,Programma!$F$3:$V$1101,17,0),"")</f>
        <v>_</v>
      </c>
      <c r="BG846" s="448" t="str">
        <f>_xlfn.IFNA(VLOOKUP($AP846,Programma!$F$3:$W$1101,18,0),"")</f>
        <v>_</v>
      </c>
      <c r="BH846" s="448" t="str">
        <f>_xlfn.IFNA(VLOOKUP($AP846,Programma!$F$3:$X$1101,19,0),"")</f>
        <v>_</v>
      </c>
      <c r="BI846" s="448" t="str">
        <f>_xlfn.IFNA(VLOOKUP($AP846,Programma!$F$3:$Y$1101,20,0),"")</f>
        <v>_</v>
      </c>
      <c r="BJ846" s="449"/>
      <c r="BK846" s="446" t="str">
        <f>IF(Ruimtestaat[[#This Row],[Frequentie weekend]]="","",_xlfn.CONCAT(Ruimtestaat[[#This Row],[Ruimte code]],"-",Ruimtestaat[[#This Row],[Frequentie weekend]]," ",Ruimtestaat[[#This Row],[Vloer code]]))</f>
        <v/>
      </c>
      <c r="BL846" s="448" t="str">
        <f>_xlfn.IFNA(VLOOKUP($BK846,Programma!$F$3:$G$1101,2,0),"")</f>
        <v/>
      </c>
      <c r="BM846" s="448" t="str">
        <f>_xlfn.IFNA(VLOOKUP($BK846,Programma!$F$3:$H$1101,3,0),"")</f>
        <v/>
      </c>
      <c r="BN846" s="448" t="str">
        <f>_xlfn.IFNA(VLOOKUP($BK846,Programma!$F$3:$I$1101,4,0),"")</f>
        <v/>
      </c>
      <c r="BO846" s="448" t="str">
        <f>_xlfn.IFNA(VLOOKUP($BK846,Programma!$F$3:$J$1101,5,0),"")</f>
        <v/>
      </c>
      <c r="BP846" s="448" t="str">
        <f>_xlfn.IFNA(VLOOKUP($BK846,Programma!$F$3:$K$1101,6,0),"")</f>
        <v/>
      </c>
      <c r="BQ846" s="448" t="str">
        <f>_xlfn.IFNA(VLOOKUP($BK846,Programma!$F$3:$L$1101,7,0),"")</f>
        <v/>
      </c>
      <c r="BR846" s="448" t="str">
        <f>_xlfn.IFNA(VLOOKUP($BK846,Programma!$F$3:$M$1101,8,0),"")</f>
        <v/>
      </c>
      <c r="BS846" s="448" t="str">
        <f>_xlfn.IFNA(VLOOKUP($BK846,Programma!$F$3:$N$1101,9,0),"")</f>
        <v/>
      </c>
      <c r="BT846" s="448" t="str">
        <f>_xlfn.IFNA(VLOOKUP($BK846,Programma!$F$3:$O$1101,10,0),"")</f>
        <v/>
      </c>
      <c r="BU846" s="448" t="str">
        <f>_xlfn.IFNA(VLOOKUP($BK846,Programma!$F$3:$P$1101,11,0),"")</f>
        <v/>
      </c>
      <c r="BV846" s="448" t="str">
        <f>_xlfn.IFNA(VLOOKUP($BK846,Programma!$F$3:$Q$1101,12,0),"")</f>
        <v/>
      </c>
      <c r="BW846" s="448" t="str">
        <f>_xlfn.IFNA(VLOOKUP($BK846,Programma!$F$3:$R$1101,13,0),"")</f>
        <v/>
      </c>
      <c r="BX846" s="448" t="str">
        <f>_xlfn.IFNA(VLOOKUP($BK846,Programma!$F$3:$S$1101,14,0),"")</f>
        <v/>
      </c>
      <c r="BY846" s="448" t="str">
        <f>_xlfn.IFNA(VLOOKUP($BK846,Programma!$F$3:$T$1101,15,0),"")</f>
        <v/>
      </c>
      <c r="BZ846" s="448" t="str">
        <f>_xlfn.IFNA(VLOOKUP($BK846,Programma!$F$3:$U$1101,16,0),"")</f>
        <v/>
      </c>
      <c r="CA846" s="448" t="str">
        <f>_xlfn.IFNA(VLOOKUP($BK846,Programma!$F$3:$V$1101,17,0),"")</f>
        <v/>
      </c>
      <c r="CB846" s="448" t="str">
        <f>_xlfn.IFNA(VLOOKUP($BK846,Programma!$F$3:$W$1101,18,0),"")</f>
        <v/>
      </c>
      <c r="CC846" s="448" t="str">
        <f>_xlfn.IFNA(VLOOKUP($BK846,Programma!$F$3:$X$1101,19,0),"")</f>
        <v/>
      </c>
      <c r="CD846" s="448" t="str">
        <f>_xlfn.IFNA(VLOOKUP($BK846,Programma!$F$3:$Y$1101,20,0),"")</f>
        <v/>
      </c>
    </row>
    <row r="847" spans="1:82" ht="15" customHeight="1">
      <c r="A847" s="327">
        <v>24</v>
      </c>
      <c r="B847" s="435" t="str">
        <f>VLOOKUP(Ruimtestaat[[#This Row],[Code]],Locaties[[Code]:[Locatie]],2,FALSE)</f>
        <v>IKC De Gaerde</v>
      </c>
      <c r="C847" s="435" t="str">
        <f>VLOOKUP(Ruimtestaat[[#This Row],[Code]],Locaties[[#All],[Code]:[Adres]],4,FALSE)</f>
        <v>Moerbeigaarde 58A</v>
      </c>
      <c r="D847" s="435" t="str">
        <f>VLOOKUP(Ruimtestaat[[#This Row],[Code]],Locaties[[#All],[Code]:[Postcode]],5,FALSE)</f>
        <v>2723 AG</v>
      </c>
      <c r="E847" s="435" t="str">
        <f>VLOOKUP(Ruimtestaat[[#This Row],[Code]],Locaties[#All],6,FALSE)</f>
        <v>Zoetermeer</v>
      </c>
      <c r="F847" s="450"/>
      <c r="G847" s="330" t="s">
        <v>1769</v>
      </c>
      <c r="H847" s="330" t="s">
        <v>1754</v>
      </c>
      <c r="I847" s="450" t="s">
        <v>1842</v>
      </c>
      <c r="J847" s="330">
        <v>16</v>
      </c>
      <c r="K847" s="450" t="str">
        <f>VLOOKUP(Ruimtestaat[[#This Row],[Ruimte code]],Ruimtegroepen[[#All],[Code]:[Ruimte omschrijving]],2,FALSE)</f>
        <v>Leslokalen</v>
      </c>
      <c r="L847" s="330" t="s">
        <v>100</v>
      </c>
      <c r="M847" s="437" t="s">
        <v>2058</v>
      </c>
      <c r="N847" s="439">
        <v>49.5</v>
      </c>
      <c r="O847" s="439"/>
      <c r="P847" s="439"/>
      <c r="Q847" s="439"/>
      <c r="R847" s="440" t="str">
        <f>VLOOKUP(Ruimtestaat[[#This Row],[Ruimte code]],Ruimtegroepen[],4,FALSE)</f>
        <v>Le</v>
      </c>
      <c r="S847" s="434">
        <v>40</v>
      </c>
      <c r="T847" s="434" t="s">
        <v>2</v>
      </c>
      <c r="U847" s="453">
        <f>IF(S847&gt;0,IF(RIGHT(Ruimtestaat[[#This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7" s="434">
        <f>IF(U847&gt;0,VLOOKUP($J847,Ruimtegroepen[],3,FALSE)*VLOOKUP($L847,Vloersoorten[],3,FALSE)*VLOOKUP($T847,Frequenties[],3,FALSE)*VLOOKUP($A847,Locaties[],3,FALSE),0)</f>
        <v>0</v>
      </c>
      <c r="W847" s="434">
        <f>Ruimtestaat[[#This Row],[Uitvoeringen werkdagen]]*Ruimtestaat[[#This Row],[Oppervlak (netto)]]</f>
        <v>9900</v>
      </c>
      <c r="X847" s="441">
        <f>IF(V847&gt;0,Ruimtestaat[[#This Row],[Prest. (m2 /jaar) werkdagen]]/Ruimtestaat[[#This Row],[Norm (m2/uur) werkdagen]],0)</f>
        <v>0</v>
      </c>
      <c r="Y847" s="442">
        <f>Ruimtestaat[[#This Row],[Uitvoeringen werkdagen]]*Ruimtestaat[[#This Row],[Gedeeltelijk]]</f>
        <v>0</v>
      </c>
      <c r="Z847" s="443" t="e">
        <f>IF(U847&gt;0,Ruimtestaat[[#This Row],[Prest. (m2 / jaar) werkdagen gedeeld]]/Ruimtestaat[[#This Row],[Norm (m2/uur) werkdagen]],0)</f>
        <v>#DIV/0!</v>
      </c>
      <c r="AA847" s="441" t="e">
        <f>Ruimtestaat[[#This Row],[uren / jaar werkdagen gedeeld]]*Tariefsopbouw!$E$35</f>
        <v>#DIV/0!</v>
      </c>
      <c r="AB847" s="441">
        <f>Ruimtestaat[[#This Row],[Uitvoeringen werkdagen]]*Ruimtestaat[[#This Row],[BSO]]</f>
        <v>0</v>
      </c>
      <c r="AC847" s="443" t="e">
        <f>IF(U847&gt;0,Ruimtestaat[[#This Row],[Prest. (m2 / jaar) werkdagen BSO]]/Ruimtestaat[[#This Row],[Norm (m2/uur) werkdagen]],0)</f>
        <v>#DIV/0!</v>
      </c>
      <c r="AD847" s="443" t="e">
        <f>Ruimtestaat[[#This Row],[uren / jaar werkdagen BSO]]*Tariefsopbouw!$E$35</f>
        <v>#DIV/0!</v>
      </c>
      <c r="AE847" s="444">
        <f>Ruimtestaat[[#This Row],[uren / jaar werkdagen]]*Tariefsopbouw!$E$35</f>
        <v>0</v>
      </c>
      <c r="AF847" s="454"/>
      <c r="AG847" s="455">
        <f>IF(Ruimtestaat[[#This Row],[Frequentie weekend]]&gt;0,VALUE(LEFT(AF847,1))*S847,0)</f>
        <v>0</v>
      </c>
      <c r="AH847" s="455">
        <f>IF($AG847&gt;0,VLOOKUP($J847,Ruimtegroepen[],3,FALSE)*VLOOKUP($L847,Vloersoorten[],3,FALSE)*VLOOKUP($AF847,Frequenties[],3,FALSE)*VLOOKUP(#REF!,Locaties[],3,FALSE),0)</f>
        <v>0</v>
      </c>
      <c r="AI847" s="434">
        <f>Ruimtestaat[[#This Row],[Uitvoeringen weekend]]*Ruimtestaat[[#This Row],[Oppervlak (netto)]]</f>
        <v>0</v>
      </c>
      <c r="AJ847" s="434">
        <f>IF(AH847&gt;0,Ruimtestaat[[#This Row],[Prest. (m2 /jaar) weekend]]/Ruimtestaat[[#This Row],[Norm (m2/uur) weekend]],0)</f>
        <v>0</v>
      </c>
      <c r="AK847" s="444">
        <f>Ruimtestaat[[#This Row],[uren / jaar weekend]]*Tariefsopbouw!$D$40</f>
        <v>0</v>
      </c>
      <c r="AL847" s="441">
        <f>Ruimtestaat[[#This Row],[Prest. (m2 /jaar) weekend]]+Ruimtestaat[[#This Row],[Prest. (m2 /jaar) werkdagen]]</f>
        <v>9900</v>
      </c>
      <c r="AM847" s="441">
        <f>Ruimtestaat[[#This Row],[uren / jaar weekend]]+Ruimtestaat[[#This Row],[uren / jaar werkdagen]]</f>
        <v>0</v>
      </c>
      <c r="AN847" s="446">
        <f>Ruimtestaat[[#This Row],[kosten / jaar weekend]]+Ruimtestaat[[#This Row],[kosten / jaar werkdagen]]</f>
        <v>0</v>
      </c>
      <c r="AO847" s="446"/>
      <c r="AP847" s="446" t="str">
        <f>IF(Ruimtestaat[[#This Row],[Frequentie werkdagen]]="","",_xlfn.CONCAT(Ruimtestaat[[#This Row],[Ruimte code]],"-",Ruimtestaat[[#This Row],[Frequentie werkdagen]]," ",Ruimtestaat[[#This Row],[Vloer code]]))</f>
        <v>16-5w L</v>
      </c>
      <c r="AQ847" s="448" t="str">
        <f>_xlfn.IFNA(VLOOKUP($AP847,Programma!$F$3:$G$1101,2,0),"")</f>
        <v>_</v>
      </c>
      <c r="AR847" s="448" t="str">
        <f>_xlfn.IFNA(VLOOKUP($AP847,Programma!$F$3:$H$1101,3,0),"")</f>
        <v>_</v>
      </c>
      <c r="AS847" s="448" t="str">
        <f>_xlfn.IFNA(VLOOKUP($AP847,Programma!$F$3:$I$1101,4,0),"")</f>
        <v>4w</v>
      </c>
      <c r="AT847" s="448" t="str">
        <f>_xlfn.IFNA(VLOOKUP($AP847,Programma!$F$3:$J$1101,5,0),"")</f>
        <v>1w</v>
      </c>
      <c r="AU847" s="448" t="str">
        <f>_xlfn.IFNA(VLOOKUP($AP847,Programma!$F$3:$K$1101,6,0),"")</f>
        <v>_</v>
      </c>
      <c r="AV847" s="448" t="str">
        <f>_xlfn.IFNA(VLOOKUP($AP847,Programma!$F$3:$L$1101,7,0),"")</f>
        <v>_</v>
      </c>
      <c r="AW847" s="448" t="str">
        <f>_xlfn.IFNA(VLOOKUP($AP847,Programma!$F$3:$M$1101,8,0),"")</f>
        <v>_</v>
      </c>
      <c r="AX847" s="448" t="str">
        <f>_xlfn.IFNA(VLOOKUP($AP847,Programma!$F$3:$N$1101,9,0),"")</f>
        <v>_</v>
      </c>
      <c r="AY847" s="448" t="str">
        <f>_xlfn.IFNA(VLOOKUP($AP847,Programma!$F$3:$O$1101,10,0),"")</f>
        <v>5w</v>
      </c>
      <c r="AZ847" s="448" t="str">
        <f>_xlfn.IFNA(VLOOKUP($AP847,Programma!$F$3:$P$1101,11,0),"")</f>
        <v>5w</v>
      </c>
      <c r="BA847" s="448" t="str">
        <f>_xlfn.IFNA(VLOOKUP($AP847,Programma!$F$3:$Q$1101,12,0),"")</f>
        <v>1w</v>
      </c>
      <c r="BB847" s="448" t="str">
        <f>_xlfn.IFNA(VLOOKUP($AP847,Programma!$F$3:$R$1101,13,0),"")</f>
        <v>1w</v>
      </c>
      <c r="BC847" s="448" t="str">
        <f>_xlfn.IFNA(VLOOKUP($AP847,Programma!$F$3:$S$1101,14,0),"")</f>
        <v>1m</v>
      </c>
      <c r="BD847" s="448" t="str">
        <f>_xlfn.IFNA(VLOOKUP($AP847,Programma!$F$3:$T$1101,15,0),"")</f>
        <v>2j</v>
      </c>
      <c r="BE847" s="448" t="str">
        <f>_xlfn.IFNA(VLOOKUP($AP847,Programma!$F$3:$U$1101,16,0),"")</f>
        <v>1j</v>
      </c>
      <c r="BF847" s="448" t="str">
        <f>_xlfn.IFNA(VLOOKUP($AP847,Programma!$F$3:$V$1101,17,0),"")</f>
        <v>_</v>
      </c>
      <c r="BG847" s="448" t="str">
        <f>_xlfn.IFNA(VLOOKUP($AP847,Programma!$F$3:$W$1101,18,0),"")</f>
        <v>_</v>
      </c>
      <c r="BH847" s="448" t="str">
        <f>_xlfn.IFNA(VLOOKUP($AP847,Programma!$F$3:$X$1101,19,0),"")</f>
        <v>_</v>
      </c>
      <c r="BI847" s="448" t="str">
        <f>_xlfn.IFNA(VLOOKUP($AP847,Programma!$F$3:$Y$1101,20,0),"")</f>
        <v>_</v>
      </c>
      <c r="BJ847" s="449"/>
      <c r="BK847" s="446" t="str">
        <f>IF(Ruimtestaat[[#This Row],[Frequentie weekend]]="","",_xlfn.CONCAT(Ruimtestaat[[#This Row],[Ruimte code]],"-",Ruimtestaat[[#This Row],[Frequentie weekend]]," ",Ruimtestaat[[#This Row],[Vloer code]]))</f>
        <v/>
      </c>
      <c r="BL847" s="448" t="str">
        <f>_xlfn.IFNA(VLOOKUP($BK847,Programma!$F$3:$G$1101,2,0),"")</f>
        <v/>
      </c>
      <c r="BM847" s="448" t="str">
        <f>_xlfn.IFNA(VLOOKUP($BK847,Programma!$F$3:$H$1101,3,0),"")</f>
        <v/>
      </c>
      <c r="BN847" s="448" t="str">
        <f>_xlfn.IFNA(VLOOKUP($BK847,Programma!$F$3:$I$1101,4,0),"")</f>
        <v/>
      </c>
      <c r="BO847" s="448" t="str">
        <f>_xlfn.IFNA(VLOOKUP($BK847,Programma!$F$3:$J$1101,5,0),"")</f>
        <v/>
      </c>
      <c r="BP847" s="448" t="str">
        <f>_xlfn.IFNA(VLOOKUP($BK847,Programma!$F$3:$K$1101,6,0),"")</f>
        <v/>
      </c>
      <c r="BQ847" s="448" t="str">
        <f>_xlfn.IFNA(VLOOKUP($BK847,Programma!$F$3:$L$1101,7,0),"")</f>
        <v/>
      </c>
      <c r="BR847" s="448" t="str">
        <f>_xlfn.IFNA(VLOOKUP($BK847,Programma!$F$3:$M$1101,8,0),"")</f>
        <v/>
      </c>
      <c r="BS847" s="448" t="str">
        <f>_xlfn.IFNA(VLOOKUP($BK847,Programma!$F$3:$N$1101,9,0),"")</f>
        <v/>
      </c>
      <c r="BT847" s="448" t="str">
        <f>_xlfn.IFNA(VLOOKUP($BK847,Programma!$F$3:$O$1101,10,0),"")</f>
        <v/>
      </c>
      <c r="BU847" s="448" t="str">
        <f>_xlfn.IFNA(VLOOKUP($BK847,Programma!$F$3:$P$1101,11,0),"")</f>
        <v/>
      </c>
      <c r="BV847" s="448" t="str">
        <f>_xlfn.IFNA(VLOOKUP($BK847,Programma!$F$3:$Q$1101,12,0),"")</f>
        <v/>
      </c>
      <c r="BW847" s="448" t="str">
        <f>_xlfn.IFNA(VLOOKUP($BK847,Programma!$F$3:$R$1101,13,0),"")</f>
        <v/>
      </c>
      <c r="BX847" s="448" t="str">
        <f>_xlfn.IFNA(VLOOKUP($BK847,Programma!$F$3:$S$1101,14,0),"")</f>
        <v/>
      </c>
      <c r="BY847" s="448" t="str">
        <f>_xlfn.IFNA(VLOOKUP($BK847,Programma!$F$3:$T$1101,15,0),"")</f>
        <v/>
      </c>
      <c r="BZ847" s="448" t="str">
        <f>_xlfn.IFNA(VLOOKUP($BK847,Programma!$F$3:$U$1101,16,0),"")</f>
        <v/>
      </c>
      <c r="CA847" s="448" t="str">
        <f>_xlfn.IFNA(VLOOKUP($BK847,Programma!$F$3:$V$1101,17,0),"")</f>
        <v/>
      </c>
      <c r="CB847" s="448" t="str">
        <f>_xlfn.IFNA(VLOOKUP($BK847,Programma!$F$3:$W$1101,18,0),"")</f>
        <v/>
      </c>
      <c r="CC847" s="448" t="str">
        <f>_xlfn.IFNA(VLOOKUP($BK847,Programma!$F$3:$X$1101,19,0),"")</f>
        <v/>
      </c>
      <c r="CD847" s="448" t="str">
        <f>_xlfn.IFNA(VLOOKUP($BK847,Programma!$F$3:$Y$1101,20,0),"")</f>
        <v/>
      </c>
    </row>
    <row r="848" spans="1:82" ht="15" customHeight="1">
      <c r="A848" s="327">
        <v>24</v>
      </c>
      <c r="B848" s="435" t="str">
        <f>VLOOKUP(Ruimtestaat[[#This Row],[Code]],Locaties[[Code]:[Locatie]],2,FALSE)</f>
        <v>IKC De Gaerde</v>
      </c>
      <c r="C848" s="435" t="str">
        <f>VLOOKUP(Ruimtestaat[[#This Row],[Code]],Locaties[[#All],[Code]:[Adres]],4,FALSE)</f>
        <v>Moerbeigaarde 58A</v>
      </c>
      <c r="D848" s="435" t="str">
        <f>VLOOKUP(Ruimtestaat[[#This Row],[Code]],Locaties[[#All],[Code]:[Postcode]],5,FALSE)</f>
        <v>2723 AG</v>
      </c>
      <c r="E848" s="435" t="str">
        <f>VLOOKUP(Ruimtestaat[[#This Row],[Code]],Locaties[#All],6,FALSE)</f>
        <v>Zoetermeer</v>
      </c>
      <c r="F848" s="450" t="s">
        <v>1705</v>
      </c>
      <c r="G848" s="330" t="s">
        <v>1769</v>
      </c>
      <c r="H848" s="330" t="s">
        <v>1757</v>
      </c>
      <c r="I848" s="450" t="s">
        <v>2025</v>
      </c>
      <c r="J848" s="330">
        <v>9</v>
      </c>
      <c r="K848" s="450" t="str">
        <f>VLOOKUP(Ruimtestaat[[#This Row],[Ruimte code]],Ruimtegroepen[[#All],[Code]:[Ruimte omschrijving]],2,FALSE)</f>
        <v>Bibliotheek/OLC</v>
      </c>
      <c r="L848" s="330" t="s">
        <v>100</v>
      </c>
      <c r="M848" s="437" t="s">
        <v>2058</v>
      </c>
      <c r="N848" s="439"/>
      <c r="O848" s="439"/>
      <c r="P848" s="439"/>
      <c r="Q848" s="439">
        <v>13.5</v>
      </c>
      <c r="R848" s="440" t="str">
        <f>VLOOKUP(Ruimtestaat[[#This Row],[Ruimte code]],Ruimtegroepen[],4,FALSE)</f>
        <v>Le</v>
      </c>
      <c r="S848" s="434">
        <v>51</v>
      </c>
      <c r="T848" s="434" t="s">
        <v>2</v>
      </c>
      <c r="U848" s="453">
        <f>IF(S848&gt;0,IF(RIGHT(Ruimtestaat[[#This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48" s="434">
        <f>IF(U848&gt;0,VLOOKUP($J848,Ruimtegroepen[],3,FALSE)*VLOOKUP($L848,Vloersoorten[],3,FALSE)*VLOOKUP($T848,Frequenties[],3,FALSE)*VLOOKUP($A848,Locaties[],3,FALSE),0)</f>
        <v>0</v>
      </c>
      <c r="W848" s="434">
        <f>Ruimtestaat[[#This Row],[Uitvoeringen werkdagen]]*Ruimtestaat[[#This Row],[Oppervlak (netto)]]</f>
        <v>0</v>
      </c>
      <c r="X848" s="441">
        <f>IF(V848&gt;0,Ruimtestaat[[#This Row],[Prest. (m2 /jaar) werkdagen]]/Ruimtestaat[[#This Row],[Norm (m2/uur) werkdagen]],0)</f>
        <v>0</v>
      </c>
      <c r="Y848" s="442">
        <f>Ruimtestaat[[#This Row],[Uitvoeringen werkdagen]]*Ruimtestaat[[#This Row],[Gedeeltelijk]]</f>
        <v>0</v>
      </c>
      <c r="Z848" s="443" t="e">
        <f>IF(U848&gt;0,Ruimtestaat[[#This Row],[Prest. (m2 / jaar) werkdagen gedeeld]]/Ruimtestaat[[#This Row],[Norm (m2/uur) werkdagen]],0)</f>
        <v>#DIV/0!</v>
      </c>
      <c r="AA848" s="441" t="e">
        <f>Ruimtestaat[[#This Row],[uren / jaar werkdagen gedeeld]]*Tariefsopbouw!$E$35</f>
        <v>#DIV/0!</v>
      </c>
      <c r="AB848" s="441">
        <f>Ruimtestaat[[#This Row],[Uitvoeringen werkdagen]]*Ruimtestaat[[#This Row],[BSO]]</f>
        <v>3442.5</v>
      </c>
      <c r="AC848" s="443" t="e">
        <f>IF(U848&gt;0,Ruimtestaat[[#This Row],[Prest. (m2 / jaar) werkdagen BSO]]/Ruimtestaat[[#This Row],[Norm (m2/uur) werkdagen]],0)</f>
        <v>#DIV/0!</v>
      </c>
      <c r="AD848" s="443" t="e">
        <f>Ruimtestaat[[#This Row],[uren / jaar werkdagen BSO]]*Tariefsopbouw!$E$35</f>
        <v>#DIV/0!</v>
      </c>
      <c r="AE848" s="444">
        <f>Ruimtestaat[[#This Row],[uren / jaar werkdagen]]*Tariefsopbouw!$E$35</f>
        <v>0</v>
      </c>
      <c r="AF848" s="454"/>
      <c r="AG848" s="455">
        <f>IF(Ruimtestaat[[#This Row],[Frequentie weekend]]&gt;0,VALUE(LEFT(AF848,1))*S848,0)</f>
        <v>0</v>
      </c>
      <c r="AH848" s="455">
        <f>IF($AG848&gt;0,VLOOKUP($J848,Ruimtegroepen[],3,FALSE)*VLOOKUP($L848,Vloersoorten[],3,FALSE)*VLOOKUP($AF848,Frequenties[],3,FALSE)*VLOOKUP(#REF!,Locaties[],3,FALSE),0)</f>
        <v>0</v>
      </c>
      <c r="AI848" s="434">
        <f>Ruimtestaat[[#This Row],[Uitvoeringen weekend]]*Ruimtestaat[[#This Row],[Oppervlak (netto)]]</f>
        <v>0</v>
      </c>
      <c r="AJ848" s="434">
        <f>IF(AH848&gt;0,Ruimtestaat[[#This Row],[Prest. (m2 /jaar) weekend]]/Ruimtestaat[[#This Row],[Norm (m2/uur) weekend]],0)</f>
        <v>0</v>
      </c>
      <c r="AK848" s="444">
        <f>Ruimtestaat[[#This Row],[uren / jaar weekend]]*Tariefsopbouw!$D$40</f>
        <v>0</v>
      </c>
      <c r="AL848" s="441">
        <f>Ruimtestaat[[#This Row],[Prest. (m2 /jaar) weekend]]+Ruimtestaat[[#This Row],[Prest. (m2 /jaar) werkdagen]]</f>
        <v>0</v>
      </c>
      <c r="AM848" s="441">
        <f>Ruimtestaat[[#This Row],[uren / jaar weekend]]+Ruimtestaat[[#This Row],[uren / jaar werkdagen]]</f>
        <v>0</v>
      </c>
      <c r="AN848" s="446">
        <f>Ruimtestaat[[#This Row],[kosten / jaar weekend]]+Ruimtestaat[[#This Row],[kosten / jaar werkdagen]]</f>
        <v>0</v>
      </c>
      <c r="AO848" s="446"/>
      <c r="AP848" s="446" t="str">
        <f>IF(Ruimtestaat[[#This Row],[Frequentie werkdagen]]="","",_xlfn.CONCAT(Ruimtestaat[[#This Row],[Ruimte code]],"-",Ruimtestaat[[#This Row],[Frequentie werkdagen]]," ",Ruimtestaat[[#This Row],[Vloer code]]))</f>
        <v>9-5w L</v>
      </c>
      <c r="AQ848" s="448" t="str">
        <f>_xlfn.IFNA(VLOOKUP($AP848,Programma!$F$3:$G$1101,2,0),"")</f>
        <v>_</v>
      </c>
      <c r="AR848" s="448" t="str">
        <f>_xlfn.IFNA(VLOOKUP($AP848,Programma!$F$3:$H$1101,3,0),"")</f>
        <v>_</v>
      </c>
      <c r="AS848" s="448" t="str">
        <f>_xlfn.IFNA(VLOOKUP($AP848,Programma!$F$3:$I$1101,4,0),"")</f>
        <v>4w</v>
      </c>
      <c r="AT848" s="448" t="str">
        <f>_xlfn.IFNA(VLOOKUP($AP848,Programma!$F$3:$J$1101,5,0),"")</f>
        <v>1w</v>
      </c>
      <c r="AU848" s="448" t="str">
        <f>_xlfn.IFNA(VLOOKUP($AP848,Programma!$F$3:$K$1101,6,0),"")</f>
        <v>_</v>
      </c>
      <c r="AV848" s="448" t="str">
        <f>_xlfn.IFNA(VLOOKUP($AP848,Programma!$F$3:$L$1101,7,0),"")</f>
        <v>_</v>
      </c>
      <c r="AW848" s="448" t="str">
        <f>_xlfn.IFNA(VLOOKUP($AP848,Programma!$F$3:$M$1101,8,0),"")</f>
        <v>_</v>
      </c>
      <c r="AX848" s="448" t="str">
        <f>_xlfn.IFNA(VLOOKUP($AP848,Programma!$F$3:$N$1101,9,0),"")</f>
        <v>_</v>
      </c>
      <c r="AY848" s="448" t="str">
        <f>_xlfn.IFNA(VLOOKUP($AP848,Programma!$F$3:$O$1101,10,0),"")</f>
        <v>5w</v>
      </c>
      <c r="AZ848" s="448" t="str">
        <f>_xlfn.IFNA(VLOOKUP($AP848,Programma!$F$3:$P$1101,11,0),"")</f>
        <v>5w</v>
      </c>
      <c r="BA848" s="448" t="str">
        <f>_xlfn.IFNA(VLOOKUP($AP848,Programma!$F$3:$Q$1101,12,0),"")</f>
        <v>1w</v>
      </c>
      <c r="BB848" s="448" t="str">
        <f>_xlfn.IFNA(VLOOKUP($AP848,Programma!$F$3:$R$1101,13,0),"")</f>
        <v>1w</v>
      </c>
      <c r="BC848" s="448" t="str">
        <f>_xlfn.IFNA(VLOOKUP($AP848,Programma!$F$3:$S$1101,14,0),"")</f>
        <v>1m</v>
      </c>
      <c r="BD848" s="448" t="str">
        <f>_xlfn.IFNA(VLOOKUP($AP848,Programma!$F$3:$T$1101,15,0),"")</f>
        <v>2j</v>
      </c>
      <c r="BE848" s="448" t="str">
        <f>_xlfn.IFNA(VLOOKUP($AP848,Programma!$F$3:$U$1101,16,0),"")</f>
        <v>1j</v>
      </c>
      <c r="BF848" s="448" t="str">
        <f>_xlfn.IFNA(VLOOKUP($AP848,Programma!$F$3:$V$1101,17,0),"")</f>
        <v>_</v>
      </c>
      <c r="BG848" s="448" t="str">
        <f>_xlfn.IFNA(VLOOKUP($AP848,Programma!$F$3:$W$1101,18,0),"")</f>
        <v>_</v>
      </c>
      <c r="BH848" s="448" t="str">
        <f>_xlfn.IFNA(VLOOKUP($AP848,Programma!$F$3:$X$1101,19,0),"")</f>
        <v>_</v>
      </c>
      <c r="BI848" s="448" t="str">
        <f>_xlfn.IFNA(VLOOKUP($AP848,Programma!$F$3:$Y$1101,20,0),"")</f>
        <v>_</v>
      </c>
      <c r="BJ848" s="449"/>
      <c r="BK848" s="446" t="str">
        <f>IF(Ruimtestaat[[#This Row],[Frequentie weekend]]="","",_xlfn.CONCAT(Ruimtestaat[[#This Row],[Ruimte code]],"-",Ruimtestaat[[#This Row],[Frequentie weekend]]," ",Ruimtestaat[[#This Row],[Vloer code]]))</f>
        <v/>
      </c>
      <c r="BL848" s="448" t="str">
        <f>_xlfn.IFNA(VLOOKUP($BK848,Programma!$F$3:$G$1101,2,0),"")</f>
        <v/>
      </c>
      <c r="BM848" s="448" t="str">
        <f>_xlfn.IFNA(VLOOKUP($BK848,Programma!$F$3:$H$1101,3,0),"")</f>
        <v/>
      </c>
      <c r="BN848" s="448" t="str">
        <f>_xlfn.IFNA(VLOOKUP($BK848,Programma!$F$3:$I$1101,4,0),"")</f>
        <v/>
      </c>
      <c r="BO848" s="448" t="str">
        <f>_xlfn.IFNA(VLOOKUP($BK848,Programma!$F$3:$J$1101,5,0),"")</f>
        <v/>
      </c>
      <c r="BP848" s="448" t="str">
        <f>_xlfn.IFNA(VLOOKUP($BK848,Programma!$F$3:$K$1101,6,0),"")</f>
        <v/>
      </c>
      <c r="BQ848" s="448" t="str">
        <f>_xlfn.IFNA(VLOOKUP($BK848,Programma!$F$3:$L$1101,7,0),"")</f>
        <v/>
      </c>
      <c r="BR848" s="448" t="str">
        <f>_xlfn.IFNA(VLOOKUP($BK848,Programma!$F$3:$M$1101,8,0),"")</f>
        <v/>
      </c>
      <c r="BS848" s="448" t="str">
        <f>_xlfn.IFNA(VLOOKUP($BK848,Programma!$F$3:$N$1101,9,0),"")</f>
        <v/>
      </c>
      <c r="BT848" s="448" t="str">
        <f>_xlfn.IFNA(VLOOKUP($BK848,Programma!$F$3:$O$1101,10,0),"")</f>
        <v/>
      </c>
      <c r="BU848" s="448" t="str">
        <f>_xlfn.IFNA(VLOOKUP($BK848,Programma!$F$3:$P$1101,11,0),"")</f>
        <v/>
      </c>
      <c r="BV848" s="448" t="str">
        <f>_xlfn.IFNA(VLOOKUP($BK848,Programma!$F$3:$Q$1101,12,0),"")</f>
        <v/>
      </c>
      <c r="BW848" s="448" t="str">
        <f>_xlfn.IFNA(VLOOKUP($BK848,Programma!$F$3:$R$1101,13,0),"")</f>
        <v/>
      </c>
      <c r="BX848" s="448" t="str">
        <f>_xlfn.IFNA(VLOOKUP($BK848,Programma!$F$3:$S$1101,14,0),"")</f>
        <v/>
      </c>
      <c r="BY848" s="448" t="str">
        <f>_xlfn.IFNA(VLOOKUP($BK848,Programma!$F$3:$T$1101,15,0),"")</f>
        <v/>
      </c>
      <c r="BZ848" s="448" t="str">
        <f>_xlfn.IFNA(VLOOKUP($BK848,Programma!$F$3:$U$1101,16,0),"")</f>
        <v/>
      </c>
      <c r="CA848" s="448" t="str">
        <f>_xlfn.IFNA(VLOOKUP($BK848,Programma!$F$3:$V$1101,17,0),"")</f>
        <v/>
      </c>
      <c r="CB848" s="448" t="str">
        <f>_xlfn.IFNA(VLOOKUP($BK848,Programma!$F$3:$W$1101,18,0),"")</f>
        <v/>
      </c>
      <c r="CC848" s="448" t="str">
        <f>_xlfn.IFNA(VLOOKUP($BK848,Programma!$F$3:$X$1101,19,0),"")</f>
        <v/>
      </c>
      <c r="CD848" s="448" t="str">
        <f>_xlfn.IFNA(VLOOKUP($BK848,Programma!$F$3:$Y$1101,20,0),"")</f>
        <v/>
      </c>
    </row>
    <row r="849" spans="1:82" ht="15" customHeight="1">
      <c r="A849" s="327">
        <v>24</v>
      </c>
      <c r="B849" s="435" t="str">
        <f>VLOOKUP(Ruimtestaat[[#This Row],[Code]],Locaties[[Code]:[Locatie]],2,FALSE)</f>
        <v>IKC De Gaerde</v>
      </c>
      <c r="C849" s="435" t="str">
        <f>VLOOKUP(Ruimtestaat[[#This Row],[Code]],Locaties[[#All],[Code]:[Adres]],4,FALSE)</f>
        <v>Moerbeigaarde 58A</v>
      </c>
      <c r="D849" s="435" t="str">
        <f>VLOOKUP(Ruimtestaat[[#This Row],[Code]],Locaties[[#All],[Code]:[Postcode]],5,FALSE)</f>
        <v>2723 AG</v>
      </c>
      <c r="E849" s="435" t="str">
        <f>VLOOKUP(Ruimtestaat[[#This Row],[Code]],Locaties[#All],6,FALSE)</f>
        <v>Zoetermeer</v>
      </c>
      <c r="F849" s="450"/>
      <c r="G849" s="330" t="s">
        <v>1769</v>
      </c>
      <c r="H849" s="330" t="s">
        <v>1755</v>
      </c>
      <c r="I849" s="450" t="s">
        <v>1901</v>
      </c>
      <c r="J849" s="330">
        <v>11</v>
      </c>
      <c r="K849" s="450" t="str">
        <f>VLOOKUP(Ruimtestaat[[#This Row],[Ruimte code]],Ruimtegroepen[[#All],[Code]:[Ruimte omschrijving]],2,FALSE)</f>
        <v>Garderobes</v>
      </c>
      <c r="L849" s="330" t="s">
        <v>100</v>
      </c>
      <c r="M849" s="437" t="s">
        <v>2058</v>
      </c>
      <c r="N849" s="439">
        <v>1.4</v>
      </c>
      <c r="O849" s="439"/>
      <c r="P849" s="439"/>
      <c r="Q849" s="439"/>
      <c r="R849" s="440" t="str">
        <f>VLOOKUP(Ruimtestaat[[#This Row],[Ruimte code]],Ruimtegroepen[],4,FALSE)</f>
        <v>Ve</v>
      </c>
      <c r="S849" s="434">
        <v>40</v>
      </c>
      <c r="T849" s="434" t="s">
        <v>2</v>
      </c>
      <c r="U849" s="453">
        <f>IF(S849&gt;0,IF(RIGHT(Ruimtestaat[[#This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9" s="434">
        <f>IF(U849&gt;0,VLOOKUP($J849,Ruimtegroepen[],3,FALSE)*VLOOKUP($L849,Vloersoorten[],3,FALSE)*VLOOKUP($T849,Frequenties[],3,FALSE)*VLOOKUP($A849,Locaties[],3,FALSE),0)</f>
        <v>0</v>
      </c>
      <c r="W849" s="434">
        <f>Ruimtestaat[[#This Row],[Uitvoeringen werkdagen]]*Ruimtestaat[[#This Row],[Oppervlak (netto)]]</f>
        <v>280</v>
      </c>
      <c r="X849" s="441">
        <f>IF(V849&gt;0,Ruimtestaat[[#This Row],[Prest. (m2 /jaar) werkdagen]]/Ruimtestaat[[#This Row],[Norm (m2/uur) werkdagen]],0)</f>
        <v>0</v>
      </c>
      <c r="Y849" s="442">
        <f>Ruimtestaat[[#This Row],[Uitvoeringen werkdagen]]*Ruimtestaat[[#This Row],[Gedeeltelijk]]</f>
        <v>0</v>
      </c>
      <c r="Z849" s="443" t="e">
        <f>IF(U849&gt;0,Ruimtestaat[[#This Row],[Prest. (m2 / jaar) werkdagen gedeeld]]/Ruimtestaat[[#This Row],[Norm (m2/uur) werkdagen]],0)</f>
        <v>#DIV/0!</v>
      </c>
      <c r="AA849" s="441" t="e">
        <f>Ruimtestaat[[#This Row],[uren / jaar werkdagen gedeeld]]*Tariefsopbouw!$E$35</f>
        <v>#DIV/0!</v>
      </c>
      <c r="AB849" s="441">
        <f>Ruimtestaat[[#This Row],[Uitvoeringen werkdagen]]*Ruimtestaat[[#This Row],[BSO]]</f>
        <v>0</v>
      </c>
      <c r="AC849" s="443" t="e">
        <f>IF(U849&gt;0,Ruimtestaat[[#This Row],[Prest. (m2 / jaar) werkdagen BSO]]/Ruimtestaat[[#This Row],[Norm (m2/uur) werkdagen]],0)</f>
        <v>#DIV/0!</v>
      </c>
      <c r="AD849" s="443" t="e">
        <f>Ruimtestaat[[#This Row],[uren / jaar werkdagen BSO]]*Tariefsopbouw!$E$35</f>
        <v>#DIV/0!</v>
      </c>
      <c r="AE849" s="444">
        <f>Ruimtestaat[[#This Row],[uren / jaar werkdagen]]*Tariefsopbouw!$E$35</f>
        <v>0</v>
      </c>
      <c r="AF849" s="454"/>
      <c r="AG849" s="455">
        <f>IF(Ruimtestaat[[#This Row],[Frequentie weekend]]&gt;0,VALUE(LEFT(AF849,1))*S849,0)</f>
        <v>0</v>
      </c>
      <c r="AH849" s="455">
        <f>IF($AG849&gt;0,VLOOKUP($J849,Ruimtegroepen[],3,FALSE)*VLOOKUP($L849,Vloersoorten[],3,FALSE)*VLOOKUP($AF849,Frequenties[],3,FALSE)*VLOOKUP(#REF!,Locaties[],3,FALSE),0)</f>
        <v>0</v>
      </c>
      <c r="AI849" s="434">
        <f>Ruimtestaat[[#This Row],[Uitvoeringen weekend]]*Ruimtestaat[[#This Row],[Oppervlak (netto)]]</f>
        <v>0</v>
      </c>
      <c r="AJ849" s="434">
        <f>IF(AH849&gt;0,Ruimtestaat[[#This Row],[Prest. (m2 /jaar) weekend]]/Ruimtestaat[[#This Row],[Norm (m2/uur) weekend]],0)</f>
        <v>0</v>
      </c>
      <c r="AK849" s="444">
        <f>Ruimtestaat[[#This Row],[uren / jaar weekend]]*Tariefsopbouw!$D$40</f>
        <v>0</v>
      </c>
      <c r="AL849" s="441">
        <f>Ruimtestaat[[#This Row],[Prest. (m2 /jaar) weekend]]+Ruimtestaat[[#This Row],[Prest. (m2 /jaar) werkdagen]]</f>
        <v>280</v>
      </c>
      <c r="AM849" s="441">
        <f>Ruimtestaat[[#This Row],[uren / jaar weekend]]+Ruimtestaat[[#This Row],[uren / jaar werkdagen]]</f>
        <v>0</v>
      </c>
      <c r="AN849" s="446">
        <f>Ruimtestaat[[#This Row],[kosten / jaar weekend]]+Ruimtestaat[[#This Row],[kosten / jaar werkdagen]]</f>
        <v>0</v>
      </c>
      <c r="AO849" s="446"/>
      <c r="AP849" s="446" t="str">
        <f>IF(Ruimtestaat[[#This Row],[Frequentie werkdagen]]="","",_xlfn.CONCAT(Ruimtestaat[[#This Row],[Ruimte code]],"-",Ruimtestaat[[#This Row],[Frequentie werkdagen]]," ",Ruimtestaat[[#This Row],[Vloer code]]))</f>
        <v>11-5w L</v>
      </c>
      <c r="AQ849" s="448" t="str">
        <f>_xlfn.IFNA(VLOOKUP($AP849,Programma!$F$3:$G$1101,2,0),"")</f>
        <v>_</v>
      </c>
      <c r="AR849" s="448" t="str">
        <f>_xlfn.IFNA(VLOOKUP($AP849,Programma!$F$3:$H$1101,3,0),"")</f>
        <v>_</v>
      </c>
      <c r="AS849" s="448" t="str">
        <f>_xlfn.IFNA(VLOOKUP($AP849,Programma!$F$3:$I$1101,4,0),"")</f>
        <v>4w</v>
      </c>
      <c r="AT849" s="448" t="str">
        <f>_xlfn.IFNA(VLOOKUP($AP849,Programma!$F$3:$J$1101,5,0),"")</f>
        <v>1w</v>
      </c>
      <c r="AU849" s="448" t="str">
        <f>_xlfn.IFNA(VLOOKUP($AP849,Programma!$F$3:$K$1101,6,0),"")</f>
        <v>_</v>
      </c>
      <c r="AV849" s="448" t="str">
        <f>_xlfn.IFNA(VLOOKUP($AP849,Programma!$F$3:$L$1101,7,0),"")</f>
        <v>_</v>
      </c>
      <c r="AW849" s="448" t="str">
        <f>_xlfn.IFNA(VLOOKUP($AP849,Programma!$F$3:$M$1101,8,0),"")</f>
        <v>_</v>
      </c>
      <c r="AX849" s="448" t="str">
        <f>_xlfn.IFNA(VLOOKUP($AP849,Programma!$F$3:$N$1101,9,0),"")</f>
        <v>_</v>
      </c>
      <c r="AY849" s="448" t="str">
        <f>_xlfn.IFNA(VLOOKUP($AP849,Programma!$F$3:$O$1101,10,0),"")</f>
        <v>5w</v>
      </c>
      <c r="AZ849" s="448" t="str">
        <f>_xlfn.IFNA(VLOOKUP($AP849,Programma!$F$3:$P$1101,11,0),"")</f>
        <v>5w</v>
      </c>
      <c r="BA849" s="448" t="str">
        <f>_xlfn.IFNA(VLOOKUP($AP849,Programma!$F$3:$Q$1101,12,0),"")</f>
        <v>1w</v>
      </c>
      <c r="BB849" s="448" t="str">
        <f>_xlfn.IFNA(VLOOKUP($AP849,Programma!$F$3:$R$1101,13,0),"")</f>
        <v>1w</v>
      </c>
      <c r="BC849" s="448" t="str">
        <f>_xlfn.IFNA(VLOOKUP($AP849,Programma!$F$3:$S$1101,14,0),"")</f>
        <v>1m</v>
      </c>
      <c r="BD849" s="448" t="str">
        <f>_xlfn.IFNA(VLOOKUP($AP849,Programma!$F$3:$T$1101,15,0),"")</f>
        <v>2j</v>
      </c>
      <c r="BE849" s="448" t="str">
        <f>_xlfn.IFNA(VLOOKUP($AP849,Programma!$F$3:$U$1101,16,0),"")</f>
        <v>1j</v>
      </c>
      <c r="BF849" s="448" t="str">
        <f>_xlfn.IFNA(VLOOKUP($AP849,Programma!$F$3:$V$1101,17,0),"")</f>
        <v>_</v>
      </c>
      <c r="BG849" s="448" t="str">
        <f>_xlfn.IFNA(VLOOKUP($AP849,Programma!$F$3:$W$1101,18,0),"")</f>
        <v>_</v>
      </c>
      <c r="BH849" s="448" t="str">
        <f>_xlfn.IFNA(VLOOKUP($AP849,Programma!$F$3:$X$1101,19,0),"")</f>
        <v>_</v>
      </c>
      <c r="BI849" s="448" t="str">
        <f>_xlfn.IFNA(VLOOKUP($AP849,Programma!$F$3:$Y$1101,20,0),"")</f>
        <v>_</v>
      </c>
      <c r="BJ849" s="449"/>
      <c r="BK849" s="446" t="str">
        <f>IF(Ruimtestaat[[#This Row],[Frequentie weekend]]="","",_xlfn.CONCAT(Ruimtestaat[[#This Row],[Ruimte code]],"-",Ruimtestaat[[#This Row],[Frequentie weekend]]," ",Ruimtestaat[[#This Row],[Vloer code]]))</f>
        <v/>
      </c>
      <c r="BL849" s="448" t="str">
        <f>_xlfn.IFNA(VLOOKUP($BK849,Programma!$F$3:$G$1101,2,0),"")</f>
        <v/>
      </c>
      <c r="BM849" s="448" t="str">
        <f>_xlfn.IFNA(VLOOKUP($BK849,Programma!$F$3:$H$1101,3,0),"")</f>
        <v/>
      </c>
      <c r="BN849" s="448" t="str">
        <f>_xlfn.IFNA(VLOOKUP($BK849,Programma!$F$3:$I$1101,4,0),"")</f>
        <v/>
      </c>
      <c r="BO849" s="448" t="str">
        <f>_xlfn.IFNA(VLOOKUP($BK849,Programma!$F$3:$J$1101,5,0),"")</f>
        <v/>
      </c>
      <c r="BP849" s="448" t="str">
        <f>_xlfn.IFNA(VLOOKUP($BK849,Programma!$F$3:$K$1101,6,0),"")</f>
        <v/>
      </c>
      <c r="BQ849" s="448" t="str">
        <f>_xlfn.IFNA(VLOOKUP($BK849,Programma!$F$3:$L$1101,7,0),"")</f>
        <v/>
      </c>
      <c r="BR849" s="448" t="str">
        <f>_xlfn.IFNA(VLOOKUP($BK849,Programma!$F$3:$M$1101,8,0),"")</f>
        <v/>
      </c>
      <c r="BS849" s="448" t="str">
        <f>_xlfn.IFNA(VLOOKUP($BK849,Programma!$F$3:$N$1101,9,0),"")</f>
        <v/>
      </c>
      <c r="BT849" s="448" t="str">
        <f>_xlfn.IFNA(VLOOKUP($BK849,Programma!$F$3:$O$1101,10,0),"")</f>
        <v/>
      </c>
      <c r="BU849" s="448" t="str">
        <f>_xlfn.IFNA(VLOOKUP($BK849,Programma!$F$3:$P$1101,11,0),"")</f>
        <v/>
      </c>
      <c r="BV849" s="448" t="str">
        <f>_xlfn.IFNA(VLOOKUP($BK849,Programma!$F$3:$Q$1101,12,0),"")</f>
        <v/>
      </c>
      <c r="BW849" s="448" t="str">
        <f>_xlfn.IFNA(VLOOKUP($BK849,Programma!$F$3:$R$1101,13,0),"")</f>
        <v/>
      </c>
      <c r="BX849" s="448" t="str">
        <f>_xlfn.IFNA(VLOOKUP($BK849,Programma!$F$3:$S$1101,14,0),"")</f>
        <v/>
      </c>
      <c r="BY849" s="448" t="str">
        <f>_xlfn.IFNA(VLOOKUP($BK849,Programma!$F$3:$T$1101,15,0),"")</f>
        <v/>
      </c>
      <c r="BZ849" s="448" t="str">
        <f>_xlfn.IFNA(VLOOKUP($BK849,Programma!$F$3:$U$1101,16,0),"")</f>
        <v/>
      </c>
      <c r="CA849" s="448" t="str">
        <f>_xlfn.IFNA(VLOOKUP($BK849,Programma!$F$3:$V$1101,17,0),"")</f>
        <v/>
      </c>
      <c r="CB849" s="448" t="str">
        <f>_xlfn.IFNA(VLOOKUP($BK849,Programma!$F$3:$W$1101,18,0),"")</f>
        <v/>
      </c>
      <c r="CC849" s="448" t="str">
        <f>_xlfn.IFNA(VLOOKUP($BK849,Programma!$F$3:$X$1101,19,0),"")</f>
        <v/>
      </c>
      <c r="CD849" s="448" t="str">
        <f>_xlfn.IFNA(VLOOKUP($BK849,Programma!$F$3:$Y$1101,20,0),"")</f>
        <v/>
      </c>
    </row>
    <row r="850" spans="1:82" ht="15" customHeight="1">
      <c r="A850" s="327">
        <v>24</v>
      </c>
      <c r="B850" s="435" t="str">
        <f>VLOOKUP(Ruimtestaat[[#This Row],[Code]],Locaties[[Code]:[Locatie]],2,FALSE)</f>
        <v>IKC De Gaerde</v>
      </c>
      <c r="C850" s="435" t="str">
        <f>VLOOKUP(Ruimtestaat[[#This Row],[Code]],Locaties[[#All],[Code]:[Adres]],4,FALSE)</f>
        <v>Moerbeigaarde 58A</v>
      </c>
      <c r="D850" s="435" t="str">
        <f>VLOOKUP(Ruimtestaat[[#This Row],[Code]],Locaties[[#All],[Code]:[Postcode]],5,FALSE)</f>
        <v>2723 AG</v>
      </c>
      <c r="E850" s="435" t="str">
        <f>VLOOKUP(Ruimtestaat[[#This Row],[Code]],Locaties[#All],6,FALSE)</f>
        <v>Zoetermeer</v>
      </c>
      <c r="F850" s="450"/>
      <c r="G850" s="330" t="s">
        <v>1769</v>
      </c>
      <c r="H850" s="330" t="s">
        <v>1746</v>
      </c>
      <c r="I850" s="450" t="s">
        <v>1914</v>
      </c>
      <c r="J850" s="330">
        <v>1</v>
      </c>
      <c r="K850" s="450" t="str">
        <f>VLOOKUP(Ruimtestaat[[#This Row],[Ruimte code]],Ruimtegroepen[[#All],[Code]:[Ruimte omschrijving]],2,FALSE)</f>
        <v>Magazijnen/bergingen</v>
      </c>
      <c r="L850" s="330" t="s">
        <v>100</v>
      </c>
      <c r="M850" s="437" t="s">
        <v>2058</v>
      </c>
      <c r="N850" s="439">
        <v>2.5</v>
      </c>
      <c r="O850" s="439"/>
      <c r="P850" s="439"/>
      <c r="Q850" s="439"/>
      <c r="R850" s="440" t="str">
        <f>VLOOKUP(Ruimtestaat[[#This Row],[Ruimte code]],Ruimtegroepen[],4,FALSE)</f>
        <v>Ve</v>
      </c>
      <c r="S850" s="434">
        <v>40</v>
      </c>
      <c r="T850" s="434" t="s">
        <v>16</v>
      </c>
      <c r="U850" s="453">
        <f>IF(S850&gt;0,IF(RIGHT(Ruimtestaat[[#This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50" s="434">
        <f>IF(U850&gt;0,VLOOKUP($J850,Ruimtegroepen[],3,FALSE)*VLOOKUP($L850,Vloersoorten[],3,FALSE)*VLOOKUP($T850,Frequenties[],3,FALSE)*VLOOKUP($A850,Locaties[],3,FALSE),0)</f>
        <v>0</v>
      </c>
      <c r="W850" s="434">
        <f>Ruimtestaat[[#This Row],[Uitvoeringen werkdagen]]*Ruimtestaat[[#This Row],[Oppervlak (netto)]]</f>
        <v>30</v>
      </c>
      <c r="X850" s="441">
        <f>IF(V850&gt;0,Ruimtestaat[[#This Row],[Prest. (m2 /jaar) werkdagen]]/Ruimtestaat[[#This Row],[Norm (m2/uur) werkdagen]],0)</f>
        <v>0</v>
      </c>
      <c r="Y850" s="442">
        <f>Ruimtestaat[[#This Row],[Uitvoeringen werkdagen]]*Ruimtestaat[[#This Row],[Gedeeltelijk]]</f>
        <v>0</v>
      </c>
      <c r="Z850" s="443" t="e">
        <f>IF(U850&gt;0,Ruimtestaat[[#This Row],[Prest. (m2 / jaar) werkdagen gedeeld]]/Ruimtestaat[[#This Row],[Norm (m2/uur) werkdagen]],0)</f>
        <v>#DIV/0!</v>
      </c>
      <c r="AA850" s="441" t="e">
        <f>Ruimtestaat[[#This Row],[uren / jaar werkdagen gedeeld]]*Tariefsopbouw!$E$35</f>
        <v>#DIV/0!</v>
      </c>
      <c r="AB850" s="441">
        <f>Ruimtestaat[[#This Row],[Uitvoeringen werkdagen]]*Ruimtestaat[[#This Row],[BSO]]</f>
        <v>0</v>
      </c>
      <c r="AC850" s="443" t="e">
        <f>IF(U850&gt;0,Ruimtestaat[[#This Row],[Prest. (m2 / jaar) werkdagen BSO]]/Ruimtestaat[[#This Row],[Norm (m2/uur) werkdagen]],0)</f>
        <v>#DIV/0!</v>
      </c>
      <c r="AD850" s="443" t="e">
        <f>Ruimtestaat[[#This Row],[uren / jaar werkdagen BSO]]*Tariefsopbouw!$E$35</f>
        <v>#DIV/0!</v>
      </c>
      <c r="AE850" s="444">
        <f>Ruimtestaat[[#This Row],[uren / jaar werkdagen]]*Tariefsopbouw!$E$35</f>
        <v>0</v>
      </c>
      <c r="AF850" s="454"/>
      <c r="AG850" s="455">
        <f>IF(Ruimtestaat[[#This Row],[Frequentie weekend]]&gt;0,VALUE(LEFT(AF850,1))*S850,0)</f>
        <v>0</v>
      </c>
      <c r="AH850" s="455">
        <f>IF($AG850&gt;0,VLOOKUP($J850,Ruimtegroepen[],3,FALSE)*VLOOKUP($L850,Vloersoorten[],3,FALSE)*VLOOKUP($AF850,Frequenties[],3,FALSE)*VLOOKUP(#REF!,Locaties[],3,FALSE),0)</f>
        <v>0</v>
      </c>
      <c r="AI850" s="434">
        <f>Ruimtestaat[[#This Row],[Uitvoeringen weekend]]*Ruimtestaat[[#This Row],[Oppervlak (netto)]]</f>
        <v>0</v>
      </c>
      <c r="AJ850" s="434">
        <f>IF(AH850&gt;0,Ruimtestaat[[#This Row],[Prest. (m2 /jaar) weekend]]/Ruimtestaat[[#This Row],[Norm (m2/uur) weekend]],0)</f>
        <v>0</v>
      </c>
      <c r="AK850" s="444">
        <f>Ruimtestaat[[#This Row],[uren / jaar weekend]]*Tariefsopbouw!$D$40</f>
        <v>0</v>
      </c>
      <c r="AL850" s="441">
        <f>Ruimtestaat[[#This Row],[Prest. (m2 /jaar) weekend]]+Ruimtestaat[[#This Row],[Prest. (m2 /jaar) werkdagen]]</f>
        <v>30</v>
      </c>
      <c r="AM850" s="441">
        <f>Ruimtestaat[[#This Row],[uren / jaar weekend]]+Ruimtestaat[[#This Row],[uren / jaar werkdagen]]</f>
        <v>0</v>
      </c>
      <c r="AN850" s="446">
        <f>Ruimtestaat[[#This Row],[kosten / jaar weekend]]+Ruimtestaat[[#This Row],[kosten / jaar werkdagen]]</f>
        <v>0</v>
      </c>
      <c r="AO850" s="446"/>
      <c r="AP850" s="446" t="str">
        <f>IF(Ruimtestaat[[#This Row],[Frequentie werkdagen]]="","",_xlfn.CONCAT(Ruimtestaat[[#This Row],[Ruimte code]],"-",Ruimtestaat[[#This Row],[Frequentie werkdagen]]," ",Ruimtestaat[[#This Row],[Vloer code]]))</f>
        <v>1-1m L</v>
      </c>
      <c r="AQ850" s="448" t="str">
        <f>_xlfn.IFNA(VLOOKUP($AP850,Programma!$F$3:$G$1101,2,0),"")</f>
        <v>_</v>
      </c>
      <c r="AR850" s="448" t="str">
        <f>_xlfn.IFNA(VLOOKUP($AP850,Programma!$F$3:$H$1101,3,0),"")</f>
        <v>_</v>
      </c>
      <c r="AS850" s="448" t="str">
        <f>_xlfn.IFNA(VLOOKUP($AP850,Programma!$F$3:$I$1101,4,0),"")</f>
        <v>1m</v>
      </c>
      <c r="AT850" s="448" t="str">
        <f>_xlfn.IFNA(VLOOKUP($AP850,Programma!$F$3:$J$1101,5,0),"")</f>
        <v>1m</v>
      </c>
      <c r="AU850" s="448" t="str">
        <f>_xlfn.IFNA(VLOOKUP($AP850,Programma!$F$3:$K$1101,6,0),"")</f>
        <v>_</v>
      </c>
      <c r="AV850" s="448" t="str">
        <f>_xlfn.IFNA(VLOOKUP($AP850,Programma!$F$3:$L$1101,7,0),"")</f>
        <v>_</v>
      </c>
      <c r="AW850" s="448" t="str">
        <f>_xlfn.IFNA(VLOOKUP($AP850,Programma!$F$3:$M$1101,8,0),"")</f>
        <v>_</v>
      </c>
      <c r="AX850" s="448" t="str">
        <f>_xlfn.IFNA(VLOOKUP($AP850,Programma!$F$3:$N$1101,9,0),"")</f>
        <v>_</v>
      </c>
      <c r="AY850" s="448" t="str">
        <f>_xlfn.IFNA(VLOOKUP($AP850,Programma!$F$3:$O$1101,10,0),"")</f>
        <v>_</v>
      </c>
      <c r="AZ850" s="448" t="str">
        <f>_xlfn.IFNA(VLOOKUP($AP850,Programma!$F$3:$P$1101,11,0),"")</f>
        <v>_</v>
      </c>
      <c r="BA850" s="448" t="str">
        <f>_xlfn.IFNA(VLOOKUP($AP850,Programma!$F$3:$Q$1101,12,0),"")</f>
        <v>_</v>
      </c>
      <c r="BB850" s="448" t="str">
        <f>_xlfn.IFNA(VLOOKUP($AP850,Programma!$F$3:$R$1101,13,0),"")</f>
        <v>_</v>
      </c>
      <c r="BC850" s="448" t="str">
        <f>_xlfn.IFNA(VLOOKUP($AP850,Programma!$F$3:$S$1101,14,0),"")</f>
        <v>1m</v>
      </c>
      <c r="BD850" s="448" t="str">
        <f>_xlfn.IFNA(VLOOKUP($AP850,Programma!$F$3:$T$1101,15,0),"")</f>
        <v>4j</v>
      </c>
      <c r="BE850" s="448" t="str">
        <f>_xlfn.IFNA(VLOOKUP($AP850,Programma!$F$3:$U$1101,16,0),"")</f>
        <v>4j</v>
      </c>
      <c r="BF850" s="448" t="str">
        <f>_xlfn.IFNA(VLOOKUP($AP850,Programma!$F$3:$V$1101,17,0),"")</f>
        <v>_</v>
      </c>
      <c r="BG850" s="448" t="str">
        <f>_xlfn.IFNA(VLOOKUP($AP850,Programma!$F$3:$W$1101,18,0),"")</f>
        <v>_</v>
      </c>
      <c r="BH850" s="448" t="str">
        <f>_xlfn.IFNA(VLOOKUP($AP850,Programma!$F$3:$X$1101,19,0),"")</f>
        <v>_</v>
      </c>
      <c r="BI850" s="448" t="str">
        <f>_xlfn.IFNA(VLOOKUP($AP850,Programma!$F$3:$Y$1101,20,0),"")</f>
        <v>_</v>
      </c>
      <c r="BJ850" s="449"/>
      <c r="BK850" s="446" t="str">
        <f>IF(Ruimtestaat[[#This Row],[Frequentie weekend]]="","",_xlfn.CONCAT(Ruimtestaat[[#This Row],[Ruimte code]],"-",Ruimtestaat[[#This Row],[Frequentie weekend]]," ",Ruimtestaat[[#This Row],[Vloer code]]))</f>
        <v/>
      </c>
      <c r="BL850" s="448" t="str">
        <f>_xlfn.IFNA(VLOOKUP($BK850,Programma!$F$3:$G$1101,2,0),"")</f>
        <v/>
      </c>
      <c r="BM850" s="448" t="str">
        <f>_xlfn.IFNA(VLOOKUP($BK850,Programma!$F$3:$H$1101,3,0),"")</f>
        <v/>
      </c>
      <c r="BN850" s="448" t="str">
        <f>_xlfn.IFNA(VLOOKUP($BK850,Programma!$F$3:$I$1101,4,0),"")</f>
        <v/>
      </c>
      <c r="BO850" s="448" t="str">
        <f>_xlfn.IFNA(VLOOKUP($BK850,Programma!$F$3:$J$1101,5,0),"")</f>
        <v/>
      </c>
      <c r="BP850" s="448" t="str">
        <f>_xlfn.IFNA(VLOOKUP($BK850,Programma!$F$3:$K$1101,6,0),"")</f>
        <v/>
      </c>
      <c r="BQ850" s="448" t="str">
        <f>_xlfn.IFNA(VLOOKUP($BK850,Programma!$F$3:$L$1101,7,0),"")</f>
        <v/>
      </c>
      <c r="BR850" s="448" t="str">
        <f>_xlfn.IFNA(VLOOKUP($BK850,Programma!$F$3:$M$1101,8,0),"")</f>
        <v/>
      </c>
      <c r="BS850" s="448" t="str">
        <f>_xlfn.IFNA(VLOOKUP($BK850,Programma!$F$3:$N$1101,9,0),"")</f>
        <v/>
      </c>
      <c r="BT850" s="448" t="str">
        <f>_xlfn.IFNA(VLOOKUP($BK850,Programma!$F$3:$O$1101,10,0),"")</f>
        <v/>
      </c>
      <c r="BU850" s="448" t="str">
        <f>_xlfn.IFNA(VLOOKUP($BK850,Programma!$F$3:$P$1101,11,0),"")</f>
        <v/>
      </c>
      <c r="BV850" s="448" t="str">
        <f>_xlfn.IFNA(VLOOKUP($BK850,Programma!$F$3:$Q$1101,12,0),"")</f>
        <v/>
      </c>
      <c r="BW850" s="448" t="str">
        <f>_xlfn.IFNA(VLOOKUP($BK850,Programma!$F$3:$R$1101,13,0),"")</f>
        <v/>
      </c>
      <c r="BX850" s="448" t="str">
        <f>_xlfn.IFNA(VLOOKUP($BK850,Programma!$F$3:$S$1101,14,0),"")</f>
        <v/>
      </c>
      <c r="BY850" s="448" t="str">
        <f>_xlfn.IFNA(VLOOKUP($BK850,Programma!$F$3:$T$1101,15,0),"")</f>
        <v/>
      </c>
      <c r="BZ850" s="448" t="str">
        <f>_xlfn.IFNA(VLOOKUP($BK850,Programma!$F$3:$U$1101,16,0),"")</f>
        <v/>
      </c>
      <c r="CA850" s="448" t="str">
        <f>_xlfn.IFNA(VLOOKUP($BK850,Programma!$F$3:$V$1101,17,0),"")</f>
        <v/>
      </c>
      <c r="CB850" s="448" t="str">
        <f>_xlfn.IFNA(VLOOKUP($BK850,Programma!$F$3:$W$1101,18,0),"")</f>
        <v/>
      </c>
      <c r="CC850" s="448" t="str">
        <f>_xlfn.IFNA(VLOOKUP($BK850,Programma!$F$3:$X$1101,19,0),"")</f>
        <v/>
      </c>
      <c r="CD850" s="448" t="str">
        <f>_xlfn.IFNA(VLOOKUP($BK850,Programma!$F$3:$Y$1101,20,0),"")</f>
        <v/>
      </c>
    </row>
    <row r="851" spans="1:82" ht="15" customHeight="1">
      <c r="A851" s="327">
        <v>24</v>
      </c>
      <c r="B851" s="435" t="str">
        <f>VLOOKUP(Ruimtestaat[[#This Row],[Code]],Locaties[[Code]:[Locatie]],2,FALSE)</f>
        <v>IKC De Gaerde</v>
      </c>
      <c r="C851" s="435" t="str">
        <f>VLOOKUP(Ruimtestaat[[#This Row],[Code]],Locaties[[#All],[Code]:[Adres]],4,FALSE)</f>
        <v>Moerbeigaarde 58A</v>
      </c>
      <c r="D851" s="435" t="str">
        <f>VLOOKUP(Ruimtestaat[[#This Row],[Code]],Locaties[[#All],[Code]:[Postcode]],5,FALSE)</f>
        <v>2723 AG</v>
      </c>
      <c r="E851" s="435" t="str">
        <f>VLOOKUP(Ruimtestaat[[#This Row],[Code]],Locaties[#All],6,FALSE)</f>
        <v>Zoetermeer</v>
      </c>
      <c r="F851" s="450"/>
      <c r="G851" s="330" t="s">
        <v>1769</v>
      </c>
      <c r="H851" s="330" t="s">
        <v>2046</v>
      </c>
      <c r="I851" s="450" t="s">
        <v>1842</v>
      </c>
      <c r="J851" s="330">
        <v>16</v>
      </c>
      <c r="K851" s="450" t="str">
        <f>VLOOKUP(Ruimtestaat[[#This Row],[Ruimte code]],Ruimtegroepen[[#All],[Code]:[Ruimte omschrijving]],2,FALSE)</f>
        <v>Leslokalen</v>
      </c>
      <c r="L851" s="330" t="s">
        <v>100</v>
      </c>
      <c r="M851" s="437" t="s">
        <v>2058</v>
      </c>
      <c r="N851" s="439">
        <v>49.4</v>
      </c>
      <c r="O851" s="439"/>
      <c r="P851" s="439"/>
      <c r="Q851" s="439"/>
      <c r="R851" s="440" t="str">
        <f>VLOOKUP(Ruimtestaat[[#This Row],[Ruimte code]],Ruimtegroepen[],4,FALSE)</f>
        <v>Le</v>
      </c>
      <c r="S851" s="434">
        <v>40</v>
      </c>
      <c r="T851" s="434" t="s">
        <v>2</v>
      </c>
      <c r="U851" s="453">
        <f>IF(S851&gt;0,IF(RIGHT(Ruimtestaat[[#This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1" s="434">
        <f>IF(U851&gt;0,VLOOKUP($J851,Ruimtegroepen[],3,FALSE)*VLOOKUP($L851,Vloersoorten[],3,FALSE)*VLOOKUP($T851,Frequenties[],3,FALSE)*VLOOKUP($A851,Locaties[],3,FALSE),0)</f>
        <v>0</v>
      </c>
      <c r="W851" s="434">
        <f>Ruimtestaat[[#This Row],[Uitvoeringen werkdagen]]*Ruimtestaat[[#This Row],[Oppervlak (netto)]]</f>
        <v>9880</v>
      </c>
      <c r="X851" s="441">
        <f>IF(V851&gt;0,Ruimtestaat[[#This Row],[Prest. (m2 /jaar) werkdagen]]/Ruimtestaat[[#This Row],[Norm (m2/uur) werkdagen]],0)</f>
        <v>0</v>
      </c>
      <c r="Y851" s="442">
        <f>Ruimtestaat[[#This Row],[Uitvoeringen werkdagen]]*Ruimtestaat[[#This Row],[Gedeeltelijk]]</f>
        <v>0</v>
      </c>
      <c r="Z851" s="443" t="e">
        <f>IF(U851&gt;0,Ruimtestaat[[#This Row],[Prest. (m2 / jaar) werkdagen gedeeld]]/Ruimtestaat[[#This Row],[Norm (m2/uur) werkdagen]],0)</f>
        <v>#DIV/0!</v>
      </c>
      <c r="AA851" s="441" t="e">
        <f>Ruimtestaat[[#This Row],[uren / jaar werkdagen gedeeld]]*Tariefsopbouw!$E$35</f>
        <v>#DIV/0!</v>
      </c>
      <c r="AB851" s="441">
        <f>Ruimtestaat[[#This Row],[Uitvoeringen werkdagen]]*Ruimtestaat[[#This Row],[BSO]]</f>
        <v>0</v>
      </c>
      <c r="AC851" s="443" t="e">
        <f>IF(U851&gt;0,Ruimtestaat[[#This Row],[Prest. (m2 / jaar) werkdagen BSO]]/Ruimtestaat[[#This Row],[Norm (m2/uur) werkdagen]],0)</f>
        <v>#DIV/0!</v>
      </c>
      <c r="AD851" s="443" t="e">
        <f>Ruimtestaat[[#This Row],[uren / jaar werkdagen BSO]]*Tariefsopbouw!$E$35</f>
        <v>#DIV/0!</v>
      </c>
      <c r="AE851" s="444">
        <f>Ruimtestaat[[#This Row],[uren / jaar werkdagen]]*Tariefsopbouw!$E$35</f>
        <v>0</v>
      </c>
      <c r="AF851" s="454"/>
      <c r="AG851" s="455">
        <f>IF(Ruimtestaat[[#This Row],[Frequentie weekend]]&gt;0,VALUE(LEFT(AF851,1))*S851,0)</f>
        <v>0</v>
      </c>
      <c r="AH851" s="455">
        <f>IF($AG851&gt;0,VLOOKUP($J851,Ruimtegroepen[],3,FALSE)*VLOOKUP($L851,Vloersoorten[],3,FALSE)*VLOOKUP($AF851,Frequenties[],3,FALSE)*VLOOKUP(#REF!,Locaties[],3,FALSE),0)</f>
        <v>0</v>
      </c>
      <c r="AI851" s="434">
        <f>Ruimtestaat[[#This Row],[Uitvoeringen weekend]]*Ruimtestaat[[#This Row],[Oppervlak (netto)]]</f>
        <v>0</v>
      </c>
      <c r="AJ851" s="434">
        <f>IF(AH851&gt;0,Ruimtestaat[[#This Row],[Prest. (m2 /jaar) weekend]]/Ruimtestaat[[#This Row],[Norm (m2/uur) weekend]],0)</f>
        <v>0</v>
      </c>
      <c r="AK851" s="444">
        <f>Ruimtestaat[[#This Row],[uren / jaar weekend]]*Tariefsopbouw!$D$40</f>
        <v>0</v>
      </c>
      <c r="AL851" s="441">
        <f>Ruimtestaat[[#This Row],[Prest. (m2 /jaar) weekend]]+Ruimtestaat[[#This Row],[Prest. (m2 /jaar) werkdagen]]</f>
        <v>9880</v>
      </c>
      <c r="AM851" s="441">
        <f>Ruimtestaat[[#This Row],[uren / jaar weekend]]+Ruimtestaat[[#This Row],[uren / jaar werkdagen]]</f>
        <v>0</v>
      </c>
      <c r="AN851" s="446">
        <f>Ruimtestaat[[#This Row],[kosten / jaar weekend]]+Ruimtestaat[[#This Row],[kosten / jaar werkdagen]]</f>
        <v>0</v>
      </c>
      <c r="AO851" s="446"/>
      <c r="AP851" s="446" t="str">
        <f>IF(Ruimtestaat[[#This Row],[Frequentie werkdagen]]="","",_xlfn.CONCAT(Ruimtestaat[[#This Row],[Ruimte code]],"-",Ruimtestaat[[#This Row],[Frequentie werkdagen]]," ",Ruimtestaat[[#This Row],[Vloer code]]))</f>
        <v>16-5w L</v>
      </c>
      <c r="AQ851" s="448" t="str">
        <f>_xlfn.IFNA(VLOOKUP($AP851,Programma!$F$3:$G$1101,2,0),"")</f>
        <v>_</v>
      </c>
      <c r="AR851" s="448" t="str">
        <f>_xlfn.IFNA(VLOOKUP($AP851,Programma!$F$3:$H$1101,3,0),"")</f>
        <v>_</v>
      </c>
      <c r="AS851" s="448" t="str">
        <f>_xlfn.IFNA(VLOOKUP($AP851,Programma!$F$3:$I$1101,4,0),"")</f>
        <v>4w</v>
      </c>
      <c r="AT851" s="448" t="str">
        <f>_xlfn.IFNA(VLOOKUP($AP851,Programma!$F$3:$J$1101,5,0),"")</f>
        <v>1w</v>
      </c>
      <c r="AU851" s="448" t="str">
        <f>_xlfn.IFNA(VLOOKUP($AP851,Programma!$F$3:$K$1101,6,0),"")</f>
        <v>_</v>
      </c>
      <c r="AV851" s="448" t="str">
        <f>_xlfn.IFNA(VLOOKUP($AP851,Programma!$F$3:$L$1101,7,0),"")</f>
        <v>_</v>
      </c>
      <c r="AW851" s="448" t="str">
        <f>_xlfn.IFNA(VLOOKUP($AP851,Programma!$F$3:$M$1101,8,0),"")</f>
        <v>_</v>
      </c>
      <c r="AX851" s="448" t="str">
        <f>_xlfn.IFNA(VLOOKUP($AP851,Programma!$F$3:$N$1101,9,0),"")</f>
        <v>_</v>
      </c>
      <c r="AY851" s="448" t="str">
        <f>_xlfn.IFNA(VLOOKUP($AP851,Programma!$F$3:$O$1101,10,0),"")</f>
        <v>5w</v>
      </c>
      <c r="AZ851" s="448" t="str">
        <f>_xlfn.IFNA(VLOOKUP($AP851,Programma!$F$3:$P$1101,11,0),"")</f>
        <v>5w</v>
      </c>
      <c r="BA851" s="448" t="str">
        <f>_xlfn.IFNA(VLOOKUP($AP851,Programma!$F$3:$Q$1101,12,0),"")</f>
        <v>1w</v>
      </c>
      <c r="BB851" s="448" t="str">
        <f>_xlfn.IFNA(VLOOKUP($AP851,Programma!$F$3:$R$1101,13,0),"")</f>
        <v>1w</v>
      </c>
      <c r="BC851" s="448" t="str">
        <f>_xlfn.IFNA(VLOOKUP($AP851,Programma!$F$3:$S$1101,14,0),"")</f>
        <v>1m</v>
      </c>
      <c r="BD851" s="448" t="str">
        <f>_xlfn.IFNA(VLOOKUP($AP851,Programma!$F$3:$T$1101,15,0),"")</f>
        <v>2j</v>
      </c>
      <c r="BE851" s="448" t="str">
        <f>_xlfn.IFNA(VLOOKUP($AP851,Programma!$F$3:$U$1101,16,0),"")</f>
        <v>1j</v>
      </c>
      <c r="BF851" s="448" t="str">
        <f>_xlfn.IFNA(VLOOKUP($AP851,Programma!$F$3:$V$1101,17,0),"")</f>
        <v>_</v>
      </c>
      <c r="BG851" s="448" t="str">
        <f>_xlfn.IFNA(VLOOKUP($AP851,Programma!$F$3:$W$1101,18,0),"")</f>
        <v>_</v>
      </c>
      <c r="BH851" s="448" t="str">
        <f>_xlfn.IFNA(VLOOKUP($AP851,Programma!$F$3:$X$1101,19,0),"")</f>
        <v>_</v>
      </c>
      <c r="BI851" s="448" t="str">
        <f>_xlfn.IFNA(VLOOKUP($AP851,Programma!$F$3:$Y$1101,20,0),"")</f>
        <v>_</v>
      </c>
      <c r="BJ851" s="449"/>
      <c r="BK851" s="446" t="str">
        <f>IF(Ruimtestaat[[#This Row],[Frequentie weekend]]="","",_xlfn.CONCAT(Ruimtestaat[[#This Row],[Ruimte code]],"-",Ruimtestaat[[#This Row],[Frequentie weekend]]," ",Ruimtestaat[[#This Row],[Vloer code]]))</f>
        <v/>
      </c>
      <c r="BL851" s="448" t="str">
        <f>_xlfn.IFNA(VLOOKUP($BK851,Programma!$F$3:$G$1101,2,0),"")</f>
        <v/>
      </c>
      <c r="BM851" s="448" t="str">
        <f>_xlfn.IFNA(VLOOKUP($BK851,Programma!$F$3:$H$1101,3,0),"")</f>
        <v/>
      </c>
      <c r="BN851" s="448" t="str">
        <f>_xlfn.IFNA(VLOOKUP($BK851,Programma!$F$3:$I$1101,4,0),"")</f>
        <v/>
      </c>
      <c r="BO851" s="448" t="str">
        <f>_xlfn.IFNA(VLOOKUP($BK851,Programma!$F$3:$J$1101,5,0),"")</f>
        <v/>
      </c>
      <c r="BP851" s="448" t="str">
        <f>_xlfn.IFNA(VLOOKUP($BK851,Programma!$F$3:$K$1101,6,0),"")</f>
        <v/>
      </c>
      <c r="BQ851" s="448" t="str">
        <f>_xlfn.IFNA(VLOOKUP($BK851,Programma!$F$3:$L$1101,7,0),"")</f>
        <v/>
      </c>
      <c r="BR851" s="448" t="str">
        <f>_xlfn.IFNA(VLOOKUP($BK851,Programma!$F$3:$M$1101,8,0),"")</f>
        <v/>
      </c>
      <c r="BS851" s="448" t="str">
        <f>_xlfn.IFNA(VLOOKUP($BK851,Programma!$F$3:$N$1101,9,0),"")</f>
        <v/>
      </c>
      <c r="BT851" s="448" t="str">
        <f>_xlfn.IFNA(VLOOKUP($BK851,Programma!$F$3:$O$1101,10,0),"")</f>
        <v/>
      </c>
      <c r="BU851" s="448" t="str">
        <f>_xlfn.IFNA(VLOOKUP($BK851,Programma!$F$3:$P$1101,11,0),"")</f>
        <v/>
      </c>
      <c r="BV851" s="448" t="str">
        <f>_xlfn.IFNA(VLOOKUP($BK851,Programma!$F$3:$Q$1101,12,0),"")</f>
        <v/>
      </c>
      <c r="BW851" s="448" t="str">
        <f>_xlfn.IFNA(VLOOKUP($BK851,Programma!$F$3:$R$1101,13,0),"")</f>
        <v/>
      </c>
      <c r="BX851" s="448" t="str">
        <f>_xlfn.IFNA(VLOOKUP($BK851,Programma!$F$3:$S$1101,14,0),"")</f>
        <v/>
      </c>
      <c r="BY851" s="448" t="str">
        <f>_xlfn.IFNA(VLOOKUP($BK851,Programma!$F$3:$T$1101,15,0),"")</f>
        <v/>
      </c>
      <c r="BZ851" s="448" t="str">
        <f>_xlfn.IFNA(VLOOKUP($BK851,Programma!$F$3:$U$1101,16,0),"")</f>
        <v/>
      </c>
      <c r="CA851" s="448" t="str">
        <f>_xlfn.IFNA(VLOOKUP($BK851,Programma!$F$3:$V$1101,17,0),"")</f>
        <v/>
      </c>
      <c r="CB851" s="448" t="str">
        <f>_xlfn.IFNA(VLOOKUP($BK851,Programma!$F$3:$W$1101,18,0),"")</f>
        <v/>
      </c>
      <c r="CC851" s="448" t="str">
        <f>_xlfn.IFNA(VLOOKUP($BK851,Programma!$F$3:$X$1101,19,0),"")</f>
        <v/>
      </c>
      <c r="CD851" s="448" t="str">
        <f>_xlfn.IFNA(VLOOKUP($BK851,Programma!$F$3:$Y$1101,20,0),"")</f>
        <v/>
      </c>
    </row>
    <row r="852" spans="1:82" ht="15" customHeight="1">
      <c r="A852" s="327">
        <v>24</v>
      </c>
      <c r="B852" s="435" t="str">
        <f>VLOOKUP(Ruimtestaat[[#This Row],[Code]],Locaties[[Code]:[Locatie]],2,FALSE)</f>
        <v>IKC De Gaerde</v>
      </c>
      <c r="C852" s="435" t="str">
        <f>VLOOKUP(Ruimtestaat[[#This Row],[Code]],Locaties[[#All],[Code]:[Adres]],4,FALSE)</f>
        <v>Moerbeigaarde 58A</v>
      </c>
      <c r="D852" s="435" t="str">
        <f>VLOOKUP(Ruimtestaat[[#This Row],[Code]],Locaties[[#All],[Code]:[Postcode]],5,FALSE)</f>
        <v>2723 AG</v>
      </c>
      <c r="E852" s="435" t="str">
        <f>VLOOKUP(Ruimtestaat[[#This Row],[Code]],Locaties[#All],6,FALSE)</f>
        <v>Zoetermeer</v>
      </c>
      <c r="F852" s="450" t="s">
        <v>1705</v>
      </c>
      <c r="G852" s="330" t="s">
        <v>1769</v>
      </c>
      <c r="H852" s="330" t="s">
        <v>2047</v>
      </c>
      <c r="I852" s="450" t="s">
        <v>2025</v>
      </c>
      <c r="J852" s="330">
        <v>9</v>
      </c>
      <c r="K852" s="450" t="str">
        <f>VLOOKUP(Ruimtestaat[[#This Row],[Ruimte code]],Ruimtegroepen[[#All],[Code]:[Ruimte omschrijving]],2,FALSE)</f>
        <v>Bibliotheek/OLC</v>
      </c>
      <c r="L852" s="330" t="s">
        <v>100</v>
      </c>
      <c r="M852" s="437" t="s">
        <v>2058</v>
      </c>
      <c r="N852" s="439"/>
      <c r="O852" s="439"/>
      <c r="P852" s="439"/>
      <c r="Q852" s="439">
        <v>14.6</v>
      </c>
      <c r="R852" s="440" t="str">
        <f>VLOOKUP(Ruimtestaat[[#This Row],[Ruimte code]],Ruimtegroepen[],4,FALSE)</f>
        <v>Le</v>
      </c>
      <c r="S852" s="434">
        <v>51</v>
      </c>
      <c r="T852" s="434" t="s">
        <v>2</v>
      </c>
      <c r="U852" s="453">
        <f>IF(S852&gt;0,IF(RIGHT(Ruimtestaat[[#This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52" s="434">
        <f>IF(U852&gt;0,VLOOKUP($J852,Ruimtegroepen[],3,FALSE)*VLOOKUP($L852,Vloersoorten[],3,FALSE)*VLOOKUP($T852,Frequenties[],3,FALSE)*VLOOKUP($A852,Locaties[],3,FALSE),0)</f>
        <v>0</v>
      </c>
      <c r="W852" s="434">
        <f>Ruimtestaat[[#This Row],[Uitvoeringen werkdagen]]*Ruimtestaat[[#This Row],[Oppervlak (netto)]]</f>
        <v>0</v>
      </c>
      <c r="X852" s="441">
        <f>IF(V852&gt;0,Ruimtestaat[[#This Row],[Prest. (m2 /jaar) werkdagen]]/Ruimtestaat[[#This Row],[Norm (m2/uur) werkdagen]],0)</f>
        <v>0</v>
      </c>
      <c r="Y852" s="442">
        <f>Ruimtestaat[[#This Row],[Uitvoeringen werkdagen]]*Ruimtestaat[[#This Row],[Gedeeltelijk]]</f>
        <v>0</v>
      </c>
      <c r="Z852" s="443" t="e">
        <f>IF(U852&gt;0,Ruimtestaat[[#This Row],[Prest. (m2 / jaar) werkdagen gedeeld]]/Ruimtestaat[[#This Row],[Norm (m2/uur) werkdagen]],0)</f>
        <v>#DIV/0!</v>
      </c>
      <c r="AA852" s="441" t="e">
        <f>Ruimtestaat[[#This Row],[uren / jaar werkdagen gedeeld]]*Tariefsopbouw!$E$35</f>
        <v>#DIV/0!</v>
      </c>
      <c r="AB852" s="441">
        <f>Ruimtestaat[[#This Row],[Uitvoeringen werkdagen]]*Ruimtestaat[[#This Row],[BSO]]</f>
        <v>3723</v>
      </c>
      <c r="AC852" s="443" t="e">
        <f>IF(U852&gt;0,Ruimtestaat[[#This Row],[Prest. (m2 / jaar) werkdagen BSO]]/Ruimtestaat[[#This Row],[Norm (m2/uur) werkdagen]],0)</f>
        <v>#DIV/0!</v>
      </c>
      <c r="AD852" s="443" t="e">
        <f>Ruimtestaat[[#This Row],[uren / jaar werkdagen BSO]]*Tariefsopbouw!$E$35</f>
        <v>#DIV/0!</v>
      </c>
      <c r="AE852" s="444">
        <f>Ruimtestaat[[#This Row],[uren / jaar werkdagen]]*Tariefsopbouw!$E$35</f>
        <v>0</v>
      </c>
      <c r="AF852" s="454"/>
      <c r="AG852" s="455">
        <f>IF(Ruimtestaat[[#This Row],[Frequentie weekend]]&gt;0,VALUE(LEFT(AF852,1))*S852,0)</f>
        <v>0</v>
      </c>
      <c r="AH852" s="455">
        <f>IF($AG852&gt;0,VLOOKUP($J852,Ruimtegroepen[],3,FALSE)*VLOOKUP($L852,Vloersoorten[],3,FALSE)*VLOOKUP($AF852,Frequenties[],3,FALSE)*VLOOKUP(#REF!,Locaties[],3,FALSE),0)</f>
        <v>0</v>
      </c>
      <c r="AI852" s="434">
        <f>Ruimtestaat[[#This Row],[Uitvoeringen weekend]]*Ruimtestaat[[#This Row],[Oppervlak (netto)]]</f>
        <v>0</v>
      </c>
      <c r="AJ852" s="434">
        <f>IF(AH852&gt;0,Ruimtestaat[[#This Row],[Prest. (m2 /jaar) weekend]]/Ruimtestaat[[#This Row],[Norm (m2/uur) weekend]],0)</f>
        <v>0</v>
      </c>
      <c r="AK852" s="444">
        <f>Ruimtestaat[[#This Row],[uren / jaar weekend]]*Tariefsopbouw!$D$40</f>
        <v>0</v>
      </c>
      <c r="AL852" s="441">
        <f>Ruimtestaat[[#This Row],[Prest. (m2 /jaar) weekend]]+Ruimtestaat[[#This Row],[Prest. (m2 /jaar) werkdagen]]</f>
        <v>0</v>
      </c>
      <c r="AM852" s="441">
        <f>Ruimtestaat[[#This Row],[uren / jaar weekend]]+Ruimtestaat[[#This Row],[uren / jaar werkdagen]]</f>
        <v>0</v>
      </c>
      <c r="AN852" s="446">
        <f>Ruimtestaat[[#This Row],[kosten / jaar weekend]]+Ruimtestaat[[#This Row],[kosten / jaar werkdagen]]</f>
        <v>0</v>
      </c>
      <c r="AO852" s="446"/>
      <c r="AP852" s="446" t="str">
        <f>IF(Ruimtestaat[[#This Row],[Frequentie werkdagen]]="","",_xlfn.CONCAT(Ruimtestaat[[#This Row],[Ruimte code]],"-",Ruimtestaat[[#This Row],[Frequentie werkdagen]]," ",Ruimtestaat[[#This Row],[Vloer code]]))</f>
        <v>9-5w L</v>
      </c>
      <c r="AQ852" s="448" t="str">
        <f>_xlfn.IFNA(VLOOKUP($AP852,Programma!$F$3:$G$1101,2,0),"")</f>
        <v>_</v>
      </c>
      <c r="AR852" s="448" t="str">
        <f>_xlfn.IFNA(VLOOKUP($AP852,Programma!$F$3:$H$1101,3,0),"")</f>
        <v>_</v>
      </c>
      <c r="AS852" s="448" t="str">
        <f>_xlfn.IFNA(VLOOKUP($AP852,Programma!$F$3:$I$1101,4,0),"")</f>
        <v>4w</v>
      </c>
      <c r="AT852" s="448" t="str">
        <f>_xlfn.IFNA(VLOOKUP($AP852,Programma!$F$3:$J$1101,5,0),"")</f>
        <v>1w</v>
      </c>
      <c r="AU852" s="448" t="str">
        <f>_xlfn.IFNA(VLOOKUP($AP852,Programma!$F$3:$K$1101,6,0),"")</f>
        <v>_</v>
      </c>
      <c r="AV852" s="448" t="str">
        <f>_xlfn.IFNA(VLOOKUP($AP852,Programma!$F$3:$L$1101,7,0),"")</f>
        <v>_</v>
      </c>
      <c r="AW852" s="448" t="str">
        <f>_xlfn.IFNA(VLOOKUP($AP852,Programma!$F$3:$M$1101,8,0),"")</f>
        <v>_</v>
      </c>
      <c r="AX852" s="448" t="str">
        <f>_xlfn.IFNA(VLOOKUP($AP852,Programma!$F$3:$N$1101,9,0),"")</f>
        <v>_</v>
      </c>
      <c r="AY852" s="448" t="str">
        <f>_xlfn.IFNA(VLOOKUP($AP852,Programma!$F$3:$O$1101,10,0),"")</f>
        <v>5w</v>
      </c>
      <c r="AZ852" s="448" t="str">
        <f>_xlfn.IFNA(VLOOKUP($AP852,Programma!$F$3:$P$1101,11,0),"")</f>
        <v>5w</v>
      </c>
      <c r="BA852" s="448" t="str">
        <f>_xlfn.IFNA(VLOOKUP($AP852,Programma!$F$3:$Q$1101,12,0),"")</f>
        <v>1w</v>
      </c>
      <c r="BB852" s="448" t="str">
        <f>_xlfn.IFNA(VLOOKUP($AP852,Programma!$F$3:$R$1101,13,0),"")</f>
        <v>1w</v>
      </c>
      <c r="BC852" s="448" t="str">
        <f>_xlfn.IFNA(VLOOKUP($AP852,Programma!$F$3:$S$1101,14,0),"")</f>
        <v>1m</v>
      </c>
      <c r="BD852" s="448" t="str">
        <f>_xlfn.IFNA(VLOOKUP($AP852,Programma!$F$3:$T$1101,15,0),"")</f>
        <v>2j</v>
      </c>
      <c r="BE852" s="448" t="str">
        <f>_xlfn.IFNA(VLOOKUP($AP852,Programma!$F$3:$U$1101,16,0),"")</f>
        <v>1j</v>
      </c>
      <c r="BF852" s="448" t="str">
        <f>_xlfn.IFNA(VLOOKUP($AP852,Programma!$F$3:$V$1101,17,0),"")</f>
        <v>_</v>
      </c>
      <c r="BG852" s="448" t="str">
        <f>_xlfn.IFNA(VLOOKUP($AP852,Programma!$F$3:$W$1101,18,0),"")</f>
        <v>_</v>
      </c>
      <c r="BH852" s="448" t="str">
        <f>_xlfn.IFNA(VLOOKUP($AP852,Programma!$F$3:$X$1101,19,0),"")</f>
        <v>_</v>
      </c>
      <c r="BI852" s="448" t="str">
        <f>_xlfn.IFNA(VLOOKUP($AP852,Programma!$F$3:$Y$1101,20,0),"")</f>
        <v>_</v>
      </c>
      <c r="BJ852" s="449"/>
      <c r="BK852" s="446" t="str">
        <f>IF(Ruimtestaat[[#This Row],[Frequentie weekend]]="","",_xlfn.CONCAT(Ruimtestaat[[#This Row],[Ruimte code]],"-",Ruimtestaat[[#This Row],[Frequentie weekend]]," ",Ruimtestaat[[#This Row],[Vloer code]]))</f>
        <v/>
      </c>
      <c r="BL852" s="448" t="str">
        <f>_xlfn.IFNA(VLOOKUP($BK852,Programma!$F$3:$G$1101,2,0),"")</f>
        <v/>
      </c>
      <c r="BM852" s="448" t="str">
        <f>_xlfn.IFNA(VLOOKUP($BK852,Programma!$F$3:$H$1101,3,0),"")</f>
        <v/>
      </c>
      <c r="BN852" s="448" t="str">
        <f>_xlfn.IFNA(VLOOKUP($BK852,Programma!$F$3:$I$1101,4,0),"")</f>
        <v/>
      </c>
      <c r="BO852" s="448" t="str">
        <f>_xlfn.IFNA(VLOOKUP($BK852,Programma!$F$3:$J$1101,5,0),"")</f>
        <v/>
      </c>
      <c r="BP852" s="448" t="str">
        <f>_xlfn.IFNA(VLOOKUP($BK852,Programma!$F$3:$K$1101,6,0),"")</f>
        <v/>
      </c>
      <c r="BQ852" s="448" t="str">
        <f>_xlfn.IFNA(VLOOKUP($BK852,Programma!$F$3:$L$1101,7,0),"")</f>
        <v/>
      </c>
      <c r="BR852" s="448" t="str">
        <f>_xlfn.IFNA(VLOOKUP($BK852,Programma!$F$3:$M$1101,8,0),"")</f>
        <v/>
      </c>
      <c r="BS852" s="448" t="str">
        <f>_xlfn.IFNA(VLOOKUP($BK852,Programma!$F$3:$N$1101,9,0),"")</f>
        <v/>
      </c>
      <c r="BT852" s="448" t="str">
        <f>_xlfn.IFNA(VLOOKUP($BK852,Programma!$F$3:$O$1101,10,0),"")</f>
        <v/>
      </c>
      <c r="BU852" s="448" t="str">
        <f>_xlfn.IFNA(VLOOKUP($BK852,Programma!$F$3:$P$1101,11,0),"")</f>
        <v/>
      </c>
      <c r="BV852" s="448" t="str">
        <f>_xlfn.IFNA(VLOOKUP($BK852,Programma!$F$3:$Q$1101,12,0),"")</f>
        <v/>
      </c>
      <c r="BW852" s="448" t="str">
        <f>_xlfn.IFNA(VLOOKUP($BK852,Programma!$F$3:$R$1101,13,0),"")</f>
        <v/>
      </c>
      <c r="BX852" s="448" t="str">
        <f>_xlfn.IFNA(VLOOKUP($BK852,Programma!$F$3:$S$1101,14,0),"")</f>
        <v/>
      </c>
      <c r="BY852" s="448" t="str">
        <f>_xlfn.IFNA(VLOOKUP($BK852,Programma!$F$3:$T$1101,15,0),"")</f>
        <v/>
      </c>
      <c r="BZ852" s="448" t="str">
        <f>_xlfn.IFNA(VLOOKUP($BK852,Programma!$F$3:$U$1101,16,0),"")</f>
        <v/>
      </c>
      <c r="CA852" s="448" t="str">
        <f>_xlfn.IFNA(VLOOKUP($BK852,Programma!$F$3:$V$1101,17,0),"")</f>
        <v/>
      </c>
      <c r="CB852" s="448" t="str">
        <f>_xlfn.IFNA(VLOOKUP($BK852,Programma!$F$3:$W$1101,18,0),"")</f>
        <v/>
      </c>
      <c r="CC852" s="448" t="str">
        <f>_xlfn.IFNA(VLOOKUP($BK852,Programma!$F$3:$X$1101,19,0),"")</f>
        <v/>
      </c>
      <c r="CD852" s="448" t="str">
        <f>_xlfn.IFNA(VLOOKUP($BK852,Programma!$F$3:$Y$1101,20,0),"")</f>
        <v/>
      </c>
    </row>
    <row r="853" spans="1:82" ht="15" customHeight="1">
      <c r="A853" s="327">
        <v>24</v>
      </c>
      <c r="B853" s="435" t="str">
        <f>VLOOKUP(Ruimtestaat[[#This Row],[Code]],Locaties[[Code]:[Locatie]],2,FALSE)</f>
        <v>IKC De Gaerde</v>
      </c>
      <c r="C853" s="435" t="str">
        <f>VLOOKUP(Ruimtestaat[[#This Row],[Code]],Locaties[[#All],[Code]:[Adres]],4,FALSE)</f>
        <v>Moerbeigaarde 58A</v>
      </c>
      <c r="D853" s="435" t="str">
        <f>VLOOKUP(Ruimtestaat[[#This Row],[Code]],Locaties[[#All],[Code]:[Postcode]],5,FALSE)</f>
        <v>2723 AG</v>
      </c>
      <c r="E853" s="435" t="str">
        <f>VLOOKUP(Ruimtestaat[[#This Row],[Code]],Locaties[#All],6,FALSE)</f>
        <v>Zoetermeer</v>
      </c>
      <c r="F853" s="450"/>
      <c r="G853" s="330" t="s">
        <v>1769</v>
      </c>
      <c r="H853" s="330" t="s">
        <v>1744</v>
      </c>
      <c r="I853" s="450" t="s">
        <v>1901</v>
      </c>
      <c r="J853" s="330">
        <v>11</v>
      </c>
      <c r="K853" s="450" t="str">
        <f>VLOOKUP(Ruimtestaat[[#This Row],[Ruimte code]],Ruimtegroepen[[#All],[Code]:[Ruimte omschrijving]],2,FALSE)</f>
        <v>Garderobes</v>
      </c>
      <c r="L853" s="330" t="s">
        <v>100</v>
      </c>
      <c r="M853" s="437" t="s">
        <v>2058</v>
      </c>
      <c r="N853" s="439">
        <v>1.4</v>
      </c>
      <c r="O853" s="439"/>
      <c r="P853" s="439"/>
      <c r="Q853" s="439"/>
      <c r="R853" s="440" t="str">
        <f>VLOOKUP(Ruimtestaat[[#This Row],[Ruimte code]],Ruimtegroepen[],4,FALSE)</f>
        <v>Ve</v>
      </c>
      <c r="S853" s="434">
        <v>40</v>
      </c>
      <c r="T853" s="434" t="s">
        <v>2</v>
      </c>
      <c r="U853" s="453">
        <f>IF(S853&gt;0,IF(RIGHT(Ruimtestaat[[#This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3" s="434">
        <f>IF(U853&gt;0,VLOOKUP($J853,Ruimtegroepen[],3,FALSE)*VLOOKUP($L853,Vloersoorten[],3,FALSE)*VLOOKUP($T853,Frequenties[],3,FALSE)*VLOOKUP($A853,Locaties[],3,FALSE),0)</f>
        <v>0</v>
      </c>
      <c r="W853" s="434">
        <f>Ruimtestaat[[#This Row],[Uitvoeringen werkdagen]]*Ruimtestaat[[#This Row],[Oppervlak (netto)]]</f>
        <v>280</v>
      </c>
      <c r="X853" s="441">
        <f>IF(V853&gt;0,Ruimtestaat[[#This Row],[Prest. (m2 /jaar) werkdagen]]/Ruimtestaat[[#This Row],[Norm (m2/uur) werkdagen]],0)</f>
        <v>0</v>
      </c>
      <c r="Y853" s="442">
        <f>Ruimtestaat[[#This Row],[Uitvoeringen werkdagen]]*Ruimtestaat[[#This Row],[Gedeeltelijk]]</f>
        <v>0</v>
      </c>
      <c r="Z853" s="443" t="e">
        <f>IF(U853&gt;0,Ruimtestaat[[#This Row],[Prest. (m2 / jaar) werkdagen gedeeld]]/Ruimtestaat[[#This Row],[Norm (m2/uur) werkdagen]],0)</f>
        <v>#DIV/0!</v>
      </c>
      <c r="AA853" s="441" t="e">
        <f>Ruimtestaat[[#This Row],[uren / jaar werkdagen gedeeld]]*Tariefsopbouw!$E$35</f>
        <v>#DIV/0!</v>
      </c>
      <c r="AB853" s="441">
        <f>Ruimtestaat[[#This Row],[Uitvoeringen werkdagen]]*Ruimtestaat[[#This Row],[BSO]]</f>
        <v>0</v>
      </c>
      <c r="AC853" s="443" t="e">
        <f>IF(U853&gt;0,Ruimtestaat[[#This Row],[Prest. (m2 / jaar) werkdagen BSO]]/Ruimtestaat[[#This Row],[Norm (m2/uur) werkdagen]],0)</f>
        <v>#DIV/0!</v>
      </c>
      <c r="AD853" s="443" t="e">
        <f>Ruimtestaat[[#This Row],[uren / jaar werkdagen BSO]]*Tariefsopbouw!$E$35</f>
        <v>#DIV/0!</v>
      </c>
      <c r="AE853" s="444">
        <f>Ruimtestaat[[#This Row],[uren / jaar werkdagen]]*Tariefsopbouw!$E$35</f>
        <v>0</v>
      </c>
      <c r="AF853" s="454"/>
      <c r="AG853" s="455">
        <f>IF(Ruimtestaat[[#This Row],[Frequentie weekend]]&gt;0,VALUE(LEFT(AF853,1))*S853,0)</f>
        <v>0</v>
      </c>
      <c r="AH853" s="455">
        <f>IF($AG853&gt;0,VLOOKUP($J853,Ruimtegroepen[],3,FALSE)*VLOOKUP($L853,Vloersoorten[],3,FALSE)*VLOOKUP($AF853,Frequenties[],3,FALSE)*VLOOKUP(#REF!,Locaties[],3,FALSE),0)</f>
        <v>0</v>
      </c>
      <c r="AI853" s="434">
        <f>Ruimtestaat[[#This Row],[Uitvoeringen weekend]]*Ruimtestaat[[#This Row],[Oppervlak (netto)]]</f>
        <v>0</v>
      </c>
      <c r="AJ853" s="434">
        <f>IF(AH853&gt;0,Ruimtestaat[[#This Row],[Prest. (m2 /jaar) weekend]]/Ruimtestaat[[#This Row],[Norm (m2/uur) weekend]],0)</f>
        <v>0</v>
      </c>
      <c r="AK853" s="444">
        <f>Ruimtestaat[[#This Row],[uren / jaar weekend]]*Tariefsopbouw!$D$40</f>
        <v>0</v>
      </c>
      <c r="AL853" s="441">
        <f>Ruimtestaat[[#This Row],[Prest. (m2 /jaar) weekend]]+Ruimtestaat[[#This Row],[Prest. (m2 /jaar) werkdagen]]</f>
        <v>280</v>
      </c>
      <c r="AM853" s="441">
        <f>Ruimtestaat[[#This Row],[uren / jaar weekend]]+Ruimtestaat[[#This Row],[uren / jaar werkdagen]]</f>
        <v>0</v>
      </c>
      <c r="AN853" s="446">
        <f>Ruimtestaat[[#This Row],[kosten / jaar weekend]]+Ruimtestaat[[#This Row],[kosten / jaar werkdagen]]</f>
        <v>0</v>
      </c>
      <c r="AO853" s="446"/>
      <c r="AP853" s="446" t="str">
        <f>IF(Ruimtestaat[[#This Row],[Frequentie werkdagen]]="","",_xlfn.CONCAT(Ruimtestaat[[#This Row],[Ruimte code]],"-",Ruimtestaat[[#This Row],[Frequentie werkdagen]]," ",Ruimtestaat[[#This Row],[Vloer code]]))</f>
        <v>11-5w L</v>
      </c>
      <c r="AQ853" s="448" t="str">
        <f>_xlfn.IFNA(VLOOKUP($AP853,Programma!$F$3:$G$1101,2,0),"")</f>
        <v>_</v>
      </c>
      <c r="AR853" s="448" t="str">
        <f>_xlfn.IFNA(VLOOKUP($AP853,Programma!$F$3:$H$1101,3,0),"")</f>
        <v>_</v>
      </c>
      <c r="AS853" s="448" t="str">
        <f>_xlfn.IFNA(VLOOKUP($AP853,Programma!$F$3:$I$1101,4,0),"")</f>
        <v>4w</v>
      </c>
      <c r="AT853" s="448" t="str">
        <f>_xlfn.IFNA(VLOOKUP($AP853,Programma!$F$3:$J$1101,5,0),"")</f>
        <v>1w</v>
      </c>
      <c r="AU853" s="448" t="str">
        <f>_xlfn.IFNA(VLOOKUP($AP853,Programma!$F$3:$K$1101,6,0),"")</f>
        <v>_</v>
      </c>
      <c r="AV853" s="448" t="str">
        <f>_xlfn.IFNA(VLOOKUP($AP853,Programma!$F$3:$L$1101,7,0),"")</f>
        <v>_</v>
      </c>
      <c r="AW853" s="448" t="str">
        <f>_xlfn.IFNA(VLOOKUP($AP853,Programma!$F$3:$M$1101,8,0),"")</f>
        <v>_</v>
      </c>
      <c r="AX853" s="448" t="str">
        <f>_xlfn.IFNA(VLOOKUP($AP853,Programma!$F$3:$N$1101,9,0),"")</f>
        <v>_</v>
      </c>
      <c r="AY853" s="448" t="str">
        <f>_xlfn.IFNA(VLOOKUP($AP853,Programma!$F$3:$O$1101,10,0),"")</f>
        <v>5w</v>
      </c>
      <c r="AZ853" s="448" t="str">
        <f>_xlfn.IFNA(VLOOKUP($AP853,Programma!$F$3:$P$1101,11,0),"")</f>
        <v>5w</v>
      </c>
      <c r="BA853" s="448" t="str">
        <f>_xlfn.IFNA(VLOOKUP($AP853,Programma!$F$3:$Q$1101,12,0),"")</f>
        <v>1w</v>
      </c>
      <c r="BB853" s="448" t="str">
        <f>_xlfn.IFNA(VLOOKUP($AP853,Programma!$F$3:$R$1101,13,0),"")</f>
        <v>1w</v>
      </c>
      <c r="BC853" s="448" t="str">
        <f>_xlfn.IFNA(VLOOKUP($AP853,Programma!$F$3:$S$1101,14,0),"")</f>
        <v>1m</v>
      </c>
      <c r="BD853" s="448" t="str">
        <f>_xlfn.IFNA(VLOOKUP($AP853,Programma!$F$3:$T$1101,15,0),"")</f>
        <v>2j</v>
      </c>
      <c r="BE853" s="448" t="str">
        <f>_xlfn.IFNA(VLOOKUP($AP853,Programma!$F$3:$U$1101,16,0),"")</f>
        <v>1j</v>
      </c>
      <c r="BF853" s="448" t="str">
        <f>_xlfn.IFNA(VLOOKUP($AP853,Programma!$F$3:$V$1101,17,0),"")</f>
        <v>_</v>
      </c>
      <c r="BG853" s="448" t="str">
        <f>_xlfn.IFNA(VLOOKUP($AP853,Programma!$F$3:$W$1101,18,0),"")</f>
        <v>_</v>
      </c>
      <c r="BH853" s="448" t="str">
        <f>_xlfn.IFNA(VLOOKUP($AP853,Programma!$F$3:$X$1101,19,0),"")</f>
        <v>_</v>
      </c>
      <c r="BI853" s="448" t="str">
        <f>_xlfn.IFNA(VLOOKUP($AP853,Programma!$F$3:$Y$1101,20,0),"")</f>
        <v>_</v>
      </c>
      <c r="BJ853" s="449"/>
      <c r="BK853" s="446" t="str">
        <f>IF(Ruimtestaat[[#This Row],[Frequentie weekend]]="","",_xlfn.CONCAT(Ruimtestaat[[#This Row],[Ruimte code]],"-",Ruimtestaat[[#This Row],[Frequentie weekend]]," ",Ruimtestaat[[#This Row],[Vloer code]]))</f>
        <v/>
      </c>
      <c r="BL853" s="448" t="str">
        <f>_xlfn.IFNA(VLOOKUP($BK853,Programma!$F$3:$G$1101,2,0),"")</f>
        <v/>
      </c>
      <c r="BM853" s="448" t="str">
        <f>_xlfn.IFNA(VLOOKUP($BK853,Programma!$F$3:$H$1101,3,0),"")</f>
        <v/>
      </c>
      <c r="BN853" s="448" t="str">
        <f>_xlfn.IFNA(VLOOKUP($BK853,Programma!$F$3:$I$1101,4,0),"")</f>
        <v/>
      </c>
      <c r="BO853" s="448" t="str">
        <f>_xlfn.IFNA(VLOOKUP($BK853,Programma!$F$3:$J$1101,5,0),"")</f>
        <v/>
      </c>
      <c r="BP853" s="448" t="str">
        <f>_xlfn.IFNA(VLOOKUP($BK853,Programma!$F$3:$K$1101,6,0),"")</f>
        <v/>
      </c>
      <c r="BQ853" s="448" t="str">
        <f>_xlfn.IFNA(VLOOKUP($BK853,Programma!$F$3:$L$1101,7,0),"")</f>
        <v/>
      </c>
      <c r="BR853" s="448" t="str">
        <f>_xlfn.IFNA(VLOOKUP($BK853,Programma!$F$3:$M$1101,8,0),"")</f>
        <v/>
      </c>
      <c r="BS853" s="448" t="str">
        <f>_xlfn.IFNA(VLOOKUP($BK853,Programma!$F$3:$N$1101,9,0),"")</f>
        <v/>
      </c>
      <c r="BT853" s="448" t="str">
        <f>_xlfn.IFNA(VLOOKUP($BK853,Programma!$F$3:$O$1101,10,0),"")</f>
        <v/>
      </c>
      <c r="BU853" s="448" t="str">
        <f>_xlfn.IFNA(VLOOKUP($BK853,Programma!$F$3:$P$1101,11,0),"")</f>
        <v/>
      </c>
      <c r="BV853" s="448" t="str">
        <f>_xlfn.IFNA(VLOOKUP($BK853,Programma!$F$3:$Q$1101,12,0),"")</f>
        <v/>
      </c>
      <c r="BW853" s="448" t="str">
        <f>_xlfn.IFNA(VLOOKUP($BK853,Programma!$F$3:$R$1101,13,0),"")</f>
        <v/>
      </c>
      <c r="BX853" s="448" t="str">
        <f>_xlfn.IFNA(VLOOKUP($BK853,Programma!$F$3:$S$1101,14,0),"")</f>
        <v/>
      </c>
      <c r="BY853" s="448" t="str">
        <f>_xlfn.IFNA(VLOOKUP($BK853,Programma!$F$3:$T$1101,15,0),"")</f>
        <v/>
      </c>
      <c r="BZ853" s="448" t="str">
        <f>_xlfn.IFNA(VLOOKUP($BK853,Programma!$F$3:$U$1101,16,0),"")</f>
        <v/>
      </c>
      <c r="CA853" s="448" t="str">
        <f>_xlfn.IFNA(VLOOKUP($BK853,Programma!$F$3:$V$1101,17,0),"")</f>
        <v/>
      </c>
      <c r="CB853" s="448" t="str">
        <f>_xlfn.IFNA(VLOOKUP($BK853,Programma!$F$3:$W$1101,18,0),"")</f>
        <v/>
      </c>
      <c r="CC853" s="448" t="str">
        <f>_xlfn.IFNA(VLOOKUP($BK853,Programma!$F$3:$X$1101,19,0),"")</f>
        <v/>
      </c>
      <c r="CD853" s="448" t="str">
        <f>_xlfn.IFNA(VLOOKUP($BK853,Programma!$F$3:$Y$1101,20,0),"")</f>
        <v/>
      </c>
    </row>
    <row r="854" spans="1:82" ht="15" customHeight="1">
      <c r="A854" s="327">
        <v>24</v>
      </c>
      <c r="B854" s="435" t="str">
        <f>VLOOKUP(Ruimtestaat[[#This Row],[Code]],Locaties[[Code]:[Locatie]],2,FALSE)</f>
        <v>IKC De Gaerde</v>
      </c>
      <c r="C854" s="435" t="str">
        <f>VLOOKUP(Ruimtestaat[[#This Row],[Code]],Locaties[[#All],[Code]:[Adres]],4,FALSE)</f>
        <v>Moerbeigaarde 58A</v>
      </c>
      <c r="D854" s="435" t="str">
        <f>VLOOKUP(Ruimtestaat[[#This Row],[Code]],Locaties[[#All],[Code]:[Postcode]],5,FALSE)</f>
        <v>2723 AG</v>
      </c>
      <c r="E854" s="435" t="str">
        <f>VLOOKUP(Ruimtestaat[[#This Row],[Code]],Locaties[#All],6,FALSE)</f>
        <v>Zoetermeer</v>
      </c>
      <c r="F854" s="450"/>
      <c r="G854" s="330" t="s">
        <v>1769</v>
      </c>
      <c r="H854" s="330" t="s">
        <v>1741</v>
      </c>
      <c r="I854" s="450" t="s">
        <v>1914</v>
      </c>
      <c r="J854" s="330">
        <v>1</v>
      </c>
      <c r="K854" s="450" t="str">
        <f>VLOOKUP(Ruimtestaat[[#This Row],[Ruimte code]],Ruimtegroepen[[#All],[Code]:[Ruimte omschrijving]],2,FALSE)</f>
        <v>Magazijnen/bergingen</v>
      </c>
      <c r="L854" s="330" t="s">
        <v>100</v>
      </c>
      <c r="M854" s="437" t="s">
        <v>2058</v>
      </c>
      <c r="N854" s="439">
        <v>2.1</v>
      </c>
      <c r="O854" s="439"/>
      <c r="P854" s="439"/>
      <c r="Q854" s="439"/>
      <c r="R854" s="440" t="str">
        <f>VLOOKUP(Ruimtestaat[[#This Row],[Ruimte code]],Ruimtegroepen[],4,FALSE)</f>
        <v>Ve</v>
      </c>
      <c r="S854" s="434">
        <v>40</v>
      </c>
      <c r="T854" s="434" t="s">
        <v>16</v>
      </c>
      <c r="U854" s="453">
        <f>IF(S854&gt;0,IF(RIGHT(Ruimtestaat[[#This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54" s="434">
        <f>IF(U854&gt;0,VLOOKUP($J854,Ruimtegroepen[],3,FALSE)*VLOOKUP($L854,Vloersoorten[],3,FALSE)*VLOOKUP($T854,Frequenties[],3,FALSE)*VLOOKUP($A854,Locaties[],3,FALSE),0)</f>
        <v>0</v>
      </c>
      <c r="W854" s="434">
        <f>Ruimtestaat[[#This Row],[Uitvoeringen werkdagen]]*Ruimtestaat[[#This Row],[Oppervlak (netto)]]</f>
        <v>25.200000000000003</v>
      </c>
      <c r="X854" s="441">
        <f>IF(V854&gt;0,Ruimtestaat[[#This Row],[Prest. (m2 /jaar) werkdagen]]/Ruimtestaat[[#This Row],[Norm (m2/uur) werkdagen]],0)</f>
        <v>0</v>
      </c>
      <c r="Y854" s="442">
        <f>Ruimtestaat[[#This Row],[Uitvoeringen werkdagen]]*Ruimtestaat[[#This Row],[Gedeeltelijk]]</f>
        <v>0</v>
      </c>
      <c r="Z854" s="443" t="e">
        <f>IF(U854&gt;0,Ruimtestaat[[#This Row],[Prest. (m2 / jaar) werkdagen gedeeld]]/Ruimtestaat[[#This Row],[Norm (m2/uur) werkdagen]],0)</f>
        <v>#DIV/0!</v>
      </c>
      <c r="AA854" s="441" t="e">
        <f>Ruimtestaat[[#This Row],[uren / jaar werkdagen gedeeld]]*Tariefsopbouw!$E$35</f>
        <v>#DIV/0!</v>
      </c>
      <c r="AB854" s="441">
        <f>Ruimtestaat[[#This Row],[Uitvoeringen werkdagen]]*Ruimtestaat[[#This Row],[BSO]]</f>
        <v>0</v>
      </c>
      <c r="AC854" s="443" t="e">
        <f>IF(U854&gt;0,Ruimtestaat[[#This Row],[Prest. (m2 / jaar) werkdagen BSO]]/Ruimtestaat[[#This Row],[Norm (m2/uur) werkdagen]],0)</f>
        <v>#DIV/0!</v>
      </c>
      <c r="AD854" s="443" t="e">
        <f>Ruimtestaat[[#This Row],[uren / jaar werkdagen BSO]]*Tariefsopbouw!$E$35</f>
        <v>#DIV/0!</v>
      </c>
      <c r="AE854" s="444">
        <f>Ruimtestaat[[#This Row],[uren / jaar werkdagen]]*Tariefsopbouw!$E$35</f>
        <v>0</v>
      </c>
      <c r="AF854" s="454"/>
      <c r="AG854" s="455">
        <f>IF(Ruimtestaat[[#This Row],[Frequentie weekend]]&gt;0,VALUE(LEFT(AF854,1))*S854,0)</f>
        <v>0</v>
      </c>
      <c r="AH854" s="455">
        <f>IF($AG854&gt;0,VLOOKUP($J854,Ruimtegroepen[],3,FALSE)*VLOOKUP($L854,Vloersoorten[],3,FALSE)*VLOOKUP($AF854,Frequenties[],3,FALSE)*VLOOKUP(#REF!,Locaties[],3,FALSE),0)</f>
        <v>0</v>
      </c>
      <c r="AI854" s="434">
        <f>Ruimtestaat[[#This Row],[Uitvoeringen weekend]]*Ruimtestaat[[#This Row],[Oppervlak (netto)]]</f>
        <v>0</v>
      </c>
      <c r="AJ854" s="434">
        <f>IF(AH854&gt;0,Ruimtestaat[[#This Row],[Prest. (m2 /jaar) weekend]]/Ruimtestaat[[#This Row],[Norm (m2/uur) weekend]],0)</f>
        <v>0</v>
      </c>
      <c r="AK854" s="444">
        <f>Ruimtestaat[[#This Row],[uren / jaar weekend]]*Tariefsopbouw!$D$40</f>
        <v>0</v>
      </c>
      <c r="AL854" s="441">
        <f>Ruimtestaat[[#This Row],[Prest. (m2 /jaar) weekend]]+Ruimtestaat[[#This Row],[Prest. (m2 /jaar) werkdagen]]</f>
        <v>25.200000000000003</v>
      </c>
      <c r="AM854" s="441">
        <f>Ruimtestaat[[#This Row],[uren / jaar weekend]]+Ruimtestaat[[#This Row],[uren / jaar werkdagen]]</f>
        <v>0</v>
      </c>
      <c r="AN854" s="446">
        <f>Ruimtestaat[[#This Row],[kosten / jaar weekend]]+Ruimtestaat[[#This Row],[kosten / jaar werkdagen]]</f>
        <v>0</v>
      </c>
      <c r="AO854" s="446"/>
      <c r="AP854" s="446" t="str">
        <f>IF(Ruimtestaat[[#This Row],[Frequentie werkdagen]]="","",_xlfn.CONCAT(Ruimtestaat[[#This Row],[Ruimte code]],"-",Ruimtestaat[[#This Row],[Frequentie werkdagen]]," ",Ruimtestaat[[#This Row],[Vloer code]]))</f>
        <v>1-1m L</v>
      </c>
      <c r="AQ854" s="448" t="str">
        <f>_xlfn.IFNA(VLOOKUP($AP854,Programma!$F$3:$G$1101,2,0),"")</f>
        <v>_</v>
      </c>
      <c r="AR854" s="448" t="str">
        <f>_xlfn.IFNA(VLOOKUP($AP854,Programma!$F$3:$H$1101,3,0),"")</f>
        <v>_</v>
      </c>
      <c r="AS854" s="448" t="str">
        <f>_xlfn.IFNA(VLOOKUP($AP854,Programma!$F$3:$I$1101,4,0),"")</f>
        <v>1m</v>
      </c>
      <c r="AT854" s="448" t="str">
        <f>_xlfn.IFNA(VLOOKUP($AP854,Programma!$F$3:$J$1101,5,0),"")</f>
        <v>1m</v>
      </c>
      <c r="AU854" s="448" t="str">
        <f>_xlfn.IFNA(VLOOKUP($AP854,Programma!$F$3:$K$1101,6,0),"")</f>
        <v>_</v>
      </c>
      <c r="AV854" s="448" t="str">
        <f>_xlfn.IFNA(VLOOKUP($AP854,Programma!$F$3:$L$1101,7,0),"")</f>
        <v>_</v>
      </c>
      <c r="AW854" s="448" t="str">
        <f>_xlfn.IFNA(VLOOKUP($AP854,Programma!$F$3:$M$1101,8,0),"")</f>
        <v>_</v>
      </c>
      <c r="AX854" s="448" t="str">
        <f>_xlfn.IFNA(VLOOKUP($AP854,Programma!$F$3:$N$1101,9,0),"")</f>
        <v>_</v>
      </c>
      <c r="AY854" s="448" t="str">
        <f>_xlfn.IFNA(VLOOKUP($AP854,Programma!$F$3:$O$1101,10,0),"")</f>
        <v>_</v>
      </c>
      <c r="AZ854" s="448" t="str">
        <f>_xlfn.IFNA(VLOOKUP($AP854,Programma!$F$3:$P$1101,11,0),"")</f>
        <v>_</v>
      </c>
      <c r="BA854" s="448" t="str">
        <f>_xlfn.IFNA(VLOOKUP($AP854,Programma!$F$3:$Q$1101,12,0),"")</f>
        <v>_</v>
      </c>
      <c r="BB854" s="448" t="str">
        <f>_xlfn.IFNA(VLOOKUP($AP854,Programma!$F$3:$R$1101,13,0),"")</f>
        <v>_</v>
      </c>
      <c r="BC854" s="448" t="str">
        <f>_xlfn.IFNA(VLOOKUP($AP854,Programma!$F$3:$S$1101,14,0),"")</f>
        <v>1m</v>
      </c>
      <c r="BD854" s="448" t="str">
        <f>_xlfn.IFNA(VLOOKUP($AP854,Programma!$F$3:$T$1101,15,0),"")</f>
        <v>4j</v>
      </c>
      <c r="BE854" s="448" t="str">
        <f>_xlfn.IFNA(VLOOKUP($AP854,Programma!$F$3:$U$1101,16,0),"")</f>
        <v>4j</v>
      </c>
      <c r="BF854" s="448" t="str">
        <f>_xlfn.IFNA(VLOOKUP($AP854,Programma!$F$3:$V$1101,17,0),"")</f>
        <v>_</v>
      </c>
      <c r="BG854" s="448" t="str">
        <f>_xlfn.IFNA(VLOOKUP($AP854,Programma!$F$3:$W$1101,18,0),"")</f>
        <v>_</v>
      </c>
      <c r="BH854" s="448" t="str">
        <f>_xlfn.IFNA(VLOOKUP($AP854,Programma!$F$3:$X$1101,19,0),"")</f>
        <v>_</v>
      </c>
      <c r="BI854" s="448" t="str">
        <f>_xlfn.IFNA(VLOOKUP($AP854,Programma!$F$3:$Y$1101,20,0),"")</f>
        <v>_</v>
      </c>
      <c r="BJ854" s="449"/>
      <c r="BK854" s="446" t="str">
        <f>IF(Ruimtestaat[[#This Row],[Frequentie weekend]]="","",_xlfn.CONCAT(Ruimtestaat[[#This Row],[Ruimte code]],"-",Ruimtestaat[[#This Row],[Frequentie weekend]]," ",Ruimtestaat[[#This Row],[Vloer code]]))</f>
        <v/>
      </c>
      <c r="BL854" s="448" t="str">
        <f>_xlfn.IFNA(VLOOKUP($BK854,Programma!$F$3:$G$1101,2,0),"")</f>
        <v/>
      </c>
      <c r="BM854" s="448" t="str">
        <f>_xlfn.IFNA(VLOOKUP($BK854,Programma!$F$3:$H$1101,3,0),"")</f>
        <v/>
      </c>
      <c r="BN854" s="448" t="str">
        <f>_xlfn.IFNA(VLOOKUP($BK854,Programma!$F$3:$I$1101,4,0),"")</f>
        <v/>
      </c>
      <c r="BO854" s="448" t="str">
        <f>_xlfn.IFNA(VLOOKUP($BK854,Programma!$F$3:$J$1101,5,0),"")</f>
        <v/>
      </c>
      <c r="BP854" s="448" t="str">
        <f>_xlfn.IFNA(VLOOKUP($BK854,Programma!$F$3:$K$1101,6,0),"")</f>
        <v/>
      </c>
      <c r="BQ854" s="448" t="str">
        <f>_xlfn.IFNA(VLOOKUP($BK854,Programma!$F$3:$L$1101,7,0),"")</f>
        <v/>
      </c>
      <c r="BR854" s="448" t="str">
        <f>_xlfn.IFNA(VLOOKUP($BK854,Programma!$F$3:$M$1101,8,0),"")</f>
        <v/>
      </c>
      <c r="BS854" s="448" t="str">
        <f>_xlfn.IFNA(VLOOKUP($BK854,Programma!$F$3:$N$1101,9,0),"")</f>
        <v/>
      </c>
      <c r="BT854" s="448" t="str">
        <f>_xlfn.IFNA(VLOOKUP($BK854,Programma!$F$3:$O$1101,10,0),"")</f>
        <v/>
      </c>
      <c r="BU854" s="448" t="str">
        <f>_xlfn.IFNA(VLOOKUP($BK854,Programma!$F$3:$P$1101,11,0),"")</f>
        <v/>
      </c>
      <c r="BV854" s="448" t="str">
        <f>_xlfn.IFNA(VLOOKUP($BK854,Programma!$F$3:$Q$1101,12,0),"")</f>
        <v/>
      </c>
      <c r="BW854" s="448" t="str">
        <f>_xlfn.IFNA(VLOOKUP($BK854,Programma!$F$3:$R$1101,13,0),"")</f>
        <v/>
      </c>
      <c r="BX854" s="448" t="str">
        <f>_xlfn.IFNA(VLOOKUP($BK854,Programma!$F$3:$S$1101,14,0),"")</f>
        <v/>
      </c>
      <c r="BY854" s="448" t="str">
        <f>_xlfn.IFNA(VLOOKUP($BK854,Programma!$F$3:$T$1101,15,0),"")</f>
        <v/>
      </c>
      <c r="BZ854" s="448" t="str">
        <f>_xlfn.IFNA(VLOOKUP($BK854,Programma!$F$3:$U$1101,16,0),"")</f>
        <v/>
      </c>
      <c r="CA854" s="448" t="str">
        <f>_xlfn.IFNA(VLOOKUP($BK854,Programma!$F$3:$V$1101,17,0),"")</f>
        <v/>
      </c>
      <c r="CB854" s="448" t="str">
        <f>_xlfn.IFNA(VLOOKUP($BK854,Programma!$F$3:$W$1101,18,0),"")</f>
        <v/>
      </c>
      <c r="CC854" s="448" t="str">
        <f>_xlfn.IFNA(VLOOKUP($BK854,Programma!$F$3:$X$1101,19,0),"")</f>
        <v/>
      </c>
      <c r="CD854" s="448" t="str">
        <f>_xlfn.IFNA(VLOOKUP($BK854,Programma!$F$3:$Y$1101,20,0),"")</f>
        <v/>
      </c>
    </row>
    <row r="855" spans="1:82" ht="15" customHeight="1">
      <c r="A855" s="327">
        <v>24</v>
      </c>
      <c r="B855" s="435" t="str">
        <f>VLOOKUP(Ruimtestaat[[#This Row],[Code]],Locaties[[Code]:[Locatie]],2,FALSE)</f>
        <v>IKC De Gaerde</v>
      </c>
      <c r="C855" s="435" t="str">
        <f>VLOOKUP(Ruimtestaat[[#This Row],[Code]],Locaties[[#All],[Code]:[Adres]],4,FALSE)</f>
        <v>Moerbeigaarde 58A</v>
      </c>
      <c r="D855" s="435" t="str">
        <f>VLOOKUP(Ruimtestaat[[#This Row],[Code]],Locaties[[#All],[Code]:[Postcode]],5,FALSE)</f>
        <v>2723 AG</v>
      </c>
      <c r="E855" s="435" t="str">
        <f>VLOOKUP(Ruimtestaat[[#This Row],[Code]],Locaties[#All],6,FALSE)</f>
        <v>Zoetermeer</v>
      </c>
      <c r="F855" s="450" t="s">
        <v>1705</v>
      </c>
      <c r="G855" s="330" t="s">
        <v>1769</v>
      </c>
      <c r="H855" s="330" t="s">
        <v>2048</v>
      </c>
      <c r="I855" s="450" t="s">
        <v>1720</v>
      </c>
      <c r="J855" s="330">
        <v>5</v>
      </c>
      <c r="K855" s="450" t="str">
        <f>VLOOKUP(Ruimtestaat[[#This Row],[Ruimte code]],Ruimtegroepen[[#All],[Code]:[Ruimte omschrijving]],2,FALSE)</f>
        <v>Sanitair</v>
      </c>
      <c r="L855" s="330" t="s">
        <v>101</v>
      </c>
      <c r="M855" s="437" t="s">
        <v>1816</v>
      </c>
      <c r="N855" s="439"/>
      <c r="O855" s="439"/>
      <c r="P855" s="439"/>
      <c r="Q855" s="439">
        <v>7.9</v>
      </c>
      <c r="R855" s="440" t="str">
        <f>VLOOKUP(Ruimtestaat[[#This Row],[Ruimte code]],Ruimtegroepen[],4,FALSE)</f>
        <v>Sa</v>
      </c>
      <c r="S855" s="434">
        <v>51</v>
      </c>
      <c r="T855" s="434" t="s">
        <v>2</v>
      </c>
      <c r="U855" s="453">
        <f>IF(S855&gt;0,IF(RIGHT(Ruimtestaat[[#This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55" s="434">
        <f>IF(U855&gt;0,VLOOKUP($J855,Ruimtegroepen[],3,FALSE)*VLOOKUP($L855,Vloersoorten[],3,FALSE)*VLOOKUP($T855,Frequenties[],3,FALSE)*VLOOKUP($A855,Locaties[],3,FALSE),0)</f>
        <v>0</v>
      </c>
      <c r="W855" s="434">
        <f>Ruimtestaat[[#This Row],[Uitvoeringen werkdagen]]*Ruimtestaat[[#This Row],[Oppervlak (netto)]]</f>
        <v>0</v>
      </c>
      <c r="X855" s="441">
        <f>IF(V855&gt;0,Ruimtestaat[[#This Row],[Prest. (m2 /jaar) werkdagen]]/Ruimtestaat[[#This Row],[Norm (m2/uur) werkdagen]],0)</f>
        <v>0</v>
      </c>
      <c r="Y855" s="442">
        <f>Ruimtestaat[[#This Row],[Uitvoeringen werkdagen]]*Ruimtestaat[[#This Row],[Gedeeltelijk]]</f>
        <v>0</v>
      </c>
      <c r="Z855" s="443" t="e">
        <f>IF(U855&gt;0,Ruimtestaat[[#This Row],[Prest. (m2 / jaar) werkdagen gedeeld]]/Ruimtestaat[[#This Row],[Norm (m2/uur) werkdagen]],0)</f>
        <v>#DIV/0!</v>
      </c>
      <c r="AA855" s="441" t="e">
        <f>Ruimtestaat[[#This Row],[uren / jaar werkdagen gedeeld]]*Tariefsopbouw!$E$35</f>
        <v>#DIV/0!</v>
      </c>
      <c r="AB855" s="441">
        <f>Ruimtestaat[[#This Row],[Uitvoeringen werkdagen]]*Ruimtestaat[[#This Row],[BSO]]</f>
        <v>2014.5</v>
      </c>
      <c r="AC855" s="443" t="e">
        <f>IF(U855&gt;0,Ruimtestaat[[#This Row],[Prest. (m2 / jaar) werkdagen BSO]]/Ruimtestaat[[#This Row],[Norm (m2/uur) werkdagen]],0)</f>
        <v>#DIV/0!</v>
      </c>
      <c r="AD855" s="443" t="e">
        <f>Ruimtestaat[[#This Row],[uren / jaar werkdagen BSO]]*Tariefsopbouw!$E$35</f>
        <v>#DIV/0!</v>
      </c>
      <c r="AE855" s="444">
        <f>Ruimtestaat[[#This Row],[uren / jaar werkdagen]]*Tariefsopbouw!$E$35</f>
        <v>0</v>
      </c>
      <c r="AF855" s="454"/>
      <c r="AG855" s="455">
        <f>IF(Ruimtestaat[[#This Row],[Frequentie weekend]]&gt;0,VALUE(LEFT(AF855,1))*S855,0)</f>
        <v>0</v>
      </c>
      <c r="AH855" s="455">
        <f>IF($AG855&gt;0,VLOOKUP($J855,Ruimtegroepen[],3,FALSE)*VLOOKUP($L855,Vloersoorten[],3,FALSE)*VLOOKUP($AF855,Frequenties[],3,FALSE)*VLOOKUP(#REF!,Locaties[],3,FALSE),0)</f>
        <v>0</v>
      </c>
      <c r="AI855" s="434">
        <f>Ruimtestaat[[#This Row],[Uitvoeringen weekend]]*Ruimtestaat[[#This Row],[Oppervlak (netto)]]</f>
        <v>0</v>
      </c>
      <c r="AJ855" s="434">
        <f>IF(AH855&gt;0,Ruimtestaat[[#This Row],[Prest. (m2 /jaar) weekend]]/Ruimtestaat[[#This Row],[Norm (m2/uur) weekend]],0)</f>
        <v>0</v>
      </c>
      <c r="AK855" s="444">
        <f>Ruimtestaat[[#This Row],[uren / jaar weekend]]*Tariefsopbouw!$D$40</f>
        <v>0</v>
      </c>
      <c r="AL855" s="441">
        <f>Ruimtestaat[[#This Row],[Prest. (m2 /jaar) weekend]]+Ruimtestaat[[#This Row],[Prest. (m2 /jaar) werkdagen]]</f>
        <v>0</v>
      </c>
      <c r="AM855" s="441">
        <f>Ruimtestaat[[#This Row],[uren / jaar weekend]]+Ruimtestaat[[#This Row],[uren / jaar werkdagen]]</f>
        <v>0</v>
      </c>
      <c r="AN855" s="446">
        <f>Ruimtestaat[[#This Row],[kosten / jaar weekend]]+Ruimtestaat[[#This Row],[kosten / jaar werkdagen]]</f>
        <v>0</v>
      </c>
      <c r="AO855" s="446"/>
      <c r="AP855" s="446" t="str">
        <f>IF(Ruimtestaat[[#This Row],[Frequentie werkdagen]]="","",_xlfn.CONCAT(Ruimtestaat[[#This Row],[Ruimte code]],"-",Ruimtestaat[[#This Row],[Frequentie werkdagen]]," ",Ruimtestaat[[#This Row],[Vloer code]]))</f>
        <v>5-5w S</v>
      </c>
      <c r="AQ855" s="448" t="str">
        <f>_xlfn.IFNA(VLOOKUP($AP855,Programma!$F$3:$G$1101,2,0),"")</f>
        <v>_</v>
      </c>
      <c r="AR855" s="448" t="str">
        <f>_xlfn.IFNA(VLOOKUP($AP855,Programma!$F$3:$H$1101,3,0),"")</f>
        <v>_</v>
      </c>
      <c r="AS855" s="448" t="str">
        <f>_xlfn.IFNA(VLOOKUP($AP855,Programma!$F$3:$I$1101,4,0),"")</f>
        <v>_</v>
      </c>
      <c r="AT855" s="448" t="str">
        <f>_xlfn.IFNA(VLOOKUP($AP855,Programma!$F$3:$J$1101,5,0),"")</f>
        <v>4w</v>
      </c>
      <c r="AU855" s="448" t="str">
        <f>_xlfn.IFNA(VLOOKUP($AP855,Programma!$F$3:$K$1101,6,0),"")</f>
        <v>1w</v>
      </c>
      <c r="AV855" s="448" t="str">
        <f>_xlfn.IFNA(VLOOKUP($AP855,Programma!$F$3:$L$1101,7,0),"")</f>
        <v>_</v>
      </c>
      <c r="AW855" s="448" t="str">
        <f>_xlfn.IFNA(VLOOKUP($AP855,Programma!$F$3:$M$1101,8,0),"")</f>
        <v>_</v>
      </c>
      <c r="AX855" s="448" t="str">
        <f>_xlfn.IFNA(VLOOKUP($AP855,Programma!$F$3:$N$1101,9,0),"")</f>
        <v>_</v>
      </c>
      <c r="AY855" s="448" t="str">
        <f>_xlfn.IFNA(VLOOKUP($AP855,Programma!$F$3:$O$1101,10,0),"")</f>
        <v>_</v>
      </c>
      <c r="AZ855" s="448" t="str">
        <f>_xlfn.IFNA(VLOOKUP($AP855,Programma!$F$3:$P$1101,11,0),"")</f>
        <v>_</v>
      </c>
      <c r="BA855" s="448" t="str">
        <f>_xlfn.IFNA(VLOOKUP($AP855,Programma!$F$3:$Q$1101,12,0),"")</f>
        <v>_</v>
      </c>
      <c r="BB855" s="448" t="str">
        <f>_xlfn.IFNA(VLOOKUP($AP855,Programma!$F$3:$R$1101,13,0),"")</f>
        <v>_</v>
      </c>
      <c r="BC855" s="448" t="str">
        <f>_xlfn.IFNA(VLOOKUP($AP855,Programma!$F$3:$S$1101,14,0),"")</f>
        <v>_</v>
      </c>
      <c r="BD855" s="448" t="str">
        <f>_xlfn.IFNA(VLOOKUP($AP855,Programma!$F$3:$T$1101,15,0),"")</f>
        <v>_</v>
      </c>
      <c r="BE855" s="448" t="str">
        <f>_xlfn.IFNA(VLOOKUP($AP855,Programma!$F$3:$U$1101,16,0),"")</f>
        <v>_</v>
      </c>
      <c r="BF855" s="448" t="str">
        <f>_xlfn.IFNA(VLOOKUP($AP855,Programma!$F$3:$V$1101,17,0),"")</f>
        <v>_</v>
      </c>
      <c r="BG855" s="448" t="str">
        <f>_xlfn.IFNA(VLOOKUP($AP855,Programma!$F$3:$W$1101,18,0),"")</f>
        <v>4w</v>
      </c>
      <c r="BH855" s="448" t="str">
        <f>_xlfn.IFNA(VLOOKUP($AP855,Programma!$F$3:$X$1101,19,0),"")</f>
        <v>1w</v>
      </c>
      <c r="BI855" s="448" t="str">
        <f>_xlfn.IFNA(VLOOKUP($AP855,Programma!$F$3:$Y$1101,20,0),"")</f>
        <v>_</v>
      </c>
      <c r="BJ855" s="449"/>
      <c r="BK855" s="446" t="str">
        <f>IF(Ruimtestaat[[#This Row],[Frequentie weekend]]="","",_xlfn.CONCAT(Ruimtestaat[[#This Row],[Ruimte code]],"-",Ruimtestaat[[#This Row],[Frequentie weekend]]," ",Ruimtestaat[[#This Row],[Vloer code]]))</f>
        <v/>
      </c>
      <c r="BL855" s="448" t="str">
        <f>_xlfn.IFNA(VLOOKUP($BK855,Programma!$F$3:$G$1101,2,0),"")</f>
        <v/>
      </c>
      <c r="BM855" s="448" t="str">
        <f>_xlfn.IFNA(VLOOKUP($BK855,Programma!$F$3:$H$1101,3,0),"")</f>
        <v/>
      </c>
      <c r="BN855" s="448" t="str">
        <f>_xlfn.IFNA(VLOOKUP($BK855,Programma!$F$3:$I$1101,4,0),"")</f>
        <v/>
      </c>
      <c r="BO855" s="448" t="str">
        <f>_xlfn.IFNA(VLOOKUP($BK855,Programma!$F$3:$J$1101,5,0),"")</f>
        <v/>
      </c>
      <c r="BP855" s="448" t="str">
        <f>_xlfn.IFNA(VLOOKUP($BK855,Programma!$F$3:$K$1101,6,0),"")</f>
        <v/>
      </c>
      <c r="BQ855" s="448" t="str">
        <f>_xlfn.IFNA(VLOOKUP($BK855,Programma!$F$3:$L$1101,7,0),"")</f>
        <v/>
      </c>
      <c r="BR855" s="448" t="str">
        <f>_xlfn.IFNA(VLOOKUP($BK855,Programma!$F$3:$M$1101,8,0),"")</f>
        <v/>
      </c>
      <c r="BS855" s="448" t="str">
        <f>_xlfn.IFNA(VLOOKUP($BK855,Programma!$F$3:$N$1101,9,0),"")</f>
        <v/>
      </c>
      <c r="BT855" s="448" t="str">
        <f>_xlfn.IFNA(VLOOKUP($BK855,Programma!$F$3:$O$1101,10,0),"")</f>
        <v/>
      </c>
      <c r="BU855" s="448" t="str">
        <f>_xlfn.IFNA(VLOOKUP($BK855,Programma!$F$3:$P$1101,11,0),"")</f>
        <v/>
      </c>
      <c r="BV855" s="448" t="str">
        <f>_xlfn.IFNA(VLOOKUP($BK855,Programma!$F$3:$Q$1101,12,0),"")</f>
        <v/>
      </c>
      <c r="BW855" s="448" t="str">
        <f>_xlfn.IFNA(VLOOKUP($BK855,Programma!$F$3:$R$1101,13,0),"")</f>
        <v/>
      </c>
      <c r="BX855" s="448" t="str">
        <f>_xlfn.IFNA(VLOOKUP($BK855,Programma!$F$3:$S$1101,14,0),"")</f>
        <v/>
      </c>
      <c r="BY855" s="448" t="str">
        <f>_xlfn.IFNA(VLOOKUP($BK855,Programma!$F$3:$T$1101,15,0),"")</f>
        <v/>
      </c>
      <c r="BZ855" s="448" t="str">
        <f>_xlfn.IFNA(VLOOKUP($BK855,Programma!$F$3:$U$1101,16,0),"")</f>
        <v/>
      </c>
      <c r="CA855" s="448" t="str">
        <f>_xlfn.IFNA(VLOOKUP($BK855,Programma!$F$3:$V$1101,17,0),"")</f>
        <v/>
      </c>
      <c r="CB855" s="448" t="str">
        <f>_xlfn.IFNA(VLOOKUP($BK855,Programma!$F$3:$W$1101,18,0),"")</f>
        <v/>
      </c>
      <c r="CC855" s="448" t="str">
        <f>_xlfn.IFNA(VLOOKUP($BK855,Programma!$F$3:$X$1101,19,0),"")</f>
        <v/>
      </c>
      <c r="CD855" s="448" t="str">
        <f>_xlfn.IFNA(VLOOKUP($BK855,Programma!$F$3:$Y$1101,20,0),"")</f>
        <v/>
      </c>
    </row>
    <row r="856" spans="1:82" ht="15" customHeight="1">
      <c r="A856" s="327">
        <v>24</v>
      </c>
      <c r="B856" s="435" t="str">
        <f>VLOOKUP(Ruimtestaat[[#This Row],[Code]],Locaties[[Code]:[Locatie]],2,FALSE)</f>
        <v>IKC De Gaerde</v>
      </c>
      <c r="C856" s="435" t="str">
        <f>VLOOKUP(Ruimtestaat[[#This Row],[Code]],Locaties[[#All],[Code]:[Adres]],4,FALSE)</f>
        <v>Moerbeigaarde 58A</v>
      </c>
      <c r="D856" s="435" t="str">
        <f>VLOOKUP(Ruimtestaat[[#This Row],[Code]],Locaties[[#All],[Code]:[Postcode]],5,FALSE)</f>
        <v>2723 AG</v>
      </c>
      <c r="E856" s="435" t="str">
        <f>VLOOKUP(Ruimtestaat[[#This Row],[Code]],Locaties[#All],6,FALSE)</f>
        <v>Zoetermeer</v>
      </c>
      <c r="F856" s="450" t="s">
        <v>1705</v>
      </c>
      <c r="G856" s="330" t="s">
        <v>1769</v>
      </c>
      <c r="H856" s="330" t="s">
        <v>2049</v>
      </c>
      <c r="I856" s="450" t="s">
        <v>1720</v>
      </c>
      <c r="J856" s="330">
        <v>5</v>
      </c>
      <c r="K856" s="450" t="str">
        <f>VLOOKUP(Ruimtestaat[[#This Row],[Ruimte code]],Ruimtegroepen[[#All],[Code]:[Ruimte omschrijving]],2,FALSE)</f>
        <v>Sanitair</v>
      </c>
      <c r="L856" s="330" t="s">
        <v>101</v>
      </c>
      <c r="M856" s="437" t="s">
        <v>1816</v>
      </c>
      <c r="N856" s="439"/>
      <c r="O856" s="439"/>
      <c r="P856" s="439"/>
      <c r="Q856" s="439">
        <v>7.9</v>
      </c>
      <c r="R856" s="440" t="str">
        <f>VLOOKUP(Ruimtestaat[[#This Row],[Ruimte code]],Ruimtegroepen[],4,FALSE)</f>
        <v>Sa</v>
      </c>
      <c r="S856" s="434">
        <v>51</v>
      </c>
      <c r="T856" s="434" t="s">
        <v>2</v>
      </c>
      <c r="U856" s="453">
        <f>IF(S856&gt;0,IF(RIGHT(Ruimtestaat[[#This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56" s="434">
        <f>IF(U856&gt;0,VLOOKUP($J856,Ruimtegroepen[],3,FALSE)*VLOOKUP($L856,Vloersoorten[],3,FALSE)*VLOOKUP($T856,Frequenties[],3,FALSE)*VLOOKUP($A856,Locaties[],3,FALSE),0)</f>
        <v>0</v>
      </c>
      <c r="W856" s="434">
        <f>Ruimtestaat[[#This Row],[Uitvoeringen werkdagen]]*Ruimtestaat[[#This Row],[Oppervlak (netto)]]</f>
        <v>0</v>
      </c>
      <c r="X856" s="441">
        <f>IF(V856&gt;0,Ruimtestaat[[#This Row],[Prest. (m2 /jaar) werkdagen]]/Ruimtestaat[[#This Row],[Norm (m2/uur) werkdagen]],0)</f>
        <v>0</v>
      </c>
      <c r="Y856" s="442">
        <f>Ruimtestaat[[#This Row],[Uitvoeringen werkdagen]]*Ruimtestaat[[#This Row],[Gedeeltelijk]]</f>
        <v>0</v>
      </c>
      <c r="Z856" s="443" t="e">
        <f>IF(U856&gt;0,Ruimtestaat[[#This Row],[Prest. (m2 / jaar) werkdagen gedeeld]]/Ruimtestaat[[#This Row],[Norm (m2/uur) werkdagen]],0)</f>
        <v>#DIV/0!</v>
      </c>
      <c r="AA856" s="441" t="e">
        <f>Ruimtestaat[[#This Row],[uren / jaar werkdagen gedeeld]]*Tariefsopbouw!$E$35</f>
        <v>#DIV/0!</v>
      </c>
      <c r="AB856" s="441">
        <f>Ruimtestaat[[#This Row],[Uitvoeringen werkdagen]]*Ruimtestaat[[#This Row],[BSO]]</f>
        <v>2014.5</v>
      </c>
      <c r="AC856" s="443" t="e">
        <f>IF(U856&gt;0,Ruimtestaat[[#This Row],[Prest. (m2 / jaar) werkdagen BSO]]/Ruimtestaat[[#This Row],[Norm (m2/uur) werkdagen]],0)</f>
        <v>#DIV/0!</v>
      </c>
      <c r="AD856" s="443" t="e">
        <f>Ruimtestaat[[#This Row],[uren / jaar werkdagen BSO]]*Tariefsopbouw!$E$35</f>
        <v>#DIV/0!</v>
      </c>
      <c r="AE856" s="444">
        <f>Ruimtestaat[[#This Row],[uren / jaar werkdagen]]*Tariefsopbouw!$E$35</f>
        <v>0</v>
      </c>
      <c r="AF856" s="454"/>
      <c r="AG856" s="455">
        <f>IF(Ruimtestaat[[#This Row],[Frequentie weekend]]&gt;0,VALUE(LEFT(AF856,1))*S856,0)</f>
        <v>0</v>
      </c>
      <c r="AH856" s="455">
        <f>IF($AG856&gt;0,VLOOKUP($J856,Ruimtegroepen[],3,FALSE)*VLOOKUP($L856,Vloersoorten[],3,FALSE)*VLOOKUP($AF856,Frequenties[],3,FALSE)*VLOOKUP(#REF!,Locaties[],3,FALSE),0)</f>
        <v>0</v>
      </c>
      <c r="AI856" s="434">
        <f>Ruimtestaat[[#This Row],[Uitvoeringen weekend]]*Ruimtestaat[[#This Row],[Oppervlak (netto)]]</f>
        <v>0</v>
      </c>
      <c r="AJ856" s="434">
        <f>IF(AH856&gt;0,Ruimtestaat[[#This Row],[Prest. (m2 /jaar) weekend]]/Ruimtestaat[[#This Row],[Norm (m2/uur) weekend]],0)</f>
        <v>0</v>
      </c>
      <c r="AK856" s="444">
        <f>Ruimtestaat[[#This Row],[uren / jaar weekend]]*Tariefsopbouw!$D$40</f>
        <v>0</v>
      </c>
      <c r="AL856" s="441">
        <f>Ruimtestaat[[#This Row],[Prest. (m2 /jaar) weekend]]+Ruimtestaat[[#This Row],[Prest. (m2 /jaar) werkdagen]]</f>
        <v>0</v>
      </c>
      <c r="AM856" s="441">
        <f>Ruimtestaat[[#This Row],[uren / jaar weekend]]+Ruimtestaat[[#This Row],[uren / jaar werkdagen]]</f>
        <v>0</v>
      </c>
      <c r="AN856" s="446">
        <f>Ruimtestaat[[#This Row],[kosten / jaar weekend]]+Ruimtestaat[[#This Row],[kosten / jaar werkdagen]]</f>
        <v>0</v>
      </c>
      <c r="AO856" s="446"/>
      <c r="AP856" s="446" t="str">
        <f>IF(Ruimtestaat[[#This Row],[Frequentie werkdagen]]="","",_xlfn.CONCAT(Ruimtestaat[[#This Row],[Ruimte code]],"-",Ruimtestaat[[#This Row],[Frequentie werkdagen]]," ",Ruimtestaat[[#This Row],[Vloer code]]))</f>
        <v>5-5w S</v>
      </c>
      <c r="AQ856" s="448" t="str">
        <f>_xlfn.IFNA(VLOOKUP($AP856,Programma!$F$3:$G$1101,2,0),"")</f>
        <v>_</v>
      </c>
      <c r="AR856" s="448" t="str">
        <f>_xlfn.IFNA(VLOOKUP($AP856,Programma!$F$3:$H$1101,3,0),"")</f>
        <v>_</v>
      </c>
      <c r="AS856" s="448" t="str">
        <f>_xlfn.IFNA(VLOOKUP($AP856,Programma!$F$3:$I$1101,4,0),"")</f>
        <v>_</v>
      </c>
      <c r="AT856" s="448" t="str">
        <f>_xlfn.IFNA(VLOOKUP($AP856,Programma!$F$3:$J$1101,5,0),"")</f>
        <v>4w</v>
      </c>
      <c r="AU856" s="448" t="str">
        <f>_xlfn.IFNA(VLOOKUP($AP856,Programma!$F$3:$K$1101,6,0),"")</f>
        <v>1w</v>
      </c>
      <c r="AV856" s="448" t="str">
        <f>_xlfn.IFNA(VLOOKUP($AP856,Programma!$F$3:$L$1101,7,0),"")</f>
        <v>_</v>
      </c>
      <c r="AW856" s="448" t="str">
        <f>_xlfn.IFNA(VLOOKUP($AP856,Programma!$F$3:$M$1101,8,0),"")</f>
        <v>_</v>
      </c>
      <c r="AX856" s="448" t="str">
        <f>_xlfn.IFNA(VLOOKUP($AP856,Programma!$F$3:$N$1101,9,0),"")</f>
        <v>_</v>
      </c>
      <c r="AY856" s="448" t="str">
        <f>_xlfn.IFNA(VLOOKUP($AP856,Programma!$F$3:$O$1101,10,0),"")</f>
        <v>_</v>
      </c>
      <c r="AZ856" s="448" t="str">
        <f>_xlfn.IFNA(VLOOKUP($AP856,Programma!$F$3:$P$1101,11,0),"")</f>
        <v>_</v>
      </c>
      <c r="BA856" s="448" t="str">
        <f>_xlfn.IFNA(VLOOKUP($AP856,Programma!$F$3:$Q$1101,12,0),"")</f>
        <v>_</v>
      </c>
      <c r="BB856" s="448" t="str">
        <f>_xlfn.IFNA(VLOOKUP($AP856,Programma!$F$3:$R$1101,13,0),"")</f>
        <v>_</v>
      </c>
      <c r="BC856" s="448" t="str">
        <f>_xlfn.IFNA(VLOOKUP($AP856,Programma!$F$3:$S$1101,14,0),"")</f>
        <v>_</v>
      </c>
      <c r="BD856" s="448" t="str">
        <f>_xlfn.IFNA(VLOOKUP($AP856,Programma!$F$3:$T$1101,15,0),"")</f>
        <v>_</v>
      </c>
      <c r="BE856" s="448" t="str">
        <f>_xlfn.IFNA(VLOOKUP($AP856,Programma!$F$3:$U$1101,16,0),"")</f>
        <v>_</v>
      </c>
      <c r="BF856" s="448" t="str">
        <f>_xlfn.IFNA(VLOOKUP($AP856,Programma!$F$3:$V$1101,17,0),"")</f>
        <v>_</v>
      </c>
      <c r="BG856" s="448" t="str">
        <f>_xlfn.IFNA(VLOOKUP($AP856,Programma!$F$3:$W$1101,18,0),"")</f>
        <v>4w</v>
      </c>
      <c r="BH856" s="448" t="str">
        <f>_xlfn.IFNA(VLOOKUP($AP856,Programma!$F$3:$X$1101,19,0),"")</f>
        <v>1w</v>
      </c>
      <c r="BI856" s="448" t="str">
        <f>_xlfn.IFNA(VLOOKUP($AP856,Programma!$F$3:$Y$1101,20,0),"")</f>
        <v>_</v>
      </c>
      <c r="BJ856" s="449"/>
      <c r="BK856" s="446" t="str">
        <f>IF(Ruimtestaat[[#This Row],[Frequentie weekend]]="","",_xlfn.CONCAT(Ruimtestaat[[#This Row],[Ruimte code]],"-",Ruimtestaat[[#This Row],[Frequentie weekend]]," ",Ruimtestaat[[#This Row],[Vloer code]]))</f>
        <v/>
      </c>
      <c r="BL856" s="448" t="str">
        <f>_xlfn.IFNA(VLOOKUP($BK856,Programma!$F$3:$G$1101,2,0),"")</f>
        <v/>
      </c>
      <c r="BM856" s="448" t="str">
        <f>_xlfn.IFNA(VLOOKUP($BK856,Programma!$F$3:$H$1101,3,0),"")</f>
        <v/>
      </c>
      <c r="BN856" s="448" t="str">
        <f>_xlfn.IFNA(VLOOKUP($BK856,Programma!$F$3:$I$1101,4,0),"")</f>
        <v/>
      </c>
      <c r="BO856" s="448" t="str">
        <f>_xlfn.IFNA(VLOOKUP($BK856,Programma!$F$3:$J$1101,5,0),"")</f>
        <v/>
      </c>
      <c r="BP856" s="448" t="str">
        <f>_xlfn.IFNA(VLOOKUP($BK856,Programma!$F$3:$K$1101,6,0),"")</f>
        <v/>
      </c>
      <c r="BQ856" s="448" t="str">
        <f>_xlfn.IFNA(VLOOKUP($BK856,Programma!$F$3:$L$1101,7,0),"")</f>
        <v/>
      </c>
      <c r="BR856" s="448" t="str">
        <f>_xlfn.IFNA(VLOOKUP($BK856,Programma!$F$3:$M$1101,8,0),"")</f>
        <v/>
      </c>
      <c r="BS856" s="448" t="str">
        <f>_xlfn.IFNA(VLOOKUP($BK856,Programma!$F$3:$N$1101,9,0),"")</f>
        <v/>
      </c>
      <c r="BT856" s="448" t="str">
        <f>_xlfn.IFNA(VLOOKUP($BK856,Programma!$F$3:$O$1101,10,0),"")</f>
        <v/>
      </c>
      <c r="BU856" s="448" t="str">
        <f>_xlfn.IFNA(VLOOKUP($BK856,Programma!$F$3:$P$1101,11,0),"")</f>
        <v/>
      </c>
      <c r="BV856" s="448" t="str">
        <f>_xlfn.IFNA(VLOOKUP($BK856,Programma!$F$3:$Q$1101,12,0),"")</f>
        <v/>
      </c>
      <c r="BW856" s="448" t="str">
        <f>_xlfn.IFNA(VLOOKUP($BK856,Programma!$F$3:$R$1101,13,0),"")</f>
        <v/>
      </c>
      <c r="BX856" s="448" t="str">
        <f>_xlfn.IFNA(VLOOKUP($BK856,Programma!$F$3:$S$1101,14,0),"")</f>
        <v/>
      </c>
      <c r="BY856" s="448" t="str">
        <f>_xlfn.IFNA(VLOOKUP($BK856,Programma!$F$3:$T$1101,15,0),"")</f>
        <v/>
      </c>
      <c r="BZ856" s="448" t="str">
        <f>_xlfn.IFNA(VLOOKUP($BK856,Programma!$F$3:$U$1101,16,0),"")</f>
        <v/>
      </c>
      <c r="CA856" s="448" t="str">
        <f>_xlfn.IFNA(VLOOKUP($BK856,Programma!$F$3:$V$1101,17,0),"")</f>
        <v/>
      </c>
      <c r="CB856" s="448" t="str">
        <f>_xlfn.IFNA(VLOOKUP($BK856,Programma!$F$3:$W$1101,18,0),"")</f>
        <v/>
      </c>
      <c r="CC856" s="448" t="str">
        <f>_xlfn.IFNA(VLOOKUP($BK856,Programma!$F$3:$X$1101,19,0),"")</f>
        <v/>
      </c>
      <c r="CD856" s="448" t="str">
        <f>_xlfn.IFNA(VLOOKUP($BK856,Programma!$F$3:$Y$1101,20,0),"")</f>
        <v/>
      </c>
    </row>
    <row r="857" spans="1:82" ht="15" customHeight="1">
      <c r="A857" s="327">
        <v>24</v>
      </c>
      <c r="B857" s="435" t="str">
        <f>VLOOKUP(Ruimtestaat[[#This Row],[Code]],Locaties[[Code]:[Locatie]],2,FALSE)</f>
        <v>IKC De Gaerde</v>
      </c>
      <c r="C857" s="435" t="str">
        <f>VLOOKUP(Ruimtestaat[[#This Row],[Code]],Locaties[[#All],[Code]:[Adres]],4,FALSE)</f>
        <v>Moerbeigaarde 58A</v>
      </c>
      <c r="D857" s="435" t="str">
        <f>VLOOKUP(Ruimtestaat[[#This Row],[Code]],Locaties[[#All],[Code]:[Postcode]],5,FALSE)</f>
        <v>2723 AG</v>
      </c>
      <c r="E857" s="435" t="str">
        <f>VLOOKUP(Ruimtestaat[[#This Row],[Code]],Locaties[#All],6,FALSE)</f>
        <v>Zoetermeer</v>
      </c>
      <c r="F857" s="450"/>
      <c r="G857" s="330" t="s">
        <v>1769</v>
      </c>
      <c r="H857" s="330" t="s">
        <v>1743</v>
      </c>
      <c r="I857" s="450" t="s">
        <v>2050</v>
      </c>
      <c r="J857" s="330">
        <v>6</v>
      </c>
      <c r="K857" s="450" t="str">
        <f>VLOOKUP(Ruimtestaat[[#This Row],[Ruimte code]],Ruimtegroepen[[#All],[Code]:[Ruimte omschrijving]],2,FALSE)</f>
        <v>Gangen/hallen</v>
      </c>
      <c r="L857" s="330" t="s">
        <v>100</v>
      </c>
      <c r="M857" s="437" t="s">
        <v>2058</v>
      </c>
      <c r="N857" s="439">
        <v>7.7</v>
      </c>
      <c r="O857" s="439"/>
      <c r="P857" s="439"/>
      <c r="Q857" s="439"/>
      <c r="R857" s="440" t="str">
        <f>VLOOKUP(Ruimtestaat[[#This Row],[Ruimte code]],Ruimtegroepen[],4,FALSE)</f>
        <v>Ve</v>
      </c>
      <c r="S857" s="434">
        <v>41</v>
      </c>
      <c r="T857" s="434" t="s">
        <v>2</v>
      </c>
      <c r="U857" s="453">
        <f>IF(S857&gt;0,IF(RIGHT(Ruimtestaat[[#This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57" s="434">
        <f>IF(U857&gt;0,VLOOKUP($J857,Ruimtegroepen[],3,FALSE)*VLOOKUP($L857,Vloersoorten[],3,FALSE)*VLOOKUP($T857,Frequenties[],3,FALSE)*VLOOKUP($A857,Locaties[],3,FALSE),0)</f>
        <v>0</v>
      </c>
      <c r="W857" s="434">
        <f>Ruimtestaat[[#This Row],[Uitvoeringen werkdagen]]*Ruimtestaat[[#This Row],[Oppervlak (netto)]]</f>
        <v>1578.5</v>
      </c>
      <c r="X857" s="441">
        <f>IF(V857&gt;0,Ruimtestaat[[#This Row],[Prest. (m2 /jaar) werkdagen]]/Ruimtestaat[[#This Row],[Norm (m2/uur) werkdagen]],0)</f>
        <v>0</v>
      </c>
      <c r="Y857" s="442">
        <f>Ruimtestaat[[#This Row],[Uitvoeringen werkdagen]]*Ruimtestaat[[#This Row],[Gedeeltelijk]]</f>
        <v>0</v>
      </c>
      <c r="Z857" s="443" t="e">
        <f>IF(U857&gt;0,Ruimtestaat[[#This Row],[Prest. (m2 / jaar) werkdagen gedeeld]]/Ruimtestaat[[#This Row],[Norm (m2/uur) werkdagen]],0)</f>
        <v>#DIV/0!</v>
      </c>
      <c r="AA857" s="441" t="e">
        <f>Ruimtestaat[[#This Row],[uren / jaar werkdagen gedeeld]]*Tariefsopbouw!$E$35</f>
        <v>#DIV/0!</v>
      </c>
      <c r="AB857" s="441">
        <f>Ruimtestaat[[#This Row],[Uitvoeringen werkdagen]]*Ruimtestaat[[#This Row],[BSO]]</f>
        <v>0</v>
      </c>
      <c r="AC857" s="443" t="e">
        <f>IF(U857&gt;0,Ruimtestaat[[#This Row],[Prest. (m2 / jaar) werkdagen BSO]]/Ruimtestaat[[#This Row],[Norm (m2/uur) werkdagen]],0)</f>
        <v>#DIV/0!</v>
      </c>
      <c r="AD857" s="443" t="e">
        <f>Ruimtestaat[[#This Row],[uren / jaar werkdagen BSO]]*Tariefsopbouw!$E$35</f>
        <v>#DIV/0!</v>
      </c>
      <c r="AE857" s="444">
        <f>Ruimtestaat[[#This Row],[uren / jaar werkdagen]]*Tariefsopbouw!$E$35</f>
        <v>0</v>
      </c>
      <c r="AF857" s="454"/>
      <c r="AG857" s="455">
        <f>IF(Ruimtestaat[[#This Row],[Frequentie weekend]]&gt;0,VALUE(LEFT(AF857,1))*S857,0)</f>
        <v>0</v>
      </c>
      <c r="AH857" s="455">
        <f>IF($AG857&gt;0,VLOOKUP($J857,Ruimtegroepen[],3,FALSE)*VLOOKUP($L857,Vloersoorten[],3,FALSE)*VLOOKUP($AF857,Frequenties[],3,FALSE)*VLOOKUP(#REF!,Locaties[],3,FALSE),0)</f>
        <v>0</v>
      </c>
      <c r="AI857" s="434">
        <f>Ruimtestaat[[#This Row],[Uitvoeringen weekend]]*Ruimtestaat[[#This Row],[Oppervlak (netto)]]</f>
        <v>0</v>
      </c>
      <c r="AJ857" s="434">
        <f>IF(AH857&gt;0,Ruimtestaat[[#This Row],[Prest. (m2 /jaar) weekend]]/Ruimtestaat[[#This Row],[Norm (m2/uur) weekend]],0)</f>
        <v>0</v>
      </c>
      <c r="AK857" s="444">
        <f>Ruimtestaat[[#This Row],[uren / jaar weekend]]*Tariefsopbouw!$D$40</f>
        <v>0</v>
      </c>
      <c r="AL857" s="441">
        <f>Ruimtestaat[[#This Row],[Prest. (m2 /jaar) weekend]]+Ruimtestaat[[#This Row],[Prest. (m2 /jaar) werkdagen]]</f>
        <v>1578.5</v>
      </c>
      <c r="AM857" s="441">
        <f>Ruimtestaat[[#This Row],[uren / jaar weekend]]+Ruimtestaat[[#This Row],[uren / jaar werkdagen]]</f>
        <v>0</v>
      </c>
      <c r="AN857" s="446">
        <f>Ruimtestaat[[#This Row],[kosten / jaar weekend]]+Ruimtestaat[[#This Row],[kosten / jaar werkdagen]]</f>
        <v>0</v>
      </c>
      <c r="AO857" s="446"/>
      <c r="AP857" s="446" t="str">
        <f>IF(Ruimtestaat[[#This Row],[Frequentie werkdagen]]="","",_xlfn.CONCAT(Ruimtestaat[[#This Row],[Ruimte code]],"-",Ruimtestaat[[#This Row],[Frequentie werkdagen]]," ",Ruimtestaat[[#This Row],[Vloer code]]))</f>
        <v>6-5w L</v>
      </c>
      <c r="AQ857" s="448" t="str">
        <f>_xlfn.IFNA(VLOOKUP($AP857,Programma!$F$3:$G$1101,2,0),"")</f>
        <v>_</v>
      </c>
      <c r="AR857" s="448" t="str">
        <f>_xlfn.IFNA(VLOOKUP($AP857,Programma!$F$3:$H$1101,3,0),"")</f>
        <v>_</v>
      </c>
      <c r="AS857" s="448" t="str">
        <f>_xlfn.IFNA(VLOOKUP($AP857,Programma!$F$3:$I$1101,4,0),"")</f>
        <v>_</v>
      </c>
      <c r="AT857" s="448" t="str">
        <f>_xlfn.IFNA(VLOOKUP($AP857,Programma!$F$3:$J$1101,5,0),"")</f>
        <v>5w</v>
      </c>
      <c r="AU857" s="448" t="str">
        <f>_xlfn.IFNA(VLOOKUP($AP857,Programma!$F$3:$K$1101,6,0),"")</f>
        <v>_</v>
      </c>
      <c r="AV857" s="448" t="str">
        <f>_xlfn.IFNA(VLOOKUP($AP857,Programma!$F$3:$L$1101,7,0),"")</f>
        <v>_</v>
      </c>
      <c r="AW857" s="448" t="str">
        <f>_xlfn.IFNA(VLOOKUP($AP857,Programma!$F$3:$M$1101,8,0),"")</f>
        <v>_</v>
      </c>
      <c r="AX857" s="448" t="str">
        <f>_xlfn.IFNA(VLOOKUP($AP857,Programma!$F$3:$N$1101,9,0),"")</f>
        <v>_</v>
      </c>
      <c r="AY857" s="448" t="str">
        <f>_xlfn.IFNA(VLOOKUP($AP857,Programma!$F$3:$O$1101,10,0),"")</f>
        <v>5w</v>
      </c>
      <c r="AZ857" s="448" t="str">
        <f>_xlfn.IFNA(VLOOKUP($AP857,Programma!$F$3:$P$1101,11,0),"")</f>
        <v>5w</v>
      </c>
      <c r="BA857" s="448" t="str">
        <f>_xlfn.IFNA(VLOOKUP($AP857,Programma!$F$3:$Q$1101,12,0),"")</f>
        <v>1w</v>
      </c>
      <c r="BB857" s="448" t="str">
        <f>_xlfn.IFNA(VLOOKUP($AP857,Programma!$F$3:$R$1101,13,0),"")</f>
        <v>1w</v>
      </c>
      <c r="BC857" s="448" t="str">
        <f>_xlfn.IFNA(VLOOKUP($AP857,Programma!$F$3:$S$1101,14,0),"")</f>
        <v>1m</v>
      </c>
      <c r="BD857" s="448" t="str">
        <f>_xlfn.IFNA(VLOOKUP($AP857,Programma!$F$3:$T$1101,15,0),"")</f>
        <v>2j</v>
      </c>
      <c r="BE857" s="448" t="str">
        <f>_xlfn.IFNA(VLOOKUP($AP857,Programma!$F$3:$U$1101,16,0),"")</f>
        <v>1j</v>
      </c>
      <c r="BF857" s="448" t="str">
        <f>_xlfn.IFNA(VLOOKUP($AP857,Programma!$F$3:$V$1101,17,0),"")</f>
        <v>_</v>
      </c>
      <c r="BG857" s="448" t="str">
        <f>_xlfn.IFNA(VLOOKUP($AP857,Programma!$F$3:$W$1101,18,0),"")</f>
        <v>_</v>
      </c>
      <c r="BH857" s="448" t="str">
        <f>_xlfn.IFNA(VLOOKUP($AP857,Programma!$F$3:$X$1101,19,0),"")</f>
        <v>_</v>
      </c>
      <c r="BI857" s="448" t="str">
        <f>_xlfn.IFNA(VLOOKUP($AP857,Programma!$F$3:$Y$1101,20,0),"")</f>
        <v>_</v>
      </c>
      <c r="BJ857" s="449"/>
      <c r="BK857" s="446" t="str">
        <f>IF(Ruimtestaat[[#This Row],[Frequentie weekend]]="","",_xlfn.CONCAT(Ruimtestaat[[#This Row],[Ruimte code]],"-",Ruimtestaat[[#This Row],[Frequentie weekend]]," ",Ruimtestaat[[#This Row],[Vloer code]]))</f>
        <v/>
      </c>
      <c r="BL857" s="448" t="str">
        <f>_xlfn.IFNA(VLOOKUP($BK857,Programma!$F$3:$G$1101,2,0),"")</f>
        <v/>
      </c>
      <c r="BM857" s="448" t="str">
        <f>_xlfn.IFNA(VLOOKUP($BK857,Programma!$F$3:$H$1101,3,0),"")</f>
        <v/>
      </c>
      <c r="BN857" s="448" t="str">
        <f>_xlfn.IFNA(VLOOKUP($BK857,Programma!$F$3:$I$1101,4,0),"")</f>
        <v/>
      </c>
      <c r="BO857" s="448" t="str">
        <f>_xlfn.IFNA(VLOOKUP($BK857,Programma!$F$3:$J$1101,5,0),"")</f>
        <v/>
      </c>
      <c r="BP857" s="448" t="str">
        <f>_xlfn.IFNA(VLOOKUP($BK857,Programma!$F$3:$K$1101,6,0),"")</f>
        <v/>
      </c>
      <c r="BQ857" s="448" t="str">
        <f>_xlfn.IFNA(VLOOKUP($BK857,Programma!$F$3:$L$1101,7,0),"")</f>
        <v/>
      </c>
      <c r="BR857" s="448" t="str">
        <f>_xlfn.IFNA(VLOOKUP($BK857,Programma!$F$3:$M$1101,8,0),"")</f>
        <v/>
      </c>
      <c r="BS857" s="448" t="str">
        <f>_xlfn.IFNA(VLOOKUP($BK857,Programma!$F$3:$N$1101,9,0),"")</f>
        <v/>
      </c>
      <c r="BT857" s="448" t="str">
        <f>_xlfn.IFNA(VLOOKUP($BK857,Programma!$F$3:$O$1101,10,0),"")</f>
        <v/>
      </c>
      <c r="BU857" s="448" t="str">
        <f>_xlfn.IFNA(VLOOKUP($BK857,Programma!$F$3:$P$1101,11,0),"")</f>
        <v/>
      </c>
      <c r="BV857" s="448" t="str">
        <f>_xlfn.IFNA(VLOOKUP($BK857,Programma!$F$3:$Q$1101,12,0),"")</f>
        <v/>
      </c>
      <c r="BW857" s="448" t="str">
        <f>_xlfn.IFNA(VLOOKUP($BK857,Programma!$F$3:$R$1101,13,0),"")</f>
        <v/>
      </c>
      <c r="BX857" s="448" t="str">
        <f>_xlfn.IFNA(VLOOKUP($BK857,Programma!$F$3:$S$1101,14,0),"")</f>
        <v/>
      </c>
      <c r="BY857" s="448" t="str">
        <f>_xlfn.IFNA(VLOOKUP($BK857,Programma!$F$3:$T$1101,15,0),"")</f>
        <v/>
      </c>
      <c r="BZ857" s="448" t="str">
        <f>_xlfn.IFNA(VLOOKUP($BK857,Programma!$F$3:$U$1101,16,0),"")</f>
        <v/>
      </c>
      <c r="CA857" s="448" t="str">
        <f>_xlfn.IFNA(VLOOKUP($BK857,Programma!$F$3:$V$1101,17,0),"")</f>
        <v/>
      </c>
      <c r="CB857" s="448" t="str">
        <f>_xlfn.IFNA(VLOOKUP($BK857,Programma!$F$3:$W$1101,18,0),"")</f>
        <v/>
      </c>
      <c r="CC857" s="448" t="str">
        <f>_xlfn.IFNA(VLOOKUP($BK857,Programma!$F$3:$X$1101,19,0),"")</f>
        <v/>
      </c>
      <c r="CD857" s="448" t="str">
        <f>_xlfn.IFNA(VLOOKUP($BK857,Programma!$F$3:$Y$1101,20,0),"")</f>
        <v/>
      </c>
    </row>
    <row r="858" spans="1:82" ht="15" customHeight="1">
      <c r="A858" s="327">
        <v>24</v>
      </c>
      <c r="B858" s="435" t="str">
        <f>VLOOKUP(Ruimtestaat[[#This Row],[Code]],Locaties[[Code]:[Locatie]],2,FALSE)</f>
        <v>IKC De Gaerde</v>
      </c>
      <c r="C858" s="435" t="str">
        <f>VLOOKUP(Ruimtestaat[[#This Row],[Code]],Locaties[[#All],[Code]:[Adres]],4,FALSE)</f>
        <v>Moerbeigaarde 58A</v>
      </c>
      <c r="D858" s="435" t="str">
        <f>VLOOKUP(Ruimtestaat[[#This Row],[Code]],Locaties[[#All],[Code]:[Postcode]],5,FALSE)</f>
        <v>2723 AG</v>
      </c>
      <c r="E858" s="435" t="str">
        <f>VLOOKUP(Ruimtestaat[[#This Row],[Code]],Locaties[#All],6,FALSE)</f>
        <v>Zoetermeer</v>
      </c>
      <c r="F858" s="450" t="s">
        <v>1705</v>
      </c>
      <c r="G858" s="330" t="s">
        <v>1769</v>
      </c>
      <c r="H858" s="330" t="s">
        <v>1740</v>
      </c>
      <c r="I858" s="450" t="s">
        <v>2025</v>
      </c>
      <c r="J858" s="330">
        <v>9</v>
      </c>
      <c r="K858" s="450" t="str">
        <f>VLOOKUP(Ruimtestaat[[#This Row],[Ruimte code]],Ruimtegroepen[[#All],[Code]:[Ruimte omschrijving]],2,FALSE)</f>
        <v>Bibliotheek/OLC</v>
      </c>
      <c r="L858" s="330" t="s">
        <v>100</v>
      </c>
      <c r="M858" s="437" t="s">
        <v>2058</v>
      </c>
      <c r="N858" s="439"/>
      <c r="O858" s="439"/>
      <c r="P858" s="439"/>
      <c r="Q858" s="439">
        <v>14.6</v>
      </c>
      <c r="R858" s="440" t="str">
        <f>VLOOKUP(Ruimtestaat[[#This Row],[Ruimte code]],Ruimtegroepen[],4,FALSE)</f>
        <v>Le</v>
      </c>
      <c r="S858" s="434">
        <v>51</v>
      </c>
      <c r="T858" s="434" t="s">
        <v>2</v>
      </c>
      <c r="U858" s="453">
        <f>IF(S858&gt;0,IF(RIGHT(Ruimtestaat[[#This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58" s="434">
        <f>IF(U858&gt;0,VLOOKUP($J858,Ruimtegroepen[],3,FALSE)*VLOOKUP($L858,Vloersoorten[],3,FALSE)*VLOOKUP($T858,Frequenties[],3,FALSE)*VLOOKUP($A858,Locaties[],3,FALSE),0)</f>
        <v>0</v>
      </c>
      <c r="W858" s="434">
        <f>Ruimtestaat[[#This Row],[Uitvoeringen werkdagen]]*Ruimtestaat[[#This Row],[Oppervlak (netto)]]</f>
        <v>0</v>
      </c>
      <c r="X858" s="441">
        <f>IF(V858&gt;0,Ruimtestaat[[#This Row],[Prest. (m2 /jaar) werkdagen]]/Ruimtestaat[[#This Row],[Norm (m2/uur) werkdagen]],0)</f>
        <v>0</v>
      </c>
      <c r="Y858" s="442">
        <f>Ruimtestaat[[#This Row],[Uitvoeringen werkdagen]]*Ruimtestaat[[#This Row],[Gedeeltelijk]]</f>
        <v>0</v>
      </c>
      <c r="Z858" s="443" t="e">
        <f>IF(U858&gt;0,Ruimtestaat[[#This Row],[Prest. (m2 / jaar) werkdagen gedeeld]]/Ruimtestaat[[#This Row],[Norm (m2/uur) werkdagen]],0)</f>
        <v>#DIV/0!</v>
      </c>
      <c r="AA858" s="441" t="e">
        <f>Ruimtestaat[[#This Row],[uren / jaar werkdagen gedeeld]]*Tariefsopbouw!$E$35</f>
        <v>#DIV/0!</v>
      </c>
      <c r="AB858" s="441">
        <f>Ruimtestaat[[#This Row],[Uitvoeringen werkdagen]]*Ruimtestaat[[#This Row],[BSO]]</f>
        <v>3723</v>
      </c>
      <c r="AC858" s="443" t="e">
        <f>IF(U858&gt;0,Ruimtestaat[[#This Row],[Prest. (m2 / jaar) werkdagen BSO]]/Ruimtestaat[[#This Row],[Norm (m2/uur) werkdagen]],0)</f>
        <v>#DIV/0!</v>
      </c>
      <c r="AD858" s="443" t="e">
        <f>Ruimtestaat[[#This Row],[uren / jaar werkdagen BSO]]*Tariefsopbouw!$E$35</f>
        <v>#DIV/0!</v>
      </c>
      <c r="AE858" s="444">
        <f>Ruimtestaat[[#This Row],[uren / jaar werkdagen]]*Tariefsopbouw!$E$35</f>
        <v>0</v>
      </c>
      <c r="AF858" s="454"/>
      <c r="AG858" s="455">
        <f>IF(Ruimtestaat[[#This Row],[Frequentie weekend]]&gt;0,VALUE(LEFT(AF858,1))*S858,0)</f>
        <v>0</v>
      </c>
      <c r="AH858" s="455">
        <f>IF($AG858&gt;0,VLOOKUP($J858,Ruimtegroepen[],3,FALSE)*VLOOKUP($L858,Vloersoorten[],3,FALSE)*VLOOKUP($AF858,Frequenties[],3,FALSE)*VLOOKUP(#REF!,Locaties[],3,FALSE),0)</f>
        <v>0</v>
      </c>
      <c r="AI858" s="434">
        <f>Ruimtestaat[[#This Row],[Uitvoeringen weekend]]*Ruimtestaat[[#This Row],[Oppervlak (netto)]]</f>
        <v>0</v>
      </c>
      <c r="AJ858" s="434">
        <f>IF(AH858&gt;0,Ruimtestaat[[#This Row],[Prest. (m2 /jaar) weekend]]/Ruimtestaat[[#This Row],[Norm (m2/uur) weekend]],0)</f>
        <v>0</v>
      </c>
      <c r="AK858" s="444">
        <f>Ruimtestaat[[#This Row],[uren / jaar weekend]]*Tariefsopbouw!$D$40</f>
        <v>0</v>
      </c>
      <c r="AL858" s="441">
        <f>Ruimtestaat[[#This Row],[Prest. (m2 /jaar) weekend]]+Ruimtestaat[[#This Row],[Prest. (m2 /jaar) werkdagen]]</f>
        <v>0</v>
      </c>
      <c r="AM858" s="441">
        <f>Ruimtestaat[[#This Row],[uren / jaar weekend]]+Ruimtestaat[[#This Row],[uren / jaar werkdagen]]</f>
        <v>0</v>
      </c>
      <c r="AN858" s="446">
        <f>Ruimtestaat[[#This Row],[kosten / jaar weekend]]+Ruimtestaat[[#This Row],[kosten / jaar werkdagen]]</f>
        <v>0</v>
      </c>
      <c r="AO858" s="446"/>
      <c r="AP858" s="446" t="str">
        <f>IF(Ruimtestaat[[#This Row],[Frequentie werkdagen]]="","",_xlfn.CONCAT(Ruimtestaat[[#This Row],[Ruimte code]],"-",Ruimtestaat[[#This Row],[Frequentie werkdagen]]," ",Ruimtestaat[[#This Row],[Vloer code]]))</f>
        <v>9-5w L</v>
      </c>
      <c r="AQ858" s="448" t="str">
        <f>_xlfn.IFNA(VLOOKUP($AP858,Programma!$F$3:$G$1101,2,0),"")</f>
        <v>_</v>
      </c>
      <c r="AR858" s="448" t="str">
        <f>_xlfn.IFNA(VLOOKUP($AP858,Programma!$F$3:$H$1101,3,0),"")</f>
        <v>_</v>
      </c>
      <c r="AS858" s="448" t="str">
        <f>_xlfn.IFNA(VLOOKUP($AP858,Programma!$F$3:$I$1101,4,0),"")</f>
        <v>4w</v>
      </c>
      <c r="AT858" s="448" t="str">
        <f>_xlfn.IFNA(VLOOKUP($AP858,Programma!$F$3:$J$1101,5,0),"")</f>
        <v>1w</v>
      </c>
      <c r="AU858" s="448" t="str">
        <f>_xlfn.IFNA(VLOOKUP($AP858,Programma!$F$3:$K$1101,6,0),"")</f>
        <v>_</v>
      </c>
      <c r="AV858" s="448" t="str">
        <f>_xlfn.IFNA(VLOOKUP($AP858,Programma!$F$3:$L$1101,7,0),"")</f>
        <v>_</v>
      </c>
      <c r="AW858" s="448" t="str">
        <f>_xlfn.IFNA(VLOOKUP($AP858,Programma!$F$3:$M$1101,8,0),"")</f>
        <v>_</v>
      </c>
      <c r="AX858" s="448" t="str">
        <f>_xlfn.IFNA(VLOOKUP($AP858,Programma!$F$3:$N$1101,9,0),"")</f>
        <v>_</v>
      </c>
      <c r="AY858" s="448" t="str">
        <f>_xlfn.IFNA(VLOOKUP($AP858,Programma!$F$3:$O$1101,10,0),"")</f>
        <v>5w</v>
      </c>
      <c r="AZ858" s="448" t="str">
        <f>_xlfn.IFNA(VLOOKUP($AP858,Programma!$F$3:$P$1101,11,0),"")</f>
        <v>5w</v>
      </c>
      <c r="BA858" s="448" t="str">
        <f>_xlfn.IFNA(VLOOKUP($AP858,Programma!$F$3:$Q$1101,12,0),"")</f>
        <v>1w</v>
      </c>
      <c r="BB858" s="448" t="str">
        <f>_xlfn.IFNA(VLOOKUP($AP858,Programma!$F$3:$R$1101,13,0),"")</f>
        <v>1w</v>
      </c>
      <c r="BC858" s="448" t="str">
        <f>_xlfn.IFNA(VLOOKUP($AP858,Programma!$F$3:$S$1101,14,0),"")</f>
        <v>1m</v>
      </c>
      <c r="BD858" s="448" t="str">
        <f>_xlfn.IFNA(VLOOKUP($AP858,Programma!$F$3:$T$1101,15,0),"")</f>
        <v>2j</v>
      </c>
      <c r="BE858" s="448" t="str">
        <f>_xlfn.IFNA(VLOOKUP($AP858,Programma!$F$3:$U$1101,16,0),"")</f>
        <v>1j</v>
      </c>
      <c r="BF858" s="448" t="str">
        <f>_xlfn.IFNA(VLOOKUP($AP858,Programma!$F$3:$V$1101,17,0),"")</f>
        <v>_</v>
      </c>
      <c r="BG858" s="448" t="str">
        <f>_xlfn.IFNA(VLOOKUP($AP858,Programma!$F$3:$W$1101,18,0),"")</f>
        <v>_</v>
      </c>
      <c r="BH858" s="448" t="str">
        <f>_xlfn.IFNA(VLOOKUP($AP858,Programma!$F$3:$X$1101,19,0),"")</f>
        <v>_</v>
      </c>
      <c r="BI858" s="448" t="str">
        <f>_xlfn.IFNA(VLOOKUP($AP858,Programma!$F$3:$Y$1101,20,0),"")</f>
        <v>_</v>
      </c>
      <c r="BJ858" s="449"/>
      <c r="BK858" s="446" t="str">
        <f>IF(Ruimtestaat[[#This Row],[Frequentie weekend]]="","",_xlfn.CONCAT(Ruimtestaat[[#This Row],[Ruimte code]],"-",Ruimtestaat[[#This Row],[Frequentie weekend]]," ",Ruimtestaat[[#This Row],[Vloer code]]))</f>
        <v/>
      </c>
      <c r="BL858" s="448" t="str">
        <f>_xlfn.IFNA(VLOOKUP($BK858,Programma!$F$3:$G$1101,2,0),"")</f>
        <v/>
      </c>
      <c r="BM858" s="448" t="str">
        <f>_xlfn.IFNA(VLOOKUP($BK858,Programma!$F$3:$H$1101,3,0),"")</f>
        <v/>
      </c>
      <c r="BN858" s="448" t="str">
        <f>_xlfn.IFNA(VLOOKUP($BK858,Programma!$F$3:$I$1101,4,0),"")</f>
        <v/>
      </c>
      <c r="BO858" s="448" t="str">
        <f>_xlfn.IFNA(VLOOKUP($BK858,Programma!$F$3:$J$1101,5,0),"")</f>
        <v/>
      </c>
      <c r="BP858" s="448" t="str">
        <f>_xlfn.IFNA(VLOOKUP($BK858,Programma!$F$3:$K$1101,6,0),"")</f>
        <v/>
      </c>
      <c r="BQ858" s="448" t="str">
        <f>_xlfn.IFNA(VLOOKUP($BK858,Programma!$F$3:$L$1101,7,0),"")</f>
        <v/>
      </c>
      <c r="BR858" s="448" t="str">
        <f>_xlfn.IFNA(VLOOKUP($BK858,Programma!$F$3:$M$1101,8,0),"")</f>
        <v/>
      </c>
      <c r="BS858" s="448" t="str">
        <f>_xlfn.IFNA(VLOOKUP($BK858,Programma!$F$3:$N$1101,9,0),"")</f>
        <v/>
      </c>
      <c r="BT858" s="448" t="str">
        <f>_xlfn.IFNA(VLOOKUP($BK858,Programma!$F$3:$O$1101,10,0),"")</f>
        <v/>
      </c>
      <c r="BU858" s="448" t="str">
        <f>_xlfn.IFNA(VLOOKUP($BK858,Programma!$F$3:$P$1101,11,0),"")</f>
        <v/>
      </c>
      <c r="BV858" s="448" t="str">
        <f>_xlfn.IFNA(VLOOKUP($BK858,Programma!$F$3:$Q$1101,12,0),"")</f>
        <v/>
      </c>
      <c r="BW858" s="448" t="str">
        <f>_xlfn.IFNA(VLOOKUP($BK858,Programma!$F$3:$R$1101,13,0),"")</f>
        <v/>
      </c>
      <c r="BX858" s="448" t="str">
        <f>_xlfn.IFNA(VLOOKUP($BK858,Programma!$F$3:$S$1101,14,0),"")</f>
        <v/>
      </c>
      <c r="BY858" s="448" t="str">
        <f>_xlfn.IFNA(VLOOKUP($BK858,Programma!$F$3:$T$1101,15,0),"")</f>
        <v/>
      </c>
      <c r="BZ858" s="448" t="str">
        <f>_xlfn.IFNA(VLOOKUP($BK858,Programma!$F$3:$U$1101,16,0),"")</f>
        <v/>
      </c>
      <c r="CA858" s="448" t="str">
        <f>_xlfn.IFNA(VLOOKUP($BK858,Programma!$F$3:$V$1101,17,0),"")</f>
        <v/>
      </c>
      <c r="CB858" s="448" t="str">
        <f>_xlfn.IFNA(VLOOKUP($BK858,Programma!$F$3:$W$1101,18,0),"")</f>
        <v/>
      </c>
      <c r="CC858" s="448" t="str">
        <f>_xlfn.IFNA(VLOOKUP($BK858,Programma!$F$3:$X$1101,19,0),"")</f>
        <v/>
      </c>
      <c r="CD858" s="448" t="str">
        <f>_xlfn.IFNA(VLOOKUP($BK858,Programma!$F$3:$Y$1101,20,0),"")</f>
        <v/>
      </c>
    </row>
    <row r="859" spans="1:82" ht="15" customHeight="1">
      <c r="A859" s="327">
        <v>24</v>
      </c>
      <c r="B859" s="435" t="str">
        <f>VLOOKUP(Ruimtestaat[[#This Row],[Code]],Locaties[[Code]:[Locatie]],2,FALSE)</f>
        <v>IKC De Gaerde</v>
      </c>
      <c r="C859" s="435" t="str">
        <f>VLOOKUP(Ruimtestaat[[#This Row],[Code]],Locaties[[#All],[Code]:[Adres]],4,FALSE)</f>
        <v>Moerbeigaarde 58A</v>
      </c>
      <c r="D859" s="435" t="str">
        <f>VLOOKUP(Ruimtestaat[[#This Row],[Code]],Locaties[[#All],[Code]:[Postcode]],5,FALSE)</f>
        <v>2723 AG</v>
      </c>
      <c r="E859" s="435" t="str">
        <f>VLOOKUP(Ruimtestaat[[#This Row],[Code]],Locaties[#All],6,FALSE)</f>
        <v>Zoetermeer</v>
      </c>
      <c r="F859" s="450"/>
      <c r="G859" s="330" t="s">
        <v>1769</v>
      </c>
      <c r="H859" s="330" t="s">
        <v>2051</v>
      </c>
      <c r="I859" s="450" t="s">
        <v>1901</v>
      </c>
      <c r="J859" s="330">
        <v>11</v>
      </c>
      <c r="K859" s="450" t="str">
        <f>VLOOKUP(Ruimtestaat[[#This Row],[Ruimte code]],Ruimtegroepen[[#All],[Code]:[Ruimte omschrijving]],2,FALSE)</f>
        <v>Garderobes</v>
      </c>
      <c r="L859" s="330" t="s">
        <v>100</v>
      </c>
      <c r="M859" s="437" t="s">
        <v>2058</v>
      </c>
      <c r="N859" s="439">
        <v>1.4</v>
      </c>
      <c r="O859" s="439"/>
      <c r="P859" s="439"/>
      <c r="Q859" s="439"/>
      <c r="R859" s="440" t="str">
        <f>VLOOKUP(Ruimtestaat[[#This Row],[Ruimte code]],Ruimtegroepen[],4,FALSE)</f>
        <v>Ve</v>
      </c>
      <c r="S859" s="434">
        <v>40</v>
      </c>
      <c r="T859" s="434" t="s">
        <v>2</v>
      </c>
      <c r="U859" s="453">
        <f>IF(S859&gt;0,IF(RIGHT(Ruimtestaat[[#This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9" s="434">
        <f>IF(U859&gt;0,VLOOKUP($J859,Ruimtegroepen[],3,FALSE)*VLOOKUP($L859,Vloersoorten[],3,FALSE)*VLOOKUP($T859,Frequenties[],3,FALSE)*VLOOKUP($A859,Locaties[],3,FALSE),0)</f>
        <v>0</v>
      </c>
      <c r="W859" s="434">
        <f>Ruimtestaat[[#This Row],[Uitvoeringen werkdagen]]*Ruimtestaat[[#This Row],[Oppervlak (netto)]]</f>
        <v>280</v>
      </c>
      <c r="X859" s="441">
        <f>IF(V859&gt;0,Ruimtestaat[[#This Row],[Prest. (m2 /jaar) werkdagen]]/Ruimtestaat[[#This Row],[Norm (m2/uur) werkdagen]],0)</f>
        <v>0</v>
      </c>
      <c r="Y859" s="442">
        <f>Ruimtestaat[[#This Row],[Uitvoeringen werkdagen]]*Ruimtestaat[[#This Row],[Gedeeltelijk]]</f>
        <v>0</v>
      </c>
      <c r="Z859" s="443" t="e">
        <f>IF(U859&gt;0,Ruimtestaat[[#This Row],[Prest. (m2 / jaar) werkdagen gedeeld]]/Ruimtestaat[[#This Row],[Norm (m2/uur) werkdagen]],0)</f>
        <v>#DIV/0!</v>
      </c>
      <c r="AA859" s="441" t="e">
        <f>Ruimtestaat[[#This Row],[uren / jaar werkdagen gedeeld]]*Tariefsopbouw!$E$35</f>
        <v>#DIV/0!</v>
      </c>
      <c r="AB859" s="441">
        <f>Ruimtestaat[[#This Row],[Uitvoeringen werkdagen]]*Ruimtestaat[[#This Row],[BSO]]</f>
        <v>0</v>
      </c>
      <c r="AC859" s="443" t="e">
        <f>IF(U859&gt;0,Ruimtestaat[[#This Row],[Prest. (m2 / jaar) werkdagen BSO]]/Ruimtestaat[[#This Row],[Norm (m2/uur) werkdagen]],0)</f>
        <v>#DIV/0!</v>
      </c>
      <c r="AD859" s="443" t="e">
        <f>Ruimtestaat[[#This Row],[uren / jaar werkdagen BSO]]*Tariefsopbouw!$E$35</f>
        <v>#DIV/0!</v>
      </c>
      <c r="AE859" s="444">
        <f>Ruimtestaat[[#This Row],[uren / jaar werkdagen]]*Tariefsopbouw!$E$35</f>
        <v>0</v>
      </c>
      <c r="AF859" s="454"/>
      <c r="AG859" s="455">
        <f>IF(Ruimtestaat[[#This Row],[Frequentie weekend]]&gt;0,VALUE(LEFT(AF859,1))*S859,0)</f>
        <v>0</v>
      </c>
      <c r="AH859" s="455">
        <f>IF($AG859&gt;0,VLOOKUP($J859,Ruimtegroepen[],3,FALSE)*VLOOKUP($L859,Vloersoorten[],3,FALSE)*VLOOKUP($AF859,Frequenties[],3,FALSE)*VLOOKUP(#REF!,Locaties[],3,FALSE),0)</f>
        <v>0</v>
      </c>
      <c r="AI859" s="434">
        <f>Ruimtestaat[[#This Row],[Uitvoeringen weekend]]*Ruimtestaat[[#This Row],[Oppervlak (netto)]]</f>
        <v>0</v>
      </c>
      <c r="AJ859" s="434">
        <f>IF(AH859&gt;0,Ruimtestaat[[#This Row],[Prest. (m2 /jaar) weekend]]/Ruimtestaat[[#This Row],[Norm (m2/uur) weekend]],0)</f>
        <v>0</v>
      </c>
      <c r="AK859" s="444">
        <f>Ruimtestaat[[#This Row],[uren / jaar weekend]]*Tariefsopbouw!$D$40</f>
        <v>0</v>
      </c>
      <c r="AL859" s="441">
        <f>Ruimtestaat[[#This Row],[Prest. (m2 /jaar) weekend]]+Ruimtestaat[[#This Row],[Prest. (m2 /jaar) werkdagen]]</f>
        <v>280</v>
      </c>
      <c r="AM859" s="441">
        <f>Ruimtestaat[[#This Row],[uren / jaar weekend]]+Ruimtestaat[[#This Row],[uren / jaar werkdagen]]</f>
        <v>0</v>
      </c>
      <c r="AN859" s="446">
        <f>Ruimtestaat[[#This Row],[kosten / jaar weekend]]+Ruimtestaat[[#This Row],[kosten / jaar werkdagen]]</f>
        <v>0</v>
      </c>
      <c r="AO859" s="446"/>
      <c r="AP859" s="446" t="str">
        <f>IF(Ruimtestaat[[#This Row],[Frequentie werkdagen]]="","",_xlfn.CONCAT(Ruimtestaat[[#This Row],[Ruimte code]],"-",Ruimtestaat[[#This Row],[Frequentie werkdagen]]," ",Ruimtestaat[[#This Row],[Vloer code]]))</f>
        <v>11-5w L</v>
      </c>
      <c r="AQ859" s="448" t="str">
        <f>_xlfn.IFNA(VLOOKUP($AP859,Programma!$F$3:$G$1101,2,0),"")</f>
        <v>_</v>
      </c>
      <c r="AR859" s="448" t="str">
        <f>_xlfn.IFNA(VLOOKUP($AP859,Programma!$F$3:$H$1101,3,0),"")</f>
        <v>_</v>
      </c>
      <c r="AS859" s="448" t="str">
        <f>_xlfn.IFNA(VLOOKUP($AP859,Programma!$F$3:$I$1101,4,0),"")</f>
        <v>4w</v>
      </c>
      <c r="AT859" s="448" t="str">
        <f>_xlfn.IFNA(VLOOKUP($AP859,Programma!$F$3:$J$1101,5,0),"")</f>
        <v>1w</v>
      </c>
      <c r="AU859" s="448" t="str">
        <f>_xlfn.IFNA(VLOOKUP($AP859,Programma!$F$3:$K$1101,6,0),"")</f>
        <v>_</v>
      </c>
      <c r="AV859" s="448" t="str">
        <f>_xlfn.IFNA(VLOOKUP($AP859,Programma!$F$3:$L$1101,7,0),"")</f>
        <v>_</v>
      </c>
      <c r="AW859" s="448" t="str">
        <f>_xlfn.IFNA(VLOOKUP($AP859,Programma!$F$3:$M$1101,8,0),"")</f>
        <v>_</v>
      </c>
      <c r="AX859" s="448" t="str">
        <f>_xlfn.IFNA(VLOOKUP($AP859,Programma!$F$3:$N$1101,9,0),"")</f>
        <v>_</v>
      </c>
      <c r="AY859" s="448" t="str">
        <f>_xlfn.IFNA(VLOOKUP($AP859,Programma!$F$3:$O$1101,10,0),"")</f>
        <v>5w</v>
      </c>
      <c r="AZ859" s="448" t="str">
        <f>_xlfn.IFNA(VLOOKUP($AP859,Programma!$F$3:$P$1101,11,0),"")</f>
        <v>5w</v>
      </c>
      <c r="BA859" s="448" t="str">
        <f>_xlfn.IFNA(VLOOKUP($AP859,Programma!$F$3:$Q$1101,12,0),"")</f>
        <v>1w</v>
      </c>
      <c r="BB859" s="448" t="str">
        <f>_xlfn.IFNA(VLOOKUP($AP859,Programma!$F$3:$R$1101,13,0),"")</f>
        <v>1w</v>
      </c>
      <c r="BC859" s="448" t="str">
        <f>_xlfn.IFNA(VLOOKUP($AP859,Programma!$F$3:$S$1101,14,0),"")</f>
        <v>1m</v>
      </c>
      <c r="BD859" s="448" t="str">
        <f>_xlfn.IFNA(VLOOKUP($AP859,Programma!$F$3:$T$1101,15,0),"")</f>
        <v>2j</v>
      </c>
      <c r="BE859" s="448" t="str">
        <f>_xlfn.IFNA(VLOOKUP($AP859,Programma!$F$3:$U$1101,16,0),"")</f>
        <v>1j</v>
      </c>
      <c r="BF859" s="448" t="str">
        <f>_xlfn.IFNA(VLOOKUP($AP859,Programma!$F$3:$V$1101,17,0),"")</f>
        <v>_</v>
      </c>
      <c r="BG859" s="448" t="str">
        <f>_xlfn.IFNA(VLOOKUP($AP859,Programma!$F$3:$W$1101,18,0),"")</f>
        <v>_</v>
      </c>
      <c r="BH859" s="448" t="str">
        <f>_xlfn.IFNA(VLOOKUP($AP859,Programma!$F$3:$X$1101,19,0),"")</f>
        <v>_</v>
      </c>
      <c r="BI859" s="448" t="str">
        <f>_xlfn.IFNA(VLOOKUP($AP859,Programma!$F$3:$Y$1101,20,0),"")</f>
        <v>_</v>
      </c>
      <c r="BJ859" s="449"/>
      <c r="BK859" s="446" t="str">
        <f>IF(Ruimtestaat[[#This Row],[Frequentie weekend]]="","",_xlfn.CONCAT(Ruimtestaat[[#This Row],[Ruimte code]],"-",Ruimtestaat[[#This Row],[Frequentie weekend]]," ",Ruimtestaat[[#This Row],[Vloer code]]))</f>
        <v/>
      </c>
      <c r="BL859" s="448" t="str">
        <f>_xlfn.IFNA(VLOOKUP($BK859,Programma!$F$3:$G$1101,2,0),"")</f>
        <v/>
      </c>
      <c r="BM859" s="448" t="str">
        <f>_xlfn.IFNA(VLOOKUP($BK859,Programma!$F$3:$H$1101,3,0),"")</f>
        <v/>
      </c>
      <c r="BN859" s="448" t="str">
        <f>_xlfn.IFNA(VLOOKUP($BK859,Programma!$F$3:$I$1101,4,0),"")</f>
        <v/>
      </c>
      <c r="BO859" s="448" t="str">
        <f>_xlfn.IFNA(VLOOKUP($BK859,Programma!$F$3:$J$1101,5,0),"")</f>
        <v/>
      </c>
      <c r="BP859" s="448" t="str">
        <f>_xlfn.IFNA(VLOOKUP($BK859,Programma!$F$3:$K$1101,6,0),"")</f>
        <v/>
      </c>
      <c r="BQ859" s="448" t="str">
        <f>_xlfn.IFNA(VLOOKUP($BK859,Programma!$F$3:$L$1101,7,0),"")</f>
        <v/>
      </c>
      <c r="BR859" s="448" t="str">
        <f>_xlfn.IFNA(VLOOKUP($BK859,Programma!$F$3:$M$1101,8,0),"")</f>
        <v/>
      </c>
      <c r="BS859" s="448" t="str">
        <f>_xlfn.IFNA(VLOOKUP($BK859,Programma!$F$3:$N$1101,9,0),"")</f>
        <v/>
      </c>
      <c r="BT859" s="448" t="str">
        <f>_xlfn.IFNA(VLOOKUP($BK859,Programma!$F$3:$O$1101,10,0),"")</f>
        <v/>
      </c>
      <c r="BU859" s="448" t="str">
        <f>_xlfn.IFNA(VLOOKUP($BK859,Programma!$F$3:$P$1101,11,0),"")</f>
        <v/>
      </c>
      <c r="BV859" s="448" t="str">
        <f>_xlfn.IFNA(VLOOKUP($BK859,Programma!$F$3:$Q$1101,12,0),"")</f>
        <v/>
      </c>
      <c r="BW859" s="448" t="str">
        <f>_xlfn.IFNA(VLOOKUP($BK859,Programma!$F$3:$R$1101,13,0),"")</f>
        <v/>
      </c>
      <c r="BX859" s="448" t="str">
        <f>_xlfn.IFNA(VLOOKUP($BK859,Programma!$F$3:$S$1101,14,0),"")</f>
        <v/>
      </c>
      <c r="BY859" s="448" t="str">
        <f>_xlfn.IFNA(VLOOKUP($BK859,Programma!$F$3:$T$1101,15,0),"")</f>
        <v/>
      </c>
      <c r="BZ859" s="448" t="str">
        <f>_xlfn.IFNA(VLOOKUP($BK859,Programma!$F$3:$U$1101,16,0),"")</f>
        <v/>
      </c>
      <c r="CA859" s="448" t="str">
        <f>_xlfn.IFNA(VLOOKUP($BK859,Programma!$F$3:$V$1101,17,0),"")</f>
        <v/>
      </c>
      <c r="CB859" s="448" t="str">
        <f>_xlfn.IFNA(VLOOKUP($BK859,Programma!$F$3:$W$1101,18,0),"")</f>
        <v/>
      </c>
      <c r="CC859" s="448" t="str">
        <f>_xlfn.IFNA(VLOOKUP($BK859,Programma!$F$3:$X$1101,19,0),"")</f>
        <v/>
      </c>
      <c r="CD859" s="448" t="str">
        <f>_xlfn.IFNA(VLOOKUP($BK859,Programma!$F$3:$Y$1101,20,0),"")</f>
        <v/>
      </c>
    </row>
    <row r="860" spans="1:82" ht="15" customHeight="1">
      <c r="A860" s="327">
        <v>24</v>
      </c>
      <c r="B860" s="435" t="str">
        <f>VLOOKUP(Ruimtestaat[[#This Row],[Code]],Locaties[[Code]:[Locatie]],2,FALSE)</f>
        <v>IKC De Gaerde</v>
      </c>
      <c r="C860" s="435" t="str">
        <f>VLOOKUP(Ruimtestaat[[#This Row],[Code]],Locaties[[#All],[Code]:[Adres]],4,FALSE)</f>
        <v>Moerbeigaarde 58A</v>
      </c>
      <c r="D860" s="435" t="str">
        <f>VLOOKUP(Ruimtestaat[[#This Row],[Code]],Locaties[[#All],[Code]:[Postcode]],5,FALSE)</f>
        <v>2723 AG</v>
      </c>
      <c r="E860" s="435" t="str">
        <f>VLOOKUP(Ruimtestaat[[#This Row],[Code]],Locaties[#All],6,FALSE)</f>
        <v>Zoetermeer</v>
      </c>
      <c r="F860" s="450"/>
      <c r="G860" s="330" t="s">
        <v>1769</v>
      </c>
      <c r="H860" s="330" t="s">
        <v>2052</v>
      </c>
      <c r="I860" s="450" t="s">
        <v>1914</v>
      </c>
      <c r="J860" s="330">
        <v>1</v>
      </c>
      <c r="K860" s="450" t="str">
        <f>VLOOKUP(Ruimtestaat[[#This Row],[Ruimte code]],Ruimtegroepen[[#All],[Code]:[Ruimte omschrijving]],2,FALSE)</f>
        <v>Magazijnen/bergingen</v>
      </c>
      <c r="L860" s="330" t="s">
        <v>100</v>
      </c>
      <c r="M860" s="437" t="s">
        <v>2058</v>
      </c>
      <c r="N860" s="439">
        <v>2.1</v>
      </c>
      <c r="O860" s="439"/>
      <c r="P860" s="439"/>
      <c r="Q860" s="439"/>
      <c r="R860" s="440" t="str">
        <f>VLOOKUP(Ruimtestaat[[#This Row],[Ruimte code]],Ruimtegroepen[],4,FALSE)</f>
        <v>Ve</v>
      </c>
      <c r="S860" s="434">
        <v>40</v>
      </c>
      <c r="T860" s="434" t="s">
        <v>16</v>
      </c>
      <c r="U860" s="453">
        <f>IF(S860&gt;0,IF(RIGHT(Ruimtestaat[[#This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60" s="434">
        <f>IF(U860&gt;0,VLOOKUP($J860,Ruimtegroepen[],3,FALSE)*VLOOKUP($L860,Vloersoorten[],3,FALSE)*VLOOKUP($T860,Frequenties[],3,FALSE)*VLOOKUP($A860,Locaties[],3,FALSE),0)</f>
        <v>0</v>
      </c>
      <c r="W860" s="434">
        <f>Ruimtestaat[[#This Row],[Uitvoeringen werkdagen]]*Ruimtestaat[[#This Row],[Oppervlak (netto)]]</f>
        <v>25.200000000000003</v>
      </c>
      <c r="X860" s="441">
        <f>IF(V860&gt;0,Ruimtestaat[[#This Row],[Prest. (m2 /jaar) werkdagen]]/Ruimtestaat[[#This Row],[Norm (m2/uur) werkdagen]],0)</f>
        <v>0</v>
      </c>
      <c r="Y860" s="442">
        <f>Ruimtestaat[[#This Row],[Uitvoeringen werkdagen]]*Ruimtestaat[[#This Row],[Gedeeltelijk]]</f>
        <v>0</v>
      </c>
      <c r="Z860" s="443" t="e">
        <f>IF(U860&gt;0,Ruimtestaat[[#This Row],[Prest. (m2 / jaar) werkdagen gedeeld]]/Ruimtestaat[[#This Row],[Norm (m2/uur) werkdagen]],0)</f>
        <v>#DIV/0!</v>
      </c>
      <c r="AA860" s="441" t="e">
        <f>Ruimtestaat[[#This Row],[uren / jaar werkdagen gedeeld]]*Tariefsopbouw!$E$35</f>
        <v>#DIV/0!</v>
      </c>
      <c r="AB860" s="441">
        <f>Ruimtestaat[[#This Row],[Uitvoeringen werkdagen]]*Ruimtestaat[[#This Row],[BSO]]</f>
        <v>0</v>
      </c>
      <c r="AC860" s="443" t="e">
        <f>IF(U860&gt;0,Ruimtestaat[[#This Row],[Prest. (m2 / jaar) werkdagen BSO]]/Ruimtestaat[[#This Row],[Norm (m2/uur) werkdagen]],0)</f>
        <v>#DIV/0!</v>
      </c>
      <c r="AD860" s="443" t="e">
        <f>Ruimtestaat[[#This Row],[uren / jaar werkdagen BSO]]*Tariefsopbouw!$E$35</f>
        <v>#DIV/0!</v>
      </c>
      <c r="AE860" s="444">
        <f>Ruimtestaat[[#This Row],[uren / jaar werkdagen]]*Tariefsopbouw!$E$35</f>
        <v>0</v>
      </c>
      <c r="AF860" s="454"/>
      <c r="AG860" s="455">
        <f>IF(Ruimtestaat[[#This Row],[Frequentie weekend]]&gt;0,VALUE(LEFT(AF860,1))*S860,0)</f>
        <v>0</v>
      </c>
      <c r="AH860" s="455">
        <f>IF($AG860&gt;0,VLOOKUP($J860,Ruimtegroepen[],3,FALSE)*VLOOKUP($L860,Vloersoorten[],3,FALSE)*VLOOKUP($AF860,Frequenties[],3,FALSE)*VLOOKUP(#REF!,Locaties[],3,FALSE),0)</f>
        <v>0</v>
      </c>
      <c r="AI860" s="434">
        <f>Ruimtestaat[[#This Row],[Uitvoeringen weekend]]*Ruimtestaat[[#This Row],[Oppervlak (netto)]]</f>
        <v>0</v>
      </c>
      <c r="AJ860" s="434">
        <f>IF(AH860&gt;0,Ruimtestaat[[#This Row],[Prest. (m2 /jaar) weekend]]/Ruimtestaat[[#This Row],[Norm (m2/uur) weekend]],0)</f>
        <v>0</v>
      </c>
      <c r="AK860" s="444">
        <f>Ruimtestaat[[#This Row],[uren / jaar weekend]]*Tariefsopbouw!$D$40</f>
        <v>0</v>
      </c>
      <c r="AL860" s="441">
        <f>Ruimtestaat[[#This Row],[Prest. (m2 /jaar) weekend]]+Ruimtestaat[[#This Row],[Prest. (m2 /jaar) werkdagen]]</f>
        <v>25.200000000000003</v>
      </c>
      <c r="AM860" s="441">
        <f>Ruimtestaat[[#This Row],[uren / jaar weekend]]+Ruimtestaat[[#This Row],[uren / jaar werkdagen]]</f>
        <v>0</v>
      </c>
      <c r="AN860" s="446">
        <f>Ruimtestaat[[#This Row],[kosten / jaar weekend]]+Ruimtestaat[[#This Row],[kosten / jaar werkdagen]]</f>
        <v>0</v>
      </c>
      <c r="AO860" s="446"/>
      <c r="AP860" s="446" t="str">
        <f>IF(Ruimtestaat[[#This Row],[Frequentie werkdagen]]="","",_xlfn.CONCAT(Ruimtestaat[[#This Row],[Ruimte code]],"-",Ruimtestaat[[#This Row],[Frequentie werkdagen]]," ",Ruimtestaat[[#This Row],[Vloer code]]))</f>
        <v>1-1m L</v>
      </c>
      <c r="AQ860" s="448" t="str">
        <f>_xlfn.IFNA(VLOOKUP($AP860,Programma!$F$3:$G$1101,2,0),"")</f>
        <v>_</v>
      </c>
      <c r="AR860" s="448" t="str">
        <f>_xlfn.IFNA(VLOOKUP($AP860,Programma!$F$3:$H$1101,3,0),"")</f>
        <v>_</v>
      </c>
      <c r="AS860" s="448" t="str">
        <f>_xlfn.IFNA(VLOOKUP($AP860,Programma!$F$3:$I$1101,4,0),"")</f>
        <v>1m</v>
      </c>
      <c r="AT860" s="448" t="str">
        <f>_xlfn.IFNA(VLOOKUP($AP860,Programma!$F$3:$J$1101,5,0),"")</f>
        <v>1m</v>
      </c>
      <c r="AU860" s="448" t="str">
        <f>_xlfn.IFNA(VLOOKUP($AP860,Programma!$F$3:$K$1101,6,0),"")</f>
        <v>_</v>
      </c>
      <c r="AV860" s="448" t="str">
        <f>_xlfn.IFNA(VLOOKUP($AP860,Programma!$F$3:$L$1101,7,0),"")</f>
        <v>_</v>
      </c>
      <c r="AW860" s="448" t="str">
        <f>_xlfn.IFNA(VLOOKUP($AP860,Programma!$F$3:$M$1101,8,0),"")</f>
        <v>_</v>
      </c>
      <c r="AX860" s="448" t="str">
        <f>_xlfn.IFNA(VLOOKUP($AP860,Programma!$F$3:$N$1101,9,0),"")</f>
        <v>_</v>
      </c>
      <c r="AY860" s="448" t="str">
        <f>_xlfn.IFNA(VLOOKUP($AP860,Programma!$F$3:$O$1101,10,0),"")</f>
        <v>_</v>
      </c>
      <c r="AZ860" s="448" t="str">
        <f>_xlfn.IFNA(VLOOKUP($AP860,Programma!$F$3:$P$1101,11,0),"")</f>
        <v>_</v>
      </c>
      <c r="BA860" s="448" t="str">
        <f>_xlfn.IFNA(VLOOKUP($AP860,Programma!$F$3:$Q$1101,12,0),"")</f>
        <v>_</v>
      </c>
      <c r="BB860" s="448" t="str">
        <f>_xlfn.IFNA(VLOOKUP($AP860,Programma!$F$3:$R$1101,13,0),"")</f>
        <v>_</v>
      </c>
      <c r="BC860" s="448" t="str">
        <f>_xlfn.IFNA(VLOOKUP($AP860,Programma!$F$3:$S$1101,14,0),"")</f>
        <v>1m</v>
      </c>
      <c r="BD860" s="448" t="str">
        <f>_xlfn.IFNA(VLOOKUP($AP860,Programma!$F$3:$T$1101,15,0),"")</f>
        <v>4j</v>
      </c>
      <c r="BE860" s="448" t="str">
        <f>_xlfn.IFNA(VLOOKUP($AP860,Programma!$F$3:$U$1101,16,0),"")</f>
        <v>4j</v>
      </c>
      <c r="BF860" s="448" t="str">
        <f>_xlfn.IFNA(VLOOKUP($AP860,Programma!$F$3:$V$1101,17,0),"")</f>
        <v>_</v>
      </c>
      <c r="BG860" s="448" t="str">
        <f>_xlfn.IFNA(VLOOKUP($AP860,Programma!$F$3:$W$1101,18,0),"")</f>
        <v>_</v>
      </c>
      <c r="BH860" s="448" t="str">
        <f>_xlfn.IFNA(VLOOKUP($AP860,Programma!$F$3:$X$1101,19,0),"")</f>
        <v>_</v>
      </c>
      <c r="BI860" s="448" t="str">
        <f>_xlfn.IFNA(VLOOKUP($AP860,Programma!$F$3:$Y$1101,20,0),"")</f>
        <v>_</v>
      </c>
      <c r="BJ860" s="449"/>
      <c r="BK860" s="446" t="str">
        <f>IF(Ruimtestaat[[#This Row],[Frequentie weekend]]="","",_xlfn.CONCAT(Ruimtestaat[[#This Row],[Ruimte code]],"-",Ruimtestaat[[#This Row],[Frequentie weekend]]," ",Ruimtestaat[[#This Row],[Vloer code]]))</f>
        <v/>
      </c>
      <c r="BL860" s="448" t="str">
        <f>_xlfn.IFNA(VLOOKUP($BK860,Programma!$F$3:$G$1101,2,0),"")</f>
        <v/>
      </c>
      <c r="BM860" s="448" t="str">
        <f>_xlfn.IFNA(VLOOKUP($BK860,Programma!$F$3:$H$1101,3,0),"")</f>
        <v/>
      </c>
      <c r="BN860" s="448" t="str">
        <f>_xlfn.IFNA(VLOOKUP($BK860,Programma!$F$3:$I$1101,4,0),"")</f>
        <v/>
      </c>
      <c r="BO860" s="448" t="str">
        <f>_xlfn.IFNA(VLOOKUP($BK860,Programma!$F$3:$J$1101,5,0),"")</f>
        <v/>
      </c>
      <c r="BP860" s="448" t="str">
        <f>_xlfn.IFNA(VLOOKUP($BK860,Programma!$F$3:$K$1101,6,0),"")</f>
        <v/>
      </c>
      <c r="BQ860" s="448" t="str">
        <f>_xlfn.IFNA(VLOOKUP($BK860,Programma!$F$3:$L$1101,7,0),"")</f>
        <v/>
      </c>
      <c r="BR860" s="448" t="str">
        <f>_xlfn.IFNA(VLOOKUP($BK860,Programma!$F$3:$M$1101,8,0),"")</f>
        <v/>
      </c>
      <c r="BS860" s="448" t="str">
        <f>_xlfn.IFNA(VLOOKUP($BK860,Programma!$F$3:$N$1101,9,0),"")</f>
        <v/>
      </c>
      <c r="BT860" s="448" t="str">
        <f>_xlfn.IFNA(VLOOKUP($BK860,Programma!$F$3:$O$1101,10,0),"")</f>
        <v/>
      </c>
      <c r="BU860" s="448" t="str">
        <f>_xlfn.IFNA(VLOOKUP($BK860,Programma!$F$3:$P$1101,11,0),"")</f>
        <v/>
      </c>
      <c r="BV860" s="448" t="str">
        <f>_xlfn.IFNA(VLOOKUP($BK860,Programma!$F$3:$Q$1101,12,0),"")</f>
        <v/>
      </c>
      <c r="BW860" s="448" t="str">
        <f>_xlfn.IFNA(VLOOKUP($BK860,Programma!$F$3:$R$1101,13,0),"")</f>
        <v/>
      </c>
      <c r="BX860" s="448" t="str">
        <f>_xlfn.IFNA(VLOOKUP($BK860,Programma!$F$3:$S$1101,14,0),"")</f>
        <v/>
      </c>
      <c r="BY860" s="448" t="str">
        <f>_xlfn.IFNA(VLOOKUP($BK860,Programma!$F$3:$T$1101,15,0),"")</f>
        <v/>
      </c>
      <c r="BZ860" s="448" t="str">
        <f>_xlfn.IFNA(VLOOKUP($BK860,Programma!$F$3:$U$1101,16,0),"")</f>
        <v/>
      </c>
      <c r="CA860" s="448" t="str">
        <f>_xlfn.IFNA(VLOOKUP($BK860,Programma!$F$3:$V$1101,17,0),"")</f>
        <v/>
      </c>
      <c r="CB860" s="448" t="str">
        <f>_xlfn.IFNA(VLOOKUP($BK860,Programma!$F$3:$W$1101,18,0),"")</f>
        <v/>
      </c>
      <c r="CC860" s="448" t="str">
        <f>_xlfn.IFNA(VLOOKUP($BK860,Programma!$F$3:$X$1101,19,0),"")</f>
        <v/>
      </c>
      <c r="CD860" s="448" t="str">
        <f>_xlfn.IFNA(VLOOKUP($BK860,Programma!$F$3:$Y$1101,20,0),"")</f>
        <v/>
      </c>
    </row>
    <row r="861" spans="1:82" ht="15" customHeight="1">
      <c r="A861" s="327">
        <v>24</v>
      </c>
      <c r="B861" s="435" t="str">
        <f>VLOOKUP(Ruimtestaat[[#This Row],[Code]],Locaties[[Code]:[Locatie]],2,FALSE)</f>
        <v>IKC De Gaerde</v>
      </c>
      <c r="C861" s="435" t="str">
        <f>VLOOKUP(Ruimtestaat[[#This Row],[Code]],Locaties[[#All],[Code]:[Adres]],4,FALSE)</f>
        <v>Moerbeigaarde 58A</v>
      </c>
      <c r="D861" s="435" t="str">
        <f>VLOOKUP(Ruimtestaat[[#This Row],[Code]],Locaties[[#All],[Code]:[Postcode]],5,FALSE)</f>
        <v>2723 AG</v>
      </c>
      <c r="E861" s="435" t="str">
        <f>VLOOKUP(Ruimtestaat[[#This Row],[Code]],Locaties[#All],6,FALSE)</f>
        <v>Zoetermeer</v>
      </c>
      <c r="F861" s="450"/>
      <c r="G861" s="330" t="s">
        <v>1769</v>
      </c>
      <c r="H861" s="330" t="s">
        <v>1723</v>
      </c>
      <c r="I861" s="450" t="s">
        <v>1842</v>
      </c>
      <c r="J861" s="330">
        <v>16</v>
      </c>
      <c r="K861" s="450" t="str">
        <f>VLOOKUP(Ruimtestaat[[#This Row],[Ruimte code]],Ruimtegroepen[[#All],[Code]:[Ruimte omschrijving]],2,FALSE)</f>
        <v>Leslokalen</v>
      </c>
      <c r="L861" s="330" t="s">
        <v>100</v>
      </c>
      <c r="M861" s="437" t="s">
        <v>2058</v>
      </c>
      <c r="N861" s="439">
        <v>49.4</v>
      </c>
      <c r="O861" s="439"/>
      <c r="P861" s="439"/>
      <c r="Q861" s="439"/>
      <c r="R861" s="440" t="str">
        <f>VLOOKUP(Ruimtestaat[[#This Row],[Ruimte code]],Ruimtegroepen[],4,FALSE)</f>
        <v>Le</v>
      </c>
      <c r="S861" s="434">
        <v>40</v>
      </c>
      <c r="T861" s="434" t="s">
        <v>2</v>
      </c>
      <c r="U861" s="453">
        <f>IF(S861&gt;0,IF(RIGHT(Ruimtestaat[[#This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1" s="434">
        <f>IF(U861&gt;0,VLOOKUP($J861,Ruimtegroepen[],3,FALSE)*VLOOKUP($L861,Vloersoorten[],3,FALSE)*VLOOKUP($T861,Frequenties[],3,FALSE)*VLOOKUP($A861,Locaties[],3,FALSE),0)</f>
        <v>0</v>
      </c>
      <c r="W861" s="434">
        <f>Ruimtestaat[[#This Row],[Uitvoeringen werkdagen]]*Ruimtestaat[[#This Row],[Oppervlak (netto)]]</f>
        <v>9880</v>
      </c>
      <c r="X861" s="441">
        <f>IF(V861&gt;0,Ruimtestaat[[#This Row],[Prest. (m2 /jaar) werkdagen]]/Ruimtestaat[[#This Row],[Norm (m2/uur) werkdagen]],0)</f>
        <v>0</v>
      </c>
      <c r="Y861" s="442">
        <f>Ruimtestaat[[#This Row],[Uitvoeringen werkdagen]]*Ruimtestaat[[#This Row],[Gedeeltelijk]]</f>
        <v>0</v>
      </c>
      <c r="Z861" s="443" t="e">
        <f>IF(U861&gt;0,Ruimtestaat[[#This Row],[Prest. (m2 / jaar) werkdagen gedeeld]]/Ruimtestaat[[#This Row],[Norm (m2/uur) werkdagen]],0)</f>
        <v>#DIV/0!</v>
      </c>
      <c r="AA861" s="441" t="e">
        <f>Ruimtestaat[[#This Row],[uren / jaar werkdagen gedeeld]]*Tariefsopbouw!$E$35</f>
        <v>#DIV/0!</v>
      </c>
      <c r="AB861" s="441">
        <f>Ruimtestaat[[#This Row],[Uitvoeringen werkdagen]]*Ruimtestaat[[#This Row],[BSO]]</f>
        <v>0</v>
      </c>
      <c r="AC861" s="443" t="e">
        <f>IF(U861&gt;0,Ruimtestaat[[#This Row],[Prest. (m2 / jaar) werkdagen BSO]]/Ruimtestaat[[#This Row],[Norm (m2/uur) werkdagen]],0)</f>
        <v>#DIV/0!</v>
      </c>
      <c r="AD861" s="443" t="e">
        <f>Ruimtestaat[[#This Row],[uren / jaar werkdagen BSO]]*Tariefsopbouw!$E$35</f>
        <v>#DIV/0!</v>
      </c>
      <c r="AE861" s="444">
        <f>Ruimtestaat[[#This Row],[uren / jaar werkdagen]]*Tariefsopbouw!$E$35</f>
        <v>0</v>
      </c>
      <c r="AF861" s="454"/>
      <c r="AG861" s="455">
        <f>IF(Ruimtestaat[[#This Row],[Frequentie weekend]]&gt;0,VALUE(LEFT(AF861,1))*S861,0)</f>
        <v>0</v>
      </c>
      <c r="AH861" s="455">
        <f>IF($AG861&gt;0,VLOOKUP($J861,Ruimtegroepen[],3,FALSE)*VLOOKUP($L861,Vloersoorten[],3,FALSE)*VLOOKUP($AF861,Frequenties[],3,FALSE)*VLOOKUP(#REF!,Locaties[],3,FALSE),0)</f>
        <v>0</v>
      </c>
      <c r="AI861" s="434">
        <f>Ruimtestaat[[#This Row],[Uitvoeringen weekend]]*Ruimtestaat[[#This Row],[Oppervlak (netto)]]</f>
        <v>0</v>
      </c>
      <c r="AJ861" s="434">
        <f>IF(AH861&gt;0,Ruimtestaat[[#This Row],[Prest. (m2 /jaar) weekend]]/Ruimtestaat[[#This Row],[Norm (m2/uur) weekend]],0)</f>
        <v>0</v>
      </c>
      <c r="AK861" s="444">
        <f>Ruimtestaat[[#This Row],[uren / jaar weekend]]*Tariefsopbouw!$D$40</f>
        <v>0</v>
      </c>
      <c r="AL861" s="441">
        <f>Ruimtestaat[[#This Row],[Prest. (m2 /jaar) weekend]]+Ruimtestaat[[#This Row],[Prest. (m2 /jaar) werkdagen]]</f>
        <v>9880</v>
      </c>
      <c r="AM861" s="441">
        <f>Ruimtestaat[[#This Row],[uren / jaar weekend]]+Ruimtestaat[[#This Row],[uren / jaar werkdagen]]</f>
        <v>0</v>
      </c>
      <c r="AN861" s="446">
        <f>Ruimtestaat[[#This Row],[kosten / jaar weekend]]+Ruimtestaat[[#This Row],[kosten / jaar werkdagen]]</f>
        <v>0</v>
      </c>
      <c r="AO861" s="446"/>
      <c r="AP861" s="446" t="str">
        <f>IF(Ruimtestaat[[#This Row],[Frequentie werkdagen]]="","",_xlfn.CONCAT(Ruimtestaat[[#This Row],[Ruimte code]],"-",Ruimtestaat[[#This Row],[Frequentie werkdagen]]," ",Ruimtestaat[[#This Row],[Vloer code]]))</f>
        <v>16-5w L</v>
      </c>
      <c r="AQ861" s="448" t="str">
        <f>_xlfn.IFNA(VLOOKUP($AP861,Programma!$F$3:$G$1101,2,0),"")</f>
        <v>_</v>
      </c>
      <c r="AR861" s="448" t="str">
        <f>_xlfn.IFNA(VLOOKUP($AP861,Programma!$F$3:$H$1101,3,0),"")</f>
        <v>_</v>
      </c>
      <c r="AS861" s="448" t="str">
        <f>_xlfn.IFNA(VLOOKUP($AP861,Programma!$F$3:$I$1101,4,0),"")</f>
        <v>4w</v>
      </c>
      <c r="AT861" s="448" t="str">
        <f>_xlfn.IFNA(VLOOKUP($AP861,Programma!$F$3:$J$1101,5,0),"")</f>
        <v>1w</v>
      </c>
      <c r="AU861" s="448" t="str">
        <f>_xlfn.IFNA(VLOOKUP($AP861,Programma!$F$3:$K$1101,6,0),"")</f>
        <v>_</v>
      </c>
      <c r="AV861" s="448" t="str">
        <f>_xlfn.IFNA(VLOOKUP($AP861,Programma!$F$3:$L$1101,7,0),"")</f>
        <v>_</v>
      </c>
      <c r="AW861" s="448" t="str">
        <f>_xlfn.IFNA(VLOOKUP($AP861,Programma!$F$3:$M$1101,8,0),"")</f>
        <v>_</v>
      </c>
      <c r="AX861" s="448" t="str">
        <f>_xlfn.IFNA(VLOOKUP($AP861,Programma!$F$3:$N$1101,9,0),"")</f>
        <v>_</v>
      </c>
      <c r="AY861" s="448" t="str">
        <f>_xlfn.IFNA(VLOOKUP($AP861,Programma!$F$3:$O$1101,10,0),"")</f>
        <v>5w</v>
      </c>
      <c r="AZ861" s="448" t="str">
        <f>_xlfn.IFNA(VLOOKUP($AP861,Programma!$F$3:$P$1101,11,0),"")</f>
        <v>5w</v>
      </c>
      <c r="BA861" s="448" t="str">
        <f>_xlfn.IFNA(VLOOKUP($AP861,Programma!$F$3:$Q$1101,12,0),"")</f>
        <v>1w</v>
      </c>
      <c r="BB861" s="448" t="str">
        <f>_xlfn.IFNA(VLOOKUP($AP861,Programma!$F$3:$R$1101,13,0),"")</f>
        <v>1w</v>
      </c>
      <c r="BC861" s="448" t="str">
        <f>_xlfn.IFNA(VLOOKUP($AP861,Programma!$F$3:$S$1101,14,0),"")</f>
        <v>1m</v>
      </c>
      <c r="BD861" s="448" t="str">
        <f>_xlfn.IFNA(VLOOKUP($AP861,Programma!$F$3:$T$1101,15,0),"")</f>
        <v>2j</v>
      </c>
      <c r="BE861" s="448" t="str">
        <f>_xlfn.IFNA(VLOOKUP($AP861,Programma!$F$3:$U$1101,16,0),"")</f>
        <v>1j</v>
      </c>
      <c r="BF861" s="448" t="str">
        <f>_xlfn.IFNA(VLOOKUP($AP861,Programma!$F$3:$V$1101,17,0),"")</f>
        <v>_</v>
      </c>
      <c r="BG861" s="448" t="str">
        <f>_xlfn.IFNA(VLOOKUP($AP861,Programma!$F$3:$W$1101,18,0),"")</f>
        <v>_</v>
      </c>
      <c r="BH861" s="448" t="str">
        <f>_xlfn.IFNA(VLOOKUP($AP861,Programma!$F$3:$X$1101,19,0),"")</f>
        <v>_</v>
      </c>
      <c r="BI861" s="448" t="str">
        <f>_xlfn.IFNA(VLOOKUP($AP861,Programma!$F$3:$Y$1101,20,0),"")</f>
        <v>_</v>
      </c>
      <c r="BJ861" s="449"/>
      <c r="BK861" s="446" t="str">
        <f>IF(Ruimtestaat[[#This Row],[Frequentie weekend]]="","",_xlfn.CONCAT(Ruimtestaat[[#This Row],[Ruimte code]],"-",Ruimtestaat[[#This Row],[Frequentie weekend]]," ",Ruimtestaat[[#This Row],[Vloer code]]))</f>
        <v/>
      </c>
      <c r="BL861" s="448" t="str">
        <f>_xlfn.IFNA(VLOOKUP($BK861,Programma!$F$3:$G$1101,2,0),"")</f>
        <v/>
      </c>
      <c r="BM861" s="448" t="str">
        <f>_xlfn.IFNA(VLOOKUP($BK861,Programma!$F$3:$H$1101,3,0),"")</f>
        <v/>
      </c>
      <c r="BN861" s="448" t="str">
        <f>_xlfn.IFNA(VLOOKUP($BK861,Programma!$F$3:$I$1101,4,0),"")</f>
        <v/>
      </c>
      <c r="BO861" s="448" t="str">
        <f>_xlfn.IFNA(VLOOKUP($BK861,Programma!$F$3:$J$1101,5,0),"")</f>
        <v/>
      </c>
      <c r="BP861" s="448" t="str">
        <f>_xlfn.IFNA(VLOOKUP($BK861,Programma!$F$3:$K$1101,6,0),"")</f>
        <v/>
      </c>
      <c r="BQ861" s="448" t="str">
        <f>_xlfn.IFNA(VLOOKUP($BK861,Programma!$F$3:$L$1101,7,0),"")</f>
        <v/>
      </c>
      <c r="BR861" s="448" t="str">
        <f>_xlfn.IFNA(VLOOKUP($BK861,Programma!$F$3:$M$1101,8,0),"")</f>
        <v/>
      </c>
      <c r="BS861" s="448" t="str">
        <f>_xlfn.IFNA(VLOOKUP($BK861,Programma!$F$3:$N$1101,9,0),"")</f>
        <v/>
      </c>
      <c r="BT861" s="448" t="str">
        <f>_xlfn.IFNA(VLOOKUP($BK861,Programma!$F$3:$O$1101,10,0),"")</f>
        <v/>
      </c>
      <c r="BU861" s="448" t="str">
        <f>_xlfn.IFNA(VLOOKUP($BK861,Programma!$F$3:$P$1101,11,0),"")</f>
        <v/>
      </c>
      <c r="BV861" s="448" t="str">
        <f>_xlfn.IFNA(VLOOKUP($BK861,Programma!$F$3:$Q$1101,12,0),"")</f>
        <v/>
      </c>
      <c r="BW861" s="448" t="str">
        <f>_xlfn.IFNA(VLOOKUP($BK861,Programma!$F$3:$R$1101,13,0),"")</f>
        <v/>
      </c>
      <c r="BX861" s="448" t="str">
        <f>_xlfn.IFNA(VLOOKUP($BK861,Programma!$F$3:$S$1101,14,0),"")</f>
        <v/>
      </c>
      <c r="BY861" s="448" t="str">
        <f>_xlfn.IFNA(VLOOKUP($BK861,Programma!$F$3:$T$1101,15,0),"")</f>
        <v/>
      </c>
      <c r="BZ861" s="448" t="str">
        <f>_xlfn.IFNA(VLOOKUP($BK861,Programma!$F$3:$U$1101,16,0),"")</f>
        <v/>
      </c>
      <c r="CA861" s="448" t="str">
        <f>_xlfn.IFNA(VLOOKUP($BK861,Programma!$F$3:$V$1101,17,0),"")</f>
        <v/>
      </c>
      <c r="CB861" s="448" t="str">
        <f>_xlfn.IFNA(VLOOKUP($BK861,Programma!$F$3:$W$1101,18,0),"")</f>
        <v/>
      </c>
      <c r="CC861" s="448" t="str">
        <f>_xlfn.IFNA(VLOOKUP($BK861,Programma!$F$3:$X$1101,19,0),"")</f>
        <v/>
      </c>
      <c r="CD861" s="448" t="str">
        <f>_xlfn.IFNA(VLOOKUP($BK861,Programma!$F$3:$Y$1101,20,0),"")</f>
        <v/>
      </c>
    </row>
    <row r="862" spans="1:82" ht="15" customHeight="1">
      <c r="A862" s="327">
        <v>24</v>
      </c>
      <c r="B862" s="435" t="str">
        <f>VLOOKUP(Ruimtestaat[[#This Row],[Code]],Locaties[[Code]:[Locatie]],2,FALSE)</f>
        <v>IKC De Gaerde</v>
      </c>
      <c r="C862" s="435" t="str">
        <f>VLOOKUP(Ruimtestaat[[#This Row],[Code]],Locaties[[#All],[Code]:[Adres]],4,FALSE)</f>
        <v>Moerbeigaarde 58A</v>
      </c>
      <c r="D862" s="435" t="str">
        <f>VLOOKUP(Ruimtestaat[[#This Row],[Code]],Locaties[[#All],[Code]:[Postcode]],5,FALSE)</f>
        <v>2723 AG</v>
      </c>
      <c r="E862" s="435" t="str">
        <f>VLOOKUP(Ruimtestaat[[#This Row],[Code]],Locaties[#All],6,FALSE)</f>
        <v>Zoetermeer</v>
      </c>
      <c r="F862" s="450" t="s">
        <v>1705</v>
      </c>
      <c r="G862" s="330" t="s">
        <v>1769</v>
      </c>
      <c r="H862" s="330" t="s">
        <v>1707</v>
      </c>
      <c r="I862" s="450" t="s">
        <v>2025</v>
      </c>
      <c r="J862" s="330">
        <v>9</v>
      </c>
      <c r="K862" s="450" t="str">
        <f>VLOOKUP(Ruimtestaat[[#This Row],[Ruimte code]],Ruimtegroepen[[#All],[Code]:[Ruimte omschrijving]],2,FALSE)</f>
        <v>Bibliotheek/OLC</v>
      </c>
      <c r="L862" s="330" t="s">
        <v>100</v>
      </c>
      <c r="M862" s="437" t="s">
        <v>2058</v>
      </c>
      <c r="N862" s="439"/>
      <c r="O862" s="439"/>
      <c r="P862" s="439"/>
      <c r="Q862" s="439">
        <v>13.5</v>
      </c>
      <c r="R862" s="440" t="str">
        <f>VLOOKUP(Ruimtestaat[[#This Row],[Ruimte code]],Ruimtegroepen[],4,FALSE)</f>
        <v>Le</v>
      </c>
      <c r="S862" s="434">
        <v>51</v>
      </c>
      <c r="T862" s="434" t="s">
        <v>2</v>
      </c>
      <c r="U862" s="453">
        <f>IF(S862&gt;0,IF(RIGHT(Ruimtestaat[[#This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62" s="434">
        <f>IF(U862&gt;0,VLOOKUP($J862,Ruimtegroepen[],3,FALSE)*VLOOKUP($L862,Vloersoorten[],3,FALSE)*VLOOKUP($T862,Frequenties[],3,FALSE)*VLOOKUP($A862,Locaties[],3,FALSE),0)</f>
        <v>0</v>
      </c>
      <c r="W862" s="434">
        <f>Ruimtestaat[[#This Row],[Uitvoeringen werkdagen]]*Ruimtestaat[[#This Row],[Oppervlak (netto)]]</f>
        <v>0</v>
      </c>
      <c r="X862" s="441">
        <f>IF(V862&gt;0,Ruimtestaat[[#This Row],[Prest. (m2 /jaar) werkdagen]]/Ruimtestaat[[#This Row],[Norm (m2/uur) werkdagen]],0)</f>
        <v>0</v>
      </c>
      <c r="Y862" s="442">
        <f>Ruimtestaat[[#This Row],[Uitvoeringen werkdagen]]*Ruimtestaat[[#This Row],[Gedeeltelijk]]</f>
        <v>0</v>
      </c>
      <c r="Z862" s="443" t="e">
        <f>IF(U862&gt;0,Ruimtestaat[[#This Row],[Prest. (m2 / jaar) werkdagen gedeeld]]/Ruimtestaat[[#This Row],[Norm (m2/uur) werkdagen]],0)</f>
        <v>#DIV/0!</v>
      </c>
      <c r="AA862" s="441" t="e">
        <f>Ruimtestaat[[#This Row],[uren / jaar werkdagen gedeeld]]*Tariefsopbouw!$E$35</f>
        <v>#DIV/0!</v>
      </c>
      <c r="AB862" s="441">
        <f>Ruimtestaat[[#This Row],[Uitvoeringen werkdagen]]*Ruimtestaat[[#This Row],[BSO]]</f>
        <v>3442.5</v>
      </c>
      <c r="AC862" s="443" t="e">
        <f>IF(U862&gt;0,Ruimtestaat[[#This Row],[Prest. (m2 / jaar) werkdagen BSO]]/Ruimtestaat[[#This Row],[Norm (m2/uur) werkdagen]],0)</f>
        <v>#DIV/0!</v>
      </c>
      <c r="AD862" s="443" t="e">
        <f>Ruimtestaat[[#This Row],[uren / jaar werkdagen BSO]]*Tariefsopbouw!$E$35</f>
        <v>#DIV/0!</v>
      </c>
      <c r="AE862" s="444">
        <f>Ruimtestaat[[#This Row],[uren / jaar werkdagen]]*Tariefsopbouw!$E$35</f>
        <v>0</v>
      </c>
      <c r="AF862" s="454"/>
      <c r="AG862" s="455">
        <f>IF(Ruimtestaat[[#This Row],[Frequentie weekend]]&gt;0,VALUE(LEFT(AF862,1))*S862,0)</f>
        <v>0</v>
      </c>
      <c r="AH862" s="455">
        <f>IF($AG862&gt;0,VLOOKUP($J862,Ruimtegroepen[],3,FALSE)*VLOOKUP($L862,Vloersoorten[],3,FALSE)*VLOOKUP($AF862,Frequenties[],3,FALSE)*VLOOKUP(#REF!,Locaties[],3,FALSE),0)</f>
        <v>0</v>
      </c>
      <c r="AI862" s="434">
        <f>Ruimtestaat[[#This Row],[Uitvoeringen weekend]]*Ruimtestaat[[#This Row],[Oppervlak (netto)]]</f>
        <v>0</v>
      </c>
      <c r="AJ862" s="434">
        <f>IF(AH862&gt;0,Ruimtestaat[[#This Row],[Prest. (m2 /jaar) weekend]]/Ruimtestaat[[#This Row],[Norm (m2/uur) weekend]],0)</f>
        <v>0</v>
      </c>
      <c r="AK862" s="444">
        <f>Ruimtestaat[[#This Row],[uren / jaar weekend]]*Tariefsopbouw!$D$40</f>
        <v>0</v>
      </c>
      <c r="AL862" s="441">
        <f>Ruimtestaat[[#This Row],[Prest. (m2 /jaar) weekend]]+Ruimtestaat[[#This Row],[Prest. (m2 /jaar) werkdagen]]</f>
        <v>0</v>
      </c>
      <c r="AM862" s="441">
        <f>Ruimtestaat[[#This Row],[uren / jaar weekend]]+Ruimtestaat[[#This Row],[uren / jaar werkdagen]]</f>
        <v>0</v>
      </c>
      <c r="AN862" s="446">
        <f>Ruimtestaat[[#This Row],[kosten / jaar weekend]]+Ruimtestaat[[#This Row],[kosten / jaar werkdagen]]</f>
        <v>0</v>
      </c>
      <c r="AO862" s="446"/>
      <c r="AP862" s="446" t="str">
        <f>IF(Ruimtestaat[[#This Row],[Frequentie werkdagen]]="","",_xlfn.CONCAT(Ruimtestaat[[#This Row],[Ruimte code]],"-",Ruimtestaat[[#This Row],[Frequentie werkdagen]]," ",Ruimtestaat[[#This Row],[Vloer code]]))</f>
        <v>9-5w L</v>
      </c>
      <c r="AQ862" s="448" t="str">
        <f>_xlfn.IFNA(VLOOKUP($AP862,Programma!$F$3:$G$1101,2,0),"")</f>
        <v>_</v>
      </c>
      <c r="AR862" s="448" t="str">
        <f>_xlfn.IFNA(VLOOKUP($AP862,Programma!$F$3:$H$1101,3,0),"")</f>
        <v>_</v>
      </c>
      <c r="AS862" s="448" t="str">
        <f>_xlfn.IFNA(VLOOKUP($AP862,Programma!$F$3:$I$1101,4,0),"")</f>
        <v>4w</v>
      </c>
      <c r="AT862" s="448" t="str">
        <f>_xlfn.IFNA(VLOOKUP($AP862,Programma!$F$3:$J$1101,5,0),"")</f>
        <v>1w</v>
      </c>
      <c r="AU862" s="448" t="str">
        <f>_xlfn.IFNA(VLOOKUP($AP862,Programma!$F$3:$K$1101,6,0),"")</f>
        <v>_</v>
      </c>
      <c r="AV862" s="448" t="str">
        <f>_xlfn.IFNA(VLOOKUP($AP862,Programma!$F$3:$L$1101,7,0),"")</f>
        <v>_</v>
      </c>
      <c r="AW862" s="448" t="str">
        <f>_xlfn.IFNA(VLOOKUP($AP862,Programma!$F$3:$M$1101,8,0),"")</f>
        <v>_</v>
      </c>
      <c r="AX862" s="448" t="str">
        <f>_xlfn.IFNA(VLOOKUP($AP862,Programma!$F$3:$N$1101,9,0),"")</f>
        <v>_</v>
      </c>
      <c r="AY862" s="448" t="str">
        <f>_xlfn.IFNA(VLOOKUP($AP862,Programma!$F$3:$O$1101,10,0),"")</f>
        <v>5w</v>
      </c>
      <c r="AZ862" s="448" t="str">
        <f>_xlfn.IFNA(VLOOKUP($AP862,Programma!$F$3:$P$1101,11,0),"")</f>
        <v>5w</v>
      </c>
      <c r="BA862" s="448" t="str">
        <f>_xlfn.IFNA(VLOOKUP($AP862,Programma!$F$3:$Q$1101,12,0),"")</f>
        <v>1w</v>
      </c>
      <c r="BB862" s="448" t="str">
        <f>_xlfn.IFNA(VLOOKUP($AP862,Programma!$F$3:$R$1101,13,0),"")</f>
        <v>1w</v>
      </c>
      <c r="BC862" s="448" t="str">
        <f>_xlfn.IFNA(VLOOKUP($AP862,Programma!$F$3:$S$1101,14,0),"")</f>
        <v>1m</v>
      </c>
      <c r="BD862" s="448" t="str">
        <f>_xlfn.IFNA(VLOOKUP($AP862,Programma!$F$3:$T$1101,15,0),"")</f>
        <v>2j</v>
      </c>
      <c r="BE862" s="448" t="str">
        <f>_xlfn.IFNA(VLOOKUP($AP862,Programma!$F$3:$U$1101,16,0),"")</f>
        <v>1j</v>
      </c>
      <c r="BF862" s="448" t="str">
        <f>_xlfn.IFNA(VLOOKUP($AP862,Programma!$F$3:$V$1101,17,0),"")</f>
        <v>_</v>
      </c>
      <c r="BG862" s="448" t="str">
        <f>_xlfn.IFNA(VLOOKUP($AP862,Programma!$F$3:$W$1101,18,0),"")</f>
        <v>_</v>
      </c>
      <c r="BH862" s="448" t="str">
        <f>_xlfn.IFNA(VLOOKUP($AP862,Programma!$F$3:$X$1101,19,0),"")</f>
        <v>_</v>
      </c>
      <c r="BI862" s="448" t="str">
        <f>_xlfn.IFNA(VLOOKUP($AP862,Programma!$F$3:$Y$1101,20,0),"")</f>
        <v>_</v>
      </c>
      <c r="BJ862" s="449"/>
      <c r="BK862" s="446" t="str">
        <f>IF(Ruimtestaat[[#This Row],[Frequentie weekend]]="","",_xlfn.CONCAT(Ruimtestaat[[#This Row],[Ruimte code]],"-",Ruimtestaat[[#This Row],[Frequentie weekend]]," ",Ruimtestaat[[#This Row],[Vloer code]]))</f>
        <v/>
      </c>
      <c r="BL862" s="448" t="str">
        <f>_xlfn.IFNA(VLOOKUP($BK862,Programma!$F$3:$G$1101,2,0),"")</f>
        <v/>
      </c>
      <c r="BM862" s="448" t="str">
        <f>_xlfn.IFNA(VLOOKUP($BK862,Programma!$F$3:$H$1101,3,0),"")</f>
        <v/>
      </c>
      <c r="BN862" s="448" t="str">
        <f>_xlfn.IFNA(VLOOKUP($BK862,Programma!$F$3:$I$1101,4,0),"")</f>
        <v/>
      </c>
      <c r="BO862" s="448" t="str">
        <f>_xlfn.IFNA(VLOOKUP($BK862,Programma!$F$3:$J$1101,5,0),"")</f>
        <v/>
      </c>
      <c r="BP862" s="448" t="str">
        <f>_xlfn.IFNA(VLOOKUP($BK862,Programma!$F$3:$K$1101,6,0),"")</f>
        <v/>
      </c>
      <c r="BQ862" s="448" t="str">
        <f>_xlfn.IFNA(VLOOKUP($BK862,Programma!$F$3:$L$1101,7,0),"")</f>
        <v/>
      </c>
      <c r="BR862" s="448" t="str">
        <f>_xlfn.IFNA(VLOOKUP($BK862,Programma!$F$3:$M$1101,8,0),"")</f>
        <v/>
      </c>
      <c r="BS862" s="448" t="str">
        <f>_xlfn.IFNA(VLOOKUP($BK862,Programma!$F$3:$N$1101,9,0),"")</f>
        <v/>
      </c>
      <c r="BT862" s="448" t="str">
        <f>_xlfn.IFNA(VLOOKUP($BK862,Programma!$F$3:$O$1101,10,0),"")</f>
        <v/>
      </c>
      <c r="BU862" s="448" t="str">
        <f>_xlfn.IFNA(VLOOKUP($BK862,Programma!$F$3:$P$1101,11,0),"")</f>
        <v/>
      </c>
      <c r="BV862" s="448" t="str">
        <f>_xlfn.IFNA(VLOOKUP($BK862,Programma!$F$3:$Q$1101,12,0),"")</f>
        <v/>
      </c>
      <c r="BW862" s="448" t="str">
        <f>_xlfn.IFNA(VLOOKUP($BK862,Programma!$F$3:$R$1101,13,0),"")</f>
        <v/>
      </c>
      <c r="BX862" s="448" t="str">
        <f>_xlfn.IFNA(VLOOKUP($BK862,Programma!$F$3:$S$1101,14,0),"")</f>
        <v/>
      </c>
      <c r="BY862" s="448" t="str">
        <f>_xlfn.IFNA(VLOOKUP($BK862,Programma!$F$3:$T$1101,15,0),"")</f>
        <v/>
      </c>
      <c r="BZ862" s="448" t="str">
        <f>_xlfn.IFNA(VLOOKUP($BK862,Programma!$F$3:$U$1101,16,0),"")</f>
        <v/>
      </c>
      <c r="CA862" s="448" t="str">
        <f>_xlfn.IFNA(VLOOKUP($BK862,Programma!$F$3:$V$1101,17,0),"")</f>
        <v/>
      </c>
      <c r="CB862" s="448" t="str">
        <f>_xlfn.IFNA(VLOOKUP($BK862,Programma!$F$3:$W$1101,18,0),"")</f>
        <v/>
      </c>
      <c r="CC862" s="448" t="str">
        <f>_xlfn.IFNA(VLOOKUP($BK862,Programma!$F$3:$X$1101,19,0),"")</f>
        <v/>
      </c>
      <c r="CD862" s="448" t="str">
        <f>_xlfn.IFNA(VLOOKUP($BK862,Programma!$F$3:$Y$1101,20,0),"")</f>
        <v/>
      </c>
    </row>
    <row r="863" spans="1:82" ht="15" customHeight="1">
      <c r="A863" s="327">
        <v>24</v>
      </c>
      <c r="B863" s="435" t="str">
        <f>VLOOKUP(Ruimtestaat[[#This Row],[Code]],Locaties[[Code]:[Locatie]],2,FALSE)</f>
        <v>IKC De Gaerde</v>
      </c>
      <c r="C863" s="435" t="str">
        <f>VLOOKUP(Ruimtestaat[[#This Row],[Code]],Locaties[[#All],[Code]:[Adres]],4,FALSE)</f>
        <v>Moerbeigaarde 58A</v>
      </c>
      <c r="D863" s="435" t="str">
        <f>VLOOKUP(Ruimtestaat[[#This Row],[Code]],Locaties[[#All],[Code]:[Postcode]],5,FALSE)</f>
        <v>2723 AG</v>
      </c>
      <c r="E863" s="435" t="str">
        <f>VLOOKUP(Ruimtestaat[[#This Row],[Code]],Locaties[#All],6,FALSE)</f>
        <v>Zoetermeer</v>
      </c>
      <c r="F863" s="450"/>
      <c r="G863" s="330" t="s">
        <v>1769</v>
      </c>
      <c r="H863" s="330" t="s">
        <v>1736</v>
      </c>
      <c r="I863" s="450" t="s">
        <v>1901</v>
      </c>
      <c r="J863" s="330">
        <v>11</v>
      </c>
      <c r="K863" s="450" t="str">
        <f>VLOOKUP(Ruimtestaat[[#This Row],[Ruimte code]],Ruimtegroepen[[#All],[Code]:[Ruimte omschrijving]],2,FALSE)</f>
        <v>Garderobes</v>
      </c>
      <c r="L863" s="330" t="s">
        <v>100</v>
      </c>
      <c r="M863" s="437" t="s">
        <v>2058</v>
      </c>
      <c r="N863" s="439">
        <v>1.4</v>
      </c>
      <c r="O863" s="439"/>
      <c r="P863" s="439"/>
      <c r="Q863" s="439"/>
      <c r="R863" s="440" t="str">
        <f>VLOOKUP(Ruimtestaat[[#This Row],[Ruimte code]],Ruimtegroepen[],4,FALSE)</f>
        <v>Ve</v>
      </c>
      <c r="S863" s="434">
        <v>40</v>
      </c>
      <c r="T863" s="434" t="s">
        <v>2</v>
      </c>
      <c r="U863" s="453">
        <f>IF(S863&gt;0,IF(RIGHT(Ruimtestaat[[#This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3" s="434">
        <f>IF(U863&gt;0,VLOOKUP($J863,Ruimtegroepen[],3,FALSE)*VLOOKUP($L863,Vloersoorten[],3,FALSE)*VLOOKUP($T863,Frequenties[],3,FALSE)*VLOOKUP($A863,Locaties[],3,FALSE),0)</f>
        <v>0</v>
      </c>
      <c r="W863" s="434">
        <f>Ruimtestaat[[#This Row],[Uitvoeringen werkdagen]]*Ruimtestaat[[#This Row],[Oppervlak (netto)]]</f>
        <v>280</v>
      </c>
      <c r="X863" s="441">
        <f>IF(V863&gt;0,Ruimtestaat[[#This Row],[Prest. (m2 /jaar) werkdagen]]/Ruimtestaat[[#This Row],[Norm (m2/uur) werkdagen]],0)</f>
        <v>0</v>
      </c>
      <c r="Y863" s="442">
        <f>Ruimtestaat[[#This Row],[Uitvoeringen werkdagen]]*Ruimtestaat[[#This Row],[Gedeeltelijk]]</f>
        <v>0</v>
      </c>
      <c r="Z863" s="443" t="e">
        <f>IF(U863&gt;0,Ruimtestaat[[#This Row],[Prest. (m2 / jaar) werkdagen gedeeld]]/Ruimtestaat[[#This Row],[Norm (m2/uur) werkdagen]],0)</f>
        <v>#DIV/0!</v>
      </c>
      <c r="AA863" s="441" t="e">
        <f>Ruimtestaat[[#This Row],[uren / jaar werkdagen gedeeld]]*Tariefsopbouw!$E$35</f>
        <v>#DIV/0!</v>
      </c>
      <c r="AB863" s="441">
        <f>Ruimtestaat[[#This Row],[Uitvoeringen werkdagen]]*Ruimtestaat[[#This Row],[BSO]]</f>
        <v>0</v>
      </c>
      <c r="AC863" s="443" t="e">
        <f>IF(U863&gt;0,Ruimtestaat[[#This Row],[Prest. (m2 / jaar) werkdagen BSO]]/Ruimtestaat[[#This Row],[Norm (m2/uur) werkdagen]],0)</f>
        <v>#DIV/0!</v>
      </c>
      <c r="AD863" s="443" t="e">
        <f>Ruimtestaat[[#This Row],[uren / jaar werkdagen BSO]]*Tariefsopbouw!$E$35</f>
        <v>#DIV/0!</v>
      </c>
      <c r="AE863" s="444">
        <f>Ruimtestaat[[#This Row],[uren / jaar werkdagen]]*Tariefsopbouw!$E$35</f>
        <v>0</v>
      </c>
      <c r="AF863" s="454"/>
      <c r="AG863" s="455">
        <f>IF(Ruimtestaat[[#This Row],[Frequentie weekend]]&gt;0,VALUE(LEFT(AF863,1))*S863,0)</f>
        <v>0</v>
      </c>
      <c r="AH863" s="455">
        <f>IF($AG863&gt;0,VLOOKUP($J863,Ruimtegroepen[],3,FALSE)*VLOOKUP($L863,Vloersoorten[],3,FALSE)*VLOOKUP($AF863,Frequenties[],3,FALSE)*VLOOKUP(#REF!,Locaties[],3,FALSE),0)</f>
        <v>0</v>
      </c>
      <c r="AI863" s="434">
        <f>Ruimtestaat[[#This Row],[Uitvoeringen weekend]]*Ruimtestaat[[#This Row],[Oppervlak (netto)]]</f>
        <v>0</v>
      </c>
      <c r="AJ863" s="434">
        <f>IF(AH863&gt;0,Ruimtestaat[[#This Row],[Prest. (m2 /jaar) weekend]]/Ruimtestaat[[#This Row],[Norm (m2/uur) weekend]],0)</f>
        <v>0</v>
      </c>
      <c r="AK863" s="444">
        <f>Ruimtestaat[[#This Row],[uren / jaar weekend]]*Tariefsopbouw!$D$40</f>
        <v>0</v>
      </c>
      <c r="AL863" s="441">
        <f>Ruimtestaat[[#This Row],[Prest. (m2 /jaar) weekend]]+Ruimtestaat[[#This Row],[Prest. (m2 /jaar) werkdagen]]</f>
        <v>280</v>
      </c>
      <c r="AM863" s="441">
        <f>Ruimtestaat[[#This Row],[uren / jaar weekend]]+Ruimtestaat[[#This Row],[uren / jaar werkdagen]]</f>
        <v>0</v>
      </c>
      <c r="AN863" s="446">
        <f>Ruimtestaat[[#This Row],[kosten / jaar weekend]]+Ruimtestaat[[#This Row],[kosten / jaar werkdagen]]</f>
        <v>0</v>
      </c>
      <c r="AO863" s="446"/>
      <c r="AP863" s="446" t="str">
        <f>IF(Ruimtestaat[[#This Row],[Frequentie werkdagen]]="","",_xlfn.CONCAT(Ruimtestaat[[#This Row],[Ruimte code]],"-",Ruimtestaat[[#This Row],[Frequentie werkdagen]]," ",Ruimtestaat[[#This Row],[Vloer code]]))</f>
        <v>11-5w L</v>
      </c>
      <c r="AQ863" s="448" t="str">
        <f>_xlfn.IFNA(VLOOKUP($AP863,Programma!$F$3:$G$1101,2,0),"")</f>
        <v>_</v>
      </c>
      <c r="AR863" s="448" t="str">
        <f>_xlfn.IFNA(VLOOKUP($AP863,Programma!$F$3:$H$1101,3,0),"")</f>
        <v>_</v>
      </c>
      <c r="AS863" s="448" t="str">
        <f>_xlfn.IFNA(VLOOKUP($AP863,Programma!$F$3:$I$1101,4,0),"")</f>
        <v>4w</v>
      </c>
      <c r="AT863" s="448" t="str">
        <f>_xlfn.IFNA(VLOOKUP($AP863,Programma!$F$3:$J$1101,5,0),"")</f>
        <v>1w</v>
      </c>
      <c r="AU863" s="448" t="str">
        <f>_xlfn.IFNA(VLOOKUP($AP863,Programma!$F$3:$K$1101,6,0),"")</f>
        <v>_</v>
      </c>
      <c r="AV863" s="448" t="str">
        <f>_xlfn.IFNA(VLOOKUP($AP863,Programma!$F$3:$L$1101,7,0),"")</f>
        <v>_</v>
      </c>
      <c r="AW863" s="448" t="str">
        <f>_xlfn.IFNA(VLOOKUP($AP863,Programma!$F$3:$M$1101,8,0),"")</f>
        <v>_</v>
      </c>
      <c r="AX863" s="448" t="str">
        <f>_xlfn.IFNA(VLOOKUP($AP863,Programma!$F$3:$N$1101,9,0),"")</f>
        <v>_</v>
      </c>
      <c r="AY863" s="448" t="str">
        <f>_xlfn.IFNA(VLOOKUP($AP863,Programma!$F$3:$O$1101,10,0),"")</f>
        <v>5w</v>
      </c>
      <c r="AZ863" s="448" t="str">
        <f>_xlfn.IFNA(VLOOKUP($AP863,Programma!$F$3:$P$1101,11,0),"")</f>
        <v>5w</v>
      </c>
      <c r="BA863" s="448" t="str">
        <f>_xlfn.IFNA(VLOOKUP($AP863,Programma!$F$3:$Q$1101,12,0),"")</f>
        <v>1w</v>
      </c>
      <c r="BB863" s="448" t="str">
        <f>_xlfn.IFNA(VLOOKUP($AP863,Programma!$F$3:$R$1101,13,0),"")</f>
        <v>1w</v>
      </c>
      <c r="BC863" s="448" t="str">
        <f>_xlfn.IFNA(VLOOKUP($AP863,Programma!$F$3:$S$1101,14,0),"")</f>
        <v>1m</v>
      </c>
      <c r="BD863" s="448" t="str">
        <f>_xlfn.IFNA(VLOOKUP($AP863,Programma!$F$3:$T$1101,15,0),"")</f>
        <v>2j</v>
      </c>
      <c r="BE863" s="448" t="str">
        <f>_xlfn.IFNA(VLOOKUP($AP863,Programma!$F$3:$U$1101,16,0),"")</f>
        <v>1j</v>
      </c>
      <c r="BF863" s="448" t="str">
        <f>_xlfn.IFNA(VLOOKUP($AP863,Programma!$F$3:$V$1101,17,0),"")</f>
        <v>_</v>
      </c>
      <c r="BG863" s="448" t="str">
        <f>_xlfn.IFNA(VLOOKUP($AP863,Programma!$F$3:$W$1101,18,0),"")</f>
        <v>_</v>
      </c>
      <c r="BH863" s="448" t="str">
        <f>_xlfn.IFNA(VLOOKUP($AP863,Programma!$F$3:$X$1101,19,0),"")</f>
        <v>_</v>
      </c>
      <c r="BI863" s="448" t="str">
        <f>_xlfn.IFNA(VLOOKUP($AP863,Programma!$F$3:$Y$1101,20,0),"")</f>
        <v>_</v>
      </c>
      <c r="BJ863" s="449"/>
      <c r="BK863" s="446" t="str">
        <f>IF(Ruimtestaat[[#This Row],[Frequentie weekend]]="","",_xlfn.CONCAT(Ruimtestaat[[#This Row],[Ruimte code]],"-",Ruimtestaat[[#This Row],[Frequentie weekend]]," ",Ruimtestaat[[#This Row],[Vloer code]]))</f>
        <v/>
      </c>
      <c r="BL863" s="448" t="str">
        <f>_xlfn.IFNA(VLOOKUP($BK863,Programma!$F$3:$G$1101,2,0),"")</f>
        <v/>
      </c>
      <c r="BM863" s="448" t="str">
        <f>_xlfn.IFNA(VLOOKUP($BK863,Programma!$F$3:$H$1101,3,0),"")</f>
        <v/>
      </c>
      <c r="BN863" s="448" t="str">
        <f>_xlfn.IFNA(VLOOKUP($BK863,Programma!$F$3:$I$1101,4,0),"")</f>
        <v/>
      </c>
      <c r="BO863" s="448" t="str">
        <f>_xlfn.IFNA(VLOOKUP($BK863,Programma!$F$3:$J$1101,5,0),"")</f>
        <v/>
      </c>
      <c r="BP863" s="448" t="str">
        <f>_xlfn.IFNA(VLOOKUP($BK863,Programma!$F$3:$K$1101,6,0),"")</f>
        <v/>
      </c>
      <c r="BQ863" s="448" t="str">
        <f>_xlfn.IFNA(VLOOKUP($BK863,Programma!$F$3:$L$1101,7,0),"")</f>
        <v/>
      </c>
      <c r="BR863" s="448" t="str">
        <f>_xlfn.IFNA(VLOOKUP($BK863,Programma!$F$3:$M$1101,8,0),"")</f>
        <v/>
      </c>
      <c r="BS863" s="448" t="str">
        <f>_xlfn.IFNA(VLOOKUP($BK863,Programma!$F$3:$N$1101,9,0),"")</f>
        <v/>
      </c>
      <c r="BT863" s="448" t="str">
        <f>_xlfn.IFNA(VLOOKUP($BK863,Programma!$F$3:$O$1101,10,0),"")</f>
        <v/>
      </c>
      <c r="BU863" s="448" t="str">
        <f>_xlfn.IFNA(VLOOKUP($BK863,Programma!$F$3:$P$1101,11,0),"")</f>
        <v/>
      </c>
      <c r="BV863" s="448" t="str">
        <f>_xlfn.IFNA(VLOOKUP($BK863,Programma!$F$3:$Q$1101,12,0),"")</f>
        <v/>
      </c>
      <c r="BW863" s="448" t="str">
        <f>_xlfn.IFNA(VLOOKUP($BK863,Programma!$F$3:$R$1101,13,0),"")</f>
        <v/>
      </c>
      <c r="BX863" s="448" t="str">
        <f>_xlfn.IFNA(VLOOKUP($BK863,Programma!$F$3:$S$1101,14,0),"")</f>
        <v/>
      </c>
      <c r="BY863" s="448" t="str">
        <f>_xlfn.IFNA(VLOOKUP($BK863,Programma!$F$3:$T$1101,15,0),"")</f>
        <v/>
      </c>
      <c r="BZ863" s="448" t="str">
        <f>_xlfn.IFNA(VLOOKUP($BK863,Programma!$F$3:$U$1101,16,0),"")</f>
        <v/>
      </c>
      <c r="CA863" s="448" t="str">
        <f>_xlfn.IFNA(VLOOKUP($BK863,Programma!$F$3:$V$1101,17,0),"")</f>
        <v/>
      </c>
      <c r="CB863" s="448" t="str">
        <f>_xlfn.IFNA(VLOOKUP($BK863,Programma!$F$3:$W$1101,18,0),"")</f>
        <v/>
      </c>
      <c r="CC863" s="448" t="str">
        <f>_xlfn.IFNA(VLOOKUP($BK863,Programma!$F$3:$X$1101,19,0),"")</f>
        <v/>
      </c>
      <c r="CD863" s="448" t="str">
        <f>_xlfn.IFNA(VLOOKUP($BK863,Programma!$F$3:$Y$1101,20,0),"")</f>
        <v/>
      </c>
    </row>
    <row r="864" spans="1:82" ht="15" customHeight="1">
      <c r="A864" s="327">
        <v>24</v>
      </c>
      <c r="B864" s="435" t="str">
        <f>VLOOKUP(Ruimtestaat[[#This Row],[Code]],Locaties[[Code]:[Locatie]],2,FALSE)</f>
        <v>IKC De Gaerde</v>
      </c>
      <c r="C864" s="435" t="str">
        <f>VLOOKUP(Ruimtestaat[[#This Row],[Code]],Locaties[[#All],[Code]:[Adres]],4,FALSE)</f>
        <v>Moerbeigaarde 58A</v>
      </c>
      <c r="D864" s="435" t="str">
        <f>VLOOKUP(Ruimtestaat[[#This Row],[Code]],Locaties[[#All],[Code]:[Postcode]],5,FALSE)</f>
        <v>2723 AG</v>
      </c>
      <c r="E864" s="435" t="str">
        <f>VLOOKUP(Ruimtestaat[[#This Row],[Code]],Locaties[#All],6,FALSE)</f>
        <v>Zoetermeer</v>
      </c>
      <c r="F864" s="450"/>
      <c r="G864" s="330" t="s">
        <v>1769</v>
      </c>
      <c r="H864" s="330" t="s">
        <v>2053</v>
      </c>
      <c r="I864" s="450" t="s">
        <v>1914</v>
      </c>
      <c r="J864" s="330">
        <v>1</v>
      </c>
      <c r="K864" s="450" t="str">
        <f>VLOOKUP(Ruimtestaat[[#This Row],[Ruimte code]],Ruimtegroepen[[#All],[Code]:[Ruimte omschrijving]],2,FALSE)</f>
        <v>Magazijnen/bergingen</v>
      </c>
      <c r="L864" s="330" t="s">
        <v>100</v>
      </c>
      <c r="M864" s="437" t="s">
        <v>2058</v>
      </c>
      <c r="N864" s="439">
        <v>2.6</v>
      </c>
      <c r="O864" s="439"/>
      <c r="P864" s="439"/>
      <c r="Q864" s="439"/>
      <c r="R864" s="440" t="str">
        <f>VLOOKUP(Ruimtestaat[[#This Row],[Ruimte code]],Ruimtegroepen[],4,FALSE)</f>
        <v>Ve</v>
      </c>
      <c r="S864" s="434">
        <v>40</v>
      </c>
      <c r="T864" s="434" t="s">
        <v>16</v>
      </c>
      <c r="U864" s="453">
        <f>IF(S864&gt;0,IF(RIGHT(Ruimtestaat[[#This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64" s="434">
        <f>IF(U864&gt;0,VLOOKUP($J864,Ruimtegroepen[],3,FALSE)*VLOOKUP($L864,Vloersoorten[],3,FALSE)*VLOOKUP($T864,Frequenties[],3,FALSE)*VLOOKUP($A864,Locaties[],3,FALSE),0)</f>
        <v>0</v>
      </c>
      <c r="W864" s="434">
        <f>Ruimtestaat[[#This Row],[Uitvoeringen werkdagen]]*Ruimtestaat[[#This Row],[Oppervlak (netto)]]</f>
        <v>31.200000000000003</v>
      </c>
      <c r="X864" s="441">
        <f>IF(V864&gt;0,Ruimtestaat[[#This Row],[Prest. (m2 /jaar) werkdagen]]/Ruimtestaat[[#This Row],[Norm (m2/uur) werkdagen]],0)</f>
        <v>0</v>
      </c>
      <c r="Y864" s="442">
        <f>Ruimtestaat[[#This Row],[Uitvoeringen werkdagen]]*Ruimtestaat[[#This Row],[Gedeeltelijk]]</f>
        <v>0</v>
      </c>
      <c r="Z864" s="443" t="e">
        <f>IF(U864&gt;0,Ruimtestaat[[#This Row],[Prest. (m2 / jaar) werkdagen gedeeld]]/Ruimtestaat[[#This Row],[Norm (m2/uur) werkdagen]],0)</f>
        <v>#DIV/0!</v>
      </c>
      <c r="AA864" s="441" t="e">
        <f>Ruimtestaat[[#This Row],[uren / jaar werkdagen gedeeld]]*Tariefsopbouw!$E$35</f>
        <v>#DIV/0!</v>
      </c>
      <c r="AB864" s="441">
        <f>Ruimtestaat[[#This Row],[Uitvoeringen werkdagen]]*Ruimtestaat[[#This Row],[BSO]]</f>
        <v>0</v>
      </c>
      <c r="AC864" s="443" t="e">
        <f>IF(U864&gt;0,Ruimtestaat[[#This Row],[Prest. (m2 / jaar) werkdagen BSO]]/Ruimtestaat[[#This Row],[Norm (m2/uur) werkdagen]],0)</f>
        <v>#DIV/0!</v>
      </c>
      <c r="AD864" s="443" t="e">
        <f>Ruimtestaat[[#This Row],[uren / jaar werkdagen BSO]]*Tariefsopbouw!$E$35</f>
        <v>#DIV/0!</v>
      </c>
      <c r="AE864" s="444">
        <f>Ruimtestaat[[#This Row],[uren / jaar werkdagen]]*Tariefsopbouw!$E$35</f>
        <v>0</v>
      </c>
      <c r="AF864" s="454"/>
      <c r="AG864" s="455">
        <f>IF(Ruimtestaat[[#This Row],[Frequentie weekend]]&gt;0,VALUE(LEFT(AF864,1))*S864,0)</f>
        <v>0</v>
      </c>
      <c r="AH864" s="455">
        <f>IF($AG864&gt;0,VLOOKUP($J864,Ruimtegroepen[],3,FALSE)*VLOOKUP($L864,Vloersoorten[],3,FALSE)*VLOOKUP($AF864,Frequenties[],3,FALSE)*VLOOKUP(#REF!,Locaties[],3,FALSE),0)</f>
        <v>0</v>
      </c>
      <c r="AI864" s="434">
        <f>Ruimtestaat[[#This Row],[Uitvoeringen weekend]]*Ruimtestaat[[#This Row],[Oppervlak (netto)]]</f>
        <v>0</v>
      </c>
      <c r="AJ864" s="434">
        <f>IF(AH864&gt;0,Ruimtestaat[[#This Row],[Prest. (m2 /jaar) weekend]]/Ruimtestaat[[#This Row],[Norm (m2/uur) weekend]],0)</f>
        <v>0</v>
      </c>
      <c r="AK864" s="444">
        <f>Ruimtestaat[[#This Row],[uren / jaar weekend]]*Tariefsopbouw!$D$40</f>
        <v>0</v>
      </c>
      <c r="AL864" s="441">
        <f>Ruimtestaat[[#This Row],[Prest. (m2 /jaar) weekend]]+Ruimtestaat[[#This Row],[Prest. (m2 /jaar) werkdagen]]</f>
        <v>31.200000000000003</v>
      </c>
      <c r="AM864" s="441">
        <f>Ruimtestaat[[#This Row],[uren / jaar weekend]]+Ruimtestaat[[#This Row],[uren / jaar werkdagen]]</f>
        <v>0</v>
      </c>
      <c r="AN864" s="446">
        <f>Ruimtestaat[[#This Row],[kosten / jaar weekend]]+Ruimtestaat[[#This Row],[kosten / jaar werkdagen]]</f>
        <v>0</v>
      </c>
      <c r="AO864" s="446"/>
      <c r="AP864" s="446" t="str">
        <f>IF(Ruimtestaat[[#This Row],[Frequentie werkdagen]]="","",_xlfn.CONCAT(Ruimtestaat[[#This Row],[Ruimte code]],"-",Ruimtestaat[[#This Row],[Frequentie werkdagen]]," ",Ruimtestaat[[#This Row],[Vloer code]]))</f>
        <v>1-1m L</v>
      </c>
      <c r="AQ864" s="448" t="str">
        <f>_xlfn.IFNA(VLOOKUP($AP864,Programma!$F$3:$G$1101,2,0),"")</f>
        <v>_</v>
      </c>
      <c r="AR864" s="448" t="str">
        <f>_xlfn.IFNA(VLOOKUP($AP864,Programma!$F$3:$H$1101,3,0),"")</f>
        <v>_</v>
      </c>
      <c r="AS864" s="448" t="str">
        <f>_xlfn.IFNA(VLOOKUP($AP864,Programma!$F$3:$I$1101,4,0),"")</f>
        <v>1m</v>
      </c>
      <c r="AT864" s="448" t="str">
        <f>_xlfn.IFNA(VLOOKUP($AP864,Programma!$F$3:$J$1101,5,0),"")</f>
        <v>1m</v>
      </c>
      <c r="AU864" s="448" t="str">
        <f>_xlfn.IFNA(VLOOKUP($AP864,Programma!$F$3:$K$1101,6,0),"")</f>
        <v>_</v>
      </c>
      <c r="AV864" s="448" t="str">
        <f>_xlfn.IFNA(VLOOKUP($AP864,Programma!$F$3:$L$1101,7,0),"")</f>
        <v>_</v>
      </c>
      <c r="AW864" s="448" t="str">
        <f>_xlfn.IFNA(VLOOKUP($AP864,Programma!$F$3:$M$1101,8,0),"")</f>
        <v>_</v>
      </c>
      <c r="AX864" s="448" t="str">
        <f>_xlfn.IFNA(VLOOKUP($AP864,Programma!$F$3:$N$1101,9,0),"")</f>
        <v>_</v>
      </c>
      <c r="AY864" s="448" t="str">
        <f>_xlfn.IFNA(VLOOKUP($AP864,Programma!$F$3:$O$1101,10,0),"")</f>
        <v>_</v>
      </c>
      <c r="AZ864" s="448" t="str">
        <f>_xlfn.IFNA(VLOOKUP($AP864,Programma!$F$3:$P$1101,11,0),"")</f>
        <v>_</v>
      </c>
      <c r="BA864" s="448" t="str">
        <f>_xlfn.IFNA(VLOOKUP($AP864,Programma!$F$3:$Q$1101,12,0),"")</f>
        <v>_</v>
      </c>
      <c r="BB864" s="448" t="str">
        <f>_xlfn.IFNA(VLOOKUP($AP864,Programma!$F$3:$R$1101,13,0),"")</f>
        <v>_</v>
      </c>
      <c r="BC864" s="448" t="str">
        <f>_xlfn.IFNA(VLOOKUP($AP864,Programma!$F$3:$S$1101,14,0),"")</f>
        <v>1m</v>
      </c>
      <c r="BD864" s="448" t="str">
        <f>_xlfn.IFNA(VLOOKUP($AP864,Programma!$F$3:$T$1101,15,0),"")</f>
        <v>4j</v>
      </c>
      <c r="BE864" s="448" t="str">
        <f>_xlfn.IFNA(VLOOKUP($AP864,Programma!$F$3:$U$1101,16,0),"")</f>
        <v>4j</v>
      </c>
      <c r="BF864" s="448" t="str">
        <f>_xlfn.IFNA(VLOOKUP($AP864,Programma!$F$3:$V$1101,17,0),"")</f>
        <v>_</v>
      </c>
      <c r="BG864" s="448" t="str">
        <f>_xlfn.IFNA(VLOOKUP($AP864,Programma!$F$3:$W$1101,18,0),"")</f>
        <v>_</v>
      </c>
      <c r="BH864" s="448" t="str">
        <f>_xlfn.IFNA(VLOOKUP($AP864,Programma!$F$3:$X$1101,19,0),"")</f>
        <v>_</v>
      </c>
      <c r="BI864" s="448" t="str">
        <f>_xlfn.IFNA(VLOOKUP($AP864,Programma!$F$3:$Y$1101,20,0),"")</f>
        <v>_</v>
      </c>
      <c r="BJ864" s="449"/>
      <c r="BK864" s="446" t="str">
        <f>IF(Ruimtestaat[[#This Row],[Frequentie weekend]]="","",_xlfn.CONCAT(Ruimtestaat[[#This Row],[Ruimte code]],"-",Ruimtestaat[[#This Row],[Frequentie weekend]]," ",Ruimtestaat[[#This Row],[Vloer code]]))</f>
        <v/>
      </c>
      <c r="BL864" s="448" t="str">
        <f>_xlfn.IFNA(VLOOKUP($BK864,Programma!$F$3:$G$1101,2,0),"")</f>
        <v/>
      </c>
      <c r="BM864" s="448" t="str">
        <f>_xlfn.IFNA(VLOOKUP($BK864,Programma!$F$3:$H$1101,3,0),"")</f>
        <v/>
      </c>
      <c r="BN864" s="448" t="str">
        <f>_xlfn.IFNA(VLOOKUP($BK864,Programma!$F$3:$I$1101,4,0),"")</f>
        <v/>
      </c>
      <c r="BO864" s="448" t="str">
        <f>_xlfn.IFNA(VLOOKUP($BK864,Programma!$F$3:$J$1101,5,0),"")</f>
        <v/>
      </c>
      <c r="BP864" s="448" t="str">
        <f>_xlfn.IFNA(VLOOKUP($BK864,Programma!$F$3:$K$1101,6,0),"")</f>
        <v/>
      </c>
      <c r="BQ864" s="448" t="str">
        <f>_xlfn.IFNA(VLOOKUP($BK864,Programma!$F$3:$L$1101,7,0),"")</f>
        <v/>
      </c>
      <c r="BR864" s="448" t="str">
        <f>_xlfn.IFNA(VLOOKUP($BK864,Programma!$F$3:$M$1101,8,0),"")</f>
        <v/>
      </c>
      <c r="BS864" s="448" t="str">
        <f>_xlfn.IFNA(VLOOKUP($BK864,Programma!$F$3:$N$1101,9,0),"")</f>
        <v/>
      </c>
      <c r="BT864" s="448" t="str">
        <f>_xlfn.IFNA(VLOOKUP($BK864,Programma!$F$3:$O$1101,10,0),"")</f>
        <v/>
      </c>
      <c r="BU864" s="448" t="str">
        <f>_xlfn.IFNA(VLOOKUP($BK864,Programma!$F$3:$P$1101,11,0),"")</f>
        <v/>
      </c>
      <c r="BV864" s="448" t="str">
        <f>_xlfn.IFNA(VLOOKUP($BK864,Programma!$F$3:$Q$1101,12,0),"")</f>
        <v/>
      </c>
      <c r="BW864" s="448" t="str">
        <f>_xlfn.IFNA(VLOOKUP($BK864,Programma!$F$3:$R$1101,13,0),"")</f>
        <v/>
      </c>
      <c r="BX864" s="448" t="str">
        <f>_xlfn.IFNA(VLOOKUP($BK864,Programma!$F$3:$S$1101,14,0),"")</f>
        <v/>
      </c>
      <c r="BY864" s="448" t="str">
        <f>_xlfn.IFNA(VLOOKUP($BK864,Programma!$F$3:$T$1101,15,0),"")</f>
        <v/>
      </c>
      <c r="BZ864" s="448" t="str">
        <f>_xlfn.IFNA(VLOOKUP($BK864,Programma!$F$3:$U$1101,16,0),"")</f>
        <v/>
      </c>
      <c r="CA864" s="448" t="str">
        <f>_xlfn.IFNA(VLOOKUP($BK864,Programma!$F$3:$V$1101,17,0),"")</f>
        <v/>
      </c>
      <c r="CB864" s="448" t="str">
        <f>_xlfn.IFNA(VLOOKUP($BK864,Programma!$F$3:$W$1101,18,0),"")</f>
        <v/>
      </c>
      <c r="CC864" s="448" t="str">
        <f>_xlfn.IFNA(VLOOKUP($BK864,Programma!$F$3:$X$1101,19,0),"")</f>
        <v/>
      </c>
      <c r="CD864" s="448" t="str">
        <f>_xlfn.IFNA(VLOOKUP($BK864,Programma!$F$3:$Y$1101,20,0),"")</f>
        <v/>
      </c>
    </row>
    <row r="865" spans="1:82" ht="15" customHeight="1">
      <c r="A865" s="327">
        <v>24</v>
      </c>
      <c r="B865" s="435" t="str">
        <f>VLOOKUP(Ruimtestaat[[#This Row],[Code]],Locaties[[Code]:[Locatie]],2,FALSE)</f>
        <v>IKC De Gaerde</v>
      </c>
      <c r="C865" s="435" t="str">
        <f>VLOOKUP(Ruimtestaat[[#This Row],[Code]],Locaties[[#All],[Code]:[Adres]],4,FALSE)</f>
        <v>Moerbeigaarde 58A</v>
      </c>
      <c r="D865" s="435" t="str">
        <f>VLOOKUP(Ruimtestaat[[#This Row],[Code]],Locaties[[#All],[Code]:[Postcode]],5,FALSE)</f>
        <v>2723 AG</v>
      </c>
      <c r="E865" s="435" t="str">
        <f>VLOOKUP(Ruimtestaat[[#This Row],[Code]],Locaties[#All],6,FALSE)</f>
        <v>Zoetermeer</v>
      </c>
      <c r="F865" s="450"/>
      <c r="G865" s="330" t="s">
        <v>1769</v>
      </c>
      <c r="H865" s="330" t="s">
        <v>2054</v>
      </c>
      <c r="I865" s="450" t="s">
        <v>1842</v>
      </c>
      <c r="J865" s="330">
        <v>16</v>
      </c>
      <c r="K865" s="450" t="str">
        <f>VLOOKUP(Ruimtestaat[[#This Row],[Ruimte code]],Ruimtegroepen[[#All],[Code]:[Ruimte omschrijving]],2,FALSE)</f>
        <v>Leslokalen</v>
      </c>
      <c r="L865" s="330" t="s">
        <v>100</v>
      </c>
      <c r="M865" s="437" t="s">
        <v>2058</v>
      </c>
      <c r="N865" s="439">
        <v>49.5</v>
      </c>
      <c r="O865" s="439"/>
      <c r="P865" s="439"/>
      <c r="Q865" s="439"/>
      <c r="R865" s="440" t="str">
        <f>VLOOKUP(Ruimtestaat[[#This Row],[Ruimte code]],Ruimtegroepen[],4,FALSE)</f>
        <v>Le</v>
      </c>
      <c r="S865" s="434">
        <v>40</v>
      </c>
      <c r="T865" s="434" t="s">
        <v>2</v>
      </c>
      <c r="U865" s="453">
        <f>IF(S865&gt;0,IF(RIGHT(Ruimtestaat[[#This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5" s="434">
        <f>IF(U865&gt;0,VLOOKUP($J865,Ruimtegroepen[],3,FALSE)*VLOOKUP($L865,Vloersoorten[],3,FALSE)*VLOOKUP($T865,Frequenties[],3,FALSE)*VLOOKUP($A865,Locaties[],3,FALSE),0)</f>
        <v>0</v>
      </c>
      <c r="W865" s="434">
        <f>Ruimtestaat[[#This Row],[Uitvoeringen werkdagen]]*Ruimtestaat[[#This Row],[Oppervlak (netto)]]</f>
        <v>9900</v>
      </c>
      <c r="X865" s="441">
        <f>IF(V865&gt;0,Ruimtestaat[[#This Row],[Prest. (m2 /jaar) werkdagen]]/Ruimtestaat[[#This Row],[Norm (m2/uur) werkdagen]],0)</f>
        <v>0</v>
      </c>
      <c r="Y865" s="442">
        <f>Ruimtestaat[[#This Row],[Uitvoeringen werkdagen]]*Ruimtestaat[[#This Row],[Gedeeltelijk]]</f>
        <v>0</v>
      </c>
      <c r="Z865" s="443" t="e">
        <f>IF(U865&gt;0,Ruimtestaat[[#This Row],[Prest. (m2 / jaar) werkdagen gedeeld]]/Ruimtestaat[[#This Row],[Norm (m2/uur) werkdagen]],0)</f>
        <v>#DIV/0!</v>
      </c>
      <c r="AA865" s="441" t="e">
        <f>Ruimtestaat[[#This Row],[uren / jaar werkdagen gedeeld]]*Tariefsopbouw!$E$35</f>
        <v>#DIV/0!</v>
      </c>
      <c r="AB865" s="441">
        <f>Ruimtestaat[[#This Row],[Uitvoeringen werkdagen]]*Ruimtestaat[[#This Row],[BSO]]</f>
        <v>0</v>
      </c>
      <c r="AC865" s="443" t="e">
        <f>IF(U865&gt;0,Ruimtestaat[[#This Row],[Prest. (m2 / jaar) werkdagen BSO]]/Ruimtestaat[[#This Row],[Norm (m2/uur) werkdagen]],0)</f>
        <v>#DIV/0!</v>
      </c>
      <c r="AD865" s="443" t="e">
        <f>Ruimtestaat[[#This Row],[uren / jaar werkdagen BSO]]*Tariefsopbouw!$E$35</f>
        <v>#DIV/0!</v>
      </c>
      <c r="AE865" s="444">
        <f>Ruimtestaat[[#This Row],[uren / jaar werkdagen]]*Tariefsopbouw!$E$35</f>
        <v>0</v>
      </c>
      <c r="AF865" s="454"/>
      <c r="AG865" s="455">
        <f>IF(Ruimtestaat[[#This Row],[Frequentie weekend]]&gt;0,VALUE(LEFT(AF865,1))*S865,0)</f>
        <v>0</v>
      </c>
      <c r="AH865" s="455">
        <f>IF($AG865&gt;0,VLOOKUP($J865,Ruimtegroepen[],3,FALSE)*VLOOKUP($L865,Vloersoorten[],3,FALSE)*VLOOKUP($AF865,Frequenties[],3,FALSE)*VLOOKUP(#REF!,Locaties[],3,FALSE),0)</f>
        <v>0</v>
      </c>
      <c r="AI865" s="434">
        <f>Ruimtestaat[[#This Row],[Uitvoeringen weekend]]*Ruimtestaat[[#This Row],[Oppervlak (netto)]]</f>
        <v>0</v>
      </c>
      <c r="AJ865" s="434">
        <f>IF(AH865&gt;0,Ruimtestaat[[#This Row],[Prest. (m2 /jaar) weekend]]/Ruimtestaat[[#This Row],[Norm (m2/uur) weekend]],0)</f>
        <v>0</v>
      </c>
      <c r="AK865" s="444">
        <f>Ruimtestaat[[#This Row],[uren / jaar weekend]]*Tariefsopbouw!$D$40</f>
        <v>0</v>
      </c>
      <c r="AL865" s="441">
        <f>Ruimtestaat[[#This Row],[Prest. (m2 /jaar) weekend]]+Ruimtestaat[[#This Row],[Prest. (m2 /jaar) werkdagen]]</f>
        <v>9900</v>
      </c>
      <c r="AM865" s="441">
        <f>Ruimtestaat[[#This Row],[uren / jaar weekend]]+Ruimtestaat[[#This Row],[uren / jaar werkdagen]]</f>
        <v>0</v>
      </c>
      <c r="AN865" s="446">
        <f>Ruimtestaat[[#This Row],[kosten / jaar weekend]]+Ruimtestaat[[#This Row],[kosten / jaar werkdagen]]</f>
        <v>0</v>
      </c>
      <c r="AO865" s="446"/>
      <c r="AP865" s="446" t="str">
        <f>IF(Ruimtestaat[[#This Row],[Frequentie werkdagen]]="","",_xlfn.CONCAT(Ruimtestaat[[#This Row],[Ruimte code]],"-",Ruimtestaat[[#This Row],[Frequentie werkdagen]]," ",Ruimtestaat[[#This Row],[Vloer code]]))</f>
        <v>16-5w L</v>
      </c>
      <c r="AQ865" s="448" t="str">
        <f>_xlfn.IFNA(VLOOKUP($AP865,Programma!$F$3:$G$1101,2,0),"")</f>
        <v>_</v>
      </c>
      <c r="AR865" s="448" t="str">
        <f>_xlfn.IFNA(VLOOKUP($AP865,Programma!$F$3:$H$1101,3,0),"")</f>
        <v>_</v>
      </c>
      <c r="AS865" s="448" t="str">
        <f>_xlfn.IFNA(VLOOKUP($AP865,Programma!$F$3:$I$1101,4,0),"")</f>
        <v>4w</v>
      </c>
      <c r="AT865" s="448" t="str">
        <f>_xlfn.IFNA(VLOOKUP($AP865,Programma!$F$3:$J$1101,5,0),"")</f>
        <v>1w</v>
      </c>
      <c r="AU865" s="448" t="str">
        <f>_xlfn.IFNA(VLOOKUP($AP865,Programma!$F$3:$K$1101,6,0),"")</f>
        <v>_</v>
      </c>
      <c r="AV865" s="448" t="str">
        <f>_xlfn.IFNA(VLOOKUP($AP865,Programma!$F$3:$L$1101,7,0),"")</f>
        <v>_</v>
      </c>
      <c r="AW865" s="448" t="str">
        <f>_xlfn.IFNA(VLOOKUP($AP865,Programma!$F$3:$M$1101,8,0),"")</f>
        <v>_</v>
      </c>
      <c r="AX865" s="448" t="str">
        <f>_xlfn.IFNA(VLOOKUP($AP865,Programma!$F$3:$N$1101,9,0),"")</f>
        <v>_</v>
      </c>
      <c r="AY865" s="448" t="str">
        <f>_xlfn.IFNA(VLOOKUP($AP865,Programma!$F$3:$O$1101,10,0),"")</f>
        <v>5w</v>
      </c>
      <c r="AZ865" s="448" t="str">
        <f>_xlfn.IFNA(VLOOKUP($AP865,Programma!$F$3:$P$1101,11,0),"")</f>
        <v>5w</v>
      </c>
      <c r="BA865" s="448" t="str">
        <f>_xlfn.IFNA(VLOOKUP($AP865,Programma!$F$3:$Q$1101,12,0),"")</f>
        <v>1w</v>
      </c>
      <c r="BB865" s="448" t="str">
        <f>_xlfn.IFNA(VLOOKUP($AP865,Programma!$F$3:$R$1101,13,0),"")</f>
        <v>1w</v>
      </c>
      <c r="BC865" s="448" t="str">
        <f>_xlfn.IFNA(VLOOKUP($AP865,Programma!$F$3:$S$1101,14,0),"")</f>
        <v>1m</v>
      </c>
      <c r="BD865" s="448" t="str">
        <f>_xlfn.IFNA(VLOOKUP($AP865,Programma!$F$3:$T$1101,15,0),"")</f>
        <v>2j</v>
      </c>
      <c r="BE865" s="448" t="str">
        <f>_xlfn.IFNA(VLOOKUP($AP865,Programma!$F$3:$U$1101,16,0),"")</f>
        <v>1j</v>
      </c>
      <c r="BF865" s="448" t="str">
        <f>_xlfn.IFNA(VLOOKUP($AP865,Programma!$F$3:$V$1101,17,0),"")</f>
        <v>_</v>
      </c>
      <c r="BG865" s="448" t="str">
        <f>_xlfn.IFNA(VLOOKUP($AP865,Programma!$F$3:$W$1101,18,0),"")</f>
        <v>_</v>
      </c>
      <c r="BH865" s="448" t="str">
        <f>_xlfn.IFNA(VLOOKUP($AP865,Programma!$F$3:$X$1101,19,0),"")</f>
        <v>_</v>
      </c>
      <c r="BI865" s="448" t="str">
        <f>_xlfn.IFNA(VLOOKUP($AP865,Programma!$F$3:$Y$1101,20,0),"")</f>
        <v>_</v>
      </c>
      <c r="BJ865" s="449"/>
      <c r="BK865" s="446" t="str">
        <f>IF(Ruimtestaat[[#This Row],[Frequentie weekend]]="","",_xlfn.CONCAT(Ruimtestaat[[#This Row],[Ruimte code]],"-",Ruimtestaat[[#This Row],[Frequentie weekend]]," ",Ruimtestaat[[#This Row],[Vloer code]]))</f>
        <v/>
      </c>
      <c r="BL865" s="448" t="str">
        <f>_xlfn.IFNA(VLOOKUP($BK865,Programma!$F$3:$G$1101,2,0),"")</f>
        <v/>
      </c>
      <c r="BM865" s="448" t="str">
        <f>_xlfn.IFNA(VLOOKUP($BK865,Programma!$F$3:$H$1101,3,0),"")</f>
        <v/>
      </c>
      <c r="BN865" s="448" t="str">
        <f>_xlfn.IFNA(VLOOKUP($BK865,Programma!$F$3:$I$1101,4,0),"")</f>
        <v/>
      </c>
      <c r="BO865" s="448" t="str">
        <f>_xlfn.IFNA(VLOOKUP($BK865,Programma!$F$3:$J$1101,5,0),"")</f>
        <v/>
      </c>
      <c r="BP865" s="448" t="str">
        <f>_xlfn.IFNA(VLOOKUP($BK865,Programma!$F$3:$K$1101,6,0),"")</f>
        <v/>
      </c>
      <c r="BQ865" s="448" t="str">
        <f>_xlfn.IFNA(VLOOKUP($BK865,Programma!$F$3:$L$1101,7,0),"")</f>
        <v/>
      </c>
      <c r="BR865" s="448" t="str">
        <f>_xlfn.IFNA(VLOOKUP($BK865,Programma!$F$3:$M$1101,8,0),"")</f>
        <v/>
      </c>
      <c r="BS865" s="448" t="str">
        <f>_xlfn.IFNA(VLOOKUP($BK865,Programma!$F$3:$N$1101,9,0),"")</f>
        <v/>
      </c>
      <c r="BT865" s="448" t="str">
        <f>_xlfn.IFNA(VLOOKUP($BK865,Programma!$F$3:$O$1101,10,0),"")</f>
        <v/>
      </c>
      <c r="BU865" s="448" t="str">
        <f>_xlfn.IFNA(VLOOKUP($BK865,Programma!$F$3:$P$1101,11,0),"")</f>
        <v/>
      </c>
      <c r="BV865" s="448" t="str">
        <f>_xlfn.IFNA(VLOOKUP($BK865,Programma!$F$3:$Q$1101,12,0),"")</f>
        <v/>
      </c>
      <c r="BW865" s="448" t="str">
        <f>_xlfn.IFNA(VLOOKUP($BK865,Programma!$F$3:$R$1101,13,0),"")</f>
        <v/>
      </c>
      <c r="BX865" s="448" t="str">
        <f>_xlfn.IFNA(VLOOKUP($BK865,Programma!$F$3:$S$1101,14,0),"")</f>
        <v/>
      </c>
      <c r="BY865" s="448" t="str">
        <f>_xlfn.IFNA(VLOOKUP($BK865,Programma!$F$3:$T$1101,15,0),"")</f>
        <v/>
      </c>
      <c r="BZ865" s="448" t="str">
        <f>_xlfn.IFNA(VLOOKUP($BK865,Programma!$F$3:$U$1101,16,0),"")</f>
        <v/>
      </c>
      <c r="CA865" s="448" t="str">
        <f>_xlfn.IFNA(VLOOKUP($BK865,Programma!$F$3:$V$1101,17,0),"")</f>
        <v/>
      </c>
      <c r="CB865" s="448" t="str">
        <f>_xlfn.IFNA(VLOOKUP($BK865,Programma!$F$3:$W$1101,18,0),"")</f>
        <v/>
      </c>
      <c r="CC865" s="448" t="str">
        <f>_xlfn.IFNA(VLOOKUP($BK865,Programma!$F$3:$X$1101,19,0),"")</f>
        <v/>
      </c>
      <c r="CD865" s="448" t="str">
        <f>_xlfn.IFNA(VLOOKUP($BK865,Programma!$F$3:$Y$1101,20,0),"")</f>
        <v/>
      </c>
    </row>
    <row r="866" spans="1:82" ht="15" customHeight="1">
      <c r="A866" s="327">
        <v>24</v>
      </c>
      <c r="B866" s="435" t="str">
        <f>VLOOKUP(Ruimtestaat[[#This Row],[Code]],Locaties[[Code]:[Locatie]],2,FALSE)</f>
        <v>IKC De Gaerde</v>
      </c>
      <c r="C866" s="435" t="str">
        <f>VLOOKUP(Ruimtestaat[[#This Row],[Code]],Locaties[[#All],[Code]:[Adres]],4,FALSE)</f>
        <v>Moerbeigaarde 58A</v>
      </c>
      <c r="D866" s="435" t="str">
        <f>VLOOKUP(Ruimtestaat[[#This Row],[Code]],Locaties[[#All],[Code]:[Postcode]],5,FALSE)</f>
        <v>2723 AG</v>
      </c>
      <c r="E866" s="435" t="str">
        <f>VLOOKUP(Ruimtestaat[[#This Row],[Code]],Locaties[#All],6,FALSE)</f>
        <v>Zoetermeer</v>
      </c>
      <c r="F866" s="450" t="s">
        <v>1705</v>
      </c>
      <c r="G866" s="330" t="s">
        <v>1769</v>
      </c>
      <c r="H866" s="330" t="s">
        <v>1737</v>
      </c>
      <c r="I866" s="450" t="s">
        <v>2025</v>
      </c>
      <c r="J866" s="330">
        <v>9</v>
      </c>
      <c r="K866" s="450" t="str">
        <f>VLOOKUP(Ruimtestaat[[#This Row],[Ruimte code]],Ruimtegroepen[[#All],[Code]:[Ruimte omschrijving]],2,FALSE)</f>
        <v>Bibliotheek/OLC</v>
      </c>
      <c r="L866" s="330" t="s">
        <v>100</v>
      </c>
      <c r="M866" s="437" t="s">
        <v>2058</v>
      </c>
      <c r="N866" s="439"/>
      <c r="O866" s="439"/>
      <c r="P866" s="439"/>
      <c r="Q866" s="439">
        <v>15.2</v>
      </c>
      <c r="R866" s="440" t="str">
        <f>VLOOKUP(Ruimtestaat[[#This Row],[Ruimte code]],Ruimtegroepen[],4,FALSE)</f>
        <v>Le</v>
      </c>
      <c r="S866" s="434">
        <v>51</v>
      </c>
      <c r="T866" s="434" t="s">
        <v>2</v>
      </c>
      <c r="U866" s="453">
        <f>IF(S866&gt;0,IF(RIGHT(Ruimtestaat[[#This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866" s="434">
        <f>IF(U866&gt;0,VLOOKUP($J866,Ruimtegroepen[],3,FALSE)*VLOOKUP($L866,Vloersoorten[],3,FALSE)*VLOOKUP($T866,Frequenties[],3,FALSE)*VLOOKUP($A866,Locaties[],3,FALSE),0)</f>
        <v>0</v>
      </c>
      <c r="W866" s="434">
        <f>Ruimtestaat[[#This Row],[Uitvoeringen werkdagen]]*Ruimtestaat[[#This Row],[Oppervlak (netto)]]</f>
        <v>0</v>
      </c>
      <c r="X866" s="441">
        <f>IF(V866&gt;0,Ruimtestaat[[#This Row],[Prest. (m2 /jaar) werkdagen]]/Ruimtestaat[[#This Row],[Norm (m2/uur) werkdagen]],0)</f>
        <v>0</v>
      </c>
      <c r="Y866" s="442">
        <f>Ruimtestaat[[#This Row],[Uitvoeringen werkdagen]]*Ruimtestaat[[#This Row],[Gedeeltelijk]]</f>
        <v>0</v>
      </c>
      <c r="Z866" s="443" t="e">
        <f>IF(U866&gt;0,Ruimtestaat[[#This Row],[Prest. (m2 / jaar) werkdagen gedeeld]]/Ruimtestaat[[#This Row],[Norm (m2/uur) werkdagen]],0)</f>
        <v>#DIV/0!</v>
      </c>
      <c r="AA866" s="441" t="e">
        <f>Ruimtestaat[[#This Row],[uren / jaar werkdagen gedeeld]]*Tariefsopbouw!$E$35</f>
        <v>#DIV/0!</v>
      </c>
      <c r="AB866" s="441">
        <f>Ruimtestaat[[#This Row],[Uitvoeringen werkdagen]]*Ruimtestaat[[#This Row],[BSO]]</f>
        <v>3876</v>
      </c>
      <c r="AC866" s="443" t="e">
        <f>IF(U866&gt;0,Ruimtestaat[[#This Row],[Prest. (m2 / jaar) werkdagen BSO]]/Ruimtestaat[[#This Row],[Norm (m2/uur) werkdagen]],0)</f>
        <v>#DIV/0!</v>
      </c>
      <c r="AD866" s="443" t="e">
        <f>Ruimtestaat[[#This Row],[uren / jaar werkdagen BSO]]*Tariefsopbouw!$E$35</f>
        <v>#DIV/0!</v>
      </c>
      <c r="AE866" s="444">
        <f>Ruimtestaat[[#This Row],[uren / jaar werkdagen]]*Tariefsopbouw!$E$35</f>
        <v>0</v>
      </c>
      <c r="AF866" s="454"/>
      <c r="AG866" s="455">
        <f>IF(Ruimtestaat[[#This Row],[Frequentie weekend]]&gt;0,VALUE(LEFT(AF866,1))*S866,0)</f>
        <v>0</v>
      </c>
      <c r="AH866" s="455">
        <f>IF($AG866&gt;0,VLOOKUP($J866,Ruimtegroepen[],3,FALSE)*VLOOKUP($L866,Vloersoorten[],3,FALSE)*VLOOKUP($AF866,Frequenties[],3,FALSE)*VLOOKUP(#REF!,Locaties[],3,FALSE),0)</f>
        <v>0</v>
      </c>
      <c r="AI866" s="434">
        <f>Ruimtestaat[[#This Row],[Uitvoeringen weekend]]*Ruimtestaat[[#This Row],[Oppervlak (netto)]]</f>
        <v>0</v>
      </c>
      <c r="AJ866" s="434">
        <f>IF(AH866&gt;0,Ruimtestaat[[#This Row],[Prest. (m2 /jaar) weekend]]/Ruimtestaat[[#This Row],[Norm (m2/uur) weekend]],0)</f>
        <v>0</v>
      </c>
      <c r="AK866" s="444">
        <f>Ruimtestaat[[#This Row],[uren / jaar weekend]]*Tariefsopbouw!$D$40</f>
        <v>0</v>
      </c>
      <c r="AL866" s="441">
        <f>Ruimtestaat[[#This Row],[Prest. (m2 /jaar) weekend]]+Ruimtestaat[[#This Row],[Prest. (m2 /jaar) werkdagen]]</f>
        <v>0</v>
      </c>
      <c r="AM866" s="441">
        <f>Ruimtestaat[[#This Row],[uren / jaar weekend]]+Ruimtestaat[[#This Row],[uren / jaar werkdagen]]</f>
        <v>0</v>
      </c>
      <c r="AN866" s="446">
        <f>Ruimtestaat[[#This Row],[kosten / jaar weekend]]+Ruimtestaat[[#This Row],[kosten / jaar werkdagen]]</f>
        <v>0</v>
      </c>
      <c r="AO866" s="446"/>
      <c r="AP866" s="446" t="str">
        <f>IF(Ruimtestaat[[#This Row],[Frequentie werkdagen]]="","",_xlfn.CONCAT(Ruimtestaat[[#This Row],[Ruimte code]],"-",Ruimtestaat[[#This Row],[Frequentie werkdagen]]," ",Ruimtestaat[[#This Row],[Vloer code]]))</f>
        <v>9-5w L</v>
      </c>
      <c r="AQ866" s="448" t="str">
        <f>_xlfn.IFNA(VLOOKUP($AP866,Programma!$F$3:$G$1101,2,0),"")</f>
        <v>_</v>
      </c>
      <c r="AR866" s="448" t="str">
        <f>_xlfn.IFNA(VLOOKUP($AP866,Programma!$F$3:$H$1101,3,0),"")</f>
        <v>_</v>
      </c>
      <c r="AS866" s="448" t="str">
        <f>_xlfn.IFNA(VLOOKUP($AP866,Programma!$F$3:$I$1101,4,0),"")</f>
        <v>4w</v>
      </c>
      <c r="AT866" s="448" t="str">
        <f>_xlfn.IFNA(VLOOKUP($AP866,Programma!$F$3:$J$1101,5,0),"")</f>
        <v>1w</v>
      </c>
      <c r="AU866" s="448" t="str">
        <f>_xlfn.IFNA(VLOOKUP($AP866,Programma!$F$3:$K$1101,6,0),"")</f>
        <v>_</v>
      </c>
      <c r="AV866" s="448" t="str">
        <f>_xlfn.IFNA(VLOOKUP($AP866,Programma!$F$3:$L$1101,7,0),"")</f>
        <v>_</v>
      </c>
      <c r="AW866" s="448" t="str">
        <f>_xlfn.IFNA(VLOOKUP($AP866,Programma!$F$3:$M$1101,8,0),"")</f>
        <v>_</v>
      </c>
      <c r="AX866" s="448" t="str">
        <f>_xlfn.IFNA(VLOOKUP($AP866,Programma!$F$3:$N$1101,9,0),"")</f>
        <v>_</v>
      </c>
      <c r="AY866" s="448" t="str">
        <f>_xlfn.IFNA(VLOOKUP($AP866,Programma!$F$3:$O$1101,10,0),"")</f>
        <v>5w</v>
      </c>
      <c r="AZ866" s="448" t="str">
        <f>_xlfn.IFNA(VLOOKUP($AP866,Programma!$F$3:$P$1101,11,0),"")</f>
        <v>5w</v>
      </c>
      <c r="BA866" s="448" t="str">
        <f>_xlfn.IFNA(VLOOKUP($AP866,Programma!$F$3:$Q$1101,12,0),"")</f>
        <v>1w</v>
      </c>
      <c r="BB866" s="448" t="str">
        <f>_xlfn.IFNA(VLOOKUP($AP866,Programma!$F$3:$R$1101,13,0),"")</f>
        <v>1w</v>
      </c>
      <c r="BC866" s="448" t="str">
        <f>_xlfn.IFNA(VLOOKUP($AP866,Programma!$F$3:$S$1101,14,0),"")</f>
        <v>1m</v>
      </c>
      <c r="BD866" s="448" t="str">
        <f>_xlfn.IFNA(VLOOKUP($AP866,Programma!$F$3:$T$1101,15,0),"")</f>
        <v>2j</v>
      </c>
      <c r="BE866" s="448" t="str">
        <f>_xlfn.IFNA(VLOOKUP($AP866,Programma!$F$3:$U$1101,16,0),"")</f>
        <v>1j</v>
      </c>
      <c r="BF866" s="448" t="str">
        <f>_xlfn.IFNA(VLOOKUP($AP866,Programma!$F$3:$V$1101,17,0),"")</f>
        <v>_</v>
      </c>
      <c r="BG866" s="448" t="str">
        <f>_xlfn.IFNA(VLOOKUP($AP866,Programma!$F$3:$W$1101,18,0),"")</f>
        <v>_</v>
      </c>
      <c r="BH866" s="448" t="str">
        <f>_xlfn.IFNA(VLOOKUP($AP866,Programma!$F$3:$X$1101,19,0),"")</f>
        <v>_</v>
      </c>
      <c r="BI866" s="448" t="str">
        <f>_xlfn.IFNA(VLOOKUP($AP866,Programma!$F$3:$Y$1101,20,0),"")</f>
        <v>_</v>
      </c>
      <c r="BJ866" s="449"/>
      <c r="BK866" s="446" t="str">
        <f>IF(Ruimtestaat[[#This Row],[Frequentie weekend]]="","",_xlfn.CONCAT(Ruimtestaat[[#This Row],[Ruimte code]],"-",Ruimtestaat[[#This Row],[Frequentie weekend]]," ",Ruimtestaat[[#This Row],[Vloer code]]))</f>
        <v/>
      </c>
      <c r="BL866" s="448" t="str">
        <f>_xlfn.IFNA(VLOOKUP($BK866,Programma!$F$3:$G$1101,2,0),"")</f>
        <v/>
      </c>
      <c r="BM866" s="448" t="str">
        <f>_xlfn.IFNA(VLOOKUP($BK866,Programma!$F$3:$H$1101,3,0),"")</f>
        <v/>
      </c>
      <c r="BN866" s="448" t="str">
        <f>_xlfn.IFNA(VLOOKUP($BK866,Programma!$F$3:$I$1101,4,0),"")</f>
        <v/>
      </c>
      <c r="BO866" s="448" t="str">
        <f>_xlfn.IFNA(VLOOKUP($BK866,Programma!$F$3:$J$1101,5,0),"")</f>
        <v/>
      </c>
      <c r="BP866" s="448" t="str">
        <f>_xlfn.IFNA(VLOOKUP($BK866,Programma!$F$3:$K$1101,6,0),"")</f>
        <v/>
      </c>
      <c r="BQ866" s="448" t="str">
        <f>_xlfn.IFNA(VLOOKUP($BK866,Programma!$F$3:$L$1101,7,0),"")</f>
        <v/>
      </c>
      <c r="BR866" s="448" t="str">
        <f>_xlfn.IFNA(VLOOKUP($BK866,Programma!$F$3:$M$1101,8,0),"")</f>
        <v/>
      </c>
      <c r="BS866" s="448" t="str">
        <f>_xlfn.IFNA(VLOOKUP($BK866,Programma!$F$3:$N$1101,9,0),"")</f>
        <v/>
      </c>
      <c r="BT866" s="448" t="str">
        <f>_xlfn.IFNA(VLOOKUP($BK866,Programma!$F$3:$O$1101,10,0),"")</f>
        <v/>
      </c>
      <c r="BU866" s="448" t="str">
        <f>_xlfn.IFNA(VLOOKUP($BK866,Programma!$F$3:$P$1101,11,0),"")</f>
        <v/>
      </c>
      <c r="BV866" s="448" t="str">
        <f>_xlfn.IFNA(VLOOKUP($BK866,Programma!$F$3:$Q$1101,12,0),"")</f>
        <v/>
      </c>
      <c r="BW866" s="448" t="str">
        <f>_xlfn.IFNA(VLOOKUP($BK866,Programma!$F$3:$R$1101,13,0),"")</f>
        <v/>
      </c>
      <c r="BX866" s="448" t="str">
        <f>_xlfn.IFNA(VLOOKUP($BK866,Programma!$F$3:$S$1101,14,0),"")</f>
        <v/>
      </c>
      <c r="BY866" s="448" t="str">
        <f>_xlfn.IFNA(VLOOKUP($BK866,Programma!$F$3:$T$1101,15,0),"")</f>
        <v/>
      </c>
      <c r="BZ866" s="448" t="str">
        <f>_xlfn.IFNA(VLOOKUP($BK866,Programma!$F$3:$U$1101,16,0),"")</f>
        <v/>
      </c>
      <c r="CA866" s="448" t="str">
        <f>_xlfn.IFNA(VLOOKUP($BK866,Programma!$F$3:$V$1101,17,0),"")</f>
        <v/>
      </c>
      <c r="CB866" s="448" t="str">
        <f>_xlfn.IFNA(VLOOKUP($BK866,Programma!$F$3:$W$1101,18,0),"")</f>
        <v/>
      </c>
      <c r="CC866" s="448" t="str">
        <f>_xlfn.IFNA(VLOOKUP($BK866,Programma!$F$3:$X$1101,19,0),"")</f>
        <v/>
      </c>
      <c r="CD866" s="448" t="str">
        <f>_xlfn.IFNA(VLOOKUP($BK866,Programma!$F$3:$Y$1101,20,0),"")</f>
        <v/>
      </c>
    </row>
    <row r="867" spans="1:82" ht="15" customHeight="1">
      <c r="A867" s="327">
        <v>24</v>
      </c>
      <c r="B867" s="435" t="str">
        <f>VLOOKUP(Ruimtestaat[[#This Row],[Code]],Locaties[[Code]:[Locatie]],2,FALSE)</f>
        <v>IKC De Gaerde</v>
      </c>
      <c r="C867" s="435" t="str">
        <f>VLOOKUP(Ruimtestaat[[#This Row],[Code]],Locaties[[#All],[Code]:[Adres]],4,FALSE)</f>
        <v>Moerbeigaarde 58A</v>
      </c>
      <c r="D867" s="435" t="str">
        <f>VLOOKUP(Ruimtestaat[[#This Row],[Code]],Locaties[[#All],[Code]:[Postcode]],5,FALSE)</f>
        <v>2723 AG</v>
      </c>
      <c r="E867" s="435" t="str">
        <f>VLOOKUP(Ruimtestaat[[#This Row],[Code]],Locaties[#All],6,FALSE)</f>
        <v>Zoetermeer</v>
      </c>
      <c r="F867" s="450"/>
      <c r="G867" s="330" t="s">
        <v>1769</v>
      </c>
      <c r="H867" s="330" t="s">
        <v>2055</v>
      </c>
      <c r="I867" s="450" t="s">
        <v>1901</v>
      </c>
      <c r="J867" s="330">
        <v>11</v>
      </c>
      <c r="K867" s="450" t="str">
        <f>VLOOKUP(Ruimtestaat[[#This Row],[Ruimte code]],Ruimtegroepen[[#All],[Code]:[Ruimte omschrijving]],2,FALSE)</f>
        <v>Garderobes</v>
      </c>
      <c r="L867" s="330" t="s">
        <v>100</v>
      </c>
      <c r="M867" s="437" t="s">
        <v>2058</v>
      </c>
      <c r="N867" s="439">
        <v>1.4</v>
      </c>
      <c r="O867" s="439"/>
      <c r="P867" s="439"/>
      <c r="Q867" s="439"/>
      <c r="R867" s="440" t="str">
        <f>VLOOKUP(Ruimtestaat[[#This Row],[Ruimte code]],Ruimtegroepen[],4,FALSE)</f>
        <v>Ve</v>
      </c>
      <c r="S867" s="434">
        <v>40</v>
      </c>
      <c r="T867" s="434" t="s">
        <v>2</v>
      </c>
      <c r="U867" s="453">
        <f>IF(S867&gt;0,IF(RIGHT(Ruimtestaat[[#This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7" s="434">
        <f>IF(U867&gt;0,VLOOKUP($J867,Ruimtegroepen[],3,FALSE)*VLOOKUP($L867,Vloersoorten[],3,FALSE)*VLOOKUP($T867,Frequenties[],3,FALSE)*VLOOKUP($A867,Locaties[],3,FALSE),0)</f>
        <v>0</v>
      </c>
      <c r="W867" s="434">
        <f>Ruimtestaat[[#This Row],[Uitvoeringen werkdagen]]*Ruimtestaat[[#This Row],[Oppervlak (netto)]]</f>
        <v>280</v>
      </c>
      <c r="X867" s="441">
        <f>IF(V867&gt;0,Ruimtestaat[[#This Row],[Prest. (m2 /jaar) werkdagen]]/Ruimtestaat[[#This Row],[Norm (m2/uur) werkdagen]],0)</f>
        <v>0</v>
      </c>
      <c r="Y867" s="442">
        <f>Ruimtestaat[[#This Row],[Uitvoeringen werkdagen]]*Ruimtestaat[[#This Row],[Gedeeltelijk]]</f>
        <v>0</v>
      </c>
      <c r="Z867" s="443" t="e">
        <f>IF(U867&gt;0,Ruimtestaat[[#This Row],[Prest. (m2 / jaar) werkdagen gedeeld]]/Ruimtestaat[[#This Row],[Norm (m2/uur) werkdagen]],0)</f>
        <v>#DIV/0!</v>
      </c>
      <c r="AA867" s="441" t="e">
        <f>Ruimtestaat[[#This Row],[uren / jaar werkdagen gedeeld]]*Tariefsopbouw!$E$35</f>
        <v>#DIV/0!</v>
      </c>
      <c r="AB867" s="441">
        <f>Ruimtestaat[[#This Row],[Uitvoeringen werkdagen]]*Ruimtestaat[[#This Row],[BSO]]</f>
        <v>0</v>
      </c>
      <c r="AC867" s="443" t="e">
        <f>IF(U867&gt;0,Ruimtestaat[[#This Row],[Prest. (m2 / jaar) werkdagen BSO]]/Ruimtestaat[[#This Row],[Norm (m2/uur) werkdagen]],0)</f>
        <v>#DIV/0!</v>
      </c>
      <c r="AD867" s="443" t="e">
        <f>Ruimtestaat[[#This Row],[uren / jaar werkdagen BSO]]*Tariefsopbouw!$E$35</f>
        <v>#DIV/0!</v>
      </c>
      <c r="AE867" s="444">
        <f>Ruimtestaat[[#This Row],[uren / jaar werkdagen]]*Tariefsopbouw!$E$35</f>
        <v>0</v>
      </c>
      <c r="AF867" s="454"/>
      <c r="AG867" s="455">
        <f>IF(Ruimtestaat[[#This Row],[Frequentie weekend]]&gt;0,VALUE(LEFT(AF867,1))*S867,0)</f>
        <v>0</v>
      </c>
      <c r="AH867" s="455">
        <f>IF($AG867&gt;0,VLOOKUP($J867,Ruimtegroepen[],3,FALSE)*VLOOKUP($L867,Vloersoorten[],3,FALSE)*VLOOKUP($AF867,Frequenties[],3,FALSE)*VLOOKUP(#REF!,Locaties[],3,FALSE),0)</f>
        <v>0</v>
      </c>
      <c r="AI867" s="434">
        <f>Ruimtestaat[[#This Row],[Uitvoeringen weekend]]*Ruimtestaat[[#This Row],[Oppervlak (netto)]]</f>
        <v>0</v>
      </c>
      <c r="AJ867" s="434">
        <f>IF(AH867&gt;0,Ruimtestaat[[#This Row],[Prest. (m2 /jaar) weekend]]/Ruimtestaat[[#This Row],[Norm (m2/uur) weekend]],0)</f>
        <v>0</v>
      </c>
      <c r="AK867" s="444">
        <f>Ruimtestaat[[#This Row],[uren / jaar weekend]]*Tariefsopbouw!$D$40</f>
        <v>0</v>
      </c>
      <c r="AL867" s="441">
        <f>Ruimtestaat[[#This Row],[Prest. (m2 /jaar) weekend]]+Ruimtestaat[[#This Row],[Prest. (m2 /jaar) werkdagen]]</f>
        <v>280</v>
      </c>
      <c r="AM867" s="441">
        <f>Ruimtestaat[[#This Row],[uren / jaar weekend]]+Ruimtestaat[[#This Row],[uren / jaar werkdagen]]</f>
        <v>0</v>
      </c>
      <c r="AN867" s="446">
        <f>Ruimtestaat[[#This Row],[kosten / jaar weekend]]+Ruimtestaat[[#This Row],[kosten / jaar werkdagen]]</f>
        <v>0</v>
      </c>
      <c r="AO867" s="446"/>
      <c r="AP867" s="446" t="str">
        <f>IF(Ruimtestaat[[#This Row],[Frequentie werkdagen]]="","",_xlfn.CONCAT(Ruimtestaat[[#This Row],[Ruimte code]],"-",Ruimtestaat[[#This Row],[Frequentie werkdagen]]," ",Ruimtestaat[[#This Row],[Vloer code]]))</f>
        <v>11-5w L</v>
      </c>
      <c r="AQ867" s="448" t="str">
        <f>_xlfn.IFNA(VLOOKUP($AP867,Programma!$F$3:$G$1101,2,0),"")</f>
        <v>_</v>
      </c>
      <c r="AR867" s="448" t="str">
        <f>_xlfn.IFNA(VLOOKUP($AP867,Programma!$F$3:$H$1101,3,0),"")</f>
        <v>_</v>
      </c>
      <c r="AS867" s="448" t="str">
        <f>_xlfn.IFNA(VLOOKUP($AP867,Programma!$F$3:$I$1101,4,0),"")</f>
        <v>4w</v>
      </c>
      <c r="AT867" s="448" t="str">
        <f>_xlfn.IFNA(VLOOKUP($AP867,Programma!$F$3:$J$1101,5,0),"")</f>
        <v>1w</v>
      </c>
      <c r="AU867" s="448" t="str">
        <f>_xlfn.IFNA(VLOOKUP($AP867,Programma!$F$3:$K$1101,6,0),"")</f>
        <v>_</v>
      </c>
      <c r="AV867" s="448" t="str">
        <f>_xlfn.IFNA(VLOOKUP($AP867,Programma!$F$3:$L$1101,7,0),"")</f>
        <v>_</v>
      </c>
      <c r="AW867" s="448" t="str">
        <f>_xlfn.IFNA(VLOOKUP($AP867,Programma!$F$3:$M$1101,8,0),"")</f>
        <v>_</v>
      </c>
      <c r="AX867" s="448" t="str">
        <f>_xlfn.IFNA(VLOOKUP($AP867,Programma!$F$3:$N$1101,9,0),"")</f>
        <v>_</v>
      </c>
      <c r="AY867" s="448" t="str">
        <f>_xlfn.IFNA(VLOOKUP($AP867,Programma!$F$3:$O$1101,10,0),"")</f>
        <v>5w</v>
      </c>
      <c r="AZ867" s="448" t="str">
        <f>_xlfn.IFNA(VLOOKUP($AP867,Programma!$F$3:$P$1101,11,0),"")</f>
        <v>5w</v>
      </c>
      <c r="BA867" s="448" t="str">
        <f>_xlfn.IFNA(VLOOKUP($AP867,Programma!$F$3:$Q$1101,12,0),"")</f>
        <v>1w</v>
      </c>
      <c r="BB867" s="448" t="str">
        <f>_xlfn.IFNA(VLOOKUP($AP867,Programma!$F$3:$R$1101,13,0),"")</f>
        <v>1w</v>
      </c>
      <c r="BC867" s="448" t="str">
        <f>_xlfn.IFNA(VLOOKUP($AP867,Programma!$F$3:$S$1101,14,0),"")</f>
        <v>1m</v>
      </c>
      <c r="BD867" s="448" t="str">
        <f>_xlfn.IFNA(VLOOKUP($AP867,Programma!$F$3:$T$1101,15,0),"")</f>
        <v>2j</v>
      </c>
      <c r="BE867" s="448" t="str">
        <f>_xlfn.IFNA(VLOOKUP($AP867,Programma!$F$3:$U$1101,16,0),"")</f>
        <v>1j</v>
      </c>
      <c r="BF867" s="448" t="str">
        <f>_xlfn.IFNA(VLOOKUP($AP867,Programma!$F$3:$V$1101,17,0),"")</f>
        <v>_</v>
      </c>
      <c r="BG867" s="448" t="str">
        <f>_xlfn.IFNA(VLOOKUP($AP867,Programma!$F$3:$W$1101,18,0),"")</f>
        <v>_</v>
      </c>
      <c r="BH867" s="448" t="str">
        <f>_xlfn.IFNA(VLOOKUP($AP867,Programma!$F$3:$X$1101,19,0),"")</f>
        <v>_</v>
      </c>
      <c r="BI867" s="448" t="str">
        <f>_xlfn.IFNA(VLOOKUP($AP867,Programma!$F$3:$Y$1101,20,0),"")</f>
        <v>_</v>
      </c>
      <c r="BJ867" s="449"/>
      <c r="BK867" s="446" t="str">
        <f>IF(Ruimtestaat[[#This Row],[Frequentie weekend]]="","",_xlfn.CONCAT(Ruimtestaat[[#This Row],[Ruimte code]],"-",Ruimtestaat[[#This Row],[Frequentie weekend]]," ",Ruimtestaat[[#This Row],[Vloer code]]))</f>
        <v/>
      </c>
      <c r="BL867" s="448" t="str">
        <f>_xlfn.IFNA(VLOOKUP($BK867,Programma!$F$3:$G$1101,2,0),"")</f>
        <v/>
      </c>
      <c r="BM867" s="448" t="str">
        <f>_xlfn.IFNA(VLOOKUP($BK867,Programma!$F$3:$H$1101,3,0),"")</f>
        <v/>
      </c>
      <c r="BN867" s="448" t="str">
        <f>_xlfn.IFNA(VLOOKUP($BK867,Programma!$F$3:$I$1101,4,0),"")</f>
        <v/>
      </c>
      <c r="BO867" s="448" t="str">
        <f>_xlfn.IFNA(VLOOKUP($BK867,Programma!$F$3:$J$1101,5,0),"")</f>
        <v/>
      </c>
      <c r="BP867" s="448" t="str">
        <f>_xlfn.IFNA(VLOOKUP($BK867,Programma!$F$3:$K$1101,6,0),"")</f>
        <v/>
      </c>
      <c r="BQ867" s="448" t="str">
        <f>_xlfn.IFNA(VLOOKUP($BK867,Programma!$F$3:$L$1101,7,0),"")</f>
        <v/>
      </c>
      <c r="BR867" s="448" t="str">
        <f>_xlfn.IFNA(VLOOKUP($BK867,Programma!$F$3:$M$1101,8,0),"")</f>
        <v/>
      </c>
      <c r="BS867" s="448" t="str">
        <f>_xlfn.IFNA(VLOOKUP($BK867,Programma!$F$3:$N$1101,9,0),"")</f>
        <v/>
      </c>
      <c r="BT867" s="448" t="str">
        <f>_xlfn.IFNA(VLOOKUP($BK867,Programma!$F$3:$O$1101,10,0),"")</f>
        <v/>
      </c>
      <c r="BU867" s="448" t="str">
        <f>_xlfn.IFNA(VLOOKUP($BK867,Programma!$F$3:$P$1101,11,0),"")</f>
        <v/>
      </c>
      <c r="BV867" s="448" t="str">
        <f>_xlfn.IFNA(VLOOKUP($BK867,Programma!$F$3:$Q$1101,12,0),"")</f>
        <v/>
      </c>
      <c r="BW867" s="448" t="str">
        <f>_xlfn.IFNA(VLOOKUP($BK867,Programma!$F$3:$R$1101,13,0),"")</f>
        <v/>
      </c>
      <c r="BX867" s="448" t="str">
        <f>_xlfn.IFNA(VLOOKUP($BK867,Programma!$F$3:$S$1101,14,0),"")</f>
        <v/>
      </c>
      <c r="BY867" s="448" t="str">
        <f>_xlfn.IFNA(VLOOKUP($BK867,Programma!$F$3:$T$1101,15,0),"")</f>
        <v/>
      </c>
      <c r="BZ867" s="448" t="str">
        <f>_xlfn.IFNA(VLOOKUP($BK867,Programma!$F$3:$U$1101,16,0),"")</f>
        <v/>
      </c>
      <c r="CA867" s="448" t="str">
        <f>_xlfn.IFNA(VLOOKUP($BK867,Programma!$F$3:$V$1101,17,0),"")</f>
        <v/>
      </c>
      <c r="CB867" s="448" t="str">
        <f>_xlfn.IFNA(VLOOKUP($BK867,Programma!$F$3:$W$1101,18,0),"")</f>
        <v/>
      </c>
      <c r="CC867" s="448" t="str">
        <f>_xlfn.IFNA(VLOOKUP($BK867,Programma!$F$3:$X$1101,19,0),"")</f>
        <v/>
      </c>
      <c r="CD867" s="448" t="str">
        <f>_xlfn.IFNA(VLOOKUP($BK867,Programma!$F$3:$Y$1101,20,0),"")</f>
        <v/>
      </c>
    </row>
    <row r="868" spans="1:82" ht="15" customHeight="1">
      <c r="A868" s="327">
        <v>24</v>
      </c>
      <c r="B868" s="435" t="str">
        <f>VLOOKUP(Ruimtestaat[[#This Row],[Code]],Locaties[[Code]:[Locatie]],2,FALSE)</f>
        <v>IKC De Gaerde</v>
      </c>
      <c r="C868" s="435" t="str">
        <f>VLOOKUP(Ruimtestaat[[#This Row],[Code]],Locaties[[#All],[Code]:[Adres]],4,FALSE)</f>
        <v>Moerbeigaarde 58A</v>
      </c>
      <c r="D868" s="435" t="str">
        <f>VLOOKUP(Ruimtestaat[[#This Row],[Code]],Locaties[[#All],[Code]:[Postcode]],5,FALSE)</f>
        <v>2723 AG</v>
      </c>
      <c r="E868" s="435" t="str">
        <f>VLOOKUP(Ruimtestaat[[#This Row],[Code]],Locaties[#All],6,FALSE)</f>
        <v>Zoetermeer</v>
      </c>
      <c r="F868" s="450"/>
      <c r="G868" s="330" t="s">
        <v>1769</v>
      </c>
      <c r="H868" s="330" t="s">
        <v>2056</v>
      </c>
      <c r="I868" s="450" t="s">
        <v>1914</v>
      </c>
      <c r="J868" s="330">
        <v>1</v>
      </c>
      <c r="K868" s="450" t="str">
        <f>VLOOKUP(Ruimtestaat[[#This Row],[Ruimte code]],Ruimtegroepen[[#All],[Code]:[Ruimte omschrijving]],2,FALSE)</f>
        <v>Magazijnen/bergingen</v>
      </c>
      <c r="L868" s="330" t="s">
        <v>100</v>
      </c>
      <c r="M868" s="437" t="s">
        <v>2058</v>
      </c>
      <c r="N868" s="439">
        <v>5.2</v>
      </c>
      <c r="O868" s="439"/>
      <c r="P868" s="439"/>
      <c r="Q868" s="439"/>
      <c r="R868" s="440" t="str">
        <f>VLOOKUP(Ruimtestaat[[#This Row],[Ruimte code]],Ruimtegroepen[],4,FALSE)</f>
        <v>Ve</v>
      </c>
      <c r="S868" s="434">
        <v>40</v>
      </c>
      <c r="T868" s="434" t="s">
        <v>16</v>
      </c>
      <c r="U868" s="453">
        <f>IF(S868&gt;0,IF(RIGHT(Ruimtestaat[[#This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68" s="434">
        <f>IF(U868&gt;0,VLOOKUP($J868,Ruimtegroepen[],3,FALSE)*VLOOKUP($L868,Vloersoorten[],3,FALSE)*VLOOKUP($T868,Frequenties[],3,FALSE)*VLOOKUP($A868,Locaties[],3,FALSE),0)</f>
        <v>0</v>
      </c>
      <c r="W868" s="434">
        <f>Ruimtestaat[[#This Row],[Uitvoeringen werkdagen]]*Ruimtestaat[[#This Row],[Oppervlak (netto)]]</f>
        <v>62.400000000000006</v>
      </c>
      <c r="X868" s="441">
        <f>IF(V868&gt;0,Ruimtestaat[[#This Row],[Prest. (m2 /jaar) werkdagen]]/Ruimtestaat[[#This Row],[Norm (m2/uur) werkdagen]],0)</f>
        <v>0</v>
      </c>
      <c r="Y868" s="442">
        <f>Ruimtestaat[[#This Row],[Uitvoeringen werkdagen]]*Ruimtestaat[[#This Row],[Gedeeltelijk]]</f>
        <v>0</v>
      </c>
      <c r="Z868" s="443" t="e">
        <f>IF(U868&gt;0,Ruimtestaat[[#This Row],[Prest. (m2 / jaar) werkdagen gedeeld]]/Ruimtestaat[[#This Row],[Norm (m2/uur) werkdagen]],0)</f>
        <v>#DIV/0!</v>
      </c>
      <c r="AA868" s="441" t="e">
        <f>Ruimtestaat[[#This Row],[uren / jaar werkdagen gedeeld]]*Tariefsopbouw!$E$35</f>
        <v>#DIV/0!</v>
      </c>
      <c r="AB868" s="441">
        <f>Ruimtestaat[[#This Row],[Uitvoeringen werkdagen]]*Ruimtestaat[[#This Row],[BSO]]</f>
        <v>0</v>
      </c>
      <c r="AC868" s="443" t="e">
        <f>IF(U868&gt;0,Ruimtestaat[[#This Row],[Prest. (m2 / jaar) werkdagen BSO]]/Ruimtestaat[[#This Row],[Norm (m2/uur) werkdagen]],0)</f>
        <v>#DIV/0!</v>
      </c>
      <c r="AD868" s="443" t="e">
        <f>Ruimtestaat[[#This Row],[uren / jaar werkdagen BSO]]*Tariefsopbouw!$E$35</f>
        <v>#DIV/0!</v>
      </c>
      <c r="AE868" s="444">
        <f>Ruimtestaat[[#This Row],[uren / jaar werkdagen]]*Tariefsopbouw!$E$35</f>
        <v>0</v>
      </c>
      <c r="AF868" s="454"/>
      <c r="AG868" s="455">
        <f>IF(Ruimtestaat[[#This Row],[Frequentie weekend]]&gt;0,VALUE(LEFT(AF868,1))*S868,0)</f>
        <v>0</v>
      </c>
      <c r="AH868" s="455">
        <f>IF($AG868&gt;0,VLOOKUP($J868,Ruimtegroepen[],3,FALSE)*VLOOKUP($L868,Vloersoorten[],3,FALSE)*VLOOKUP($AF868,Frequenties[],3,FALSE)*VLOOKUP(#REF!,Locaties[],3,FALSE),0)</f>
        <v>0</v>
      </c>
      <c r="AI868" s="434">
        <f>Ruimtestaat[[#This Row],[Uitvoeringen weekend]]*Ruimtestaat[[#This Row],[Oppervlak (netto)]]</f>
        <v>0</v>
      </c>
      <c r="AJ868" s="434">
        <f>IF(AH868&gt;0,Ruimtestaat[[#This Row],[Prest. (m2 /jaar) weekend]]/Ruimtestaat[[#This Row],[Norm (m2/uur) weekend]],0)</f>
        <v>0</v>
      </c>
      <c r="AK868" s="444">
        <f>Ruimtestaat[[#This Row],[uren / jaar weekend]]*Tariefsopbouw!$D$40</f>
        <v>0</v>
      </c>
      <c r="AL868" s="441">
        <f>Ruimtestaat[[#This Row],[Prest. (m2 /jaar) weekend]]+Ruimtestaat[[#This Row],[Prest. (m2 /jaar) werkdagen]]</f>
        <v>62.400000000000006</v>
      </c>
      <c r="AM868" s="441">
        <f>Ruimtestaat[[#This Row],[uren / jaar weekend]]+Ruimtestaat[[#This Row],[uren / jaar werkdagen]]</f>
        <v>0</v>
      </c>
      <c r="AN868" s="446">
        <f>Ruimtestaat[[#This Row],[kosten / jaar weekend]]+Ruimtestaat[[#This Row],[kosten / jaar werkdagen]]</f>
        <v>0</v>
      </c>
      <c r="AO868" s="446"/>
      <c r="AP868" s="446" t="str">
        <f>IF(Ruimtestaat[[#This Row],[Frequentie werkdagen]]="","",_xlfn.CONCAT(Ruimtestaat[[#This Row],[Ruimte code]],"-",Ruimtestaat[[#This Row],[Frequentie werkdagen]]," ",Ruimtestaat[[#This Row],[Vloer code]]))</f>
        <v>1-1m L</v>
      </c>
      <c r="AQ868" s="448" t="str">
        <f>_xlfn.IFNA(VLOOKUP($AP868,Programma!$F$3:$G$1101,2,0),"")</f>
        <v>_</v>
      </c>
      <c r="AR868" s="448" t="str">
        <f>_xlfn.IFNA(VLOOKUP($AP868,Programma!$F$3:$H$1101,3,0),"")</f>
        <v>_</v>
      </c>
      <c r="AS868" s="448" t="str">
        <f>_xlfn.IFNA(VLOOKUP($AP868,Programma!$F$3:$I$1101,4,0),"")</f>
        <v>1m</v>
      </c>
      <c r="AT868" s="448" t="str">
        <f>_xlfn.IFNA(VLOOKUP($AP868,Programma!$F$3:$J$1101,5,0),"")</f>
        <v>1m</v>
      </c>
      <c r="AU868" s="448" t="str">
        <f>_xlfn.IFNA(VLOOKUP($AP868,Programma!$F$3:$K$1101,6,0),"")</f>
        <v>_</v>
      </c>
      <c r="AV868" s="448" t="str">
        <f>_xlfn.IFNA(VLOOKUP($AP868,Programma!$F$3:$L$1101,7,0),"")</f>
        <v>_</v>
      </c>
      <c r="AW868" s="448" t="str">
        <f>_xlfn.IFNA(VLOOKUP($AP868,Programma!$F$3:$M$1101,8,0),"")</f>
        <v>_</v>
      </c>
      <c r="AX868" s="448" t="str">
        <f>_xlfn.IFNA(VLOOKUP($AP868,Programma!$F$3:$N$1101,9,0),"")</f>
        <v>_</v>
      </c>
      <c r="AY868" s="448" t="str">
        <f>_xlfn.IFNA(VLOOKUP($AP868,Programma!$F$3:$O$1101,10,0),"")</f>
        <v>_</v>
      </c>
      <c r="AZ868" s="448" t="str">
        <f>_xlfn.IFNA(VLOOKUP($AP868,Programma!$F$3:$P$1101,11,0),"")</f>
        <v>_</v>
      </c>
      <c r="BA868" s="448" t="str">
        <f>_xlfn.IFNA(VLOOKUP($AP868,Programma!$F$3:$Q$1101,12,0),"")</f>
        <v>_</v>
      </c>
      <c r="BB868" s="448" t="str">
        <f>_xlfn.IFNA(VLOOKUP($AP868,Programma!$F$3:$R$1101,13,0),"")</f>
        <v>_</v>
      </c>
      <c r="BC868" s="448" t="str">
        <f>_xlfn.IFNA(VLOOKUP($AP868,Programma!$F$3:$S$1101,14,0),"")</f>
        <v>1m</v>
      </c>
      <c r="BD868" s="448" t="str">
        <f>_xlfn.IFNA(VLOOKUP($AP868,Programma!$F$3:$T$1101,15,0),"")</f>
        <v>4j</v>
      </c>
      <c r="BE868" s="448" t="str">
        <f>_xlfn.IFNA(VLOOKUP($AP868,Programma!$F$3:$U$1101,16,0),"")</f>
        <v>4j</v>
      </c>
      <c r="BF868" s="448" t="str">
        <f>_xlfn.IFNA(VLOOKUP($AP868,Programma!$F$3:$V$1101,17,0),"")</f>
        <v>_</v>
      </c>
      <c r="BG868" s="448" t="str">
        <f>_xlfn.IFNA(VLOOKUP($AP868,Programma!$F$3:$W$1101,18,0),"")</f>
        <v>_</v>
      </c>
      <c r="BH868" s="448" t="str">
        <f>_xlfn.IFNA(VLOOKUP($AP868,Programma!$F$3:$X$1101,19,0),"")</f>
        <v>_</v>
      </c>
      <c r="BI868" s="448" t="str">
        <f>_xlfn.IFNA(VLOOKUP($AP868,Programma!$F$3:$Y$1101,20,0),"")</f>
        <v>_</v>
      </c>
      <c r="BJ868" s="449"/>
      <c r="BK868" s="446" t="str">
        <f>IF(Ruimtestaat[[#This Row],[Frequentie weekend]]="","",_xlfn.CONCAT(Ruimtestaat[[#This Row],[Ruimte code]],"-",Ruimtestaat[[#This Row],[Frequentie weekend]]," ",Ruimtestaat[[#This Row],[Vloer code]]))</f>
        <v/>
      </c>
      <c r="BL868" s="448" t="str">
        <f>_xlfn.IFNA(VLOOKUP($BK868,Programma!$F$3:$G$1101,2,0),"")</f>
        <v/>
      </c>
      <c r="BM868" s="448" t="str">
        <f>_xlfn.IFNA(VLOOKUP($BK868,Programma!$F$3:$H$1101,3,0),"")</f>
        <v/>
      </c>
      <c r="BN868" s="448" t="str">
        <f>_xlfn.IFNA(VLOOKUP($BK868,Programma!$F$3:$I$1101,4,0),"")</f>
        <v/>
      </c>
      <c r="BO868" s="448" t="str">
        <f>_xlfn.IFNA(VLOOKUP($BK868,Programma!$F$3:$J$1101,5,0),"")</f>
        <v/>
      </c>
      <c r="BP868" s="448" t="str">
        <f>_xlfn.IFNA(VLOOKUP($BK868,Programma!$F$3:$K$1101,6,0),"")</f>
        <v/>
      </c>
      <c r="BQ868" s="448" t="str">
        <f>_xlfn.IFNA(VLOOKUP($BK868,Programma!$F$3:$L$1101,7,0),"")</f>
        <v/>
      </c>
      <c r="BR868" s="448" t="str">
        <f>_xlfn.IFNA(VLOOKUP($BK868,Programma!$F$3:$M$1101,8,0),"")</f>
        <v/>
      </c>
      <c r="BS868" s="448" t="str">
        <f>_xlfn.IFNA(VLOOKUP($BK868,Programma!$F$3:$N$1101,9,0),"")</f>
        <v/>
      </c>
      <c r="BT868" s="448" t="str">
        <f>_xlfn.IFNA(VLOOKUP($BK868,Programma!$F$3:$O$1101,10,0),"")</f>
        <v/>
      </c>
      <c r="BU868" s="448" t="str">
        <f>_xlfn.IFNA(VLOOKUP($BK868,Programma!$F$3:$P$1101,11,0),"")</f>
        <v/>
      </c>
      <c r="BV868" s="448" t="str">
        <f>_xlfn.IFNA(VLOOKUP($BK868,Programma!$F$3:$Q$1101,12,0),"")</f>
        <v/>
      </c>
      <c r="BW868" s="448" t="str">
        <f>_xlfn.IFNA(VLOOKUP($BK868,Programma!$F$3:$R$1101,13,0),"")</f>
        <v/>
      </c>
      <c r="BX868" s="448" t="str">
        <f>_xlfn.IFNA(VLOOKUP($BK868,Programma!$F$3:$S$1101,14,0),"")</f>
        <v/>
      </c>
      <c r="BY868" s="448" t="str">
        <f>_xlfn.IFNA(VLOOKUP($BK868,Programma!$F$3:$T$1101,15,0),"")</f>
        <v/>
      </c>
      <c r="BZ868" s="448" t="str">
        <f>_xlfn.IFNA(VLOOKUP($BK868,Programma!$F$3:$U$1101,16,0),"")</f>
        <v/>
      </c>
      <c r="CA868" s="448" t="str">
        <f>_xlfn.IFNA(VLOOKUP($BK868,Programma!$F$3:$V$1101,17,0),"")</f>
        <v/>
      </c>
      <c r="CB868" s="448" t="str">
        <f>_xlfn.IFNA(VLOOKUP($BK868,Programma!$F$3:$W$1101,18,0),"")</f>
        <v/>
      </c>
      <c r="CC868" s="448" t="str">
        <f>_xlfn.IFNA(VLOOKUP($BK868,Programma!$F$3:$X$1101,19,0),"")</f>
        <v/>
      </c>
      <c r="CD868" s="448" t="str">
        <f>_xlfn.IFNA(VLOOKUP($BK868,Programma!$F$3:$Y$1101,20,0),"")</f>
        <v/>
      </c>
    </row>
    <row r="869" spans="1:82" ht="15" customHeight="1">
      <c r="A869" s="327">
        <v>24</v>
      </c>
      <c r="B869" s="435" t="str">
        <f>VLOOKUP(Ruimtestaat[[#This Row],[Code]],Locaties[[Code]:[Locatie]],2,FALSE)</f>
        <v>IKC De Gaerde</v>
      </c>
      <c r="C869" s="435" t="str">
        <f>VLOOKUP(Ruimtestaat[[#This Row],[Code]],Locaties[[#All],[Code]:[Adres]],4,FALSE)</f>
        <v>Moerbeigaarde 58A</v>
      </c>
      <c r="D869" s="435" t="str">
        <f>VLOOKUP(Ruimtestaat[[#This Row],[Code]],Locaties[[#All],[Code]:[Postcode]],5,FALSE)</f>
        <v>2723 AG</v>
      </c>
      <c r="E869" s="435" t="str">
        <f>VLOOKUP(Ruimtestaat[[#This Row],[Code]],Locaties[#All],6,FALSE)</f>
        <v>Zoetermeer</v>
      </c>
      <c r="F869" s="450"/>
      <c r="G869" s="330" t="s">
        <v>1769</v>
      </c>
      <c r="H869" s="330" t="s">
        <v>2057</v>
      </c>
      <c r="I869" s="450" t="s">
        <v>1842</v>
      </c>
      <c r="J869" s="330">
        <v>16</v>
      </c>
      <c r="K869" s="450" t="str">
        <f>VLOOKUP(Ruimtestaat[[#This Row],[Ruimte code]],Ruimtegroepen[[#All],[Code]:[Ruimte omschrijving]],2,FALSE)</f>
        <v>Leslokalen</v>
      </c>
      <c r="L869" s="330" t="s">
        <v>100</v>
      </c>
      <c r="M869" s="437" t="s">
        <v>2058</v>
      </c>
      <c r="N869" s="439">
        <v>49.6</v>
      </c>
      <c r="O869" s="439"/>
      <c r="P869" s="439"/>
      <c r="Q869" s="439"/>
      <c r="R869" s="440" t="str">
        <f>VLOOKUP(Ruimtestaat[[#This Row],[Ruimte code]],Ruimtegroepen[],4,FALSE)</f>
        <v>Le</v>
      </c>
      <c r="S869" s="434">
        <v>40</v>
      </c>
      <c r="T869" s="434" t="s">
        <v>2</v>
      </c>
      <c r="U869" s="453">
        <f>IF(S869&gt;0,IF(RIGHT(Ruimtestaat[[#This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9" s="434">
        <f>IF(U869&gt;0,VLOOKUP($J869,Ruimtegroepen[],3,FALSE)*VLOOKUP($L869,Vloersoorten[],3,FALSE)*VLOOKUP($T869,Frequenties[],3,FALSE)*VLOOKUP($A869,Locaties[],3,FALSE),0)</f>
        <v>0</v>
      </c>
      <c r="W869" s="434">
        <f>Ruimtestaat[[#This Row],[Uitvoeringen werkdagen]]*Ruimtestaat[[#This Row],[Oppervlak (netto)]]</f>
        <v>9920</v>
      </c>
      <c r="X869" s="441">
        <f>IF(V869&gt;0,Ruimtestaat[[#This Row],[Prest. (m2 /jaar) werkdagen]]/Ruimtestaat[[#This Row],[Norm (m2/uur) werkdagen]],0)</f>
        <v>0</v>
      </c>
      <c r="Y869" s="442">
        <f>Ruimtestaat[[#This Row],[Uitvoeringen werkdagen]]*Ruimtestaat[[#This Row],[Gedeeltelijk]]</f>
        <v>0</v>
      </c>
      <c r="Z869" s="443" t="e">
        <f>IF(U869&gt;0,Ruimtestaat[[#This Row],[Prest. (m2 / jaar) werkdagen gedeeld]]/Ruimtestaat[[#This Row],[Norm (m2/uur) werkdagen]],0)</f>
        <v>#DIV/0!</v>
      </c>
      <c r="AA869" s="441" t="e">
        <f>Ruimtestaat[[#This Row],[uren / jaar werkdagen gedeeld]]*Tariefsopbouw!$E$35</f>
        <v>#DIV/0!</v>
      </c>
      <c r="AB869" s="441">
        <f>Ruimtestaat[[#This Row],[Uitvoeringen werkdagen]]*Ruimtestaat[[#This Row],[BSO]]</f>
        <v>0</v>
      </c>
      <c r="AC869" s="443" t="e">
        <f>IF(U869&gt;0,Ruimtestaat[[#This Row],[Prest. (m2 / jaar) werkdagen BSO]]/Ruimtestaat[[#This Row],[Norm (m2/uur) werkdagen]],0)</f>
        <v>#DIV/0!</v>
      </c>
      <c r="AD869" s="443" t="e">
        <f>Ruimtestaat[[#This Row],[uren / jaar werkdagen BSO]]*Tariefsopbouw!$E$35</f>
        <v>#DIV/0!</v>
      </c>
      <c r="AE869" s="444">
        <f>Ruimtestaat[[#This Row],[uren / jaar werkdagen]]*Tariefsopbouw!$E$35</f>
        <v>0</v>
      </c>
      <c r="AF869" s="454"/>
      <c r="AG869" s="455">
        <f>IF(Ruimtestaat[[#This Row],[Frequentie weekend]]&gt;0,VALUE(LEFT(AF869,1))*S869,0)</f>
        <v>0</v>
      </c>
      <c r="AH869" s="455">
        <f>IF($AG869&gt;0,VLOOKUP($J869,Ruimtegroepen[],3,FALSE)*VLOOKUP($L869,Vloersoorten[],3,FALSE)*VLOOKUP($AF869,Frequenties[],3,FALSE)*VLOOKUP(#REF!,Locaties[],3,FALSE),0)</f>
        <v>0</v>
      </c>
      <c r="AI869" s="434">
        <f>Ruimtestaat[[#This Row],[Uitvoeringen weekend]]*Ruimtestaat[[#This Row],[Oppervlak (netto)]]</f>
        <v>0</v>
      </c>
      <c r="AJ869" s="434">
        <f>IF(AH869&gt;0,Ruimtestaat[[#This Row],[Prest. (m2 /jaar) weekend]]/Ruimtestaat[[#This Row],[Norm (m2/uur) weekend]],0)</f>
        <v>0</v>
      </c>
      <c r="AK869" s="444">
        <f>Ruimtestaat[[#This Row],[uren / jaar weekend]]*Tariefsopbouw!$D$40</f>
        <v>0</v>
      </c>
      <c r="AL869" s="441">
        <f>Ruimtestaat[[#This Row],[Prest. (m2 /jaar) weekend]]+Ruimtestaat[[#This Row],[Prest. (m2 /jaar) werkdagen]]</f>
        <v>9920</v>
      </c>
      <c r="AM869" s="441">
        <f>Ruimtestaat[[#This Row],[uren / jaar weekend]]+Ruimtestaat[[#This Row],[uren / jaar werkdagen]]</f>
        <v>0</v>
      </c>
      <c r="AN869" s="446">
        <f>Ruimtestaat[[#This Row],[kosten / jaar weekend]]+Ruimtestaat[[#This Row],[kosten / jaar werkdagen]]</f>
        <v>0</v>
      </c>
      <c r="AO869" s="446"/>
      <c r="AP869" s="446" t="str">
        <f>IF(Ruimtestaat[[#This Row],[Frequentie werkdagen]]="","",_xlfn.CONCAT(Ruimtestaat[[#This Row],[Ruimte code]],"-",Ruimtestaat[[#This Row],[Frequentie werkdagen]]," ",Ruimtestaat[[#This Row],[Vloer code]]))</f>
        <v>16-5w L</v>
      </c>
      <c r="AQ869" s="448" t="str">
        <f>_xlfn.IFNA(VLOOKUP($AP869,Programma!$F$3:$G$1101,2,0),"")</f>
        <v>_</v>
      </c>
      <c r="AR869" s="448" t="str">
        <f>_xlfn.IFNA(VLOOKUP($AP869,Programma!$F$3:$H$1101,3,0),"")</f>
        <v>_</v>
      </c>
      <c r="AS869" s="448" t="str">
        <f>_xlfn.IFNA(VLOOKUP($AP869,Programma!$F$3:$I$1101,4,0),"")</f>
        <v>4w</v>
      </c>
      <c r="AT869" s="448" t="str">
        <f>_xlfn.IFNA(VLOOKUP($AP869,Programma!$F$3:$J$1101,5,0),"")</f>
        <v>1w</v>
      </c>
      <c r="AU869" s="448" t="str">
        <f>_xlfn.IFNA(VLOOKUP($AP869,Programma!$F$3:$K$1101,6,0),"")</f>
        <v>_</v>
      </c>
      <c r="AV869" s="448" t="str">
        <f>_xlfn.IFNA(VLOOKUP($AP869,Programma!$F$3:$L$1101,7,0),"")</f>
        <v>_</v>
      </c>
      <c r="AW869" s="448" t="str">
        <f>_xlfn.IFNA(VLOOKUP($AP869,Programma!$F$3:$M$1101,8,0),"")</f>
        <v>_</v>
      </c>
      <c r="AX869" s="448" t="str">
        <f>_xlfn.IFNA(VLOOKUP($AP869,Programma!$F$3:$N$1101,9,0),"")</f>
        <v>_</v>
      </c>
      <c r="AY869" s="448" t="str">
        <f>_xlfn.IFNA(VLOOKUP($AP869,Programma!$F$3:$O$1101,10,0),"")</f>
        <v>5w</v>
      </c>
      <c r="AZ869" s="448" t="str">
        <f>_xlfn.IFNA(VLOOKUP($AP869,Programma!$F$3:$P$1101,11,0),"")</f>
        <v>5w</v>
      </c>
      <c r="BA869" s="448" t="str">
        <f>_xlfn.IFNA(VLOOKUP($AP869,Programma!$F$3:$Q$1101,12,0),"")</f>
        <v>1w</v>
      </c>
      <c r="BB869" s="448" t="str">
        <f>_xlfn.IFNA(VLOOKUP($AP869,Programma!$F$3:$R$1101,13,0),"")</f>
        <v>1w</v>
      </c>
      <c r="BC869" s="448" t="str">
        <f>_xlfn.IFNA(VLOOKUP($AP869,Programma!$F$3:$S$1101,14,0),"")</f>
        <v>1m</v>
      </c>
      <c r="BD869" s="448" t="str">
        <f>_xlfn.IFNA(VLOOKUP($AP869,Programma!$F$3:$T$1101,15,0),"")</f>
        <v>2j</v>
      </c>
      <c r="BE869" s="448" t="str">
        <f>_xlfn.IFNA(VLOOKUP($AP869,Programma!$F$3:$U$1101,16,0),"")</f>
        <v>1j</v>
      </c>
      <c r="BF869" s="448" t="str">
        <f>_xlfn.IFNA(VLOOKUP($AP869,Programma!$F$3:$V$1101,17,0),"")</f>
        <v>_</v>
      </c>
      <c r="BG869" s="448" t="str">
        <f>_xlfn.IFNA(VLOOKUP($AP869,Programma!$F$3:$W$1101,18,0),"")</f>
        <v>_</v>
      </c>
      <c r="BH869" s="448" t="str">
        <f>_xlfn.IFNA(VLOOKUP($AP869,Programma!$F$3:$X$1101,19,0),"")</f>
        <v>_</v>
      </c>
      <c r="BI869" s="448" t="str">
        <f>_xlfn.IFNA(VLOOKUP($AP869,Programma!$F$3:$Y$1101,20,0),"")</f>
        <v>_</v>
      </c>
      <c r="BJ869" s="449"/>
      <c r="BK869" s="446" t="str">
        <f>IF(Ruimtestaat[[#This Row],[Frequentie weekend]]="","",_xlfn.CONCAT(Ruimtestaat[[#This Row],[Ruimte code]],"-",Ruimtestaat[[#This Row],[Frequentie weekend]]," ",Ruimtestaat[[#This Row],[Vloer code]]))</f>
        <v/>
      </c>
      <c r="BL869" s="448" t="str">
        <f>_xlfn.IFNA(VLOOKUP($BK869,Programma!$F$3:$G$1101,2,0),"")</f>
        <v/>
      </c>
      <c r="BM869" s="448" t="str">
        <f>_xlfn.IFNA(VLOOKUP($BK869,Programma!$F$3:$H$1101,3,0),"")</f>
        <v/>
      </c>
      <c r="BN869" s="448" t="str">
        <f>_xlfn.IFNA(VLOOKUP($BK869,Programma!$F$3:$I$1101,4,0),"")</f>
        <v/>
      </c>
      <c r="BO869" s="448" t="str">
        <f>_xlfn.IFNA(VLOOKUP($BK869,Programma!$F$3:$J$1101,5,0),"")</f>
        <v/>
      </c>
      <c r="BP869" s="448" t="str">
        <f>_xlfn.IFNA(VLOOKUP($BK869,Programma!$F$3:$K$1101,6,0),"")</f>
        <v/>
      </c>
      <c r="BQ869" s="448" t="str">
        <f>_xlfn.IFNA(VLOOKUP($BK869,Programma!$F$3:$L$1101,7,0),"")</f>
        <v/>
      </c>
      <c r="BR869" s="448" t="str">
        <f>_xlfn.IFNA(VLOOKUP($BK869,Programma!$F$3:$M$1101,8,0),"")</f>
        <v/>
      </c>
      <c r="BS869" s="448" t="str">
        <f>_xlfn.IFNA(VLOOKUP($BK869,Programma!$F$3:$N$1101,9,0),"")</f>
        <v/>
      </c>
      <c r="BT869" s="448" t="str">
        <f>_xlfn.IFNA(VLOOKUP($BK869,Programma!$F$3:$O$1101,10,0),"")</f>
        <v/>
      </c>
      <c r="BU869" s="448" t="str">
        <f>_xlfn.IFNA(VLOOKUP($BK869,Programma!$F$3:$P$1101,11,0),"")</f>
        <v/>
      </c>
      <c r="BV869" s="448" t="str">
        <f>_xlfn.IFNA(VLOOKUP($BK869,Programma!$F$3:$Q$1101,12,0),"")</f>
        <v/>
      </c>
      <c r="BW869" s="448" t="str">
        <f>_xlfn.IFNA(VLOOKUP($BK869,Programma!$F$3:$R$1101,13,0),"")</f>
        <v/>
      </c>
      <c r="BX869" s="448" t="str">
        <f>_xlfn.IFNA(VLOOKUP($BK869,Programma!$F$3:$S$1101,14,0),"")</f>
        <v/>
      </c>
      <c r="BY869" s="448" t="str">
        <f>_xlfn.IFNA(VLOOKUP($BK869,Programma!$F$3:$T$1101,15,0),"")</f>
        <v/>
      </c>
      <c r="BZ869" s="448" t="str">
        <f>_xlfn.IFNA(VLOOKUP($BK869,Programma!$F$3:$U$1101,16,0),"")</f>
        <v/>
      </c>
      <c r="CA869" s="448" t="str">
        <f>_xlfn.IFNA(VLOOKUP($BK869,Programma!$F$3:$V$1101,17,0),"")</f>
        <v/>
      </c>
      <c r="CB869" s="448" t="str">
        <f>_xlfn.IFNA(VLOOKUP($BK869,Programma!$F$3:$W$1101,18,0),"")</f>
        <v/>
      </c>
      <c r="CC869" s="448" t="str">
        <f>_xlfn.IFNA(VLOOKUP($BK869,Programma!$F$3:$X$1101,19,0),"")</f>
        <v/>
      </c>
      <c r="CD869" s="448" t="str">
        <f>_xlfn.IFNA(VLOOKUP($BK869,Programma!$F$3:$Y$1101,20,0),"")</f>
        <v/>
      </c>
    </row>
    <row r="870" spans="1:82" ht="15" customHeight="1">
      <c r="A870" s="327">
        <v>25</v>
      </c>
      <c r="B870" s="435" t="str">
        <f>VLOOKUP(Ruimtestaat[[#This Row],[Code]],Locaties[[Code]:[Locatie]],2,FALSE)</f>
        <v>IKC De Piramide</v>
      </c>
      <c r="C870" s="435" t="str">
        <f>VLOOKUP(Ruimtestaat[[#This Row],[Code]],Locaties[[#All],[Code]:[Adres]],4,FALSE)</f>
        <v>Fivelingo 84</v>
      </c>
      <c r="D870" s="435" t="str">
        <f>VLOOKUP(Ruimtestaat[[#This Row],[Code]],Locaties[[#All],[Code]:[Postcode]],5,FALSE)</f>
        <v>2716 BG</v>
      </c>
      <c r="E870" s="435" t="str">
        <f>VLOOKUP(Ruimtestaat[[#This Row],[Code]],Locaties[#All],6,FALSE)</f>
        <v>Zoetermeer</v>
      </c>
      <c r="F870" s="450" t="s">
        <v>2059</v>
      </c>
      <c r="G870" s="330" t="s">
        <v>1678</v>
      </c>
      <c r="H870" s="330" t="s">
        <v>1763</v>
      </c>
      <c r="I870" s="450" t="s">
        <v>2060</v>
      </c>
      <c r="J870" s="330">
        <v>6</v>
      </c>
      <c r="K870" s="450" t="str">
        <f>VLOOKUP(Ruimtestaat[[#This Row],[Ruimte code]],Ruimtegroepen[[#All],[Code]:[Ruimte omschrijving]],2,FALSE)</f>
        <v>Gangen/hallen</v>
      </c>
      <c r="L870" s="330" t="s">
        <v>99</v>
      </c>
      <c r="M870" s="437" t="s">
        <v>2102</v>
      </c>
      <c r="N870" s="439">
        <v>46</v>
      </c>
      <c r="O870" s="439"/>
      <c r="P870" s="439"/>
      <c r="Q870" s="439"/>
      <c r="R870" s="440" t="str">
        <f>VLOOKUP(Ruimtestaat[[#This Row],[Ruimte code]],Ruimtegroepen[],4,FALSE)</f>
        <v>Ve</v>
      </c>
      <c r="S870" s="434">
        <v>41</v>
      </c>
      <c r="T870" s="434" t="s">
        <v>2</v>
      </c>
      <c r="U870" s="453">
        <f>IF(S870&gt;0,IF(RIGHT(Ruimtestaat[[#This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70" s="434">
        <f>IF(U870&gt;0,VLOOKUP($J870,Ruimtegroepen[],3,FALSE)*VLOOKUP($L870,Vloersoorten[],3,FALSE)*VLOOKUP($T870,Frequenties[],3,FALSE)*VLOOKUP($A870,Locaties[],3,FALSE),0)</f>
        <v>0</v>
      </c>
      <c r="W870" s="434">
        <f>Ruimtestaat[[#This Row],[Uitvoeringen werkdagen]]*Ruimtestaat[[#This Row],[Oppervlak (netto)]]</f>
        <v>9430</v>
      </c>
      <c r="X870" s="441">
        <f>IF(V870&gt;0,Ruimtestaat[[#This Row],[Prest. (m2 /jaar) werkdagen]]/Ruimtestaat[[#This Row],[Norm (m2/uur) werkdagen]],0)</f>
        <v>0</v>
      </c>
      <c r="Y870" s="442">
        <f>Ruimtestaat[[#This Row],[Uitvoeringen werkdagen]]*Ruimtestaat[[#This Row],[Gedeeltelijk]]</f>
        <v>0</v>
      </c>
      <c r="Z870" s="443" t="e">
        <f>IF(U870&gt;0,Ruimtestaat[[#This Row],[Prest. (m2 / jaar) werkdagen gedeeld]]/Ruimtestaat[[#This Row],[Norm (m2/uur) werkdagen]],0)</f>
        <v>#DIV/0!</v>
      </c>
      <c r="AA870" s="441" t="e">
        <f>Ruimtestaat[[#This Row],[uren / jaar werkdagen gedeeld]]*Tariefsopbouw!$E$35</f>
        <v>#DIV/0!</v>
      </c>
      <c r="AB870" s="441">
        <f>Ruimtestaat[[#This Row],[Uitvoeringen werkdagen]]*Ruimtestaat[[#This Row],[BSO]]</f>
        <v>0</v>
      </c>
      <c r="AC870" s="443" t="e">
        <f>IF(U870&gt;0,Ruimtestaat[[#This Row],[Prest. (m2 / jaar) werkdagen BSO]]/Ruimtestaat[[#This Row],[Norm (m2/uur) werkdagen]],0)</f>
        <v>#DIV/0!</v>
      </c>
      <c r="AD870" s="443" t="e">
        <f>Ruimtestaat[[#This Row],[uren / jaar werkdagen BSO]]*Tariefsopbouw!$E$35</f>
        <v>#DIV/0!</v>
      </c>
      <c r="AE870" s="444">
        <f>Ruimtestaat[[#This Row],[uren / jaar werkdagen]]*Tariefsopbouw!$E$35</f>
        <v>0</v>
      </c>
      <c r="AF870" s="454"/>
      <c r="AG870" s="455">
        <f>IF(Ruimtestaat[[#This Row],[Frequentie weekend]]&gt;0,VALUE(LEFT(AF870,1))*S870,0)</f>
        <v>0</v>
      </c>
      <c r="AH870" s="455">
        <f>IF($AG870&gt;0,VLOOKUP($J870,Ruimtegroepen[],3,FALSE)*VLOOKUP($L870,Vloersoorten[],3,FALSE)*VLOOKUP($AF870,Frequenties[],3,FALSE)*VLOOKUP(#REF!,Locaties[],3,FALSE),0)</f>
        <v>0</v>
      </c>
      <c r="AI870" s="434">
        <f>Ruimtestaat[[#This Row],[Uitvoeringen weekend]]*Ruimtestaat[[#This Row],[Oppervlak (netto)]]</f>
        <v>0</v>
      </c>
      <c r="AJ870" s="434">
        <f>IF(AH870&gt;0,Ruimtestaat[[#This Row],[Prest. (m2 /jaar) weekend]]/Ruimtestaat[[#This Row],[Norm (m2/uur) weekend]],0)</f>
        <v>0</v>
      </c>
      <c r="AK870" s="444">
        <f>Ruimtestaat[[#This Row],[uren / jaar weekend]]*Tariefsopbouw!$D$40</f>
        <v>0</v>
      </c>
      <c r="AL870" s="441">
        <f>Ruimtestaat[[#This Row],[Prest. (m2 /jaar) weekend]]+Ruimtestaat[[#This Row],[Prest. (m2 /jaar) werkdagen]]</f>
        <v>9430</v>
      </c>
      <c r="AM870" s="441">
        <f>Ruimtestaat[[#This Row],[uren / jaar weekend]]+Ruimtestaat[[#This Row],[uren / jaar werkdagen]]</f>
        <v>0</v>
      </c>
      <c r="AN870" s="446">
        <f>Ruimtestaat[[#This Row],[kosten / jaar weekend]]+Ruimtestaat[[#This Row],[kosten / jaar werkdagen]]</f>
        <v>0</v>
      </c>
      <c r="AO870" s="446"/>
      <c r="AP870" s="446" t="str">
        <f>IF(Ruimtestaat[[#This Row],[Frequentie werkdagen]]="","",_xlfn.CONCAT(Ruimtestaat[[#This Row],[Ruimte code]],"-",Ruimtestaat[[#This Row],[Frequentie werkdagen]]," ",Ruimtestaat[[#This Row],[Vloer code]]))</f>
        <v>6-5w T</v>
      </c>
      <c r="AQ870" s="448" t="str">
        <f>_xlfn.IFNA(VLOOKUP($AP870,Programma!$F$3:$G$1101,2,0),"")</f>
        <v>_</v>
      </c>
      <c r="AR870" s="448" t="str">
        <f>_xlfn.IFNA(VLOOKUP($AP870,Programma!$F$3:$H$1101,3,0),"")</f>
        <v>5w</v>
      </c>
      <c r="AS870" s="448" t="str">
        <f>_xlfn.IFNA(VLOOKUP($AP870,Programma!$F$3:$I$1101,4,0),"")</f>
        <v>_</v>
      </c>
      <c r="AT870" s="448" t="str">
        <f>_xlfn.IFNA(VLOOKUP($AP870,Programma!$F$3:$J$1101,5,0),"")</f>
        <v>_</v>
      </c>
      <c r="AU870" s="448" t="str">
        <f>_xlfn.IFNA(VLOOKUP($AP870,Programma!$F$3:$K$1101,6,0),"")</f>
        <v>_</v>
      </c>
      <c r="AV870" s="448" t="str">
        <f>_xlfn.IFNA(VLOOKUP($AP870,Programma!$F$3:$L$1101,7,0),"")</f>
        <v>_</v>
      </c>
      <c r="AW870" s="448" t="str">
        <f>_xlfn.IFNA(VLOOKUP($AP870,Programma!$F$3:$M$1101,8,0),"")</f>
        <v>_</v>
      </c>
      <c r="AX870" s="448" t="str">
        <f>_xlfn.IFNA(VLOOKUP($AP870,Programma!$F$3:$N$1101,9,0),"")</f>
        <v>_</v>
      </c>
      <c r="AY870" s="448" t="str">
        <f>_xlfn.IFNA(VLOOKUP($AP870,Programma!$F$3:$O$1101,10,0),"")</f>
        <v>5w</v>
      </c>
      <c r="AZ870" s="448" t="str">
        <f>_xlfn.IFNA(VLOOKUP($AP870,Programma!$F$3:$P$1101,11,0),"")</f>
        <v>5w</v>
      </c>
      <c r="BA870" s="448" t="str">
        <f>_xlfn.IFNA(VLOOKUP($AP870,Programma!$F$3:$Q$1101,12,0),"")</f>
        <v>1w</v>
      </c>
      <c r="BB870" s="448" t="str">
        <f>_xlfn.IFNA(VLOOKUP($AP870,Programma!$F$3:$R$1101,13,0),"")</f>
        <v>1w</v>
      </c>
      <c r="BC870" s="448" t="str">
        <f>_xlfn.IFNA(VLOOKUP($AP870,Programma!$F$3:$S$1101,14,0),"")</f>
        <v>1m</v>
      </c>
      <c r="BD870" s="448" t="str">
        <f>_xlfn.IFNA(VLOOKUP($AP870,Programma!$F$3:$T$1101,15,0),"")</f>
        <v>2j</v>
      </c>
      <c r="BE870" s="448" t="str">
        <f>_xlfn.IFNA(VLOOKUP($AP870,Programma!$F$3:$U$1101,16,0),"")</f>
        <v>1j</v>
      </c>
      <c r="BF870" s="448" t="str">
        <f>_xlfn.IFNA(VLOOKUP($AP870,Programma!$F$3:$V$1101,17,0),"")</f>
        <v>_</v>
      </c>
      <c r="BG870" s="448" t="str">
        <f>_xlfn.IFNA(VLOOKUP($AP870,Programma!$F$3:$W$1101,18,0),"")</f>
        <v>_</v>
      </c>
      <c r="BH870" s="448" t="str">
        <f>_xlfn.IFNA(VLOOKUP($AP870,Programma!$F$3:$X$1101,19,0),"")</f>
        <v>_</v>
      </c>
      <c r="BI870" s="448" t="str">
        <f>_xlfn.IFNA(VLOOKUP($AP870,Programma!$F$3:$Y$1101,20,0),"")</f>
        <v>_</v>
      </c>
      <c r="BJ870" s="449"/>
      <c r="BK870" s="446" t="str">
        <f>IF(Ruimtestaat[[#This Row],[Frequentie weekend]]="","",_xlfn.CONCAT(Ruimtestaat[[#This Row],[Ruimte code]],"-",Ruimtestaat[[#This Row],[Frequentie weekend]]," ",Ruimtestaat[[#This Row],[Vloer code]]))</f>
        <v/>
      </c>
      <c r="BL870" s="448" t="str">
        <f>_xlfn.IFNA(VLOOKUP($BK870,Programma!$F$3:$G$1101,2,0),"")</f>
        <v/>
      </c>
      <c r="BM870" s="448" t="str">
        <f>_xlfn.IFNA(VLOOKUP($BK870,Programma!$F$3:$H$1101,3,0),"")</f>
        <v/>
      </c>
      <c r="BN870" s="448" t="str">
        <f>_xlfn.IFNA(VLOOKUP($BK870,Programma!$F$3:$I$1101,4,0),"")</f>
        <v/>
      </c>
      <c r="BO870" s="448" t="str">
        <f>_xlfn.IFNA(VLOOKUP($BK870,Programma!$F$3:$J$1101,5,0),"")</f>
        <v/>
      </c>
      <c r="BP870" s="448" t="str">
        <f>_xlfn.IFNA(VLOOKUP($BK870,Programma!$F$3:$K$1101,6,0),"")</f>
        <v/>
      </c>
      <c r="BQ870" s="448" t="str">
        <f>_xlfn.IFNA(VLOOKUP($BK870,Programma!$F$3:$L$1101,7,0),"")</f>
        <v/>
      </c>
      <c r="BR870" s="448" t="str">
        <f>_xlfn.IFNA(VLOOKUP($BK870,Programma!$F$3:$M$1101,8,0),"")</f>
        <v/>
      </c>
      <c r="BS870" s="448" t="str">
        <f>_xlfn.IFNA(VLOOKUP($BK870,Programma!$F$3:$N$1101,9,0),"")</f>
        <v/>
      </c>
      <c r="BT870" s="448" t="str">
        <f>_xlfn.IFNA(VLOOKUP($BK870,Programma!$F$3:$O$1101,10,0),"")</f>
        <v/>
      </c>
      <c r="BU870" s="448" t="str">
        <f>_xlfn.IFNA(VLOOKUP($BK870,Programma!$F$3:$P$1101,11,0),"")</f>
        <v/>
      </c>
      <c r="BV870" s="448" t="str">
        <f>_xlfn.IFNA(VLOOKUP($BK870,Programma!$F$3:$Q$1101,12,0),"")</f>
        <v/>
      </c>
      <c r="BW870" s="448" t="str">
        <f>_xlfn.IFNA(VLOOKUP($BK870,Programma!$F$3:$R$1101,13,0),"")</f>
        <v/>
      </c>
      <c r="BX870" s="448" t="str">
        <f>_xlfn.IFNA(VLOOKUP($BK870,Programma!$F$3:$S$1101,14,0),"")</f>
        <v/>
      </c>
      <c r="BY870" s="448" t="str">
        <f>_xlfn.IFNA(VLOOKUP($BK870,Programma!$F$3:$T$1101,15,0),"")</f>
        <v/>
      </c>
      <c r="BZ870" s="448" t="str">
        <f>_xlfn.IFNA(VLOOKUP($BK870,Programma!$F$3:$U$1101,16,0),"")</f>
        <v/>
      </c>
      <c r="CA870" s="448" t="str">
        <f>_xlfn.IFNA(VLOOKUP($BK870,Programma!$F$3:$V$1101,17,0),"")</f>
        <v/>
      </c>
      <c r="CB870" s="448" t="str">
        <f>_xlfn.IFNA(VLOOKUP($BK870,Programma!$F$3:$W$1101,18,0),"")</f>
        <v/>
      </c>
      <c r="CC870" s="448" t="str">
        <f>_xlfn.IFNA(VLOOKUP($BK870,Programma!$F$3:$X$1101,19,0),"")</f>
        <v/>
      </c>
      <c r="CD870" s="448" t="str">
        <f>_xlfn.IFNA(VLOOKUP($BK870,Programma!$F$3:$Y$1101,20,0),"")</f>
        <v/>
      </c>
    </row>
    <row r="871" spans="1:82" ht="15" customHeight="1">
      <c r="A871" s="327">
        <v>25</v>
      </c>
      <c r="B871" s="435" t="str">
        <f>VLOOKUP(Ruimtestaat[[#This Row],[Code]],Locaties[[Code]:[Locatie]],2,FALSE)</f>
        <v>IKC De Piramide</v>
      </c>
      <c r="C871" s="435" t="str">
        <f>VLOOKUP(Ruimtestaat[[#This Row],[Code]],Locaties[[#All],[Code]:[Adres]],4,FALSE)</f>
        <v>Fivelingo 84</v>
      </c>
      <c r="D871" s="435" t="str">
        <f>VLOOKUP(Ruimtestaat[[#This Row],[Code]],Locaties[[#All],[Code]:[Postcode]],5,FALSE)</f>
        <v>2716 BG</v>
      </c>
      <c r="E871" s="435" t="str">
        <f>VLOOKUP(Ruimtestaat[[#This Row],[Code]],Locaties[#All],6,FALSE)</f>
        <v>Zoetermeer</v>
      </c>
      <c r="F871" s="450" t="s">
        <v>2059</v>
      </c>
      <c r="G871" s="330" t="s">
        <v>1678</v>
      </c>
      <c r="H871" s="330" t="s">
        <v>2061</v>
      </c>
      <c r="I871" s="450" t="s">
        <v>1708</v>
      </c>
      <c r="J871" s="330">
        <v>6</v>
      </c>
      <c r="K871" s="450" t="str">
        <f>VLOOKUP(Ruimtestaat[[#This Row],[Ruimte code]],Ruimtegroepen[[#All],[Code]:[Ruimte omschrijving]],2,FALSE)</f>
        <v>Gangen/hallen</v>
      </c>
      <c r="L871" s="330" t="s">
        <v>101</v>
      </c>
      <c r="M871" s="437" t="s">
        <v>1816</v>
      </c>
      <c r="N871" s="439">
        <v>53</v>
      </c>
      <c r="O871" s="439"/>
      <c r="P871" s="439"/>
      <c r="Q871" s="439"/>
      <c r="R871" s="440" t="str">
        <f>VLOOKUP(Ruimtestaat[[#This Row],[Ruimte code]],Ruimtegroepen[],4,FALSE)</f>
        <v>Ve</v>
      </c>
      <c r="S871" s="434">
        <v>41</v>
      </c>
      <c r="T871" s="434" t="s">
        <v>2</v>
      </c>
      <c r="U871" s="453">
        <f>IF(S871&gt;0,IF(RIGHT(Ruimtestaat[[#This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71" s="434">
        <f>IF(U871&gt;0,VLOOKUP($J871,Ruimtegroepen[],3,FALSE)*VLOOKUP($L871,Vloersoorten[],3,FALSE)*VLOOKUP($T871,Frequenties[],3,FALSE)*VLOOKUP($A871,Locaties[],3,FALSE),0)</f>
        <v>0</v>
      </c>
      <c r="W871" s="434">
        <f>Ruimtestaat[[#This Row],[Uitvoeringen werkdagen]]*Ruimtestaat[[#This Row],[Oppervlak (netto)]]</f>
        <v>10865</v>
      </c>
      <c r="X871" s="441">
        <f>IF(V871&gt;0,Ruimtestaat[[#This Row],[Prest. (m2 /jaar) werkdagen]]/Ruimtestaat[[#This Row],[Norm (m2/uur) werkdagen]],0)</f>
        <v>0</v>
      </c>
      <c r="Y871" s="442">
        <f>Ruimtestaat[[#This Row],[Uitvoeringen werkdagen]]*Ruimtestaat[[#This Row],[Gedeeltelijk]]</f>
        <v>0</v>
      </c>
      <c r="Z871" s="443" t="e">
        <f>IF(U871&gt;0,Ruimtestaat[[#This Row],[Prest. (m2 / jaar) werkdagen gedeeld]]/Ruimtestaat[[#This Row],[Norm (m2/uur) werkdagen]],0)</f>
        <v>#DIV/0!</v>
      </c>
      <c r="AA871" s="441" t="e">
        <f>Ruimtestaat[[#This Row],[uren / jaar werkdagen gedeeld]]*Tariefsopbouw!$E$35</f>
        <v>#DIV/0!</v>
      </c>
      <c r="AB871" s="441">
        <f>Ruimtestaat[[#This Row],[Uitvoeringen werkdagen]]*Ruimtestaat[[#This Row],[BSO]]</f>
        <v>0</v>
      </c>
      <c r="AC871" s="443" t="e">
        <f>IF(U871&gt;0,Ruimtestaat[[#This Row],[Prest. (m2 / jaar) werkdagen BSO]]/Ruimtestaat[[#This Row],[Norm (m2/uur) werkdagen]],0)</f>
        <v>#DIV/0!</v>
      </c>
      <c r="AD871" s="443" t="e">
        <f>Ruimtestaat[[#This Row],[uren / jaar werkdagen BSO]]*Tariefsopbouw!$E$35</f>
        <v>#DIV/0!</v>
      </c>
      <c r="AE871" s="444">
        <f>Ruimtestaat[[#This Row],[uren / jaar werkdagen]]*Tariefsopbouw!$E$35</f>
        <v>0</v>
      </c>
      <c r="AF871" s="454"/>
      <c r="AG871" s="455">
        <f>IF(Ruimtestaat[[#This Row],[Frequentie weekend]]&gt;0,VALUE(LEFT(AF871,1))*S871,0)</f>
        <v>0</v>
      </c>
      <c r="AH871" s="455">
        <f>IF($AG871&gt;0,VLOOKUP($J871,Ruimtegroepen[],3,FALSE)*VLOOKUP($L871,Vloersoorten[],3,FALSE)*VLOOKUP($AF871,Frequenties[],3,FALSE)*VLOOKUP(#REF!,Locaties[],3,FALSE),0)</f>
        <v>0</v>
      </c>
      <c r="AI871" s="434">
        <f>Ruimtestaat[[#This Row],[Uitvoeringen weekend]]*Ruimtestaat[[#This Row],[Oppervlak (netto)]]</f>
        <v>0</v>
      </c>
      <c r="AJ871" s="434">
        <f>IF(AH871&gt;0,Ruimtestaat[[#This Row],[Prest. (m2 /jaar) weekend]]/Ruimtestaat[[#This Row],[Norm (m2/uur) weekend]],0)</f>
        <v>0</v>
      </c>
      <c r="AK871" s="444">
        <f>Ruimtestaat[[#This Row],[uren / jaar weekend]]*Tariefsopbouw!$D$40</f>
        <v>0</v>
      </c>
      <c r="AL871" s="441">
        <f>Ruimtestaat[[#This Row],[Prest. (m2 /jaar) weekend]]+Ruimtestaat[[#This Row],[Prest. (m2 /jaar) werkdagen]]</f>
        <v>10865</v>
      </c>
      <c r="AM871" s="441">
        <f>Ruimtestaat[[#This Row],[uren / jaar weekend]]+Ruimtestaat[[#This Row],[uren / jaar werkdagen]]</f>
        <v>0</v>
      </c>
      <c r="AN871" s="446">
        <f>Ruimtestaat[[#This Row],[kosten / jaar weekend]]+Ruimtestaat[[#This Row],[kosten / jaar werkdagen]]</f>
        <v>0</v>
      </c>
      <c r="AO871" s="446"/>
      <c r="AP871" s="446" t="str">
        <f>IF(Ruimtestaat[[#This Row],[Frequentie werkdagen]]="","",_xlfn.CONCAT(Ruimtestaat[[#This Row],[Ruimte code]],"-",Ruimtestaat[[#This Row],[Frequentie werkdagen]]," ",Ruimtestaat[[#This Row],[Vloer code]]))</f>
        <v>6-5w S</v>
      </c>
      <c r="AQ871" s="448" t="str">
        <f>_xlfn.IFNA(VLOOKUP($AP871,Programma!$F$3:$G$1101,2,0),"")</f>
        <v>_</v>
      </c>
      <c r="AR871" s="448" t="str">
        <f>_xlfn.IFNA(VLOOKUP($AP871,Programma!$F$3:$H$1101,3,0),"")</f>
        <v>_</v>
      </c>
      <c r="AS871" s="448" t="str">
        <f>_xlfn.IFNA(VLOOKUP($AP871,Programma!$F$3:$I$1101,4,0),"")</f>
        <v>5w</v>
      </c>
      <c r="AT871" s="448" t="str">
        <f>_xlfn.IFNA(VLOOKUP($AP871,Programma!$F$3:$J$1101,5,0),"")</f>
        <v>_</v>
      </c>
      <c r="AU871" s="448" t="str">
        <f>_xlfn.IFNA(VLOOKUP($AP871,Programma!$F$3:$K$1101,6,0),"")</f>
        <v>5w</v>
      </c>
      <c r="AV871" s="448" t="str">
        <f>_xlfn.IFNA(VLOOKUP($AP871,Programma!$F$3:$L$1101,7,0),"")</f>
        <v>_</v>
      </c>
      <c r="AW871" s="448" t="str">
        <f>_xlfn.IFNA(VLOOKUP($AP871,Programma!$F$3:$M$1101,8,0),"")</f>
        <v>_</v>
      </c>
      <c r="AX871" s="448" t="str">
        <f>_xlfn.IFNA(VLOOKUP($AP871,Programma!$F$3:$N$1101,9,0),"")</f>
        <v>_</v>
      </c>
      <c r="AY871" s="448" t="str">
        <f>_xlfn.IFNA(VLOOKUP($AP871,Programma!$F$3:$O$1101,10,0),"")</f>
        <v>5w</v>
      </c>
      <c r="AZ871" s="448" t="str">
        <f>_xlfn.IFNA(VLOOKUP($AP871,Programma!$F$3:$P$1101,11,0),"")</f>
        <v>5w</v>
      </c>
      <c r="BA871" s="448" t="str">
        <f>_xlfn.IFNA(VLOOKUP($AP871,Programma!$F$3:$Q$1101,12,0),"")</f>
        <v>1w</v>
      </c>
      <c r="BB871" s="448" t="str">
        <f>_xlfn.IFNA(VLOOKUP($AP871,Programma!$F$3:$R$1101,13,0),"")</f>
        <v>1w</v>
      </c>
      <c r="BC871" s="448" t="str">
        <f>_xlfn.IFNA(VLOOKUP($AP871,Programma!$F$3:$S$1101,14,0),"")</f>
        <v>1m</v>
      </c>
      <c r="BD871" s="448" t="str">
        <f>_xlfn.IFNA(VLOOKUP($AP871,Programma!$F$3:$T$1101,15,0),"")</f>
        <v>2j</v>
      </c>
      <c r="BE871" s="448" t="str">
        <f>_xlfn.IFNA(VLOOKUP($AP871,Programma!$F$3:$U$1101,16,0),"")</f>
        <v>1j</v>
      </c>
      <c r="BF871" s="448" t="str">
        <f>_xlfn.IFNA(VLOOKUP($AP871,Programma!$F$3:$V$1101,17,0),"")</f>
        <v>_</v>
      </c>
      <c r="BG871" s="448" t="str">
        <f>_xlfn.IFNA(VLOOKUP($AP871,Programma!$F$3:$W$1101,18,0),"")</f>
        <v>_</v>
      </c>
      <c r="BH871" s="448" t="str">
        <f>_xlfn.IFNA(VLOOKUP($AP871,Programma!$F$3:$X$1101,19,0),"")</f>
        <v>_</v>
      </c>
      <c r="BI871" s="448" t="str">
        <f>_xlfn.IFNA(VLOOKUP($AP871,Programma!$F$3:$Y$1101,20,0),"")</f>
        <v>_</v>
      </c>
      <c r="BJ871" s="449"/>
      <c r="BK871" s="446" t="str">
        <f>IF(Ruimtestaat[[#This Row],[Frequentie weekend]]="","",_xlfn.CONCAT(Ruimtestaat[[#This Row],[Ruimte code]],"-",Ruimtestaat[[#This Row],[Frequentie weekend]]," ",Ruimtestaat[[#This Row],[Vloer code]]))</f>
        <v/>
      </c>
      <c r="BL871" s="448" t="str">
        <f>_xlfn.IFNA(VLOOKUP($BK871,Programma!$F$3:$G$1101,2,0),"")</f>
        <v/>
      </c>
      <c r="BM871" s="448" t="str">
        <f>_xlfn.IFNA(VLOOKUP($BK871,Programma!$F$3:$H$1101,3,0),"")</f>
        <v/>
      </c>
      <c r="BN871" s="448" t="str">
        <f>_xlfn.IFNA(VLOOKUP($BK871,Programma!$F$3:$I$1101,4,0),"")</f>
        <v/>
      </c>
      <c r="BO871" s="448" t="str">
        <f>_xlfn.IFNA(VLOOKUP($BK871,Programma!$F$3:$J$1101,5,0),"")</f>
        <v/>
      </c>
      <c r="BP871" s="448" t="str">
        <f>_xlfn.IFNA(VLOOKUP($BK871,Programma!$F$3:$K$1101,6,0),"")</f>
        <v/>
      </c>
      <c r="BQ871" s="448" t="str">
        <f>_xlfn.IFNA(VLOOKUP($BK871,Programma!$F$3:$L$1101,7,0),"")</f>
        <v/>
      </c>
      <c r="BR871" s="448" t="str">
        <f>_xlfn.IFNA(VLOOKUP($BK871,Programma!$F$3:$M$1101,8,0),"")</f>
        <v/>
      </c>
      <c r="BS871" s="448" t="str">
        <f>_xlfn.IFNA(VLOOKUP($BK871,Programma!$F$3:$N$1101,9,0),"")</f>
        <v/>
      </c>
      <c r="BT871" s="448" t="str">
        <f>_xlfn.IFNA(VLOOKUP($BK871,Programma!$F$3:$O$1101,10,0),"")</f>
        <v/>
      </c>
      <c r="BU871" s="448" t="str">
        <f>_xlfn.IFNA(VLOOKUP($BK871,Programma!$F$3:$P$1101,11,0),"")</f>
        <v/>
      </c>
      <c r="BV871" s="448" t="str">
        <f>_xlfn.IFNA(VLOOKUP($BK871,Programma!$F$3:$Q$1101,12,0),"")</f>
        <v/>
      </c>
      <c r="BW871" s="448" t="str">
        <f>_xlfn.IFNA(VLOOKUP($BK871,Programma!$F$3:$R$1101,13,0),"")</f>
        <v/>
      </c>
      <c r="BX871" s="448" t="str">
        <f>_xlfn.IFNA(VLOOKUP($BK871,Programma!$F$3:$S$1101,14,0),"")</f>
        <v/>
      </c>
      <c r="BY871" s="448" t="str">
        <f>_xlfn.IFNA(VLOOKUP($BK871,Programma!$F$3:$T$1101,15,0),"")</f>
        <v/>
      </c>
      <c r="BZ871" s="448" t="str">
        <f>_xlfn.IFNA(VLOOKUP($BK871,Programma!$F$3:$U$1101,16,0),"")</f>
        <v/>
      </c>
      <c r="CA871" s="448" t="str">
        <f>_xlfn.IFNA(VLOOKUP($BK871,Programma!$F$3:$V$1101,17,0),"")</f>
        <v/>
      </c>
      <c r="CB871" s="448" t="str">
        <f>_xlfn.IFNA(VLOOKUP($BK871,Programma!$F$3:$W$1101,18,0),"")</f>
        <v/>
      </c>
      <c r="CC871" s="448" t="str">
        <f>_xlfn.IFNA(VLOOKUP($BK871,Programma!$F$3:$X$1101,19,0),"")</f>
        <v/>
      </c>
      <c r="CD871" s="448" t="str">
        <f>_xlfn.IFNA(VLOOKUP($BK871,Programma!$F$3:$Y$1101,20,0),"")</f>
        <v/>
      </c>
    </row>
    <row r="872" spans="1:82" ht="15" customHeight="1">
      <c r="A872" s="327">
        <v>25</v>
      </c>
      <c r="B872" s="435" t="str">
        <f>VLOOKUP(Ruimtestaat[[#This Row],[Code]],Locaties[[Code]:[Locatie]],2,FALSE)</f>
        <v>IKC De Piramide</v>
      </c>
      <c r="C872" s="435" t="str">
        <f>VLOOKUP(Ruimtestaat[[#This Row],[Code]],Locaties[[#All],[Code]:[Adres]],4,FALSE)</f>
        <v>Fivelingo 84</v>
      </c>
      <c r="D872" s="435" t="str">
        <f>VLOOKUP(Ruimtestaat[[#This Row],[Code]],Locaties[[#All],[Code]:[Postcode]],5,FALSE)</f>
        <v>2716 BG</v>
      </c>
      <c r="E872" s="435" t="str">
        <f>VLOOKUP(Ruimtestaat[[#This Row],[Code]],Locaties[#All],6,FALSE)</f>
        <v>Zoetermeer</v>
      </c>
      <c r="F872" s="450" t="s">
        <v>2059</v>
      </c>
      <c r="G872" s="330" t="s">
        <v>1678</v>
      </c>
      <c r="H872" s="330" t="s">
        <v>1884</v>
      </c>
      <c r="I872" s="450" t="s">
        <v>1749</v>
      </c>
      <c r="J872" s="330">
        <v>2</v>
      </c>
      <c r="K872" s="450" t="str">
        <f>VLOOKUP(Ruimtestaat[[#This Row],[Ruimte code]],Ruimtegroepen[[#All],[Code]:[Ruimte omschrijving]],2,FALSE)</f>
        <v>Kantoren</v>
      </c>
      <c r="L872" s="434" t="s">
        <v>99</v>
      </c>
      <c r="M872" s="437" t="s">
        <v>36</v>
      </c>
      <c r="N872" s="439">
        <v>14</v>
      </c>
      <c r="O872" s="439"/>
      <c r="P872" s="439"/>
      <c r="Q872" s="439"/>
      <c r="R872" s="440" t="str">
        <f>VLOOKUP(Ruimtestaat[[#This Row],[Ruimte code]],Ruimtegroepen[],4,FALSE)</f>
        <v>Bu</v>
      </c>
      <c r="S872" s="434">
        <v>41</v>
      </c>
      <c r="T872" s="434" t="s">
        <v>2</v>
      </c>
      <c r="U872" s="453">
        <f>IF(S872&gt;0,IF(RIGHT(Ruimtestaat[[#This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72" s="434">
        <f>IF(U872&gt;0,VLOOKUP($J872,Ruimtegroepen[],3,FALSE)*VLOOKUP($L872,Vloersoorten[],3,FALSE)*VLOOKUP($T872,Frequenties[],3,FALSE)*VLOOKUP($A872,Locaties[],3,FALSE),0)</f>
        <v>0</v>
      </c>
      <c r="W872" s="434">
        <f>Ruimtestaat[[#This Row],[Uitvoeringen werkdagen]]*Ruimtestaat[[#This Row],[Oppervlak (netto)]]</f>
        <v>2870</v>
      </c>
      <c r="X872" s="441">
        <f>IF(V872&gt;0,Ruimtestaat[[#This Row],[Prest. (m2 /jaar) werkdagen]]/Ruimtestaat[[#This Row],[Norm (m2/uur) werkdagen]],0)</f>
        <v>0</v>
      </c>
      <c r="Y872" s="442">
        <f>Ruimtestaat[[#This Row],[Uitvoeringen werkdagen]]*Ruimtestaat[[#This Row],[Gedeeltelijk]]</f>
        <v>0</v>
      </c>
      <c r="Z872" s="443" t="e">
        <f>IF(U872&gt;0,Ruimtestaat[[#This Row],[Prest. (m2 / jaar) werkdagen gedeeld]]/Ruimtestaat[[#This Row],[Norm (m2/uur) werkdagen]],0)</f>
        <v>#DIV/0!</v>
      </c>
      <c r="AA872" s="441" t="e">
        <f>Ruimtestaat[[#This Row],[uren / jaar werkdagen gedeeld]]*Tariefsopbouw!$E$35</f>
        <v>#DIV/0!</v>
      </c>
      <c r="AB872" s="441">
        <f>Ruimtestaat[[#This Row],[Uitvoeringen werkdagen]]*Ruimtestaat[[#This Row],[BSO]]</f>
        <v>0</v>
      </c>
      <c r="AC872" s="443" t="e">
        <f>IF(U872&gt;0,Ruimtestaat[[#This Row],[Prest. (m2 / jaar) werkdagen BSO]]/Ruimtestaat[[#This Row],[Norm (m2/uur) werkdagen]],0)</f>
        <v>#DIV/0!</v>
      </c>
      <c r="AD872" s="443" t="e">
        <f>Ruimtestaat[[#This Row],[uren / jaar werkdagen BSO]]*Tariefsopbouw!$E$35</f>
        <v>#DIV/0!</v>
      </c>
      <c r="AE872" s="444">
        <f>Ruimtestaat[[#This Row],[uren / jaar werkdagen]]*Tariefsopbouw!$E$35</f>
        <v>0</v>
      </c>
      <c r="AF872" s="454"/>
      <c r="AG872" s="455">
        <f>IF(Ruimtestaat[[#This Row],[Frequentie weekend]]&gt;0,VALUE(LEFT(AF872,1))*S872,0)</f>
        <v>0</v>
      </c>
      <c r="AH872" s="455">
        <f>IF($AG872&gt;0,VLOOKUP($J872,Ruimtegroepen[],3,FALSE)*VLOOKUP($L872,Vloersoorten[],3,FALSE)*VLOOKUP($AF872,Frequenties[],3,FALSE)*VLOOKUP(#REF!,Locaties[],3,FALSE),0)</f>
        <v>0</v>
      </c>
      <c r="AI872" s="434">
        <f>Ruimtestaat[[#This Row],[Uitvoeringen weekend]]*Ruimtestaat[[#This Row],[Oppervlak (netto)]]</f>
        <v>0</v>
      </c>
      <c r="AJ872" s="434">
        <f>IF(AH872&gt;0,Ruimtestaat[[#This Row],[Prest. (m2 /jaar) weekend]]/Ruimtestaat[[#This Row],[Norm (m2/uur) weekend]],0)</f>
        <v>0</v>
      </c>
      <c r="AK872" s="444">
        <f>Ruimtestaat[[#This Row],[uren / jaar weekend]]*Tariefsopbouw!$D$40</f>
        <v>0</v>
      </c>
      <c r="AL872" s="441">
        <f>Ruimtestaat[[#This Row],[Prest. (m2 /jaar) weekend]]+Ruimtestaat[[#This Row],[Prest. (m2 /jaar) werkdagen]]</f>
        <v>2870</v>
      </c>
      <c r="AM872" s="441">
        <f>Ruimtestaat[[#This Row],[uren / jaar weekend]]+Ruimtestaat[[#This Row],[uren / jaar werkdagen]]</f>
        <v>0</v>
      </c>
      <c r="AN872" s="446">
        <f>Ruimtestaat[[#This Row],[kosten / jaar weekend]]+Ruimtestaat[[#This Row],[kosten / jaar werkdagen]]</f>
        <v>0</v>
      </c>
      <c r="AO872" s="446"/>
      <c r="AP872" s="446" t="str">
        <f>IF(Ruimtestaat[[#This Row],[Frequentie werkdagen]]="","",_xlfn.CONCAT(Ruimtestaat[[#This Row],[Ruimte code]],"-",Ruimtestaat[[#This Row],[Frequentie werkdagen]]," ",Ruimtestaat[[#This Row],[Vloer code]]))</f>
        <v>2-5w T</v>
      </c>
      <c r="AQ872" s="448" t="str">
        <f>_xlfn.IFNA(VLOOKUP($AP872,Programma!$F$3:$G$1101,2,0),"")</f>
        <v>4w</v>
      </c>
      <c r="AR872" s="448" t="str">
        <f>_xlfn.IFNA(VLOOKUP($AP872,Programma!$F$3:$H$1101,3,0),"")</f>
        <v>1w</v>
      </c>
      <c r="AS872" s="448" t="str">
        <f>_xlfn.IFNA(VLOOKUP($AP872,Programma!$F$3:$I$1101,4,0),"")</f>
        <v>_</v>
      </c>
      <c r="AT872" s="448" t="str">
        <f>_xlfn.IFNA(VLOOKUP($AP872,Programma!$F$3:$J$1101,5,0),"")</f>
        <v>_</v>
      </c>
      <c r="AU872" s="448" t="str">
        <f>_xlfn.IFNA(VLOOKUP($AP872,Programma!$F$3:$K$1101,6,0),"")</f>
        <v>_</v>
      </c>
      <c r="AV872" s="448" t="str">
        <f>_xlfn.IFNA(VLOOKUP($AP872,Programma!$F$3:$L$1101,7,0),"")</f>
        <v>_</v>
      </c>
      <c r="AW872" s="448" t="str">
        <f>_xlfn.IFNA(VLOOKUP($AP872,Programma!$F$3:$M$1101,8,0),"")</f>
        <v>_</v>
      </c>
      <c r="AX872" s="448" t="str">
        <f>_xlfn.IFNA(VLOOKUP($AP872,Programma!$F$3:$N$1101,9,0),"")</f>
        <v>_</v>
      </c>
      <c r="AY872" s="448" t="str">
        <f>_xlfn.IFNA(VLOOKUP($AP872,Programma!$F$3:$O$1101,10,0),"")</f>
        <v>5w</v>
      </c>
      <c r="AZ872" s="448" t="str">
        <f>_xlfn.IFNA(VLOOKUP($AP872,Programma!$F$3:$P$1101,11,0),"")</f>
        <v>5w</v>
      </c>
      <c r="BA872" s="448" t="str">
        <f>_xlfn.IFNA(VLOOKUP($AP872,Programma!$F$3:$Q$1101,12,0),"")</f>
        <v>1w</v>
      </c>
      <c r="BB872" s="448" t="str">
        <f>_xlfn.IFNA(VLOOKUP($AP872,Programma!$F$3:$R$1101,13,0),"")</f>
        <v>1w</v>
      </c>
      <c r="BC872" s="448" t="str">
        <f>_xlfn.IFNA(VLOOKUP($AP872,Programma!$F$3:$S$1101,14,0),"")</f>
        <v>1m</v>
      </c>
      <c r="BD872" s="448" t="str">
        <f>_xlfn.IFNA(VLOOKUP($AP872,Programma!$F$3:$T$1101,15,0),"")</f>
        <v>2j</v>
      </c>
      <c r="BE872" s="448" t="str">
        <f>_xlfn.IFNA(VLOOKUP($AP872,Programma!$F$3:$U$1101,16,0),"")</f>
        <v>1j</v>
      </c>
      <c r="BF872" s="448" t="str">
        <f>_xlfn.IFNA(VLOOKUP($AP872,Programma!$F$3:$V$1101,17,0),"")</f>
        <v>_</v>
      </c>
      <c r="BG872" s="448" t="str">
        <f>_xlfn.IFNA(VLOOKUP($AP872,Programma!$F$3:$W$1101,18,0),"")</f>
        <v>_</v>
      </c>
      <c r="BH872" s="448" t="str">
        <f>_xlfn.IFNA(VLOOKUP($AP872,Programma!$F$3:$X$1101,19,0),"")</f>
        <v>_</v>
      </c>
      <c r="BI872" s="448" t="str">
        <f>_xlfn.IFNA(VLOOKUP($AP872,Programma!$F$3:$Y$1101,20,0),"")</f>
        <v>_</v>
      </c>
      <c r="BJ872" s="449"/>
      <c r="BK872" s="446" t="str">
        <f>IF(Ruimtestaat[[#This Row],[Frequentie weekend]]="","",_xlfn.CONCAT(Ruimtestaat[[#This Row],[Ruimte code]],"-",Ruimtestaat[[#This Row],[Frequentie weekend]]," ",Ruimtestaat[[#This Row],[Vloer code]]))</f>
        <v/>
      </c>
      <c r="BL872" s="448" t="str">
        <f>_xlfn.IFNA(VLOOKUP($BK872,Programma!$F$3:$G$1101,2,0),"")</f>
        <v/>
      </c>
      <c r="BM872" s="448" t="str">
        <f>_xlfn.IFNA(VLOOKUP($BK872,Programma!$F$3:$H$1101,3,0),"")</f>
        <v/>
      </c>
      <c r="BN872" s="448" t="str">
        <f>_xlfn.IFNA(VLOOKUP($BK872,Programma!$F$3:$I$1101,4,0),"")</f>
        <v/>
      </c>
      <c r="BO872" s="448" t="str">
        <f>_xlfn.IFNA(VLOOKUP($BK872,Programma!$F$3:$J$1101,5,0),"")</f>
        <v/>
      </c>
      <c r="BP872" s="448" t="str">
        <f>_xlfn.IFNA(VLOOKUP($BK872,Programma!$F$3:$K$1101,6,0),"")</f>
        <v/>
      </c>
      <c r="BQ872" s="448" t="str">
        <f>_xlfn.IFNA(VLOOKUP($BK872,Programma!$F$3:$L$1101,7,0),"")</f>
        <v/>
      </c>
      <c r="BR872" s="448" t="str">
        <f>_xlfn.IFNA(VLOOKUP($BK872,Programma!$F$3:$M$1101,8,0),"")</f>
        <v/>
      </c>
      <c r="BS872" s="448" t="str">
        <f>_xlfn.IFNA(VLOOKUP($BK872,Programma!$F$3:$N$1101,9,0),"")</f>
        <v/>
      </c>
      <c r="BT872" s="448" t="str">
        <f>_xlfn.IFNA(VLOOKUP($BK872,Programma!$F$3:$O$1101,10,0),"")</f>
        <v/>
      </c>
      <c r="BU872" s="448" t="str">
        <f>_xlfn.IFNA(VLOOKUP($BK872,Programma!$F$3:$P$1101,11,0),"")</f>
        <v/>
      </c>
      <c r="BV872" s="448" t="str">
        <f>_xlfn.IFNA(VLOOKUP($BK872,Programma!$F$3:$Q$1101,12,0),"")</f>
        <v/>
      </c>
      <c r="BW872" s="448" t="str">
        <f>_xlfn.IFNA(VLOOKUP($BK872,Programma!$F$3:$R$1101,13,0),"")</f>
        <v/>
      </c>
      <c r="BX872" s="448" t="str">
        <f>_xlfn.IFNA(VLOOKUP($BK872,Programma!$F$3:$S$1101,14,0),"")</f>
        <v/>
      </c>
      <c r="BY872" s="448" t="str">
        <f>_xlfn.IFNA(VLOOKUP($BK872,Programma!$F$3:$T$1101,15,0),"")</f>
        <v/>
      </c>
      <c r="BZ872" s="448" t="str">
        <f>_xlfn.IFNA(VLOOKUP($BK872,Programma!$F$3:$U$1101,16,0),"")</f>
        <v/>
      </c>
      <c r="CA872" s="448" t="str">
        <f>_xlfn.IFNA(VLOOKUP($BK872,Programma!$F$3:$V$1101,17,0),"")</f>
        <v/>
      </c>
      <c r="CB872" s="448" t="str">
        <f>_xlfn.IFNA(VLOOKUP($BK872,Programma!$F$3:$W$1101,18,0),"")</f>
        <v/>
      </c>
      <c r="CC872" s="448" t="str">
        <f>_xlfn.IFNA(VLOOKUP($BK872,Programma!$F$3:$X$1101,19,0),"")</f>
        <v/>
      </c>
      <c r="CD872" s="448" t="str">
        <f>_xlfn.IFNA(VLOOKUP($BK872,Programma!$F$3:$Y$1101,20,0),"")</f>
        <v/>
      </c>
    </row>
    <row r="873" spans="1:82" ht="15" customHeight="1">
      <c r="A873" s="327">
        <v>25</v>
      </c>
      <c r="B873" s="435" t="str">
        <f>VLOOKUP(Ruimtestaat[[#This Row],[Code]],Locaties[[Code]:[Locatie]],2,FALSE)</f>
        <v>IKC De Piramide</v>
      </c>
      <c r="C873" s="435" t="str">
        <f>VLOOKUP(Ruimtestaat[[#This Row],[Code]],Locaties[[#All],[Code]:[Adres]],4,FALSE)</f>
        <v>Fivelingo 84</v>
      </c>
      <c r="D873" s="435" t="str">
        <f>VLOOKUP(Ruimtestaat[[#This Row],[Code]],Locaties[[#All],[Code]:[Postcode]],5,FALSE)</f>
        <v>2716 BG</v>
      </c>
      <c r="E873" s="435" t="str">
        <f>VLOOKUP(Ruimtestaat[[#This Row],[Code]],Locaties[#All],6,FALSE)</f>
        <v>Zoetermeer</v>
      </c>
      <c r="F873" s="450" t="s">
        <v>2059</v>
      </c>
      <c r="G873" s="330" t="s">
        <v>1678</v>
      </c>
      <c r="H873" s="330" t="s">
        <v>1883</v>
      </c>
      <c r="I873" s="450" t="s">
        <v>1749</v>
      </c>
      <c r="J873" s="330">
        <v>2</v>
      </c>
      <c r="K873" s="450" t="str">
        <f>VLOOKUP(Ruimtestaat[[#This Row],[Ruimte code]],Ruimtegroepen[[#All],[Code]:[Ruimte omschrijving]],2,FALSE)</f>
        <v>Kantoren</v>
      </c>
      <c r="L873" s="434" t="s">
        <v>99</v>
      </c>
      <c r="M873" s="437" t="s">
        <v>36</v>
      </c>
      <c r="N873" s="439">
        <v>30</v>
      </c>
      <c r="O873" s="439"/>
      <c r="P873" s="439"/>
      <c r="Q873" s="439"/>
      <c r="R873" s="440" t="str">
        <f>VLOOKUP(Ruimtestaat[[#This Row],[Ruimte code]],Ruimtegroepen[],4,FALSE)</f>
        <v>Bu</v>
      </c>
      <c r="S873" s="434">
        <v>41</v>
      </c>
      <c r="T873" s="434" t="s">
        <v>2</v>
      </c>
      <c r="U873" s="453">
        <f>IF(S873&gt;0,IF(RIGHT(Ruimtestaat[[#This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73" s="434">
        <f>IF(U873&gt;0,VLOOKUP($J873,Ruimtegroepen[],3,FALSE)*VLOOKUP($L873,Vloersoorten[],3,FALSE)*VLOOKUP($T873,Frequenties[],3,FALSE)*VLOOKUP($A873,Locaties[],3,FALSE),0)</f>
        <v>0</v>
      </c>
      <c r="W873" s="434">
        <f>Ruimtestaat[[#This Row],[Uitvoeringen werkdagen]]*Ruimtestaat[[#This Row],[Oppervlak (netto)]]</f>
        <v>6150</v>
      </c>
      <c r="X873" s="441">
        <f>IF(V873&gt;0,Ruimtestaat[[#This Row],[Prest. (m2 /jaar) werkdagen]]/Ruimtestaat[[#This Row],[Norm (m2/uur) werkdagen]],0)</f>
        <v>0</v>
      </c>
      <c r="Y873" s="442">
        <f>Ruimtestaat[[#This Row],[Uitvoeringen werkdagen]]*Ruimtestaat[[#This Row],[Gedeeltelijk]]</f>
        <v>0</v>
      </c>
      <c r="Z873" s="443" t="e">
        <f>IF(U873&gt;0,Ruimtestaat[[#This Row],[Prest. (m2 / jaar) werkdagen gedeeld]]/Ruimtestaat[[#This Row],[Norm (m2/uur) werkdagen]],0)</f>
        <v>#DIV/0!</v>
      </c>
      <c r="AA873" s="441" t="e">
        <f>Ruimtestaat[[#This Row],[uren / jaar werkdagen gedeeld]]*Tariefsopbouw!$E$35</f>
        <v>#DIV/0!</v>
      </c>
      <c r="AB873" s="441">
        <f>Ruimtestaat[[#This Row],[Uitvoeringen werkdagen]]*Ruimtestaat[[#This Row],[BSO]]</f>
        <v>0</v>
      </c>
      <c r="AC873" s="443" t="e">
        <f>IF(U873&gt;0,Ruimtestaat[[#This Row],[Prest. (m2 / jaar) werkdagen BSO]]/Ruimtestaat[[#This Row],[Norm (m2/uur) werkdagen]],0)</f>
        <v>#DIV/0!</v>
      </c>
      <c r="AD873" s="443" t="e">
        <f>Ruimtestaat[[#This Row],[uren / jaar werkdagen BSO]]*Tariefsopbouw!$E$35</f>
        <v>#DIV/0!</v>
      </c>
      <c r="AE873" s="444">
        <f>Ruimtestaat[[#This Row],[uren / jaar werkdagen]]*Tariefsopbouw!$E$35</f>
        <v>0</v>
      </c>
      <c r="AF873" s="454"/>
      <c r="AG873" s="455">
        <f>IF(Ruimtestaat[[#This Row],[Frequentie weekend]]&gt;0,VALUE(LEFT(AF873,1))*S873,0)</f>
        <v>0</v>
      </c>
      <c r="AH873" s="455">
        <f>IF($AG873&gt;0,VLOOKUP($J873,Ruimtegroepen[],3,FALSE)*VLOOKUP($L873,Vloersoorten[],3,FALSE)*VLOOKUP($AF873,Frequenties[],3,FALSE)*VLOOKUP(#REF!,Locaties[],3,FALSE),0)</f>
        <v>0</v>
      </c>
      <c r="AI873" s="434">
        <f>Ruimtestaat[[#This Row],[Uitvoeringen weekend]]*Ruimtestaat[[#This Row],[Oppervlak (netto)]]</f>
        <v>0</v>
      </c>
      <c r="AJ873" s="434">
        <f>IF(AH873&gt;0,Ruimtestaat[[#This Row],[Prest. (m2 /jaar) weekend]]/Ruimtestaat[[#This Row],[Norm (m2/uur) weekend]],0)</f>
        <v>0</v>
      </c>
      <c r="AK873" s="444">
        <f>Ruimtestaat[[#This Row],[uren / jaar weekend]]*Tariefsopbouw!$D$40</f>
        <v>0</v>
      </c>
      <c r="AL873" s="441">
        <f>Ruimtestaat[[#This Row],[Prest. (m2 /jaar) weekend]]+Ruimtestaat[[#This Row],[Prest. (m2 /jaar) werkdagen]]</f>
        <v>6150</v>
      </c>
      <c r="AM873" s="441">
        <f>Ruimtestaat[[#This Row],[uren / jaar weekend]]+Ruimtestaat[[#This Row],[uren / jaar werkdagen]]</f>
        <v>0</v>
      </c>
      <c r="AN873" s="446">
        <f>Ruimtestaat[[#This Row],[kosten / jaar weekend]]+Ruimtestaat[[#This Row],[kosten / jaar werkdagen]]</f>
        <v>0</v>
      </c>
      <c r="AO873" s="446"/>
      <c r="AP873" s="446" t="str">
        <f>IF(Ruimtestaat[[#This Row],[Frequentie werkdagen]]="","",_xlfn.CONCAT(Ruimtestaat[[#This Row],[Ruimte code]],"-",Ruimtestaat[[#This Row],[Frequentie werkdagen]]," ",Ruimtestaat[[#This Row],[Vloer code]]))</f>
        <v>2-5w T</v>
      </c>
      <c r="AQ873" s="448" t="str">
        <f>_xlfn.IFNA(VLOOKUP($AP873,Programma!$F$3:$G$1101,2,0),"")</f>
        <v>4w</v>
      </c>
      <c r="AR873" s="448" t="str">
        <f>_xlfn.IFNA(VLOOKUP($AP873,Programma!$F$3:$H$1101,3,0),"")</f>
        <v>1w</v>
      </c>
      <c r="AS873" s="448" t="str">
        <f>_xlfn.IFNA(VLOOKUP($AP873,Programma!$F$3:$I$1101,4,0),"")</f>
        <v>_</v>
      </c>
      <c r="AT873" s="448" t="str">
        <f>_xlfn.IFNA(VLOOKUP($AP873,Programma!$F$3:$J$1101,5,0),"")</f>
        <v>_</v>
      </c>
      <c r="AU873" s="448" t="str">
        <f>_xlfn.IFNA(VLOOKUP($AP873,Programma!$F$3:$K$1101,6,0),"")</f>
        <v>_</v>
      </c>
      <c r="AV873" s="448" t="str">
        <f>_xlfn.IFNA(VLOOKUP($AP873,Programma!$F$3:$L$1101,7,0),"")</f>
        <v>_</v>
      </c>
      <c r="AW873" s="448" t="str">
        <f>_xlfn.IFNA(VLOOKUP($AP873,Programma!$F$3:$M$1101,8,0),"")</f>
        <v>_</v>
      </c>
      <c r="AX873" s="448" t="str">
        <f>_xlfn.IFNA(VLOOKUP($AP873,Programma!$F$3:$N$1101,9,0),"")</f>
        <v>_</v>
      </c>
      <c r="AY873" s="448" t="str">
        <f>_xlfn.IFNA(VLOOKUP($AP873,Programma!$F$3:$O$1101,10,0),"")</f>
        <v>5w</v>
      </c>
      <c r="AZ873" s="448" t="str">
        <f>_xlfn.IFNA(VLOOKUP($AP873,Programma!$F$3:$P$1101,11,0),"")</f>
        <v>5w</v>
      </c>
      <c r="BA873" s="448" t="str">
        <f>_xlfn.IFNA(VLOOKUP($AP873,Programma!$F$3:$Q$1101,12,0),"")</f>
        <v>1w</v>
      </c>
      <c r="BB873" s="448" t="str">
        <f>_xlfn.IFNA(VLOOKUP($AP873,Programma!$F$3:$R$1101,13,0),"")</f>
        <v>1w</v>
      </c>
      <c r="BC873" s="448" t="str">
        <f>_xlfn.IFNA(VLOOKUP($AP873,Programma!$F$3:$S$1101,14,0),"")</f>
        <v>1m</v>
      </c>
      <c r="BD873" s="448" t="str">
        <f>_xlfn.IFNA(VLOOKUP($AP873,Programma!$F$3:$T$1101,15,0),"")</f>
        <v>2j</v>
      </c>
      <c r="BE873" s="448" t="str">
        <f>_xlfn.IFNA(VLOOKUP($AP873,Programma!$F$3:$U$1101,16,0),"")</f>
        <v>1j</v>
      </c>
      <c r="BF873" s="448" t="str">
        <f>_xlfn.IFNA(VLOOKUP($AP873,Programma!$F$3:$V$1101,17,0),"")</f>
        <v>_</v>
      </c>
      <c r="BG873" s="448" t="str">
        <f>_xlfn.IFNA(VLOOKUP($AP873,Programma!$F$3:$W$1101,18,0),"")</f>
        <v>_</v>
      </c>
      <c r="BH873" s="448" t="str">
        <f>_xlfn.IFNA(VLOOKUP($AP873,Programma!$F$3:$X$1101,19,0),"")</f>
        <v>_</v>
      </c>
      <c r="BI873" s="448" t="str">
        <f>_xlfn.IFNA(VLOOKUP($AP873,Programma!$F$3:$Y$1101,20,0),"")</f>
        <v>_</v>
      </c>
      <c r="BJ873" s="449"/>
      <c r="BK873" s="446" t="str">
        <f>IF(Ruimtestaat[[#This Row],[Frequentie weekend]]="","",_xlfn.CONCAT(Ruimtestaat[[#This Row],[Ruimte code]],"-",Ruimtestaat[[#This Row],[Frequentie weekend]]," ",Ruimtestaat[[#This Row],[Vloer code]]))</f>
        <v/>
      </c>
      <c r="BL873" s="448" t="str">
        <f>_xlfn.IFNA(VLOOKUP($BK873,Programma!$F$3:$G$1101,2,0),"")</f>
        <v/>
      </c>
      <c r="BM873" s="448" t="str">
        <f>_xlfn.IFNA(VLOOKUP($BK873,Programma!$F$3:$H$1101,3,0),"")</f>
        <v/>
      </c>
      <c r="BN873" s="448" t="str">
        <f>_xlfn.IFNA(VLOOKUP($BK873,Programma!$F$3:$I$1101,4,0),"")</f>
        <v/>
      </c>
      <c r="BO873" s="448" t="str">
        <f>_xlfn.IFNA(VLOOKUP($BK873,Programma!$F$3:$J$1101,5,0),"")</f>
        <v/>
      </c>
      <c r="BP873" s="448" t="str">
        <f>_xlfn.IFNA(VLOOKUP($BK873,Programma!$F$3:$K$1101,6,0),"")</f>
        <v/>
      </c>
      <c r="BQ873" s="448" t="str">
        <f>_xlfn.IFNA(VLOOKUP($BK873,Programma!$F$3:$L$1101,7,0),"")</f>
        <v/>
      </c>
      <c r="BR873" s="448" t="str">
        <f>_xlfn.IFNA(VLOOKUP($BK873,Programma!$F$3:$M$1101,8,0),"")</f>
        <v/>
      </c>
      <c r="BS873" s="448" t="str">
        <f>_xlfn.IFNA(VLOOKUP($BK873,Programma!$F$3:$N$1101,9,0),"")</f>
        <v/>
      </c>
      <c r="BT873" s="448" t="str">
        <f>_xlfn.IFNA(VLOOKUP($BK873,Programma!$F$3:$O$1101,10,0),"")</f>
        <v/>
      </c>
      <c r="BU873" s="448" t="str">
        <f>_xlfn.IFNA(VLOOKUP($BK873,Programma!$F$3:$P$1101,11,0),"")</f>
        <v/>
      </c>
      <c r="BV873" s="448" t="str">
        <f>_xlfn.IFNA(VLOOKUP($BK873,Programma!$F$3:$Q$1101,12,0),"")</f>
        <v/>
      </c>
      <c r="BW873" s="448" t="str">
        <f>_xlfn.IFNA(VLOOKUP($BK873,Programma!$F$3:$R$1101,13,0),"")</f>
        <v/>
      </c>
      <c r="BX873" s="448" t="str">
        <f>_xlfn.IFNA(VLOOKUP($BK873,Programma!$F$3:$S$1101,14,0),"")</f>
        <v/>
      </c>
      <c r="BY873" s="448" t="str">
        <f>_xlfn.IFNA(VLOOKUP($BK873,Programma!$F$3:$T$1101,15,0),"")</f>
        <v/>
      </c>
      <c r="BZ873" s="448" t="str">
        <f>_xlfn.IFNA(VLOOKUP($BK873,Programma!$F$3:$U$1101,16,0),"")</f>
        <v/>
      </c>
      <c r="CA873" s="448" t="str">
        <f>_xlfn.IFNA(VLOOKUP($BK873,Programma!$F$3:$V$1101,17,0),"")</f>
        <v/>
      </c>
      <c r="CB873" s="448" t="str">
        <f>_xlfn.IFNA(VLOOKUP($BK873,Programma!$F$3:$W$1101,18,0),"")</f>
        <v/>
      </c>
      <c r="CC873" s="448" t="str">
        <f>_xlfn.IFNA(VLOOKUP($BK873,Programma!$F$3:$X$1101,19,0),"")</f>
        <v/>
      </c>
      <c r="CD873" s="448" t="str">
        <f>_xlfn.IFNA(VLOOKUP($BK873,Programma!$F$3:$Y$1101,20,0),"")</f>
        <v/>
      </c>
    </row>
    <row r="874" spans="1:82" ht="15" customHeight="1">
      <c r="A874" s="327">
        <v>25</v>
      </c>
      <c r="B874" s="435" t="str">
        <f>VLOOKUP(Ruimtestaat[[#This Row],[Code]],Locaties[[Code]:[Locatie]],2,FALSE)</f>
        <v>IKC De Piramide</v>
      </c>
      <c r="C874" s="435" t="str">
        <f>VLOOKUP(Ruimtestaat[[#This Row],[Code]],Locaties[[#All],[Code]:[Adres]],4,FALSE)</f>
        <v>Fivelingo 84</v>
      </c>
      <c r="D874" s="435" t="str">
        <f>VLOOKUP(Ruimtestaat[[#This Row],[Code]],Locaties[[#All],[Code]:[Postcode]],5,FALSE)</f>
        <v>2716 BG</v>
      </c>
      <c r="E874" s="435" t="str">
        <f>VLOOKUP(Ruimtestaat[[#This Row],[Code]],Locaties[#All],6,FALSE)</f>
        <v>Zoetermeer</v>
      </c>
      <c r="F874" s="450" t="s">
        <v>2059</v>
      </c>
      <c r="G874" s="330" t="s">
        <v>1678</v>
      </c>
      <c r="H874" s="330" t="s">
        <v>1885</v>
      </c>
      <c r="I874" s="450" t="s">
        <v>1749</v>
      </c>
      <c r="J874" s="330">
        <v>2</v>
      </c>
      <c r="K874" s="450" t="str">
        <f>VLOOKUP(Ruimtestaat[[#This Row],[Ruimte code]],Ruimtegroepen[[#All],[Code]:[Ruimte omschrijving]],2,FALSE)</f>
        <v>Kantoren</v>
      </c>
      <c r="L874" s="434" t="s">
        <v>99</v>
      </c>
      <c r="M874" s="437" t="s">
        <v>36</v>
      </c>
      <c r="N874" s="439">
        <v>11</v>
      </c>
      <c r="O874" s="439"/>
      <c r="P874" s="439"/>
      <c r="Q874" s="439"/>
      <c r="R874" s="440" t="str">
        <f>VLOOKUP(Ruimtestaat[[#This Row],[Ruimte code]],Ruimtegroepen[],4,FALSE)</f>
        <v>Bu</v>
      </c>
      <c r="S874" s="434">
        <v>41</v>
      </c>
      <c r="T874" s="434" t="s">
        <v>2</v>
      </c>
      <c r="U874" s="453">
        <f>IF(S874&gt;0,IF(RIGHT(Ruimtestaat[[#This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74" s="434">
        <f>IF(U874&gt;0,VLOOKUP($J874,Ruimtegroepen[],3,FALSE)*VLOOKUP($L874,Vloersoorten[],3,FALSE)*VLOOKUP($T874,Frequenties[],3,FALSE)*VLOOKUP($A874,Locaties[],3,FALSE),0)</f>
        <v>0</v>
      </c>
      <c r="W874" s="434">
        <f>Ruimtestaat[[#This Row],[Uitvoeringen werkdagen]]*Ruimtestaat[[#This Row],[Oppervlak (netto)]]</f>
        <v>2255</v>
      </c>
      <c r="X874" s="441">
        <f>IF(V874&gt;0,Ruimtestaat[[#This Row],[Prest. (m2 /jaar) werkdagen]]/Ruimtestaat[[#This Row],[Norm (m2/uur) werkdagen]],0)</f>
        <v>0</v>
      </c>
      <c r="Y874" s="442">
        <f>Ruimtestaat[[#This Row],[Uitvoeringen werkdagen]]*Ruimtestaat[[#This Row],[Gedeeltelijk]]</f>
        <v>0</v>
      </c>
      <c r="Z874" s="443" t="e">
        <f>IF(U874&gt;0,Ruimtestaat[[#This Row],[Prest. (m2 / jaar) werkdagen gedeeld]]/Ruimtestaat[[#This Row],[Norm (m2/uur) werkdagen]],0)</f>
        <v>#DIV/0!</v>
      </c>
      <c r="AA874" s="441" t="e">
        <f>Ruimtestaat[[#This Row],[uren / jaar werkdagen gedeeld]]*Tariefsopbouw!$E$35</f>
        <v>#DIV/0!</v>
      </c>
      <c r="AB874" s="441">
        <f>Ruimtestaat[[#This Row],[Uitvoeringen werkdagen]]*Ruimtestaat[[#This Row],[BSO]]</f>
        <v>0</v>
      </c>
      <c r="AC874" s="443" t="e">
        <f>IF(U874&gt;0,Ruimtestaat[[#This Row],[Prest. (m2 / jaar) werkdagen BSO]]/Ruimtestaat[[#This Row],[Norm (m2/uur) werkdagen]],0)</f>
        <v>#DIV/0!</v>
      </c>
      <c r="AD874" s="443" t="e">
        <f>Ruimtestaat[[#This Row],[uren / jaar werkdagen BSO]]*Tariefsopbouw!$E$35</f>
        <v>#DIV/0!</v>
      </c>
      <c r="AE874" s="444">
        <f>Ruimtestaat[[#This Row],[uren / jaar werkdagen]]*Tariefsopbouw!$E$35</f>
        <v>0</v>
      </c>
      <c r="AF874" s="454"/>
      <c r="AG874" s="455">
        <f>IF(Ruimtestaat[[#This Row],[Frequentie weekend]]&gt;0,VALUE(LEFT(AF874,1))*S874,0)</f>
        <v>0</v>
      </c>
      <c r="AH874" s="455">
        <f>IF($AG874&gt;0,VLOOKUP($J874,Ruimtegroepen[],3,FALSE)*VLOOKUP($L874,Vloersoorten[],3,FALSE)*VLOOKUP($AF874,Frequenties[],3,FALSE)*VLOOKUP(#REF!,Locaties[],3,FALSE),0)</f>
        <v>0</v>
      </c>
      <c r="AI874" s="434">
        <f>Ruimtestaat[[#This Row],[Uitvoeringen weekend]]*Ruimtestaat[[#This Row],[Oppervlak (netto)]]</f>
        <v>0</v>
      </c>
      <c r="AJ874" s="434">
        <f>IF(AH874&gt;0,Ruimtestaat[[#This Row],[Prest. (m2 /jaar) weekend]]/Ruimtestaat[[#This Row],[Norm (m2/uur) weekend]],0)</f>
        <v>0</v>
      </c>
      <c r="AK874" s="444">
        <f>Ruimtestaat[[#This Row],[uren / jaar weekend]]*Tariefsopbouw!$D$40</f>
        <v>0</v>
      </c>
      <c r="AL874" s="441">
        <f>Ruimtestaat[[#This Row],[Prest. (m2 /jaar) weekend]]+Ruimtestaat[[#This Row],[Prest. (m2 /jaar) werkdagen]]</f>
        <v>2255</v>
      </c>
      <c r="AM874" s="441">
        <f>Ruimtestaat[[#This Row],[uren / jaar weekend]]+Ruimtestaat[[#This Row],[uren / jaar werkdagen]]</f>
        <v>0</v>
      </c>
      <c r="AN874" s="446">
        <f>Ruimtestaat[[#This Row],[kosten / jaar weekend]]+Ruimtestaat[[#This Row],[kosten / jaar werkdagen]]</f>
        <v>0</v>
      </c>
      <c r="AO874" s="446"/>
      <c r="AP874" s="446" t="str">
        <f>IF(Ruimtestaat[[#This Row],[Frequentie werkdagen]]="","",_xlfn.CONCAT(Ruimtestaat[[#This Row],[Ruimte code]],"-",Ruimtestaat[[#This Row],[Frequentie werkdagen]]," ",Ruimtestaat[[#This Row],[Vloer code]]))</f>
        <v>2-5w T</v>
      </c>
      <c r="AQ874" s="448" t="str">
        <f>_xlfn.IFNA(VLOOKUP($AP874,Programma!$F$3:$G$1101,2,0),"")</f>
        <v>4w</v>
      </c>
      <c r="AR874" s="448" t="str">
        <f>_xlfn.IFNA(VLOOKUP($AP874,Programma!$F$3:$H$1101,3,0),"")</f>
        <v>1w</v>
      </c>
      <c r="AS874" s="448" t="str">
        <f>_xlfn.IFNA(VLOOKUP($AP874,Programma!$F$3:$I$1101,4,0),"")</f>
        <v>_</v>
      </c>
      <c r="AT874" s="448" t="str">
        <f>_xlfn.IFNA(VLOOKUP($AP874,Programma!$F$3:$J$1101,5,0),"")</f>
        <v>_</v>
      </c>
      <c r="AU874" s="448" t="str">
        <f>_xlfn.IFNA(VLOOKUP($AP874,Programma!$F$3:$K$1101,6,0),"")</f>
        <v>_</v>
      </c>
      <c r="AV874" s="448" t="str">
        <f>_xlfn.IFNA(VLOOKUP($AP874,Programma!$F$3:$L$1101,7,0),"")</f>
        <v>_</v>
      </c>
      <c r="AW874" s="448" t="str">
        <f>_xlfn.IFNA(VLOOKUP($AP874,Programma!$F$3:$M$1101,8,0),"")</f>
        <v>_</v>
      </c>
      <c r="AX874" s="448" t="str">
        <f>_xlfn.IFNA(VLOOKUP($AP874,Programma!$F$3:$N$1101,9,0),"")</f>
        <v>_</v>
      </c>
      <c r="AY874" s="448" t="str">
        <f>_xlfn.IFNA(VLOOKUP($AP874,Programma!$F$3:$O$1101,10,0),"")</f>
        <v>5w</v>
      </c>
      <c r="AZ874" s="448" t="str">
        <f>_xlfn.IFNA(VLOOKUP($AP874,Programma!$F$3:$P$1101,11,0),"")</f>
        <v>5w</v>
      </c>
      <c r="BA874" s="448" t="str">
        <f>_xlfn.IFNA(VLOOKUP($AP874,Programma!$F$3:$Q$1101,12,0),"")</f>
        <v>1w</v>
      </c>
      <c r="BB874" s="448" t="str">
        <f>_xlfn.IFNA(VLOOKUP($AP874,Programma!$F$3:$R$1101,13,0),"")</f>
        <v>1w</v>
      </c>
      <c r="BC874" s="448" t="str">
        <f>_xlfn.IFNA(VLOOKUP($AP874,Programma!$F$3:$S$1101,14,0),"")</f>
        <v>1m</v>
      </c>
      <c r="BD874" s="448" t="str">
        <f>_xlfn.IFNA(VLOOKUP($AP874,Programma!$F$3:$T$1101,15,0),"")</f>
        <v>2j</v>
      </c>
      <c r="BE874" s="448" t="str">
        <f>_xlfn.IFNA(VLOOKUP($AP874,Programma!$F$3:$U$1101,16,0),"")</f>
        <v>1j</v>
      </c>
      <c r="BF874" s="448" t="str">
        <f>_xlfn.IFNA(VLOOKUP($AP874,Programma!$F$3:$V$1101,17,0),"")</f>
        <v>_</v>
      </c>
      <c r="BG874" s="448" t="str">
        <f>_xlfn.IFNA(VLOOKUP($AP874,Programma!$F$3:$W$1101,18,0),"")</f>
        <v>_</v>
      </c>
      <c r="BH874" s="448" t="str">
        <f>_xlfn.IFNA(VLOOKUP($AP874,Programma!$F$3:$X$1101,19,0),"")</f>
        <v>_</v>
      </c>
      <c r="BI874" s="448" t="str">
        <f>_xlfn.IFNA(VLOOKUP($AP874,Programma!$F$3:$Y$1101,20,0),"")</f>
        <v>_</v>
      </c>
      <c r="BJ874" s="449"/>
      <c r="BK874" s="446" t="str">
        <f>IF(Ruimtestaat[[#This Row],[Frequentie weekend]]="","",_xlfn.CONCAT(Ruimtestaat[[#This Row],[Ruimte code]],"-",Ruimtestaat[[#This Row],[Frequentie weekend]]," ",Ruimtestaat[[#This Row],[Vloer code]]))</f>
        <v/>
      </c>
      <c r="BL874" s="448" t="str">
        <f>_xlfn.IFNA(VLOOKUP($BK874,Programma!$F$3:$G$1101,2,0),"")</f>
        <v/>
      </c>
      <c r="BM874" s="448" t="str">
        <f>_xlfn.IFNA(VLOOKUP($BK874,Programma!$F$3:$H$1101,3,0),"")</f>
        <v/>
      </c>
      <c r="BN874" s="448" t="str">
        <f>_xlfn.IFNA(VLOOKUP($BK874,Programma!$F$3:$I$1101,4,0),"")</f>
        <v/>
      </c>
      <c r="BO874" s="448" t="str">
        <f>_xlfn.IFNA(VLOOKUP($BK874,Programma!$F$3:$J$1101,5,0),"")</f>
        <v/>
      </c>
      <c r="BP874" s="448" t="str">
        <f>_xlfn.IFNA(VLOOKUP($BK874,Programma!$F$3:$K$1101,6,0),"")</f>
        <v/>
      </c>
      <c r="BQ874" s="448" t="str">
        <f>_xlfn.IFNA(VLOOKUP($BK874,Programma!$F$3:$L$1101,7,0),"")</f>
        <v/>
      </c>
      <c r="BR874" s="448" t="str">
        <f>_xlfn.IFNA(VLOOKUP($BK874,Programma!$F$3:$M$1101,8,0),"")</f>
        <v/>
      </c>
      <c r="BS874" s="448" t="str">
        <f>_xlfn.IFNA(VLOOKUP($BK874,Programma!$F$3:$N$1101,9,0),"")</f>
        <v/>
      </c>
      <c r="BT874" s="448" t="str">
        <f>_xlfn.IFNA(VLOOKUP($BK874,Programma!$F$3:$O$1101,10,0),"")</f>
        <v/>
      </c>
      <c r="BU874" s="448" t="str">
        <f>_xlfn.IFNA(VLOOKUP($BK874,Programma!$F$3:$P$1101,11,0),"")</f>
        <v/>
      </c>
      <c r="BV874" s="448" t="str">
        <f>_xlfn.IFNA(VLOOKUP($BK874,Programma!$F$3:$Q$1101,12,0),"")</f>
        <v/>
      </c>
      <c r="BW874" s="448" t="str">
        <f>_xlfn.IFNA(VLOOKUP($BK874,Programma!$F$3:$R$1101,13,0),"")</f>
        <v/>
      </c>
      <c r="BX874" s="448" t="str">
        <f>_xlfn.IFNA(VLOOKUP($BK874,Programma!$F$3:$S$1101,14,0),"")</f>
        <v/>
      </c>
      <c r="BY874" s="448" t="str">
        <f>_xlfn.IFNA(VLOOKUP($BK874,Programma!$F$3:$T$1101,15,0),"")</f>
        <v/>
      </c>
      <c r="BZ874" s="448" t="str">
        <f>_xlfn.IFNA(VLOOKUP($BK874,Programma!$F$3:$U$1101,16,0),"")</f>
        <v/>
      </c>
      <c r="CA874" s="448" t="str">
        <f>_xlfn.IFNA(VLOOKUP($BK874,Programma!$F$3:$V$1101,17,0),"")</f>
        <v/>
      </c>
      <c r="CB874" s="448" t="str">
        <f>_xlfn.IFNA(VLOOKUP($BK874,Programma!$F$3:$W$1101,18,0),"")</f>
        <v/>
      </c>
      <c r="CC874" s="448" t="str">
        <f>_xlfn.IFNA(VLOOKUP($BK874,Programma!$F$3:$X$1101,19,0),"")</f>
        <v/>
      </c>
      <c r="CD874" s="448" t="str">
        <f>_xlfn.IFNA(VLOOKUP($BK874,Programma!$F$3:$Y$1101,20,0),"")</f>
        <v/>
      </c>
    </row>
    <row r="875" spans="1:82" ht="15" customHeight="1">
      <c r="A875" s="327">
        <v>25</v>
      </c>
      <c r="B875" s="435" t="str">
        <f>VLOOKUP(Ruimtestaat[[#This Row],[Code]],Locaties[[Code]:[Locatie]],2,FALSE)</f>
        <v>IKC De Piramide</v>
      </c>
      <c r="C875" s="435" t="str">
        <f>VLOOKUP(Ruimtestaat[[#This Row],[Code]],Locaties[[#All],[Code]:[Adres]],4,FALSE)</f>
        <v>Fivelingo 84</v>
      </c>
      <c r="D875" s="435" t="str">
        <f>VLOOKUP(Ruimtestaat[[#This Row],[Code]],Locaties[[#All],[Code]:[Postcode]],5,FALSE)</f>
        <v>2716 BG</v>
      </c>
      <c r="E875" s="435" t="str">
        <f>VLOOKUP(Ruimtestaat[[#This Row],[Code]],Locaties[#All],6,FALSE)</f>
        <v>Zoetermeer</v>
      </c>
      <c r="F875" s="450" t="s">
        <v>2059</v>
      </c>
      <c r="G875" s="330" t="s">
        <v>1678</v>
      </c>
      <c r="H875" s="330" t="s">
        <v>1887</v>
      </c>
      <c r="I875" s="450" t="s">
        <v>1749</v>
      </c>
      <c r="J875" s="330">
        <v>2</v>
      </c>
      <c r="K875" s="450" t="str">
        <f>VLOOKUP(Ruimtestaat[[#This Row],[Ruimte code]],Ruimtegroepen[[#All],[Code]:[Ruimte omschrijving]],2,FALSE)</f>
        <v>Kantoren</v>
      </c>
      <c r="L875" s="434" t="s">
        <v>99</v>
      </c>
      <c r="M875" s="437" t="s">
        <v>36</v>
      </c>
      <c r="N875" s="439">
        <v>13</v>
      </c>
      <c r="O875" s="439"/>
      <c r="P875" s="439"/>
      <c r="Q875" s="439"/>
      <c r="R875" s="440" t="str">
        <f>VLOOKUP(Ruimtestaat[[#This Row],[Ruimte code]],Ruimtegroepen[],4,FALSE)</f>
        <v>Bu</v>
      </c>
      <c r="S875" s="434">
        <v>41</v>
      </c>
      <c r="T875" s="434" t="s">
        <v>2</v>
      </c>
      <c r="U875" s="453">
        <f>IF(S875&gt;0,IF(RIGHT(Ruimtestaat[[#This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75" s="434">
        <f>IF(U875&gt;0,VLOOKUP($J875,Ruimtegroepen[],3,FALSE)*VLOOKUP($L875,Vloersoorten[],3,FALSE)*VLOOKUP($T875,Frequenties[],3,FALSE)*VLOOKUP($A875,Locaties[],3,FALSE),0)</f>
        <v>0</v>
      </c>
      <c r="W875" s="434">
        <f>Ruimtestaat[[#This Row],[Uitvoeringen werkdagen]]*Ruimtestaat[[#This Row],[Oppervlak (netto)]]</f>
        <v>2665</v>
      </c>
      <c r="X875" s="441">
        <f>IF(V875&gt;0,Ruimtestaat[[#This Row],[Prest. (m2 /jaar) werkdagen]]/Ruimtestaat[[#This Row],[Norm (m2/uur) werkdagen]],0)</f>
        <v>0</v>
      </c>
      <c r="Y875" s="442">
        <f>Ruimtestaat[[#This Row],[Uitvoeringen werkdagen]]*Ruimtestaat[[#This Row],[Gedeeltelijk]]</f>
        <v>0</v>
      </c>
      <c r="Z875" s="443" t="e">
        <f>IF(U875&gt;0,Ruimtestaat[[#This Row],[Prest. (m2 / jaar) werkdagen gedeeld]]/Ruimtestaat[[#This Row],[Norm (m2/uur) werkdagen]],0)</f>
        <v>#DIV/0!</v>
      </c>
      <c r="AA875" s="441" t="e">
        <f>Ruimtestaat[[#This Row],[uren / jaar werkdagen gedeeld]]*Tariefsopbouw!$E$35</f>
        <v>#DIV/0!</v>
      </c>
      <c r="AB875" s="441">
        <f>Ruimtestaat[[#This Row],[Uitvoeringen werkdagen]]*Ruimtestaat[[#This Row],[BSO]]</f>
        <v>0</v>
      </c>
      <c r="AC875" s="443" t="e">
        <f>IF(U875&gt;0,Ruimtestaat[[#This Row],[Prest. (m2 / jaar) werkdagen BSO]]/Ruimtestaat[[#This Row],[Norm (m2/uur) werkdagen]],0)</f>
        <v>#DIV/0!</v>
      </c>
      <c r="AD875" s="443" t="e">
        <f>Ruimtestaat[[#This Row],[uren / jaar werkdagen BSO]]*Tariefsopbouw!$E$35</f>
        <v>#DIV/0!</v>
      </c>
      <c r="AE875" s="444">
        <f>Ruimtestaat[[#This Row],[uren / jaar werkdagen]]*Tariefsopbouw!$E$35</f>
        <v>0</v>
      </c>
      <c r="AF875" s="454"/>
      <c r="AG875" s="455">
        <f>IF(Ruimtestaat[[#This Row],[Frequentie weekend]]&gt;0,VALUE(LEFT(AF875,1))*S875,0)</f>
        <v>0</v>
      </c>
      <c r="AH875" s="455">
        <f>IF($AG875&gt;0,VLOOKUP($J875,Ruimtegroepen[],3,FALSE)*VLOOKUP($L875,Vloersoorten[],3,FALSE)*VLOOKUP($AF875,Frequenties[],3,FALSE)*VLOOKUP(#REF!,Locaties[],3,FALSE),0)</f>
        <v>0</v>
      </c>
      <c r="AI875" s="434">
        <f>Ruimtestaat[[#This Row],[Uitvoeringen weekend]]*Ruimtestaat[[#This Row],[Oppervlak (netto)]]</f>
        <v>0</v>
      </c>
      <c r="AJ875" s="434">
        <f>IF(AH875&gt;0,Ruimtestaat[[#This Row],[Prest. (m2 /jaar) weekend]]/Ruimtestaat[[#This Row],[Norm (m2/uur) weekend]],0)</f>
        <v>0</v>
      </c>
      <c r="AK875" s="444">
        <f>Ruimtestaat[[#This Row],[uren / jaar weekend]]*Tariefsopbouw!$D$40</f>
        <v>0</v>
      </c>
      <c r="AL875" s="441">
        <f>Ruimtestaat[[#This Row],[Prest. (m2 /jaar) weekend]]+Ruimtestaat[[#This Row],[Prest. (m2 /jaar) werkdagen]]</f>
        <v>2665</v>
      </c>
      <c r="AM875" s="441">
        <f>Ruimtestaat[[#This Row],[uren / jaar weekend]]+Ruimtestaat[[#This Row],[uren / jaar werkdagen]]</f>
        <v>0</v>
      </c>
      <c r="AN875" s="446">
        <f>Ruimtestaat[[#This Row],[kosten / jaar weekend]]+Ruimtestaat[[#This Row],[kosten / jaar werkdagen]]</f>
        <v>0</v>
      </c>
      <c r="AO875" s="446"/>
      <c r="AP875" s="446" t="str">
        <f>IF(Ruimtestaat[[#This Row],[Frequentie werkdagen]]="","",_xlfn.CONCAT(Ruimtestaat[[#This Row],[Ruimte code]],"-",Ruimtestaat[[#This Row],[Frequentie werkdagen]]," ",Ruimtestaat[[#This Row],[Vloer code]]))</f>
        <v>2-5w T</v>
      </c>
      <c r="AQ875" s="448" t="str">
        <f>_xlfn.IFNA(VLOOKUP($AP875,Programma!$F$3:$G$1101,2,0),"")</f>
        <v>4w</v>
      </c>
      <c r="AR875" s="448" t="str">
        <f>_xlfn.IFNA(VLOOKUP($AP875,Programma!$F$3:$H$1101,3,0),"")</f>
        <v>1w</v>
      </c>
      <c r="AS875" s="448" t="str">
        <f>_xlfn.IFNA(VLOOKUP($AP875,Programma!$F$3:$I$1101,4,0),"")</f>
        <v>_</v>
      </c>
      <c r="AT875" s="448" t="str">
        <f>_xlfn.IFNA(VLOOKUP($AP875,Programma!$F$3:$J$1101,5,0),"")</f>
        <v>_</v>
      </c>
      <c r="AU875" s="448" t="str">
        <f>_xlfn.IFNA(VLOOKUP($AP875,Programma!$F$3:$K$1101,6,0),"")</f>
        <v>_</v>
      </c>
      <c r="AV875" s="448" t="str">
        <f>_xlfn.IFNA(VLOOKUP($AP875,Programma!$F$3:$L$1101,7,0),"")</f>
        <v>_</v>
      </c>
      <c r="AW875" s="448" t="str">
        <f>_xlfn.IFNA(VLOOKUP($AP875,Programma!$F$3:$M$1101,8,0),"")</f>
        <v>_</v>
      </c>
      <c r="AX875" s="448" t="str">
        <f>_xlfn.IFNA(VLOOKUP($AP875,Programma!$F$3:$N$1101,9,0),"")</f>
        <v>_</v>
      </c>
      <c r="AY875" s="448" t="str">
        <f>_xlfn.IFNA(VLOOKUP($AP875,Programma!$F$3:$O$1101,10,0),"")</f>
        <v>5w</v>
      </c>
      <c r="AZ875" s="448" t="str">
        <f>_xlfn.IFNA(VLOOKUP($AP875,Programma!$F$3:$P$1101,11,0),"")</f>
        <v>5w</v>
      </c>
      <c r="BA875" s="448" t="str">
        <f>_xlfn.IFNA(VLOOKUP($AP875,Programma!$F$3:$Q$1101,12,0),"")</f>
        <v>1w</v>
      </c>
      <c r="BB875" s="448" t="str">
        <f>_xlfn.IFNA(VLOOKUP($AP875,Programma!$F$3:$R$1101,13,0),"")</f>
        <v>1w</v>
      </c>
      <c r="BC875" s="448" t="str">
        <f>_xlfn.IFNA(VLOOKUP($AP875,Programma!$F$3:$S$1101,14,0),"")</f>
        <v>1m</v>
      </c>
      <c r="BD875" s="448" t="str">
        <f>_xlfn.IFNA(VLOOKUP($AP875,Programma!$F$3:$T$1101,15,0),"")</f>
        <v>2j</v>
      </c>
      <c r="BE875" s="448" t="str">
        <f>_xlfn.IFNA(VLOOKUP($AP875,Programma!$F$3:$U$1101,16,0),"")</f>
        <v>1j</v>
      </c>
      <c r="BF875" s="448" t="str">
        <f>_xlfn.IFNA(VLOOKUP($AP875,Programma!$F$3:$V$1101,17,0),"")</f>
        <v>_</v>
      </c>
      <c r="BG875" s="448" t="str">
        <f>_xlfn.IFNA(VLOOKUP($AP875,Programma!$F$3:$W$1101,18,0),"")</f>
        <v>_</v>
      </c>
      <c r="BH875" s="448" t="str">
        <f>_xlfn.IFNA(VLOOKUP($AP875,Programma!$F$3:$X$1101,19,0),"")</f>
        <v>_</v>
      </c>
      <c r="BI875" s="448" t="str">
        <f>_xlfn.IFNA(VLOOKUP($AP875,Programma!$F$3:$Y$1101,20,0),"")</f>
        <v>_</v>
      </c>
      <c r="BJ875" s="449"/>
      <c r="BK875" s="446" t="str">
        <f>IF(Ruimtestaat[[#This Row],[Frequentie weekend]]="","",_xlfn.CONCAT(Ruimtestaat[[#This Row],[Ruimte code]],"-",Ruimtestaat[[#This Row],[Frequentie weekend]]," ",Ruimtestaat[[#This Row],[Vloer code]]))</f>
        <v/>
      </c>
      <c r="BL875" s="448" t="str">
        <f>_xlfn.IFNA(VLOOKUP($BK875,Programma!$F$3:$G$1101,2,0),"")</f>
        <v/>
      </c>
      <c r="BM875" s="448" t="str">
        <f>_xlfn.IFNA(VLOOKUP($BK875,Programma!$F$3:$H$1101,3,0),"")</f>
        <v/>
      </c>
      <c r="BN875" s="448" t="str">
        <f>_xlfn.IFNA(VLOOKUP($BK875,Programma!$F$3:$I$1101,4,0),"")</f>
        <v/>
      </c>
      <c r="BO875" s="448" t="str">
        <f>_xlfn.IFNA(VLOOKUP($BK875,Programma!$F$3:$J$1101,5,0),"")</f>
        <v/>
      </c>
      <c r="BP875" s="448" t="str">
        <f>_xlfn.IFNA(VLOOKUP($BK875,Programma!$F$3:$K$1101,6,0),"")</f>
        <v/>
      </c>
      <c r="BQ875" s="448" t="str">
        <f>_xlfn.IFNA(VLOOKUP($BK875,Programma!$F$3:$L$1101,7,0),"")</f>
        <v/>
      </c>
      <c r="BR875" s="448" t="str">
        <f>_xlfn.IFNA(VLOOKUP($BK875,Programma!$F$3:$M$1101,8,0),"")</f>
        <v/>
      </c>
      <c r="BS875" s="448" t="str">
        <f>_xlfn.IFNA(VLOOKUP($BK875,Programma!$F$3:$N$1101,9,0),"")</f>
        <v/>
      </c>
      <c r="BT875" s="448" t="str">
        <f>_xlfn.IFNA(VLOOKUP($BK875,Programma!$F$3:$O$1101,10,0),"")</f>
        <v/>
      </c>
      <c r="BU875" s="448" t="str">
        <f>_xlfn.IFNA(VLOOKUP($BK875,Programma!$F$3:$P$1101,11,0),"")</f>
        <v/>
      </c>
      <c r="BV875" s="448" t="str">
        <f>_xlfn.IFNA(VLOOKUP($BK875,Programma!$F$3:$Q$1101,12,0),"")</f>
        <v/>
      </c>
      <c r="BW875" s="448" t="str">
        <f>_xlfn.IFNA(VLOOKUP($BK875,Programma!$F$3:$R$1101,13,0),"")</f>
        <v/>
      </c>
      <c r="BX875" s="448" t="str">
        <f>_xlfn.IFNA(VLOOKUP($BK875,Programma!$F$3:$S$1101,14,0),"")</f>
        <v/>
      </c>
      <c r="BY875" s="448" t="str">
        <f>_xlfn.IFNA(VLOOKUP($BK875,Programma!$F$3:$T$1101,15,0),"")</f>
        <v/>
      </c>
      <c r="BZ875" s="448" t="str">
        <f>_xlfn.IFNA(VLOOKUP($BK875,Programma!$F$3:$U$1101,16,0),"")</f>
        <v/>
      </c>
      <c r="CA875" s="448" t="str">
        <f>_xlfn.IFNA(VLOOKUP($BK875,Programma!$F$3:$V$1101,17,0),"")</f>
        <v/>
      </c>
      <c r="CB875" s="448" t="str">
        <f>_xlfn.IFNA(VLOOKUP($BK875,Programma!$F$3:$W$1101,18,0),"")</f>
        <v/>
      </c>
      <c r="CC875" s="448" t="str">
        <f>_xlfn.IFNA(VLOOKUP($BK875,Programma!$F$3:$X$1101,19,0),"")</f>
        <v/>
      </c>
      <c r="CD875" s="448" t="str">
        <f>_xlfn.IFNA(VLOOKUP($BK875,Programma!$F$3:$Y$1101,20,0),"")</f>
        <v/>
      </c>
    </row>
    <row r="876" spans="1:82" ht="15" customHeight="1">
      <c r="A876" s="327">
        <v>25</v>
      </c>
      <c r="B876" s="435" t="str">
        <f>VLOOKUP(Ruimtestaat[[#This Row],[Code]],Locaties[[Code]:[Locatie]],2,FALSE)</f>
        <v>IKC De Piramide</v>
      </c>
      <c r="C876" s="435" t="str">
        <f>VLOOKUP(Ruimtestaat[[#This Row],[Code]],Locaties[[#All],[Code]:[Adres]],4,FALSE)</f>
        <v>Fivelingo 84</v>
      </c>
      <c r="D876" s="435" t="str">
        <f>VLOOKUP(Ruimtestaat[[#This Row],[Code]],Locaties[[#All],[Code]:[Postcode]],5,FALSE)</f>
        <v>2716 BG</v>
      </c>
      <c r="E876" s="435" t="str">
        <f>VLOOKUP(Ruimtestaat[[#This Row],[Code]],Locaties[#All],6,FALSE)</f>
        <v>Zoetermeer</v>
      </c>
      <c r="F876" s="450" t="s">
        <v>2059</v>
      </c>
      <c r="G876" s="330" t="s">
        <v>1678</v>
      </c>
      <c r="H876" s="330" t="s">
        <v>1888</v>
      </c>
      <c r="I876" s="450" t="s">
        <v>1901</v>
      </c>
      <c r="J876" s="330">
        <v>11</v>
      </c>
      <c r="K876" s="450" t="str">
        <f>VLOOKUP(Ruimtestaat[[#This Row],[Ruimte code]],Ruimtegroepen[[#All],[Code]:[Ruimte omschrijving]],2,FALSE)</f>
        <v>Garderobes</v>
      </c>
      <c r="L876" s="330" t="s">
        <v>101</v>
      </c>
      <c r="M876" s="437" t="s">
        <v>1816</v>
      </c>
      <c r="N876" s="439">
        <v>7</v>
      </c>
      <c r="O876" s="439"/>
      <c r="P876" s="439"/>
      <c r="Q876" s="439"/>
      <c r="R876" s="440" t="str">
        <f>VLOOKUP(Ruimtestaat[[#This Row],[Ruimte code]],Ruimtegroepen[],4,FALSE)</f>
        <v>Ve</v>
      </c>
      <c r="S876" s="434">
        <v>40</v>
      </c>
      <c r="T876" s="434" t="s">
        <v>2</v>
      </c>
      <c r="U876" s="453">
        <f>IF(S876&gt;0,IF(RIGHT(Ruimtestaat[[#This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6" s="434">
        <f>IF(U876&gt;0,VLOOKUP($J876,Ruimtegroepen[],3,FALSE)*VLOOKUP($L876,Vloersoorten[],3,FALSE)*VLOOKUP($T876,Frequenties[],3,FALSE)*VLOOKUP($A876,Locaties[],3,FALSE),0)</f>
        <v>0</v>
      </c>
      <c r="W876" s="434">
        <f>Ruimtestaat[[#This Row],[Uitvoeringen werkdagen]]*Ruimtestaat[[#This Row],[Oppervlak (netto)]]</f>
        <v>1400</v>
      </c>
      <c r="X876" s="441">
        <f>IF(V876&gt;0,Ruimtestaat[[#This Row],[Prest. (m2 /jaar) werkdagen]]/Ruimtestaat[[#This Row],[Norm (m2/uur) werkdagen]],0)</f>
        <v>0</v>
      </c>
      <c r="Y876" s="442">
        <f>Ruimtestaat[[#This Row],[Uitvoeringen werkdagen]]*Ruimtestaat[[#This Row],[Gedeeltelijk]]</f>
        <v>0</v>
      </c>
      <c r="Z876" s="443" t="e">
        <f>IF(U876&gt;0,Ruimtestaat[[#This Row],[Prest. (m2 / jaar) werkdagen gedeeld]]/Ruimtestaat[[#This Row],[Norm (m2/uur) werkdagen]],0)</f>
        <v>#DIV/0!</v>
      </c>
      <c r="AA876" s="441" t="e">
        <f>Ruimtestaat[[#This Row],[uren / jaar werkdagen gedeeld]]*Tariefsopbouw!$E$35</f>
        <v>#DIV/0!</v>
      </c>
      <c r="AB876" s="441">
        <f>Ruimtestaat[[#This Row],[Uitvoeringen werkdagen]]*Ruimtestaat[[#This Row],[BSO]]</f>
        <v>0</v>
      </c>
      <c r="AC876" s="443" t="e">
        <f>IF(U876&gt;0,Ruimtestaat[[#This Row],[Prest. (m2 / jaar) werkdagen BSO]]/Ruimtestaat[[#This Row],[Norm (m2/uur) werkdagen]],0)</f>
        <v>#DIV/0!</v>
      </c>
      <c r="AD876" s="443" t="e">
        <f>Ruimtestaat[[#This Row],[uren / jaar werkdagen BSO]]*Tariefsopbouw!$E$35</f>
        <v>#DIV/0!</v>
      </c>
      <c r="AE876" s="444">
        <f>Ruimtestaat[[#This Row],[uren / jaar werkdagen]]*Tariefsopbouw!$E$35</f>
        <v>0</v>
      </c>
      <c r="AF876" s="454"/>
      <c r="AG876" s="455">
        <f>IF(Ruimtestaat[[#This Row],[Frequentie weekend]]&gt;0,VALUE(LEFT(AF876,1))*S876,0)</f>
        <v>0</v>
      </c>
      <c r="AH876" s="455">
        <f>IF($AG876&gt;0,VLOOKUP($J876,Ruimtegroepen[],3,FALSE)*VLOOKUP($L876,Vloersoorten[],3,FALSE)*VLOOKUP($AF876,Frequenties[],3,FALSE)*VLOOKUP(#REF!,Locaties[],3,FALSE),0)</f>
        <v>0</v>
      </c>
      <c r="AI876" s="434">
        <f>Ruimtestaat[[#This Row],[Uitvoeringen weekend]]*Ruimtestaat[[#This Row],[Oppervlak (netto)]]</f>
        <v>0</v>
      </c>
      <c r="AJ876" s="434">
        <f>IF(AH876&gt;0,Ruimtestaat[[#This Row],[Prest. (m2 /jaar) weekend]]/Ruimtestaat[[#This Row],[Norm (m2/uur) weekend]],0)</f>
        <v>0</v>
      </c>
      <c r="AK876" s="444">
        <f>Ruimtestaat[[#This Row],[uren / jaar weekend]]*Tariefsopbouw!$D$40</f>
        <v>0</v>
      </c>
      <c r="AL876" s="441">
        <f>Ruimtestaat[[#This Row],[Prest. (m2 /jaar) weekend]]+Ruimtestaat[[#This Row],[Prest. (m2 /jaar) werkdagen]]</f>
        <v>1400</v>
      </c>
      <c r="AM876" s="441">
        <f>Ruimtestaat[[#This Row],[uren / jaar weekend]]+Ruimtestaat[[#This Row],[uren / jaar werkdagen]]</f>
        <v>0</v>
      </c>
      <c r="AN876" s="446">
        <f>Ruimtestaat[[#This Row],[kosten / jaar weekend]]+Ruimtestaat[[#This Row],[kosten / jaar werkdagen]]</f>
        <v>0</v>
      </c>
      <c r="AO876" s="446"/>
      <c r="AP876" s="446" t="str">
        <f>IF(Ruimtestaat[[#This Row],[Frequentie werkdagen]]="","",_xlfn.CONCAT(Ruimtestaat[[#This Row],[Ruimte code]],"-",Ruimtestaat[[#This Row],[Frequentie werkdagen]]," ",Ruimtestaat[[#This Row],[Vloer code]]))</f>
        <v>11-5w S</v>
      </c>
      <c r="AQ876" s="448" t="str">
        <f>_xlfn.IFNA(VLOOKUP($AP876,Programma!$F$3:$G$1101,2,0),"")</f>
        <v>_</v>
      </c>
      <c r="AR876" s="448" t="str">
        <f>_xlfn.IFNA(VLOOKUP($AP876,Programma!$F$3:$H$1101,3,0),"")</f>
        <v>_</v>
      </c>
      <c r="AS876" s="448" t="str">
        <f>_xlfn.IFNA(VLOOKUP($AP876,Programma!$F$3:$I$1101,4,0),"")</f>
        <v>4w</v>
      </c>
      <c r="AT876" s="448" t="str">
        <f>_xlfn.IFNA(VLOOKUP($AP876,Programma!$F$3:$J$1101,5,0),"")</f>
        <v>1w</v>
      </c>
      <c r="AU876" s="448" t="str">
        <f>_xlfn.IFNA(VLOOKUP($AP876,Programma!$F$3:$K$1101,6,0),"")</f>
        <v>4j</v>
      </c>
      <c r="AV876" s="448" t="str">
        <f>_xlfn.IFNA(VLOOKUP($AP876,Programma!$F$3:$L$1101,7,0),"")</f>
        <v>_</v>
      </c>
      <c r="AW876" s="448" t="str">
        <f>_xlfn.IFNA(VLOOKUP($AP876,Programma!$F$3:$M$1101,8,0),"")</f>
        <v>_</v>
      </c>
      <c r="AX876" s="448" t="str">
        <f>_xlfn.IFNA(VLOOKUP($AP876,Programma!$F$3:$N$1101,9,0),"")</f>
        <v>_</v>
      </c>
      <c r="AY876" s="448" t="str">
        <f>_xlfn.IFNA(VLOOKUP($AP876,Programma!$F$3:$O$1101,10,0),"")</f>
        <v>5w</v>
      </c>
      <c r="AZ876" s="448" t="str">
        <f>_xlfn.IFNA(VLOOKUP($AP876,Programma!$F$3:$P$1101,11,0),"")</f>
        <v>5w</v>
      </c>
      <c r="BA876" s="448" t="str">
        <f>_xlfn.IFNA(VLOOKUP($AP876,Programma!$F$3:$Q$1101,12,0),"")</f>
        <v>1w</v>
      </c>
      <c r="BB876" s="448" t="str">
        <f>_xlfn.IFNA(VLOOKUP($AP876,Programma!$F$3:$R$1101,13,0),"")</f>
        <v>1w</v>
      </c>
      <c r="BC876" s="448" t="str">
        <f>_xlfn.IFNA(VLOOKUP($AP876,Programma!$F$3:$S$1101,14,0),"")</f>
        <v>1m</v>
      </c>
      <c r="BD876" s="448" t="str">
        <f>_xlfn.IFNA(VLOOKUP($AP876,Programma!$F$3:$T$1101,15,0),"")</f>
        <v>2j</v>
      </c>
      <c r="BE876" s="448" t="str">
        <f>_xlfn.IFNA(VLOOKUP($AP876,Programma!$F$3:$U$1101,16,0),"")</f>
        <v>1j</v>
      </c>
      <c r="BF876" s="448" t="str">
        <f>_xlfn.IFNA(VLOOKUP($AP876,Programma!$F$3:$V$1101,17,0),"")</f>
        <v>_</v>
      </c>
      <c r="BG876" s="448" t="str">
        <f>_xlfn.IFNA(VLOOKUP($AP876,Programma!$F$3:$W$1101,18,0),"")</f>
        <v>_</v>
      </c>
      <c r="BH876" s="448" t="str">
        <f>_xlfn.IFNA(VLOOKUP($AP876,Programma!$F$3:$X$1101,19,0),"")</f>
        <v>_</v>
      </c>
      <c r="BI876" s="448" t="str">
        <f>_xlfn.IFNA(VLOOKUP($AP876,Programma!$F$3:$Y$1101,20,0),"")</f>
        <v>_</v>
      </c>
      <c r="BJ876" s="449"/>
      <c r="BK876" s="446" t="str">
        <f>IF(Ruimtestaat[[#This Row],[Frequentie weekend]]="","",_xlfn.CONCAT(Ruimtestaat[[#This Row],[Ruimte code]],"-",Ruimtestaat[[#This Row],[Frequentie weekend]]," ",Ruimtestaat[[#This Row],[Vloer code]]))</f>
        <v/>
      </c>
      <c r="BL876" s="448" t="str">
        <f>_xlfn.IFNA(VLOOKUP($BK876,Programma!$F$3:$G$1101,2,0),"")</f>
        <v/>
      </c>
      <c r="BM876" s="448" t="str">
        <f>_xlfn.IFNA(VLOOKUP($BK876,Programma!$F$3:$H$1101,3,0),"")</f>
        <v/>
      </c>
      <c r="BN876" s="448" t="str">
        <f>_xlfn.IFNA(VLOOKUP($BK876,Programma!$F$3:$I$1101,4,0),"")</f>
        <v/>
      </c>
      <c r="BO876" s="448" t="str">
        <f>_xlfn.IFNA(VLOOKUP($BK876,Programma!$F$3:$J$1101,5,0),"")</f>
        <v/>
      </c>
      <c r="BP876" s="448" t="str">
        <f>_xlfn.IFNA(VLOOKUP($BK876,Programma!$F$3:$K$1101,6,0),"")</f>
        <v/>
      </c>
      <c r="BQ876" s="448" t="str">
        <f>_xlfn.IFNA(VLOOKUP($BK876,Programma!$F$3:$L$1101,7,0),"")</f>
        <v/>
      </c>
      <c r="BR876" s="448" t="str">
        <f>_xlfn.IFNA(VLOOKUP($BK876,Programma!$F$3:$M$1101,8,0),"")</f>
        <v/>
      </c>
      <c r="BS876" s="448" t="str">
        <f>_xlfn.IFNA(VLOOKUP($BK876,Programma!$F$3:$N$1101,9,0),"")</f>
        <v/>
      </c>
      <c r="BT876" s="448" t="str">
        <f>_xlfn.IFNA(VLOOKUP($BK876,Programma!$F$3:$O$1101,10,0),"")</f>
        <v/>
      </c>
      <c r="BU876" s="448" t="str">
        <f>_xlfn.IFNA(VLOOKUP($BK876,Programma!$F$3:$P$1101,11,0),"")</f>
        <v/>
      </c>
      <c r="BV876" s="448" t="str">
        <f>_xlfn.IFNA(VLOOKUP($BK876,Programma!$F$3:$Q$1101,12,0),"")</f>
        <v/>
      </c>
      <c r="BW876" s="448" t="str">
        <f>_xlfn.IFNA(VLOOKUP($BK876,Programma!$F$3:$R$1101,13,0),"")</f>
        <v/>
      </c>
      <c r="BX876" s="448" t="str">
        <f>_xlfn.IFNA(VLOOKUP($BK876,Programma!$F$3:$S$1101,14,0),"")</f>
        <v/>
      </c>
      <c r="BY876" s="448" t="str">
        <f>_xlfn.IFNA(VLOOKUP($BK876,Programma!$F$3:$T$1101,15,0),"")</f>
        <v/>
      </c>
      <c r="BZ876" s="448" t="str">
        <f>_xlfn.IFNA(VLOOKUP($BK876,Programma!$F$3:$U$1101,16,0),"")</f>
        <v/>
      </c>
      <c r="CA876" s="448" t="str">
        <f>_xlfn.IFNA(VLOOKUP($BK876,Programma!$F$3:$V$1101,17,0),"")</f>
        <v/>
      </c>
      <c r="CB876" s="448" t="str">
        <f>_xlfn.IFNA(VLOOKUP($BK876,Programma!$F$3:$W$1101,18,0),"")</f>
        <v/>
      </c>
      <c r="CC876" s="448" t="str">
        <f>_xlfn.IFNA(VLOOKUP($BK876,Programma!$F$3:$X$1101,19,0),"")</f>
        <v/>
      </c>
      <c r="CD876" s="448" t="str">
        <f>_xlfn.IFNA(VLOOKUP($BK876,Programma!$F$3:$Y$1101,20,0),"")</f>
        <v/>
      </c>
    </row>
    <row r="877" spans="1:82" ht="15" customHeight="1">
      <c r="A877" s="327">
        <v>25</v>
      </c>
      <c r="B877" s="435" t="str">
        <f>VLOOKUP(Ruimtestaat[[#This Row],[Code]],Locaties[[Code]:[Locatie]],2,FALSE)</f>
        <v>IKC De Piramide</v>
      </c>
      <c r="C877" s="435" t="str">
        <f>VLOOKUP(Ruimtestaat[[#This Row],[Code]],Locaties[[#All],[Code]:[Adres]],4,FALSE)</f>
        <v>Fivelingo 84</v>
      </c>
      <c r="D877" s="435" t="str">
        <f>VLOOKUP(Ruimtestaat[[#This Row],[Code]],Locaties[[#All],[Code]:[Postcode]],5,FALSE)</f>
        <v>2716 BG</v>
      </c>
      <c r="E877" s="435" t="str">
        <f>VLOOKUP(Ruimtestaat[[#This Row],[Code]],Locaties[#All],6,FALSE)</f>
        <v>Zoetermeer</v>
      </c>
      <c r="F877" s="450" t="s">
        <v>2059</v>
      </c>
      <c r="G877" s="330" t="s">
        <v>1678</v>
      </c>
      <c r="H877" s="330" t="s">
        <v>1890</v>
      </c>
      <c r="I877" s="450" t="s">
        <v>2062</v>
      </c>
      <c r="J877" s="330">
        <v>3</v>
      </c>
      <c r="K877" s="450" t="str">
        <f>VLOOKUP(Ruimtestaat[[#This Row],[Ruimte code]],Ruimtegroepen[[#All],[Code]:[Ruimte omschrijving]],2,FALSE)</f>
        <v>Reproruimte</v>
      </c>
      <c r="L877" s="330" t="s">
        <v>101</v>
      </c>
      <c r="M877" s="437" t="s">
        <v>1816</v>
      </c>
      <c r="N877" s="439">
        <v>6</v>
      </c>
      <c r="O877" s="439"/>
      <c r="P877" s="439"/>
      <c r="Q877" s="439"/>
      <c r="R877" s="440" t="str">
        <f>VLOOKUP(Ruimtestaat[[#This Row],[Ruimte code]],Ruimtegroepen[],4,FALSE)</f>
        <v>Ve</v>
      </c>
      <c r="S877" s="434">
        <v>40</v>
      </c>
      <c r="T877" s="434" t="s">
        <v>2</v>
      </c>
      <c r="U877" s="453">
        <f>IF(S877&gt;0,IF(RIGHT(Ruimtestaat[[#This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7" s="434">
        <f>IF(U877&gt;0,VLOOKUP($J877,Ruimtegroepen[],3,FALSE)*VLOOKUP($L877,Vloersoorten[],3,FALSE)*VLOOKUP($T877,Frequenties[],3,FALSE)*VLOOKUP($A877,Locaties[],3,FALSE),0)</f>
        <v>0</v>
      </c>
      <c r="W877" s="434">
        <f>Ruimtestaat[[#This Row],[Uitvoeringen werkdagen]]*Ruimtestaat[[#This Row],[Oppervlak (netto)]]</f>
        <v>1200</v>
      </c>
      <c r="X877" s="441">
        <f>IF(V877&gt;0,Ruimtestaat[[#This Row],[Prest. (m2 /jaar) werkdagen]]/Ruimtestaat[[#This Row],[Norm (m2/uur) werkdagen]],0)</f>
        <v>0</v>
      </c>
      <c r="Y877" s="442">
        <f>Ruimtestaat[[#This Row],[Uitvoeringen werkdagen]]*Ruimtestaat[[#This Row],[Gedeeltelijk]]</f>
        <v>0</v>
      </c>
      <c r="Z877" s="443" t="e">
        <f>IF(U877&gt;0,Ruimtestaat[[#This Row],[Prest. (m2 / jaar) werkdagen gedeeld]]/Ruimtestaat[[#This Row],[Norm (m2/uur) werkdagen]],0)</f>
        <v>#DIV/0!</v>
      </c>
      <c r="AA877" s="441" t="e">
        <f>Ruimtestaat[[#This Row],[uren / jaar werkdagen gedeeld]]*Tariefsopbouw!$E$35</f>
        <v>#DIV/0!</v>
      </c>
      <c r="AB877" s="441">
        <f>Ruimtestaat[[#This Row],[Uitvoeringen werkdagen]]*Ruimtestaat[[#This Row],[BSO]]</f>
        <v>0</v>
      </c>
      <c r="AC877" s="443" t="e">
        <f>IF(U877&gt;0,Ruimtestaat[[#This Row],[Prest. (m2 / jaar) werkdagen BSO]]/Ruimtestaat[[#This Row],[Norm (m2/uur) werkdagen]],0)</f>
        <v>#DIV/0!</v>
      </c>
      <c r="AD877" s="443" t="e">
        <f>Ruimtestaat[[#This Row],[uren / jaar werkdagen BSO]]*Tariefsopbouw!$E$35</f>
        <v>#DIV/0!</v>
      </c>
      <c r="AE877" s="444">
        <f>Ruimtestaat[[#This Row],[uren / jaar werkdagen]]*Tariefsopbouw!$E$35</f>
        <v>0</v>
      </c>
      <c r="AF877" s="454"/>
      <c r="AG877" s="455">
        <f>IF(Ruimtestaat[[#This Row],[Frequentie weekend]]&gt;0,VALUE(LEFT(AF877,1))*S877,0)</f>
        <v>0</v>
      </c>
      <c r="AH877" s="455">
        <f>IF($AG877&gt;0,VLOOKUP($J877,Ruimtegroepen[],3,FALSE)*VLOOKUP($L877,Vloersoorten[],3,FALSE)*VLOOKUP($AF877,Frequenties[],3,FALSE)*VLOOKUP(#REF!,Locaties[],3,FALSE),0)</f>
        <v>0</v>
      </c>
      <c r="AI877" s="434">
        <f>Ruimtestaat[[#This Row],[Uitvoeringen weekend]]*Ruimtestaat[[#This Row],[Oppervlak (netto)]]</f>
        <v>0</v>
      </c>
      <c r="AJ877" s="434">
        <f>IF(AH877&gt;0,Ruimtestaat[[#This Row],[Prest. (m2 /jaar) weekend]]/Ruimtestaat[[#This Row],[Norm (m2/uur) weekend]],0)</f>
        <v>0</v>
      </c>
      <c r="AK877" s="444">
        <f>Ruimtestaat[[#This Row],[uren / jaar weekend]]*Tariefsopbouw!$D$40</f>
        <v>0</v>
      </c>
      <c r="AL877" s="441">
        <f>Ruimtestaat[[#This Row],[Prest. (m2 /jaar) weekend]]+Ruimtestaat[[#This Row],[Prest. (m2 /jaar) werkdagen]]</f>
        <v>1200</v>
      </c>
      <c r="AM877" s="441">
        <f>Ruimtestaat[[#This Row],[uren / jaar weekend]]+Ruimtestaat[[#This Row],[uren / jaar werkdagen]]</f>
        <v>0</v>
      </c>
      <c r="AN877" s="446">
        <f>Ruimtestaat[[#This Row],[kosten / jaar weekend]]+Ruimtestaat[[#This Row],[kosten / jaar werkdagen]]</f>
        <v>0</v>
      </c>
      <c r="AO877" s="446"/>
      <c r="AP877" s="446" t="str">
        <f>IF(Ruimtestaat[[#This Row],[Frequentie werkdagen]]="","",_xlfn.CONCAT(Ruimtestaat[[#This Row],[Ruimte code]],"-",Ruimtestaat[[#This Row],[Frequentie werkdagen]]," ",Ruimtestaat[[#This Row],[Vloer code]]))</f>
        <v>3-5w S</v>
      </c>
      <c r="AQ877" s="448" t="str">
        <f>_xlfn.IFNA(VLOOKUP($AP877,Programma!$F$3:$G$1101,2,0),"")</f>
        <v>_</v>
      </c>
      <c r="AR877" s="448" t="str">
        <f>_xlfn.IFNA(VLOOKUP($AP877,Programma!$F$3:$H$1101,3,0),"")</f>
        <v>_</v>
      </c>
      <c r="AS877" s="448" t="str">
        <f>_xlfn.IFNA(VLOOKUP($AP877,Programma!$F$3:$I$1101,4,0),"")</f>
        <v>4w</v>
      </c>
      <c r="AT877" s="448" t="str">
        <f>_xlfn.IFNA(VLOOKUP($AP877,Programma!$F$3:$J$1101,5,0),"")</f>
        <v>1w</v>
      </c>
      <c r="AU877" s="448" t="str">
        <f>_xlfn.IFNA(VLOOKUP($AP877,Programma!$F$3:$K$1101,6,0),"")</f>
        <v>2j</v>
      </c>
      <c r="AV877" s="448" t="str">
        <f>_xlfn.IFNA(VLOOKUP($AP877,Programma!$F$3:$L$1101,7,0),"")</f>
        <v>_</v>
      </c>
      <c r="AW877" s="448" t="str">
        <f>_xlfn.IFNA(VLOOKUP($AP877,Programma!$F$3:$M$1101,8,0),"")</f>
        <v>_</v>
      </c>
      <c r="AX877" s="448" t="str">
        <f>_xlfn.IFNA(VLOOKUP($AP877,Programma!$F$3:$N$1101,9,0),"")</f>
        <v>_</v>
      </c>
      <c r="AY877" s="448" t="str">
        <f>_xlfn.IFNA(VLOOKUP($AP877,Programma!$F$3:$O$1101,10,0),"")</f>
        <v>5w</v>
      </c>
      <c r="AZ877" s="448" t="str">
        <f>_xlfn.IFNA(VLOOKUP($AP877,Programma!$F$3:$P$1101,11,0),"")</f>
        <v>5w</v>
      </c>
      <c r="BA877" s="448" t="str">
        <f>_xlfn.IFNA(VLOOKUP($AP877,Programma!$F$3:$Q$1101,12,0),"")</f>
        <v>1w</v>
      </c>
      <c r="BB877" s="448" t="str">
        <f>_xlfn.IFNA(VLOOKUP($AP877,Programma!$F$3:$R$1101,13,0),"")</f>
        <v>1w</v>
      </c>
      <c r="BC877" s="448" t="str">
        <f>_xlfn.IFNA(VLOOKUP($AP877,Programma!$F$3:$S$1101,14,0),"")</f>
        <v>1m</v>
      </c>
      <c r="BD877" s="448" t="str">
        <f>_xlfn.IFNA(VLOOKUP($AP877,Programma!$F$3:$T$1101,15,0),"")</f>
        <v>4j</v>
      </c>
      <c r="BE877" s="448" t="str">
        <f>_xlfn.IFNA(VLOOKUP($AP877,Programma!$F$3:$U$1101,16,0),"")</f>
        <v>1j</v>
      </c>
      <c r="BF877" s="448" t="str">
        <f>_xlfn.IFNA(VLOOKUP($AP877,Programma!$F$3:$V$1101,17,0),"")</f>
        <v>_</v>
      </c>
      <c r="BG877" s="448" t="str">
        <f>_xlfn.IFNA(VLOOKUP($AP877,Programma!$F$3:$W$1101,18,0),"")</f>
        <v>_</v>
      </c>
      <c r="BH877" s="448" t="str">
        <f>_xlfn.IFNA(VLOOKUP($AP877,Programma!$F$3:$X$1101,19,0),"")</f>
        <v>_</v>
      </c>
      <c r="BI877" s="448" t="str">
        <f>_xlfn.IFNA(VLOOKUP($AP877,Programma!$F$3:$Y$1101,20,0),"")</f>
        <v>_</v>
      </c>
      <c r="BJ877" s="449"/>
      <c r="BK877" s="446" t="str">
        <f>IF(Ruimtestaat[[#This Row],[Frequentie weekend]]="","",_xlfn.CONCAT(Ruimtestaat[[#This Row],[Ruimte code]],"-",Ruimtestaat[[#This Row],[Frequentie weekend]]," ",Ruimtestaat[[#This Row],[Vloer code]]))</f>
        <v/>
      </c>
      <c r="BL877" s="448" t="str">
        <f>_xlfn.IFNA(VLOOKUP($BK877,Programma!$F$3:$G$1101,2,0),"")</f>
        <v/>
      </c>
      <c r="BM877" s="448" t="str">
        <f>_xlfn.IFNA(VLOOKUP($BK877,Programma!$F$3:$H$1101,3,0),"")</f>
        <v/>
      </c>
      <c r="BN877" s="448" t="str">
        <f>_xlfn.IFNA(VLOOKUP($BK877,Programma!$F$3:$I$1101,4,0),"")</f>
        <v/>
      </c>
      <c r="BO877" s="448" t="str">
        <f>_xlfn.IFNA(VLOOKUP($BK877,Programma!$F$3:$J$1101,5,0),"")</f>
        <v/>
      </c>
      <c r="BP877" s="448" t="str">
        <f>_xlfn.IFNA(VLOOKUP($BK877,Programma!$F$3:$K$1101,6,0),"")</f>
        <v/>
      </c>
      <c r="BQ877" s="448" t="str">
        <f>_xlfn.IFNA(VLOOKUP($BK877,Programma!$F$3:$L$1101,7,0),"")</f>
        <v/>
      </c>
      <c r="BR877" s="448" t="str">
        <f>_xlfn.IFNA(VLOOKUP($BK877,Programma!$F$3:$M$1101,8,0),"")</f>
        <v/>
      </c>
      <c r="BS877" s="448" t="str">
        <f>_xlfn.IFNA(VLOOKUP($BK877,Programma!$F$3:$N$1101,9,0),"")</f>
        <v/>
      </c>
      <c r="BT877" s="448" t="str">
        <f>_xlfn.IFNA(VLOOKUP($BK877,Programma!$F$3:$O$1101,10,0),"")</f>
        <v/>
      </c>
      <c r="BU877" s="448" t="str">
        <f>_xlfn.IFNA(VLOOKUP($BK877,Programma!$F$3:$P$1101,11,0),"")</f>
        <v/>
      </c>
      <c r="BV877" s="448" t="str">
        <f>_xlfn.IFNA(VLOOKUP($BK877,Programma!$F$3:$Q$1101,12,0),"")</f>
        <v/>
      </c>
      <c r="BW877" s="448" t="str">
        <f>_xlfn.IFNA(VLOOKUP($BK877,Programma!$F$3:$R$1101,13,0),"")</f>
        <v/>
      </c>
      <c r="BX877" s="448" t="str">
        <f>_xlfn.IFNA(VLOOKUP($BK877,Programma!$F$3:$S$1101,14,0),"")</f>
        <v/>
      </c>
      <c r="BY877" s="448" t="str">
        <f>_xlfn.IFNA(VLOOKUP($BK877,Programma!$F$3:$T$1101,15,0),"")</f>
        <v/>
      </c>
      <c r="BZ877" s="448" t="str">
        <f>_xlfn.IFNA(VLOOKUP($BK877,Programma!$F$3:$U$1101,16,0),"")</f>
        <v/>
      </c>
      <c r="CA877" s="448" t="str">
        <f>_xlfn.IFNA(VLOOKUP($BK877,Programma!$F$3:$V$1101,17,0),"")</f>
        <v/>
      </c>
      <c r="CB877" s="448" t="str">
        <f>_xlfn.IFNA(VLOOKUP($BK877,Programma!$F$3:$W$1101,18,0),"")</f>
        <v/>
      </c>
      <c r="CC877" s="448" t="str">
        <f>_xlfn.IFNA(VLOOKUP($BK877,Programma!$F$3:$X$1101,19,0),"")</f>
        <v/>
      </c>
      <c r="CD877" s="448" t="str">
        <f>_xlfn.IFNA(VLOOKUP($BK877,Programma!$F$3:$Y$1101,20,0),"")</f>
        <v/>
      </c>
    </row>
    <row r="878" spans="1:82" ht="15" customHeight="1">
      <c r="A878" s="327">
        <v>25</v>
      </c>
      <c r="B878" s="435" t="str">
        <f>VLOOKUP(Ruimtestaat[[#This Row],[Code]],Locaties[[Code]:[Locatie]],2,FALSE)</f>
        <v>IKC De Piramide</v>
      </c>
      <c r="C878" s="435" t="str">
        <f>VLOOKUP(Ruimtestaat[[#This Row],[Code]],Locaties[[#All],[Code]:[Adres]],4,FALSE)</f>
        <v>Fivelingo 84</v>
      </c>
      <c r="D878" s="435" t="str">
        <f>VLOOKUP(Ruimtestaat[[#This Row],[Code]],Locaties[[#All],[Code]:[Postcode]],5,FALSE)</f>
        <v>2716 BG</v>
      </c>
      <c r="E878" s="435" t="str">
        <f>VLOOKUP(Ruimtestaat[[#This Row],[Code]],Locaties[#All],6,FALSE)</f>
        <v>Zoetermeer</v>
      </c>
      <c r="F878" s="450" t="s">
        <v>2059</v>
      </c>
      <c r="G878" s="330" t="s">
        <v>1678</v>
      </c>
      <c r="H878" s="330" t="s">
        <v>1882</v>
      </c>
      <c r="I878" s="450" t="s">
        <v>1679</v>
      </c>
      <c r="J878" s="330">
        <v>16</v>
      </c>
      <c r="K878" s="450" t="str">
        <f>VLOOKUP(Ruimtestaat[[#This Row],[Ruimte code]],Ruimtegroepen[[#All],[Code]:[Ruimte omschrijving]],2,FALSE)</f>
        <v>Leslokalen</v>
      </c>
      <c r="L878" s="330" t="s">
        <v>101</v>
      </c>
      <c r="M878" s="437" t="s">
        <v>1816</v>
      </c>
      <c r="N878" s="439">
        <v>55</v>
      </c>
      <c r="O878" s="439"/>
      <c r="P878" s="439"/>
      <c r="Q878" s="439"/>
      <c r="R878" s="440" t="str">
        <f>VLOOKUP(Ruimtestaat[[#This Row],[Ruimte code]],Ruimtegroepen[],4,FALSE)</f>
        <v>Le</v>
      </c>
      <c r="S878" s="434">
        <v>40</v>
      </c>
      <c r="T878" s="434" t="s">
        <v>2</v>
      </c>
      <c r="U878" s="453">
        <f>IF(S878&gt;0,IF(RIGHT(Ruimtestaat[[#This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8" s="434">
        <f>IF(U878&gt;0,VLOOKUP($J878,Ruimtegroepen[],3,FALSE)*VLOOKUP($L878,Vloersoorten[],3,FALSE)*VLOOKUP($T878,Frequenties[],3,FALSE)*VLOOKUP($A878,Locaties[],3,FALSE),0)</f>
        <v>0</v>
      </c>
      <c r="W878" s="434">
        <f>Ruimtestaat[[#This Row],[Uitvoeringen werkdagen]]*Ruimtestaat[[#This Row],[Oppervlak (netto)]]</f>
        <v>11000</v>
      </c>
      <c r="X878" s="441">
        <f>IF(V878&gt;0,Ruimtestaat[[#This Row],[Prest. (m2 /jaar) werkdagen]]/Ruimtestaat[[#This Row],[Norm (m2/uur) werkdagen]],0)</f>
        <v>0</v>
      </c>
      <c r="Y878" s="442">
        <f>Ruimtestaat[[#This Row],[Uitvoeringen werkdagen]]*Ruimtestaat[[#This Row],[Gedeeltelijk]]</f>
        <v>0</v>
      </c>
      <c r="Z878" s="443" t="e">
        <f>IF(U878&gt;0,Ruimtestaat[[#This Row],[Prest. (m2 / jaar) werkdagen gedeeld]]/Ruimtestaat[[#This Row],[Norm (m2/uur) werkdagen]],0)</f>
        <v>#DIV/0!</v>
      </c>
      <c r="AA878" s="441" t="e">
        <f>Ruimtestaat[[#This Row],[uren / jaar werkdagen gedeeld]]*Tariefsopbouw!$E$35</f>
        <v>#DIV/0!</v>
      </c>
      <c r="AB878" s="441">
        <f>Ruimtestaat[[#This Row],[Uitvoeringen werkdagen]]*Ruimtestaat[[#This Row],[BSO]]</f>
        <v>0</v>
      </c>
      <c r="AC878" s="443" t="e">
        <f>IF(U878&gt;0,Ruimtestaat[[#This Row],[Prest. (m2 / jaar) werkdagen BSO]]/Ruimtestaat[[#This Row],[Norm (m2/uur) werkdagen]],0)</f>
        <v>#DIV/0!</v>
      </c>
      <c r="AD878" s="443" t="e">
        <f>Ruimtestaat[[#This Row],[uren / jaar werkdagen BSO]]*Tariefsopbouw!$E$35</f>
        <v>#DIV/0!</v>
      </c>
      <c r="AE878" s="444">
        <f>Ruimtestaat[[#This Row],[uren / jaar werkdagen]]*Tariefsopbouw!$E$35</f>
        <v>0</v>
      </c>
      <c r="AF878" s="454"/>
      <c r="AG878" s="455">
        <f>IF(Ruimtestaat[[#This Row],[Frequentie weekend]]&gt;0,VALUE(LEFT(AF878,1))*S878,0)</f>
        <v>0</v>
      </c>
      <c r="AH878" s="455">
        <f>IF($AG878&gt;0,VLOOKUP($J878,Ruimtegroepen[],3,FALSE)*VLOOKUP($L878,Vloersoorten[],3,FALSE)*VLOOKUP($AF878,Frequenties[],3,FALSE)*VLOOKUP(#REF!,Locaties[],3,FALSE),0)</f>
        <v>0</v>
      </c>
      <c r="AI878" s="434">
        <f>Ruimtestaat[[#This Row],[Uitvoeringen weekend]]*Ruimtestaat[[#This Row],[Oppervlak (netto)]]</f>
        <v>0</v>
      </c>
      <c r="AJ878" s="434">
        <f>IF(AH878&gt;0,Ruimtestaat[[#This Row],[Prest. (m2 /jaar) weekend]]/Ruimtestaat[[#This Row],[Norm (m2/uur) weekend]],0)</f>
        <v>0</v>
      </c>
      <c r="AK878" s="444">
        <f>Ruimtestaat[[#This Row],[uren / jaar weekend]]*Tariefsopbouw!$D$40</f>
        <v>0</v>
      </c>
      <c r="AL878" s="441">
        <f>Ruimtestaat[[#This Row],[Prest. (m2 /jaar) weekend]]+Ruimtestaat[[#This Row],[Prest. (m2 /jaar) werkdagen]]</f>
        <v>11000</v>
      </c>
      <c r="AM878" s="441">
        <f>Ruimtestaat[[#This Row],[uren / jaar weekend]]+Ruimtestaat[[#This Row],[uren / jaar werkdagen]]</f>
        <v>0</v>
      </c>
      <c r="AN878" s="446">
        <f>Ruimtestaat[[#This Row],[kosten / jaar weekend]]+Ruimtestaat[[#This Row],[kosten / jaar werkdagen]]</f>
        <v>0</v>
      </c>
      <c r="AO878" s="446"/>
      <c r="AP878" s="446" t="str">
        <f>IF(Ruimtestaat[[#This Row],[Frequentie werkdagen]]="","",_xlfn.CONCAT(Ruimtestaat[[#This Row],[Ruimte code]],"-",Ruimtestaat[[#This Row],[Frequentie werkdagen]]," ",Ruimtestaat[[#This Row],[Vloer code]]))</f>
        <v>16-5w S</v>
      </c>
      <c r="AQ878" s="448" t="str">
        <f>_xlfn.IFNA(VLOOKUP($AP878,Programma!$F$3:$G$1101,2,0),"")</f>
        <v>_</v>
      </c>
      <c r="AR878" s="448" t="str">
        <f>_xlfn.IFNA(VLOOKUP($AP878,Programma!$F$3:$H$1101,3,0),"")</f>
        <v>_</v>
      </c>
      <c r="AS878" s="448" t="str">
        <f>_xlfn.IFNA(VLOOKUP($AP878,Programma!$F$3:$I$1101,4,0),"")</f>
        <v>4w</v>
      </c>
      <c r="AT878" s="448" t="str">
        <f>_xlfn.IFNA(VLOOKUP($AP878,Programma!$F$3:$J$1101,5,0),"")</f>
        <v>1w</v>
      </c>
      <c r="AU878" s="448" t="str">
        <f>_xlfn.IFNA(VLOOKUP($AP878,Programma!$F$3:$K$1101,6,0),"")</f>
        <v>1m</v>
      </c>
      <c r="AV878" s="448" t="str">
        <f>_xlfn.IFNA(VLOOKUP($AP878,Programma!$F$3:$L$1101,7,0),"")</f>
        <v>_</v>
      </c>
      <c r="AW878" s="448" t="str">
        <f>_xlfn.IFNA(VLOOKUP($AP878,Programma!$F$3:$M$1101,8,0),"")</f>
        <v>_</v>
      </c>
      <c r="AX878" s="448" t="str">
        <f>_xlfn.IFNA(VLOOKUP($AP878,Programma!$F$3:$N$1101,9,0),"")</f>
        <v>_</v>
      </c>
      <c r="AY878" s="448" t="str">
        <f>_xlfn.IFNA(VLOOKUP($AP878,Programma!$F$3:$O$1101,10,0),"")</f>
        <v>5w</v>
      </c>
      <c r="AZ878" s="448" t="str">
        <f>_xlfn.IFNA(VLOOKUP($AP878,Programma!$F$3:$P$1101,11,0),"")</f>
        <v>5w</v>
      </c>
      <c r="BA878" s="448" t="str">
        <f>_xlfn.IFNA(VLOOKUP($AP878,Programma!$F$3:$Q$1101,12,0),"")</f>
        <v>1w</v>
      </c>
      <c r="BB878" s="448" t="str">
        <f>_xlfn.IFNA(VLOOKUP($AP878,Programma!$F$3:$R$1101,13,0),"")</f>
        <v>1w</v>
      </c>
      <c r="BC878" s="448" t="str">
        <f>_xlfn.IFNA(VLOOKUP($AP878,Programma!$F$3:$S$1101,14,0),"")</f>
        <v>1m</v>
      </c>
      <c r="BD878" s="448" t="str">
        <f>_xlfn.IFNA(VLOOKUP($AP878,Programma!$F$3:$T$1101,15,0),"")</f>
        <v>2j</v>
      </c>
      <c r="BE878" s="448" t="str">
        <f>_xlfn.IFNA(VLOOKUP($AP878,Programma!$F$3:$U$1101,16,0),"")</f>
        <v>1j</v>
      </c>
      <c r="BF878" s="448" t="str">
        <f>_xlfn.IFNA(VLOOKUP($AP878,Programma!$F$3:$V$1101,17,0),"")</f>
        <v>_</v>
      </c>
      <c r="BG878" s="448" t="str">
        <f>_xlfn.IFNA(VLOOKUP($AP878,Programma!$F$3:$W$1101,18,0),"")</f>
        <v>_</v>
      </c>
      <c r="BH878" s="448" t="str">
        <f>_xlfn.IFNA(VLOOKUP($AP878,Programma!$F$3:$X$1101,19,0),"")</f>
        <v>_</v>
      </c>
      <c r="BI878" s="448" t="str">
        <f>_xlfn.IFNA(VLOOKUP($AP878,Programma!$F$3:$Y$1101,20,0),"")</f>
        <v>_</v>
      </c>
      <c r="BJ878" s="449"/>
      <c r="BK878" s="446" t="str">
        <f>IF(Ruimtestaat[[#This Row],[Frequentie weekend]]="","",_xlfn.CONCAT(Ruimtestaat[[#This Row],[Ruimte code]],"-",Ruimtestaat[[#This Row],[Frequentie weekend]]," ",Ruimtestaat[[#This Row],[Vloer code]]))</f>
        <v/>
      </c>
      <c r="BL878" s="448" t="str">
        <f>_xlfn.IFNA(VLOOKUP($BK878,Programma!$F$3:$G$1101,2,0),"")</f>
        <v/>
      </c>
      <c r="BM878" s="448" t="str">
        <f>_xlfn.IFNA(VLOOKUP($BK878,Programma!$F$3:$H$1101,3,0),"")</f>
        <v/>
      </c>
      <c r="BN878" s="448" t="str">
        <f>_xlfn.IFNA(VLOOKUP($BK878,Programma!$F$3:$I$1101,4,0),"")</f>
        <v/>
      </c>
      <c r="BO878" s="448" t="str">
        <f>_xlfn.IFNA(VLOOKUP($BK878,Programma!$F$3:$J$1101,5,0),"")</f>
        <v/>
      </c>
      <c r="BP878" s="448" t="str">
        <f>_xlfn.IFNA(VLOOKUP($BK878,Programma!$F$3:$K$1101,6,0),"")</f>
        <v/>
      </c>
      <c r="BQ878" s="448" t="str">
        <f>_xlfn.IFNA(VLOOKUP($BK878,Programma!$F$3:$L$1101,7,0),"")</f>
        <v/>
      </c>
      <c r="BR878" s="448" t="str">
        <f>_xlfn.IFNA(VLOOKUP($BK878,Programma!$F$3:$M$1101,8,0),"")</f>
        <v/>
      </c>
      <c r="BS878" s="448" t="str">
        <f>_xlfn.IFNA(VLOOKUP($BK878,Programma!$F$3:$N$1101,9,0),"")</f>
        <v/>
      </c>
      <c r="BT878" s="448" t="str">
        <f>_xlfn.IFNA(VLOOKUP($BK878,Programma!$F$3:$O$1101,10,0),"")</f>
        <v/>
      </c>
      <c r="BU878" s="448" t="str">
        <f>_xlfn.IFNA(VLOOKUP($BK878,Programma!$F$3:$P$1101,11,0),"")</f>
        <v/>
      </c>
      <c r="BV878" s="448" t="str">
        <f>_xlfn.IFNA(VLOOKUP($BK878,Programma!$F$3:$Q$1101,12,0),"")</f>
        <v/>
      </c>
      <c r="BW878" s="448" t="str">
        <f>_xlfn.IFNA(VLOOKUP($BK878,Programma!$F$3:$R$1101,13,0),"")</f>
        <v/>
      </c>
      <c r="BX878" s="448" t="str">
        <f>_xlfn.IFNA(VLOOKUP($BK878,Programma!$F$3:$S$1101,14,0),"")</f>
        <v/>
      </c>
      <c r="BY878" s="448" t="str">
        <f>_xlfn.IFNA(VLOOKUP($BK878,Programma!$F$3:$T$1101,15,0),"")</f>
        <v/>
      </c>
      <c r="BZ878" s="448" t="str">
        <f>_xlfn.IFNA(VLOOKUP($BK878,Programma!$F$3:$U$1101,16,0),"")</f>
        <v/>
      </c>
      <c r="CA878" s="448" t="str">
        <f>_xlfn.IFNA(VLOOKUP($BK878,Programma!$F$3:$V$1101,17,0),"")</f>
        <v/>
      </c>
      <c r="CB878" s="448" t="str">
        <f>_xlfn.IFNA(VLOOKUP($BK878,Programma!$F$3:$W$1101,18,0),"")</f>
        <v/>
      </c>
      <c r="CC878" s="448" t="str">
        <f>_xlfn.IFNA(VLOOKUP($BK878,Programma!$F$3:$X$1101,19,0),"")</f>
        <v/>
      </c>
      <c r="CD878" s="448" t="str">
        <f>_xlfn.IFNA(VLOOKUP($BK878,Programma!$F$3:$Y$1101,20,0),"")</f>
        <v/>
      </c>
    </row>
    <row r="879" spans="1:82" ht="15" customHeight="1">
      <c r="A879" s="327">
        <v>25</v>
      </c>
      <c r="B879" s="435" t="str">
        <f>VLOOKUP(Ruimtestaat[[#This Row],[Code]],Locaties[[Code]:[Locatie]],2,FALSE)</f>
        <v>IKC De Piramide</v>
      </c>
      <c r="C879" s="435" t="str">
        <f>VLOOKUP(Ruimtestaat[[#This Row],[Code]],Locaties[[#All],[Code]:[Adres]],4,FALSE)</f>
        <v>Fivelingo 84</v>
      </c>
      <c r="D879" s="435" t="str">
        <f>VLOOKUP(Ruimtestaat[[#This Row],[Code]],Locaties[[#All],[Code]:[Postcode]],5,FALSE)</f>
        <v>2716 BG</v>
      </c>
      <c r="E879" s="435" t="str">
        <f>VLOOKUP(Ruimtestaat[[#This Row],[Code]],Locaties[#All],6,FALSE)</f>
        <v>Zoetermeer</v>
      </c>
      <c r="F879" s="450" t="s">
        <v>2059</v>
      </c>
      <c r="G879" s="330" t="s">
        <v>1678</v>
      </c>
      <c r="H879" s="330" t="s">
        <v>1692</v>
      </c>
      <c r="I879" s="450" t="s">
        <v>2063</v>
      </c>
      <c r="J879" s="330">
        <v>5</v>
      </c>
      <c r="K879" s="450" t="str">
        <f>VLOOKUP(Ruimtestaat[[#This Row],[Ruimte code]],Ruimtegroepen[[#All],[Code]:[Ruimte omschrijving]],2,FALSE)</f>
        <v>Sanitair</v>
      </c>
      <c r="L879" s="330" t="s">
        <v>101</v>
      </c>
      <c r="M879" s="437" t="s">
        <v>1816</v>
      </c>
      <c r="N879" s="439">
        <v>4</v>
      </c>
      <c r="O879" s="439"/>
      <c r="P879" s="439"/>
      <c r="Q879" s="439"/>
      <c r="R879" s="440" t="str">
        <f>VLOOKUP(Ruimtestaat[[#This Row],[Ruimte code]],Ruimtegroepen[],4,FALSE)</f>
        <v>Sa</v>
      </c>
      <c r="S879" s="434">
        <v>41</v>
      </c>
      <c r="T879" s="434" t="s">
        <v>2</v>
      </c>
      <c r="U879" s="453">
        <f>IF(S879&gt;0,IF(RIGHT(Ruimtestaat[[#This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79" s="434">
        <f>IF(U879&gt;0,VLOOKUP($J879,Ruimtegroepen[],3,FALSE)*VLOOKUP($L879,Vloersoorten[],3,FALSE)*VLOOKUP($T879,Frequenties[],3,FALSE)*VLOOKUP($A879,Locaties[],3,FALSE),0)</f>
        <v>0</v>
      </c>
      <c r="W879" s="434">
        <f>Ruimtestaat[[#This Row],[Uitvoeringen werkdagen]]*Ruimtestaat[[#This Row],[Oppervlak (netto)]]</f>
        <v>820</v>
      </c>
      <c r="X879" s="441">
        <f>IF(V879&gt;0,Ruimtestaat[[#This Row],[Prest. (m2 /jaar) werkdagen]]/Ruimtestaat[[#This Row],[Norm (m2/uur) werkdagen]],0)</f>
        <v>0</v>
      </c>
      <c r="Y879" s="442">
        <f>Ruimtestaat[[#This Row],[Uitvoeringen werkdagen]]*Ruimtestaat[[#This Row],[Gedeeltelijk]]</f>
        <v>0</v>
      </c>
      <c r="Z879" s="443" t="e">
        <f>IF(U879&gt;0,Ruimtestaat[[#This Row],[Prest. (m2 / jaar) werkdagen gedeeld]]/Ruimtestaat[[#This Row],[Norm (m2/uur) werkdagen]],0)</f>
        <v>#DIV/0!</v>
      </c>
      <c r="AA879" s="441" t="e">
        <f>Ruimtestaat[[#This Row],[uren / jaar werkdagen gedeeld]]*Tariefsopbouw!$E$35</f>
        <v>#DIV/0!</v>
      </c>
      <c r="AB879" s="441">
        <f>Ruimtestaat[[#This Row],[Uitvoeringen werkdagen]]*Ruimtestaat[[#This Row],[BSO]]</f>
        <v>0</v>
      </c>
      <c r="AC879" s="443" t="e">
        <f>IF(U879&gt;0,Ruimtestaat[[#This Row],[Prest. (m2 / jaar) werkdagen BSO]]/Ruimtestaat[[#This Row],[Norm (m2/uur) werkdagen]],0)</f>
        <v>#DIV/0!</v>
      </c>
      <c r="AD879" s="443" t="e">
        <f>Ruimtestaat[[#This Row],[uren / jaar werkdagen BSO]]*Tariefsopbouw!$E$35</f>
        <v>#DIV/0!</v>
      </c>
      <c r="AE879" s="444">
        <f>Ruimtestaat[[#This Row],[uren / jaar werkdagen]]*Tariefsopbouw!$E$35</f>
        <v>0</v>
      </c>
      <c r="AF879" s="454"/>
      <c r="AG879" s="455">
        <f>IF(Ruimtestaat[[#This Row],[Frequentie weekend]]&gt;0,VALUE(LEFT(AF879,1))*S879,0)</f>
        <v>0</v>
      </c>
      <c r="AH879" s="455">
        <f>IF($AG879&gt;0,VLOOKUP($J879,Ruimtegroepen[],3,FALSE)*VLOOKUP($L879,Vloersoorten[],3,FALSE)*VLOOKUP($AF879,Frequenties[],3,FALSE)*VLOOKUP(#REF!,Locaties[],3,FALSE),0)</f>
        <v>0</v>
      </c>
      <c r="AI879" s="434">
        <f>Ruimtestaat[[#This Row],[Uitvoeringen weekend]]*Ruimtestaat[[#This Row],[Oppervlak (netto)]]</f>
        <v>0</v>
      </c>
      <c r="AJ879" s="434">
        <f>IF(AH879&gt;0,Ruimtestaat[[#This Row],[Prest. (m2 /jaar) weekend]]/Ruimtestaat[[#This Row],[Norm (m2/uur) weekend]],0)</f>
        <v>0</v>
      </c>
      <c r="AK879" s="444">
        <f>Ruimtestaat[[#This Row],[uren / jaar weekend]]*Tariefsopbouw!$D$40</f>
        <v>0</v>
      </c>
      <c r="AL879" s="441">
        <f>Ruimtestaat[[#This Row],[Prest. (m2 /jaar) weekend]]+Ruimtestaat[[#This Row],[Prest. (m2 /jaar) werkdagen]]</f>
        <v>820</v>
      </c>
      <c r="AM879" s="441">
        <f>Ruimtestaat[[#This Row],[uren / jaar weekend]]+Ruimtestaat[[#This Row],[uren / jaar werkdagen]]</f>
        <v>0</v>
      </c>
      <c r="AN879" s="446">
        <f>Ruimtestaat[[#This Row],[kosten / jaar weekend]]+Ruimtestaat[[#This Row],[kosten / jaar werkdagen]]</f>
        <v>0</v>
      </c>
      <c r="AO879" s="446"/>
      <c r="AP879" s="446" t="str">
        <f>IF(Ruimtestaat[[#This Row],[Frequentie werkdagen]]="","",_xlfn.CONCAT(Ruimtestaat[[#This Row],[Ruimte code]],"-",Ruimtestaat[[#This Row],[Frequentie werkdagen]]," ",Ruimtestaat[[#This Row],[Vloer code]]))</f>
        <v>5-5w S</v>
      </c>
      <c r="AQ879" s="448" t="str">
        <f>_xlfn.IFNA(VLOOKUP($AP879,Programma!$F$3:$G$1101,2,0),"")</f>
        <v>_</v>
      </c>
      <c r="AR879" s="448" t="str">
        <f>_xlfn.IFNA(VLOOKUP($AP879,Programma!$F$3:$H$1101,3,0),"")</f>
        <v>_</v>
      </c>
      <c r="AS879" s="448" t="str">
        <f>_xlfn.IFNA(VLOOKUP($AP879,Programma!$F$3:$I$1101,4,0),"")</f>
        <v>_</v>
      </c>
      <c r="AT879" s="448" t="str">
        <f>_xlfn.IFNA(VLOOKUP($AP879,Programma!$F$3:$J$1101,5,0),"")</f>
        <v>4w</v>
      </c>
      <c r="AU879" s="448" t="str">
        <f>_xlfn.IFNA(VLOOKUP($AP879,Programma!$F$3:$K$1101,6,0),"")</f>
        <v>1w</v>
      </c>
      <c r="AV879" s="448" t="str">
        <f>_xlfn.IFNA(VLOOKUP($AP879,Programma!$F$3:$L$1101,7,0),"")</f>
        <v>_</v>
      </c>
      <c r="AW879" s="448" t="str">
        <f>_xlfn.IFNA(VLOOKUP($AP879,Programma!$F$3:$M$1101,8,0),"")</f>
        <v>_</v>
      </c>
      <c r="AX879" s="448" t="str">
        <f>_xlfn.IFNA(VLOOKUP($AP879,Programma!$F$3:$N$1101,9,0),"")</f>
        <v>_</v>
      </c>
      <c r="AY879" s="448" t="str">
        <f>_xlfn.IFNA(VLOOKUP($AP879,Programma!$F$3:$O$1101,10,0),"")</f>
        <v>_</v>
      </c>
      <c r="AZ879" s="448" t="str">
        <f>_xlfn.IFNA(VLOOKUP($AP879,Programma!$F$3:$P$1101,11,0),"")</f>
        <v>_</v>
      </c>
      <c r="BA879" s="448" t="str">
        <f>_xlfn.IFNA(VLOOKUP($AP879,Programma!$F$3:$Q$1101,12,0),"")</f>
        <v>_</v>
      </c>
      <c r="BB879" s="448" t="str">
        <f>_xlfn.IFNA(VLOOKUP($AP879,Programma!$F$3:$R$1101,13,0),"")</f>
        <v>_</v>
      </c>
      <c r="BC879" s="448" t="str">
        <f>_xlfn.IFNA(VLOOKUP($AP879,Programma!$F$3:$S$1101,14,0),"")</f>
        <v>_</v>
      </c>
      <c r="BD879" s="448" t="str">
        <f>_xlfn.IFNA(VLOOKUP($AP879,Programma!$F$3:$T$1101,15,0),"")</f>
        <v>_</v>
      </c>
      <c r="BE879" s="448" t="str">
        <f>_xlfn.IFNA(VLOOKUP($AP879,Programma!$F$3:$U$1101,16,0),"")</f>
        <v>_</v>
      </c>
      <c r="BF879" s="448" t="str">
        <f>_xlfn.IFNA(VLOOKUP($AP879,Programma!$F$3:$V$1101,17,0),"")</f>
        <v>_</v>
      </c>
      <c r="BG879" s="448" t="str">
        <f>_xlfn.IFNA(VLOOKUP($AP879,Programma!$F$3:$W$1101,18,0),"")</f>
        <v>4w</v>
      </c>
      <c r="BH879" s="448" t="str">
        <f>_xlfn.IFNA(VLOOKUP($AP879,Programma!$F$3:$X$1101,19,0),"")</f>
        <v>1w</v>
      </c>
      <c r="BI879" s="448" t="str">
        <f>_xlfn.IFNA(VLOOKUP($AP879,Programma!$F$3:$Y$1101,20,0),"")</f>
        <v>_</v>
      </c>
      <c r="BJ879" s="449"/>
      <c r="BK879" s="446" t="str">
        <f>IF(Ruimtestaat[[#This Row],[Frequentie weekend]]="","",_xlfn.CONCAT(Ruimtestaat[[#This Row],[Ruimte code]],"-",Ruimtestaat[[#This Row],[Frequentie weekend]]," ",Ruimtestaat[[#This Row],[Vloer code]]))</f>
        <v/>
      </c>
      <c r="BL879" s="448" t="str">
        <f>_xlfn.IFNA(VLOOKUP($BK879,Programma!$F$3:$G$1101,2,0),"")</f>
        <v/>
      </c>
      <c r="BM879" s="448" t="str">
        <f>_xlfn.IFNA(VLOOKUP($BK879,Programma!$F$3:$H$1101,3,0),"")</f>
        <v/>
      </c>
      <c r="BN879" s="448" t="str">
        <f>_xlfn.IFNA(VLOOKUP($BK879,Programma!$F$3:$I$1101,4,0),"")</f>
        <v/>
      </c>
      <c r="BO879" s="448" t="str">
        <f>_xlfn.IFNA(VLOOKUP($BK879,Programma!$F$3:$J$1101,5,0),"")</f>
        <v/>
      </c>
      <c r="BP879" s="448" t="str">
        <f>_xlfn.IFNA(VLOOKUP($BK879,Programma!$F$3:$K$1101,6,0),"")</f>
        <v/>
      </c>
      <c r="BQ879" s="448" t="str">
        <f>_xlfn.IFNA(VLOOKUP($BK879,Programma!$F$3:$L$1101,7,0),"")</f>
        <v/>
      </c>
      <c r="BR879" s="448" t="str">
        <f>_xlfn.IFNA(VLOOKUP($BK879,Programma!$F$3:$M$1101,8,0),"")</f>
        <v/>
      </c>
      <c r="BS879" s="448" t="str">
        <f>_xlfn.IFNA(VLOOKUP($BK879,Programma!$F$3:$N$1101,9,0),"")</f>
        <v/>
      </c>
      <c r="BT879" s="448" t="str">
        <f>_xlfn.IFNA(VLOOKUP($BK879,Programma!$F$3:$O$1101,10,0),"")</f>
        <v/>
      </c>
      <c r="BU879" s="448" t="str">
        <f>_xlfn.IFNA(VLOOKUP($BK879,Programma!$F$3:$P$1101,11,0),"")</f>
        <v/>
      </c>
      <c r="BV879" s="448" t="str">
        <f>_xlfn.IFNA(VLOOKUP($BK879,Programma!$F$3:$Q$1101,12,0),"")</f>
        <v/>
      </c>
      <c r="BW879" s="448" t="str">
        <f>_xlfn.IFNA(VLOOKUP($BK879,Programma!$F$3:$R$1101,13,0),"")</f>
        <v/>
      </c>
      <c r="BX879" s="448" t="str">
        <f>_xlfn.IFNA(VLOOKUP($BK879,Programma!$F$3:$S$1101,14,0),"")</f>
        <v/>
      </c>
      <c r="BY879" s="448" t="str">
        <f>_xlfn.IFNA(VLOOKUP($BK879,Programma!$F$3:$T$1101,15,0),"")</f>
        <v/>
      </c>
      <c r="BZ879" s="448" t="str">
        <f>_xlfn.IFNA(VLOOKUP($BK879,Programma!$F$3:$U$1101,16,0),"")</f>
        <v/>
      </c>
      <c r="CA879" s="448" t="str">
        <f>_xlfn.IFNA(VLOOKUP($BK879,Programma!$F$3:$V$1101,17,0),"")</f>
        <v/>
      </c>
      <c r="CB879" s="448" t="str">
        <f>_xlfn.IFNA(VLOOKUP($BK879,Programma!$F$3:$W$1101,18,0),"")</f>
        <v/>
      </c>
      <c r="CC879" s="448" t="str">
        <f>_xlfn.IFNA(VLOOKUP($BK879,Programma!$F$3:$X$1101,19,0),"")</f>
        <v/>
      </c>
      <c r="CD879" s="448" t="str">
        <f>_xlfn.IFNA(VLOOKUP($BK879,Programma!$F$3:$Y$1101,20,0),"")</f>
        <v/>
      </c>
    </row>
    <row r="880" spans="1:82" ht="15" customHeight="1">
      <c r="A880" s="327">
        <v>25</v>
      </c>
      <c r="B880" s="435" t="str">
        <f>VLOOKUP(Ruimtestaat[[#This Row],[Code]],Locaties[[Code]:[Locatie]],2,FALSE)</f>
        <v>IKC De Piramide</v>
      </c>
      <c r="C880" s="435" t="str">
        <f>VLOOKUP(Ruimtestaat[[#This Row],[Code]],Locaties[[#All],[Code]:[Adres]],4,FALSE)</f>
        <v>Fivelingo 84</v>
      </c>
      <c r="D880" s="435" t="str">
        <f>VLOOKUP(Ruimtestaat[[#This Row],[Code]],Locaties[[#All],[Code]:[Postcode]],5,FALSE)</f>
        <v>2716 BG</v>
      </c>
      <c r="E880" s="435" t="str">
        <f>VLOOKUP(Ruimtestaat[[#This Row],[Code]],Locaties[#All],6,FALSE)</f>
        <v>Zoetermeer</v>
      </c>
      <c r="F880" s="450" t="s">
        <v>2059</v>
      </c>
      <c r="G880" s="330" t="s">
        <v>1678</v>
      </c>
      <c r="H880" s="330" t="s">
        <v>1693</v>
      </c>
      <c r="I880" s="450" t="s">
        <v>2064</v>
      </c>
      <c r="J880" s="330">
        <v>5</v>
      </c>
      <c r="K880" s="450" t="str">
        <f>VLOOKUP(Ruimtestaat[[#This Row],[Ruimte code]],Ruimtegroepen[[#All],[Code]:[Ruimte omschrijving]],2,FALSE)</f>
        <v>Sanitair</v>
      </c>
      <c r="L880" s="330" t="s">
        <v>101</v>
      </c>
      <c r="M880" s="437" t="s">
        <v>1816</v>
      </c>
      <c r="N880" s="439">
        <v>2</v>
      </c>
      <c r="O880" s="439"/>
      <c r="P880" s="439"/>
      <c r="Q880" s="439"/>
      <c r="R880" s="440" t="str">
        <f>VLOOKUP(Ruimtestaat[[#This Row],[Ruimte code]],Ruimtegroepen[],4,FALSE)</f>
        <v>Sa</v>
      </c>
      <c r="S880" s="434">
        <v>41</v>
      </c>
      <c r="T880" s="434" t="s">
        <v>2</v>
      </c>
      <c r="U880" s="453">
        <f>IF(S880&gt;0,IF(RIGHT(Ruimtestaat[[#This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80" s="434">
        <f>IF(U880&gt;0,VLOOKUP($J880,Ruimtegroepen[],3,FALSE)*VLOOKUP($L880,Vloersoorten[],3,FALSE)*VLOOKUP($T880,Frequenties[],3,FALSE)*VLOOKUP($A880,Locaties[],3,FALSE),0)</f>
        <v>0</v>
      </c>
      <c r="W880" s="434">
        <f>Ruimtestaat[[#This Row],[Uitvoeringen werkdagen]]*Ruimtestaat[[#This Row],[Oppervlak (netto)]]</f>
        <v>410</v>
      </c>
      <c r="X880" s="441">
        <f>IF(V880&gt;0,Ruimtestaat[[#This Row],[Prest. (m2 /jaar) werkdagen]]/Ruimtestaat[[#This Row],[Norm (m2/uur) werkdagen]],0)</f>
        <v>0</v>
      </c>
      <c r="Y880" s="442">
        <f>Ruimtestaat[[#This Row],[Uitvoeringen werkdagen]]*Ruimtestaat[[#This Row],[Gedeeltelijk]]</f>
        <v>0</v>
      </c>
      <c r="Z880" s="443" t="e">
        <f>IF(U880&gt;0,Ruimtestaat[[#This Row],[Prest. (m2 / jaar) werkdagen gedeeld]]/Ruimtestaat[[#This Row],[Norm (m2/uur) werkdagen]],0)</f>
        <v>#DIV/0!</v>
      </c>
      <c r="AA880" s="441" t="e">
        <f>Ruimtestaat[[#This Row],[uren / jaar werkdagen gedeeld]]*Tariefsopbouw!$E$35</f>
        <v>#DIV/0!</v>
      </c>
      <c r="AB880" s="441">
        <f>Ruimtestaat[[#This Row],[Uitvoeringen werkdagen]]*Ruimtestaat[[#This Row],[BSO]]</f>
        <v>0</v>
      </c>
      <c r="AC880" s="443" t="e">
        <f>IF(U880&gt;0,Ruimtestaat[[#This Row],[Prest. (m2 / jaar) werkdagen BSO]]/Ruimtestaat[[#This Row],[Norm (m2/uur) werkdagen]],0)</f>
        <v>#DIV/0!</v>
      </c>
      <c r="AD880" s="443" t="e">
        <f>Ruimtestaat[[#This Row],[uren / jaar werkdagen BSO]]*Tariefsopbouw!$E$35</f>
        <v>#DIV/0!</v>
      </c>
      <c r="AE880" s="444">
        <f>Ruimtestaat[[#This Row],[uren / jaar werkdagen]]*Tariefsopbouw!$E$35</f>
        <v>0</v>
      </c>
      <c r="AF880" s="454"/>
      <c r="AG880" s="455">
        <f>IF(Ruimtestaat[[#This Row],[Frequentie weekend]]&gt;0,VALUE(LEFT(AF880,1))*S880,0)</f>
        <v>0</v>
      </c>
      <c r="AH880" s="455">
        <f>IF($AG880&gt;0,VLOOKUP($J880,Ruimtegroepen[],3,FALSE)*VLOOKUP($L880,Vloersoorten[],3,FALSE)*VLOOKUP($AF880,Frequenties[],3,FALSE)*VLOOKUP(#REF!,Locaties[],3,FALSE),0)</f>
        <v>0</v>
      </c>
      <c r="AI880" s="434">
        <f>Ruimtestaat[[#This Row],[Uitvoeringen weekend]]*Ruimtestaat[[#This Row],[Oppervlak (netto)]]</f>
        <v>0</v>
      </c>
      <c r="AJ880" s="434">
        <f>IF(AH880&gt;0,Ruimtestaat[[#This Row],[Prest. (m2 /jaar) weekend]]/Ruimtestaat[[#This Row],[Norm (m2/uur) weekend]],0)</f>
        <v>0</v>
      </c>
      <c r="AK880" s="444">
        <f>Ruimtestaat[[#This Row],[uren / jaar weekend]]*Tariefsopbouw!$D$40</f>
        <v>0</v>
      </c>
      <c r="AL880" s="441">
        <f>Ruimtestaat[[#This Row],[Prest. (m2 /jaar) weekend]]+Ruimtestaat[[#This Row],[Prest. (m2 /jaar) werkdagen]]</f>
        <v>410</v>
      </c>
      <c r="AM880" s="441">
        <f>Ruimtestaat[[#This Row],[uren / jaar weekend]]+Ruimtestaat[[#This Row],[uren / jaar werkdagen]]</f>
        <v>0</v>
      </c>
      <c r="AN880" s="446">
        <f>Ruimtestaat[[#This Row],[kosten / jaar weekend]]+Ruimtestaat[[#This Row],[kosten / jaar werkdagen]]</f>
        <v>0</v>
      </c>
      <c r="AO880" s="446"/>
      <c r="AP880" s="446" t="str">
        <f>IF(Ruimtestaat[[#This Row],[Frequentie werkdagen]]="","",_xlfn.CONCAT(Ruimtestaat[[#This Row],[Ruimte code]],"-",Ruimtestaat[[#This Row],[Frequentie werkdagen]]," ",Ruimtestaat[[#This Row],[Vloer code]]))</f>
        <v>5-5w S</v>
      </c>
      <c r="AQ880" s="448" t="str">
        <f>_xlfn.IFNA(VLOOKUP($AP880,Programma!$F$3:$G$1101,2,0),"")</f>
        <v>_</v>
      </c>
      <c r="AR880" s="448" t="str">
        <f>_xlfn.IFNA(VLOOKUP($AP880,Programma!$F$3:$H$1101,3,0),"")</f>
        <v>_</v>
      </c>
      <c r="AS880" s="448" t="str">
        <f>_xlfn.IFNA(VLOOKUP($AP880,Programma!$F$3:$I$1101,4,0),"")</f>
        <v>_</v>
      </c>
      <c r="AT880" s="448" t="str">
        <f>_xlfn.IFNA(VLOOKUP($AP880,Programma!$F$3:$J$1101,5,0),"")</f>
        <v>4w</v>
      </c>
      <c r="AU880" s="448" t="str">
        <f>_xlfn.IFNA(VLOOKUP($AP880,Programma!$F$3:$K$1101,6,0),"")</f>
        <v>1w</v>
      </c>
      <c r="AV880" s="448" t="str">
        <f>_xlfn.IFNA(VLOOKUP($AP880,Programma!$F$3:$L$1101,7,0),"")</f>
        <v>_</v>
      </c>
      <c r="AW880" s="448" t="str">
        <f>_xlfn.IFNA(VLOOKUP($AP880,Programma!$F$3:$M$1101,8,0),"")</f>
        <v>_</v>
      </c>
      <c r="AX880" s="448" t="str">
        <f>_xlfn.IFNA(VLOOKUP($AP880,Programma!$F$3:$N$1101,9,0),"")</f>
        <v>_</v>
      </c>
      <c r="AY880" s="448" t="str">
        <f>_xlfn.IFNA(VLOOKUP($AP880,Programma!$F$3:$O$1101,10,0),"")</f>
        <v>_</v>
      </c>
      <c r="AZ880" s="448" t="str">
        <f>_xlfn.IFNA(VLOOKUP($AP880,Programma!$F$3:$P$1101,11,0),"")</f>
        <v>_</v>
      </c>
      <c r="BA880" s="448" t="str">
        <f>_xlfn.IFNA(VLOOKUP($AP880,Programma!$F$3:$Q$1101,12,0),"")</f>
        <v>_</v>
      </c>
      <c r="BB880" s="448" t="str">
        <f>_xlfn.IFNA(VLOOKUP($AP880,Programma!$F$3:$R$1101,13,0),"")</f>
        <v>_</v>
      </c>
      <c r="BC880" s="448" t="str">
        <f>_xlfn.IFNA(VLOOKUP($AP880,Programma!$F$3:$S$1101,14,0),"")</f>
        <v>_</v>
      </c>
      <c r="BD880" s="448" t="str">
        <f>_xlfn.IFNA(VLOOKUP($AP880,Programma!$F$3:$T$1101,15,0),"")</f>
        <v>_</v>
      </c>
      <c r="BE880" s="448" t="str">
        <f>_xlfn.IFNA(VLOOKUP($AP880,Programma!$F$3:$U$1101,16,0),"")</f>
        <v>_</v>
      </c>
      <c r="BF880" s="448" t="str">
        <f>_xlfn.IFNA(VLOOKUP($AP880,Programma!$F$3:$V$1101,17,0),"")</f>
        <v>_</v>
      </c>
      <c r="BG880" s="448" t="str">
        <f>_xlfn.IFNA(VLOOKUP($AP880,Programma!$F$3:$W$1101,18,0),"")</f>
        <v>4w</v>
      </c>
      <c r="BH880" s="448" t="str">
        <f>_xlfn.IFNA(VLOOKUP($AP880,Programma!$F$3:$X$1101,19,0),"")</f>
        <v>1w</v>
      </c>
      <c r="BI880" s="448" t="str">
        <f>_xlfn.IFNA(VLOOKUP($AP880,Programma!$F$3:$Y$1101,20,0),"")</f>
        <v>_</v>
      </c>
      <c r="BJ880" s="449"/>
      <c r="BK880" s="446" t="str">
        <f>IF(Ruimtestaat[[#This Row],[Frequentie weekend]]="","",_xlfn.CONCAT(Ruimtestaat[[#This Row],[Ruimte code]],"-",Ruimtestaat[[#This Row],[Frequentie weekend]]," ",Ruimtestaat[[#This Row],[Vloer code]]))</f>
        <v/>
      </c>
      <c r="BL880" s="448" t="str">
        <f>_xlfn.IFNA(VLOOKUP($BK880,Programma!$F$3:$G$1101,2,0),"")</f>
        <v/>
      </c>
      <c r="BM880" s="448" t="str">
        <f>_xlfn.IFNA(VLOOKUP($BK880,Programma!$F$3:$H$1101,3,0),"")</f>
        <v/>
      </c>
      <c r="BN880" s="448" t="str">
        <f>_xlfn.IFNA(VLOOKUP($BK880,Programma!$F$3:$I$1101,4,0),"")</f>
        <v/>
      </c>
      <c r="BO880" s="448" t="str">
        <f>_xlfn.IFNA(VLOOKUP($BK880,Programma!$F$3:$J$1101,5,0),"")</f>
        <v/>
      </c>
      <c r="BP880" s="448" t="str">
        <f>_xlfn.IFNA(VLOOKUP($BK880,Programma!$F$3:$K$1101,6,0),"")</f>
        <v/>
      </c>
      <c r="BQ880" s="448" t="str">
        <f>_xlfn.IFNA(VLOOKUP($BK880,Programma!$F$3:$L$1101,7,0),"")</f>
        <v/>
      </c>
      <c r="BR880" s="448" t="str">
        <f>_xlfn.IFNA(VLOOKUP($BK880,Programma!$F$3:$M$1101,8,0),"")</f>
        <v/>
      </c>
      <c r="BS880" s="448" t="str">
        <f>_xlfn.IFNA(VLOOKUP($BK880,Programma!$F$3:$N$1101,9,0),"")</f>
        <v/>
      </c>
      <c r="BT880" s="448" t="str">
        <f>_xlfn.IFNA(VLOOKUP($BK880,Programma!$F$3:$O$1101,10,0),"")</f>
        <v/>
      </c>
      <c r="BU880" s="448" t="str">
        <f>_xlfn.IFNA(VLOOKUP($BK880,Programma!$F$3:$P$1101,11,0),"")</f>
        <v/>
      </c>
      <c r="BV880" s="448" t="str">
        <f>_xlfn.IFNA(VLOOKUP($BK880,Programma!$F$3:$Q$1101,12,0),"")</f>
        <v/>
      </c>
      <c r="BW880" s="448" t="str">
        <f>_xlfn.IFNA(VLOOKUP($BK880,Programma!$F$3:$R$1101,13,0),"")</f>
        <v/>
      </c>
      <c r="BX880" s="448" t="str">
        <f>_xlfn.IFNA(VLOOKUP($BK880,Programma!$F$3:$S$1101,14,0),"")</f>
        <v/>
      </c>
      <c r="BY880" s="448" t="str">
        <f>_xlfn.IFNA(VLOOKUP($BK880,Programma!$F$3:$T$1101,15,0),"")</f>
        <v/>
      </c>
      <c r="BZ880" s="448" t="str">
        <f>_xlfn.IFNA(VLOOKUP($BK880,Programma!$F$3:$U$1101,16,0),"")</f>
        <v/>
      </c>
      <c r="CA880" s="448" t="str">
        <f>_xlfn.IFNA(VLOOKUP($BK880,Programma!$F$3:$V$1101,17,0),"")</f>
        <v/>
      </c>
      <c r="CB880" s="448" t="str">
        <f>_xlfn.IFNA(VLOOKUP($BK880,Programma!$F$3:$W$1101,18,0),"")</f>
        <v/>
      </c>
      <c r="CC880" s="448" t="str">
        <f>_xlfn.IFNA(VLOOKUP($BK880,Programma!$F$3:$X$1101,19,0),"")</f>
        <v/>
      </c>
      <c r="CD880" s="448" t="str">
        <f>_xlfn.IFNA(VLOOKUP($BK880,Programma!$F$3:$Y$1101,20,0),"")</f>
        <v/>
      </c>
    </row>
    <row r="881" spans="1:82" ht="15" customHeight="1">
      <c r="A881" s="327">
        <v>25</v>
      </c>
      <c r="B881" s="435" t="str">
        <f>VLOOKUP(Ruimtestaat[[#This Row],[Code]],Locaties[[Code]:[Locatie]],2,FALSE)</f>
        <v>IKC De Piramide</v>
      </c>
      <c r="C881" s="435" t="str">
        <f>VLOOKUP(Ruimtestaat[[#This Row],[Code]],Locaties[[#All],[Code]:[Adres]],4,FALSE)</f>
        <v>Fivelingo 84</v>
      </c>
      <c r="D881" s="435" t="str">
        <f>VLOOKUP(Ruimtestaat[[#This Row],[Code]],Locaties[[#All],[Code]:[Postcode]],5,FALSE)</f>
        <v>2716 BG</v>
      </c>
      <c r="E881" s="435" t="str">
        <f>VLOOKUP(Ruimtestaat[[#This Row],[Code]],Locaties[#All],6,FALSE)</f>
        <v>Zoetermeer</v>
      </c>
      <c r="F881" s="450" t="s">
        <v>2059</v>
      </c>
      <c r="G881" s="330" t="s">
        <v>1678</v>
      </c>
      <c r="H881" s="330" t="s">
        <v>2065</v>
      </c>
      <c r="I881" s="450" t="s">
        <v>1679</v>
      </c>
      <c r="J881" s="330">
        <v>16</v>
      </c>
      <c r="K881" s="450" t="str">
        <f>VLOOKUP(Ruimtestaat[[#This Row],[Ruimte code]],Ruimtegroepen[[#All],[Code]:[Ruimte omschrijving]],2,FALSE)</f>
        <v>Leslokalen</v>
      </c>
      <c r="L881" s="330" t="s">
        <v>101</v>
      </c>
      <c r="M881" s="437" t="s">
        <v>1816</v>
      </c>
      <c r="N881" s="439">
        <v>52.5</v>
      </c>
      <c r="O881" s="439"/>
      <c r="P881" s="439"/>
      <c r="Q881" s="439"/>
      <c r="R881" s="440" t="str">
        <f>VLOOKUP(Ruimtestaat[[#This Row],[Ruimte code]],Ruimtegroepen[],4,FALSE)</f>
        <v>Le</v>
      </c>
      <c r="S881" s="434">
        <v>40</v>
      </c>
      <c r="T881" s="434" t="s">
        <v>2</v>
      </c>
      <c r="U881" s="453">
        <f>IF(S881&gt;0,IF(RIGHT(Ruimtestaat[[#This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1" s="434">
        <f>IF(U881&gt;0,VLOOKUP($J881,Ruimtegroepen[],3,FALSE)*VLOOKUP($L881,Vloersoorten[],3,FALSE)*VLOOKUP($T881,Frequenties[],3,FALSE)*VLOOKUP($A881,Locaties[],3,FALSE),0)</f>
        <v>0</v>
      </c>
      <c r="W881" s="434">
        <f>Ruimtestaat[[#This Row],[Uitvoeringen werkdagen]]*Ruimtestaat[[#This Row],[Oppervlak (netto)]]</f>
        <v>10500</v>
      </c>
      <c r="X881" s="441">
        <f>IF(V881&gt;0,Ruimtestaat[[#This Row],[Prest. (m2 /jaar) werkdagen]]/Ruimtestaat[[#This Row],[Norm (m2/uur) werkdagen]],0)</f>
        <v>0</v>
      </c>
      <c r="Y881" s="442">
        <f>Ruimtestaat[[#This Row],[Uitvoeringen werkdagen]]*Ruimtestaat[[#This Row],[Gedeeltelijk]]</f>
        <v>0</v>
      </c>
      <c r="Z881" s="443" t="e">
        <f>IF(U881&gt;0,Ruimtestaat[[#This Row],[Prest. (m2 / jaar) werkdagen gedeeld]]/Ruimtestaat[[#This Row],[Norm (m2/uur) werkdagen]],0)</f>
        <v>#DIV/0!</v>
      </c>
      <c r="AA881" s="441" t="e">
        <f>Ruimtestaat[[#This Row],[uren / jaar werkdagen gedeeld]]*Tariefsopbouw!$E$35</f>
        <v>#DIV/0!</v>
      </c>
      <c r="AB881" s="441">
        <f>Ruimtestaat[[#This Row],[Uitvoeringen werkdagen]]*Ruimtestaat[[#This Row],[BSO]]</f>
        <v>0</v>
      </c>
      <c r="AC881" s="443" t="e">
        <f>IF(U881&gt;0,Ruimtestaat[[#This Row],[Prest. (m2 / jaar) werkdagen BSO]]/Ruimtestaat[[#This Row],[Norm (m2/uur) werkdagen]],0)</f>
        <v>#DIV/0!</v>
      </c>
      <c r="AD881" s="443" t="e">
        <f>Ruimtestaat[[#This Row],[uren / jaar werkdagen BSO]]*Tariefsopbouw!$E$35</f>
        <v>#DIV/0!</v>
      </c>
      <c r="AE881" s="444">
        <f>Ruimtestaat[[#This Row],[uren / jaar werkdagen]]*Tariefsopbouw!$E$35</f>
        <v>0</v>
      </c>
      <c r="AF881" s="454"/>
      <c r="AG881" s="455">
        <f>IF(Ruimtestaat[[#This Row],[Frequentie weekend]]&gt;0,VALUE(LEFT(AF881,1))*S881,0)</f>
        <v>0</v>
      </c>
      <c r="AH881" s="455">
        <f>IF($AG881&gt;0,VLOOKUP($J881,Ruimtegroepen[],3,FALSE)*VLOOKUP($L881,Vloersoorten[],3,FALSE)*VLOOKUP($AF881,Frequenties[],3,FALSE)*VLOOKUP(#REF!,Locaties[],3,FALSE),0)</f>
        <v>0</v>
      </c>
      <c r="AI881" s="434">
        <f>Ruimtestaat[[#This Row],[Uitvoeringen weekend]]*Ruimtestaat[[#This Row],[Oppervlak (netto)]]</f>
        <v>0</v>
      </c>
      <c r="AJ881" s="434">
        <f>IF(AH881&gt;0,Ruimtestaat[[#This Row],[Prest. (m2 /jaar) weekend]]/Ruimtestaat[[#This Row],[Norm (m2/uur) weekend]],0)</f>
        <v>0</v>
      </c>
      <c r="AK881" s="444">
        <f>Ruimtestaat[[#This Row],[uren / jaar weekend]]*Tariefsopbouw!$D$40</f>
        <v>0</v>
      </c>
      <c r="AL881" s="441">
        <f>Ruimtestaat[[#This Row],[Prest. (m2 /jaar) weekend]]+Ruimtestaat[[#This Row],[Prest. (m2 /jaar) werkdagen]]</f>
        <v>10500</v>
      </c>
      <c r="AM881" s="441">
        <f>Ruimtestaat[[#This Row],[uren / jaar weekend]]+Ruimtestaat[[#This Row],[uren / jaar werkdagen]]</f>
        <v>0</v>
      </c>
      <c r="AN881" s="446">
        <f>Ruimtestaat[[#This Row],[kosten / jaar weekend]]+Ruimtestaat[[#This Row],[kosten / jaar werkdagen]]</f>
        <v>0</v>
      </c>
      <c r="AO881" s="446"/>
      <c r="AP881" s="446" t="str">
        <f>IF(Ruimtestaat[[#This Row],[Frequentie werkdagen]]="","",_xlfn.CONCAT(Ruimtestaat[[#This Row],[Ruimte code]],"-",Ruimtestaat[[#This Row],[Frequentie werkdagen]]," ",Ruimtestaat[[#This Row],[Vloer code]]))</f>
        <v>16-5w S</v>
      </c>
      <c r="AQ881" s="448" t="str">
        <f>_xlfn.IFNA(VLOOKUP($AP881,Programma!$F$3:$G$1101,2,0),"")</f>
        <v>_</v>
      </c>
      <c r="AR881" s="448" t="str">
        <f>_xlfn.IFNA(VLOOKUP($AP881,Programma!$F$3:$H$1101,3,0),"")</f>
        <v>_</v>
      </c>
      <c r="AS881" s="448" t="str">
        <f>_xlfn.IFNA(VLOOKUP($AP881,Programma!$F$3:$I$1101,4,0),"")</f>
        <v>4w</v>
      </c>
      <c r="AT881" s="448" t="str">
        <f>_xlfn.IFNA(VLOOKUP($AP881,Programma!$F$3:$J$1101,5,0),"")</f>
        <v>1w</v>
      </c>
      <c r="AU881" s="448" t="str">
        <f>_xlfn.IFNA(VLOOKUP($AP881,Programma!$F$3:$K$1101,6,0),"")</f>
        <v>1m</v>
      </c>
      <c r="AV881" s="448" t="str">
        <f>_xlfn.IFNA(VLOOKUP($AP881,Programma!$F$3:$L$1101,7,0),"")</f>
        <v>_</v>
      </c>
      <c r="AW881" s="448" t="str">
        <f>_xlfn.IFNA(VLOOKUP($AP881,Programma!$F$3:$M$1101,8,0),"")</f>
        <v>_</v>
      </c>
      <c r="AX881" s="448" t="str">
        <f>_xlfn.IFNA(VLOOKUP($AP881,Programma!$F$3:$N$1101,9,0),"")</f>
        <v>_</v>
      </c>
      <c r="AY881" s="448" t="str">
        <f>_xlfn.IFNA(VLOOKUP($AP881,Programma!$F$3:$O$1101,10,0),"")</f>
        <v>5w</v>
      </c>
      <c r="AZ881" s="448" t="str">
        <f>_xlfn.IFNA(VLOOKUP($AP881,Programma!$F$3:$P$1101,11,0),"")</f>
        <v>5w</v>
      </c>
      <c r="BA881" s="448" t="str">
        <f>_xlfn.IFNA(VLOOKUP($AP881,Programma!$F$3:$Q$1101,12,0),"")</f>
        <v>1w</v>
      </c>
      <c r="BB881" s="448" t="str">
        <f>_xlfn.IFNA(VLOOKUP($AP881,Programma!$F$3:$R$1101,13,0),"")</f>
        <v>1w</v>
      </c>
      <c r="BC881" s="448" t="str">
        <f>_xlfn.IFNA(VLOOKUP($AP881,Programma!$F$3:$S$1101,14,0),"")</f>
        <v>1m</v>
      </c>
      <c r="BD881" s="448" t="str">
        <f>_xlfn.IFNA(VLOOKUP($AP881,Programma!$F$3:$T$1101,15,0),"")</f>
        <v>2j</v>
      </c>
      <c r="BE881" s="448" t="str">
        <f>_xlfn.IFNA(VLOOKUP($AP881,Programma!$F$3:$U$1101,16,0),"")</f>
        <v>1j</v>
      </c>
      <c r="BF881" s="448" t="str">
        <f>_xlfn.IFNA(VLOOKUP($AP881,Programma!$F$3:$V$1101,17,0),"")</f>
        <v>_</v>
      </c>
      <c r="BG881" s="448" t="str">
        <f>_xlfn.IFNA(VLOOKUP($AP881,Programma!$F$3:$W$1101,18,0),"")</f>
        <v>_</v>
      </c>
      <c r="BH881" s="448" t="str">
        <f>_xlfn.IFNA(VLOOKUP($AP881,Programma!$F$3:$X$1101,19,0),"")</f>
        <v>_</v>
      </c>
      <c r="BI881" s="448" t="str">
        <f>_xlfn.IFNA(VLOOKUP($AP881,Programma!$F$3:$Y$1101,20,0),"")</f>
        <v>_</v>
      </c>
      <c r="BJ881" s="449"/>
      <c r="BK881" s="446" t="str">
        <f>IF(Ruimtestaat[[#This Row],[Frequentie weekend]]="","",_xlfn.CONCAT(Ruimtestaat[[#This Row],[Ruimte code]],"-",Ruimtestaat[[#This Row],[Frequentie weekend]]," ",Ruimtestaat[[#This Row],[Vloer code]]))</f>
        <v/>
      </c>
      <c r="BL881" s="448" t="str">
        <f>_xlfn.IFNA(VLOOKUP($BK881,Programma!$F$3:$G$1101,2,0),"")</f>
        <v/>
      </c>
      <c r="BM881" s="448" t="str">
        <f>_xlfn.IFNA(VLOOKUP($BK881,Programma!$F$3:$H$1101,3,0),"")</f>
        <v/>
      </c>
      <c r="BN881" s="448" t="str">
        <f>_xlfn.IFNA(VLOOKUP($BK881,Programma!$F$3:$I$1101,4,0),"")</f>
        <v/>
      </c>
      <c r="BO881" s="448" t="str">
        <f>_xlfn.IFNA(VLOOKUP($BK881,Programma!$F$3:$J$1101,5,0),"")</f>
        <v/>
      </c>
      <c r="BP881" s="448" t="str">
        <f>_xlfn.IFNA(VLOOKUP($BK881,Programma!$F$3:$K$1101,6,0),"")</f>
        <v/>
      </c>
      <c r="BQ881" s="448" t="str">
        <f>_xlfn.IFNA(VLOOKUP($BK881,Programma!$F$3:$L$1101,7,0),"")</f>
        <v/>
      </c>
      <c r="BR881" s="448" t="str">
        <f>_xlfn.IFNA(VLOOKUP($BK881,Programma!$F$3:$M$1101,8,0),"")</f>
        <v/>
      </c>
      <c r="BS881" s="448" t="str">
        <f>_xlfn.IFNA(VLOOKUP($BK881,Programma!$F$3:$N$1101,9,0),"")</f>
        <v/>
      </c>
      <c r="BT881" s="448" t="str">
        <f>_xlfn.IFNA(VLOOKUP($BK881,Programma!$F$3:$O$1101,10,0),"")</f>
        <v/>
      </c>
      <c r="BU881" s="448" t="str">
        <f>_xlfn.IFNA(VLOOKUP($BK881,Programma!$F$3:$P$1101,11,0),"")</f>
        <v/>
      </c>
      <c r="BV881" s="448" t="str">
        <f>_xlfn.IFNA(VLOOKUP($BK881,Programma!$F$3:$Q$1101,12,0),"")</f>
        <v/>
      </c>
      <c r="BW881" s="448" t="str">
        <f>_xlfn.IFNA(VLOOKUP($BK881,Programma!$F$3:$R$1101,13,0),"")</f>
        <v/>
      </c>
      <c r="BX881" s="448" t="str">
        <f>_xlfn.IFNA(VLOOKUP($BK881,Programma!$F$3:$S$1101,14,0),"")</f>
        <v/>
      </c>
      <c r="BY881" s="448" t="str">
        <f>_xlfn.IFNA(VLOOKUP($BK881,Programma!$F$3:$T$1101,15,0),"")</f>
        <v/>
      </c>
      <c r="BZ881" s="448" t="str">
        <f>_xlfn.IFNA(VLOOKUP($BK881,Programma!$F$3:$U$1101,16,0),"")</f>
        <v/>
      </c>
      <c r="CA881" s="448" t="str">
        <f>_xlfn.IFNA(VLOOKUP($BK881,Programma!$F$3:$V$1101,17,0),"")</f>
        <v/>
      </c>
      <c r="CB881" s="448" t="str">
        <f>_xlfn.IFNA(VLOOKUP($BK881,Programma!$F$3:$W$1101,18,0),"")</f>
        <v/>
      </c>
      <c r="CC881" s="448" t="str">
        <f>_xlfn.IFNA(VLOOKUP($BK881,Programma!$F$3:$X$1101,19,0),"")</f>
        <v/>
      </c>
      <c r="CD881" s="448" t="str">
        <f>_xlfn.IFNA(VLOOKUP($BK881,Programma!$F$3:$Y$1101,20,0),"")</f>
        <v/>
      </c>
    </row>
    <row r="882" spans="1:82" ht="15" customHeight="1">
      <c r="A882" s="327">
        <v>25</v>
      </c>
      <c r="B882" s="435" t="str">
        <f>VLOOKUP(Ruimtestaat[[#This Row],[Code]],Locaties[[Code]:[Locatie]],2,FALSE)</f>
        <v>IKC De Piramide</v>
      </c>
      <c r="C882" s="435" t="str">
        <f>VLOOKUP(Ruimtestaat[[#This Row],[Code]],Locaties[[#All],[Code]:[Adres]],4,FALSE)</f>
        <v>Fivelingo 84</v>
      </c>
      <c r="D882" s="435" t="str">
        <f>VLOOKUP(Ruimtestaat[[#This Row],[Code]],Locaties[[#All],[Code]:[Postcode]],5,FALSE)</f>
        <v>2716 BG</v>
      </c>
      <c r="E882" s="435" t="str">
        <f>VLOOKUP(Ruimtestaat[[#This Row],[Code]],Locaties[#All],6,FALSE)</f>
        <v>Zoetermeer</v>
      </c>
      <c r="F882" s="450" t="s">
        <v>2059</v>
      </c>
      <c r="G882" s="330" t="s">
        <v>1678</v>
      </c>
      <c r="H882" s="330" t="s">
        <v>2066</v>
      </c>
      <c r="I882" s="450" t="s">
        <v>1679</v>
      </c>
      <c r="J882" s="330">
        <v>16</v>
      </c>
      <c r="K882" s="450" t="str">
        <f>VLOOKUP(Ruimtestaat[[#This Row],[Ruimte code]],Ruimtegroepen[[#All],[Code]:[Ruimte omschrijving]],2,FALSE)</f>
        <v>Leslokalen</v>
      </c>
      <c r="L882" s="330" t="s">
        <v>101</v>
      </c>
      <c r="M882" s="437" t="s">
        <v>1816</v>
      </c>
      <c r="N882" s="439">
        <v>52.5</v>
      </c>
      <c r="O882" s="439"/>
      <c r="P882" s="439"/>
      <c r="Q882" s="439"/>
      <c r="R882" s="440" t="str">
        <f>VLOOKUP(Ruimtestaat[[#This Row],[Ruimte code]],Ruimtegroepen[],4,FALSE)</f>
        <v>Le</v>
      </c>
      <c r="S882" s="434">
        <v>40</v>
      </c>
      <c r="T882" s="434" t="s">
        <v>2</v>
      </c>
      <c r="U882" s="453">
        <f>IF(S882&gt;0,IF(RIGHT(Ruimtestaat[[#This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2" s="434">
        <f>IF(U882&gt;0,VLOOKUP($J882,Ruimtegroepen[],3,FALSE)*VLOOKUP($L882,Vloersoorten[],3,FALSE)*VLOOKUP($T882,Frequenties[],3,FALSE)*VLOOKUP($A882,Locaties[],3,FALSE),0)</f>
        <v>0</v>
      </c>
      <c r="W882" s="434">
        <f>Ruimtestaat[[#This Row],[Uitvoeringen werkdagen]]*Ruimtestaat[[#This Row],[Oppervlak (netto)]]</f>
        <v>10500</v>
      </c>
      <c r="X882" s="441">
        <f>IF(V882&gt;0,Ruimtestaat[[#This Row],[Prest. (m2 /jaar) werkdagen]]/Ruimtestaat[[#This Row],[Norm (m2/uur) werkdagen]],0)</f>
        <v>0</v>
      </c>
      <c r="Y882" s="442">
        <f>Ruimtestaat[[#This Row],[Uitvoeringen werkdagen]]*Ruimtestaat[[#This Row],[Gedeeltelijk]]</f>
        <v>0</v>
      </c>
      <c r="Z882" s="443" t="e">
        <f>IF(U882&gt;0,Ruimtestaat[[#This Row],[Prest. (m2 / jaar) werkdagen gedeeld]]/Ruimtestaat[[#This Row],[Norm (m2/uur) werkdagen]],0)</f>
        <v>#DIV/0!</v>
      </c>
      <c r="AA882" s="441" t="e">
        <f>Ruimtestaat[[#This Row],[uren / jaar werkdagen gedeeld]]*Tariefsopbouw!$E$35</f>
        <v>#DIV/0!</v>
      </c>
      <c r="AB882" s="441">
        <f>Ruimtestaat[[#This Row],[Uitvoeringen werkdagen]]*Ruimtestaat[[#This Row],[BSO]]</f>
        <v>0</v>
      </c>
      <c r="AC882" s="443" t="e">
        <f>IF(U882&gt;0,Ruimtestaat[[#This Row],[Prest. (m2 / jaar) werkdagen BSO]]/Ruimtestaat[[#This Row],[Norm (m2/uur) werkdagen]],0)</f>
        <v>#DIV/0!</v>
      </c>
      <c r="AD882" s="443" t="e">
        <f>Ruimtestaat[[#This Row],[uren / jaar werkdagen BSO]]*Tariefsopbouw!$E$35</f>
        <v>#DIV/0!</v>
      </c>
      <c r="AE882" s="444">
        <f>Ruimtestaat[[#This Row],[uren / jaar werkdagen]]*Tariefsopbouw!$E$35</f>
        <v>0</v>
      </c>
      <c r="AF882" s="454"/>
      <c r="AG882" s="455">
        <f>IF(Ruimtestaat[[#This Row],[Frequentie weekend]]&gt;0,VALUE(LEFT(AF882,1))*S882,0)</f>
        <v>0</v>
      </c>
      <c r="AH882" s="455">
        <f>IF($AG882&gt;0,VLOOKUP($J882,Ruimtegroepen[],3,FALSE)*VLOOKUP($L882,Vloersoorten[],3,FALSE)*VLOOKUP($AF882,Frequenties[],3,FALSE)*VLOOKUP(#REF!,Locaties[],3,FALSE),0)</f>
        <v>0</v>
      </c>
      <c r="AI882" s="434">
        <f>Ruimtestaat[[#This Row],[Uitvoeringen weekend]]*Ruimtestaat[[#This Row],[Oppervlak (netto)]]</f>
        <v>0</v>
      </c>
      <c r="AJ882" s="434">
        <f>IF(AH882&gt;0,Ruimtestaat[[#This Row],[Prest. (m2 /jaar) weekend]]/Ruimtestaat[[#This Row],[Norm (m2/uur) weekend]],0)</f>
        <v>0</v>
      </c>
      <c r="AK882" s="444">
        <f>Ruimtestaat[[#This Row],[uren / jaar weekend]]*Tariefsopbouw!$D$40</f>
        <v>0</v>
      </c>
      <c r="AL882" s="441">
        <f>Ruimtestaat[[#This Row],[Prest. (m2 /jaar) weekend]]+Ruimtestaat[[#This Row],[Prest. (m2 /jaar) werkdagen]]</f>
        <v>10500</v>
      </c>
      <c r="AM882" s="441">
        <f>Ruimtestaat[[#This Row],[uren / jaar weekend]]+Ruimtestaat[[#This Row],[uren / jaar werkdagen]]</f>
        <v>0</v>
      </c>
      <c r="AN882" s="446">
        <f>Ruimtestaat[[#This Row],[kosten / jaar weekend]]+Ruimtestaat[[#This Row],[kosten / jaar werkdagen]]</f>
        <v>0</v>
      </c>
      <c r="AO882" s="446"/>
      <c r="AP882" s="446" t="str">
        <f>IF(Ruimtestaat[[#This Row],[Frequentie werkdagen]]="","",_xlfn.CONCAT(Ruimtestaat[[#This Row],[Ruimte code]],"-",Ruimtestaat[[#This Row],[Frequentie werkdagen]]," ",Ruimtestaat[[#This Row],[Vloer code]]))</f>
        <v>16-5w S</v>
      </c>
      <c r="AQ882" s="448" t="str">
        <f>_xlfn.IFNA(VLOOKUP($AP882,Programma!$F$3:$G$1101,2,0),"")</f>
        <v>_</v>
      </c>
      <c r="AR882" s="448" t="str">
        <f>_xlfn.IFNA(VLOOKUP($AP882,Programma!$F$3:$H$1101,3,0),"")</f>
        <v>_</v>
      </c>
      <c r="AS882" s="448" t="str">
        <f>_xlfn.IFNA(VLOOKUP($AP882,Programma!$F$3:$I$1101,4,0),"")</f>
        <v>4w</v>
      </c>
      <c r="AT882" s="448" t="str">
        <f>_xlfn.IFNA(VLOOKUP($AP882,Programma!$F$3:$J$1101,5,0),"")</f>
        <v>1w</v>
      </c>
      <c r="AU882" s="448" t="str">
        <f>_xlfn.IFNA(VLOOKUP($AP882,Programma!$F$3:$K$1101,6,0),"")</f>
        <v>1m</v>
      </c>
      <c r="AV882" s="448" t="str">
        <f>_xlfn.IFNA(VLOOKUP($AP882,Programma!$F$3:$L$1101,7,0),"")</f>
        <v>_</v>
      </c>
      <c r="AW882" s="448" t="str">
        <f>_xlfn.IFNA(VLOOKUP($AP882,Programma!$F$3:$M$1101,8,0),"")</f>
        <v>_</v>
      </c>
      <c r="AX882" s="448" t="str">
        <f>_xlfn.IFNA(VLOOKUP($AP882,Programma!$F$3:$N$1101,9,0),"")</f>
        <v>_</v>
      </c>
      <c r="AY882" s="448" t="str">
        <f>_xlfn.IFNA(VLOOKUP($AP882,Programma!$F$3:$O$1101,10,0),"")</f>
        <v>5w</v>
      </c>
      <c r="AZ882" s="448" t="str">
        <f>_xlfn.IFNA(VLOOKUP($AP882,Programma!$F$3:$P$1101,11,0),"")</f>
        <v>5w</v>
      </c>
      <c r="BA882" s="448" t="str">
        <f>_xlfn.IFNA(VLOOKUP($AP882,Programma!$F$3:$Q$1101,12,0),"")</f>
        <v>1w</v>
      </c>
      <c r="BB882" s="448" t="str">
        <f>_xlfn.IFNA(VLOOKUP($AP882,Programma!$F$3:$R$1101,13,0),"")</f>
        <v>1w</v>
      </c>
      <c r="BC882" s="448" t="str">
        <f>_xlfn.IFNA(VLOOKUP($AP882,Programma!$F$3:$S$1101,14,0),"")</f>
        <v>1m</v>
      </c>
      <c r="BD882" s="448" t="str">
        <f>_xlfn.IFNA(VLOOKUP($AP882,Programma!$F$3:$T$1101,15,0),"")</f>
        <v>2j</v>
      </c>
      <c r="BE882" s="448" t="str">
        <f>_xlfn.IFNA(VLOOKUP($AP882,Programma!$F$3:$U$1101,16,0),"")</f>
        <v>1j</v>
      </c>
      <c r="BF882" s="448" t="str">
        <f>_xlfn.IFNA(VLOOKUP($AP882,Programma!$F$3:$V$1101,17,0),"")</f>
        <v>_</v>
      </c>
      <c r="BG882" s="448" t="str">
        <f>_xlfn.IFNA(VLOOKUP($AP882,Programma!$F$3:$W$1101,18,0),"")</f>
        <v>_</v>
      </c>
      <c r="BH882" s="448" t="str">
        <f>_xlfn.IFNA(VLOOKUP($AP882,Programma!$F$3:$X$1101,19,0),"")</f>
        <v>_</v>
      </c>
      <c r="BI882" s="448" t="str">
        <f>_xlfn.IFNA(VLOOKUP($AP882,Programma!$F$3:$Y$1101,20,0),"")</f>
        <v>_</v>
      </c>
      <c r="BJ882" s="449"/>
      <c r="BK882" s="446" t="str">
        <f>IF(Ruimtestaat[[#This Row],[Frequentie weekend]]="","",_xlfn.CONCAT(Ruimtestaat[[#This Row],[Ruimte code]],"-",Ruimtestaat[[#This Row],[Frequentie weekend]]," ",Ruimtestaat[[#This Row],[Vloer code]]))</f>
        <v/>
      </c>
      <c r="BL882" s="448" t="str">
        <f>_xlfn.IFNA(VLOOKUP($BK882,Programma!$F$3:$G$1101,2,0),"")</f>
        <v/>
      </c>
      <c r="BM882" s="448" t="str">
        <f>_xlfn.IFNA(VLOOKUP($BK882,Programma!$F$3:$H$1101,3,0),"")</f>
        <v/>
      </c>
      <c r="BN882" s="448" t="str">
        <f>_xlfn.IFNA(VLOOKUP($BK882,Programma!$F$3:$I$1101,4,0),"")</f>
        <v/>
      </c>
      <c r="BO882" s="448" t="str">
        <f>_xlfn.IFNA(VLOOKUP($BK882,Programma!$F$3:$J$1101,5,0),"")</f>
        <v/>
      </c>
      <c r="BP882" s="448" t="str">
        <f>_xlfn.IFNA(VLOOKUP($BK882,Programma!$F$3:$K$1101,6,0),"")</f>
        <v/>
      </c>
      <c r="BQ882" s="448" t="str">
        <f>_xlfn.IFNA(VLOOKUP($BK882,Programma!$F$3:$L$1101,7,0),"")</f>
        <v/>
      </c>
      <c r="BR882" s="448" t="str">
        <f>_xlfn.IFNA(VLOOKUP($BK882,Programma!$F$3:$M$1101,8,0),"")</f>
        <v/>
      </c>
      <c r="BS882" s="448" t="str">
        <f>_xlfn.IFNA(VLOOKUP($BK882,Programma!$F$3:$N$1101,9,0),"")</f>
        <v/>
      </c>
      <c r="BT882" s="448" t="str">
        <f>_xlfn.IFNA(VLOOKUP($BK882,Programma!$F$3:$O$1101,10,0),"")</f>
        <v/>
      </c>
      <c r="BU882" s="448" t="str">
        <f>_xlfn.IFNA(VLOOKUP($BK882,Programma!$F$3:$P$1101,11,0),"")</f>
        <v/>
      </c>
      <c r="BV882" s="448" t="str">
        <f>_xlfn.IFNA(VLOOKUP($BK882,Programma!$F$3:$Q$1101,12,0),"")</f>
        <v/>
      </c>
      <c r="BW882" s="448" t="str">
        <f>_xlfn.IFNA(VLOOKUP($BK882,Programma!$F$3:$R$1101,13,0),"")</f>
        <v/>
      </c>
      <c r="BX882" s="448" t="str">
        <f>_xlfn.IFNA(VLOOKUP($BK882,Programma!$F$3:$S$1101,14,0),"")</f>
        <v/>
      </c>
      <c r="BY882" s="448" t="str">
        <f>_xlfn.IFNA(VLOOKUP($BK882,Programma!$F$3:$T$1101,15,0),"")</f>
        <v/>
      </c>
      <c r="BZ882" s="448" t="str">
        <f>_xlfn.IFNA(VLOOKUP($BK882,Programma!$F$3:$U$1101,16,0),"")</f>
        <v/>
      </c>
      <c r="CA882" s="448" t="str">
        <f>_xlfn.IFNA(VLOOKUP($BK882,Programma!$F$3:$V$1101,17,0),"")</f>
        <v/>
      </c>
      <c r="CB882" s="448" t="str">
        <f>_xlfn.IFNA(VLOOKUP($BK882,Programma!$F$3:$W$1101,18,0),"")</f>
        <v/>
      </c>
      <c r="CC882" s="448" t="str">
        <f>_xlfn.IFNA(VLOOKUP($BK882,Programma!$F$3:$X$1101,19,0),"")</f>
        <v/>
      </c>
      <c r="CD882" s="448" t="str">
        <f>_xlfn.IFNA(VLOOKUP($BK882,Programma!$F$3:$Y$1101,20,0),"")</f>
        <v/>
      </c>
    </row>
    <row r="883" spans="1:82" ht="15" customHeight="1">
      <c r="A883" s="327">
        <v>25</v>
      </c>
      <c r="B883" s="435" t="str">
        <f>VLOOKUP(Ruimtestaat[[#This Row],[Code]],Locaties[[Code]:[Locatie]],2,FALSE)</f>
        <v>IKC De Piramide</v>
      </c>
      <c r="C883" s="435" t="str">
        <f>VLOOKUP(Ruimtestaat[[#This Row],[Code]],Locaties[[#All],[Code]:[Adres]],4,FALSE)</f>
        <v>Fivelingo 84</v>
      </c>
      <c r="D883" s="435" t="str">
        <f>VLOOKUP(Ruimtestaat[[#This Row],[Code]],Locaties[[#All],[Code]:[Postcode]],5,FALSE)</f>
        <v>2716 BG</v>
      </c>
      <c r="E883" s="435" t="str">
        <f>VLOOKUP(Ruimtestaat[[#This Row],[Code]],Locaties[#All],6,FALSE)</f>
        <v>Zoetermeer</v>
      </c>
      <c r="F883" s="450" t="s">
        <v>2059</v>
      </c>
      <c r="G883" s="330" t="s">
        <v>1678</v>
      </c>
      <c r="H883" s="330" t="s">
        <v>1681</v>
      </c>
      <c r="I883" s="450" t="s">
        <v>1724</v>
      </c>
      <c r="J883" s="330">
        <v>20</v>
      </c>
      <c r="K883" s="450" t="str">
        <f>VLOOKUP(Ruimtestaat[[#This Row],[Ruimte code]],Ruimtegroepen[[#All],[Code]:[Ruimte omschrijving]],2,FALSE)</f>
        <v>Niet in Onderhoud</v>
      </c>
      <c r="L883" s="330" t="s">
        <v>101</v>
      </c>
      <c r="M883" s="437" t="s">
        <v>1816</v>
      </c>
      <c r="N883" s="439"/>
      <c r="O883" s="439">
        <v>5.5</v>
      </c>
      <c r="P883" s="439"/>
      <c r="Q883" s="439"/>
      <c r="R883" s="440">
        <f>VLOOKUP(Ruimtestaat[[#This Row],[Ruimte code]],Ruimtegroepen[],4,FALSE)</f>
        <v>0</v>
      </c>
      <c r="S883" s="434"/>
      <c r="T883" s="434"/>
      <c r="U883" s="453">
        <f>IF(S883&gt;0,IF(RIGHT(Ruimtestaat[[#This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83" s="434">
        <f>IF(U883&gt;0,VLOOKUP($J883,Ruimtegroepen[],3,FALSE)*VLOOKUP($L883,Vloersoorten[],3,FALSE)*VLOOKUP($T883,Frequenties[],3,FALSE)*VLOOKUP($A883,Locaties[],3,FALSE),0)</f>
        <v>0</v>
      </c>
      <c r="W883" s="434">
        <f>Ruimtestaat[[#This Row],[Uitvoeringen werkdagen]]*Ruimtestaat[[#This Row],[Oppervlak (netto)]]</f>
        <v>0</v>
      </c>
      <c r="X883" s="441">
        <f>IF(V883&gt;0,Ruimtestaat[[#This Row],[Prest. (m2 /jaar) werkdagen]]/Ruimtestaat[[#This Row],[Norm (m2/uur) werkdagen]],0)</f>
        <v>0</v>
      </c>
      <c r="Y883" s="442">
        <f>Ruimtestaat[[#This Row],[Uitvoeringen werkdagen]]*Ruimtestaat[[#This Row],[Gedeeltelijk]]</f>
        <v>0</v>
      </c>
      <c r="Z883" s="443">
        <f>IF(U883&gt;0,Ruimtestaat[[#This Row],[Prest. (m2 / jaar) werkdagen gedeeld]]/Ruimtestaat[[#This Row],[Norm (m2/uur) werkdagen]],0)</f>
        <v>0</v>
      </c>
      <c r="AA883" s="441">
        <f>Ruimtestaat[[#This Row],[uren / jaar werkdagen gedeeld]]*Tariefsopbouw!$E$35</f>
        <v>0</v>
      </c>
      <c r="AB883" s="441">
        <f>Ruimtestaat[[#This Row],[Uitvoeringen werkdagen]]*Ruimtestaat[[#This Row],[BSO]]</f>
        <v>0</v>
      </c>
      <c r="AC883" s="443">
        <f>IF(U883&gt;0,Ruimtestaat[[#This Row],[Prest. (m2 / jaar) werkdagen BSO]]/Ruimtestaat[[#This Row],[Norm (m2/uur) werkdagen]],0)</f>
        <v>0</v>
      </c>
      <c r="AD883" s="443">
        <f>Ruimtestaat[[#This Row],[uren / jaar werkdagen BSO]]*Tariefsopbouw!$E$35</f>
        <v>0</v>
      </c>
      <c r="AE883" s="444">
        <f>Ruimtestaat[[#This Row],[uren / jaar werkdagen]]*Tariefsopbouw!$E$35</f>
        <v>0</v>
      </c>
      <c r="AF883" s="454"/>
      <c r="AG883" s="455">
        <f>IF(Ruimtestaat[[#This Row],[Frequentie weekend]]&gt;0,VALUE(LEFT(AF883,1))*S883,0)</f>
        <v>0</v>
      </c>
      <c r="AH883" s="455">
        <f>IF($AG883&gt;0,VLOOKUP($J883,Ruimtegroepen[],3,FALSE)*VLOOKUP($L883,Vloersoorten[],3,FALSE)*VLOOKUP($AF883,Frequenties[],3,FALSE)*VLOOKUP(#REF!,Locaties[],3,FALSE),0)</f>
        <v>0</v>
      </c>
      <c r="AI883" s="434">
        <f>Ruimtestaat[[#This Row],[Uitvoeringen weekend]]*Ruimtestaat[[#This Row],[Oppervlak (netto)]]</f>
        <v>0</v>
      </c>
      <c r="AJ883" s="434">
        <f>IF(AH883&gt;0,Ruimtestaat[[#This Row],[Prest. (m2 /jaar) weekend]]/Ruimtestaat[[#This Row],[Norm (m2/uur) weekend]],0)</f>
        <v>0</v>
      </c>
      <c r="AK883" s="444">
        <f>Ruimtestaat[[#This Row],[uren / jaar weekend]]*Tariefsopbouw!$D$40</f>
        <v>0</v>
      </c>
      <c r="AL883" s="441">
        <f>Ruimtestaat[[#This Row],[Prest. (m2 /jaar) weekend]]+Ruimtestaat[[#This Row],[Prest. (m2 /jaar) werkdagen]]</f>
        <v>0</v>
      </c>
      <c r="AM883" s="441">
        <f>Ruimtestaat[[#This Row],[uren / jaar weekend]]+Ruimtestaat[[#This Row],[uren / jaar werkdagen]]</f>
        <v>0</v>
      </c>
      <c r="AN883" s="446">
        <f>Ruimtestaat[[#This Row],[kosten / jaar weekend]]+Ruimtestaat[[#This Row],[kosten / jaar werkdagen]]</f>
        <v>0</v>
      </c>
      <c r="AO883" s="446"/>
      <c r="AP883" s="446" t="str">
        <f>IF(Ruimtestaat[[#This Row],[Frequentie werkdagen]]="","",_xlfn.CONCAT(Ruimtestaat[[#This Row],[Ruimte code]],"-",Ruimtestaat[[#This Row],[Frequentie werkdagen]]," ",Ruimtestaat[[#This Row],[Vloer code]]))</f>
        <v/>
      </c>
      <c r="AQ883" s="448" t="str">
        <f>_xlfn.IFNA(VLOOKUP($AP883,Programma!$F$3:$G$1101,2,0),"")</f>
        <v/>
      </c>
      <c r="AR883" s="448" t="str">
        <f>_xlfn.IFNA(VLOOKUP($AP883,Programma!$F$3:$H$1101,3,0),"")</f>
        <v/>
      </c>
      <c r="AS883" s="448" t="str">
        <f>_xlfn.IFNA(VLOOKUP($AP883,Programma!$F$3:$I$1101,4,0),"")</f>
        <v/>
      </c>
      <c r="AT883" s="448" t="str">
        <f>_xlfn.IFNA(VLOOKUP($AP883,Programma!$F$3:$J$1101,5,0),"")</f>
        <v/>
      </c>
      <c r="AU883" s="448" t="str">
        <f>_xlfn.IFNA(VLOOKUP($AP883,Programma!$F$3:$K$1101,6,0),"")</f>
        <v/>
      </c>
      <c r="AV883" s="448" t="str">
        <f>_xlfn.IFNA(VLOOKUP($AP883,Programma!$F$3:$L$1101,7,0),"")</f>
        <v/>
      </c>
      <c r="AW883" s="448" t="str">
        <f>_xlfn.IFNA(VLOOKUP($AP883,Programma!$F$3:$M$1101,8,0),"")</f>
        <v/>
      </c>
      <c r="AX883" s="448" t="str">
        <f>_xlfn.IFNA(VLOOKUP($AP883,Programma!$F$3:$N$1101,9,0),"")</f>
        <v/>
      </c>
      <c r="AY883" s="448" t="str">
        <f>_xlfn.IFNA(VLOOKUP($AP883,Programma!$F$3:$O$1101,10,0),"")</f>
        <v/>
      </c>
      <c r="AZ883" s="448" t="str">
        <f>_xlfn.IFNA(VLOOKUP($AP883,Programma!$F$3:$P$1101,11,0),"")</f>
        <v/>
      </c>
      <c r="BA883" s="448" t="str">
        <f>_xlfn.IFNA(VLOOKUP($AP883,Programma!$F$3:$Q$1101,12,0),"")</f>
        <v/>
      </c>
      <c r="BB883" s="448" t="str">
        <f>_xlfn.IFNA(VLOOKUP($AP883,Programma!$F$3:$R$1101,13,0),"")</f>
        <v/>
      </c>
      <c r="BC883" s="448" t="str">
        <f>_xlfn.IFNA(VLOOKUP($AP883,Programma!$F$3:$S$1101,14,0),"")</f>
        <v/>
      </c>
      <c r="BD883" s="448" t="str">
        <f>_xlfn.IFNA(VLOOKUP($AP883,Programma!$F$3:$T$1101,15,0),"")</f>
        <v/>
      </c>
      <c r="BE883" s="448" t="str">
        <f>_xlfn.IFNA(VLOOKUP($AP883,Programma!$F$3:$U$1101,16,0),"")</f>
        <v/>
      </c>
      <c r="BF883" s="448" t="str">
        <f>_xlfn.IFNA(VLOOKUP($AP883,Programma!$F$3:$V$1101,17,0),"")</f>
        <v/>
      </c>
      <c r="BG883" s="448" t="str">
        <f>_xlfn.IFNA(VLOOKUP($AP883,Programma!$F$3:$W$1101,18,0),"")</f>
        <v/>
      </c>
      <c r="BH883" s="448" t="str">
        <f>_xlfn.IFNA(VLOOKUP($AP883,Programma!$F$3:$X$1101,19,0),"")</f>
        <v/>
      </c>
      <c r="BI883" s="448" t="str">
        <f>_xlfn.IFNA(VLOOKUP($AP883,Programma!$F$3:$Y$1101,20,0),"")</f>
        <v/>
      </c>
      <c r="BJ883" s="449"/>
      <c r="BK883" s="446" t="str">
        <f>IF(Ruimtestaat[[#This Row],[Frequentie weekend]]="","",_xlfn.CONCAT(Ruimtestaat[[#This Row],[Ruimte code]],"-",Ruimtestaat[[#This Row],[Frequentie weekend]]," ",Ruimtestaat[[#This Row],[Vloer code]]))</f>
        <v/>
      </c>
      <c r="BL883" s="448" t="str">
        <f>_xlfn.IFNA(VLOOKUP($BK883,Programma!$F$3:$G$1101,2,0),"")</f>
        <v/>
      </c>
      <c r="BM883" s="448" t="str">
        <f>_xlfn.IFNA(VLOOKUP($BK883,Programma!$F$3:$H$1101,3,0),"")</f>
        <v/>
      </c>
      <c r="BN883" s="448" t="str">
        <f>_xlfn.IFNA(VLOOKUP($BK883,Programma!$F$3:$I$1101,4,0),"")</f>
        <v/>
      </c>
      <c r="BO883" s="448" t="str">
        <f>_xlfn.IFNA(VLOOKUP($BK883,Programma!$F$3:$J$1101,5,0),"")</f>
        <v/>
      </c>
      <c r="BP883" s="448" t="str">
        <f>_xlfn.IFNA(VLOOKUP($BK883,Programma!$F$3:$K$1101,6,0),"")</f>
        <v/>
      </c>
      <c r="BQ883" s="448" t="str">
        <f>_xlfn.IFNA(VLOOKUP($BK883,Programma!$F$3:$L$1101,7,0),"")</f>
        <v/>
      </c>
      <c r="BR883" s="448" t="str">
        <f>_xlfn.IFNA(VLOOKUP($BK883,Programma!$F$3:$M$1101,8,0),"")</f>
        <v/>
      </c>
      <c r="BS883" s="448" t="str">
        <f>_xlfn.IFNA(VLOOKUP($BK883,Programma!$F$3:$N$1101,9,0),"")</f>
        <v/>
      </c>
      <c r="BT883" s="448" t="str">
        <f>_xlfn.IFNA(VLOOKUP($BK883,Programma!$F$3:$O$1101,10,0),"")</f>
        <v/>
      </c>
      <c r="BU883" s="448" t="str">
        <f>_xlfn.IFNA(VLOOKUP($BK883,Programma!$F$3:$P$1101,11,0),"")</f>
        <v/>
      </c>
      <c r="BV883" s="448" t="str">
        <f>_xlfn.IFNA(VLOOKUP($BK883,Programma!$F$3:$Q$1101,12,0),"")</f>
        <v/>
      </c>
      <c r="BW883" s="448" t="str">
        <f>_xlfn.IFNA(VLOOKUP($BK883,Programma!$F$3:$R$1101,13,0),"")</f>
        <v/>
      </c>
      <c r="BX883" s="448" t="str">
        <f>_xlfn.IFNA(VLOOKUP($BK883,Programma!$F$3:$S$1101,14,0),"")</f>
        <v/>
      </c>
      <c r="BY883" s="448" t="str">
        <f>_xlfn.IFNA(VLOOKUP($BK883,Programma!$F$3:$T$1101,15,0),"")</f>
        <v/>
      </c>
      <c r="BZ883" s="448" t="str">
        <f>_xlfn.IFNA(VLOOKUP($BK883,Programma!$F$3:$U$1101,16,0),"")</f>
        <v/>
      </c>
      <c r="CA883" s="448" t="str">
        <f>_xlfn.IFNA(VLOOKUP($BK883,Programma!$F$3:$V$1101,17,0),"")</f>
        <v/>
      </c>
      <c r="CB883" s="448" t="str">
        <f>_xlfn.IFNA(VLOOKUP($BK883,Programma!$F$3:$W$1101,18,0),"")</f>
        <v/>
      </c>
      <c r="CC883" s="448" t="str">
        <f>_xlfn.IFNA(VLOOKUP($BK883,Programma!$F$3:$X$1101,19,0),"")</f>
        <v/>
      </c>
      <c r="CD883" s="448" t="str">
        <f>_xlfn.IFNA(VLOOKUP($BK883,Programma!$F$3:$Y$1101,20,0),"")</f>
        <v/>
      </c>
    </row>
    <row r="884" spans="1:82" ht="15" customHeight="1">
      <c r="A884" s="327">
        <v>25</v>
      </c>
      <c r="B884" s="435" t="str">
        <f>VLOOKUP(Ruimtestaat[[#This Row],[Code]],Locaties[[Code]:[Locatie]],2,FALSE)</f>
        <v>IKC De Piramide</v>
      </c>
      <c r="C884" s="435" t="str">
        <f>VLOOKUP(Ruimtestaat[[#This Row],[Code]],Locaties[[#All],[Code]:[Adres]],4,FALSE)</f>
        <v>Fivelingo 84</v>
      </c>
      <c r="D884" s="435" t="str">
        <f>VLOOKUP(Ruimtestaat[[#This Row],[Code]],Locaties[[#All],[Code]:[Postcode]],5,FALSE)</f>
        <v>2716 BG</v>
      </c>
      <c r="E884" s="435" t="str">
        <f>VLOOKUP(Ruimtestaat[[#This Row],[Code]],Locaties[#All],6,FALSE)</f>
        <v>Zoetermeer</v>
      </c>
      <c r="F884" s="450" t="s">
        <v>2059</v>
      </c>
      <c r="G884" s="330" t="s">
        <v>1678</v>
      </c>
      <c r="H884" s="330" t="s">
        <v>1689</v>
      </c>
      <c r="I884" s="450" t="s">
        <v>1677</v>
      </c>
      <c r="J884" s="330">
        <v>15</v>
      </c>
      <c r="K884" s="450" t="str">
        <f>VLOOKUP(Ruimtestaat[[#This Row],[Ruimte code]],Ruimtegroepen[[#All],[Code]:[Ruimte omschrijving]],2,FALSE)</f>
        <v>Keuken/pantry</v>
      </c>
      <c r="L884" s="330" t="s">
        <v>101</v>
      </c>
      <c r="M884" s="437" t="s">
        <v>1816</v>
      </c>
      <c r="N884" s="439">
        <v>30</v>
      </c>
      <c r="O884" s="439"/>
      <c r="P884" s="439"/>
      <c r="Q884" s="439"/>
      <c r="R884" s="440" t="str">
        <f>VLOOKUP(Ruimtestaat[[#This Row],[Ruimte code]],Ruimtegroepen[],4,FALSE)</f>
        <v>Ve</v>
      </c>
      <c r="S884" s="434">
        <v>41</v>
      </c>
      <c r="T884" s="434" t="s">
        <v>2</v>
      </c>
      <c r="U884" s="453">
        <f>IF(S884&gt;0,IF(RIGHT(Ruimtestaat[[#This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84" s="434">
        <f>IF(U884&gt;0,VLOOKUP($J884,Ruimtegroepen[],3,FALSE)*VLOOKUP($L884,Vloersoorten[],3,FALSE)*VLOOKUP($T884,Frequenties[],3,FALSE)*VLOOKUP($A884,Locaties[],3,FALSE),0)</f>
        <v>0</v>
      </c>
      <c r="W884" s="434">
        <f>Ruimtestaat[[#This Row],[Uitvoeringen werkdagen]]*Ruimtestaat[[#This Row],[Oppervlak (netto)]]</f>
        <v>6150</v>
      </c>
      <c r="X884" s="441">
        <f>IF(V884&gt;0,Ruimtestaat[[#This Row],[Prest. (m2 /jaar) werkdagen]]/Ruimtestaat[[#This Row],[Norm (m2/uur) werkdagen]],0)</f>
        <v>0</v>
      </c>
      <c r="Y884" s="442">
        <f>Ruimtestaat[[#This Row],[Uitvoeringen werkdagen]]*Ruimtestaat[[#This Row],[Gedeeltelijk]]</f>
        <v>0</v>
      </c>
      <c r="Z884" s="443" t="e">
        <f>IF(U884&gt;0,Ruimtestaat[[#This Row],[Prest. (m2 / jaar) werkdagen gedeeld]]/Ruimtestaat[[#This Row],[Norm (m2/uur) werkdagen]],0)</f>
        <v>#DIV/0!</v>
      </c>
      <c r="AA884" s="441" t="e">
        <f>Ruimtestaat[[#This Row],[uren / jaar werkdagen gedeeld]]*Tariefsopbouw!$E$35</f>
        <v>#DIV/0!</v>
      </c>
      <c r="AB884" s="441">
        <f>Ruimtestaat[[#This Row],[Uitvoeringen werkdagen]]*Ruimtestaat[[#This Row],[BSO]]</f>
        <v>0</v>
      </c>
      <c r="AC884" s="443" t="e">
        <f>IF(U884&gt;0,Ruimtestaat[[#This Row],[Prest. (m2 / jaar) werkdagen BSO]]/Ruimtestaat[[#This Row],[Norm (m2/uur) werkdagen]],0)</f>
        <v>#DIV/0!</v>
      </c>
      <c r="AD884" s="443" t="e">
        <f>Ruimtestaat[[#This Row],[uren / jaar werkdagen BSO]]*Tariefsopbouw!$E$35</f>
        <v>#DIV/0!</v>
      </c>
      <c r="AE884" s="444">
        <f>Ruimtestaat[[#This Row],[uren / jaar werkdagen]]*Tariefsopbouw!$E$35</f>
        <v>0</v>
      </c>
      <c r="AF884" s="454"/>
      <c r="AG884" s="455">
        <f>IF(Ruimtestaat[[#This Row],[Frequentie weekend]]&gt;0,VALUE(LEFT(AF884,1))*S884,0)</f>
        <v>0</v>
      </c>
      <c r="AH884" s="455">
        <f>IF($AG884&gt;0,VLOOKUP($J884,Ruimtegroepen[],3,FALSE)*VLOOKUP($L884,Vloersoorten[],3,FALSE)*VLOOKUP($AF884,Frequenties[],3,FALSE)*VLOOKUP(#REF!,Locaties[],3,FALSE),0)</f>
        <v>0</v>
      </c>
      <c r="AI884" s="434">
        <f>Ruimtestaat[[#This Row],[Uitvoeringen weekend]]*Ruimtestaat[[#This Row],[Oppervlak (netto)]]</f>
        <v>0</v>
      </c>
      <c r="AJ884" s="434">
        <f>IF(AH884&gt;0,Ruimtestaat[[#This Row],[Prest. (m2 /jaar) weekend]]/Ruimtestaat[[#This Row],[Norm (m2/uur) weekend]],0)</f>
        <v>0</v>
      </c>
      <c r="AK884" s="444">
        <f>Ruimtestaat[[#This Row],[uren / jaar weekend]]*Tariefsopbouw!$D$40</f>
        <v>0</v>
      </c>
      <c r="AL884" s="441">
        <f>Ruimtestaat[[#This Row],[Prest. (m2 /jaar) weekend]]+Ruimtestaat[[#This Row],[Prest. (m2 /jaar) werkdagen]]</f>
        <v>6150</v>
      </c>
      <c r="AM884" s="441">
        <f>Ruimtestaat[[#This Row],[uren / jaar weekend]]+Ruimtestaat[[#This Row],[uren / jaar werkdagen]]</f>
        <v>0</v>
      </c>
      <c r="AN884" s="446">
        <f>Ruimtestaat[[#This Row],[kosten / jaar weekend]]+Ruimtestaat[[#This Row],[kosten / jaar werkdagen]]</f>
        <v>0</v>
      </c>
      <c r="AO884" s="446"/>
      <c r="AP884" s="446" t="str">
        <f>IF(Ruimtestaat[[#This Row],[Frequentie werkdagen]]="","",_xlfn.CONCAT(Ruimtestaat[[#This Row],[Ruimte code]],"-",Ruimtestaat[[#This Row],[Frequentie werkdagen]]," ",Ruimtestaat[[#This Row],[Vloer code]]))</f>
        <v>15-5w S</v>
      </c>
      <c r="AQ884" s="448" t="str">
        <f>_xlfn.IFNA(VLOOKUP($AP884,Programma!$F$3:$G$1101,2,0),"")</f>
        <v>_</v>
      </c>
      <c r="AR884" s="448" t="str">
        <f>_xlfn.IFNA(VLOOKUP($AP884,Programma!$F$3:$H$1101,3,0),"")</f>
        <v>_</v>
      </c>
      <c r="AS884" s="448" t="str">
        <f>_xlfn.IFNA(VLOOKUP($AP884,Programma!$F$3:$I$1101,4,0),"")</f>
        <v>5w</v>
      </c>
      <c r="AT884" s="448" t="str">
        <f>_xlfn.IFNA(VLOOKUP($AP884,Programma!$F$3:$J$1101,5,0),"")</f>
        <v>_</v>
      </c>
      <c r="AU884" s="448" t="str">
        <f>_xlfn.IFNA(VLOOKUP($AP884,Programma!$F$3:$K$1101,6,0),"")</f>
        <v>5w</v>
      </c>
      <c r="AV884" s="448" t="str">
        <f>_xlfn.IFNA(VLOOKUP($AP884,Programma!$F$3:$L$1101,7,0),"")</f>
        <v>_</v>
      </c>
      <c r="AW884" s="448" t="str">
        <f>_xlfn.IFNA(VLOOKUP($AP884,Programma!$F$3:$M$1101,8,0),"")</f>
        <v>_</v>
      </c>
      <c r="AX884" s="448" t="str">
        <f>_xlfn.IFNA(VLOOKUP($AP884,Programma!$F$3:$N$1101,9,0),"")</f>
        <v>_</v>
      </c>
      <c r="AY884" s="448" t="str">
        <f>_xlfn.IFNA(VLOOKUP($AP884,Programma!$F$3:$O$1101,10,0),"")</f>
        <v>5w</v>
      </c>
      <c r="AZ884" s="448" t="str">
        <f>_xlfn.IFNA(VLOOKUP($AP884,Programma!$F$3:$P$1101,11,0),"")</f>
        <v>5w</v>
      </c>
      <c r="BA884" s="448" t="str">
        <f>_xlfn.IFNA(VLOOKUP($AP884,Programma!$F$3:$Q$1101,12,0),"")</f>
        <v>1w</v>
      </c>
      <c r="BB884" s="448" t="str">
        <f>_xlfn.IFNA(VLOOKUP($AP884,Programma!$F$3:$R$1101,13,0),"")</f>
        <v>1w</v>
      </c>
      <c r="BC884" s="448" t="str">
        <f>_xlfn.IFNA(VLOOKUP($AP884,Programma!$F$3:$S$1101,14,0),"")</f>
        <v>1m</v>
      </c>
      <c r="BD884" s="448" t="str">
        <f>_xlfn.IFNA(VLOOKUP($AP884,Programma!$F$3:$T$1101,15,0),"")</f>
        <v>2j</v>
      </c>
      <c r="BE884" s="448" t="str">
        <f>_xlfn.IFNA(VLOOKUP($AP884,Programma!$F$3:$U$1101,16,0),"")</f>
        <v>1j</v>
      </c>
      <c r="BF884" s="448" t="str">
        <f>_xlfn.IFNA(VLOOKUP($AP884,Programma!$F$3:$V$1101,17,0),"")</f>
        <v>_</v>
      </c>
      <c r="BG884" s="448" t="str">
        <f>_xlfn.IFNA(VLOOKUP($AP884,Programma!$F$3:$W$1101,18,0),"")</f>
        <v>_</v>
      </c>
      <c r="BH884" s="448" t="str">
        <f>_xlfn.IFNA(VLOOKUP($AP884,Programma!$F$3:$X$1101,19,0),"")</f>
        <v>_</v>
      </c>
      <c r="BI884" s="448" t="str">
        <f>_xlfn.IFNA(VLOOKUP($AP884,Programma!$F$3:$Y$1101,20,0),"")</f>
        <v>_</v>
      </c>
      <c r="BJ884" s="449"/>
      <c r="BK884" s="446" t="str">
        <f>IF(Ruimtestaat[[#This Row],[Frequentie weekend]]="","",_xlfn.CONCAT(Ruimtestaat[[#This Row],[Ruimte code]],"-",Ruimtestaat[[#This Row],[Frequentie weekend]]," ",Ruimtestaat[[#This Row],[Vloer code]]))</f>
        <v/>
      </c>
      <c r="BL884" s="448" t="str">
        <f>_xlfn.IFNA(VLOOKUP($BK884,Programma!$F$3:$G$1101,2,0),"")</f>
        <v/>
      </c>
      <c r="BM884" s="448" t="str">
        <f>_xlfn.IFNA(VLOOKUP($BK884,Programma!$F$3:$H$1101,3,0),"")</f>
        <v/>
      </c>
      <c r="BN884" s="448" t="str">
        <f>_xlfn.IFNA(VLOOKUP($BK884,Programma!$F$3:$I$1101,4,0),"")</f>
        <v/>
      </c>
      <c r="BO884" s="448" t="str">
        <f>_xlfn.IFNA(VLOOKUP($BK884,Programma!$F$3:$J$1101,5,0),"")</f>
        <v/>
      </c>
      <c r="BP884" s="448" t="str">
        <f>_xlfn.IFNA(VLOOKUP($BK884,Programma!$F$3:$K$1101,6,0),"")</f>
        <v/>
      </c>
      <c r="BQ884" s="448" t="str">
        <f>_xlfn.IFNA(VLOOKUP($BK884,Programma!$F$3:$L$1101,7,0),"")</f>
        <v/>
      </c>
      <c r="BR884" s="448" t="str">
        <f>_xlfn.IFNA(VLOOKUP($BK884,Programma!$F$3:$M$1101,8,0),"")</f>
        <v/>
      </c>
      <c r="BS884" s="448" t="str">
        <f>_xlfn.IFNA(VLOOKUP($BK884,Programma!$F$3:$N$1101,9,0),"")</f>
        <v/>
      </c>
      <c r="BT884" s="448" t="str">
        <f>_xlfn.IFNA(VLOOKUP($BK884,Programma!$F$3:$O$1101,10,0),"")</f>
        <v/>
      </c>
      <c r="BU884" s="448" t="str">
        <f>_xlfn.IFNA(VLOOKUP($BK884,Programma!$F$3:$P$1101,11,0),"")</f>
        <v/>
      </c>
      <c r="BV884" s="448" t="str">
        <f>_xlfn.IFNA(VLOOKUP($BK884,Programma!$F$3:$Q$1101,12,0),"")</f>
        <v/>
      </c>
      <c r="BW884" s="448" t="str">
        <f>_xlfn.IFNA(VLOOKUP($BK884,Programma!$F$3:$R$1101,13,0),"")</f>
        <v/>
      </c>
      <c r="BX884" s="448" t="str">
        <f>_xlfn.IFNA(VLOOKUP($BK884,Programma!$F$3:$S$1101,14,0),"")</f>
        <v/>
      </c>
      <c r="BY884" s="448" t="str">
        <f>_xlfn.IFNA(VLOOKUP($BK884,Programma!$F$3:$T$1101,15,0),"")</f>
        <v/>
      </c>
      <c r="BZ884" s="448" t="str">
        <f>_xlfn.IFNA(VLOOKUP($BK884,Programma!$F$3:$U$1101,16,0),"")</f>
        <v/>
      </c>
      <c r="CA884" s="448" t="str">
        <f>_xlfn.IFNA(VLOOKUP($BK884,Programma!$F$3:$V$1101,17,0),"")</f>
        <v/>
      </c>
      <c r="CB884" s="448" t="str">
        <f>_xlfn.IFNA(VLOOKUP($BK884,Programma!$F$3:$W$1101,18,0),"")</f>
        <v/>
      </c>
      <c r="CC884" s="448" t="str">
        <f>_xlfn.IFNA(VLOOKUP($BK884,Programma!$F$3:$X$1101,19,0),"")</f>
        <v/>
      </c>
      <c r="CD884" s="448" t="str">
        <f>_xlfn.IFNA(VLOOKUP($BK884,Programma!$F$3:$Y$1101,20,0),"")</f>
        <v/>
      </c>
    </row>
    <row r="885" spans="1:82" ht="15" customHeight="1">
      <c r="A885" s="327">
        <v>25</v>
      </c>
      <c r="B885" s="435" t="str">
        <f>VLOOKUP(Ruimtestaat[[#This Row],[Code]],Locaties[[Code]:[Locatie]],2,FALSE)</f>
        <v>IKC De Piramide</v>
      </c>
      <c r="C885" s="435" t="str">
        <f>VLOOKUP(Ruimtestaat[[#This Row],[Code]],Locaties[[#All],[Code]:[Adres]],4,FALSE)</f>
        <v>Fivelingo 84</v>
      </c>
      <c r="D885" s="435" t="str">
        <f>VLOOKUP(Ruimtestaat[[#This Row],[Code]],Locaties[[#All],[Code]:[Postcode]],5,FALSE)</f>
        <v>2716 BG</v>
      </c>
      <c r="E885" s="435" t="str">
        <f>VLOOKUP(Ruimtestaat[[#This Row],[Code]],Locaties[#All],6,FALSE)</f>
        <v>Zoetermeer</v>
      </c>
      <c r="F885" s="450" t="s">
        <v>2059</v>
      </c>
      <c r="G885" s="330" t="s">
        <v>1678</v>
      </c>
      <c r="H885" s="330" t="s">
        <v>1691</v>
      </c>
      <c r="I885" s="450" t="s">
        <v>1724</v>
      </c>
      <c r="J885" s="330">
        <v>20</v>
      </c>
      <c r="K885" s="450" t="str">
        <f>VLOOKUP(Ruimtestaat[[#This Row],[Ruimte code]],Ruimtegroepen[[#All],[Code]:[Ruimte omschrijving]],2,FALSE)</f>
        <v>Niet in Onderhoud</v>
      </c>
      <c r="L885" s="330" t="s">
        <v>101</v>
      </c>
      <c r="M885" s="437" t="s">
        <v>1816</v>
      </c>
      <c r="N885" s="439"/>
      <c r="O885" s="439">
        <v>10</v>
      </c>
      <c r="P885" s="439"/>
      <c r="Q885" s="439"/>
      <c r="R885" s="440">
        <f>VLOOKUP(Ruimtestaat[[#This Row],[Ruimte code]],Ruimtegroepen[],4,FALSE)</f>
        <v>0</v>
      </c>
      <c r="S885" s="434"/>
      <c r="T885" s="434"/>
      <c r="U885" s="453">
        <f>IF(S885&gt;0,IF(RIGHT(Ruimtestaat[[#This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85" s="434">
        <f>IF(U885&gt;0,VLOOKUP($J885,Ruimtegroepen[],3,FALSE)*VLOOKUP($L885,Vloersoorten[],3,FALSE)*VLOOKUP($T885,Frequenties[],3,FALSE)*VLOOKUP($A885,Locaties[],3,FALSE),0)</f>
        <v>0</v>
      </c>
      <c r="W885" s="434">
        <f>Ruimtestaat[[#This Row],[Uitvoeringen werkdagen]]*Ruimtestaat[[#This Row],[Oppervlak (netto)]]</f>
        <v>0</v>
      </c>
      <c r="X885" s="441">
        <f>IF(V885&gt;0,Ruimtestaat[[#This Row],[Prest. (m2 /jaar) werkdagen]]/Ruimtestaat[[#This Row],[Norm (m2/uur) werkdagen]],0)</f>
        <v>0</v>
      </c>
      <c r="Y885" s="442">
        <f>Ruimtestaat[[#This Row],[Uitvoeringen werkdagen]]*Ruimtestaat[[#This Row],[Gedeeltelijk]]</f>
        <v>0</v>
      </c>
      <c r="Z885" s="443">
        <f>IF(U885&gt;0,Ruimtestaat[[#This Row],[Prest. (m2 / jaar) werkdagen gedeeld]]/Ruimtestaat[[#This Row],[Norm (m2/uur) werkdagen]],0)</f>
        <v>0</v>
      </c>
      <c r="AA885" s="441">
        <f>Ruimtestaat[[#This Row],[uren / jaar werkdagen gedeeld]]*Tariefsopbouw!$E$35</f>
        <v>0</v>
      </c>
      <c r="AB885" s="441">
        <f>Ruimtestaat[[#This Row],[Uitvoeringen werkdagen]]*Ruimtestaat[[#This Row],[BSO]]</f>
        <v>0</v>
      </c>
      <c r="AC885" s="443">
        <f>IF(U885&gt;0,Ruimtestaat[[#This Row],[Prest. (m2 / jaar) werkdagen BSO]]/Ruimtestaat[[#This Row],[Norm (m2/uur) werkdagen]],0)</f>
        <v>0</v>
      </c>
      <c r="AD885" s="443">
        <f>Ruimtestaat[[#This Row],[uren / jaar werkdagen BSO]]*Tariefsopbouw!$E$35</f>
        <v>0</v>
      </c>
      <c r="AE885" s="444">
        <f>Ruimtestaat[[#This Row],[uren / jaar werkdagen]]*Tariefsopbouw!$E$35</f>
        <v>0</v>
      </c>
      <c r="AF885" s="454"/>
      <c r="AG885" s="455">
        <f>IF(Ruimtestaat[[#This Row],[Frequentie weekend]]&gt;0,VALUE(LEFT(AF885,1))*S885,0)</f>
        <v>0</v>
      </c>
      <c r="AH885" s="455">
        <f>IF($AG885&gt;0,VLOOKUP($J885,Ruimtegroepen[],3,FALSE)*VLOOKUP($L885,Vloersoorten[],3,FALSE)*VLOOKUP($AF885,Frequenties[],3,FALSE)*VLOOKUP(#REF!,Locaties[],3,FALSE),0)</f>
        <v>0</v>
      </c>
      <c r="AI885" s="434">
        <f>Ruimtestaat[[#This Row],[Uitvoeringen weekend]]*Ruimtestaat[[#This Row],[Oppervlak (netto)]]</f>
        <v>0</v>
      </c>
      <c r="AJ885" s="434">
        <f>IF(AH885&gt;0,Ruimtestaat[[#This Row],[Prest. (m2 /jaar) weekend]]/Ruimtestaat[[#This Row],[Norm (m2/uur) weekend]],0)</f>
        <v>0</v>
      </c>
      <c r="AK885" s="444">
        <f>Ruimtestaat[[#This Row],[uren / jaar weekend]]*Tariefsopbouw!$D$40</f>
        <v>0</v>
      </c>
      <c r="AL885" s="441">
        <f>Ruimtestaat[[#This Row],[Prest. (m2 /jaar) weekend]]+Ruimtestaat[[#This Row],[Prest. (m2 /jaar) werkdagen]]</f>
        <v>0</v>
      </c>
      <c r="AM885" s="441">
        <f>Ruimtestaat[[#This Row],[uren / jaar weekend]]+Ruimtestaat[[#This Row],[uren / jaar werkdagen]]</f>
        <v>0</v>
      </c>
      <c r="AN885" s="446">
        <f>Ruimtestaat[[#This Row],[kosten / jaar weekend]]+Ruimtestaat[[#This Row],[kosten / jaar werkdagen]]</f>
        <v>0</v>
      </c>
      <c r="AO885" s="446"/>
      <c r="AP885" s="446" t="str">
        <f>IF(Ruimtestaat[[#This Row],[Frequentie werkdagen]]="","",_xlfn.CONCAT(Ruimtestaat[[#This Row],[Ruimte code]],"-",Ruimtestaat[[#This Row],[Frequentie werkdagen]]," ",Ruimtestaat[[#This Row],[Vloer code]]))</f>
        <v/>
      </c>
      <c r="AQ885" s="448" t="str">
        <f>_xlfn.IFNA(VLOOKUP($AP885,Programma!$F$3:$G$1101,2,0),"")</f>
        <v/>
      </c>
      <c r="AR885" s="448" t="str">
        <f>_xlfn.IFNA(VLOOKUP($AP885,Programma!$F$3:$H$1101,3,0),"")</f>
        <v/>
      </c>
      <c r="AS885" s="448" t="str">
        <f>_xlfn.IFNA(VLOOKUP($AP885,Programma!$F$3:$I$1101,4,0),"")</f>
        <v/>
      </c>
      <c r="AT885" s="448" t="str">
        <f>_xlfn.IFNA(VLOOKUP($AP885,Programma!$F$3:$J$1101,5,0),"")</f>
        <v/>
      </c>
      <c r="AU885" s="448" t="str">
        <f>_xlfn.IFNA(VLOOKUP($AP885,Programma!$F$3:$K$1101,6,0),"")</f>
        <v/>
      </c>
      <c r="AV885" s="448" t="str">
        <f>_xlfn.IFNA(VLOOKUP($AP885,Programma!$F$3:$L$1101,7,0),"")</f>
        <v/>
      </c>
      <c r="AW885" s="448" t="str">
        <f>_xlfn.IFNA(VLOOKUP($AP885,Programma!$F$3:$M$1101,8,0),"")</f>
        <v/>
      </c>
      <c r="AX885" s="448" t="str">
        <f>_xlfn.IFNA(VLOOKUP($AP885,Programma!$F$3:$N$1101,9,0),"")</f>
        <v/>
      </c>
      <c r="AY885" s="448" t="str">
        <f>_xlfn.IFNA(VLOOKUP($AP885,Programma!$F$3:$O$1101,10,0),"")</f>
        <v/>
      </c>
      <c r="AZ885" s="448" t="str">
        <f>_xlfn.IFNA(VLOOKUP($AP885,Programma!$F$3:$P$1101,11,0),"")</f>
        <v/>
      </c>
      <c r="BA885" s="448" t="str">
        <f>_xlfn.IFNA(VLOOKUP($AP885,Programma!$F$3:$Q$1101,12,0),"")</f>
        <v/>
      </c>
      <c r="BB885" s="448" t="str">
        <f>_xlfn.IFNA(VLOOKUP($AP885,Programma!$F$3:$R$1101,13,0),"")</f>
        <v/>
      </c>
      <c r="BC885" s="448" t="str">
        <f>_xlfn.IFNA(VLOOKUP($AP885,Programma!$F$3:$S$1101,14,0),"")</f>
        <v/>
      </c>
      <c r="BD885" s="448" t="str">
        <f>_xlfn.IFNA(VLOOKUP($AP885,Programma!$F$3:$T$1101,15,0),"")</f>
        <v/>
      </c>
      <c r="BE885" s="448" t="str">
        <f>_xlfn.IFNA(VLOOKUP($AP885,Programma!$F$3:$U$1101,16,0),"")</f>
        <v/>
      </c>
      <c r="BF885" s="448" t="str">
        <f>_xlfn.IFNA(VLOOKUP($AP885,Programma!$F$3:$V$1101,17,0),"")</f>
        <v/>
      </c>
      <c r="BG885" s="448" t="str">
        <f>_xlfn.IFNA(VLOOKUP($AP885,Programma!$F$3:$W$1101,18,0),"")</f>
        <v/>
      </c>
      <c r="BH885" s="448" t="str">
        <f>_xlfn.IFNA(VLOOKUP($AP885,Programma!$F$3:$X$1101,19,0),"")</f>
        <v/>
      </c>
      <c r="BI885" s="448" t="str">
        <f>_xlfn.IFNA(VLOOKUP($AP885,Programma!$F$3:$Y$1101,20,0),"")</f>
        <v/>
      </c>
      <c r="BJ885" s="449"/>
      <c r="BK885" s="446" t="str">
        <f>IF(Ruimtestaat[[#This Row],[Frequentie weekend]]="","",_xlfn.CONCAT(Ruimtestaat[[#This Row],[Ruimte code]],"-",Ruimtestaat[[#This Row],[Frequentie weekend]]," ",Ruimtestaat[[#This Row],[Vloer code]]))</f>
        <v/>
      </c>
      <c r="BL885" s="448" t="str">
        <f>_xlfn.IFNA(VLOOKUP($BK885,Programma!$F$3:$G$1101,2,0),"")</f>
        <v/>
      </c>
      <c r="BM885" s="448" t="str">
        <f>_xlfn.IFNA(VLOOKUP($BK885,Programma!$F$3:$H$1101,3,0),"")</f>
        <v/>
      </c>
      <c r="BN885" s="448" t="str">
        <f>_xlfn.IFNA(VLOOKUP($BK885,Programma!$F$3:$I$1101,4,0),"")</f>
        <v/>
      </c>
      <c r="BO885" s="448" t="str">
        <f>_xlfn.IFNA(VLOOKUP($BK885,Programma!$F$3:$J$1101,5,0),"")</f>
        <v/>
      </c>
      <c r="BP885" s="448" t="str">
        <f>_xlfn.IFNA(VLOOKUP($BK885,Programma!$F$3:$K$1101,6,0),"")</f>
        <v/>
      </c>
      <c r="BQ885" s="448" t="str">
        <f>_xlfn.IFNA(VLOOKUP($BK885,Programma!$F$3:$L$1101,7,0),"")</f>
        <v/>
      </c>
      <c r="BR885" s="448" t="str">
        <f>_xlfn.IFNA(VLOOKUP($BK885,Programma!$F$3:$M$1101,8,0),"")</f>
        <v/>
      </c>
      <c r="BS885" s="448" t="str">
        <f>_xlfn.IFNA(VLOOKUP($BK885,Programma!$F$3:$N$1101,9,0),"")</f>
        <v/>
      </c>
      <c r="BT885" s="448" t="str">
        <f>_xlfn.IFNA(VLOOKUP($BK885,Programma!$F$3:$O$1101,10,0),"")</f>
        <v/>
      </c>
      <c r="BU885" s="448" t="str">
        <f>_xlfn.IFNA(VLOOKUP($BK885,Programma!$F$3:$P$1101,11,0),"")</f>
        <v/>
      </c>
      <c r="BV885" s="448" t="str">
        <f>_xlfn.IFNA(VLOOKUP($BK885,Programma!$F$3:$Q$1101,12,0),"")</f>
        <v/>
      </c>
      <c r="BW885" s="448" t="str">
        <f>_xlfn.IFNA(VLOOKUP($BK885,Programma!$F$3:$R$1101,13,0),"")</f>
        <v/>
      </c>
      <c r="BX885" s="448" t="str">
        <f>_xlfn.IFNA(VLOOKUP($BK885,Programma!$F$3:$S$1101,14,0),"")</f>
        <v/>
      </c>
      <c r="BY885" s="448" t="str">
        <f>_xlfn.IFNA(VLOOKUP($BK885,Programma!$F$3:$T$1101,15,0),"")</f>
        <v/>
      </c>
      <c r="BZ885" s="448" t="str">
        <f>_xlfn.IFNA(VLOOKUP($BK885,Programma!$F$3:$U$1101,16,0),"")</f>
        <v/>
      </c>
      <c r="CA885" s="448" t="str">
        <f>_xlfn.IFNA(VLOOKUP($BK885,Programma!$F$3:$V$1101,17,0),"")</f>
        <v/>
      </c>
      <c r="CB885" s="448" t="str">
        <f>_xlfn.IFNA(VLOOKUP($BK885,Programma!$F$3:$W$1101,18,0),"")</f>
        <v/>
      </c>
      <c r="CC885" s="448" t="str">
        <f>_xlfn.IFNA(VLOOKUP($BK885,Programma!$F$3:$X$1101,19,0),"")</f>
        <v/>
      </c>
      <c r="CD885" s="448" t="str">
        <f>_xlfn.IFNA(VLOOKUP($BK885,Programma!$F$3:$Y$1101,20,0),"")</f>
        <v/>
      </c>
    </row>
    <row r="886" spans="1:82" ht="15" customHeight="1">
      <c r="A886" s="327">
        <v>25</v>
      </c>
      <c r="B886" s="435" t="str">
        <f>VLOOKUP(Ruimtestaat[[#This Row],[Code]],Locaties[[Code]:[Locatie]],2,FALSE)</f>
        <v>IKC De Piramide</v>
      </c>
      <c r="C886" s="435" t="str">
        <f>VLOOKUP(Ruimtestaat[[#This Row],[Code]],Locaties[[#All],[Code]:[Adres]],4,FALSE)</f>
        <v>Fivelingo 84</v>
      </c>
      <c r="D886" s="435" t="str">
        <f>VLOOKUP(Ruimtestaat[[#This Row],[Code]],Locaties[[#All],[Code]:[Postcode]],5,FALSE)</f>
        <v>2716 BG</v>
      </c>
      <c r="E886" s="435" t="str">
        <f>VLOOKUP(Ruimtestaat[[#This Row],[Code]],Locaties[#All],6,FALSE)</f>
        <v>Zoetermeer</v>
      </c>
      <c r="F886" s="450" t="s">
        <v>2059</v>
      </c>
      <c r="G886" s="330" t="s">
        <v>1678</v>
      </c>
      <c r="H886" s="330" t="s">
        <v>1827</v>
      </c>
      <c r="I886" s="450" t="s">
        <v>2067</v>
      </c>
      <c r="J886" s="330">
        <v>16</v>
      </c>
      <c r="K886" s="450" t="str">
        <f>VLOOKUP(Ruimtestaat[[#This Row],[Ruimte code]],Ruimtegroepen[[#All],[Code]:[Ruimte omschrijving]],2,FALSE)</f>
        <v>Leslokalen</v>
      </c>
      <c r="L886" s="330" t="s">
        <v>101</v>
      </c>
      <c r="M886" s="437" t="s">
        <v>1816</v>
      </c>
      <c r="N886" s="439">
        <v>23</v>
      </c>
      <c r="O886" s="439"/>
      <c r="P886" s="439"/>
      <c r="Q886" s="439"/>
      <c r="R886" s="440" t="str">
        <f>VLOOKUP(Ruimtestaat[[#This Row],[Ruimte code]],Ruimtegroepen[],4,FALSE)</f>
        <v>Le</v>
      </c>
      <c r="S886" s="434">
        <v>40</v>
      </c>
      <c r="T886" s="434" t="s">
        <v>2</v>
      </c>
      <c r="U886" s="453">
        <f>IF(S886&gt;0,IF(RIGHT(Ruimtestaat[[#This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6" s="434">
        <f>IF(U886&gt;0,VLOOKUP($J886,Ruimtegroepen[],3,FALSE)*VLOOKUP($L886,Vloersoorten[],3,FALSE)*VLOOKUP($T886,Frequenties[],3,FALSE)*VLOOKUP($A886,Locaties[],3,FALSE),0)</f>
        <v>0</v>
      </c>
      <c r="W886" s="434">
        <f>Ruimtestaat[[#This Row],[Uitvoeringen werkdagen]]*Ruimtestaat[[#This Row],[Oppervlak (netto)]]</f>
        <v>4600</v>
      </c>
      <c r="X886" s="441">
        <f>IF(V886&gt;0,Ruimtestaat[[#This Row],[Prest. (m2 /jaar) werkdagen]]/Ruimtestaat[[#This Row],[Norm (m2/uur) werkdagen]],0)</f>
        <v>0</v>
      </c>
      <c r="Y886" s="442">
        <f>Ruimtestaat[[#This Row],[Uitvoeringen werkdagen]]*Ruimtestaat[[#This Row],[Gedeeltelijk]]</f>
        <v>0</v>
      </c>
      <c r="Z886" s="443" t="e">
        <f>IF(U886&gt;0,Ruimtestaat[[#This Row],[Prest. (m2 / jaar) werkdagen gedeeld]]/Ruimtestaat[[#This Row],[Norm (m2/uur) werkdagen]],0)</f>
        <v>#DIV/0!</v>
      </c>
      <c r="AA886" s="441" t="e">
        <f>Ruimtestaat[[#This Row],[uren / jaar werkdagen gedeeld]]*Tariefsopbouw!$E$35</f>
        <v>#DIV/0!</v>
      </c>
      <c r="AB886" s="441">
        <f>Ruimtestaat[[#This Row],[Uitvoeringen werkdagen]]*Ruimtestaat[[#This Row],[BSO]]</f>
        <v>0</v>
      </c>
      <c r="AC886" s="443" t="e">
        <f>IF(U886&gt;0,Ruimtestaat[[#This Row],[Prest. (m2 / jaar) werkdagen BSO]]/Ruimtestaat[[#This Row],[Norm (m2/uur) werkdagen]],0)</f>
        <v>#DIV/0!</v>
      </c>
      <c r="AD886" s="443" t="e">
        <f>Ruimtestaat[[#This Row],[uren / jaar werkdagen BSO]]*Tariefsopbouw!$E$35</f>
        <v>#DIV/0!</v>
      </c>
      <c r="AE886" s="444">
        <f>Ruimtestaat[[#This Row],[uren / jaar werkdagen]]*Tariefsopbouw!$E$35</f>
        <v>0</v>
      </c>
      <c r="AF886" s="454"/>
      <c r="AG886" s="455">
        <f>IF(Ruimtestaat[[#This Row],[Frequentie weekend]]&gt;0,VALUE(LEFT(AF886,1))*S886,0)</f>
        <v>0</v>
      </c>
      <c r="AH886" s="455">
        <f>IF($AG886&gt;0,VLOOKUP($J886,Ruimtegroepen[],3,FALSE)*VLOOKUP($L886,Vloersoorten[],3,FALSE)*VLOOKUP($AF886,Frequenties[],3,FALSE)*VLOOKUP(#REF!,Locaties[],3,FALSE),0)</f>
        <v>0</v>
      </c>
      <c r="AI886" s="434">
        <f>Ruimtestaat[[#This Row],[Uitvoeringen weekend]]*Ruimtestaat[[#This Row],[Oppervlak (netto)]]</f>
        <v>0</v>
      </c>
      <c r="AJ886" s="434">
        <f>IF(AH886&gt;0,Ruimtestaat[[#This Row],[Prest. (m2 /jaar) weekend]]/Ruimtestaat[[#This Row],[Norm (m2/uur) weekend]],0)</f>
        <v>0</v>
      </c>
      <c r="AK886" s="444">
        <f>Ruimtestaat[[#This Row],[uren / jaar weekend]]*Tariefsopbouw!$D$40</f>
        <v>0</v>
      </c>
      <c r="AL886" s="441">
        <f>Ruimtestaat[[#This Row],[Prest. (m2 /jaar) weekend]]+Ruimtestaat[[#This Row],[Prest. (m2 /jaar) werkdagen]]</f>
        <v>4600</v>
      </c>
      <c r="AM886" s="441">
        <f>Ruimtestaat[[#This Row],[uren / jaar weekend]]+Ruimtestaat[[#This Row],[uren / jaar werkdagen]]</f>
        <v>0</v>
      </c>
      <c r="AN886" s="446">
        <f>Ruimtestaat[[#This Row],[kosten / jaar weekend]]+Ruimtestaat[[#This Row],[kosten / jaar werkdagen]]</f>
        <v>0</v>
      </c>
      <c r="AO886" s="446"/>
      <c r="AP886" s="446" t="str">
        <f>IF(Ruimtestaat[[#This Row],[Frequentie werkdagen]]="","",_xlfn.CONCAT(Ruimtestaat[[#This Row],[Ruimte code]],"-",Ruimtestaat[[#This Row],[Frequentie werkdagen]]," ",Ruimtestaat[[#This Row],[Vloer code]]))</f>
        <v>16-5w S</v>
      </c>
      <c r="AQ886" s="448" t="str">
        <f>_xlfn.IFNA(VLOOKUP($AP886,Programma!$F$3:$G$1101,2,0),"")</f>
        <v>_</v>
      </c>
      <c r="AR886" s="448" t="str">
        <f>_xlfn.IFNA(VLOOKUP($AP886,Programma!$F$3:$H$1101,3,0),"")</f>
        <v>_</v>
      </c>
      <c r="AS886" s="448" t="str">
        <f>_xlfn.IFNA(VLOOKUP($AP886,Programma!$F$3:$I$1101,4,0),"")</f>
        <v>4w</v>
      </c>
      <c r="AT886" s="448" t="str">
        <f>_xlfn.IFNA(VLOOKUP($AP886,Programma!$F$3:$J$1101,5,0),"")</f>
        <v>1w</v>
      </c>
      <c r="AU886" s="448" t="str">
        <f>_xlfn.IFNA(VLOOKUP($AP886,Programma!$F$3:$K$1101,6,0),"")</f>
        <v>1m</v>
      </c>
      <c r="AV886" s="448" t="str">
        <f>_xlfn.IFNA(VLOOKUP($AP886,Programma!$F$3:$L$1101,7,0),"")</f>
        <v>_</v>
      </c>
      <c r="AW886" s="448" t="str">
        <f>_xlfn.IFNA(VLOOKUP($AP886,Programma!$F$3:$M$1101,8,0),"")</f>
        <v>_</v>
      </c>
      <c r="AX886" s="448" t="str">
        <f>_xlfn.IFNA(VLOOKUP($AP886,Programma!$F$3:$N$1101,9,0),"")</f>
        <v>_</v>
      </c>
      <c r="AY886" s="448" t="str">
        <f>_xlfn.IFNA(VLOOKUP($AP886,Programma!$F$3:$O$1101,10,0),"")</f>
        <v>5w</v>
      </c>
      <c r="AZ886" s="448" t="str">
        <f>_xlfn.IFNA(VLOOKUP($AP886,Programma!$F$3:$P$1101,11,0),"")</f>
        <v>5w</v>
      </c>
      <c r="BA886" s="448" t="str">
        <f>_xlfn.IFNA(VLOOKUP($AP886,Programma!$F$3:$Q$1101,12,0),"")</f>
        <v>1w</v>
      </c>
      <c r="BB886" s="448" t="str">
        <f>_xlfn.IFNA(VLOOKUP($AP886,Programma!$F$3:$R$1101,13,0),"")</f>
        <v>1w</v>
      </c>
      <c r="BC886" s="448" t="str">
        <f>_xlfn.IFNA(VLOOKUP($AP886,Programma!$F$3:$S$1101,14,0),"")</f>
        <v>1m</v>
      </c>
      <c r="BD886" s="448" t="str">
        <f>_xlfn.IFNA(VLOOKUP($AP886,Programma!$F$3:$T$1101,15,0),"")</f>
        <v>2j</v>
      </c>
      <c r="BE886" s="448" t="str">
        <f>_xlfn.IFNA(VLOOKUP($AP886,Programma!$F$3:$U$1101,16,0),"")</f>
        <v>1j</v>
      </c>
      <c r="BF886" s="448" t="str">
        <f>_xlfn.IFNA(VLOOKUP($AP886,Programma!$F$3:$V$1101,17,0),"")</f>
        <v>_</v>
      </c>
      <c r="BG886" s="448" t="str">
        <f>_xlfn.IFNA(VLOOKUP($AP886,Programma!$F$3:$W$1101,18,0),"")</f>
        <v>_</v>
      </c>
      <c r="BH886" s="448" t="str">
        <f>_xlfn.IFNA(VLOOKUP($AP886,Programma!$F$3:$X$1101,19,0),"")</f>
        <v>_</v>
      </c>
      <c r="BI886" s="448" t="str">
        <f>_xlfn.IFNA(VLOOKUP($AP886,Programma!$F$3:$Y$1101,20,0),"")</f>
        <v>_</v>
      </c>
      <c r="BJ886" s="449"/>
      <c r="BK886" s="446" t="str">
        <f>IF(Ruimtestaat[[#This Row],[Frequentie weekend]]="","",_xlfn.CONCAT(Ruimtestaat[[#This Row],[Ruimte code]],"-",Ruimtestaat[[#This Row],[Frequentie weekend]]," ",Ruimtestaat[[#This Row],[Vloer code]]))</f>
        <v/>
      </c>
      <c r="BL886" s="448" t="str">
        <f>_xlfn.IFNA(VLOOKUP($BK886,Programma!$F$3:$G$1101,2,0),"")</f>
        <v/>
      </c>
      <c r="BM886" s="448" t="str">
        <f>_xlfn.IFNA(VLOOKUP($BK886,Programma!$F$3:$H$1101,3,0),"")</f>
        <v/>
      </c>
      <c r="BN886" s="448" t="str">
        <f>_xlfn.IFNA(VLOOKUP($BK886,Programma!$F$3:$I$1101,4,0),"")</f>
        <v/>
      </c>
      <c r="BO886" s="448" t="str">
        <f>_xlfn.IFNA(VLOOKUP($BK886,Programma!$F$3:$J$1101,5,0),"")</f>
        <v/>
      </c>
      <c r="BP886" s="448" t="str">
        <f>_xlfn.IFNA(VLOOKUP($BK886,Programma!$F$3:$K$1101,6,0),"")</f>
        <v/>
      </c>
      <c r="BQ886" s="448" t="str">
        <f>_xlfn.IFNA(VLOOKUP($BK886,Programma!$F$3:$L$1101,7,0),"")</f>
        <v/>
      </c>
      <c r="BR886" s="448" t="str">
        <f>_xlfn.IFNA(VLOOKUP($BK886,Programma!$F$3:$M$1101,8,0),"")</f>
        <v/>
      </c>
      <c r="BS886" s="448" t="str">
        <f>_xlfn.IFNA(VLOOKUP($BK886,Programma!$F$3:$N$1101,9,0),"")</f>
        <v/>
      </c>
      <c r="BT886" s="448" t="str">
        <f>_xlfn.IFNA(VLOOKUP($BK886,Programma!$F$3:$O$1101,10,0),"")</f>
        <v/>
      </c>
      <c r="BU886" s="448" t="str">
        <f>_xlfn.IFNA(VLOOKUP($BK886,Programma!$F$3:$P$1101,11,0),"")</f>
        <v/>
      </c>
      <c r="BV886" s="448" t="str">
        <f>_xlfn.IFNA(VLOOKUP($BK886,Programma!$F$3:$Q$1101,12,0),"")</f>
        <v/>
      </c>
      <c r="BW886" s="448" t="str">
        <f>_xlfn.IFNA(VLOOKUP($BK886,Programma!$F$3:$R$1101,13,0),"")</f>
        <v/>
      </c>
      <c r="BX886" s="448" t="str">
        <f>_xlfn.IFNA(VLOOKUP($BK886,Programma!$F$3:$S$1101,14,0),"")</f>
        <v/>
      </c>
      <c r="BY886" s="448" t="str">
        <f>_xlfn.IFNA(VLOOKUP($BK886,Programma!$F$3:$T$1101,15,0),"")</f>
        <v/>
      </c>
      <c r="BZ886" s="448" t="str">
        <f>_xlfn.IFNA(VLOOKUP($BK886,Programma!$F$3:$U$1101,16,0),"")</f>
        <v/>
      </c>
      <c r="CA886" s="448" t="str">
        <f>_xlfn.IFNA(VLOOKUP($BK886,Programma!$F$3:$V$1101,17,0),"")</f>
        <v/>
      </c>
      <c r="CB886" s="448" t="str">
        <f>_xlfn.IFNA(VLOOKUP($BK886,Programma!$F$3:$W$1101,18,0),"")</f>
        <v/>
      </c>
      <c r="CC886" s="448" t="str">
        <f>_xlfn.IFNA(VLOOKUP($BK886,Programma!$F$3:$X$1101,19,0),"")</f>
        <v/>
      </c>
      <c r="CD886" s="448" t="str">
        <f>_xlfn.IFNA(VLOOKUP($BK886,Programma!$F$3:$Y$1101,20,0),"")</f>
        <v/>
      </c>
    </row>
    <row r="887" spans="1:82" ht="15" customHeight="1">
      <c r="A887" s="327">
        <v>25</v>
      </c>
      <c r="B887" s="435" t="str">
        <f>VLOOKUP(Ruimtestaat[[#This Row],[Code]],Locaties[[Code]:[Locatie]],2,FALSE)</f>
        <v>IKC De Piramide</v>
      </c>
      <c r="C887" s="435" t="str">
        <f>VLOOKUP(Ruimtestaat[[#This Row],[Code]],Locaties[[#All],[Code]:[Adres]],4,FALSE)</f>
        <v>Fivelingo 84</v>
      </c>
      <c r="D887" s="435" t="str">
        <f>VLOOKUP(Ruimtestaat[[#This Row],[Code]],Locaties[[#All],[Code]:[Postcode]],5,FALSE)</f>
        <v>2716 BG</v>
      </c>
      <c r="E887" s="435" t="str">
        <f>VLOOKUP(Ruimtestaat[[#This Row],[Code]],Locaties[#All],6,FALSE)</f>
        <v>Zoetermeer</v>
      </c>
      <c r="F887" s="450" t="s">
        <v>2059</v>
      </c>
      <c r="G887" s="330" t="s">
        <v>1678</v>
      </c>
      <c r="H887" s="330" t="s">
        <v>1699</v>
      </c>
      <c r="I887" s="450" t="s">
        <v>2064</v>
      </c>
      <c r="J887" s="330">
        <v>5</v>
      </c>
      <c r="K887" s="450" t="str">
        <f>VLOOKUP(Ruimtestaat[[#This Row],[Ruimte code]],Ruimtegroepen[[#All],[Code]:[Ruimte omschrijving]],2,FALSE)</f>
        <v>Sanitair</v>
      </c>
      <c r="L887" s="330" t="s">
        <v>101</v>
      </c>
      <c r="M887" s="437" t="s">
        <v>1816</v>
      </c>
      <c r="N887" s="439">
        <v>7</v>
      </c>
      <c r="O887" s="439"/>
      <c r="P887" s="439"/>
      <c r="Q887" s="439"/>
      <c r="R887" s="440" t="str">
        <f>VLOOKUP(Ruimtestaat[[#This Row],[Ruimte code]],Ruimtegroepen[],4,FALSE)</f>
        <v>Sa</v>
      </c>
      <c r="S887" s="434">
        <v>41</v>
      </c>
      <c r="T887" s="434" t="s">
        <v>2</v>
      </c>
      <c r="U887" s="453">
        <f>IF(S887&gt;0,IF(RIGHT(Ruimtestaat[[#This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87" s="434">
        <f>IF(U887&gt;0,VLOOKUP($J887,Ruimtegroepen[],3,FALSE)*VLOOKUP($L887,Vloersoorten[],3,FALSE)*VLOOKUP($T887,Frequenties[],3,FALSE)*VLOOKUP($A887,Locaties[],3,FALSE),0)</f>
        <v>0</v>
      </c>
      <c r="W887" s="434">
        <f>Ruimtestaat[[#This Row],[Uitvoeringen werkdagen]]*Ruimtestaat[[#This Row],[Oppervlak (netto)]]</f>
        <v>1435</v>
      </c>
      <c r="X887" s="441">
        <f>IF(V887&gt;0,Ruimtestaat[[#This Row],[Prest. (m2 /jaar) werkdagen]]/Ruimtestaat[[#This Row],[Norm (m2/uur) werkdagen]],0)</f>
        <v>0</v>
      </c>
      <c r="Y887" s="442">
        <f>Ruimtestaat[[#This Row],[Uitvoeringen werkdagen]]*Ruimtestaat[[#This Row],[Gedeeltelijk]]</f>
        <v>0</v>
      </c>
      <c r="Z887" s="443" t="e">
        <f>IF(U887&gt;0,Ruimtestaat[[#This Row],[Prest. (m2 / jaar) werkdagen gedeeld]]/Ruimtestaat[[#This Row],[Norm (m2/uur) werkdagen]],0)</f>
        <v>#DIV/0!</v>
      </c>
      <c r="AA887" s="441" t="e">
        <f>Ruimtestaat[[#This Row],[uren / jaar werkdagen gedeeld]]*Tariefsopbouw!$E$35</f>
        <v>#DIV/0!</v>
      </c>
      <c r="AB887" s="441">
        <f>Ruimtestaat[[#This Row],[Uitvoeringen werkdagen]]*Ruimtestaat[[#This Row],[BSO]]</f>
        <v>0</v>
      </c>
      <c r="AC887" s="443" t="e">
        <f>IF(U887&gt;0,Ruimtestaat[[#This Row],[Prest. (m2 / jaar) werkdagen BSO]]/Ruimtestaat[[#This Row],[Norm (m2/uur) werkdagen]],0)</f>
        <v>#DIV/0!</v>
      </c>
      <c r="AD887" s="443" t="e">
        <f>Ruimtestaat[[#This Row],[uren / jaar werkdagen BSO]]*Tariefsopbouw!$E$35</f>
        <v>#DIV/0!</v>
      </c>
      <c r="AE887" s="444">
        <f>Ruimtestaat[[#This Row],[uren / jaar werkdagen]]*Tariefsopbouw!$E$35</f>
        <v>0</v>
      </c>
      <c r="AF887" s="454"/>
      <c r="AG887" s="455">
        <f>IF(Ruimtestaat[[#This Row],[Frequentie weekend]]&gt;0,VALUE(LEFT(AF887,1))*S887,0)</f>
        <v>0</v>
      </c>
      <c r="AH887" s="455">
        <f>IF($AG887&gt;0,VLOOKUP($J887,Ruimtegroepen[],3,FALSE)*VLOOKUP($L887,Vloersoorten[],3,FALSE)*VLOOKUP($AF887,Frequenties[],3,FALSE)*VLOOKUP(#REF!,Locaties[],3,FALSE),0)</f>
        <v>0</v>
      </c>
      <c r="AI887" s="434">
        <f>Ruimtestaat[[#This Row],[Uitvoeringen weekend]]*Ruimtestaat[[#This Row],[Oppervlak (netto)]]</f>
        <v>0</v>
      </c>
      <c r="AJ887" s="434">
        <f>IF(AH887&gt;0,Ruimtestaat[[#This Row],[Prest. (m2 /jaar) weekend]]/Ruimtestaat[[#This Row],[Norm (m2/uur) weekend]],0)</f>
        <v>0</v>
      </c>
      <c r="AK887" s="444">
        <f>Ruimtestaat[[#This Row],[uren / jaar weekend]]*Tariefsopbouw!$D$40</f>
        <v>0</v>
      </c>
      <c r="AL887" s="441">
        <f>Ruimtestaat[[#This Row],[Prest. (m2 /jaar) weekend]]+Ruimtestaat[[#This Row],[Prest. (m2 /jaar) werkdagen]]</f>
        <v>1435</v>
      </c>
      <c r="AM887" s="441">
        <f>Ruimtestaat[[#This Row],[uren / jaar weekend]]+Ruimtestaat[[#This Row],[uren / jaar werkdagen]]</f>
        <v>0</v>
      </c>
      <c r="AN887" s="446">
        <f>Ruimtestaat[[#This Row],[kosten / jaar weekend]]+Ruimtestaat[[#This Row],[kosten / jaar werkdagen]]</f>
        <v>0</v>
      </c>
      <c r="AO887" s="446"/>
      <c r="AP887" s="446" t="str">
        <f>IF(Ruimtestaat[[#This Row],[Frequentie werkdagen]]="","",_xlfn.CONCAT(Ruimtestaat[[#This Row],[Ruimte code]],"-",Ruimtestaat[[#This Row],[Frequentie werkdagen]]," ",Ruimtestaat[[#This Row],[Vloer code]]))</f>
        <v>5-5w S</v>
      </c>
      <c r="AQ887" s="448" t="str">
        <f>_xlfn.IFNA(VLOOKUP($AP887,Programma!$F$3:$G$1101,2,0),"")</f>
        <v>_</v>
      </c>
      <c r="AR887" s="448" t="str">
        <f>_xlfn.IFNA(VLOOKUP($AP887,Programma!$F$3:$H$1101,3,0),"")</f>
        <v>_</v>
      </c>
      <c r="AS887" s="448" t="str">
        <f>_xlfn.IFNA(VLOOKUP($AP887,Programma!$F$3:$I$1101,4,0),"")</f>
        <v>_</v>
      </c>
      <c r="AT887" s="448" t="str">
        <f>_xlfn.IFNA(VLOOKUP($AP887,Programma!$F$3:$J$1101,5,0),"")</f>
        <v>4w</v>
      </c>
      <c r="AU887" s="448" t="str">
        <f>_xlfn.IFNA(VLOOKUP($AP887,Programma!$F$3:$K$1101,6,0),"")</f>
        <v>1w</v>
      </c>
      <c r="AV887" s="448" t="str">
        <f>_xlfn.IFNA(VLOOKUP($AP887,Programma!$F$3:$L$1101,7,0),"")</f>
        <v>_</v>
      </c>
      <c r="AW887" s="448" t="str">
        <f>_xlfn.IFNA(VLOOKUP($AP887,Programma!$F$3:$M$1101,8,0),"")</f>
        <v>_</v>
      </c>
      <c r="AX887" s="448" t="str">
        <f>_xlfn.IFNA(VLOOKUP($AP887,Programma!$F$3:$N$1101,9,0),"")</f>
        <v>_</v>
      </c>
      <c r="AY887" s="448" t="str">
        <f>_xlfn.IFNA(VLOOKUP($AP887,Programma!$F$3:$O$1101,10,0),"")</f>
        <v>_</v>
      </c>
      <c r="AZ887" s="448" t="str">
        <f>_xlfn.IFNA(VLOOKUP($AP887,Programma!$F$3:$P$1101,11,0),"")</f>
        <v>_</v>
      </c>
      <c r="BA887" s="448" t="str">
        <f>_xlfn.IFNA(VLOOKUP($AP887,Programma!$F$3:$Q$1101,12,0),"")</f>
        <v>_</v>
      </c>
      <c r="BB887" s="448" t="str">
        <f>_xlfn.IFNA(VLOOKUP($AP887,Programma!$F$3:$R$1101,13,0),"")</f>
        <v>_</v>
      </c>
      <c r="BC887" s="448" t="str">
        <f>_xlfn.IFNA(VLOOKUP($AP887,Programma!$F$3:$S$1101,14,0),"")</f>
        <v>_</v>
      </c>
      <c r="BD887" s="448" t="str">
        <f>_xlfn.IFNA(VLOOKUP($AP887,Programma!$F$3:$T$1101,15,0),"")</f>
        <v>_</v>
      </c>
      <c r="BE887" s="448" t="str">
        <f>_xlfn.IFNA(VLOOKUP($AP887,Programma!$F$3:$U$1101,16,0),"")</f>
        <v>_</v>
      </c>
      <c r="BF887" s="448" t="str">
        <f>_xlfn.IFNA(VLOOKUP($AP887,Programma!$F$3:$V$1101,17,0),"")</f>
        <v>_</v>
      </c>
      <c r="BG887" s="448" t="str">
        <f>_xlfn.IFNA(VLOOKUP($AP887,Programma!$F$3:$W$1101,18,0),"")</f>
        <v>4w</v>
      </c>
      <c r="BH887" s="448" t="str">
        <f>_xlfn.IFNA(VLOOKUP($AP887,Programma!$F$3:$X$1101,19,0),"")</f>
        <v>1w</v>
      </c>
      <c r="BI887" s="448" t="str">
        <f>_xlfn.IFNA(VLOOKUP($AP887,Programma!$F$3:$Y$1101,20,0),"")</f>
        <v>_</v>
      </c>
      <c r="BJ887" s="449"/>
      <c r="BK887" s="446" t="str">
        <f>IF(Ruimtestaat[[#This Row],[Frequentie weekend]]="","",_xlfn.CONCAT(Ruimtestaat[[#This Row],[Ruimte code]],"-",Ruimtestaat[[#This Row],[Frequentie weekend]]," ",Ruimtestaat[[#This Row],[Vloer code]]))</f>
        <v/>
      </c>
      <c r="BL887" s="448" t="str">
        <f>_xlfn.IFNA(VLOOKUP($BK887,Programma!$F$3:$G$1101,2,0),"")</f>
        <v/>
      </c>
      <c r="BM887" s="448" t="str">
        <f>_xlfn.IFNA(VLOOKUP($BK887,Programma!$F$3:$H$1101,3,0),"")</f>
        <v/>
      </c>
      <c r="BN887" s="448" t="str">
        <f>_xlfn.IFNA(VLOOKUP($BK887,Programma!$F$3:$I$1101,4,0),"")</f>
        <v/>
      </c>
      <c r="BO887" s="448" t="str">
        <f>_xlfn.IFNA(VLOOKUP($BK887,Programma!$F$3:$J$1101,5,0),"")</f>
        <v/>
      </c>
      <c r="BP887" s="448" t="str">
        <f>_xlfn.IFNA(VLOOKUP($BK887,Programma!$F$3:$K$1101,6,0),"")</f>
        <v/>
      </c>
      <c r="BQ887" s="448" t="str">
        <f>_xlfn.IFNA(VLOOKUP($BK887,Programma!$F$3:$L$1101,7,0),"")</f>
        <v/>
      </c>
      <c r="BR887" s="448" t="str">
        <f>_xlfn.IFNA(VLOOKUP($BK887,Programma!$F$3:$M$1101,8,0),"")</f>
        <v/>
      </c>
      <c r="BS887" s="448" t="str">
        <f>_xlfn.IFNA(VLOOKUP($BK887,Programma!$F$3:$N$1101,9,0),"")</f>
        <v/>
      </c>
      <c r="BT887" s="448" t="str">
        <f>_xlfn.IFNA(VLOOKUP($BK887,Programma!$F$3:$O$1101,10,0),"")</f>
        <v/>
      </c>
      <c r="BU887" s="448" t="str">
        <f>_xlfn.IFNA(VLOOKUP($BK887,Programma!$F$3:$P$1101,11,0),"")</f>
        <v/>
      </c>
      <c r="BV887" s="448" t="str">
        <f>_xlfn.IFNA(VLOOKUP($BK887,Programma!$F$3:$Q$1101,12,0),"")</f>
        <v/>
      </c>
      <c r="BW887" s="448" t="str">
        <f>_xlfn.IFNA(VLOOKUP($BK887,Programma!$F$3:$R$1101,13,0),"")</f>
        <v/>
      </c>
      <c r="BX887" s="448" t="str">
        <f>_xlfn.IFNA(VLOOKUP($BK887,Programma!$F$3:$S$1101,14,0),"")</f>
        <v/>
      </c>
      <c r="BY887" s="448" t="str">
        <f>_xlfn.IFNA(VLOOKUP($BK887,Programma!$F$3:$T$1101,15,0),"")</f>
        <v/>
      </c>
      <c r="BZ887" s="448" t="str">
        <f>_xlfn.IFNA(VLOOKUP($BK887,Programma!$F$3:$U$1101,16,0),"")</f>
        <v/>
      </c>
      <c r="CA887" s="448" t="str">
        <f>_xlfn.IFNA(VLOOKUP($BK887,Programma!$F$3:$V$1101,17,0),"")</f>
        <v/>
      </c>
      <c r="CB887" s="448" t="str">
        <f>_xlfn.IFNA(VLOOKUP($BK887,Programma!$F$3:$W$1101,18,0),"")</f>
        <v/>
      </c>
      <c r="CC887" s="448" t="str">
        <f>_xlfn.IFNA(VLOOKUP($BK887,Programma!$F$3:$X$1101,19,0),"")</f>
        <v/>
      </c>
      <c r="CD887" s="448" t="str">
        <f>_xlfn.IFNA(VLOOKUP($BK887,Programma!$F$3:$Y$1101,20,0),"")</f>
        <v/>
      </c>
    </row>
    <row r="888" spans="1:82" ht="15" customHeight="1">
      <c r="A888" s="327">
        <v>25</v>
      </c>
      <c r="B888" s="435" t="str">
        <f>VLOOKUP(Ruimtestaat[[#This Row],[Code]],Locaties[[Code]:[Locatie]],2,FALSE)</f>
        <v>IKC De Piramide</v>
      </c>
      <c r="C888" s="435" t="str">
        <f>VLOOKUP(Ruimtestaat[[#This Row],[Code]],Locaties[[#All],[Code]:[Adres]],4,FALSE)</f>
        <v>Fivelingo 84</v>
      </c>
      <c r="D888" s="435" t="str">
        <f>VLOOKUP(Ruimtestaat[[#This Row],[Code]],Locaties[[#All],[Code]:[Postcode]],5,FALSE)</f>
        <v>2716 BG</v>
      </c>
      <c r="E888" s="435" t="str">
        <f>VLOOKUP(Ruimtestaat[[#This Row],[Code]],Locaties[#All],6,FALSE)</f>
        <v>Zoetermeer</v>
      </c>
      <c r="F888" s="450" t="s">
        <v>2059</v>
      </c>
      <c r="G888" s="330" t="s">
        <v>1678</v>
      </c>
      <c r="H888" s="330" t="s">
        <v>1762</v>
      </c>
      <c r="I888" s="450" t="s">
        <v>2064</v>
      </c>
      <c r="J888" s="330">
        <v>5</v>
      </c>
      <c r="K888" s="450" t="str">
        <f>VLOOKUP(Ruimtestaat[[#This Row],[Ruimte code]],Ruimtegroepen[[#All],[Code]:[Ruimte omschrijving]],2,FALSE)</f>
        <v>Sanitair</v>
      </c>
      <c r="L888" s="330" t="s">
        <v>101</v>
      </c>
      <c r="M888" s="437" t="s">
        <v>1816</v>
      </c>
      <c r="N888" s="439">
        <v>7</v>
      </c>
      <c r="O888" s="439"/>
      <c r="P888" s="439"/>
      <c r="Q888" s="439"/>
      <c r="R888" s="440" t="str">
        <f>VLOOKUP(Ruimtestaat[[#This Row],[Ruimte code]],Ruimtegroepen[],4,FALSE)</f>
        <v>Sa</v>
      </c>
      <c r="S888" s="434">
        <v>41</v>
      </c>
      <c r="T888" s="434" t="s">
        <v>2</v>
      </c>
      <c r="U888" s="453">
        <f>IF(S888&gt;0,IF(RIGHT(Ruimtestaat[[#This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88" s="434">
        <f>IF(U888&gt;0,VLOOKUP($J888,Ruimtegroepen[],3,FALSE)*VLOOKUP($L888,Vloersoorten[],3,FALSE)*VLOOKUP($T888,Frequenties[],3,FALSE)*VLOOKUP($A888,Locaties[],3,FALSE),0)</f>
        <v>0</v>
      </c>
      <c r="W888" s="434">
        <f>Ruimtestaat[[#This Row],[Uitvoeringen werkdagen]]*Ruimtestaat[[#This Row],[Oppervlak (netto)]]</f>
        <v>1435</v>
      </c>
      <c r="X888" s="441">
        <f>IF(V888&gt;0,Ruimtestaat[[#This Row],[Prest. (m2 /jaar) werkdagen]]/Ruimtestaat[[#This Row],[Norm (m2/uur) werkdagen]],0)</f>
        <v>0</v>
      </c>
      <c r="Y888" s="442">
        <f>Ruimtestaat[[#This Row],[Uitvoeringen werkdagen]]*Ruimtestaat[[#This Row],[Gedeeltelijk]]</f>
        <v>0</v>
      </c>
      <c r="Z888" s="443" t="e">
        <f>IF(U888&gt;0,Ruimtestaat[[#This Row],[Prest. (m2 / jaar) werkdagen gedeeld]]/Ruimtestaat[[#This Row],[Norm (m2/uur) werkdagen]],0)</f>
        <v>#DIV/0!</v>
      </c>
      <c r="AA888" s="441" t="e">
        <f>Ruimtestaat[[#This Row],[uren / jaar werkdagen gedeeld]]*Tariefsopbouw!$E$35</f>
        <v>#DIV/0!</v>
      </c>
      <c r="AB888" s="441">
        <f>Ruimtestaat[[#This Row],[Uitvoeringen werkdagen]]*Ruimtestaat[[#This Row],[BSO]]</f>
        <v>0</v>
      </c>
      <c r="AC888" s="443" t="e">
        <f>IF(U888&gt;0,Ruimtestaat[[#This Row],[Prest. (m2 / jaar) werkdagen BSO]]/Ruimtestaat[[#This Row],[Norm (m2/uur) werkdagen]],0)</f>
        <v>#DIV/0!</v>
      </c>
      <c r="AD888" s="443" t="e">
        <f>Ruimtestaat[[#This Row],[uren / jaar werkdagen BSO]]*Tariefsopbouw!$E$35</f>
        <v>#DIV/0!</v>
      </c>
      <c r="AE888" s="444">
        <f>Ruimtestaat[[#This Row],[uren / jaar werkdagen]]*Tariefsopbouw!$E$35</f>
        <v>0</v>
      </c>
      <c r="AF888" s="454"/>
      <c r="AG888" s="455">
        <f>IF(Ruimtestaat[[#This Row],[Frequentie weekend]]&gt;0,VALUE(LEFT(AF888,1))*S888,0)</f>
        <v>0</v>
      </c>
      <c r="AH888" s="455">
        <f>IF($AG888&gt;0,VLOOKUP($J888,Ruimtegroepen[],3,FALSE)*VLOOKUP($L888,Vloersoorten[],3,FALSE)*VLOOKUP($AF888,Frequenties[],3,FALSE)*VLOOKUP(#REF!,Locaties[],3,FALSE),0)</f>
        <v>0</v>
      </c>
      <c r="AI888" s="434">
        <f>Ruimtestaat[[#This Row],[Uitvoeringen weekend]]*Ruimtestaat[[#This Row],[Oppervlak (netto)]]</f>
        <v>0</v>
      </c>
      <c r="AJ888" s="434">
        <f>IF(AH888&gt;0,Ruimtestaat[[#This Row],[Prest. (m2 /jaar) weekend]]/Ruimtestaat[[#This Row],[Norm (m2/uur) weekend]],0)</f>
        <v>0</v>
      </c>
      <c r="AK888" s="444">
        <f>Ruimtestaat[[#This Row],[uren / jaar weekend]]*Tariefsopbouw!$D$40</f>
        <v>0</v>
      </c>
      <c r="AL888" s="441">
        <f>Ruimtestaat[[#This Row],[Prest. (m2 /jaar) weekend]]+Ruimtestaat[[#This Row],[Prest. (m2 /jaar) werkdagen]]</f>
        <v>1435</v>
      </c>
      <c r="AM888" s="441">
        <f>Ruimtestaat[[#This Row],[uren / jaar weekend]]+Ruimtestaat[[#This Row],[uren / jaar werkdagen]]</f>
        <v>0</v>
      </c>
      <c r="AN888" s="446">
        <f>Ruimtestaat[[#This Row],[kosten / jaar weekend]]+Ruimtestaat[[#This Row],[kosten / jaar werkdagen]]</f>
        <v>0</v>
      </c>
      <c r="AO888" s="446"/>
      <c r="AP888" s="446" t="str">
        <f>IF(Ruimtestaat[[#This Row],[Frequentie werkdagen]]="","",_xlfn.CONCAT(Ruimtestaat[[#This Row],[Ruimte code]],"-",Ruimtestaat[[#This Row],[Frequentie werkdagen]]," ",Ruimtestaat[[#This Row],[Vloer code]]))</f>
        <v>5-5w S</v>
      </c>
      <c r="AQ888" s="448" t="str">
        <f>_xlfn.IFNA(VLOOKUP($AP888,Programma!$F$3:$G$1101,2,0),"")</f>
        <v>_</v>
      </c>
      <c r="AR888" s="448" t="str">
        <f>_xlfn.IFNA(VLOOKUP($AP888,Programma!$F$3:$H$1101,3,0),"")</f>
        <v>_</v>
      </c>
      <c r="AS888" s="448" t="str">
        <f>_xlfn.IFNA(VLOOKUP($AP888,Programma!$F$3:$I$1101,4,0),"")</f>
        <v>_</v>
      </c>
      <c r="AT888" s="448" t="str">
        <f>_xlfn.IFNA(VLOOKUP($AP888,Programma!$F$3:$J$1101,5,0),"")</f>
        <v>4w</v>
      </c>
      <c r="AU888" s="448" t="str">
        <f>_xlfn.IFNA(VLOOKUP($AP888,Programma!$F$3:$K$1101,6,0),"")</f>
        <v>1w</v>
      </c>
      <c r="AV888" s="448" t="str">
        <f>_xlfn.IFNA(VLOOKUP($AP888,Programma!$F$3:$L$1101,7,0),"")</f>
        <v>_</v>
      </c>
      <c r="AW888" s="448" t="str">
        <f>_xlfn.IFNA(VLOOKUP($AP888,Programma!$F$3:$M$1101,8,0),"")</f>
        <v>_</v>
      </c>
      <c r="AX888" s="448" t="str">
        <f>_xlfn.IFNA(VLOOKUP($AP888,Programma!$F$3:$N$1101,9,0),"")</f>
        <v>_</v>
      </c>
      <c r="AY888" s="448" t="str">
        <f>_xlfn.IFNA(VLOOKUP($AP888,Programma!$F$3:$O$1101,10,0),"")</f>
        <v>_</v>
      </c>
      <c r="AZ888" s="448" t="str">
        <f>_xlfn.IFNA(VLOOKUP($AP888,Programma!$F$3:$P$1101,11,0),"")</f>
        <v>_</v>
      </c>
      <c r="BA888" s="448" t="str">
        <f>_xlfn.IFNA(VLOOKUP($AP888,Programma!$F$3:$Q$1101,12,0),"")</f>
        <v>_</v>
      </c>
      <c r="BB888" s="448" t="str">
        <f>_xlfn.IFNA(VLOOKUP($AP888,Programma!$F$3:$R$1101,13,0),"")</f>
        <v>_</v>
      </c>
      <c r="BC888" s="448" t="str">
        <f>_xlfn.IFNA(VLOOKUP($AP888,Programma!$F$3:$S$1101,14,0),"")</f>
        <v>_</v>
      </c>
      <c r="BD888" s="448" t="str">
        <f>_xlfn.IFNA(VLOOKUP($AP888,Programma!$F$3:$T$1101,15,0),"")</f>
        <v>_</v>
      </c>
      <c r="BE888" s="448" t="str">
        <f>_xlfn.IFNA(VLOOKUP($AP888,Programma!$F$3:$U$1101,16,0),"")</f>
        <v>_</v>
      </c>
      <c r="BF888" s="448" t="str">
        <f>_xlfn.IFNA(VLOOKUP($AP888,Programma!$F$3:$V$1101,17,0),"")</f>
        <v>_</v>
      </c>
      <c r="BG888" s="448" t="str">
        <f>_xlfn.IFNA(VLOOKUP($AP888,Programma!$F$3:$W$1101,18,0),"")</f>
        <v>4w</v>
      </c>
      <c r="BH888" s="448" t="str">
        <f>_xlfn.IFNA(VLOOKUP($AP888,Programma!$F$3:$X$1101,19,0),"")</f>
        <v>1w</v>
      </c>
      <c r="BI888" s="448" t="str">
        <f>_xlfn.IFNA(VLOOKUP($AP888,Programma!$F$3:$Y$1101,20,0),"")</f>
        <v>_</v>
      </c>
      <c r="BJ888" s="449"/>
      <c r="BK888" s="446" t="str">
        <f>IF(Ruimtestaat[[#This Row],[Frequentie weekend]]="","",_xlfn.CONCAT(Ruimtestaat[[#This Row],[Ruimte code]],"-",Ruimtestaat[[#This Row],[Frequentie weekend]]," ",Ruimtestaat[[#This Row],[Vloer code]]))</f>
        <v/>
      </c>
      <c r="BL888" s="448" t="str">
        <f>_xlfn.IFNA(VLOOKUP($BK888,Programma!$F$3:$G$1101,2,0),"")</f>
        <v/>
      </c>
      <c r="BM888" s="448" t="str">
        <f>_xlfn.IFNA(VLOOKUP($BK888,Programma!$F$3:$H$1101,3,0),"")</f>
        <v/>
      </c>
      <c r="BN888" s="448" t="str">
        <f>_xlfn.IFNA(VLOOKUP($BK888,Programma!$F$3:$I$1101,4,0),"")</f>
        <v/>
      </c>
      <c r="BO888" s="448" t="str">
        <f>_xlfn.IFNA(VLOOKUP($BK888,Programma!$F$3:$J$1101,5,0),"")</f>
        <v/>
      </c>
      <c r="BP888" s="448" t="str">
        <f>_xlfn.IFNA(VLOOKUP($BK888,Programma!$F$3:$K$1101,6,0),"")</f>
        <v/>
      </c>
      <c r="BQ888" s="448" t="str">
        <f>_xlfn.IFNA(VLOOKUP($BK888,Programma!$F$3:$L$1101,7,0),"")</f>
        <v/>
      </c>
      <c r="BR888" s="448" t="str">
        <f>_xlfn.IFNA(VLOOKUP($BK888,Programma!$F$3:$M$1101,8,0),"")</f>
        <v/>
      </c>
      <c r="BS888" s="448" t="str">
        <f>_xlfn.IFNA(VLOOKUP($BK888,Programma!$F$3:$N$1101,9,0),"")</f>
        <v/>
      </c>
      <c r="BT888" s="448" t="str">
        <f>_xlfn.IFNA(VLOOKUP($BK888,Programma!$F$3:$O$1101,10,0),"")</f>
        <v/>
      </c>
      <c r="BU888" s="448" t="str">
        <f>_xlfn.IFNA(VLOOKUP($BK888,Programma!$F$3:$P$1101,11,0),"")</f>
        <v/>
      </c>
      <c r="BV888" s="448" t="str">
        <f>_xlfn.IFNA(VLOOKUP($BK888,Programma!$F$3:$Q$1101,12,0),"")</f>
        <v/>
      </c>
      <c r="BW888" s="448" t="str">
        <f>_xlfn.IFNA(VLOOKUP($BK888,Programma!$F$3:$R$1101,13,0),"")</f>
        <v/>
      </c>
      <c r="BX888" s="448" t="str">
        <f>_xlfn.IFNA(VLOOKUP($BK888,Programma!$F$3:$S$1101,14,0),"")</f>
        <v/>
      </c>
      <c r="BY888" s="448" t="str">
        <f>_xlfn.IFNA(VLOOKUP($BK888,Programma!$F$3:$T$1101,15,0),"")</f>
        <v/>
      </c>
      <c r="BZ888" s="448" t="str">
        <f>_xlfn.IFNA(VLOOKUP($BK888,Programma!$F$3:$U$1101,16,0),"")</f>
        <v/>
      </c>
      <c r="CA888" s="448" t="str">
        <f>_xlfn.IFNA(VLOOKUP($BK888,Programma!$F$3:$V$1101,17,0),"")</f>
        <v/>
      </c>
      <c r="CB888" s="448" t="str">
        <f>_xlfn.IFNA(VLOOKUP($BK888,Programma!$F$3:$W$1101,18,0),"")</f>
        <v/>
      </c>
      <c r="CC888" s="448" t="str">
        <f>_xlfn.IFNA(VLOOKUP($BK888,Programma!$F$3:$X$1101,19,0),"")</f>
        <v/>
      </c>
      <c r="CD888" s="448" t="str">
        <f>_xlfn.IFNA(VLOOKUP($BK888,Programma!$F$3:$Y$1101,20,0),"")</f>
        <v/>
      </c>
    </row>
    <row r="889" spans="1:82" ht="15" customHeight="1">
      <c r="A889" s="327">
        <v>25</v>
      </c>
      <c r="B889" s="435" t="str">
        <f>VLOOKUP(Ruimtestaat[[#This Row],[Code]],Locaties[[Code]:[Locatie]],2,FALSE)</f>
        <v>IKC De Piramide</v>
      </c>
      <c r="C889" s="435" t="str">
        <f>VLOOKUP(Ruimtestaat[[#This Row],[Code]],Locaties[[#All],[Code]:[Adres]],4,FALSE)</f>
        <v>Fivelingo 84</v>
      </c>
      <c r="D889" s="435" t="str">
        <f>VLOOKUP(Ruimtestaat[[#This Row],[Code]],Locaties[[#All],[Code]:[Postcode]],5,FALSE)</f>
        <v>2716 BG</v>
      </c>
      <c r="E889" s="435" t="str">
        <f>VLOOKUP(Ruimtestaat[[#This Row],[Code]],Locaties[#All],6,FALSE)</f>
        <v>Zoetermeer</v>
      </c>
      <c r="F889" s="450" t="s">
        <v>2059</v>
      </c>
      <c r="G889" s="330" t="s">
        <v>1769</v>
      </c>
      <c r="H889" s="330" t="s">
        <v>1707</v>
      </c>
      <c r="I889" s="450" t="s">
        <v>2038</v>
      </c>
      <c r="J889" s="330">
        <v>10</v>
      </c>
      <c r="K889" s="450" t="str">
        <f>VLOOKUP(Ruimtestaat[[#This Row],[Ruimte code]],Ruimtegroepen[[#All],[Code]:[Ruimte omschrijving]],2,FALSE)</f>
        <v>Trappenhuizen/lift</v>
      </c>
      <c r="L889" s="330" t="s">
        <v>101</v>
      </c>
      <c r="M889" s="437" t="s">
        <v>2103</v>
      </c>
      <c r="N889" s="439">
        <v>10</v>
      </c>
      <c r="O889" s="439"/>
      <c r="P889" s="439"/>
      <c r="Q889" s="439"/>
      <c r="R889" s="440" t="str">
        <f>VLOOKUP(Ruimtestaat[[#This Row],[Ruimte code]],Ruimtegroepen[],4,FALSE)</f>
        <v>Ve</v>
      </c>
      <c r="S889" s="434">
        <v>41</v>
      </c>
      <c r="T889" s="434" t="s">
        <v>2</v>
      </c>
      <c r="U889" s="453">
        <f>IF(S889&gt;0,IF(RIGHT(Ruimtestaat[[#This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89" s="434">
        <f>IF(U889&gt;0,VLOOKUP($J889,Ruimtegroepen[],3,FALSE)*VLOOKUP($L889,Vloersoorten[],3,FALSE)*VLOOKUP($T889,Frequenties[],3,FALSE)*VLOOKUP($A889,Locaties[],3,FALSE),0)</f>
        <v>0</v>
      </c>
      <c r="W889" s="434">
        <f>Ruimtestaat[[#This Row],[Uitvoeringen werkdagen]]*Ruimtestaat[[#This Row],[Oppervlak (netto)]]</f>
        <v>2050</v>
      </c>
      <c r="X889" s="441">
        <f>IF(V889&gt;0,Ruimtestaat[[#This Row],[Prest. (m2 /jaar) werkdagen]]/Ruimtestaat[[#This Row],[Norm (m2/uur) werkdagen]],0)</f>
        <v>0</v>
      </c>
      <c r="Y889" s="442">
        <f>Ruimtestaat[[#This Row],[Uitvoeringen werkdagen]]*Ruimtestaat[[#This Row],[Gedeeltelijk]]</f>
        <v>0</v>
      </c>
      <c r="Z889" s="443" t="e">
        <f>IF(U889&gt;0,Ruimtestaat[[#This Row],[Prest. (m2 / jaar) werkdagen gedeeld]]/Ruimtestaat[[#This Row],[Norm (m2/uur) werkdagen]],0)</f>
        <v>#DIV/0!</v>
      </c>
      <c r="AA889" s="441" t="e">
        <f>Ruimtestaat[[#This Row],[uren / jaar werkdagen gedeeld]]*Tariefsopbouw!$E$35</f>
        <v>#DIV/0!</v>
      </c>
      <c r="AB889" s="441">
        <f>Ruimtestaat[[#This Row],[Uitvoeringen werkdagen]]*Ruimtestaat[[#This Row],[BSO]]</f>
        <v>0</v>
      </c>
      <c r="AC889" s="443" t="e">
        <f>IF(U889&gt;0,Ruimtestaat[[#This Row],[Prest. (m2 / jaar) werkdagen BSO]]/Ruimtestaat[[#This Row],[Norm (m2/uur) werkdagen]],0)</f>
        <v>#DIV/0!</v>
      </c>
      <c r="AD889" s="443" t="e">
        <f>Ruimtestaat[[#This Row],[uren / jaar werkdagen BSO]]*Tariefsopbouw!$E$35</f>
        <v>#DIV/0!</v>
      </c>
      <c r="AE889" s="444">
        <f>Ruimtestaat[[#This Row],[uren / jaar werkdagen]]*Tariefsopbouw!$E$35</f>
        <v>0</v>
      </c>
      <c r="AF889" s="454"/>
      <c r="AG889" s="455">
        <f>IF(Ruimtestaat[[#This Row],[Frequentie weekend]]&gt;0,VALUE(LEFT(AF889,1))*S889,0)</f>
        <v>0</v>
      </c>
      <c r="AH889" s="455">
        <f>IF($AG889&gt;0,VLOOKUP($J889,Ruimtegroepen[],3,FALSE)*VLOOKUP($L889,Vloersoorten[],3,FALSE)*VLOOKUP($AF889,Frequenties[],3,FALSE)*VLOOKUP(#REF!,Locaties[],3,FALSE),0)</f>
        <v>0</v>
      </c>
      <c r="AI889" s="434">
        <f>Ruimtestaat[[#This Row],[Uitvoeringen weekend]]*Ruimtestaat[[#This Row],[Oppervlak (netto)]]</f>
        <v>0</v>
      </c>
      <c r="AJ889" s="434">
        <f>IF(AH889&gt;0,Ruimtestaat[[#This Row],[Prest. (m2 /jaar) weekend]]/Ruimtestaat[[#This Row],[Norm (m2/uur) weekend]],0)</f>
        <v>0</v>
      </c>
      <c r="AK889" s="444">
        <f>Ruimtestaat[[#This Row],[uren / jaar weekend]]*Tariefsopbouw!$D$40</f>
        <v>0</v>
      </c>
      <c r="AL889" s="441">
        <f>Ruimtestaat[[#This Row],[Prest. (m2 /jaar) weekend]]+Ruimtestaat[[#This Row],[Prest. (m2 /jaar) werkdagen]]</f>
        <v>2050</v>
      </c>
      <c r="AM889" s="441">
        <f>Ruimtestaat[[#This Row],[uren / jaar weekend]]+Ruimtestaat[[#This Row],[uren / jaar werkdagen]]</f>
        <v>0</v>
      </c>
      <c r="AN889" s="446">
        <f>Ruimtestaat[[#This Row],[kosten / jaar weekend]]+Ruimtestaat[[#This Row],[kosten / jaar werkdagen]]</f>
        <v>0</v>
      </c>
      <c r="AO889" s="446"/>
      <c r="AP889" s="446" t="str">
        <f>IF(Ruimtestaat[[#This Row],[Frequentie werkdagen]]="","",_xlfn.CONCAT(Ruimtestaat[[#This Row],[Ruimte code]],"-",Ruimtestaat[[#This Row],[Frequentie werkdagen]]," ",Ruimtestaat[[#This Row],[Vloer code]]))</f>
        <v>10-5w S</v>
      </c>
      <c r="AQ889" s="448" t="str">
        <f>_xlfn.IFNA(VLOOKUP($AP889,Programma!$F$3:$G$1101,2,0),"")</f>
        <v>_</v>
      </c>
      <c r="AR889" s="448" t="str">
        <f>_xlfn.IFNA(VLOOKUP($AP889,Programma!$F$3:$H$1101,3,0),"")</f>
        <v>_</v>
      </c>
      <c r="AS889" s="448" t="str">
        <f>_xlfn.IFNA(VLOOKUP($AP889,Programma!$F$3:$I$1101,4,0),"")</f>
        <v>4w</v>
      </c>
      <c r="AT889" s="448" t="str">
        <f>_xlfn.IFNA(VLOOKUP($AP889,Programma!$F$3:$J$1101,5,0),"")</f>
        <v>1w</v>
      </c>
      <c r="AU889" s="448" t="str">
        <f>_xlfn.IFNA(VLOOKUP($AP889,Programma!$F$3:$K$1101,6,0),"")</f>
        <v>4j</v>
      </c>
      <c r="AV889" s="448" t="str">
        <f>_xlfn.IFNA(VLOOKUP($AP889,Programma!$F$3:$L$1101,7,0),"")</f>
        <v>_</v>
      </c>
      <c r="AW889" s="448" t="str">
        <f>_xlfn.IFNA(VLOOKUP($AP889,Programma!$F$3:$M$1101,8,0),"")</f>
        <v>_</v>
      </c>
      <c r="AX889" s="448" t="str">
        <f>_xlfn.IFNA(VLOOKUP($AP889,Programma!$F$3:$N$1101,9,0),"")</f>
        <v>_</v>
      </c>
      <c r="AY889" s="448" t="str">
        <f>_xlfn.IFNA(VLOOKUP($AP889,Programma!$F$3:$O$1101,10,0),"")</f>
        <v>5w</v>
      </c>
      <c r="AZ889" s="448" t="str">
        <f>_xlfn.IFNA(VLOOKUP($AP889,Programma!$F$3:$P$1101,11,0),"")</f>
        <v>5w</v>
      </c>
      <c r="BA889" s="448" t="str">
        <f>_xlfn.IFNA(VLOOKUP($AP889,Programma!$F$3:$Q$1101,12,0),"")</f>
        <v>1w</v>
      </c>
      <c r="BB889" s="448" t="str">
        <f>_xlfn.IFNA(VLOOKUP($AP889,Programma!$F$3:$R$1101,13,0),"")</f>
        <v>1w</v>
      </c>
      <c r="BC889" s="448" t="str">
        <f>_xlfn.IFNA(VLOOKUP($AP889,Programma!$F$3:$S$1101,14,0),"")</f>
        <v>1m</v>
      </c>
      <c r="BD889" s="448" t="str">
        <f>_xlfn.IFNA(VLOOKUP($AP889,Programma!$F$3:$T$1101,15,0),"")</f>
        <v>2j</v>
      </c>
      <c r="BE889" s="448" t="str">
        <f>_xlfn.IFNA(VLOOKUP($AP889,Programma!$F$3:$U$1101,16,0),"")</f>
        <v>1j</v>
      </c>
      <c r="BF889" s="448" t="str">
        <f>_xlfn.IFNA(VLOOKUP($AP889,Programma!$F$3:$V$1101,17,0),"")</f>
        <v>_</v>
      </c>
      <c r="BG889" s="448" t="str">
        <f>_xlfn.IFNA(VLOOKUP($AP889,Programma!$F$3:$W$1101,18,0),"")</f>
        <v>_</v>
      </c>
      <c r="BH889" s="448" t="str">
        <f>_xlfn.IFNA(VLOOKUP($AP889,Programma!$F$3:$X$1101,19,0),"")</f>
        <v>_</v>
      </c>
      <c r="BI889" s="448" t="str">
        <f>_xlfn.IFNA(VLOOKUP($AP889,Programma!$F$3:$Y$1101,20,0),"")</f>
        <v>_</v>
      </c>
      <c r="BJ889" s="449"/>
      <c r="BK889" s="446" t="str">
        <f>IF(Ruimtestaat[[#This Row],[Frequentie weekend]]="","",_xlfn.CONCAT(Ruimtestaat[[#This Row],[Ruimte code]],"-",Ruimtestaat[[#This Row],[Frequentie weekend]]," ",Ruimtestaat[[#This Row],[Vloer code]]))</f>
        <v/>
      </c>
      <c r="BL889" s="448" t="str">
        <f>_xlfn.IFNA(VLOOKUP($BK889,Programma!$F$3:$G$1101,2,0),"")</f>
        <v/>
      </c>
      <c r="BM889" s="448" t="str">
        <f>_xlfn.IFNA(VLOOKUP($BK889,Programma!$F$3:$H$1101,3,0),"")</f>
        <v/>
      </c>
      <c r="BN889" s="448" t="str">
        <f>_xlfn.IFNA(VLOOKUP($BK889,Programma!$F$3:$I$1101,4,0),"")</f>
        <v/>
      </c>
      <c r="BO889" s="448" t="str">
        <f>_xlfn.IFNA(VLOOKUP($BK889,Programma!$F$3:$J$1101,5,0),"")</f>
        <v/>
      </c>
      <c r="BP889" s="448" t="str">
        <f>_xlfn.IFNA(VLOOKUP($BK889,Programma!$F$3:$K$1101,6,0),"")</f>
        <v/>
      </c>
      <c r="BQ889" s="448" t="str">
        <f>_xlfn.IFNA(VLOOKUP($BK889,Programma!$F$3:$L$1101,7,0),"")</f>
        <v/>
      </c>
      <c r="BR889" s="448" t="str">
        <f>_xlfn.IFNA(VLOOKUP($BK889,Programma!$F$3:$M$1101,8,0),"")</f>
        <v/>
      </c>
      <c r="BS889" s="448" t="str">
        <f>_xlfn.IFNA(VLOOKUP($BK889,Programma!$F$3:$N$1101,9,0),"")</f>
        <v/>
      </c>
      <c r="BT889" s="448" t="str">
        <f>_xlfn.IFNA(VLOOKUP($BK889,Programma!$F$3:$O$1101,10,0),"")</f>
        <v/>
      </c>
      <c r="BU889" s="448" t="str">
        <f>_xlfn.IFNA(VLOOKUP($BK889,Programma!$F$3:$P$1101,11,0),"")</f>
        <v/>
      </c>
      <c r="BV889" s="448" t="str">
        <f>_xlfn.IFNA(VLOOKUP($BK889,Programma!$F$3:$Q$1101,12,0),"")</f>
        <v/>
      </c>
      <c r="BW889" s="448" t="str">
        <f>_xlfn.IFNA(VLOOKUP($BK889,Programma!$F$3:$R$1101,13,0),"")</f>
        <v/>
      </c>
      <c r="BX889" s="448" t="str">
        <f>_xlfn.IFNA(VLOOKUP($BK889,Programma!$F$3:$S$1101,14,0),"")</f>
        <v/>
      </c>
      <c r="BY889" s="448" t="str">
        <f>_xlfn.IFNA(VLOOKUP($BK889,Programma!$F$3:$T$1101,15,0),"")</f>
        <v/>
      </c>
      <c r="BZ889" s="448" t="str">
        <f>_xlfn.IFNA(VLOOKUP($BK889,Programma!$F$3:$U$1101,16,0),"")</f>
        <v/>
      </c>
      <c r="CA889" s="448" t="str">
        <f>_xlfn.IFNA(VLOOKUP($BK889,Programma!$F$3:$V$1101,17,0),"")</f>
        <v/>
      </c>
      <c r="CB889" s="448" t="str">
        <f>_xlfn.IFNA(VLOOKUP($BK889,Programma!$F$3:$W$1101,18,0),"")</f>
        <v/>
      </c>
      <c r="CC889" s="448" t="str">
        <f>_xlfn.IFNA(VLOOKUP($BK889,Programma!$F$3:$X$1101,19,0),"")</f>
        <v/>
      </c>
      <c r="CD889" s="448" t="str">
        <f>_xlfn.IFNA(VLOOKUP($BK889,Programma!$F$3:$Y$1101,20,0),"")</f>
        <v/>
      </c>
    </row>
    <row r="890" spans="1:82" ht="15" customHeight="1">
      <c r="A890" s="327">
        <v>25</v>
      </c>
      <c r="B890" s="435" t="str">
        <f>VLOOKUP(Ruimtestaat[[#This Row],[Code]],Locaties[[Code]:[Locatie]],2,FALSE)</f>
        <v>IKC De Piramide</v>
      </c>
      <c r="C890" s="435" t="str">
        <f>VLOOKUP(Ruimtestaat[[#This Row],[Code]],Locaties[[#All],[Code]:[Adres]],4,FALSE)</f>
        <v>Fivelingo 84</v>
      </c>
      <c r="D890" s="435" t="str">
        <f>VLOOKUP(Ruimtestaat[[#This Row],[Code]],Locaties[[#All],[Code]:[Postcode]],5,FALSE)</f>
        <v>2716 BG</v>
      </c>
      <c r="E890" s="435" t="str">
        <f>VLOOKUP(Ruimtestaat[[#This Row],[Code]],Locaties[#All],6,FALSE)</f>
        <v>Zoetermeer</v>
      </c>
      <c r="F890" s="450" t="s">
        <v>2059</v>
      </c>
      <c r="G890" s="330" t="s">
        <v>1769</v>
      </c>
      <c r="H890" s="330" t="s">
        <v>2068</v>
      </c>
      <c r="I890" s="450" t="s">
        <v>2069</v>
      </c>
      <c r="J890" s="330">
        <v>6</v>
      </c>
      <c r="K890" s="450" t="str">
        <f>VLOOKUP(Ruimtestaat[[#This Row],[Ruimte code]],Ruimtegroepen[[#All],[Code]:[Ruimte omschrijving]],2,FALSE)</f>
        <v>Gangen/hallen</v>
      </c>
      <c r="L890" s="330" t="s">
        <v>101</v>
      </c>
      <c r="M890" s="437" t="s">
        <v>2103</v>
      </c>
      <c r="N890" s="439">
        <v>16</v>
      </c>
      <c r="O890" s="439"/>
      <c r="P890" s="439"/>
      <c r="Q890" s="439"/>
      <c r="R890" s="440" t="str">
        <f>VLOOKUP(Ruimtestaat[[#This Row],[Ruimte code]],Ruimtegroepen[],4,FALSE)</f>
        <v>Ve</v>
      </c>
      <c r="S890" s="434">
        <v>41</v>
      </c>
      <c r="T890" s="434" t="s">
        <v>2</v>
      </c>
      <c r="U890" s="453">
        <f>IF(S890&gt;0,IF(RIGHT(Ruimtestaat[[#This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90" s="434">
        <f>IF(U890&gt;0,VLOOKUP($J890,Ruimtegroepen[],3,FALSE)*VLOOKUP($L890,Vloersoorten[],3,FALSE)*VLOOKUP($T890,Frequenties[],3,FALSE)*VLOOKUP($A890,Locaties[],3,FALSE),0)</f>
        <v>0</v>
      </c>
      <c r="W890" s="434">
        <f>Ruimtestaat[[#This Row],[Uitvoeringen werkdagen]]*Ruimtestaat[[#This Row],[Oppervlak (netto)]]</f>
        <v>3280</v>
      </c>
      <c r="X890" s="441">
        <f>IF(V890&gt;0,Ruimtestaat[[#This Row],[Prest. (m2 /jaar) werkdagen]]/Ruimtestaat[[#This Row],[Norm (m2/uur) werkdagen]],0)</f>
        <v>0</v>
      </c>
      <c r="Y890" s="442">
        <f>Ruimtestaat[[#This Row],[Uitvoeringen werkdagen]]*Ruimtestaat[[#This Row],[Gedeeltelijk]]</f>
        <v>0</v>
      </c>
      <c r="Z890" s="443" t="e">
        <f>IF(U890&gt;0,Ruimtestaat[[#This Row],[Prest. (m2 / jaar) werkdagen gedeeld]]/Ruimtestaat[[#This Row],[Norm (m2/uur) werkdagen]],0)</f>
        <v>#DIV/0!</v>
      </c>
      <c r="AA890" s="441" t="e">
        <f>Ruimtestaat[[#This Row],[uren / jaar werkdagen gedeeld]]*Tariefsopbouw!$E$35</f>
        <v>#DIV/0!</v>
      </c>
      <c r="AB890" s="441">
        <f>Ruimtestaat[[#This Row],[Uitvoeringen werkdagen]]*Ruimtestaat[[#This Row],[BSO]]</f>
        <v>0</v>
      </c>
      <c r="AC890" s="443" t="e">
        <f>IF(U890&gt;0,Ruimtestaat[[#This Row],[Prest. (m2 / jaar) werkdagen BSO]]/Ruimtestaat[[#This Row],[Norm (m2/uur) werkdagen]],0)</f>
        <v>#DIV/0!</v>
      </c>
      <c r="AD890" s="443" t="e">
        <f>Ruimtestaat[[#This Row],[uren / jaar werkdagen BSO]]*Tariefsopbouw!$E$35</f>
        <v>#DIV/0!</v>
      </c>
      <c r="AE890" s="444">
        <f>Ruimtestaat[[#This Row],[uren / jaar werkdagen]]*Tariefsopbouw!$E$35</f>
        <v>0</v>
      </c>
      <c r="AF890" s="454"/>
      <c r="AG890" s="455">
        <f>IF(Ruimtestaat[[#This Row],[Frequentie weekend]]&gt;0,VALUE(LEFT(AF890,1))*S890,0)</f>
        <v>0</v>
      </c>
      <c r="AH890" s="455">
        <f>IF($AG890&gt;0,VLOOKUP($J890,Ruimtegroepen[],3,FALSE)*VLOOKUP($L890,Vloersoorten[],3,FALSE)*VLOOKUP($AF890,Frequenties[],3,FALSE)*VLOOKUP(#REF!,Locaties[],3,FALSE),0)</f>
        <v>0</v>
      </c>
      <c r="AI890" s="434">
        <f>Ruimtestaat[[#This Row],[Uitvoeringen weekend]]*Ruimtestaat[[#This Row],[Oppervlak (netto)]]</f>
        <v>0</v>
      </c>
      <c r="AJ890" s="434">
        <f>IF(AH890&gt;0,Ruimtestaat[[#This Row],[Prest. (m2 /jaar) weekend]]/Ruimtestaat[[#This Row],[Norm (m2/uur) weekend]],0)</f>
        <v>0</v>
      </c>
      <c r="AK890" s="444">
        <f>Ruimtestaat[[#This Row],[uren / jaar weekend]]*Tariefsopbouw!$D$40</f>
        <v>0</v>
      </c>
      <c r="AL890" s="441">
        <f>Ruimtestaat[[#This Row],[Prest. (m2 /jaar) weekend]]+Ruimtestaat[[#This Row],[Prest. (m2 /jaar) werkdagen]]</f>
        <v>3280</v>
      </c>
      <c r="AM890" s="441">
        <f>Ruimtestaat[[#This Row],[uren / jaar weekend]]+Ruimtestaat[[#This Row],[uren / jaar werkdagen]]</f>
        <v>0</v>
      </c>
      <c r="AN890" s="446">
        <f>Ruimtestaat[[#This Row],[kosten / jaar weekend]]+Ruimtestaat[[#This Row],[kosten / jaar werkdagen]]</f>
        <v>0</v>
      </c>
      <c r="AO890" s="446"/>
      <c r="AP890" s="446" t="str">
        <f>IF(Ruimtestaat[[#This Row],[Frequentie werkdagen]]="","",_xlfn.CONCAT(Ruimtestaat[[#This Row],[Ruimte code]],"-",Ruimtestaat[[#This Row],[Frequentie werkdagen]]," ",Ruimtestaat[[#This Row],[Vloer code]]))</f>
        <v>6-5w S</v>
      </c>
      <c r="AQ890" s="448" t="str">
        <f>_xlfn.IFNA(VLOOKUP($AP890,Programma!$F$3:$G$1101,2,0),"")</f>
        <v>_</v>
      </c>
      <c r="AR890" s="448" t="str">
        <f>_xlfn.IFNA(VLOOKUP($AP890,Programma!$F$3:$H$1101,3,0),"")</f>
        <v>_</v>
      </c>
      <c r="AS890" s="448" t="str">
        <f>_xlfn.IFNA(VLOOKUP($AP890,Programma!$F$3:$I$1101,4,0),"")</f>
        <v>5w</v>
      </c>
      <c r="AT890" s="448" t="str">
        <f>_xlfn.IFNA(VLOOKUP($AP890,Programma!$F$3:$J$1101,5,0),"")</f>
        <v>_</v>
      </c>
      <c r="AU890" s="448" t="str">
        <f>_xlfn.IFNA(VLOOKUP($AP890,Programma!$F$3:$K$1101,6,0),"")</f>
        <v>5w</v>
      </c>
      <c r="AV890" s="448" t="str">
        <f>_xlfn.IFNA(VLOOKUP($AP890,Programma!$F$3:$L$1101,7,0),"")</f>
        <v>_</v>
      </c>
      <c r="AW890" s="448" t="str">
        <f>_xlfn.IFNA(VLOOKUP($AP890,Programma!$F$3:$M$1101,8,0),"")</f>
        <v>_</v>
      </c>
      <c r="AX890" s="448" t="str">
        <f>_xlfn.IFNA(VLOOKUP($AP890,Programma!$F$3:$N$1101,9,0),"")</f>
        <v>_</v>
      </c>
      <c r="AY890" s="448" t="str">
        <f>_xlfn.IFNA(VLOOKUP($AP890,Programma!$F$3:$O$1101,10,0),"")</f>
        <v>5w</v>
      </c>
      <c r="AZ890" s="448" t="str">
        <f>_xlfn.IFNA(VLOOKUP($AP890,Programma!$F$3:$P$1101,11,0),"")</f>
        <v>5w</v>
      </c>
      <c r="BA890" s="448" t="str">
        <f>_xlfn.IFNA(VLOOKUP($AP890,Programma!$F$3:$Q$1101,12,0),"")</f>
        <v>1w</v>
      </c>
      <c r="BB890" s="448" t="str">
        <f>_xlfn.IFNA(VLOOKUP($AP890,Programma!$F$3:$R$1101,13,0),"")</f>
        <v>1w</v>
      </c>
      <c r="BC890" s="448" t="str">
        <f>_xlfn.IFNA(VLOOKUP($AP890,Programma!$F$3:$S$1101,14,0),"")</f>
        <v>1m</v>
      </c>
      <c r="BD890" s="448" t="str">
        <f>_xlfn.IFNA(VLOOKUP($AP890,Programma!$F$3:$T$1101,15,0),"")</f>
        <v>2j</v>
      </c>
      <c r="BE890" s="448" t="str">
        <f>_xlfn.IFNA(VLOOKUP($AP890,Programma!$F$3:$U$1101,16,0),"")</f>
        <v>1j</v>
      </c>
      <c r="BF890" s="448" t="str">
        <f>_xlfn.IFNA(VLOOKUP($AP890,Programma!$F$3:$V$1101,17,0),"")</f>
        <v>_</v>
      </c>
      <c r="BG890" s="448" t="str">
        <f>_xlfn.IFNA(VLOOKUP($AP890,Programma!$F$3:$W$1101,18,0),"")</f>
        <v>_</v>
      </c>
      <c r="BH890" s="448" t="str">
        <f>_xlfn.IFNA(VLOOKUP($AP890,Programma!$F$3:$X$1101,19,0),"")</f>
        <v>_</v>
      </c>
      <c r="BI890" s="448" t="str">
        <f>_xlfn.IFNA(VLOOKUP($AP890,Programma!$F$3:$Y$1101,20,0),"")</f>
        <v>_</v>
      </c>
      <c r="BJ890" s="449"/>
      <c r="BK890" s="446" t="str">
        <f>IF(Ruimtestaat[[#This Row],[Frequentie weekend]]="","",_xlfn.CONCAT(Ruimtestaat[[#This Row],[Ruimte code]],"-",Ruimtestaat[[#This Row],[Frequentie weekend]]," ",Ruimtestaat[[#This Row],[Vloer code]]))</f>
        <v/>
      </c>
      <c r="BL890" s="448" t="str">
        <f>_xlfn.IFNA(VLOOKUP($BK890,Programma!$F$3:$G$1101,2,0),"")</f>
        <v/>
      </c>
      <c r="BM890" s="448" t="str">
        <f>_xlfn.IFNA(VLOOKUP($BK890,Programma!$F$3:$H$1101,3,0),"")</f>
        <v/>
      </c>
      <c r="BN890" s="448" t="str">
        <f>_xlfn.IFNA(VLOOKUP($BK890,Programma!$F$3:$I$1101,4,0),"")</f>
        <v/>
      </c>
      <c r="BO890" s="448" t="str">
        <f>_xlfn.IFNA(VLOOKUP($BK890,Programma!$F$3:$J$1101,5,0),"")</f>
        <v/>
      </c>
      <c r="BP890" s="448" t="str">
        <f>_xlfn.IFNA(VLOOKUP($BK890,Programma!$F$3:$K$1101,6,0),"")</f>
        <v/>
      </c>
      <c r="BQ890" s="448" t="str">
        <f>_xlfn.IFNA(VLOOKUP($BK890,Programma!$F$3:$L$1101,7,0),"")</f>
        <v/>
      </c>
      <c r="BR890" s="448" t="str">
        <f>_xlfn.IFNA(VLOOKUP($BK890,Programma!$F$3:$M$1101,8,0),"")</f>
        <v/>
      </c>
      <c r="BS890" s="448" t="str">
        <f>_xlfn.IFNA(VLOOKUP($BK890,Programma!$F$3:$N$1101,9,0),"")</f>
        <v/>
      </c>
      <c r="BT890" s="448" t="str">
        <f>_xlfn.IFNA(VLOOKUP($BK890,Programma!$F$3:$O$1101,10,0),"")</f>
        <v/>
      </c>
      <c r="BU890" s="448" t="str">
        <f>_xlfn.IFNA(VLOOKUP($BK890,Programma!$F$3:$P$1101,11,0),"")</f>
        <v/>
      </c>
      <c r="BV890" s="448" t="str">
        <f>_xlfn.IFNA(VLOOKUP($BK890,Programma!$F$3:$Q$1101,12,0),"")</f>
        <v/>
      </c>
      <c r="BW890" s="448" t="str">
        <f>_xlfn.IFNA(VLOOKUP($BK890,Programma!$F$3:$R$1101,13,0),"")</f>
        <v/>
      </c>
      <c r="BX890" s="448" t="str">
        <f>_xlfn.IFNA(VLOOKUP($BK890,Programma!$F$3:$S$1101,14,0),"")</f>
        <v/>
      </c>
      <c r="BY890" s="448" t="str">
        <f>_xlfn.IFNA(VLOOKUP($BK890,Programma!$F$3:$T$1101,15,0),"")</f>
        <v/>
      </c>
      <c r="BZ890" s="448" t="str">
        <f>_xlfn.IFNA(VLOOKUP($BK890,Programma!$F$3:$U$1101,16,0),"")</f>
        <v/>
      </c>
      <c r="CA890" s="448" t="str">
        <f>_xlfn.IFNA(VLOOKUP($BK890,Programma!$F$3:$V$1101,17,0),"")</f>
        <v/>
      </c>
      <c r="CB890" s="448" t="str">
        <f>_xlfn.IFNA(VLOOKUP($BK890,Programma!$F$3:$W$1101,18,0),"")</f>
        <v/>
      </c>
      <c r="CC890" s="448" t="str">
        <f>_xlfn.IFNA(VLOOKUP($BK890,Programma!$F$3:$X$1101,19,0),"")</f>
        <v/>
      </c>
      <c r="CD890" s="448" t="str">
        <f>_xlfn.IFNA(VLOOKUP($BK890,Programma!$F$3:$Y$1101,20,0),"")</f>
        <v/>
      </c>
    </row>
    <row r="891" spans="1:82" ht="15" customHeight="1">
      <c r="A891" s="327">
        <v>25</v>
      </c>
      <c r="B891" s="435" t="str">
        <f>VLOOKUP(Ruimtestaat[[#This Row],[Code]],Locaties[[Code]:[Locatie]],2,FALSE)</f>
        <v>IKC De Piramide</v>
      </c>
      <c r="C891" s="435" t="str">
        <f>VLOOKUP(Ruimtestaat[[#This Row],[Code]],Locaties[[#All],[Code]:[Adres]],4,FALSE)</f>
        <v>Fivelingo 84</v>
      </c>
      <c r="D891" s="435" t="str">
        <f>VLOOKUP(Ruimtestaat[[#This Row],[Code]],Locaties[[#All],[Code]:[Postcode]],5,FALSE)</f>
        <v>2716 BG</v>
      </c>
      <c r="E891" s="435" t="str">
        <f>VLOOKUP(Ruimtestaat[[#This Row],[Code]],Locaties[#All],6,FALSE)</f>
        <v>Zoetermeer</v>
      </c>
      <c r="F891" s="450" t="s">
        <v>2059</v>
      </c>
      <c r="G891" s="330" t="s">
        <v>1769</v>
      </c>
      <c r="H891" s="330" t="s">
        <v>1753</v>
      </c>
      <c r="I891" s="450" t="s">
        <v>2064</v>
      </c>
      <c r="J891" s="330">
        <v>5</v>
      </c>
      <c r="K891" s="450" t="str">
        <f>VLOOKUP(Ruimtestaat[[#This Row],[Ruimte code]],Ruimtegroepen[[#All],[Code]:[Ruimte omschrijving]],2,FALSE)</f>
        <v>Sanitair</v>
      </c>
      <c r="L891" s="330" t="s">
        <v>101</v>
      </c>
      <c r="M891" s="437" t="s">
        <v>1816</v>
      </c>
      <c r="N891" s="439">
        <v>7</v>
      </c>
      <c r="O891" s="439"/>
      <c r="P891" s="439"/>
      <c r="Q891" s="439"/>
      <c r="R891" s="440" t="str">
        <f>VLOOKUP(Ruimtestaat[[#This Row],[Ruimte code]],Ruimtegroepen[],4,FALSE)</f>
        <v>Sa</v>
      </c>
      <c r="S891" s="434">
        <v>41</v>
      </c>
      <c r="T891" s="434" t="s">
        <v>2</v>
      </c>
      <c r="U891" s="453">
        <f>IF(S891&gt;0,IF(RIGHT(Ruimtestaat[[#This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91" s="434">
        <f>IF(U891&gt;0,VLOOKUP($J891,Ruimtegroepen[],3,FALSE)*VLOOKUP($L891,Vloersoorten[],3,FALSE)*VLOOKUP($T891,Frequenties[],3,FALSE)*VLOOKUP($A891,Locaties[],3,FALSE),0)</f>
        <v>0</v>
      </c>
      <c r="W891" s="434">
        <f>Ruimtestaat[[#This Row],[Uitvoeringen werkdagen]]*Ruimtestaat[[#This Row],[Oppervlak (netto)]]</f>
        <v>1435</v>
      </c>
      <c r="X891" s="441">
        <f>IF(V891&gt;0,Ruimtestaat[[#This Row],[Prest. (m2 /jaar) werkdagen]]/Ruimtestaat[[#This Row],[Norm (m2/uur) werkdagen]],0)</f>
        <v>0</v>
      </c>
      <c r="Y891" s="442">
        <f>Ruimtestaat[[#This Row],[Uitvoeringen werkdagen]]*Ruimtestaat[[#This Row],[Gedeeltelijk]]</f>
        <v>0</v>
      </c>
      <c r="Z891" s="443" t="e">
        <f>IF(U891&gt;0,Ruimtestaat[[#This Row],[Prest. (m2 / jaar) werkdagen gedeeld]]/Ruimtestaat[[#This Row],[Norm (m2/uur) werkdagen]],0)</f>
        <v>#DIV/0!</v>
      </c>
      <c r="AA891" s="441" t="e">
        <f>Ruimtestaat[[#This Row],[uren / jaar werkdagen gedeeld]]*Tariefsopbouw!$E$35</f>
        <v>#DIV/0!</v>
      </c>
      <c r="AB891" s="441">
        <f>Ruimtestaat[[#This Row],[Uitvoeringen werkdagen]]*Ruimtestaat[[#This Row],[BSO]]</f>
        <v>0</v>
      </c>
      <c r="AC891" s="443" t="e">
        <f>IF(U891&gt;0,Ruimtestaat[[#This Row],[Prest. (m2 / jaar) werkdagen BSO]]/Ruimtestaat[[#This Row],[Norm (m2/uur) werkdagen]],0)</f>
        <v>#DIV/0!</v>
      </c>
      <c r="AD891" s="443" t="e">
        <f>Ruimtestaat[[#This Row],[uren / jaar werkdagen BSO]]*Tariefsopbouw!$E$35</f>
        <v>#DIV/0!</v>
      </c>
      <c r="AE891" s="444">
        <f>Ruimtestaat[[#This Row],[uren / jaar werkdagen]]*Tariefsopbouw!$E$35</f>
        <v>0</v>
      </c>
      <c r="AF891" s="454"/>
      <c r="AG891" s="455">
        <f>IF(Ruimtestaat[[#This Row],[Frequentie weekend]]&gt;0,VALUE(LEFT(AF891,1))*S891,0)</f>
        <v>0</v>
      </c>
      <c r="AH891" s="455">
        <f>IF($AG891&gt;0,VLOOKUP($J891,Ruimtegroepen[],3,FALSE)*VLOOKUP($L891,Vloersoorten[],3,FALSE)*VLOOKUP($AF891,Frequenties[],3,FALSE)*VLOOKUP(#REF!,Locaties[],3,FALSE),0)</f>
        <v>0</v>
      </c>
      <c r="AI891" s="434">
        <f>Ruimtestaat[[#This Row],[Uitvoeringen weekend]]*Ruimtestaat[[#This Row],[Oppervlak (netto)]]</f>
        <v>0</v>
      </c>
      <c r="AJ891" s="434">
        <f>IF(AH891&gt;0,Ruimtestaat[[#This Row],[Prest. (m2 /jaar) weekend]]/Ruimtestaat[[#This Row],[Norm (m2/uur) weekend]],0)</f>
        <v>0</v>
      </c>
      <c r="AK891" s="444">
        <f>Ruimtestaat[[#This Row],[uren / jaar weekend]]*Tariefsopbouw!$D$40</f>
        <v>0</v>
      </c>
      <c r="AL891" s="441">
        <f>Ruimtestaat[[#This Row],[Prest. (m2 /jaar) weekend]]+Ruimtestaat[[#This Row],[Prest. (m2 /jaar) werkdagen]]</f>
        <v>1435</v>
      </c>
      <c r="AM891" s="441">
        <f>Ruimtestaat[[#This Row],[uren / jaar weekend]]+Ruimtestaat[[#This Row],[uren / jaar werkdagen]]</f>
        <v>0</v>
      </c>
      <c r="AN891" s="446">
        <f>Ruimtestaat[[#This Row],[kosten / jaar weekend]]+Ruimtestaat[[#This Row],[kosten / jaar werkdagen]]</f>
        <v>0</v>
      </c>
      <c r="AO891" s="446"/>
      <c r="AP891" s="446" t="str">
        <f>IF(Ruimtestaat[[#This Row],[Frequentie werkdagen]]="","",_xlfn.CONCAT(Ruimtestaat[[#This Row],[Ruimte code]],"-",Ruimtestaat[[#This Row],[Frequentie werkdagen]]," ",Ruimtestaat[[#This Row],[Vloer code]]))</f>
        <v>5-5w S</v>
      </c>
      <c r="AQ891" s="448" t="str">
        <f>_xlfn.IFNA(VLOOKUP($AP891,Programma!$F$3:$G$1101,2,0),"")</f>
        <v>_</v>
      </c>
      <c r="AR891" s="448" t="str">
        <f>_xlfn.IFNA(VLOOKUP($AP891,Programma!$F$3:$H$1101,3,0),"")</f>
        <v>_</v>
      </c>
      <c r="AS891" s="448" t="str">
        <f>_xlfn.IFNA(VLOOKUP($AP891,Programma!$F$3:$I$1101,4,0),"")</f>
        <v>_</v>
      </c>
      <c r="AT891" s="448" t="str">
        <f>_xlfn.IFNA(VLOOKUP($AP891,Programma!$F$3:$J$1101,5,0),"")</f>
        <v>4w</v>
      </c>
      <c r="AU891" s="448" t="str">
        <f>_xlfn.IFNA(VLOOKUP($AP891,Programma!$F$3:$K$1101,6,0),"")</f>
        <v>1w</v>
      </c>
      <c r="AV891" s="448" t="str">
        <f>_xlfn.IFNA(VLOOKUP($AP891,Programma!$F$3:$L$1101,7,0),"")</f>
        <v>_</v>
      </c>
      <c r="AW891" s="448" t="str">
        <f>_xlfn.IFNA(VLOOKUP($AP891,Programma!$F$3:$M$1101,8,0),"")</f>
        <v>_</v>
      </c>
      <c r="AX891" s="448" t="str">
        <f>_xlfn.IFNA(VLOOKUP($AP891,Programma!$F$3:$N$1101,9,0),"")</f>
        <v>_</v>
      </c>
      <c r="AY891" s="448" t="str">
        <f>_xlfn.IFNA(VLOOKUP($AP891,Programma!$F$3:$O$1101,10,0),"")</f>
        <v>_</v>
      </c>
      <c r="AZ891" s="448" t="str">
        <f>_xlfn.IFNA(VLOOKUP($AP891,Programma!$F$3:$P$1101,11,0),"")</f>
        <v>_</v>
      </c>
      <c r="BA891" s="448" t="str">
        <f>_xlfn.IFNA(VLOOKUP($AP891,Programma!$F$3:$Q$1101,12,0),"")</f>
        <v>_</v>
      </c>
      <c r="BB891" s="448" t="str">
        <f>_xlfn.IFNA(VLOOKUP($AP891,Programma!$F$3:$R$1101,13,0),"")</f>
        <v>_</v>
      </c>
      <c r="BC891" s="448" t="str">
        <f>_xlfn.IFNA(VLOOKUP($AP891,Programma!$F$3:$S$1101,14,0),"")</f>
        <v>_</v>
      </c>
      <c r="BD891" s="448" t="str">
        <f>_xlfn.IFNA(VLOOKUP($AP891,Programma!$F$3:$T$1101,15,0),"")</f>
        <v>_</v>
      </c>
      <c r="BE891" s="448" t="str">
        <f>_xlfn.IFNA(VLOOKUP($AP891,Programma!$F$3:$U$1101,16,0),"")</f>
        <v>_</v>
      </c>
      <c r="BF891" s="448" t="str">
        <f>_xlfn.IFNA(VLOOKUP($AP891,Programma!$F$3:$V$1101,17,0),"")</f>
        <v>_</v>
      </c>
      <c r="BG891" s="448" t="str">
        <f>_xlfn.IFNA(VLOOKUP($AP891,Programma!$F$3:$W$1101,18,0),"")</f>
        <v>4w</v>
      </c>
      <c r="BH891" s="448" t="str">
        <f>_xlfn.IFNA(VLOOKUP($AP891,Programma!$F$3:$X$1101,19,0),"")</f>
        <v>1w</v>
      </c>
      <c r="BI891" s="448" t="str">
        <f>_xlfn.IFNA(VLOOKUP($AP891,Programma!$F$3:$Y$1101,20,0),"")</f>
        <v>_</v>
      </c>
      <c r="BJ891" s="449"/>
      <c r="BK891" s="446" t="str">
        <f>IF(Ruimtestaat[[#This Row],[Frequentie weekend]]="","",_xlfn.CONCAT(Ruimtestaat[[#This Row],[Ruimte code]],"-",Ruimtestaat[[#This Row],[Frequentie weekend]]," ",Ruimtestaat[[#This Row],[Vloer code]]))</f>
        <v/>
      </c>
      <c r="BL891" s="448" t="str">
        <f>_xlfn.IFNA(VLOOKUP($BK891,Programma!$F$3:$G$1101,2,0),"")</f>
        <v/>
      </c>
      <c r="BM891" s="448" t="str">
        <f>_xlfn.IFNA(VLOOKUP($BK891,Programma!$F$3:$H$1101,3,0),"")</f>
        <v/>
      </c>
      <c r="BN891" s="448" t="str">
        <f>_xlfn.IFNA(VLOOKUP($BK891,Programma!$F$3:$I$1101,4,0),"")</f>
        <v/>
      </c>
      <c r="BO891" s="448" t="str">
        <f>_xlfn.IFNA(VLOOKUP($BK891,Programma!$F$3:$J$1101,5,0),"")</f>
        <v/>
      </c>
      <c r="BP891" s="448" t="str">
        <f>_xlfn.IFNA(VLOOKUP($BK891,Programma!$F$3:$K$1101,6,0),"")</f>
        <v/>
      </c>
      <c r="BQ891" s="448" t="str">
        <f>_xlfn.IFNA(VLOOKUP($BK891,Programma!$F$3:$L$1101,7,0),"")</f>
        <v/>
      </c>
      <c r="BR891" s="448" t="str">
        <f>_xlfn.IFNA(VLOOKUP($BK891,Programma!$F$3:$M$1101,8,0),"")</f>
        <v/>
      </c>
      <c r="BS891" s="448" t="str">
        <f>_xlfn.IFNA(VLOOKUP($BK891,Programma!$F$3:$N$1101,9,0),"")</f>
        <v/>
      </c>
      <c r="BT891" s="448" t="str">
        <f>_xlfn.IFNA(VLOOKUP($BK891,Programma!$F$3:$O$1101,10,0),"")</f>
        <v/>
      </c>
      <c r="BU891" s="448" t="str">
        <f>_xlfn.IFNA(VLOOKUP($BK891,Programma!$F$3:$P$1101,11,0),"")</f>
        <v/>
      </c>
      <c r="BV891" s="448" t="str">
        <f>_xlfn.IFNA(VLOOKUP($BK891,Programma!$F$3:$Q$1101,12,0),"")</f>
        <v/>
      </c>
      <c r="BW891" s="448" t="str">
        <f>_xlfn.IFNA(VLOOKUP($BK891,Programma!$F$3:$R$1101,13,0),"")</f>
        <v/>
      </c>
      <c r="BX891" s="448" t="str">
        <f>_xlfn.IFNA(VLOOKUP($BK891,Programma!$F$3:$S$1101,14,0),"")</f>
        <v/>
      </c>
      <c r="BY891" s="448" t="str">
        <f>_xlfn.IFNA(VLOOKUP($BK891,Programma!$F$3:$T$1101,15,0),"")</f>
        <v/>
      </c>
      <c r="BZ891" s="448" t="str">
        <f>_xlfn.IFNA(VLOOKUP($BK891,Programma!$F$3:$U$1101,16,0),"")</f>
        <v/>
      </c>
      <c r="CA891" s="448" t="str">
        <f>_xlfn.IFNA(VLOOKUP($BK891,Programma!$F$3:$V$1101,17,0),"")</f>
        <v/>
      </c>
      <c r="CB891" s="448" t="str">
        <f>_xlfn.IFNA(VLOOKUP($BK891,Programma!$F$3:$W$1101,18,0),"")</f>
        <v/>
      </c>
      <c r="CC891" s="448" t="str">
        <f>_xlfn.IFNA(VLOOKUP($BK891,Programma!$F$3:$X$1101,19,0),"")</f>
        <v/>
      </c>
      <c r="CD891" s="448" t="str">
        <f>_xlfn.IFNA(VLOOKUP($BK891,Programma!$F$3:$Y$1101,20,0),"")</f>
        <v/>
      </c>
    </row>
    <row r="892" spans="1:82" ht="15" customHeight="1">
      <c r="A892" s="327">
        <v>25</v>
      </c>
      <c r="B892" s="435" t="str">
        <f>VLOOKUP(Ruimtestaat[[#This Row],[Code]],Locaties[[Code]:[Locatie]],2,FALSE)</f>
        <v>IKC De Piramide</v>
      </c>
      <c r="C892" s="435" t="str">
        <f>VLOOKUP(Ruimtestaat[[#This Row],[Code]],Locaties[[#All],[Code]:[Adres]],4,FALSE)</f>
        <v>Fivelingo 84</v>
      </c>
      <c r="D892" s="435" t="str">
        <f>VLOOKUP(Ruimtestaat[[#This Row],[Code]],Locaties[[#All],[Code]:[Postcode]],5,FALSE)</f>
        <v>2716 BG</v>
      </c>
      <c r="E892" s="435" t="str">
        <f>VLOOKUP(Ruimtestaat[[#This Row],[Code]],Locaties[#All],6,FALSE)</f>
        <v>Zoetermeer</v>
      </c>
      <c r="F892" s="450" t="s">
        <v>2059</v>
      </c>
      <c r="G892" s="330" t="s">
        <v>1769</v>
      </c>
      <c r="H892" s="330" t="s">
        <v>1754</v>
      </c>
      <c r="I892" s="450" t="s">
        <v>2064</v>
      </c>
      <c r="J892" s="330">
        <v>5</v>
      </c>
      <c r="K892" s="450" t="str">
        <f>VLOOKUP(Ruimtestaat[[#This Row],[Ruimte code]],Ruimtegroepen[[#All],[Code]:[Ruimte omschrijving]],2,FALSE)</f>
        <v>Sanitair</v>
      </c>
      <c r="L892" s="330" t="s">
        <v>101</v>
      </c>
      <c r="M892" s="437" t="s">
        <v>1816</v>
      </c>
      <c r="N892" s="439">
        <v>11</v>
      </c>
      <c r="O892" s="439"/>
      <c r="P892" s="439"/>
      <c r="Q892" s="439"/>
      <c r="R892" s="440" t="str">
        <f>VLOOKUP(Ruimtestaat[[#This Row],[Ruimte code]],Ruimtegroepen[],4,FALSE)</f>
        <v>Sa</v>
      </c>
      <c r="S892" s="434">
        <v>41</v>
      </c>
      <c r="T892" s="434" t="s">
        <v>2</v>
      </c>
      <c r="U892" s="453">
        <f>IF(S892&gt;0,IF(RIGHT(Ruimtestaat[[#This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92" s="434">
        <f>IF(U892&gt;0,VLOOKUP($J892,Ruimtegroepen[],3,FALSE)*VLOOKUP($L892,Vloersoorten[],3,FALSE)*VLOOKUP($T892,Frequenties[],3,FALSE)*VLOOKUP($A892,Locaties[],3,FALSE),0)</f>
        <v>0</v>
      </c>
      <c r="W892" s="434">
        <f>Ruimtestaat[[#This Row],[Uitvoeringen werkdagen]]*Ruimtestaat[[#This Row],[Oppervlak (netto)]]</f>
        <v>2255</v>
      </c>
      <c r="X892" s="441">
        <f>IF(V892&gt;0,Ruimtestaat[[#This Row],[Prest. (m2 /jaar) werkdagen]]/Ruimtestaat[[#This Row],[Norm (m2/uur) werkdagen]],0)</f>
        <v>0</v>
      </c>
      <c r="Y892" s="442">
        <f>Ruimtestaat[[#This Row],[Uitvoeringen werkdagen]]*Ruimtestaat[[#This Row],[Gedeeltelijk]]</f>
        <v>0</v>
      </c>
      <c r="Z892" s="443" t="e">
        <f>IF(U892&gt;0,Ruimtestaat[[#This Row],[Prest. (m2 / jaar) werkdagen gedeeld]]/Ruimtestaat[[#This Row],[Norm (m2/uur) werkdagen]],0)</f>
        <v>#DIV/0!</v>
      </c>
      <c r="AA892" s="441" t="e">
        <f>Ruimtestaat[[#This Row],[uren / jaar werkdagen gedeeld]]*Tariefsopbouw!$E$35</f>
        <v>#DIV/0!</v>
      </c>
      <c r="AB892" s="441">
        <f>Ruimtestaat[[#This Row],[Uitvoeringen werkdagen]]*Ruimtestaat[[#This Row],[BSO]]</f>
        <v>0</v>
      </c>
      <c r="AC892" s="443" t="e">
        <f>IF(U892&gt;0,Ruimtestaat[[#This Row],[Prest. (m2 / jaar) werkdagen BSO]]/Ruimtestaat[[#This Row],[Norm (m2/uur) werkdagen]],0)</f>
        <v>#DIV/0!</v>
      </c>
      <c r="AD892" s="443" t="e">
        <f>Ruimtestaat[[#This Row],[uren / jaar werkdagen BSO]]*Tariefsopbouw!$E$35</f>
        <v>#DIV/0!</v>
      </c>
      <c r="AE892" s="444">
        <f>Ruimtestaat[[#This Row],[uren / jaar werkdagen]]*Tariefsopbouw!$E$35</f>
        <v>0</v>
      </c>
      <c r="AF892" s="454"/>
      <c r="AG892" s="455">
        <f>IF(Ruimtestaat[[#This Row],[Frequentie weekend]]&gt;0,VALUE(LEFT(AF892,1))*S892,0)</f>
        <v>0</v>
      </c>
      <c r="AH892" s="455">
        <f>IF($AG892&gt;0,VLOOKUP($J892,Ruimtegroepen[],3,FALSE)*VLOOKUP($L892,Vloersoorten[],3,FALSE)*VLOOKUP($AF892,Frequenties[],3,FALSE)*VLOOKUP(#REF!,Locaties[],3,FALSE),0)</f>
        <v>0</v>
      </c>
      <c r="AI892" s="434">
        <f>Ruimtestaat[[#This Row],[Uitvoeringen weekend]]*Ruimtestaat[[#This Row],[Oppervlak (netto)]]</f>
        <v>0</v>
      </c>
      <c r="AJ892" s="434">
        <f>IF(AH892&gt;0,Ruimtestaat[[#This Row],[Prest. (m2 /jaar) weekend]]/Ruimtestaat[[#This Row],[Norm (m2/uur) weekend]],0)</f>
        <v>0</v>
      </c>
      <c r="AK892" s="444">
        <f>Ruimtestaat[[#This Row],[uren / jaar weekend]]*Tariefsopbouw!$D$40</f>
        <v>0</v>
      </c>
      <c r="AL892" s="441">
        <f>Ruimtestaat[[#This Row],[Prest. (m2 /jaar) weekend]]+Ruimtestaat[[#This Row],[Prest. (m2 /jaar) werkdagen]]</f>
        <v>2255</v>
      </c>
      <c r="AM892" s="441">
        <f>Ruimtestaat[[#This Row],[uren / jaar weekend]]+Ruimtestaat[[#This Row],[uren / jaar werkdagen]]</f>
        <v>0</v>
      </c>
      <c r="AN892" s="446">
        <f>Ruimtestaat[[#This Row],[kosten / jaar weekend]]+Ruimtestaat[[#This Row],[kosten / jaar werkdagen]]</f>
        <v>0</v>
      </c>
      <c r="AO892" s="446"/>
      <c r="AP892" s="446" t="str">
        <f>IF(Ruimtestaat[[#This Row],[Frequentie werkdagen]]="","",_xlfn.CONCAT(Ruimtestaat[[#This Row],[Ruimte code]],"-",Ruimtestaat[[#This Row],[Frequentie werkdagen]]," ",Ruimtestaat[[#This Row],[Vloer code]]))</f>
        <v>5-5w S</v>
      </c>
      <c r="AQ892" s="448" t="str">
        <f>_xlfn.IFNA(VLOOKUP($AP892,Programma!$F$3:$G$1101,2,0),"")</f>
        <v>_</v>
      </c>
      <c r="AR892" s="448" t="str">
        <f>_xlfn.IFNA(VLOOKUP($AP892,Programma!$F$3:$H$1101,3,0),"")</f>
        <v>_</v>
      </c>
      <c r="AS892" s="448" t="str">
        <f>_xlfn.IFNA(VLOOKUP($AP892,Programma!$F$3:$I$1101,4,0),"")</f>
        <v>_</v>
      </c>
      <c r="AT892" s="448" t="str">
        <f>_xlfn.IFNA(VLOOKUP($AP892,Programma!$F$3:$J$1101,5,0),"")</f>
        <v>4w</v>
      </c>
      <c r="AU892" s="448" t="str">
        <f>_xlfn.IFNA(VLOOKUP($AP892,Programma!$F$3:$K$1101,6,0),"")</f>
        <v>1w</v>
      </c>
      <c r="AV892" s="448" t="str">
        <f>_xlfn.IFNA(VLOOKUP($AP892,Programma!$F$3:$L$1101,7,0),"")</f>
        <v>_</v>
      </c>
      <c r="AW892" s="448" t="str">
        <f>_xlfn.IFNA(VLOOKUP($AP892,Programma!$F$3:$M$1101,8,0),"")</f>
        <v>_</v>
      </c>
      <c r="AX892" s="448" t="str">
        <f>_xlfn.IFNA(VLOOKUP($AP892,Programma!$F$3:$N$1101,9,0),"")</f>
        <v>_</v>
      </c>
      <c r="AY892" s="448" t="str">
        <f>_xlfn.IFNA(VLOOKUP($AP892,Programma!$F$3:$O$1101,10,0),"")</f>
        <v>_</v>
      </c>
      <c r="AZ892" s="448" t="str">
        <f>_xlfn.IFNA(VLOOKUP($AP892,Programma!$F$3:$P$1101,11,0),"")</f>
        <v>_</v>
      </c>
      <c r="BA892" s="448" t="str">
        <f>_xlfn.IFNA(VLOOKUP($AP892,Programma!$F$3:$Q$1101,12,0),"")</f>
        <v>_</v>
      </c>
      <c r="BB892" s="448" t="str">
        <f>_xlfn.IFNA(VLOOKUP($AP892,Programma!$F$3:$R$1101,13,0),"")</f>
        <v>_</v>
      </c>
      <c r="BC892" s="448" t="str">
        <f>_xlfn.IFNA(VLOOKUP($AP892,Programma!$F$3:$S$1101,14,0),"")</f>
        <v>_</v>
      </c>
      <c r="BD892" s="448" t="str">
        <f>_xlfn.IFNA(VLOOKUP($AP892,Programma!$F$3:$T$1101,15,0),"")</f>
        <v>_</v>
      </c>
      <c r="BE892" s="448" t="str">
        <f>_xlfn.IFNA(VLOOKUP($AP892,Programma!$F$3:$U$1101,16,0),"")</f>
        <v>_</v>
      </c>
      <c r="BF892" s="448" t="str">
        <f>_xlfn.IFNA(VLOOKUP($AP892,Programma!$F$3:$V$1101,17,0),"")</f>
        <v>_</v>
      </c>
      <c r="BG892" s="448" t="str">
        <f>_xlfn.IFNA(VLOOKUP($AP892,Programma!$F$3:$W$1101,18,0),"")</f>
        <v>4w</v>
      </c>
      <c r="BH892" s="448" t="str">
        <f>_xlfn.IFNA(VLOOKUP($AP892,Programma!$F$3:$X$1101,19,0),"")</f>
        <v>1w</v>
      </c>
      <c r="BI892" s="448" t="str">
        <f>_xlfn.IFNA(VLOOKUP($AP892,Programma!$F$3:$Y$1101,20,0),"")</f>
        <v>_</v>
      </c>
      <c r="BJ892" s="449"/>
      <c r="BK892" s="446" t="str">
        <f>IF(Ruimtestaat[[#This Row],[Frequentie weekend]]="","",_xlfn.CONCAT(Ruimtestaat[[#This Row],[Ruimte code]],"-",Ruimtestaat[[#This Row],[Frequentie weekend]]," ",Ruimtestaat[[#This Row],[Vloer code]]))</f>
        <v/>
      </c>
      <c r="BL892" s="448" t="str">
        <f>_xlfn.IFNA(VLOOKUP($BK892,Programma!$F$3:$G$1101,2,0),"")</f>
        <v/>
      </c>
      <c r="BM892" s="448" t="str">
        <f>_xlfn.IFNA(VLOOKUP($BK892,Programma!$F$3:$H$1101,3,0),"")</f>
        <v/>
      </c>
      <c r="BN892" s="448" t="str">
        <f>_xlfn.IFNA(VLOOKUP($BK892,Programma!$F$3:$I$1101,4,0),"")</f>
        <v/>
      </c>
      <c r="BO892" s="448" t="str">
        <f>_xlfn.IFNA(VLOOKUP($BK892,Programma!$F$3:$J$1101,5,0),"")</f>
        <v/>
      </c>
      <c r="BP892" s="448" t="str">
        <f>_xlfn.IFNA(VLOOKUP($BK892,Programma!$F$3:$K$1101,6,0),"")</f>
        <v/>
      </c>
      <c r="BQ892" s="448" t="str">
        <f>_xlfn.IFNA(VLOOKUP($BK892,Programma!$F$3:$L$1101,7,0),"")</f>
        <v/>
      </c>
      <c r="BR892" s="448" t="str">
        <f>_xlfn.IFNA(VLOOKUP($BK892,Programma!$F$3:$M$1101,8,0),"")</f>
        <v/>
      </c>
      <c r="BS892" s="448" t="str">
        <f>_xlfn.IFNA(VLOOKUP($BK892,Programma!$F$3:$N$1101,9,0),"")</f>
        <v/>
      </c>
      <c r="BT892" s="448" t="str">
        <f>_xlfn.IFNA(VLOOKUP($BK892,Programma!$F$3:$O$1101,10,0),"")</f>
        <v/>
      </c>
      <c r="BU892" s="448" t="str">
        <f>_xlfn.IFNA(VLOOKUP($BK892,Programma!$F$3:$P$1101,11,0),"")</f>
        <v/>
      </c>
      <c r="BV892" s="448" t="str">
        <f>_xlfn.IFNA(VLOOKUP($BK892,Programma!$F$3:$Q$1101,12,0),"")</f>
        <v/>
      </c>
      <c r="BW892" s="448" t="str">
        <f>_xlfn.IFNA(VLOOKUP($BK892,Programma!$F$3:$R$1101,13,0),"")</f>
        <v/>
      </c>
      <c r="BX892" s="448" t="str">
        <f>_xlfn.IFNA(VLOOKUP($BK892,Programma!$F$3:$S$1101,14,0),"")</f>
        <v/>
      </c>
      <c r="BY892" s="448" t="str">
        <f>_xlfn.IFNA(VLOOKUP($BK892,Programma!$F$3:$T$1101,15,0),"")</f>
        <v/>
      </c>
      <c r="BZ892" s="448" t="str">
        <f>_xlfn.IFNA(VLOOKUP($BK892,Programma!$F$3:$U$1101,16,0),"")</f>
        <v/>
      </c>
      <c r="CA892" s="448" t="str">
        <f>_xlfn.IFNA(VLOOKUP($BK892,Programma!$F$3:$V$1101,17,0),"")</f>
        <v/>
      </c>
      <c r="CB892" s="448" t="str">
        <f>_xlfn.IFNA(VLOOKUP($BK892,Programma!$F$3:$W$1101,18,0),"")</f>
        <v/>
      </c>
      <c r="CC892" s="448" t="str">
        <f>_xlfn.IFNA(VLOOKUP($BK892,Programma!$F$3:$X$1101,19,0),"")</f>
        <v/>
      </c>
      <c r="CD892" s="448" t="str">
        <f>_xlfn.IFNA(VLOOKUP($BK892,Programma!$F$3:$Y$1101,20,0),"")</f>
        <v/>
      </c>
    </row>
    <row r="893" spans="1:82" ht="15" customHeight="1">
      <c r="A893" s="327">
        <v>25</v>
      </c>
      <c r="B893" s="435" t="str">
        <f>VLOOKUP(Ruimtestaat[[#This Row],[Code]],Locaties[[Code]:[Locatie]],2,FALSE)</f>
        <v>IKC De Piramide</v>
      </c>
      <c r="C893" s="435" t="str">
        <f>VLOOKUP(Ruimtestaat[[#This Row],[Code]],Locaties[[#All],[Code]:[Adres]],4,FALSE)</f>
        <v>Fivelingo 84</v>
      </c>
      <c r="D893" s="435" t="str">
        <f>VLOOKUP(Ruimtestaat[[#This Row],[Code]],Locaties[[#All],[Code]:[Postcode]],5,FALSE)</f>
        <v>2716 BG</v>
      </c>
      <c r="E893" s="435" t="str">
        <f>VLOOKUP(Ruimtestaat[[#This Row],[Code]],Locaties[#All],6,FALSE)</f>
        <v>Zoetermeer</v>
      </c>
      <c r="F893" s="450" t="s">
        <v>2059</v>
      </c>
      <c r="G893" s="330" t="s">
        <v>1769</v>
      </c>
      <c r="H893" s="330" t="s">
        <v>2070</v>
      </c>
      <c r="I893" s="450" t="s">
        <v>1708</v>
      </c>
      <c r="J893" s="330">
        <v>6</v>
      </c>
      <c r="K893" s="450" t="str">
        <f>VLOOKUP(Ruimtestaat[[#This Row],[Ruimte code]],Ruimtegroepen[[#All],[Code]:[Ruimte omschrijving]],2,FALSE)</f>
        <v>Gangen/hallen</v>
      </c>
      <c r="L893" s="330" t="s">
        <v>101</v>
      </c>
      <c r="M893" s="437" t="s">
        <v>1816</v>
      </c>
      <c r="N893" s="439">
        <v>156</v>
      </c>
      <c r="O893" s="439"/>
      <c r="P893" s="439"/>
      <c r="Q893" s="439"/>
      <c r="R893" s="440" t="str">
        <f>VLOOKUP(Ruimtestaat[[#This Row],[Ruimte code]],Ruimtegroepen[],4,FALSE)</f>
        <v>Ve</v>
      </c>
      <c r="S893" s="434">
        <v>41</v>
      </c>
      <c r="T893" s="434" t="s">
        <v>2</v>
      </c>
      <c r="U893" s="453">
        <f>IF(S893&gt;0,IF(RIGHT(Ruimtestaat[[#This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893" s="434">
        <f>IF(U893&gt;0,VLOOKUP($J893,Ruimtegroepen[],3,FALSE)*VLOOKUP($L893,Vloersoorten[],3,FALSE)*VLOOKUP($T893,Frequenties[],3,FALSE)*VLOOKUP($A893,Locaties[],3,FALSE),0)</f>
        <v>0</v>
      </c>
      <c r="W893" s="434">
        <f>Ruimtestaat[[#This Row],[Uitvoeringen werkdagen]]*Ruimtestaat[[#This Row],[Oppervlak (netto)]]</f>
        <v>31980</v>
      </c>
      <c r="X893" s="441">
        <f>IF(V893&gt;0,Ruimtestaat[[#This Row],[Prest. (m2 /jaar) werkdagen]]/Ruimtestaat[[#This Row],[Norm (m2/uur) werkdagen]],0)</f>
        <v>0</v>
      </c>
      <c r="Y893" s="442">
        <f>Ruimtestaat[[#This Row],[Uitvoeringen werkdagen]]*Ruimtestaat[[#This Row],[Gedeeltelijk]]</f>
        <v>0</v>
      </c>
      <c r="Z893" s="443" t="e">
        <f>IF(U893&gt;0,Ruimtestaat[[#This Row],[Prest. (m2 / jaar) werkdagen gedeeld]]/Ruimtestaat[[#This Row],[Norm (m2/uur) werkdagen]],0)</f>
        <v>#DIV/0!</v>
      </c>
      <c r="AA893" s="441" t="e">
        <f>Ruimtestaat[[#This Row],[uren / jaar werkdagen gedeeld]]*Tariefsopbouw!$E$35</f>
        <v>#DIV/0!</v>
      </c>
      <c r="AB893" s="441">
        <f>Ruimtestaat[[#This Row],[Uitvoeringen werkdagen]]*Ruimtestaat[[#This Row],[BSO]]</f>
        <v>0</v>
      </c>
      <c r="AC893" s="443" t="e">
        <f>IF(U893&gt;0,Ruimtestaat[[#This Row],[Prest. (m2 / jaar) werkdagen BSO]]/Ruimtestaat[[#This Row],[Norm (m2/uur) werkdagen]],0)</f>
        <v>#DIV/0!</v>
      </c>
      <c r="AD893" s="443" t="e">
        <f>Ruimtestaat[[#This Row],[uren / jaar werkdagen BSO]]*Tariefsopbouw!$E$35</f>
        <v>#DIV/0!</v>
      </c>
      <c r="AE893" s="444">
        <f>Ruimtestaat[[#This Row],[uren / jaar werkdagen]]*Tariefsopbouw!$E$35</f>
        <v>0</v>
      </c>
      <c r="AF893" s="454"/>
      <c r="AG893" s="455">
        <f>IF(Ruimtestaat[[#This Row],[Frequentie weekend]]&gt;0,VALUE(LEFT(AF893,1))*S893,0)</f>
        <v>0</v>
      </c>
      <c r="AH893" s="455">
        <f>IF($AG893&gt;0,VLOOKUP($J893,Ruimtegroepen[],3,FALSE)*VLOOKUP($L893,Vloersoorten[],3,FALSE)*VLOOKUP($AF893,Frequenties[],3,FALSE)*VLOOKUP(#REF!,Locaties[],3,FALSE),0)</f>
        <v>0</v>
      </c>
      <c r="AI893" s="434">
        <f>Ruimtestaat[[#This Row],[Uitvoeringen weekend]]*Ruimtestaat[[#This Row],[Oppervlak (netto)]]</f>
        <v>0</v>
      </c>
      <c r="AJ893" s="434">
        <f>IF(AH893&gt;0,Ruimtestaat[[#This Row],[Prest. (m2 /jaar) weekend]]/Ruimtestaat[[#This Row],[Norm (m2/uur) weekend]],0)</f>
        <v>0</v>
      </c>
      <c r="AK893" s="444">
        <f>Ruimtestaat[[#This Row],[uren / jaar weekend]]*Tariefsopbouw!$D$40</f>
        <v>0</v>
      </c>
      <c r="AL893" s="441">
        <f>Ruimtestaat[[#This Row],[Prest. (m2 /jaar) weekend]]+Ruimtestaat[[#This Row],[Prest. (m2 /jaar) werkdagen]]</f>
        <v>31980</v>
      </c>
      <c r="AM893" s="441">
        <f>Ruimtestaat[[#This Row],[uren / jaar weekend]]+Ruimtestaat[[#This Row],[uren / jaar werkdagen]]</f>
        <v>0</v>
      </c>
      <c r="AN893" s="446">
        <f>Ruimtestaat[[#This Row],[kosten / jaar weekend]]+Ruimtestaat[[#This Row],[kosten / jaar werkdagen]]</f>
        <v>0</v>
      </c>
      <c r="AO893" s="446"/>
      <c r="AP893" s="446" t="str">
        <f>IF(Ruimtestaat[[#This Row],[Frequentie werkdagen]]="","",_xlfn.CONCAT(Ruimtestaat[[#This Row],[Ruimte code]],"-",Ruimtestaat[[#This Row],[Frequentie werkdagen]]," ",Ruimtestaat[[#This Row],[Vloer code]]))</f>
        <v>6-5w S</v>
      </c>
      <c r="AQ893" s="448" t="str">
        <f>_xlfn.IFNA(VLOOKUP($AP893,Programma!$F$3:$G$1101,2,0),"")</f>
        <v>_</v>
      </c>
      <c r="AR893" s="448" t="str">
        <f>_xlfn.IFNA(VLOOKUP($AP893,Programma!$F$3:$H$1101,3,0),"")</f>
        <v>_</v>
      </c>
      <c r="AS893" s="448" t="str">
        <f>_xlfn.IFNA(VLOOKUP($AP893,Programma!$F$3:$I$1101,4,0),"")</f>
        <v>5w</v>
      </c>
      <c r="AT893" s="448" t="str">
        <f>_xlfn.IFNA(VLOOKUP($AP893,Programma!$F$3:$J$1101,5,0),"")</f>
        <v>_</v>
      </c>
      <c r="AU893" s="448" t="str">
        <f>_xlfn.IFNA(VLOOKUP($AP893,Programma!$F$3:$K$1101,6,0),"")</f>
        <v>5w</v>
      </c>
      <c r="AV893" s="448" t="str">
        <f>_xlfn.IFNA(VLOOKUP($AP893,Programma!$F$3:$L$1101,7,0),"")</f>
        <v>_</v>
      </c>
      <c r="AW893" s="448" t="str">
        <f>_xlfn.IFNA(VLOOKUP($AP893,Programma!$F$3:$M$1101,8,0),"")</f>
        <v>_</v>
      </c>
      <c r="AX893" s="448" t="str">
        <f>_xlfn.IFNA(VLOOKUP($AP893,Programma!$F$3:$N$1101,9,0),"")</f>
        <v>_</v>
      </c>
      <c r="AY893" s="448" t="str">
        <f>_xlfn.IFNA(VLOOKUP($AP893,Programma!$F$3:$O$1101,10,0),"")</f>
        <v>5w</v>
      </c>
      <c r="AZ893" s="448" t="str">
        <f>_xlfn.IFNA(VLOOKUP($AP893,Programma!$F$3:$P$1101,11,0),"")</f>
        <v>5w</v>
      </c>
      <c r="BA893" s="448" t="str">
        <f>_xlfn.IFNA(VLOOKUP($AP893,Programma!$F$3:$Q$1101,12,0),"")</f>
        <v>1w</v>
      </c>
      <c r="BB893" s="448" t="str">
        <f>_xlfn.IFNA(VLOOKUP($AP893,Programma!$F$3:$R$1101,13,0),"")</f>
        <v>1w</v>
      </c>
      <c r="BC893" s="448" t="str">
        <f>_xlfn.IFNA(VLOOKUP($AP893,Programma!$F$3:$S$1101,14,0),"")</f>
        <v>1m</v>
      </c>
      <c r="BD893" s="448" t="str">
        <f>_xlfn.IFNA(VLOOKUP($AP893,Programma!$F$3:$T$1101,15,0),"")</f>
        <v>2j</v>
      </c>
      <c r="BE893" s="448" t="str">
        <f>_xlfn.IFNA(VLOOKUP($AP893,Programma!$F$3:$U$1101,16,0),"")</f>
        <v>1j</v>
      </c>
      <c r="BF893" s="448" t="str">
        <f>_xlfn.IFNA(VLOOKUP($AP893,Programma!$F$3:$V$1101,17,0),"")</f>
        <v>_</v>
      </c>
      <c r="BG893" s="448" t="str">
        <f>_xlfn.IFNA(VLOOKUP($AP893,Programma!$F$3:$W$1101,18,0),"")</f>
        <v>_</v>
      </c>
      <c r="BH893" s="448" t="str">
        <f>_xlfn.IFNA(VLOOKUP($AP893,Programma!$F$3:$X$1101,19,0),"")</f>
        <v>_</v>
      </c>
      <c r="BI893" s="448" t="str">
        <f>_xlfn.IFNA(VLOOKUP($AP893,Programma!$F$3:$Y$1101,20,0),"")</f>
        <v>_</v>
      </c>
      <c r="BJ893" s="449"/>
      <c r="BK893" s="446" t="str">
        <f>IF(Ruimtestaat[[#This Row],[Frequentie weekend]]="","",_xlfn.CONCAT(Ruimtestaat[[#This Row],[Ruimte code]],"-",Ruimtestaat[[#This Row],[Frequentie weekend]]," ",Ruimtestaat[[#This Row],[Vloer code]]))</f>
        <v/>
      </c>
      <c r="BL893" s="448" t="str">
        <f>_xlfn.IFNA(VLOOKUP($BK893,Programma!$F$3:$G$1101,2,0),"")</f>
        <v/>
      </c>
      <c r="BM893" s="448" t="str">
        <f>_xlfn.IFNA(VLOOKUP($BK893,Programma!$F$3:$H$1101,3,0),"")</f>
        <v/>
      </c>
      <c r="BN893" s="448" t="str">
        <f>_xlfn.IFNA(VLOOKUP($BK893,Programma!$F$3:$I$1101,4,0),"")</f>
        <v/>
      </c>
      <c r="BO893" s="448" t="str">
        <f>_xlfn.IFNA(VLOOKUP($BK893,Programma!$F$3:$J$1101,5,0),"")</f>
        <v/>
      </c>
      <c r="BP893" s="448" t="str">
        <f>_xlfn.IFNA(VLOOKUP($BK893,Programma!$F$3:$K$1101,6,0),"")</f>
        <v/>
      </c>
      <c r="BQ893" s="448" t="str">
        <f>_xlfn.IFNA(VLOOKUP($BK893,Programma!$F$3:$L$1101,7,0),"")</f>
        <v/>
      </c>
      <c r="BR893" s="448" t="str">
        <f>_xlfn.IFNA(VLOOKUP($BK893,Programma!$F$3:$M$1101,8,0),"")</f>
        <v/>
      </c>
      <c r="BS893" s="448" t="str">
        <f>_xlfn.IFNA(VLOOKUP($BK893,Programma!$F$3:$N$1101,9,0),"")</f>
        <v/>
      </c>
      <c r="BT893" s="448" t="str">
        <f>_xlfn.IFNA(VLOOKUP($BK893,Programma!$F$3:$O$1101,10,0),"")</f>
        <v/>
      </c>
      <c r="BU893" s="448" t="str">
        <f>_xlfn.IFNA(VLOOKUP($BK893,Programma!$F$3:$P$1101,11,0),"")</f>
        <v/>
      </c>
      <c r="BV893" s="448" t="str">
        <f>_xlfn.IFNA(VLOOKUP($BK893,Programma!$F$3:$Q$1101,12,0),"")</f>
        <v/>
      </c>
      <c r="BW893" s="448" t="str">
        <f>_xlfn.IFNA(VLOOKUP($BK893,Programma!$F$3:$R$1101,13,0),"")</f>
        <v/>
      </c>
      <c r="BX893" s="448" t="str">
        <f>_xlfn.IFNA(VLOOKUP($BK893,Programma!$F$3:$S$1101,14,0),"")</f>
        <v/>
      </c>
      <c r="BY893" s="448" t="str">
        <f>_xlfn.IFNA(VLOOKUP($BK893,Programma!$F$3:$T$1101,15,0),"")</f>
        <v/>
      </c>
      <c r="BZ893" s="448" t="str">
        <f>_xlfn.IFNA(VLOOKUP($BK893,Programma!$F$3:$U$1101,16,0),"")</f>
        <v/>
      </c>
      <c r="CA893" s="448" t="str">
        <f>_xlfn.IFNA(VLOOKUP($BK893,Programma!$F$3:$V$1101,17,0),"")</f>
        <v/>
      </c>
      <c r="CB893" s="448" t="str">
        <f>_xlfn.IFNA(VLOOKUP($BK893,Programma!$F$3:$W$1101,18,0),"")</f>
        <v/>
      </c>
      <c r="CC893" s="448" t="str">
        <f>_xlfn.IFNA(VLOOKUP($BK893,Programma!$F$3:$X$1101,19,0),"")</f>
        <v/>
      </c>
      <c r="CD893" s="448" t="str">
        <f>_xlfn.IFNA(VLOOKUP($BK893,Programma!$F$3:$Y$1101,20,0),"")</f>
        <v/>
      </c>
    </row>
    <row r="894" spans="1:82" ht="15" customHeight="1">
      <c r="A894" s="327">
        <v>25</v>
      </c>
      <c r="B894" s="435" t="str">
        <f>VLOOKUP(Ruimtestaat[[#This Row],[Code]],Locaties[[Code]:[Locatie]],2,FALSE)</f>
        <v>IKC De Piramide</v>
      </c>
      <c r="C894" s="435" t="str">
        <f>VLOOKUP(Ruimtestaat[[#This Row],[Code]],Locaties[[#All],[Code]:[Adres]],4,FALSE)</f>
        <v>Fivelingo 84</v>
      </c>
      <c r="D894" s="435" t="str">
        <f>VLOOKUP(Ruimtestaat[[#This Row],[Code]],Locaties[[#All],[Code]:[Postcode]],5,FALSE)</f>
        <v>2716 BG</v>
      </c>
      <c r="E894" s="435" t="str">
        <f>VLOOKUP(Ruimtestaat[[#This Row],[Code]],Locaties[#All],6,FALSE)</f>
        <v>Zoetermeer</v>
      </c>
      <c r="F894" s="450" t="s">
        <v>2059</v>
      </c>
      <c r="G894" s="330" t="s">
        <v>1769</v>
      </c>
      <c r="H894" s="330" t="s">
        <v>1923</v>
      </c>
      <c r="I894" s="450" t="s">
        <v>1679</v>
      </c>
      <c r="J894" s="330">
        <v>16</v>
      </c>
      <c r="K894" s="450" t="str">
        <f>VLOOKUP(Ruimtestaat[[#This Row],[Ruimte code]],Ruimtegroepen[[#All],[Code]:[Ruimte omschrijving]],2,FALSE)</f>
        <v>Leslokalen</v>
      </c>
      <c r="L894" s="330" t="s">
        <v>101</v>
      </c>
      <c r="M894" s="437" t="s">
        <v>1816</v>
      </c>
      <c r="N894" s="439">
        <v>57</v>
      </c>
      <c r="O894" s="439"/>
      <c r="P894" s="439"/>
      <c r="Q894" s="439"/>
      <c r="R894" s="440" t="str">
        <f>VLOOKUP(Ruimtestaat[[#This Row],[Ruimte code]],Ruimtegroepen[],4,FALSE)</f>
        <v>Le</v>
      </c>
      <c r="S894" s="434">
        <v>40</v>
      </c>
      <c r="T894" s="434" t="s">
        <v>2</v>
      </c>
      <c r="U894" s="453">
        <f>IF(S894&gt;0,IF(RIGHT(Ruimtestaat[[#This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4" s="434">
        <f>IF(U894&gt;0,VLOOKUP($J894,Ruimtegroepen[],3,FALSE)*VLOOKUP($L894,Vloersoorten[],3,FALSE)*VLOOKUP($T894,Frequenties[],3,FALSE)*VLOOKUP($A894,Locaties[],3,FALSE),0)</f>
        <v>0</v>
      </c>
      <c r="W894" s="434">
        <f>Ruimtestaat[[#This Row],[Uitvoeringen werkdagen]]*Ruimtestaat[[#This Row],[Oppervlak (netto)]]</f>
        <v>11400</v>
      </c>
      <c r="X894" s="441">
        <f>IF(V894&gt;0,Ruimtestaat[[#This Row],[Prest. (m2 /jaar) werkdagen]]/Ruimtestaat[[#This Row],[Norm (m2/uur) werkdagen]],0)</f>
        <v>0</v>
      </c>
      <c r="Y894" s="442">
        <f>Ruimtestaat[[#This Row],[Uitvoeringen werkdagen]]*Ruimtestaat[[#This Row],[Gedeeltelijk]]</f>
        <v>0</v>
      </c>
      <c r="Z894" s="443" t="e">
        <f>IF(U894&gt;0,Ruimtestaat[[#This Row],[Prest. (m2 / jaar) werkdagen gedeeld]]/Ruimtestaat[[#This Row],[Norm (m2/uur) werkdagen]],0)</f>
        <v>#DIV/0!</v>
      </c>
      <c r="AA894" s="441" t="e">
        <f>Ruimtestaat[[#This Row],[uren / jaar werkdagen gedeeld]]*Tariefsopbouw!$E$35</f>
        <v>#DIV/0!</v>
      </c>
      <c r="AB894" s="441">
        <f>Ruimtestaat[[#This Row],[Uitvoeringen werkdagen]]*Ruimtestaat[[#This Row],[BSO]]</f>
        <v>0</v>
      </c>
      <c r="AC894" s="443" t="e">
        <f>IF(U894&gt;0,Ruimtestaat[[#This Row],[Prest. (m2 / jaar) werkdagen BSO]]/Ruimtestaat[[#This Row],[Norm (m2/uur) werkdagen]],0)</f>
        <v>#DIV/0!</v>
      </c>
      <c r="AD894" s="443" t="e">
        <f>Ruimtestaat[[#This Row],[uren / jaar werkdagen BSO]]*Tariefsopbouw!$E$35</f>
        <v>#DIV/0!</v>
      </c>
      <c r="AE894" s="444">
        <f>Ruimtestaat[[#This Row],[uren / jaar werkdagen]]*Tariefsopbouw!$E$35</f>
        <v>0</v>
      </c>
      <c r="AF894" s="454"/>
      <c r="AG894" s="455">
        <f>IF(Ruimtestaat[[#This Row],[Frequentie weekend]]&gt;0,VALUE(LEFT(AF894,1))*S894,0)</f>
        <v>0</v>
      </c>
      <c r="AH894" s="455">
        <f>IF($AG894&gt;0,VLOOKUP($J894,Ruimtegroepen[],3,FALSE)*VLOOKUP($L894,Vloersoorten[],3,FALSE)*VLOOKUP($AF894,Frequenties[],3,FALSE)*VLOOKUP(#REF!,Locaties[],3,FALSE),0)</f>
        <v>0</v>
      </c>
      <c r="AI894" s="434">
        <f>Ruimtestaat[[#This Row],[Uitvoeringen weekend]]*Ruimtestaat[[#This Row],[Oppervlak (netto)]]</f>
        <v>0</v>
      </c>
      <c r="AJ894" s="434">
        <f>IF(AH894&gt;0,Ruimtestaat[[#This Row],[Prest. (m2 /jaar) weekend]]/Ruimtestaat[[#This Row],[Norm (m2/uur) weekend]],0)</f>
        <v>0</v>
      </c>
      <c r="AK894" s="444">
        <f>Ruimtestaat[[#This Row],[uren / jaar weekend]]*Tariefsopbouw!$D$40</f>
        <v>0</v>
      </c>
      <c r="AL894" s="441">
        <f>Ruimtestaat[[#This Row],[Prest. (m2 /jaar) weekend]]+Ruimtestaat[[#This Row],[Prest. (m2 /jaar) werkdagen]]</f>
        <v>11400</v>
      </c>
      <c r="AM894" s="441">
        <f>Ruimtestaat[[#This Row],[uren / jaar weekend]]+Ruimtestaat[[#This Row],[uren / jaar werkdagen]]</f>
        <v>0</v>
      </c>
      <c r="AN894" s="446">
        <f>Ruimtestaat[[#This Row],[kosten / jaar weekend]]+Ruimtestaat[[#This Row],[kosten / jaar werkdagen]]</f>
        <v>0</v>
      </c>
      <c r="AO894" s="446"/>
      <c r="AP894" s="446" t="str">
        <f>IF(Ruimtestaat[[#This Row],[Frequentie werkdagen]]="","",_xlfn.CONCAT(Ruimtestaat[[#This Row],[Ruimte code]],"-",Ruimtestaat[[#This Row],[Frequentie werkdagen]]," ",Ruimtestaat[[#This Row],[Vloer code]]))</f>
        <v>16-5w S</v>
      </c>
      <c r="AQ894" s="448" t="str">
        <f>_xlfn.IFNA(VLOOKUP($AP894,Programma!$F$3:$G$1101,2,0),"")</f>
        <v>_</v>
      </c>
      <c r="AR894" s="448" t="str">
        <f>_xlfn.IFNA(VLOOKUP($AP894,Programma!$F$3:$H$1101,3,0),"")</f>
        <v>_</v>
      </c>
      <c r="AS894" s="448" t="str">
        <f>_xlfn.IFNA(VLOOKUP($AP894,Programma!$F$3:$I$1101,4,0),"")</f>
        <v>4w</v>
      </c>
      <c r="AT894" s="448" t="str">
        <f>_xlfn.IFNA(VLOOKUP($AP894,Programma!$F$3:$J$1101,5,0),"")</f>
        <v>1w</v>
      </c>
      <c r="AU894" s="448" t="str">
        <f>_xlfn.IFNA(VLOOKUP($AP894,Programma!$F$3:$K$1101,6,0),"")</f>
        <v>1m</v>
      </c>
      <c r="AV894" s="448" t="str">
        <f>_xlfn.IFNA(VLOOKUP($AP894,Programma!$F$3:$L$1101,7,0),"")</f>
        <v>_</v>
      </c>
      <c r="AW894" s="448" t="str">
        <f>_xlfn.IFNA(VLOOKUP($AP894,Programma!$F$3:$M$1101,8,0),"")</f>
        <v>_</v>
      </c>
      <c r="AX894" s="448" t="str">
        <f>_xlfn.IFNA(VLOOKUP($AP894,Programma!$F$3:$N$1101,9,0),"")</f>
        <v>_</v>
      </c>
      <c r="AY894" s="448" t="str">
        <f>_xlfn.IFNA(VLOOKUP($AP894,Programma!$F$3:$O$1101,10,0),"")</f>
        <v>5w</v>
      </c>
      <c r="AZ894" s="448" t="str">
        <f>_xlfn.IFNA(VLOOKUP($AP894,Programma!$F$3:$P$1101,11,0),"")</f>
        <v>5w</v>
      </c>
      <c r="BA894" s="448" t="str">
        <f>_xlfn.IFNA(VLOOKUP($AP894,Programma!$F$3:$Q$1101,12,0),"")</f>
        <v>1w</v>
      </c>
      <c r="BB894" s="448" t="str">
        <f>_xlfn.IFNA(VLOOKUP($AP894,Programma!$F$3:$R$1101,13,0),"")</f>
        <v>1w</v>
      </c>
      <c r="BC894" s="448" t="str">
        <f>_xlfn.IFNA(VLOOKUP($AP894,Programma!$F$3:$S$1101,14,0),"")</f>
        <v>1m</v>
      </c>
      <c r="BD894" s="448" t="str">
        <f>_xlfn.IFNA(VLOOKUP($AP894,Programma!$F$3:$T$1101,15,0),"")</f>
        <v>2j</v>
      </c>
      <c r="BE894" s="448" t="str">
        <f>_xlfn.IFNA(VLOOKUP($AP894,Programma!$F$3:$U$1101,16,0),"")</f>
        <v>1j</v>
      </c>
      <c r="BF894" s="448" t="str">
        <f>_xlfn.IFNA(VLOOKUP($AP894,Programma!$F$3:$V$1101,17,0),"")</f>
        <v>_</v>
      </c>
      <c r="BG894" s="448" t="str">
        <f>_xlfn.IFNA(VLOOKUP($AP894,Programma!$F$3:$W$1101,18,0),"")</f>
        <v>_</v>
      </c>
      <c r="BH894" s="448" t="str">
        <f>_xlfn.IFNA(VLOOKUP($AP894,Programma!$F$3:$X$1101,19,0),"")</f>
        <v>_</v>
      </c>
      <c r="BI894" s="448" t="str">
        <f>_xlfn.IFNA(VLOOKUP($AP894,Programma!$F$3:$Y$1101,20,0),"")</f>
        <v>_</v>
      </c>
      <c r="BJ894" s="449"/>
      <c r="BK894" s="446" t="str">
        <f>IF(Ruimtestaat[[#This Row],[Frequentie weekend]]="","",_xlfn.CONCAT(Ruimtestaat[[#This Row],[Ruimte code]],"-",Ruimtestaat[[#This Row],[Frequentie weekend]]," ",Ruimtestaat[[#This Row],[Vloer code]]))</f>
        <v/>
      </c>
      <c r="BL894" s="448" t="str">
        <f>_xlfn.IFNA(VLOOKUP($BK894,Programma!$F$3:$G$1101,2,0),"")</f>
        <v/>
      </c>
      <c r="BM894" s="448" t="str">
        <f>_xlfn.IFNA(VLOOKUP($BK894,Programma!$F$3:$H$1101,3,0),"")</f>
        <v/>
      </c>
      <c r="BN894" s="448" t="str">
        <f>_xlfn.IFNA(VLOOKUP($BK894,Programma!$F$3:$I$1101,4,0),"")</f>
        <v/>
      </c>
      <c r="BO894" s="448" t="str">
        <f>_xlfn.IFNA(VLOOKUP($BK894,Programma!$F$3:$J$1101,5,0),"")</f>
        <v/>
      </c>
      <c r="BP894" s="448" t="str">
        <f>_xlfn.IFNA(VLOOKUP($BK894,Programma!$F$3:$K$1101,6,0),"")</f>
        <v/>
      </c>
      <c r="BQ894" s="448" t="str">
        <f>_xlfn.IFNA(VLOOKUP($BK894,Programma!$F$3:$L$1101,7,0),"")</f>
        <v/>
      </c>
      <c r="BR894" s="448" t="str">
        <f>_xlfn.IFNA(VLOOKUP($BK894,Programma!$F$3:$M$1101,8,0),"")</f>
        <v/>
      </c>
      <c r="BS894" s="448" t="str">
        <f>_xlfn.IFNA(VLOOKUP($BK894,Programma!$F$3:$N$1101,9,0),"")</f>
        <v/>
      </c>
      <c r="BT894" s="448" t="str">
        <f>_xlfn.IFNA(VLOOKUP($BK894,Programma!$F$3:$O$1101,10,0),"")</f>
        <v/>
      </c>
      <c r="BU894" s="448" t="str">
        <f>_xlfn.IFNA(VLOOKUP($BK894,Programma!$F$3:$P$1101,11,0),"")</f>
        <v/>
      </c>
      <c r="BV894" s="448" t="str">
        <f>_xlfn.IFNA(VLOOKUP($BK894,Programma!$F$3:$Q$1101,12,0),"")</f>
        <v/>
      </c>
      <c r="BW894" s="448" t="str">
        <f>_xlfn.IFNA(VLOOKUP($BK894,Programma!$F$3:$R$1101,13,0),"")</f>
        <v/>
      </c>
      <c r="BX894" s="448" t="str">
        <f>_xlfn.IFNA(VLOOKUP($BK894,Programma!$F$3:$S$1101,14,0),"")</f>
        <v/>
      </c>
      <c r="BY894" s="448" t="str">
        <f>_xlfn.IFNA(VLOOKUP($BK894,Programma!$F$3:$T$1101,15,0),"")</f>
        <v/>
      </c>
      <c r="BZ894" s="448" t="str">
        <f>_xlfn.IFNA(VLOOKUP($BK894,Programma!$F$3:$U$1101,16,0),"")</f>
        <v/>
      </c>
      <c r="CA894" s="448" t="str">
        <f>_xlfn.IFNA(VLOOKUP($BK894,Programma!$F$3:$V$1101,17,0),"")</f>
        <v/>
      </c>
      <c r="CB894" s="448" t="str">
        <f>_xlfn.IFNA(VLOOKUP($BK894,Programma!$F$3:$W$1101,18,0),"")</f>
        <v/>
      </c>
      <c r="CC894" s="448" t="str">
        <f>_xlfn.IFNA(VLOOKUP($BK894,Programma!$F$3:$X$1101,19,0),"")</f>
        <v/>
      </c>
      <c r="CD894" s="448" t="str">
        <f>_xlfn.IFNA(VLOOKUP($BK894,Programma!$F$3:$Y$1101,20,0),"")</f>
        <v/>
      </c>
    </row>
    <row r="895" spans="1:82" ht="15" customHeight="1">
      <c r="A895" s="327">
        <v>25</v>
      </c>
      <c r="B895" s="435" t="str">
        <f>VLOOKUP(Ruimtestaat[[#This Row],[Code]],Locaties[[Code]:[Locatie]],2,FALSE)</f>
        <v>IKC De Piramide</v>
      </c>
      <c r="C895" s="435" t="str">
        <f>VLOOKUP(Ruimtestaat[[#This Row],[Code]],Locaties[[#All],[Code]:[Adres]],4,FALSE)</f>
        <v>Fivelingo 84</v>
      </c>
      <c r="D895" s="435" t="str">
        <f>VLOOKUP(Ruimtestaat[[#This Row],[Code]],Locaties[[#All],[Code]:[Postcode]],5,FALSE)</f>
        <v>2716 BG</v>
      </c>
      <c r="E895" s="435" t="str">
        <f>VLOOKUP(Ruimtestaat[[#This Row],[Code]],Locaties[#All],6,FALSE)</f>
        <v>Zoetermeer</v>
      </c>
      <c r="F895" s="450" t="s">
        <v>2059</v>
      </c>
      <c r="G895" s="330" t="s">
        <v>1769</v>
      </c>
      <c r="H895" s="330" t="s">
        <v>1925</v>
      </c>
      <c r="I895" s="450" t="s">
        <v>1679</v>
      </c>
      <c r="J895" s="330">
        <v>16</v>
      </c>
      <c r="K895" s="450" t="str">
        <f>VLOOKUP(Ruimtestaat[[#This Row],[Ruimte code]],Ruimtegroepen[[#All],[Code]:[Ruimte omschrijving]],2,FALSE)</f>
        <v>Leslokalen</v>
      </c>
      <c r="L895" s="330" t="s">
        <v>101</v>
      </c>
      <c r="M895" s="437" t="s">
        <v>1816</v>
      </c>
      <c r="N895" s="439">
        <v>58</v>
      </c>
      <c r="O895" s="439"/>
      <c r="P895" s="439"/>
      <c r="Q895" s="439"/>
      <c r="R895" s="440" t="str">
        <f>VLOOKUP(Ruimtestaat[[#This Row],[Ruimte code]],Ruimtegroepen[],4,FALSE)</f>
        <v>Le</v>
      </c>
      <c r="S895" s="434">
        <v>40</v>
      </c>
      <c r="T895" s="434" t="s">
        <v>2</v>
      </c>
      <c r="U895" s="453">
        <f>IF(S895&gt;0,IF(RIGHT(Ruimtestaat[[#This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5" s="434">
        <f>IF(U895&gt;0,VLOOKUP($J895,Ruimtegroepen[],3,FALSE)*VLOOKUP($L895,Vloersoorten[],3,FALSE)*VLOOKUP($T895,Frequenties[],3,FALSE)*VLOOKUP($A895,Locaties[],3,FALSE),0)</f>
        <v>0</v>
      </c>
      <c r="W895" s="434">
        <f>Ruimtestaat[[#This Row],[Uitvoeringen werkdagen]]*Ruimtestaat[[#This Row],[Oppervlak (netto)]]</f>
        <v>11600</v>
      </c>
      <c r="X895" s="441">
        <f>IF(V895&gt;0,Ruimtestaat[[#This Row],[Prest. (m2 /jaar) werkdagen]]/Ruimtestaat[[#This Row],[Norm (m2/uur) werkdagen]],0)</f>
        <v>0</v>
      </c>
      <c r="Y895" s="442">
        <f>Ruimtestaat[[#This Row],[Uitvoeringen werkdagen]]*Ruimtestaat[[#This Row],[Gedeeltelijk]]</f>
        <v>0</v>
      </c>
      <c r="Z895" s="443" t="e">
        <f>IF(U895&gt;0,Ruimtestaat[[#This Row],[Prest. (m2 / jaar) werkdagen gedeeld]]/Ruimtestaat[[#This Row],[Norm (m2/uur) werkdagen]],0)</f>
        <v>#DIV/0!</v>
      </c>
      <c r="AA895" s="441" t="e">
        <f>Ruimtestaat[[#This Row],[uren / jaar werkdagen gedeeld]]*Tariefsopbouw!$E$35</f>
        <v>#DIV/0!</v>
      </c>
      <c r="AB895" s="441">
        <f>Ruimtestaat[[#This Row],[Uitvoeringen werkdagen]]*Ruimtestaat[[#This Row],[BSO]]</f>
        <v>0</v>
      </c>
      <c r="AC895" s="443" t="e">
        <f>IF(U895&gt;0,Ruimtestaat[[#This Row],[Prest. (m2 / jaar) werkdagen BSO]]/Ruimtestaat[[#This Row],[Norm (m2/uur) werkdagen]],0)</f>
        <v>#DIV/0!</v>
      </c>
      <c r="AD895" s="443" t="e">
        <f>Ruimtestaat[[#This Row],[uren / jaar werkdagen BSO]]*Tariefsopbouw!$E$35</f>
        <v>#DIV/0!</v>
      </c>
      <c r="AE895" s="444">
        <f>Ruimtestaat[[#This Row],[uren / jaar werkdagen]]*Tariefsopbouw!$E$35</f>
        <v>0</v>
      </c>
      <c r="AF895" s="454"/>
      <c r="AG895" s="455">
        <f>IF(Ruimtestaat[[#This Row],[Frequentie weekend]]&gt;0,VALUE(LEFT(AF895,1))*S895,0)</f>
        <v>0</v>
      </c>
      <c r="AH895" s="455">
        <f>IF($AG895&gt;0,VLOOKUP($J895,Ruimtegroepen[],3,FALSE)*VLOOKUP($L895,Vloersoorten[],3,FALSE)*VLOOKUP($AF895,Frequenties[],3,FALSE)*VLOOKUP(#REF!,Locaties[],3,FALSE),0)</f>
        <v>0</v>
      </c>
      <c r="AI895" s="434">
        <f>Ruimtestaat[[#This Row],[Uitvoeringen weekend]]*Ruimtestaat[[#This Row],[Oppervlak (netto)]]</f>
        <v>0</v>
      </c>
      <c r="AJ895" s="434">
        <f>IF(AH895&gt;0,Ruimtestaat[[#This Row],[Prest. (m2 /jaar) weekend]]/Ruimtestaat[[#This Row],[Norm (m2/uur) weekend]],0)</f>
        <v>0</v>
      </c>
      <c r="AK895" s="444">
        <f>Ruimtestaat[[#This Row],[uren / jaar weekend]]*Tariefsopbouw!$D$40</f>
        <v>0</v>
      </c>
      <c r="AL895" s="441">
        <f>Ruimtestaat[[#This Row],[Prest. (m2 /jaar) weekend]]+Ruimtestaat[[#This Row],[Prest. (m2 /jaar) werkdagen]]</f>
        <v>11600</v>
      </c>
      <c r="AM895" s="441">
        <f>Ruimtestaat[[#This Row],[uren / jaar weekend]]+Ruimtestaat[[#This Row],[uren / jaar werkdagen]]</f>
        <v>0</v>
      </c>
      <c r="AN895" s="446">
        <f>Ruimtestaat[[#This Row],[kosten / jaar weekend]]+Ruimtestaat[[#This Row],[kosten / jaar werkdagen]]</f>
        <v>0</v>
      </c>
      <c r="AO895" s="446"/>
      <c r="AP895" s="446" t="str">
        <f>IF(Ruimtestaat[[#This Row],[Frequentie werkdagen]]="","",_xlfn.CONCAT(Ruimtestaat[[#This Row],[Ruimte code]],"-",Ruimtestaat[[#This Row],[Frequentie werkdagen]]," ",Ruimtestaat[[#This Row],[Vloer code]]))</f>
        <v>16-5w S</v>
      </c>
      <c r="AQ895" s="448" t="str">
        <f>_xlfn.IFNA(VLOOKUP($AP895,Programma!$F$3:$G$1101,2,0),"")</f>
        <v>_</v>
      </c>
      <c r="AR895" s="448" t="str">
        <f>_xlfn.IFNA(VLOOKUP($AP895,Programma!$F$3:$H$1101,3,0),"")</f>
        <v>_</v>
      </c>
      <c r="AS895" s="448" t="str">
        <f>_xlfn.IFNA(VLOOKUP($AP895,Programma!$F$3:$I$1101,4,0),"")</f>
        <v>4w</v>
      </c>
      <c r="AT895" s="448" t="str">
        <f>_xlfn.IFNA(VLOOKUP($AP895,Programma!$F$3:$J$1101,5,0),"")</f>
        <v>1w</v>
      </c>
      <c r="AU895" s="448" t="str">
        <f>_xlfn.IFNA(VLOOKUP($AP895,Programma!$F$3:$K$1101,6,0),"")</f>
        <v>1m</v>
      </c>
      <c r="AV895" s="448" t="str">
        <f>_xlfn.IFNA(VLOOKUP($AP895,Programma!$F$3:$L$1101,7,0),"")</f>
        <v>_</v>
      </c>
      <c r="AW895" s="448" t="str">
        <f>_xlfn.IFNA(VLOOKUP($AP895,Programma!$F$3:$M$1101,8,0),"")</f>
        <v>_</v>
      </c>
      <c r="AX895" s="448" t="str">
        <f>_xlfn.IFNA(VLOOKUP($AP895,Programma!$F$3:$N$1101,9,0),"")</f>
        <v>_</v>
      </c>
      <c r="AY895" s="448" t="str">
        <f>_xlfn.IFNA(VLOOKUP($AP895,Programma!$F$3:$O$1101,10,0),"")</f>
        <v>5w</v>
      </c>
      <c r="AZ895" s="448" t="str">
        <f>_xlfn.IFNA(VLOOKUP($AP895,Programma!$F$3:$P$1101,11,0),"")</f>
        <v>5w</v>
      </c>
      <c r="BA895" s="448" t="str">
        <f>_xlfn.IFNA(VLOOKUP($AP895,Programma!$F$3:$Q$1101,12,0),"")</f>
        <v>1w</v>
      </c>
      <c r="BB895" s="448" t="str">
        <f>_xlfn.IFNA(VLOOKUP($AP895,Programma!$F$3:$R$1101,13,0),"")</f>
        <v>1w</v>
      </c>
      <c r="BC895" s="448" t="str">
        <f>_xlfn.IFNA(VLOOKUP($AP895,Programma!$F$3:$S$1101,14,0),"")</f>
        <v>1m</v>
      </c>
      <c r="BD895" s="448" t="str">
        <f>_xlfn.IFNA(VLOOKUP($AP895,Programma!$F$3:$T$1101,15,0),"")</f>
        <v>2j</v>
      </c>
      <c r="BE895" s="448" t="str">
        <f>_xlfn.IFNA(VLOOKUP($AP895,Programma!$F$3:$U$1101,16,0),"")</f>
        <v>1j</v>
      </c>
      <c r="BF895" s="448" t="str">
        <f>_xlfn.IFNA(VLOOKUP($AP895,Programma!$F$3:$V$1101,17,0),"")</f>
        <v>_</v>
      </c>
      <c r="BG895" s="448" t="str">
        <f>_xlfn.IFNA(VLOOKUP($AP895,Programma!$F$3:$W$1101,18,0),"")</f>
        <v>_</v>
      </c>
      <c r="BH895" s="448" t="str">
        <f>_xlfn.IFNA(VLOOKUP($AP895,Programma!$F$3:$X$1101,19,0),"")</f>
        <v>_</v>
      </c>
      <c r="BI895" s="448" t="str">
        <f>_xlfn.IFNA(VLOOKUP($AP895,Programma!$F$3:$Y$1101,20,0),"")</f>
        <v>_</v>
      </c>
      <c r="BJ895" s="449"/>
      <c r="BK895" s="446" t="str">
        <f>IF(Ruimtestaat[[#This Row],[Frequentie weekend]]="","",_xlfn.CONCAT(Ruimtestaat[[#This Row],[Ruimte code]],"-",Ruimtestaat[[#This Row],[Frequentie weekend]]," ",Ruimtestaat[[#This Row],[Vloer code]]))</f>
        <v/>
      </c>
      <c r="BL895" s="448" t="str">
        <f>_xlfn.IFNA(VLOOKUP($BK895,Programma!$F$3:$G$1101,2,0),"")</f>
        <v/>
      </c>
      <c r="BM895" s="448" t="str">
        <f>_xlfn.IFNA(VLOOKUP($BK895,Programma!$F$3:$H$1101,3,0),"")</f>
        <v/>
      </c>
      <c r="BN895" s="448" t="str">
        <f>_xlfn.IFNA(VLOOKUP($BK895,Programma!$F$3:$I$1101,4,0),"")</f>
        <v/>
      </c>
      <c r="BO895" s="448" t="str">
        <f>_xlfn.IFNA(VLOOKUP($BK895,Programma!$F$3:$J$1101,5,0),"")</f>
        <v/>
      </c>
      <c r="BP895" s="448" t="str">
        <f>_xlfn.IFNA(VLOOKUP($BK895,Programma!$F$3:$K$1101,6,0),"")</f>
        <v/>
      </c>
      <c r="BQ895" s="448" t="str">
        <f>_xlfn.IFNA(VLOOKUP($BK895,Programma!$F$3:$L$1101,7,0),"")</f>
        <v/>
      </c>
      <c r="BR895" s="448" t="str">
        <f>_xlfn.IFNA(VLOOKUP($BK895,Programma!$F$3:$M$1101,8,0),"")</f>
        <v/>
      </c>
      <c r="BS895" s="448" t="str">
        <f>_xlfn.IFNA(VLOOKUP($BK895,Programma!$F$3:$N$1101,9,0),"")</f>
        <v/>
      </c>
      <c r="BT895" s="448" t="str">
        <f>_xlfn.IFNA(VLOOKUP($BK895,Programma!$F$3:$O$1101,10,0),"")</f>
        <v/>
      </c>
      <c r="BU895" s="448" t="str">
        <f>_xlfn.IFNA(VLOOKUP($BK895,Programma!$F$3:$P$1101,11,0),"")</f>
        <v/>
      </c>
      <c r="BV895" s="448" t="str">
        <f>_xlfn.IFNA(VLOOKUP($BK895,Programma!$F$3:$Q$1101,12,0),"")</f>
        <v/>
      </c>
      <c r="BW895" s="448" t="str">
        <f>_xlfn.IFNA(VLOOKUP($BK895,Programma!$F$3:$R$1101,13,0),"")</f>
        <v/>
      </c>
      <c r="BX895" s="448" t="str">
        <f>_xlfn.IFNA(VLOOKUP($BK895,Programma!$F$3:$S$1101,14,0),"")</f>
        <v/>
      </c>
      <c r="BY895" s="448" t="str">
        <f>_xlfn.IFNA(VLOOKUP($BK895,Programma!$F$3:$T$1101,15,0),"")</f>
        <v/>
      </c>
      <c r="BZ895" s="448" t="str">
        <f>_xlfn.IFNA(VLOOKUP($BK895,Programma!$F$3:$U$1101,16,0),"")</f>
        <v/>
      </c>
      <c r="CA895" s="448" t="str">
        <f>_xlfn.IFNA(VLOOKUP($BK895,Programma!$F$3:$V$1101,17,0),"")</f>
        <v/>
      </c>
      <c r="CB895" s="448" t="str">
        <f>_xlfn.IFNA(VLOOKUP($BK895,Programma!$F$3:$W$1101,18,0),"")</f>
        <v/>
      </c>
      <c r="CC895" s="448" t="str">
        <f>_xlfn.IFNA(VLOOKUP($BK895,Programma!$F$3:$X$1101,19,0),"")</f>
        <v/>
      </c>
      <c r="CD895" s="448" t="str">
        <f>_xlfn.IFNA(VLOOKUP($BK895,Programma!$F$3:$Y$1101,20,0),"")</f>
        <v/>
      </c>
    </row>
    <row r="896" spans="1:82" ht="15" customHeight="1">
      <c r="A896" s="327">
        <v>25</v>
      </c>
      <c r="B896" s="435" t="str">
        <f>VLOOKUP(Ruimtestaat[[#This Row],[Code]],Locaties[[Code]:[Locatie]],2,FALSE)</f>
        <v>IKC De Piramide</v>
      </c>
      <c r="C896" s="435" t="str">
        <f>VLOOKUP(Ruimtestaat[[#This Row],[Code]],Locaties[[#All],[Code]:[Adres]],4,FALSE)</f>
        <v>Fivelingo 84</v>
      </c>
      <c r="D896" s="435" t="str">
        <f>VLOOKUP(Ruimtestaat[[#This Row],[Code]],Locaties[[#All],[Code]:[Postcode]],5,FALSE)</f>
        <v>2716 BG</v>
      </c>
      <c r="E896" s="435" t="str">
        <f>VLOOKUP(Ruimtestaat[[#This Row],[Code]],Locaties[#All],6,FALSE)</f>
        <v>Zoetermeer</v>
      </c>
      <c r="F896" s="450" t="s">
        <v>2059</v>
      </c>
      <c r="G896" s="330" t="s">
        <v>1769</v>
      </c>
      <c r="H896" s="330" t="s">
        <v>1750</v>
      </c>
      <c r="I896" s="450" t="s">
        <v>1679</v>
      </c>
      <c r="J896" s="330">
        <v>16</v>
      </c>
      <c r="K896" s="450" t="str">
        <f>VLOOKUP(Ruimtestaat[[#This Row],[Ruimte code]],Ruimtegroepen[[#All],[Code]:[Ruimte omschrijving]],2,FALSE)</f>
        <v>Leslokalen</v>
      </c>
      <c r="L896" s="330" t="s">
        <v>101</v>
      </c>
      <c r="M896" s="437" t="s">
        <v>1816</v>
      </c>
      <c r="N896" s="439">
        <v>58</v>
      </c>
      <c r="O896" s="439"/>
      <c r="P896" s="439"/>
      <c r="Q896" s="439"/>
      <c r="R896" s="440" t="str">
        <f>VLOOKUP(Ruimtestaat[[#This Row],[Ruimte code]],Ruimtegroepen[],4,FALSE)</f>
        <v>Le</v>
      </c>
      <c r="S896" s="434">
        <v>40</v>
      </c>
      <c r="T896" s="434" t="s">
        <v>2</v>
      </c>
      <c r="U896" s="453">
        <f>IF(S896&gt;0,IF(RIGHT(Ruimtestaat[[#This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6" s="434">
        <f>IF(U896&gt;0,VLOOKUP($J896,Ruimtegroepen[],3,FALSE)*VLOOKUP($L896,Vloersoorten[],3,FALSE)*VLOOKUP($T896,Frequenties[],3,FALSE)*VLOOKUP($A896,Locaties[],3,FALSE),0)</f>
        <v>0</v>
      </c>
      <c r="W896" s="434">
        <f>Ruimtestaat[[#This Row],[Uitvoeringen werkdagen]]*Ruimtestaat[[#This Row],[Oppervlak (netto)]]</f>
        <v>11600</v>
      </c>
      <c r="X896" s="441">
        <f>IF(V896&gt;0,Ruimtestaat[[#This Row],[Prest. (m2 /jaar) werkdagen]]/Ruimtestaat[[#This Row],[Norm (m2/uur) werkdagen]],0)</f>
        <v>0</v>
      </c>
      <c r="Y896" s="442">
        <f>Ruimtestaat[[#This Row],[Uitvoeringen werkdagen]]*Ruimtestaat[[#This Row],[Gedeeltelijk]]</f>
        <v>0</v>
      </c>
      <c r="Z896" s="443" t="e">
        <f>IF(U896&gt;0,Ruimtestaat[[#This Row],[Prest. (m2 / jaar) werkdagen gedeeld]]/Ruimtestaat[[#This Row],[Norm (m2/uur) werkdagen]],0)</f>
        <v>#DIV/0!</v>
      </c>
      <c r="AA896" s="441" t="e">
        <f>Ruimtestaat[[#This Row],[uren / jaar werkdagen gedeeld]]*Tariefsopbouw!$E$35</f>
        <v>#DIV/0!</v>
      </c>
      <c r="AB896" s="441">
        <f>Ruimtestaat[[#This Row],[Uitvoeringen werkdagen]]*Ruimtestaat[[#This Row],[BSO]]</f>
        <v>0</v>
      </c>
      <c r="AC896" s="443" t="e">
        <f>IF(U896&gt;0,Ruimtestaat[[#This Row],[Prest. (m2 / jaar) werkdagen BSO]]/Ruimtestaat[[#This Row],[Norm (m2/uur) werkdagen]],0)</f>
        <v>#DIV/0!</v>
      </c>
      <c r="AD896" s="443" t="e">
        <f>Ruimtestaat[[#This Row],[uren / jaar werkdagen BSO]]*Tariefsopbouw!$E$35</f>
        <v>#DIV/0!</v>
      </c>
      <c r="AE896" s="444">
        <f>Ruimtestaat[[#This Row],[uren / jaar werkdagen]]*Tariefsopbouw!$E$35</f>
        <v>0</v>
      </c>
      <c r="AF896" s="454"/>
      <c r="AG896" s="455">
        <f>IF(Ruimtestaat[[#This Row],[Frequentie weekend]]&gt;0,VALUE(LEFT(AF896,1))*S896,0)</f>
        <v>0</v>
      </c>
      <c r="AH896" s="455">
        <f>IF($AG896&gt;0,VLOOKUP($J896,Ruimtegroepen[],3,FALSE)*VLOOKUP($L896,Vloersoorten[],3,FALSE)*VLOOKUP($AF896,Frequenties[],3,FALSE)*VLOOKUP(#REF!,Locaties[],3,FALSE),0)</f>
        <v>0</v>
      </c>
      <c r="AI896" s="434">
        <f>Ruimtestaat[[#This Row],[Uitvoeringen weekend]]*Ruimtestaat[[#This Row],[Oppervlak (netto)]]</f>
        <v>0</v>
      </c>
      <c r="AJ896" s="434">
        <f>IF(AH896&gt;0,Ruimtestaat[[#This Row],[Prest. (m2 /jaar) weekend]]/Ruimtestaat[[#This Row],[Norm (m2/uur) weekend]],0)</f>
        <v>0</v>
      </c>
      <c r="AK896" s="444">
        <f>Ruimtestaat[[#This Row],[uren / jaar weekend]]*Tariefsopbouw!$D$40</f>
        <v>0</v>
      </c>
      <c r="AL896" s="441">
        <f>Ruimtestaat[[#This Row],[Prest. (m2 /jaar) weekend]]+Ruimtestaat[[#This Row],[Prest. (m2 /jaar) werkdagen]]</f>
        <v>11600</v>
      </c>
      <c r="AM896" s="441">
        <f>Ruimtestaat[[#This Row],[uren / jaar weekend]]+Ruimtestaat[[#This Row],[uren / jaar werkdagen]]</f>
        <v>0</v>
      </c>
      <c r="AN896" s="446">
        <f>Ruimtestaat[[#This Row],[kosten / jaar weekend]]+Ruimtestaat[[#This Row],[kosten / jaar werkdagen]]</f>
        <v>0</v>
      </c>
      <c r="AO896" s="446"/>
      <c r="AP896" s="446" t="str">
        <f>IF(Ruimtestaat[[#This Row],[Frequentie werkdagen]]="","",_xlfn.CONCAT(Ruimtestaat[[#This Row],[Ruimte code]],"-",Ruimtestaat[[#This Row],[Frequentie werkdagen]]," ",Ruimtestaat[[#This Row],[Vloer code]]))</f>
        <v>16-5w S</v>
      </c>
      <c r="AQ896" s="448" t="str">
        <f>_xlfn.IFNA(VLOOKUP($AP896,Programma!$F$3:$G$1101,2,0),"")</f>
        <v>_</v>
      </c>
      <c r="AR896" s="448" t="str">
        <f>_xlfn.IFNA(VLOOKUP($AP896,Programma!$F$3:$H$1101,3,0),"")</f>
        <v>_</v>
      </c>
      <c r="AS896" s="448" t="str">
        <f>_xlfn.IFNA(VLOOKUP($AP896,Programma!$F$3:$I$1101,4,0),"")</f>
        <v>4w</v>
      </c>
      <c r="AT896" s="448" t="str">
        <f>_xlfn.IFNA(VLOOKUP($AP896,Programma!$F$3:$J$1101,5,0),"")</f>
        <v>1w</v>
      </c>
      <c r="AU896" s="448" t="str">
        <f>_xlfn.IFNA(VLOOKUP($AP896,Programma!$F$3:$K$1101,6,0),"")</f>
        <v>1m</v>
      </c>
      <c r="AV896" s="448" t="str">
        <f>_xlfn.IFNA(VLOOKUP($AP896,Programma!$F$3:$L$1101,7,0),"")</f>
        <v>_</v>
      </c>
      <c r="AW896" s="448" t="str">
        <f>_xlfn.IFNA(VLOOKUP($AP896,Programma!$F$3:$M$1101,8,0),"")</f>
        <v>_</v>
      </c>
      <c r="AX896" s="448" t="str">
        <f>_xlfn.IFNA(VLOOKUP($AP896,Programma!$F$3:$N$1101,9,0),"")</f>
        <v>_</v>
      </c>
      <c r="AY896" s="448" t="str">
        <f>_xlfn.IFNA(VLOOKUP($AP896,Programma!$F$3:$O$1101,10,0),"")</f>
        <v>5w</v>
      </c>
      <c r="AZ896" s="448" t="str">
        <f>_xlfn.IFNA(VLOOKUP($AP896,Programma!$F$3:$P$1101,11,0),"")</f>
        <v>5w</v>
      </c>
      <c r="BA896" s="448" t="str">
        <f>_xlfn.IFNA(VLOOKUP($AP896,Programma!$F$3:$Q$1101,12,0),"")</f>
        <v>1w</v>
      </c>
      <c r="BB896" s="448" t="str">
        <f>_xlfn.IFNA(VLOOKUP($AP896,Programma!$F$3:$R$1101,13,0),"")</f>
        <v>1w</v>
      </c>
      <c r="BC896" s="448" t="str">
        <f>_xlfn.IFNA(VLOOKUP($AP896,Programma!$F$3:$S$1101,14,0),"")</f>
        <v>1m</v>
      </c>
      <c r="BD896" s="448" t="str">
        <f>_xlfn.IFNA(VLOOKUP($AP896,Programma!$F$3:$T$1101,15,0),"")</f>
        <v>2j</v>
      </c>
      <c r="BE896" s="448" t="str">
        <f>_xlfn.IFNA(VLOOKUP($AP896,Programma!$F$3:$U$1101,16,0),"")</f>
        <v>1j</v>
      </c>
      <c r="BF896" s="448" t="str">
        <f>_xlfn.IFNA(VLOOKUP($AP896,Programma!$F$3:$V$1101,17,0),"")</f>
        <v>_</v>
      </c>
      <c r="BG896" s="448" t="str">
        <f>_xlfn.IFNA(VLOOKUP($AP896,Programma!$F$3:$W$1101,18,0),"")</f>
        <v>_</v>
      </c>
      <c r="BH896" s="448" t="str">
        <f>_xlfn.IFNA(VLOOKUP($AP896,Programma!$F$3:$X$1101,19,0),"")</f>
        <v>_</v>
      </c>
      <c r="BI896" s="448" t="str">
        <f>_xlfn.IFNA(VLOOKUP($AP896,Programma!$F$3:$Y$1101,20,0),"")</f>
        <v>_</v>
      </c>
      <c r="BJ896" s="449"/>
      <c r="BK896" s="446" t="str">
        <f>IF(Ruimtestaat[[#This Row],[Frequentie weekend]]="","",_xlfn.CONCAT(Ruimtestaat[[#This Row],[Ruimte code]],"-",Ruimtestaat[[#This Row],[Frequentie weekend]]," ",Ruimtestaat[[#This Row],[Vloer code]]))</f>
        <v/>
      </c>
      <c r="BL896" s="448" t="str">
        <f>_xlfn.IFNA(VLOOKUP($BK896,Programma!$F$3:$G$1101,2,0),"")</f>
        <v/>
      </c>
      <c r="BM896" s="448" t="str">
        <f>_xlfn.IFNA(VLOOKUP($BK896,Programma!$F$3:$H$1101,3,0),"")</f>
        <v/>
      </c>
      <c r="BN896" s="448" t="str">
        <f>_xlfn.IFNA(VLOOKUP($BK896,Programma!$F$3:$I$1101,4,0),"")</f>
        <v/>
      </c>
      <c r="BO896" s="448" t="str">
        <f>_xlfn.IFNA(VLOOKUP($BK896,Programma!$F$3:$J$1101,5,0),"")</f>
        <v/>
      </c>
      <c r="BP896" s="448" t="str">
        <f>_xlfn.IFNA(VLOOKUP($BK896,Programma!$F$3:$K$1101,6,0),"")</f>
        <v/>
      </c>
      <c r="BQ896" s="448" t="str">
        <f>_xlfn.IFNA(VLOOKUP($BK896,Programma!$F$3:$L$1101,7,0),"")</f>
        <v/>
      </c>
      <c r="BR896" s="448" t="str">
        <f>_xlfn.IFNA(VLOOKUP($BK896,Programma!$F$3:$M$1101,8,0),"")</f>
        <v/>
      </c>
      <c r="BS896" s="448" t="str">
        <f>_xlfn.IFNA(VLOOKUP($BK896,Programma!$F$3:$N$1101,9,0),"")</f>
        <v/>
      </c>
      <c r="BT896" s="448" t="str">
        <f>_xlfn.IFNA(VLOOKUP($BK896,Programma!$F$3:$O$1101,10,0),"")</f>
        <v/>
      </c>
      <c r="BU896" s="448" t="str">
        <f>_xlfn.IFNA(VLOOKUP($BK896,Programma!$F$3:$P$1101,11,0),"")</f>
        <v/>
      </c>
      <c r="BV896" s="448" t="str">
        <f>_xlfn.IFNA(VLOOKUP($BK896,Programma!$F$3:$Q$1101,12,0),"")</f>
        <v/>
      </c>
      <c r="BW896" s="448" t="str">
        <f>_xlfn.IFNA(VLOOKUP($BK896,Programma!$F$3:$R$1101,13,0),"")</f>
        <v/>
      </c>
      <c r="BX896" s="448" t="str">
        <f>_xlfn.IFNA(VLOOKUP($BK896,Programma!$F$3:$S$1101,14,0),"")</f>
        <v/>
      </c>
      <c r="BY896" s="448" t="str">
        <f>_xlfn.IFNA(VLOOKUP($BK896,Programma!$F$3:$T$1101,15,0),"")</f>
        <v/>
      </c>
      <c r="BZ896" s="448" t="str">
        <f>_xlfn.IFNA(VLOOKUP($BK896,Programma!$F$3:$U$1101,16,0),"")</f>
        <v/>
      </c>
      <c r="CA896" s="448" t="str">
        <f>_xlfn.IFNA(VLOOKUP($BK896,Programma!$F$3:$V$1101,17,0),"")</f>
        <v/>
      </c>
      <c r="CB896" s="448" t="str">
        <f>_xlfn.IFNA(VLOOKUP($BK896,Programma!$F$3:$W$1101,18,0),"")</f>
        <v/>
      </c>
      <c r="CC896" s="448" t="str">
        <f>_xlfn.IFNA(VLOOKUP($BK896,Programma!$F$3:$X$1101,19,0),"")</f>
        <v/>
      </c>
      <c r="CD896" s="448" t="str">
        <f>_xlfn.IFNA(VLOOKUP($BK896,Programma!$F$3:$Y$1101,20,0),"")</f>
        <v/>
      </c>
    </row>
    <row r="897" spans="1:82" ht="15" customHeight="1">
      <c r="A897" s="327">
        <v>25</v>
      </c>
      <c r="B897" s="435" t="str">
        <f>VLOOKUP(Ruimtestaat[[#This Row],[Code]],Locaties[[Code]:[Locatie]],2,FALSE)</f>
        <v>IKC De Piramide</v>
      </c>
      <c r="C897" s="435" t="str">
        <f>VLOOKUP(Ruimtestaat[[#This Row],[Code]],Locaties[[#All],[Code]:[Adres]],4,FALSE)</f>
        <v>Fivelingo 84</v>
      </c>
      <c r="D897" s="435" t="str">
        <f>VLOOKUP(Ruimtestaat[[#This Row],[Code]],Locaties[[#All],[Code]:[Postcode]],5,FALSE)</f>
        <v>2716 BG</v>
      </c>
      <c r="E897" s="435" t="str">
        <f>VLOOKUP(Ruimtestaat[[#This Row],[Code]],Locaties[#All],6,FALSE)</f>
        <v>Zoetermeer</v>
      </c>
      <c r="F897" s="450" t="s">
        <v>2059</v>
      </c>
      <c r="G897" s="330" t="s">
        <v>1769</v>
      </c>
      <c r="H897" s="330" t="s">
        <v>1927</v>
      </c>
      <c r="I897" s="450" t="s">
        <v>1679</v>
      </c>
      <c r="J897" s="330">
        <v>16</v>
      </c>
      <c r="K897" s="450" t="str">
        <f>VLOOKUP(Ruimtestaat[[#This Row],[Ruimte code]],Ruimtegroepen[[#All],[Code]:[Ruimte omschrijving]],2,FALSE)</f>
        <v>Leslokalen</v>
      </c>
      <c r="L897" s="330" t="s">
        <v>101</v>
      </c>
      <c r="M897" s="437" t="s">
        <v>1816</v>
      </c>
      <c r="N897" s="439">
        <v>57</v>
      </c>
      <c r="O897" s="439"/>
      <c r="P897" s="439"/>
      <c r="Q897" s="439"/>
      <c r="R897" s="440" t="str">
        <f>VLOOKUP(Ruimtestaat[[#This Row],[Ruimte code]],Ruimtegroepen[],4,FALSE)</f>
        <v>Le</v>
      </c>
      <c r="S897" s="434">
        <v>40</v>
      </c>
      <c r="T897" s="434" t="s">
        <v>2</v>
      </c>
      <c r="U897" s="453">
        <f>IF(S897&gt;0,IF(RIGHT(Ruimtestaat[[#This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7" s="434">
        <f>IF(U897&gt;0,VLOOKUP($J897,Ruimtegroepen[],3,FALSE)*VLOOKUP($L897,Vloersoorten[],3,FALSE)*VLOOKUP($T897,Frequenties[],3,FALSE)*VLOOKUP($A897,Locaties[],3,FALSE),0)</f>
        <v>0</v>
      </c>
      <c r="W897" s="434">
        <f>Ruimtestaat[[#This Row],[Uitvoeringen werkdagen]]*Ruimtestaat[[#This Row],[Oppervlak (netto)]]</f>
        <v>11400</v>
      </c>
      <c r="X897" s="441">
        <f>IF(V897&gt;0,Ruimtestaat[[#This Row],[Prest. (m2 /jaar) werkdagen]]/Ruimtestaat[[#This Row],[Norm (m2/uur) werkdagen]],0)</f>
        <v>0</v>
      </c>
      <c r="Y897" s="442">
        <f>Ruimtestaat[[#This Row],[Uitvoeringen werkdagen]]*Ruimtestaat[[#This Row],[Gedeeltelijk]]</f>
        <v>0</v>
      </c>
      <c r="Z897" s="443" t="e">
        <f>IF(U897&gt;0,Ruimtestaat[[#This Row],[Prest. (m2 / jaar) werkdagen gedeeld]]/Ruimtestaat[[#This Row],[Norm (m2/uur) werkdagen]],0)</f>
        <v>#DIV/0!</v>
      </c>
      <c r="AA897" s="441" t="e">
        <f>Ruimtestaat[[#This Row],[uren / jaar werkdagen gedeeld]]*Tariefsopbouw!$E$35</f>
        <v>#DIV/0!</v>
      </c>
      <c r="AB897" s="441">
        <f>Ruimtestaat[[#This Row],[Uitvoeringen werkdagen]]*Ruimtestaat[[#This Row],[BSO]]</f>
        <v>0</v>
      </c>
      <c r="AC897" s="443" t="e">
        <f>IF(U897&gt;0,Ruimtestaat[[#This Row],[Prest. (m2 / jaar) werkdagen BSO]]/Ruimtestaat[[#This Row],[Norm (m2/uur) werkdagen]],0)</f>
        <v>#DIV/0!</v>
      </c>
      <c r="AD897" s="443" t="e">
        <f>Ruimtestaat[[#This Row],[uren / jaar werkdagen BSO]]*Tariefsopbouw!$E$35</f>
        <v>#DIV/0!</v>
      </c>
      <c r="AE897" s="444">
        <f>Ruimtestaat[[#This Row],[uren / jaar werkdagen]]*Tariefsopbouw!$E$35</f>
        <v>0</v>
      </c>
      <c r="AF897" s="454"/>
      <c r="AG897" s="455">
        <f>IF(Ruimtestaat[[#This Row],[Frequentie weekend]]&gt;0,VALUE(LEFT(AF897,1))*S897,0)</f>
        <v>0</v>
      </c>
      <c r="AH897" s="455">
        <f>IF($AG897&gt;0,VLOOKUP($J897,Ruimtegroepen[],3,FALSE)*VLOOKUP($L897,Vloersoorten[],3,FALSE)*VLOOKUP($AF897,Frequenties[],3,FALSE)*VLOOKUP(#REF!,Locaties[],3,FALSE),0)</f>
        <v>0</v>
      </c>
      <c r="AI897" s="434">
        <f>Ruimtestaat[[#This Row],[Uitvoeringen weekend]]*Ruimtestaat[[#This Row],[Oppervlak (netto)]]</f>
        <v>0</v>
      </c>
      <c r="AJ897" s="434">
        <f>IF(AH897&gt;0,Ruimtestaat[[#This Row],[Prest. (m2 /jaar) weekend]]/Ruimtestaat[[#This Row],[Norm (m2/uur) weekend]],0)</f>
        <v>0</v>
      </c>
      <c r="AK897" s="444">
        <f>Ruimtestaat[[#This Row],[uren / jaar weekend]]*Tariefsopbouw!$D$40</f>
        <v>0</v>
      </c>
      <c r="AL897" s="441">
        <f>Ruimtestaat[[#This Row],[Prest. (m2 /jaar) weekend]]+Ruimtestaat[[#This Row],[Prest. (m2 /jaar) werkdagen]]</f>
        <v>11400</v>
      </c>
      <c r="AM897" s="441">
        <f>Ruimtestaat[[#This Row],[uren / jaar weekend]]+Ruimtestaat[[#This Row],[uren / jaar werkdagen]]</f>
        <v>0</v>
      </c>
      <c r="AN897" s="446">
        <f>Ruimtestaat[[#This Row],[kosten / jaar weekend]]+Ruimtestaat[[#This Row],[kosten / jaar werkdagen]]</f>
        <v>0</v>
      </c>
      <c r="AO897" s="446"/>
      <c r="AP897" s="446" t="str">
        <f>IF(Ruimtestaat[[#This Row],[Frequentie werkdagen]]="","",_xlfn.CONCAT(Ruimtestaat[[#This Row],[Ruimte code]],"-",Ruimtestaat[[#This Row],[Frequentie werkdagen]]," ",Ruimtestaat[[#This Row],[Vloer code]]))</f>
        <v>16-5w S</v>
      </c>
      <c r="AQ897" s="448" t="str">
        <f>_xlfn.IFNA(VLOOKUP($AP897,Programma!$F$3:$G$1101,2,0),"")</f>
        <v>_</v>
      </c>
      <c r="AR897" s="448" t="str">
        <f>_xlfn.IFNA(VLOOKUP($AP897,Programma!$F$3:$H$1101,3,0),"")</f>
        <v>_</v>
      </c>
      <c r="AS897" s="448" t="str">
        <f>_xlfn.IFNA(VLOOKUP($AP897,Programma!$F$3:$I$1101,4,0),"")</f>
        <v>4w</v>
      </c>
      <c r="AT897" s="448" t="str">
        <f>_xlfn.IFNA(VLOOKUP($AP897,Programma!$F$3:$J$1101,5,0),"")</f>
        <v>1w</v>
      </c>
      <c r="AU897" s="448" t="str">
        <f>_xlfn.IFNA(VLOOKUP($AP897,Programma!$F$3:$K$1101,6,0),"")</f>
        <v>1m</v>
      </c>
      <c r="AV897" s="448" t="str">
        <f>_xlfn.IFNA(VLOOKUP($AP897,Programma!$F$3:$L$1101,7,0),"")</f>
        <v>_</v>
      </c>
      <c r="AW897" s="448" t="str">
        <f>_xlfn.IFNA(VLOOKUP($AP897,Programma!$F$3:$M$1101,8,0),"")</f>
        <v>_</v>
      </c>
      <c r="AX897" s="448" t="str">
        <f>_xlfn.IFNA(VLOOKUP($AP897,Programma!$F$3:$N$1101,9,0),"")</f>
        <v>_</v>
      </c>
      <c r="AY897" s="448" t="str">
        <f>_xlfn.IFNA(VLOOKUP($AP897,Programma!$F$3:$O$1101,10,0),"")</f>
        <v>5w</v>
      </c>
      <c r="AZ897" s="448" t="str">
        <f>_xlfn.IFNA(VLOOKUP($AP897,Programma!$F$3:$P$1101,11,0),"")</f>
        <v>5w</v>
      </c>
      <c r="BA897" s="448" t="str">
        <f>_xlfn.IFNA(VLOOKUP($AP897,Programma!$F$3:$Q$1101,12,0),"")</f>
        <v>1w</v>
      </c>
      <c r="BB897" s="448" t="str">
        <f>_xlfn.IFNA(VLOOKUP($AP897,Programma!$F$3:$R$1101,13,0),"")</f>
        <v>1w</v>
      </c>
      <c r="BC897" s="448" t="str">
        <f>_xlfn.IFNA(VLOOKUP($AP897,Programma!$F$3:$S$1101,14,0),"")</f>
        <v>1m</v>
      </c>
      <c r="BD897" s="448" t="str">
        <f>_xlfn.IFNA(VLOOKUP($AP897,Programma!$F$3:$T$1101,15,0),"")</f>
        <v>2j</v>
      </c>
      <c r="BE897" s="448" t="str">
        <f>_xlfn.IFNA(VLOOKUP($AP897,Programma!$F$3:$U$1101,16,0),"")</f>
        <v>1j</v>
      </c>
      <c r="BF897" s="448" t="str">
        <f>_xlfn.IFNA(VLOOKUP($AP897,Programma!$F$3:$V$1101,17,0),"")</f>
        <v>_</v>
      </c>
      <c r="BG897" s="448" t="str">
        <f>_xlfn.IFNA(VLOOKUP($AP897,Programma!$F$3:$W$1101,18,0),"")</f>
        <v>_</v>
      </c>
      <c r="BH897" s="448" t="str">
        <f>_xlfn.IFNA(VLOOKUP($AP897,Programma!$F$3:$X$1101,19,0),"")</f>
        <v>_</v>
      </c>
      <c r="BI897" s="448" t="str">
        <f>_xlfn.IFNA(VLOOKUP($AP897,Programma!$F$3:$Y$1101,20,0),"")</f>
        <v>_</v>
      </c>
      <c r="BJ897" s="449"/>
      <c r="BK897" s="446" t="str">
        <f>IF(Ruimtestaat[[#This Row],[Frequentie weekend]]="","",_xlfn.CONCAT(Ruimtestaat[[#This Row],[Ruimte code]],"-",Ruimtestaat[[#This Row],[Frequentie weekend]]," ",Ruimtestaat[[#This Row],[Vloer code]]))</f>
        <v/>
      </c>
      <c r="BL897" s="448" t="str">
        <f>_xlfn.IFNA(VLOOKUP($BK897,Programma!$F$3:$G$1101,2,0),"")</f>
        <v/>
      </c>
      <c r="BM897" s="448" t="str">
        <f>_xlfn.IFNA(VLOOKUP($BK897,Programma!$F$3:$H$1101,3,0),"")</f>
        <v/>
      </c>
      <c r="BN897" s="448" t="str">
        <f>_xlfn.IFNA(VLOOKUP($BK897,Programma!$F$3:$I$1101,4,0),"")</f>
        <v/>
      </c>
      <c r="BO897" s="448" t="str">
        <f>_xlfn.IFNA(VLOOKUP($BK897,Programma!$F$3:$J$1101,5,0),"")</f>
        <v/>
      </c>
      <c r="BP897" s="448" t="str">
        <f>_xlfn.IFNA(VLOOKUP($BK897,Programma!$F$3:$K$1101,6,0),"")</f>
        <v/>
      </c>
      <c r="BQ897" s="448" t="str">
        <f>_xlfn.IFNA(VLOOKUP($BK897,Programma!$F$3:$L$1101,7,0),"")</f>
        <v/>
      </c>
      <c r="BR897" s="448" t="str">
        <f>_xlfn.IFNA(VLOOKUP($BK897,Programma!$F$3:$M$1101,8,0),"")</f>
        <v/>
      </c>
      <c r="BS897" s="448" t="str">
        <f>_xlfn.IFNA(VLOOKUP($BK897,Programma!$F$3:$N$1101,9,0),"")</f>
        <v/>
      </c>
      <c r="BT897" s="448" t="str">
        <f>_xlfn.IFNA(VLOOKUP($BK897,Programma!$F$3:$O$1101,10,0),"")</f>
        <v/>
      </c>
      <c r="BU897" s="448" t="str">
        <f>_xlfn.IFNA(VLOOKUP($BK897,Programma!$F$3:$P$1101,11,0),"")</f>
        <v/>
      </c>
      <c r="BV897" s="448" t="str">
        <f>_xlfn.IFNA(VLOOKUP($BK897,Programma!$F$3:$Q$1101,12,0),"")</f>
        <v/>
      </c>
      <c r="BW897" s="448" t="str">
        <f>_xlfn.IFNA(VLOOKUP($BK897,Programma!$F$3:$R$1101,13,0),"")</f>
        <v/>
      </c>
      <c r="BX897" s="448" t="str">
        <f>_xlfn.IFNA(VLOOKUP($BK897,Programma!$F$3:$S$1101,14,0),"")</f>
        <v/>
      </c>
      <c r="BY897" s="448" t="str">
        <f>_xlfn.IFNA(VLOOKUP($BK897,Programma!$F$3:$T$1101,15,0),"")</f>
        <v/>
      </c>
      <c r="BZ897" s="448" t="str">
        <f>_xlfn.IFNA(VLOOKUP($BK897,Programma!$F$3:$U$1101,16,0),"")</f>
        <v/>
      </c>
      <c r="CA897" s="448" t="str">
        <f>_xlfn.IFNA(VLOOKUP($BK897,Programma!$F$3:$V$1101,17,0),"")</f>
        <v/>
      </c>
      <c r="CB897" s="448" t="str">
        <f>_xlfn.IFNA(VLOOKUP($BK897,Programma!$F$3:$W$1101,18,0),"")</f>
        <v/>
      </c>
      <c r="CC897" s="448" t="str">
        <f>_xlfn.IFNA(VLOOKUP($BK897,Programma!$F$3:$X$1101,19,0),"")</f>
        <v/>
      </c>
      <c r="CD897" s="448" t="str">
        <f>_xlfn.IFNA(VLOOKUP($BK897,Programma!$F$3:$Y$1101,20,0),"")</f>
        <v/>
      </c>
    </row>
    <row r="898" spans="1:82" ht="15" customHeight="1">
      <c r="A898" s="327">
        <v>25</v>
      </c>
      <c r="B898" s="435" t="str">
        <f>VLOOKUP(Ruimtestaat[[#This Row],[Code]],Locaties[[Code]:[Locatie]],2,FALSE)</f>
        <v>IKC De Piramide</v>
      </c>
      <c r="C898" s="435" t="str">
        <f>VLOOKUP(Ruimtestaat[[#This Row],[Code]],Locaties[[#All],[Code]:[Adres]],4,FALSE)</f>
        <v>Fivelingo 84</v>
      </c>
      <c r="D898" s="435" t="str">
        <f>VLOOKUP(Ruimtestaat[[#This Row],[Code]],Locaties[[#All],[Code]:[Postcode]],5,FALSE)</f>
        <v>2716 BG</v>
      </c>
      <c r="E898" s="435" t="str">
        <f>VLOOKUP(Ruimtestaat[[#This Row],[Code]],Locaties[#All],6,FALSE)</f>
        <v>Zoetermeer</v>
      </c>
      <c r="F898" s="450" t="s">
        <v>2059</v>
      </c>
      <c r="G898" s="330" t="s">
        <v>1769</v>
      </c>
      <c r="H898" s="330" t="s">
        <v>1928</v>
      </c>
      <c r="I898" s="450" t="s">
        <v>1679</v>
      </c>
      <c r="J898" s="330">
        <v>16</v>
      </c>
      <c r="K898" s="450" t="str">
        <f>VLOOKUP(Ruimtestaat[[#This Row],[Ruimte code]],Ruimtegroepen[[#All],[Code]:[Ruimte omschrijving]],2,FALSE)</f>
        <v>Leslokalen</v>
      </c>
      <c r="L898" s="330" t="s">
        <v>101</v>
      </c>
      <c r="M898" s="437" t="s">
        <v>1816</v>
      </c>
      <c r="N898" s="439">
        <v>57</v>
      </c>
      <c r="O898" s="439"/>
      <c r="P898" s="439"/>
      <c r="Q898" s="439"/>
      <c r="R898" s="440" t="str">
        <f>VLOOKUP(Ruimtestaat[[#This Row],[Ruimte code]],Ruimtegroepen[],4,FALSE)</f>
        <v>Le</v>
      </c>
      <c r="S898" s="434">
        <v>40</v>
      </c>
      <c r="T898" s="434" t="s">
        <v>2</v>
      </c>
      <c r="U898" s="453">
        <f>IF(S898&gt;0,IF(RIGHT(Ruimtestaat[[#This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8" s="434">
        <f>IF(U898&gt;0,VLOOKUP($J898,Ruimtegroepen[],3,FALSE)*VLOOKUP($L898,Vloersoorten[],3,FALSE)*VLOOKUP($T898,Frequenties[],3,FALSE)*VLOOKUP($A898,Locaties[],3,FALSE),0)</f>
        <v>0</v>
      </c>
      <c r="W898" s="434">
        <f>Ruimtestaat[[#This Row],[Uitvoeringen werkdagen]]*Ruimtestaat[[#This Row],[Oppervlak (netto)]]</f>
        <v>11400</v>
      </c>
      <c r="X898" s="441">
        <f>IF(V898&gt;0,Ruimtestaat[[#This Row],[Prest. (m2 /jaar) werkdagen]]/Ruimtestaat[[#This Row],[Norm (m2/uur) werkdagen]],0)</f>
        <v>0</v>
      </c>
      <c r="Y898" s="442">
        <f>Ruimtestaat[[#This Row],[Uitvoeringen werkdagen]]*Ruimtestaat[[#This Row],[Gedeeltelijk]]</f>
        <v>0</v>
      </c>
      <c r="Z898" s="443" t="e">
        <f>IF(U898&gt;0,Ruimtestaat[[#This Row],[Prest. (m2 / jaar) werkdagen gedeeld]]/Ruimtestaat[[#This Row],[Norm (m2/uur) werkdagen]],0)</f>
        <v>#DIV/0!</v>
      </c>
      <c r="AA898" s="441" t="e">
        <f>Ruimtestaat[[#This Row],[uren / jaar werkdagen gedeeld]]*Tariefsopbouw!$E$35</f>
        <v>#DIV/0!</v>
      </c>
      <c r="AB898" s="441">
        <f>Ruimtestaat[[#This Row],[Uitvoeringen werkdagen]]*Ruimtestaat[[#This Row],[BSO]]</f>
        <v>0</v>
      </c>
      <c r="AC898" s="443" t="e">
        <f>IF(U898&gt;0,Ruimtestaat[[#This Row],[Prest. (m2 / jaar) werkdagen BSO]]/Ruimtestaat[[#This Row],[Norm (m2/uur) werkdagen]],0)</f>
        <v>#DIV/0!</v>
      </c>
      <c r="AD898" s="443" t="e">
        <f>Ruimtestaat[[#This Row],[uren / jaar werkdagen BSO]]*Tariefsopbouw!$E$35</f>
        <v>#DIV/0!</v>
      </c>
      <c r="AE898" s="444">
        <f>Ruimtestaat[[#This Row],[uren / jaar werkdagen]]*Tariefsopbouw!$E$35</f>
        <v>0</v>
      </c>
      <c r="AF898" s="454"/>
      <c r="AG898" s="455">
        <f>IF(Ruimtestaat[[#This Row],[Frequentie weekend]]&gt;0,VALUE(LEFT(AF898,1))*S898,0)</f>
        <v>0</v>
      </c>
      <c r="AH898" s="455">
        <f>IF($AG898&gt;0,VLOOKUP($J898,Ruimtegroepen[],3,FALSE)*VLOOKUP($L898,Vloersoorten[],3,FALSE)*VLOOKUP($AF898,Frequenties[],3,FALSE)*VLOOKUP(#REF!,Locaties[],3,FALSE),0)</f>
        <v>0</v>
      </c>
      <c r="AI898" s="434">
        <f>Ruimtestaat[[#This Row],[Uitvoeringen weekend]]*Ruimtestaat[[#This Row],[Oppervlak (netto)]]</f>
        <v>0</v>
      </c>
      <c r="AJ898" s="434">
        <f>IF(AH898&gt;0,Ruimtestaat[[#This Row],[Prest. (m2 /jaar) weekend]]/Ruimtestaat[[#This Row],[Norm (m2/uur) weekend]],0)</f>
        <v>0</v>
      </c>
      <c r="AK898" s="444">
        <f>Ruimtestaat[[#This Row],[uren / jaar weekend]]*Tariefsopbouw!$D$40</f>
        <v>0</v>
      </c>
      <c r="AL898" s="441">
        <f>Ruimtestaat[[#This Row],[Prest. (m2 /jaar) weekend]]+Ruimtestaat[[#This Row],[Prest. (m2 /jaar) werkdagen]]</f>
        <v>11400</v>
      </c>
      <c r="AM898" s="441">
        <f>Ruimtestaat[[#This Row],[uren / jaar weekend]]+Ruimtestaat[[#This Row],[uren / jaar werkdagen]]</f>
        <v>0</v>
      </c>
      <c r="AN898" s="446">
        <f>Ruimtestaat[[#This Row],[kosten / jaar weekend]]+Ruimtestaat[[#This Row],[kosten / jaar werkdagen]]</f>
        <v>0</v>
      </c>
      <c r="AO898" s="446"/>
      <c r="AP898" s="446" t="str">
        <f>IF(Ruimtestaat[[#This Row],[Frequentie werkdagen]]="","",_xlfn.CONCAT(Ruimtestaat[[#This Row],[Ruimte code]],"-",Ruimtestaat[[#This Row],[Frequentie werkdagen]]," ",Ruimtestaat[[#This Row],[Vloer code]]))</f>
        <v>16-5w S</v>
      </c>
      <c r="AQ898" s="448" t="str">
        <f>_xlfn.IFNA(VLOOKUP($AP898,Programma!$F$3:$G$1101,2,0),"")</f>
        <v>_</v>
      </c>
      <c r="AR898" s="448" t="str">
        <f>_xlfn.IFNA(VLOOKUP($AP898,Programma!$F$3:$H$1101,3,0),"")</f>
        <v>_</v>
      </c>
      <c r="AS898" s="448" t="str">
        <f>_xlfn.IFNA(VLOOKUP($AP898,Programma!$F$3:$I$1101,4,0),"")</f>
        <v>4w</v>
      </c>
      <c r="AT898" s="448" t="str">
        <f>_xlfn.IFNA(VLOOKUP($AP898,Programma!$F$3:$J$1101,5,0),"")</f>
        <v>1w</v>
      </c>
      <c r="AU898" s="448" t="str">
        <f>_xlfn.IFNA(VLOOKUP($AP898,Programma!$F$3:$K$1101,6,0),"")</f>
        <v>1m</v>
      </c>
      <c r="AV898" s="448" t="str">
        <f>_xlfn.IFNA(VLOOKUP($AP898,Programma!$F$3:$L$1101,7,0),"")</f>
        <v>_</v>
      </c>
      <c r="AW898" s="448" t="str">
        <f>_xlfn.IFNA(VLOOKUP($AP898,Programma!$F$3:$M$1101,8,0),"")</f>
        <v>_</v>
      </c>
      <c r="AX898" s="448" t="str">
        <f>_xlfn.IFNA(VLOOKUP($AP898,Programma!$F$3:$N$1101,9,0),"")</f>
        <v>_</v>
      </c>
      <c r="AY898" s="448" t="str">
        <f>_xlfn.IFNA(VLOOKUP($AP898,Programma!$F$3:$O$1101,10,0),"")</f>
        <v>5w</v>
      </c>
      <c r="AZ898" s="448" t="str">
        <f>_xlfn.IFNA(VLOOKUP($AP898,Programma!$F$3:$P$1101,11,0),"")</f>
        <v>5w</v>
      </c>
      <c r="BA898" s="448" t="str">
        <f>_xlfn.IFNA(VLOOKUP($AP898,Programma!$F$3:$Q$1101,12,0),"")</f>
        <v>1w</v>
      </c>
      <c r="BB898" s="448" t="str">
        <f>_xlfn.IFNA(VLOOKUP($AP898,Programma!$F$3:$R$1101,13,0),"")</f>
        <v>1w</v>
      </c>
      <c r="BC898" s="448" t="str">
        <f>_xlfn.IFNA(VLOOKUP($AP898,Programma!$F$3:$S$1101,14,0),"")</f>
        <v>1m</v>
      </c>
      <c r="BD898" s="448" t="str">
        <f>_xlfn.IFNA(VLOOKUP($AP898,Programma!$F$3:$T$1101,15,0),"")</f>
        <v>2j</v>
      </c>
      <c r="BE898" s="448" t="str">
        <f>_xlfn.IFNA(VLOOKUP($AP898,Programma!$F$3:$U$1101,16,0),"")</f>
        <v>1j</v>
      </c>
      <c r="BF898" s="448" t="str">
        <f>_xlfn.IFNA(VLOOKUP($AP898,Programma!$F$3:$V$1101,17,0),"")</f>
        <v>_</v>
      </c>
      <c r="BG898" s="448" t="str">
        <f>_xlfn.IFNA(VLOOKUP($AP898,Programma!$F$3:$W$1101,18,0),"")</f>
        <v>_</v>
      </c>
      <c r="BH898" s="448" t="str">
        <f>_xlfn.IFNA(VLOOKUP($AP898,Programma!$F$3:$X$1101,19,0),"")</f>
        <v>_</v>
      </c>
      <c r="BI898" s="448" t="str">
        <f>_xlfn.IFNA(VLOOKUP($AP898,Programma!$F$3:$Y$1101,20,0),"")</f>
        <v>_</v>
      </c>
      <c r="BJ898" s="449"/>
      <c r="BK898" s="446" t="str">
        <f>IF(Ruimtestaat[[#This Row],[Frequentie weekend]]="","",_xlfn.CONCAT(Ruimtestaat[[#This Row],[Ruimte code]],"-",Ruimtestaat[[#This Row],[Frequentie weekend]]," ",Ruimtestaat[[#This Row],[Vloer code]]))</f>
        <v/>
      </c>
      <c r="BL898" s="448" t="str">
        <f>_xlfn.IFNA(VLOOKUP($BK898,Programma!$F$3:$G$1101,2,0),"")</f>
        <v/>
      </c>
      <c r="BM898" s="448" t="str">
        <f>_xlfn.IFNA(VLOOKUP($BK898,Programma!$F$3:$H$1101,3,0),"")</f>
        <v/>
      </c>
      <c r="BN898" s="448" t="str">
        <f>_xlfn.IFNA(VLOOKUP($BK898,Programma!$F$3:$I$1101,4,0),"")</f>
        <v/>
      </c>
      <c r="BO898" s="448" t="str">
        <f>_xlfn.IFNA(VLOOKUP($BK898,Programma!$F$3:$J$1101,5,0),"")</f>
        <v/>
      </c>
      <c r="BP898" s="448" t="str">
        <f>_xlfn.IFNA(VLOOKUP($BK898,Programma!$F$3:$K$1101,6,0),"")</f>
        <v/>
      </c>
      <c r="BQ898" s="448" t="str">
        <f>_xlfn.IFNA(VLOOKUP($BK898,Programma!$F$3:$L$1101,7,0),"")</f>
        <v/>
      </c>
      <c r="BR898" s="448" t="str">
        <f>_xlfn.IFNA(VLOOKUP($BK898,Programma!$F$3:$M$1101,8,0),"")</f>
        <v/>
      </c>
      <c r="BS898" s="448" t="str">
        <f>_xlfn.IFNA(VLOOKUP($BK898,Programma!$F$3:$N$1101,9,0),"")</f>
        <v/>
      </c>
      <c r="BT898" s="448" t="str">
        <f>_xlfn.IFNA(VLOOKUP($BK898,Programma!$F$3:$O$1101,10,0),"")</f>
        <v/>
      </c>
      <c r="BU898" s="448" t="str">
        <f>_xlfn.IFNA(VLOOKUP($BK898,Programma!$F$3:$P$1101,11,0),"")</f>
        <v/>
      </c>
      <c r="BV898" s="448" t="str">
        <f>_xlfn.IFNA(VLOOKUP($BK898,Programma!$F$3:$Q$1101,12,0),"")</f>
        <v/>
      </c>
      <c r="BW898" s="448" t="str">
        <f>_xlfn.IFNA(VLOOKUP($BK898,Programma!$F$3:$R$1101,13,0),"")</f>
        <v/>
      </c>
      <c r="BX898" s="448" t="str">
        <f>_xlfn.IFNA(VLOOKUP($BK898,Programma!$F$3:$S$1101,14,0),"")</f>
        <v/>
      </c>
      <c r="BY898" s="448" t="str">
        <f>_xlfn.IFNA(VLOOKUP($BK898,Programma!$F$3:$T$1101,15,0),"")</f>
        <v/>
      </c>
      <c r="BZ898" s="448" t="str">
        <f>_xlfn.IFNA(VLOOKUP($BK898,Programma!$F$3:$U$1101,16,0),"")</f>
        <v/>
      </c>
      <c r="CA898" s="448" t="str">
        <f>_xlfn.IFNA(VLOOKUP($BK898,Programma!$F$3:$V$1101,17,0),"")</f>
        <v/>
      </c>
      <c r="CB898" s="448" t="str">
        <f>_xlfn.IFNA(VLOOKUP($BK898,Programma!$F$3:$W$1101,18,0),"")</f>
        <v/>
      </c>
      <c r="CC898" s="448" t="str">
        <f>_xlfn.IFNA(VLOOKUP($BK898,Programma!$F$3:$X$1101,19,0),"")</f>
        <v/>
      </c>
      <c r="CD898" s="448" t="str">
        <f>_xlfn.IFNA(VLOOKUP($BK898,Programma!$F$3:$Y$1101,20,0),"")</f>
        <v/>
      </c>
    </row>
    <row r="899" spans="1:82" ht="15" customHeight="1">
      <c r="A899" s="327">
        <v>25</v>
      </c>
      <c r="B899" s="435" t="str">
        <f>VLOOKUP(Ruimtestaat[[#This Row],[Code]],Locaties[[Code]:[Locatie]],2,FALSE)</f>
        <v>IKC De Piramide</v>
      </c>
      <c r="C899" s="435" t="str">
        <f>VLOOKUP(Ruimtestaat[[#This Row],[Code]],Locaties[[#All],[Code]:[Adres]],4,FALSE)</f>
        <v>Fivelingo 84</v>
      </c>
      <c r="D899" s="435" t="str">
        <f>VLOOKUP(Ruimtestaat[[#This Row],[Code]],Locaties[[#All],[Code]:[Postcode]],5,FALSE)</f>
        <v>2716 BG</v>
      </c>
      <c r="E899" s="435" t="str">
        <f>VLOOKUP(Ruimtestaat[[#This Row],[Code]],Locaties[#All],6,FALSE)</f>
        <v>Zoetermeer</v>
      </c>
      <c r="F899" s="450" t="s">
        <v>2059</v>
      </c>
      <c r="G899" s="330" t="s">
        <v>1769</v>
      </c>
      <c r="H899" s="330" t="s">
        <v>1929</v>
      </c>
      <c r="I899" s="450" t="s">
        <v>1679</v>
      </c>
      <c r="J899" s="330">
        <v>16</v>
      </c>
      <c r="K899" s="450" t="str">
        <f>VLOOKUP(Ruimtestaat[[#This Row],[Ruimte code]],Ruimtegroepen[[#All],[Code]:[Ruimte omschrijving]],2,FALSE)</f>
        <v>Leslokalen</v>
      </c>
      <c r="L899" s="330" t="s">
        <v>101</v>
      </c>
      <c r="M899" s="437" t="s">
        <v>1816</v>
      </c>
      <c r="N899" s="439">
        <v>58</v>
      </c>
      <c r="O899" s="439"/>
      <c r="P899" s="439"/>
      <c r="Q899" s="439"/>
      <c r="R899" s="440" t="str">
        <f>VLOOKUP(Ruimtestaat[[#This Row],[Ruimte code]],Ruimtegroepen[],4,FALSE)</f>
        <v>Le</v>
      </c>
      <c r="S899" s="434">
        <v>40</v>
      </c>
      <c r="T899" s="434" t="s">
        <v>2</v>
      </c>
      <c r="U899" s="453">
        <f>IF(S899&gt;0,IF(RIGHT(Ruimtestaat[[#This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9" s="434">
        <f>IF(U899&gt;0,VLOOKUP($J899,Ruimtegroepen[],3,FALSE)*VLOOKUP($L899,Vloersoorten[],3,FALSE)*VLOOKUP($T899,Frequenties[],3,FALSE)*VLOOKUP($A899,Locaties[],3,FALSE),0)</f>
        <v>0</v>
      </c>
      <c r="W899" s="434">
        <f>Ruimtestaat[[#This Row],[Uitvoeringen werkdagen]]*Ruimtestaat[[#This Row],[Oppervlak (netto)]]</f>
        <v>11600</v>
      </c>
      <c r="X899" s="441">
        <f>IF(V899&gt;0,Ruimtestaat[[#This Row],[Prest. (m2 /jaar) werkdagen]]/Ruimtestaat[[#This Row],[Norm (m2/uur) werkdagen]],0)</f>
        <v>0</v>
      </c>
      <c r="Y899" s="442">
        <f>Ruimtestaat[[#This Row],[Uitvoeringen werkdagen]]*Ruimtestaat[[#This Row],[Gedeeltelijk]]</f>
        <v>0</v>
      </c>
      <c r="Z899" s="443" t="e">
        <f>IF(U899&gt;0,Ruimtestaat[[#This Row],[Prest. (m2 / jaar) werkdagen gedeeld]]/Ruimtestaat[[#This Row],[Norm (m2/uur) werkdagen]],0)</f>
        <v>#DIV/0!</v>
      </c>
      <c r="AA899" s="441" t="e">
        <f>Ruimtestaat[[#This Row],[uren / jaar werkdagen gedeeld]]*Tariefsopbouw!$E$35</f>
        <v>#DIV/0!</v>
      </c>
      <c r="AB899" s="441">
        <f>Ruimtestaat[[#This Row],[Uitvoeringen werkdagen]]*Ruimtestaat[[#This Row],[BSO]]</f>
        <v>0</v>
      </c>
      <c r="AC899" s="443" t="e">
        <f>IF(U899&gt;0,Ruimtestaat[[#This Row],[Prest. (m2 / jaar) werkdagen BSO]]/Ruimtestaat[[#This Row],[Norm (m2/uur) werkdagen]],0)</f>
        <v>#DIV/0!</v>
      </c>
      <c r="AD899" s="443" t="e">
        <f>Ruimtestaat[[#This Row],[uren / jaar werkdagen BSO]]*Tariefsopbouw!$E$35</f>
        <v>#DIV/0!</v>
      </c>
      <c r="AE899" s="444">
        <f>Ruimtestaat[[#This Row],[uren / jaar werkdagen]]*Tariefsopbouw!$E$35</f>
        <v>0</v>
      </c>
      <c r="AF899" s="454"/>
      <c r="AG899" s="455">
        <f>IF(Ruimtestaat[[#This Row],[Frequentie weekend]]&gt;0,VALUE(LEFT(AF899,1))*S899,0)</f>
        <v>0</v>
      </c>
      <c r="AH899" s="455">
        <f>IF($AG899&gt;0,VLOOKUP($J899,Ruimtegroepen[],3,FALSE)*VLOOKUP($L899,Vloersoorten[],3,FALSE)*VLOOKUP($AF899,Frequenties[],3,FALSE)*VLOOKUP(#REF!,Locaties[],3,FALSE),0)</f>
        <v>0</v>
      </c>
      <c r="AI899" s="434">
        <f>Ruimtestaat[[#This Row],[Uitvoeringen weekend]]*Ruimtestaat[[#This Row],[Oppervlak (netto)]]</f>
        <v>0</v>
      </c>
      <c r="AJ899" s="434">
        <f>IF(AH899&gt;0,Ruimtestaat[[#This Row],[Prest. (m2 /jaar) weekend]]/Ruimtestaat[[#This Row],[Norm (m2/uur) weekend]],0)</f>
        <v>0</v>
      </c>
      <c r="AK899" s="444">
        <f>Ruimtestaat[[#This Row],[uren / jaar weekend]]*Tariefsopbouw!$D$40</f>
        <v>0</v>
      </c>
      <c r="AL899" s="441">
        <f>Ruimtestaat[[#This Row],[Prest. (m2 /jaar) weekend]]+Ruimtestaat[[#This Row],[Prest. (m2 /jaar) werkdagen]]</f>
        <v>11600</v>
      </c>
      <c r="AM899" s="441">
        <f>Ruimtestaat[[#This Row],[uren / jaar weekend]]+Ruimtestaat[[#This Row],[uren / jaar werkdagen]]</f>
        <v>0</v>
      </c>
      <c r="AN899" s="446">
        <f>Ruimtestaat[[#This Row],[kosten / jaar weekend]]+Ruimtestaat[[#This Row],[kosten / jaar werkdagen]]</f>
        <v>0</v>
      </c>
      <c r="AO899" s="446"/>
      <c r="AP899" s="446" t="str">
        <f>IF(Ruimtestaat[[#This Row],[Frequentie werkdagen]]="","",_xlfn.CONCAT(Ruimtestaat[[#This Row],[Ruimte code]],"-",Ruimtestaat[[#This Row],[Frequentie werkdagen]]," ",Ruimtestaat[[#This Row],[Vloer code]]))</f>
        <v>16-5w S</v>
      </c>
      <c r="AQ899" s="448" t="str">
        <f>_xlfn.IFNA(VLOOKUP($AP899,Programma!$F$3:$G$1101,2,0),"")</f>
        <v>_</v>
      </c>
      <c r="AR899" s="448" t="str">
        <f>_xlfn.IFNA(VLOOKUP($AP899,Programma!$F$3:$H$1101,3,0),"")</f>
        <v>_</v>
      </c>
      <c r="AS899" s="448" t="str">
        <f>_xlfn.IFNA(VLOOKUP($AP899,Programma!$F$3:$I$1101,4,0),"")</f>
        <v>4w</v>
      </c>
      <c r="AT899" s="448" t="str">
        <f>_xlfn.IFNA(VLOOKUP($AP899,Programma!$F$3:$J$1101,5,0),"")</f>
        <v>1w</v>
      </c>
      <c r="AU899" s="448" t="str">
        <f>_xlfn.IFNA(VLOOKUP($AP899,Programma!$F$3:$K$1101,6,0),"")</f>
        <v>1m</v>
      </c>
      <c r="AV899" s="448" t="str">
        <f>_xlfn.IFNA(VLOOKUP($AP899,Programma!$F$3:$L$1101,7,0),"")</f>
        <v>_</v>
      </c>
      <c r="AW899" s="448" t="str">
        <f>_xlfn.IFNA(VLOOKUP($AP899,Programma!$F$3:$M$1101,8,0),"")</f>
        <v>_</v>
      </c>
      <c r="AX899" s="448" t="str">
        <f>_xlfn.IFNA(VLOOKUP($AP899,Programma!$F$3:$N$1101,9,0),"")</f>
        <v>_</v>
      </c>
      <c r="AY899" s="448" t="str">
        <f>_xlfn.IFNA(VLOOKUP($AP899,Programma!$F$3:$O$1101,10,0),"")</f>
        <v>5w</v>
      </c>
      <c r="AZ899" s="448" t="str">
        <f>_xlfn.IFNA(VLOOKUP($AP899,Programma!$F$3:$P$1101,11,0),"")</f>
        <v>5w</v>
      </c>
      <c r="BA899" s="448" t="str">
        <f>_xlfn.IFNA(VLOOKUP($AP899,Programma!$F$3:$Q$1101,12,0),"")</f>
        <v>1w</v>
      </c>
      <c r="BB899" s="448" t="str">
        <f>_xlfn.IFNA(VLOOKUP($AP899,Programma!$F$3:$R$1101,13,0),"")</f>
        <v>1w</v>
      </c>
      <c r="BC899" s="448" t="str">
        <f>_xlfn.IFNA(VLOOKUP($AP899,Programma!$F$3:$S$1101,14,0),"")</f>
        <v>1m</v>
      </c>
      <c r="BD899" s="448" t="str">
        <f>_xlfn.IFNA(VLOOKUP($AP899,Programma!$F$3:$T$1101,15,0),"")</f>
        <v>2j</v>
      </c>
      <c r="BE899" s="448" t="str">
        <f>_xlfn.IFNA(VLOOKUP($AP899,Programma!$F$3:$U$1101,16,0),"")</f>
        <v>1j</v>
      </c>
      <c r="BF899" s="448" t="str">
        <f>_xlfn.IFNA(VLOOKUP($AP899,Programma!$F$3:$V$1101,17,0),"")</f>
        <v>_</v>
      </c>
      <c r="BG899" s="448" t="str">
        <f>_xlfn.IFNA(VLOOKUP($AP899,Programma!$F$3:$W$1101,18,0),"")</f>
        <v>_</v>
      </c>
      <c r="BH899" s="448" t="str">
        <f>_xlfn.IFNA(VLOOKUP($AP899,Programma!$F$3:$X$1101,19,0),"")</f>
        <v>_</v>
      </c>
      <c r="BI899" s="448" t="str">
        <f>_xlfn.IFNA(VLOOKUP($AP899,Programma!$F$3:$Y$1101,20,0),"")</f>
        <v>_</v>
      </c>
      <c r="BJ899" s="449"/>
      <c r="BK899" s="446" t="str">
        <f>IF(Ruimtestaat[[#This Row],[Frequentie weekend]]="","",_xlfn.CONCAT(Ruimtestaat[[#This Row],[Ruimte code]],"-",Ruimtestaat[[#This Row],[Frequentie weekend]]," ",Ruimtestaat[[#This Row],[Vloer code]]))</f>
        <v/>
      </c>
      <c r="BL899" s="448" t="str">
        <f>_xlfn.IFNA(VLOOKUP($BK899,Programma!$F$3:$G$1101,2,0),"")</f>
        <v/>
      </c>
      <c r="BM899" s="448" t="str">
        <f>_xlfn.IFNA(VLOOKUP($BK899,Programma!$F$3:$H$1101,3,0),"")</f>
        <v/>
      </c>
      <c r="BN899" s="448" t="str">
        <f>_xlfn.IFNA(VLOOKUP($BK899,Programma!$F$3:$I$1101,4,0),"")</f>
        <v/>
      </c>
      <c r="BO899" s="448" t="str">
        <f>_xlfn.IFNA(VLOOKUP($BK899,Programma!$F$3:$J$1101,5,0),"")</f>
        <v/>
      </c>
      <c r="BP899" s="448" t="str">
        <f>_xlfn.IFNA(VLOOKUP($BK899,Programma!$F$3:$K$1101,6,0),"")</f>
        <v/>
      </c>
      <c r="BQ899" s="448" t="str">
        <f>_xlfn.IFNA(VLOOKUP($BK899,Programma!$F$3:$L$1101,7,0),"")</f>
        <v/>
      </c>
      <c r="BR899" s="448" t="str">
        <f>_xlfn.IFNA(VLOOKUP($BK899,Programma!$F$3:$M$1101,8,0),"")</f>
        <v/>
      </c>
      <c r="BS899" s="448" t="str">
        <f>_xlfn.IFNA(VLOOKUP($BK899,Programma!$F$3:$N$1101,9,0),"")</f>
        <v/>
      </c>
      <c r="BT899" s="448" t="str">
        <f>_xlfn.IFNA(VLOOKUP($BK899,Programma!$F$3:$O$1101,10,0),"")</f>
        <v/>
      </c>
      <c r="BU899" s="448" t="str">
        <f>_xlfn.IFNA(VLOOKUP($BK899,Programma!$F$3:$P$1101,11,0),"")</f>
        <v/>
      </c>
      <c r="BV899" s="448" t="str">
        <f>_xlfn.IFNA(VLOOKUP($BK899,Programma!$F$3:$Q$1101,12,0),"")</f>
        <v/>
      </c>
      <c r="BW899" s="448" t="str">
        <f>_xlfn.IFNA(VLOOKUP($BK899,Programma!$F$3:$R$1101,13,0),"")</f>
        <v/>
      </c>
      <c r="BX899" s="448" t="str">
        <f>_xlfn.IFNA(VLOOKUP($BK899,Programma!$F$3:$S$1101,14,0),"")</f>
        <v/>
      </c>
      <c r="BY899" s="448" t="str">
        <f>_xlfn.IFNA(VLOOKUP($BK899,Programma!$F$3:$T$1101,15,0),"")</f>
        <v/>
      </c>
      <c r="BZ899" s="448" t="str">
        <f>_xlfn.IFNA(VLOOKUP($BK899,Programma!$F$3:$U$1101,16,0),"")</f>
        <v/>
      </c>
      <c r="CA899" s="448" t="str">
        <f>_xlfn.IFNA(VLOOKUP($BK899,Programma!$F$3:$V$1101,17,0),"")</f>
        <v/>
      </c>
      <c r="CB899" s="448" t="str">
        <f>_xlfn.IFNA(VLOOKUP($BK899,Programma!$F$3:$W$1101,18,0),"")</f>
        <v/>
      </c>
      <c r="CC899" s="448" t="str">
        <f>_xlfn.IFNA(VLOOKUP($BK899,Programma!$F$3:$X$1101,19,0),"")</f>
        <v/>
      </c>
      <c r="CD899" s="448" t="str">
        <f>_xlfn.IFNA(VLOOKUP($BK899,Programma!$F$3:$Y$1101,20,0),"")</f>
        <v/>
      </c>
    </row>
    <row r="900" spans="1:82" ht="15" customHeight="1">
      <c r="A900" s="327">
        <v>25</v>
      </c>
      <c r="B900" s="435" t="str">
        <f>VLOOKUP(Ruimtestaat[[#This Row],[Code]],Locaties[[Code]:[Locatie]],2,FALSE)</f>
        <v>IKC De Piramide</v>
      </c>
      <c r="C900" s="435" t="str">
        <f>VLOOKUP(Ruimtestaat[[#This Row],[Code]],Locaties[[#All],[Code]:[Adres]],4,FALSE)</f>
        <v>Fivelingo 84</v>
      </c>
      <c r="D900" s="435" t="str">
        <f>VLOOKUP(Ruimtestaat[[#This Row],[Code]],Locaties[[#All],[Code]:[Postcode]],5,FALSE)</f>
        <v>2716 BG</v>
      </c>
      <c r="E900" s="435" t="str">
        <f>VLOOKUP(Ruimtestaat[[#This Row],[Code]],Locaties[#All],6,FALSE)</f>
        <v>Zoetermeer</v>
      </c>
      <c r="F900" s="450" t="s">
        <v>2059</v>
      </c>
      <c r="G900" s="330" t="s">
        <v>1769</v>
      </c>
      <c r="H900" s="330" t="s">
        <v>1930</v>
      </c>
      <c r="I900" s="450" t="s">
        <v>1679</v>
      </c>
      <c r="J900" s="330">
        <v>16</v>
      </c>
      <c r="K900" s="450" t="str">
        <f>VLOOKUP(Ruimtestaat[[#This Row],[Ruimte code]],Ruimtegroepen[[#All],[Code]:[Ruimte omschrijving]],2,FALSE)</f>
        <v>Leslokalen</v>
      </c>
      <c r="L900" s="330" t="s">
        <v>101</v>
      </c>
      <c r="M900" s="437" t="s">
        <v>1816</v>
      </c>
      <c r="N900" s="439">
        <v>57</v>
      </c>
      <c r="O900" s="439"/>
      <c r="P900" s="439"/>
      <c r="Q900" s="439"/>
      <c r="R900" s="440" t="str">
        <f>VLOOKUP(Ruimtestaat[[#This Row],[Ruimte code]],Ruimtegroepen[],4,FALSE)</f>
        <v>Le</v>
      </c>
      <c r="S900" s="434">
        <v>40</v>
      </c>
      <c r="T900" s="434" t="s">
        <v>2</v>
      </c>
      <c r="U900" s="453">
        <f>IF(S900&gt;0,IF(RIGHT(Ruimtestaat[[#This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0" s="434">
        <f>IF(U900&gt;0,VLOOKUP($J900,Ruimtegroepen[],3,FALSE)*VLOOKUP($L900,Vloersoorten[],3,FALSE)*VLOOKUP($T900,Frequenties[],3,FALSE)*VLOOKUP($A900,Locaties[],3,FALSE),0)</f>
        <v>0</v>
      </c>
      <c r="W900" s="434">
        <f>Ruimtestaat[[#This Row],[Uitvoeringen werkdagen]]*Ruimtestaat[[#This Row],[Oppervlak (netto)]]</f>
        <v>11400</v>
      </c>
      <c r="X900" s="441">
        <f>IF(V900&gt;0,Ruimtestaat[[#This Row],[Prest. (m2 /jaar) werkdagen]]/Ruimtestaat[[#This Row],[Norm (m2/uur) werkdagen]],0)</f>
        <v>0</v>
      </c>
      <c r="Y900" s="442">
        <f>Ruimtestaat[[#This Row],[Uitvoeringen werkdagen]]*Ruimtestaat[[#This Row],[Gedeeltelijk]]</f>
        <v>0</v>
      </c>
      <c r="Z900" s="443" t="e">
        <f>IF(U900&gt;0,Ruimtestaat[[#This Row],[Prest. (m2 / jaar) werkdagen gedeeld]]/Ruimtestaat[[#This Row],[Norm (m2/uur) werkdagen]],0)</f>
        <v>#DIV/0!</v>
      </c>
      <c r="AA900" s="441" t="e">
        <f>Ruimtestaat[[#This Row],[uren / jaar werkdagen gedeeld]]*Tariefsopbouw!$E$35</f>
        <v>#DIV/0!</v>
      </c>
      <c r="AB900" s="441">
        <f>Ruimtestaat[[#This Row],[Uitvoeringen werkdagen]]*Ruimtestaat[[#This Row],[BSO]]</f>
        <v>0</v>
      </c>
      <c r="AC900" s="443" t="e">
        <f>IF(U900&gt;0,Ruimtestaat[[#This Row],[Prest. (m2 / jaar) werkdagen BSO]]/Ruimtestaat[[#This Row],[Norm (m2/uur) werkdagen]],0)</f>
        <v>#DIV/0!</v>
      </c>
      <c r="AD900" s="443" t="e">
        <f>Ruimtestaat[[#This Row],[uren / jaar werkdagen BSO]]*Tariefsopbouw!$E$35</f>
        <v>#DIV/0!</v>
      </c>
      <c r="AE900" s="444">
        <f>Ruimtestaat[[#This Row],[uren / jaar werkdagen]]*Tariefsopbouw!$E$35</f>
        <v>0</v>
      </c>
      <c r="AF900" s="454"/>
      <c r="AG900" s="455">
        <f>IF(Ruimtestaat[[#This Row],[Frequentie weekend]]&gt;0,VALUE(LEFT(AF900,1))*S900,0)</f>
        <v>0</v>
      </c>
      <c r="AH900" s="455">
        <f>IF($AG900&gt;0,VLOOKUP($J900,Ruimtegroepen[],3,FALSE)*VLOOKUP($L900,Vloersoorten[],3,FALSE)*VLOOKUP($AF900,Frequenties[],3,FALSE)*VLOOKUP(#REF!,Locaties[],3,FALSE),0)</f>
        <v>0</v>
      </c>
      <c r="AI900" s="434">
        <f>Ruimtestaat[[#This Row],[Uitvoeringen weekend]]*Ruimtestaat[[#This Row],[Oppervlak (netto)]]</f>
        <v>0</v>
      </c>
      <c r="AJ900" s="434">
        <f>IF(AH900&gt;0,Ruimtestaat[[#This Row],[Prest. (m2 /jaar) weekend]]/Ruimtestaat[[#This Row],[Norm (m2/uur) weekend]],0)</f>
        <v>0</v>
      </c>
      <c r="AK900" s="444">
        <f>Ruimtestaat[[#This Row],[uren / jaar weekend]]*Tariefsopbouw!$D$40</f>
        <v>0</v>
      </c>
      <c r="AL900" s="441">
        <f>Ruimtestaat[[#This Row],[Prest. (m2 /jaar) weekend]]+Ruimtestaat[[#This Row],[Prest. (m2 /jaar) werkdagen]]</f>
        <v>11400</v>
      </c>
      <c r="AM900" s="441">
        <f>Ruimtestaat[[#This Row],[uren / jaar weekend]]+Ruimtestaat[[#This Row],[uren / jaar werkdagen]]</f>
        <v>0</v>
      </c>
      <c r="AN900" s="446">
        <f>Ruimtestaat[[#This Row],[kosten / jaar weekend]]+Ruimtestaat[[#This Row],[kosten / jaar werkdagen]]</f>
        <v>0</v>
      </c>
      <c r="AO900" s="446"/>
      <c r="AP900" s="446" t="str">
        <f>IF(Ruimtestaat[[#This Row],[Frequentie werkdagen]]="","",_xlfn.CONCAT(Ruimtestaat[[#This Row],[Ruimte code]],"-",Ruimtestaat[[#This Row],[Frequentie werkdagen]]," ",Ruimtestaat[[#This Row],[Vloer code]]))</f>
        <v>16-5w S</v>
      </c>
      <c r="AQ900" s="448" t="str">
        <f>_xlfn.IFNA(VLOOKUP($AP900,Programma!$F$3:$G$1101,2,0),"")</f>
        <v>_</v>
      </c>
      <c r="AR900" s="448" t="str">
        <f>_xlfn.IFNA(VLOOKUP($AP900,Programma!$F$3:$H$1101,3,0),"")</f>
        <v>_</v>
      </c>
      <c r="AS900" s="448" t="str">
        <f>_xlfn.IFNA(VLOOKUP($AP900,Programma!$F$3:$I$1101,4,0),"")</f>
        <v>4w</v>
      </c>
      <c r="AT900" s="448" t="str">
        <f>_xlfn.IFNA(VLOOKUP($AP900,Programma!$F$3:$J$1101,5,0),"")</f>
        <v>1w</v>
      </c>
      <c r="AU900" s="448" t="str">
        <f>_xlfn.IFNA(VLOOKUP($AP900,Programma!$F$3:$K$1101,6,0),"")</f>
        <v>1m</v>
      </c>
      <c r="AV900" s="448" t="str">
        <f>_xlfn.IFNA(VLOOKUP($AP900,Programma!$F$3:$L$1101,7,0),"")</f>
        <v>_</v>
      </c>
      <c r="AW900" s="448" t="str">
        <f>_xlfn.IFNA(VLOOKUP($AP900,Programma!$F$3:$M$1101,8,0),"")</f>
        <v>_</v>
      </c>
      <c r="AX900" s="448" t="str">
        <f>_xlfn.IFNA(VLOOKUP($AP900,Programma!$F$3:$N$1101,9,0),"")</f>
        <v>_</v>
      </c>
      <c r="AY900" s="448" t="str">
        <f>_xlfn.IFNA(VLOOKUP($AP900,Programma!$F$3:$O$1101,10,0),"")</f>
        <v>5w</v>
      </c>
      <c r="AZ900" s="448" t="str">
        <f>_xlfn.IFNA(VLOOKUP($AP900,Programma!$F$3:$P$1101,11,0),"")</f>
        <v>5w</v>
      </c>
      <c r="BA900" s="448" t="str">
        <f>_xlfn.IFNA(VLOOKUP($AP900,Programma!$F$3:$Q$1101,12,0),"")</f>
        <v>1w</v>
      </c>
      <c r="BB900" s="448" t="str">
        <f>_xlfn.IFNA(VLOOKUP($AP900,Programma!$F$3:$R$1101,13,0),"")</f>
        <v>1w</v>
      </c>
      <c r="BC900" s="448" t="str">
        <f>_xlfn.IFNA(VLOOKUP($AP900,Programma!$F$3:$S$1101,14,0),"")</f>
        <v>1m</v>
      </c>
      <c r="BD900" s="448" t="str">
        <f>_xlfn.IFNA(VLOOKUP($AP900,Programma!$F$3:$T$1101,15,0),"")</f>
        <v>2j</v>
      </c>
      <c r="BE900" s="448" t="str">
        <f>_xlfn.IFNA(VLOOKUP($AP900,Programma!$F$3:$U$1101,16,0),"")</f>
        <v>1j</v>
      </c>
      <c r="BF900" s="448" t="str">
        <f>_xlfn.IFNA(VLOOKUP($AP900,Programma!$F$3:$V$1101,17,0),"")</f>
        <v>_</v>
      </c>
      <c r="BG900" s="448" t="str">
        <f>_xlfn.IFNA(VLOOKUP($AP900,Programma!$F$3:$W$1101,18,0),"")</f>
        <v>_</v>
      </c>
      <c r="BH900" s="448" t="str">
        <f>_xlfn.IFNA(VLOOKUP($AP900,Programma!$F$3:$X$1101,19,0),"")</f>
        <v>_</v>
      </c>
      <c r="BI900" s="448" t="str">
        <f>_xlfn.IFNA(VLOOKUP($AP900,Programma!$F$3:$Y$1101,20,0),"")</f>
        <v>_</v>
      </c>
      <c r="BJ900" s="449"/>
      <c r="BK900" s="446" t="str">
        <f>IF(Ruimtestaat[[#This Row],[Frequentie weekend]]="","",_xlfn.CONCAT(Ruimtestaat[[#This Row],[Ruimte code]],"-",Ruimtestaat[[#This Row],[Frequentie weekend]]," ",Ruimtestaat[[#This Row],[Vloer code]]))</f>
        <v/>
      </c>
      <c r="BL900" s="448" t="str">
        <f>_xlfn.IFNA(VLOOKUP($BK900,Programma!$F$3:$G$1101,2,0),"")</f>
        <v/>
      </c>
      <c r="BM900" s="448" t="str">
        <f>_xlfn.IFNA(VLOOKUP($BK900,Programma!$F$3:$H$1101,3,0),"")</f>
        <v/>
      </c>
      <c r="BN900" s="448" t="str">
        <f>_xlfn.IFNA(VLOOKUP($BK900,Programma!$F$3:$I$1101,4,0),"")</f>
        <v/>
      </c>
      <c r="BO900" s="448" t="str">
        <f>_xlfn.IFNA(VLOOKUP($BK900,Programma!$F$3:$J$1101,5,0),"")</f>
        <v/>
      </c>
      <c r="BP900" s="448" t="str">
        <f>_xlfn.IFNA(VLOOKUP($BK900,Programma!$F$3:$K$1101,6,0),"")</f>
        <v/>
      </c>
      <c r="BQ900" s="448" t="str">
        <f>_xlfn.IFNA(VLOOKUP($BK900,Programma!$F$3:$L$1101,7,0),"")</f>
        <v/>
      </c>
      <c r="BR900" s="448" t="str">
        <f>_xlfn.IFNA(VLOOKUP($BK900,Programma!$F$3:$M$1101,8,0),"")</f>
        <v/>
      </c>
      <c r="BS900" s="448" t="str">
        <f>_xlfn.IFNA(VLOOKUP($BK900,Programma!$F$3:$N$1101,9,0),"")</f>
        <v/>
      </c>
      <c r="BT900" s="448" t="str">
        <f>_xlfn.IFNA(VLOOKUP($BK900,Programma!$F$3:$O$1101,10,0),"")</f>
        <v/>
      </c>
      <c r="BU900" s="448" t="str">
        <f>_xlfn.IFNA(VLOOKUP($BK900,Programma!$F$3:$P$1101,11,0),"")</f>
        <v/>
      </c>
      <c r="BV900" s="448" t="str">
        <f>_xlfn.IFNA(VLOOKUP($BK900,Programma!$F$3:$Q$1101,12,0),"")</f>
        <v/>
      </c>
      <c r="BW900" s="448" t="str">
        <f>_xlfn.IFNA(VLOOKUP($BK900,Programma!$F$3:$R$1101,13,0),"")</f>
        <v/>
      </c>
      <c r="BX900" s="448" t="str">
        <f>_xlfn.IFNA(VLOOKUP($BK900,Programma!$F$3:$S$1101,14,0),"")</f>
        <v/>
      </c>
      <c r="BY900" s="448" t="str">
        <f>_xlfn.IFNA(VLOOKUP($BK900,Programma!$F$3:$T$1101,15,0),"")</f>
        <v/>
      </c>
      <c r="BZ900" s="448" t="str">
        <f>_xlfn.IFNA(VLOOKUP($BK900,Programma!$F$3:$U$1101,16,0),"")</f>
        <v/>
      </c>
      <c r="CA900" s="448" t="str">
        <f>_xlfn.IFNA(VLOOKUP($BK900,Programma!$F$3:$V$1101,17,0),"")</f>
        <v/>
      </c>
      <c r="CB900" s="448" t="str">
        <f>_xlfn.IFNA(VLOOKUP($BK900,Programma!$F$3:$W$1101,18,0),"")</f>
        <v/>
      </c>
      <c r="CC900" s="448" t="str">
        <f>_xlfn.IFNA(VLOOKUP($BK900,Programma!$F$3:$X$1101,19,0),"")</f>
        <v/>
      </c>
      <c r="CD900" s="448" t="str">
        <f>_xlfn.IFNA(VLOOKUP($BK900,Programma!$F$3:$Y$1101,20,0),"")</f>
        <v/>
      </c>
    </row>
    <row r="901" spans="1:82" ht="15" customHeight="1">
      <c r="A901" s="327">
        <v>25</v>
      </c>
      <c r="B901" s="435" t="str">
        <f>VLOOKUP(Ruimtestaat[[#This Row],[Code]],Locaties[[Code]:[Locatie]],2,FALSE)</f>
        <v>IKC De Piramide</v>
      </c>
      <c r="C901" s="435" t="str">
        <f>VLOOKUP(Ruimtestaat[[#This Row],[Code]],Locaties[[#All],[Code]:[Adres]],4,FALSE)</f>
        <v>Fivelingo 84</v>
      </c>
      <c r="D901" s="435" t="str">
        <f>VLOOKUP(Ruimtestaat[[#This Row],[Code]],Locaties[[#All],[Code]:[Postcode]],5,FALSE)</f>
        <v>2716 BG</v>
      </c>
      <c r="E901" s="435" t="str">
        <f>VLOOKUP(Ruimtestaat[[#This Row],[Code]],Locaties[#All],6,FALSE)</f>
        <v>Zoetermeer</v>
      </c>
      <c r="F901" s="450" t="s">
        <v>2059</v>
      </c>
      <c r="G901" s="330" t="s">
        <v>1769</v>
      </c>
      <c r="H901" s="330" t="s">
        <v>1752</v>
      </c>
      <c r="I901" s="450" t="s">
        <v>1749</v>
      </c>
      <c r="J901" s="330">
        <v>2</v>
      </c>
      <c r="K901" s="450" t="str">
        <f>VLOOKUP(Ruimtestaat[[#This Row],[Ruimte code]],Ruimtegroepen[[#All],[Code]:[Ruimte omschrijving]],2,FALSE)</f>
        <v>Kantoren</v>
      </c>
      <c r="L901" s="330" t="s">
        <v>101</v>
      </c>
      <c r="M901" s="437" t="s">
        <v>1816</v>
      </c>
      <c r="N901" s="439">
        <v>15</v>
      </c>
      <c r="O901" s="439"/>
      <c r="P901" s="439"/>
      <c r="Q901" s="439"/>
      <c r="R901" s="440" t="str">
        <f>VLOOKUP(Ruimtestaat[[#This Row],[Ruimte code]],Ruimtegroepen[],4,FALSE)</f>
        <v>Bu</v>
      </c>
      <c r="S901" s="434">
        <v>41</v>
      </c>
      <c r="T901" s="434" t="s">
        <v>2</v>
      </c>
      <c r="U901" s="453">
        <f>IF(S901&gt;0,IF(RIGHT(Ruimtestaat[[#This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01" s="434">
        <f>IF(U901&gt;0,VLOOKUP($J901,Ruimtegroepen[],3,FALSE)*VLOOKUP($L901,Vloersoorten[],3,FALSE)*VLOOKUP($T901,Frequenties[],3,FALSE)*VLOOKUP($A901,Locaties[],3,FALSE),0)</f>
        <v>0</v>
      </c>
      <c r="W901" s="434">
        <f>Ruimtestaat[[#This Row],[Uitvoeringen werkdagen]]*Ruimtestaat[[#This Row],[Oppervlak (netto)]]</f>
        <v>3075</v>
      </c>
      <c r="X901" s="441">
        <f>IF(V901&gt;0,Ruimtestaat[[#This Row],[Prest. (m2 /jaar) werkdagen]]/Ruimtestaat[[#This Row],[Norm (m2/uur) werkdagen]],0)</f>
        <v>0</v>
      </c>
      <c r="Y901" s="442">
        <f>Ruimtestaat[[#This Row],[Uitvoeringen werkdagen]]*Ruimtestaat[[#This Row],[Gedeeltelijk]]</f>
        <v>0</v>
      </c>
      <c r="Z901" s="443" t="e">
        <f>IF(U901&gt;0,Ruimtestaat[[#This Row],[Prest. (m2 / jaar) werkdagen gedeeld]]/Ruimtestaat[[#This Row],[Norm (m2/uur) werkdagen]],0)</f>
        <v>#DIV/0!</v>
      </c>
      <c r="AA901" s="441" t="e">
        <f>Ruimtestaat[[#This Row],[uren / jaar werkdagen gedeeld]]*Tariefsopbouw!$E$35</f>
        <v>#DIV/0!</v>
      </c>
      <c r="AB901" s="441">
        <f>Ruimtestaat[[#This Row],[Uitvoeringen werkdagen]]*Ruimtestaat[[#This Row],[BSO]]</f>
        <v>0</v>
      </c>
      <c r="AC901" s="443" t="e">
        <f>IF(U901&gt;0,Ruimtestaat[[#This Row],[Prest. (m2 / jaar) werkdagen BSO]]/Ruimtestaat[[#This Row],[Norm (m2/uur) werkdagen]],0)</f>
        <v>#DIV/0!</v>
      </c>
      <c r="AD901" s="443" t="e">
        <f>Ruimtestaat[[#This Row],[uren / jaar werkdagen BSO]]*Tariefsopbouw!$E$35</f>
        <v>#DIV/0!</v>
      </c>
      <c r="AE901" s="444">
        <f>Ruimtestaat[[#This Row],[uren / jaar werkdagen]]*Tariefsopbouw!$E$35</f>
        <v>0</v>
      </c>
      <c r="AF901" s="454"/>
      <c r="AG901" s="455">
        <f>IF(Ruimtestaat[[#This Row],[Frequentie weekend]]&gt;0,VALUE(LEFT(AF901,1))*S901,0)</f>
        <v>0</v>
      </c>
      <c r="AH901" s="455">
        <f>IF($AG901&gt;0,VLOOKUP($J901,Ruimtegroepen[],3,FALSE)*VLOOKUP($L901,Vloersoorten[],3,FALSE)*VLOOKUP($AF901,Frequenties[],3,FALSE)*VLOOKUP(#REF!,Locaties[],3,FALSE),0)</f>
        <v>0</v>
      </c>
      <c r="AI901" s="434">
        <f>Ruimtestaat[[#This Row],[Uitvoeringen weekend]]*Ruimtestaat[[#This Row],[Oppervlak (netto)]]</f>
        <v>0</v>
      </c>
      <c r="AJ901" s="434">
        <f>IF(AH901&gt;0,Ruimtestaat[[#This Row],[Prest. (m2 /jaar) weekend]]/Ruimtestaat[[#This Row],[Norm (m2/uur) weekend]],0)</f>
        <v>0</v>
      </c>
      <c r="AK901" s="444">
        <f>Ruimtestaat[[#This Row],[uren / jaar weekend]]*Tariefsopbouw!$D$40</f>
        <v>0</v>
      </c>
      <c r="AL901" s="441">
        <f>Ruimtestaat[[#This Row],[Prest. (m2 /jaar) weekend]]+Ruimtestaat[[#This Row],[Prest. (m2 /jaar) werkdagen]]</f>
        <v>3075</v>
      </c>
      <c r="AM901" s="441">
        <f>Ruimtestaat[[#This Row],[uren / jaar weekend]]+Ruimtestaat[[#This Row],[uren / jaar werkdagen]]</f>
        <v>0</v>
      </c>
      <c r="AN901" s="446">
        <f>Ruimtestaat[[#This Row],[kosten / jaar weekend]]+Ruimtestaat[[#This Row],[kosten / jaar werkdagen]]</f>
        <v>0</v>
      </c>
      <c r="AO901" s="446"/>
      <c r="AP901" s="446" t="str">
        <f>IF(Ruimtestaat[[#This Row],[Frequentie werkdagen]]="","",_xlfn.CONCAT(Ruimtestaat[[#This Row],[Ruimte code]],"-",Ruimtestaat[[#This Row],[Frequentie werkdagen]]," ",Ruimtestaat[[#This Row],[Vloer code]]))</f>
        <v>2-5w S</v>
      </c>
      <c r="AQ901" s="448" t="str">
        <f>_xlfn.IFNA(VLOOKUP($AP901,Programma!$F$3:$G$1101,2,0),"")</f>
        <v>_</v>
      </c>
      <c r="AR901" s="448" t="str">
        <f>_xlfn.IFNA(VLOOKUP($AP901,Programma!$F$3:$H$1101,3,0),"")</f>
        <v>_</v>
      </c>
      <c r="AS901" s="448" t="str">
        <f>_xlfn.IFNA(VLOOKUP($AP901,Programma!$F$3:$I$1101,4,0),"")</f>
        <v>4w</v>
      </c>
      <c r="AT901" s="448" t="str">
        <f>_xlfn.IFNA(VLOOKUP($AP901,Programma!$F$3:$J$1101,5,0),"")</f>
        <v>1w</v>
      </c>
      <c r="AU901" s="448" t="str">
        <f>_xlfn.IFNA(VLOOKUP($AP901,Programma!$F$3:$K$1101,6,0),"")</f>
        <v>1j</v>
      </c>
      <c r="AV901" s="448" t="str">
        <f>_xlfn.IFNA(VLOOKUP($AP901,Programma!$F$3:$L$1101,7,0),"")</f>
        <v>_</v>
      </c>
      <c r="AW901" s="448" t="str">
        <f>_xlfn.IFNA(VLOOKUP($AP901,Programma!$F$3:$M$1101,8,0),"")</f>
        <v>_</v>
      </c>
      <c r="AX901" s="448" t="str">
        <f>_xlfn.IFNA(VLOOKUP($AP901,Programma!$F$3:$N$1101,9,0),"")</f>
        <v>_</v>
      </c>
      <c r="AY901" s="448" t="str">
        <f>_xlfn.IFNA(VLOOKUP($AP901,Programma!$F$3:$O$1101,10,0),"")</f>
        <v>5w</v>
      </c>
      <c r="AZ901" s="448" t="str">
        <f>_xlfn.IFNA(VLOOKUP($AP901,Programma!$F$3:$P$1101,11,0),"")</f>
        <v>5w</v>
      </c>
      <c r="BA901" s="448" t="str">
        <f>_xlfn.IFNA(VLOOKUP($AP901,Programma!$F$3:$Q$1101,12,0),"")</f>
        <v>1w</v>
      </c>
      <c r="BB901" s="448" t="str">
        <f>_xlfn.IFNA(VLOOKUP($AP901,Programma!$F$3:$R$1101,13,0),"")</f>
        <v>1w</v>
      </c>
      <c r="BC901" s="448" t="str">
        <f>_xlfn.IFNA(VLOOKUP($AP901,Programma!$F$3:$S$1101,14,0),"")</f>
        <v>1m</v>
      </c>
      <c r="BD901" s="448" t="str">
        <f>_xlfn.IFNA(VLOOKUP($AP901,Programma!$F$3:$T$1101,15,0),"")</f>
        <v>2j</v>
      </c>
      <c r="BE901" s="448" t="str">
        <f>_xlfn.IFNA(VLOOKUP($AP901,Programma!$F$3:$U$1101,16,0),"")</f>
        <v>1j</v>
      </c>
      <c r="BF901" s="448" t="str">
        <f>_xlfn.IFNA(VLOOKUP($AP901,Programma!$F$3:$V$1101,17,0),"")</f>
        <v>_</v>
      </c>
      <c r="BG901" s="448" t="str">
        <f>_xlfn.IFNA(VLOOKUP($AP901,Programma!$F$3:$W$1101,18,0),"")</f>
        <v>_</v>
      </c>
      <c r="BH901" s="448" t="str">
        <f>_xlfn.IFNA(VLOOKUP($AP901,Programma!$F$3:$X$1101,19,0),"")</f>
        <v>_</v>
      </c>
      <c r="BI901" s="448" t="str">
        <f>_xlfn.IFNA(VLOOKUP($AP901,Programma!$F$3:$Y$1101,20,0),"")</f>
        <v>_</v>
      </c>
      <c r="BJ901" s="449"/>
      <c r="BK901" s="446" t="str">
        <f>IF(Ruimtestaat[[#This Row],[Frequentie weekend]]="","",_xlfn.CONCAT(Ruimtestaat[[#This Row],[Ruimte code]],"-",Ruimtestaat[[#This Row],[Frequentie weekend]]," ",Ruimtestaat[[#This Row],[Vloer code]]))</f>
        <v/>
      </c>
      <c r="BL901" s="448" t="str">
        <f>_xlfn.IFNA(VLOOKUP($BK901,Programma!$F$3:$G$1101,2,0),"")</f>
        <v/>
      </c>
      <c r="BM901" s="448" t="str">
        <f>_xlfn.IFNA(VLOOKUP($BK901,Programma!$F$3:$H$1101,3,0),"")</f>
        <v/>
      </c>
      <c r="BN901" s="448" t="str">
        <f>_xlfn.IFNA(VLOOKUP($BK901,Programma!$F$3:$I$1101,4,0),"")</f>
        <v/>
      </c>
      <c r="BO901" s="448" t="str">
        <f>_xlfn.IFNA(VLOOKUP($BK901,Programma!$F$3:$J$1101,5,0),"")</f>
        <v/>
      </c>
      <c r="BP901" s="448" t="str">
        <f>_xlfn.IFNA(VLOOKUP($BK901,Programma!$F$3:$K$1101,6,0),"")</f>
        <v/>
      </c>
      <c r="BQ901" s="448" t="str">
        <f>_xlfn.IFNA(VLOOKUP($BK901,Programma!$F$3:$L$1101,7,0),"")</f>
        <v/>
      </c>
      <c r="BR901" s="448" t="str">
        <f>_xlfn.IFNA(VLOOKUP($BK901,Programma!$F$3:$M$1101,8,0),"")</f>
        <v/>
      </c>
      <c r="BS901" s="448" t="str">
        <f>_xlfn.IFNA(VLOOKUP($BK901,Programma!$F$3:$N$1101,9,0),"")</f>
        <v/>
      </c>
      <c r="BT901" s="448" t="str">
        <f>_xlfn.IFNA(VLOOKUP($BK901,Programma!$F$3:$O$1101,10,0),"")</f>
        <v/>
      </c>
      <c r="BU901" s="448" t="str">
        <f>_xlfn.IFNA(VLOOKUP($BK901,Programma!$F$3:$P$1101,11,0),"")</f>
        <v/>
      </c>
      <c r="BV901" s="448" t="str">
        <f>_xlfn.IFNA(VLOOKUP($BK901,Programma!$F$3:$Q$1101,12,0),"")</f>
        <v/>
      </c>
      <c r="BW901" s="448" t="str">
        <f>_xlfn.IFNA(VLOOKUP($BK901,Programma!$F$3:$R$1101,13,0),"")</f>
        <v/>
      </c>
      <c r="BX901" s="448" t="str">
        <f>_xlfn.IFNA(VLOOKUP($BK901,Programma!$F$3:$S$1101,14,0),"")</f>
        <v/>
      </c>
      <c r="BY901" s="448" t="str">
        <f>_xlfn.IFNA(VLOOKUP($BK901,Programma!$F$3:$T$1101,15,0),"")</f>
        <v/>
      </c>
      <c r="BZ901" s="448" t="str">
        <f>_xlfn.IFNA(VLOOKUP($BK901,Programma!$F$3:$U$1101,16,0),"")</f>
        <v/>
      </c>
      <c r="CA901" s="448" t="str">
        <f>_xlfn.IFNA(VLOOKUP($BK901,Programma!$F$3:$V$1101,17,0),"")</f>
        <v/>
      </c>
      <c r="CB901" s="448" t="str">
        <f>_xlfn.IFNA(VLOOKUP($BK901,Programma!$F$3:$W$1101,18,0),"")</f>
        <v/>
      </c>
      <c r="CC901" s="448" t="str">
        <f>_xlfn.IFNA(VLOOKUP($BK901,Programma!$F$3:$X$1101,19,0),"")</f>
        <v/>
      </c>
      <c r="CD901" s="448" t="str">
        <f>_xlfn.IFNA(VLOOKUP($BK901,Programma!$F$3:$Y$1101,20,0),"")</f>
        <v/>
      </c>
    </row>
    <row r="902" spans="1:82" ht="15" customHeight="1">
      <c r="A902" s="327">
        <v>25</v>
      </c>
      <c r="B902" s="435" t="str">
        <f>VLOOKUP(Ruimtestaat[[#This Row],[Code]],Locaties[[Code]:[Locatie]],2,FALSE)</f>
        <v>IKC De Piramide</v>
      </c>
      <c r="C902" s="435" t="str">
        <f>VLOOKUP(Ruimtestaat[[#This Row],[Code]],Locaties[[#All],[Code]:[Adres]],4,FALSE)</f>
        <v>Fivelingo 84</v>
      </c>
      <c r="D902" s="435" t="str">
        <f>VLOOKUP(Ruimtestaat[[#This Row],[Code]],Locaties[[#All],[Code]:[Postcode]],5,FALSE)</f>
        <v>2716 BG</v>
      </c>
      <c r="E902" s="435" t="str">
        <f>VLOOKUP(Ruimtestaat[[#This Row],[Code]],Locaties[#All],6,FALSE)</f>
        <v>Zoetermeer</v>
      </c>
      <c r="F902" s="450" t="s">
        <v>2059</v>
      </c>
      <c r="G902" s="330" t="s">
        <v>1769</v>
      </c>
      <c r="H902" s="330" t="s">
        <v>1757</v>
      </c>
      <c r="I902" s="450" t="s">
        <v>2071</v>
      </c>
      <c r="J902" s="330">
        <v>6</v>
      </c>
      <c r="K902" s="450" t="str">
        <f>VLOOKUP(Ruimtestaat[[#This Row],[Ruimte code]],Ruimtegroepen[[#All],[Code]:[Ruimte omschrijving]],2,FALSE)</f>
        <v>Gangen/hallen</v>
      </c>
      <c r="L902" s="330" t="s">
        <v>101</v>
      </c>
      <c r="M902" s="437" t="s">
        <v>2103</v>
      </c>
      <c r="N902" s="439">
        <v>4</v>
      </c>
      <c r="O902" s="439"/>
      <c r="P902" s="439"/>
      <c r="Q902" s="439"/>
      <c r="R902" s="440" t="str">
        <f>VLOOKUP(Ruimtestaat[[#This Row],[Ruimte code]],Ruimtegroepen[],4,FALSE)</f>
        <v>Ve</v>
      </c>
      <c r="S902" s="434">
        <v>41</v>
      </c>
      <c r="T902" s="434" t="s">
        <v>2</v>
      </c>
      <c r="U902" s="453">
        <f>IF(S902&gt;0,IF(RIGHT(Ruimtestaat[[#This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02" s="434">
        <f>IF(U902&gt;0,VLOOKUP($J902,Ruimtegroepen[],3,FALSE)*VLOOKUP($L902,Vloersoorten[],3,FALSE)*VLOOKUP($T902,Frequenties[],3,FALSE)*VLOOKUP($A902,Locaties[],3,FALSE),0)</f>
        <v>0</v>
      </c>
      <c r="W902" s="434">
        <f>Ruimtestaat[[#This Row],[Uitvoeringen werkdagen]]*Ruimtestaat[[#This Row],[Oppervlak (netto)]]</f>
        <v>820</v>
      </c>
      <c r="X902" s="441">
        <f>IF(V902&gt;0,Ruimtestaat[[#This Row],[Prest. (m2 /jaar) werkdagen]]/Ruimtestaat[[#This Row],[Norm (m2/uur) werkdagen]],0)</f>
        <v>0</v>
      </c>
      <c r="Y902" s="442">
        <f>Ruimtestaat[[#This Row],[Uitvoeringen werkdagen]]*Ruimtestaat[[#This Row],[Gedeeltelijk]]</f>
        <v>0</v>
      </c>
      <c r="Z902" s="443" t="e">
        <f>IF(U902&gt;0,Ruimtestaat[[#This Row],[Prest. (m2 / jaar) werkdagen gedeeld]]/Ruimtestaat[[#This Row],[Norm (m2/uur) werkdagen]],0)</f>
        <v>#DIV/0!</v>
      </c>
      <c r="AA902" s="441" t="e">
        <f>Ruimtestaat[[#This Row],[uren / jaar werkdagen gedeeld]]*Tariefsopbouw!$E$35</f>
        <v>#DIV/0!</v>
      </c>
      <c r="AB902" s="441">
        <f>Ruimtestaat[[#This Row],[Uitvoeringen werkdagen]]*Ruimtestaat[[#This Row],[BSO]]</f>
        <v>0</v>
      </c>
      <c r="AC902" s="443" t="e">
        <f>IF(U902&gt;0,Ruimtestaat[[#This Row],[Prest. (m2 / jaar) werkdagen BSO]]/Ruimtestaat[[#This Row],[Norm (m2/uur) werkdagen]],0)</f>
        <v>#DIV/0!</v>
      </c>
      <c r="AD902" s="443" t="e">
        <f>Ruimtestaat[[#This Row],[uren / jaar werkdagen BSO]]*Tariefsopbouw!$E$35</f>
        <v>#DIV/0!</v>
      </c>
      <c r="AE902" s="444">
        <f>Ruimtestaat[[#This Row],[uren / jaar werkdagen]]*Tariefsopbouw!$E$35</f>
        <v>0</v>
      </c>
      <c r="AF902" s="454"/>
      <c r="AG902" s="455">
        <f>IF(Ruimtestaat[[#This Row],[Frequentie weekend]]&gt;0,VALUE(LEFT(AF902,1))*S902,0)</f>
        <v>0</v>
      </c>
      <c r="AH902" s="455">
        <f>IF($AG902&gt;0,VLOOKUP($J902,Ruimtegroepen[],3,FALSE)*VLOOKUP($L902,Vloersoorten[],3,FALSE)*VLOOKUP($AF902,Frequenties[],3,FALSE)*VLOOKUP(#REF!,Locaties[],3,FALSE),0)</f>
        <v>0</v>
      </c>
      <c r="AI902" s="434">
        <f>Ruimtestaat[[#This Row],[Uitvoeringen weekend]]*Ruimtestaat[[#This Row],[Oppervlak (netto)]]</f>
        <v>0</v>
      </c>
      <c r="AJ902" s="434">
        <f>IF(AH902&gt;0,Ruimtestaat[[#This Row],[Prest. (m2 /jaar) weekend]]/Ruimtestaat[[#This Row],[Norm (m2/uur) weekend]],0)</f>
        <v>0</v>
      </c>
      <c r="AK902" s="444">
        <f>Ruimtestaat[[#This Row],[uren / jaar weekend]]*Tariefsopbouw!$D$40</f>
        <v>0</v>
      </c>
      <c r="AL902" s="441">
        <f>Ruimtestaat[[#This Row],[Prest. (m2 /jaar) weekend]]+Ruimtestaat[[#This Row],[Prest. (m2 /jaar) werkdagen]]</f>
        <v>820</v>
      </c>
      <c r="AM902" s="441">
        <f>Ruimtestaat[[#This Row],[uren / jaar weekend]]+Ruimtestaat[[#This Row],[uren / jaar werkdagen]]</f>
        <v>0</v>
      </c>
      <c r="AN902" s="446">
        <f>Ruimtestaat[[#This Row],[kosten / jaar weekend]]+Ruimtestaat[[#This Row],[kosten / jaar werkdagen]]</f>
        <v>0</v>
      </c>
      <c r="AO902" s="446"/>
      <c r="AP902" s="446" t="str">
        <f>IF(Ruimtestaat[[#This Row],[Frequentie werkdagen]]="","",_xlfn.CONCAT(Ruimtestaat[[#This Row],[Ruimte code]],"-",Ruimtestaat[[#This Row],[Frequentie werkdagen]]," ",Ruimtestaat[[#This Row],[Vloer code]]))</f>
        <v>6-5w S</v>
      </c>
      <c r="AQ902" s="448" t="str">
        <f>_xlfn.IFNA(VLOOKUP($AP902,Programma!$F$3:$G$1101,2,0),"")</f>
        <v>_</v>
      </c>
      <c r="AR902" s="448" t="str">
        <f>_xlfn.IFNA(VLOOKUP($AP902,Programma!$F$3:$H$1101,3,0),"")</f>
        <v>_</v>
      </c>
      <c r="AS902" s="448" t="str">
        <f>_xlfn.IFNA(VLOOKUP($AP902,Programma!$F$3:$I$1101,4,0),"")</f>
        <v>5w</v>
      </c>
      <c r="AT902" s="448" t="str">
        <f>_xlfn.IFNA(VLOOKUP($AP902,Programma!$F$3:$J$1101,5,0),"")</f>
        <v>_</v>
      </c>
      <c r="AU902" s="448" t="str">
        <f>_xlfn.IFNA(VLOOKUP($AP902,Programma!$F$3:$K$1101,6,0),"")</f>
        <v>5w</v>
      </c>
      <c r="AV902" s="448" t="str">
        <f>_xlfn.IFNA(VLOOKUP($AP902,Programma!$F$3:$L$1101,7,0),"")</f>
        <v>_</v>
      </c>
      <c r="AW902" s="448" t="str">
        <f>_xlfn.IFNA(VLOOKUP($AP902,Programma!$F$3:$M$1101,8,0),"")</f>
        <v>_</v>
      </c>
      <c r="AX902" s="448" t="str">
        <f>_xlfn.IFNA(VLOOKUP($AP902,Programma!$F$3:$N$1101,9,0),"")</f>
        <v>_</v>
      </c>
      <c r="AY902" s="448" t="str">
        <f>_xlfn.IFNA(VLOOKUP($AP902,Programma!$F$3:$O$1101,10,0),"")</f>
        <v>5w</v>
      </c>
      <c r="AZ902" s="448" t="str">
        <f>_xlfn.IFNA(VLOOKUP($AP902,Programma!$F$3:$P$1101,11,0),"")</f>
        <v>5w</v>
      </c>
      <c r="BA902" s="448" t="str">
        <f>_xlfn.IFNA(VLOOKUP($AP902,Programma!$F$3:$Q$1101,12,0),"")</f>
        <v>1w</v>
      </c>
      <c r="BB902" s="448" t="str">
        <f>_xlfn.IFNA(VLOOKUP($AP902,Programma!$F$3:$R$1101,13,0),"")</f>
        <v>1w</v>
      </c>
      <c r="BC902" s="448" t="str">
        <f>_xlfn.IFNA(VLOOKUP($AP902,Programma!$F$3:$S$1101,14,0),"")</f>
        <v>1m</v>
      </c>
      <c r="BD902" s="448" t="str">
        <f>_xlfn.IFNA(VLOOKUP($AP902,Programma!$F$3:$T$1101,15,0),"")</f>
        <v>2j</v>
      </c>
      <c r="BE902" s="448" t="str">
        <f>_xlfn.IFNA(VLOOKUP($AP902,Programma!$F$3:$U$1101,16,0),"")</f>
        <v>1j</v>
      </c>
      <c r="BF902" s="448" t="str">
        <f>_xlfn.IFNA(VLOOKUP($AP902,Programma!$F$3:$V$1101,17,0),"")</f>
        <v>_</v>
      </c>
      <c r="BG902" s="448" t="str">
        <f>_xlfn.IFNA(VLOOKUP($AP902,Programma!$F$3:$W$1101,18,0),"")</f>
        <v>_</v>
      </c>
      <c r="BH902" s="448" t="str">
        <f>_xlfn.IFNA(VLOOKUP($AP902,Programma!$F$3:$X$1101,19,0),"")</f>
        <v>_</v>
      </c>
      <c r="BI902" s="448" t="str">
        <f>_xlfn.IFNA(VLOOKUP($AP902,Programma!$F$3:$Y$1101,20,0),"")</f>
        <v>_</v>
      </c>
      <c r="BJ902" s="449"/>
      <c r="BK902" s="446" t="str">
        <f>IF(Ruimtestaat[[#This Row],[Frequentie weekend]]="","",_xlfn.CONCAT(Ruimtestaat[[#This Row],[Ruimte code]],"-",Ruimtestaat[[#This Row],[Frequentie weekend]]," ",Ruimtestaat[[#This Row],[Vloer code]]))</f>
        <v/>
      </c>
      <c r="BL902" s="448" t="str">
        <f>_xlfn.IFNA(VLOOKUP($BK902,Programma!$F$3:$G$1101,2,0),"")</f>
        <v/>
      </c>
      <c r="BM902" s="448" t="str">
        <f>_xlfn.IFNA(VLOOKUP($BK902,Programma!$F$3:$H$1101,3,0),"")</f>
        <v/>
      </c>
      <c r="BN902" s="448" t="str">
        <f>_xlfn.IFNA(VLOOKUP($BK902,Programma!$F$3:$I$1101,4,0),"")</f>
        <v/>
      </c>
      <c r="BO902" s="448" t="str">
        <f>_xlfn.IFNA(VLOOKUP($BK902,Programma!$F$3:$J$1101,5,0),"")</f>
        <v/>
      </c>
      <c r="BP902" s="448" t="str">
        <f>_xlfn.IFNA(VLOOKUP($BK902,Programma!$F$3:$K$1101,6,0),"")</f>
        <v/>
      </c>
      <c r="BQ902" s="448" t="str">
        <f>_xlfn.IFNA(VLOOKUP($BK902,Programma!$F$3:$L$1101,7,0),"")</f>
        <v/>
      </c>
      <c r="BR902" s="448" t="str">
        <f>_xlfn.IFNA(VLOOKUP($BK902,Programma!$F$3:$M$1101,8,0),"")</f>
        <v/>
      </c>
      <c r="BS902" s="448" t="str">
        <f>_xlfn.IFNA(VLOOKUP($BK902,Programma!$F$3:$N$1101,9,0),"")</f>
        <v/>
      </c>
      <c r="BT902" s="448" t="str">
        <f>_xlfn.IFNA(VLOOKUP($BK902,Programma!$F$3:$O$1101,10,0),"")</f>
        <v/>
      </c>
      <c r="BU902" s="448" t="str">
        <f>_xlfn.IFNA(VLOOKUP($BK902,Programma!$F$3:$P$1101,11,0),"")</f>
        <v/>
      </c>
      <c r="BV902" s="448" t="str">
        <f>_xlfn.IFNA(VLOOKUP($BK902,Programma!$F$3:$Q$1101,12,0),"")</f>
        <v/>
      </c>
      <c r="BW902" s="448" t="str">
        <f>_xlfn.IFNA(VLOOKUP($BK902,Programma!$F$3:$R$1101,13,0),"")</f>
        <v/>
      </c>
      <c r="BX902" s="448" t="str">
        <f>_xlfn.IFNA(VLOOKUP($BK902,Programma!$F$3:$S$1101,14,0),"")</f>
        <v/>
      </c>
      <c r="BY902" s="448" t="str">
        <f>_xlfn.IFNA(VLOOKUP($BK902,Programma!$F$3:$T$1101,15,0),"")</f>
        <v/>
      </c>
      <c r="BZ902" s="448" t="str">
        <f>_xlfn.IFNA(VLOOKUP($BK902,Programma!$F$3:$U$1101,16,0),"")</f>
        <v/>
      </c>
      <c r="CA902" s="448" t="str">
        <f>_xlfn.IFNA(VLOOKUP($BK902,Programma!$F$3:$V$1101,17,0),"")</f>
        <v/>
      </c>
      <c r="CB902" s="448" t="str">
        <f>_xlfn.IFNA(VLOOKUP($BK902,Programma!$F$3:$W$1101,18,0),"")</f>
        <v/>
      </c>
      <c r="CC902" s="448" t="str">
        <f>_xlfn.IFNA(VLOOKUP($BK902,Programma!$F$3:$X$1101,19,0),"")</f>
        <v/>
      </c>
      <c r="CD902" s="448" t="str">
        <f>_xlfn.IFNA(VLOOKUP($BK902,Programma!$F$3:$Y$1101,20,0),"")</f>
        <v/>
      </c>
    </row>
    <row r="903" spans="1:82" ht="15" customHeight="1">
      <c r="A903" s="327">
        <v>25</v>
      </c>
      <c r="B903" s="435" t="str">
        <f>VLOOKUP(Ruimtestaat[[#This Row],[Code]],Locaties[[Code]:[Locatie]],2,FALSE)</f>
        <v>IKC De Piramide</v>
      </c>
      <c r="C903" s="435" t="str">
        <f>VLOOKUP(Ruimtestaat[[#This Row],[Code]],Locaties[[#All],[Code]:[Adres]],4,FALSE)</f>
        <v>Fivelingo 84</v>
      </c>
      <c r="D903" s="435" t="str">
        <f>VLOOKUP(Ruimtestaat[[#This Row],[Code]],Locaties[[#All],[Code]:[Postcode]],5,FALSE)</f>
        <v>2716 BG</v>
      </c>
      <c r="E903" s="435" t="str">
        <f>VLOOKUP(Ruimtestaat[[#This Row],[Code]],Locaties[#All],6,FALSE)</f>
        <v>Zoetermeer</v>
      </c>
      <c r="F903" s="450" t="s">
        <v>2059</v>
      </c>
      <c r="G903" s="330" t="s">
        <v>1769</v>
      </c>
      <c r="H903" s="330" t="s">
        <v>2072</v>
      </c>
      <c r="I903" s="450" t="s">
        <v>2069</v>
      </c>
      <c r="J903" s="330">
        <v>10</v>
      </c>
      <c r="K903" s="450" t="str">
        <f>VLOOKUP(Ruimtestaat[[#This Row],[Ruimte code]],Ruimtegroepen[[#All],[Code]:[Ruimte omschrijving]],2,FALSE)</f>
        <v>Trappenhuizen/lift</v>
      </c>
      <c r="L903" s="330" t="s">
        <v>101</v>
      </c>
      <c r="M903" s="437" t="s">
        <v>1816</v>
      </c>
      <c r="N903" s="439">
        <v>54</v>
      </c>
      <c r="O903" s="439"/>
      <c r="P903" s="439"/>
      <c r="Q903" s="439"/>
      <c r="R903" s="440" t="str">
        <f>VLOOKUP(Ruimtestaat[[#This Row],[Ruimte code]],Ruimtegroepen[],4,FALSE)</f>
        <v>Ve</v>
      </c>
      <c r="S903" s="434">
        <v>41</v>
      </c>
      <c r="T903" s="434" t="s">
        <v>2</v>
      </c>
      <c r="U903" s="453">
        <f>IF(S903&gt;0,IF(RIGHT(Ruimtestaat[[#This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03" s="434">
        <f>IF(U903&gt;0,VLOOKUP($J903,Ruimtegroepen[],3,FALSE)*VLOOKUP($L903,Vloersoorten[],3,FALSE)*VLOOKUP($T903,Frequenties[],3,FALSE)*VLOOKUP($A903,Locaties[],3,FALSE),0)</f>
        <v>0</v>
      </c>
      <c r="W903" s="434">
        <f>Ruimtestaat[[#This Row],[Uitvoeringen werkdagen]]*Ruimtestaat[[#This Row],[Oppervlak (netto)]]</f>
        <v>11070</v>
      </c>
      <c r="X903" s="441">
        <f>IF(V903&gt;0,Ruimtestaat[[#This Row],[Prest. (m2 /jaar) werkdagen]]/Ruimtestaat[[#This Row],[Norm (m2/uur) werkdagen]],0)</f>
        <v>0</v>
      </c>
      <c r="Y903" s="442">
        <f>Ruimtestaat[[#This Row],[Uitvoeringen werkdagen]]*Ruimtestaat[[#This Row],[Gedeeltelijk]]</f>
        <v>0</v>
      </c>
      <c r="Z903" s="443" t="e">
        <f>IF(U903&gt;0,Ruimtestaat[[#This Row],[Prest. (m2 / jaar) werkdagen gedeeld]]/Ruimtestaat[[#This Row],[Norm (m2/uur) werkdagen]],0)</f>
        <v>#DIV/0!</v>
      </c>
      <c r="AA903" s="441" t="e">
        <f>Ruimtestaat[[#This Row],[uren / jaar werkdagen gedeeld]]*Tariefsopbouw!$E$35</f>
        <v>#DIV/0!</v>
      </c>
      <c r="AB903" s="441">
        <f>Ruimtestaat[[#This Row],[Uitvoeringen werkdagen]]*Ruimtestaat[[#This Row],[BSO]]</f>
        <v>0</v>
      </c>
      <c r="AC903" s="443" t="e">
        <f>IF(U903&gt;0,Ruimtestaat[[#This Row],[Prest. (m2 / jaar) werkdagen BSO]]/Ruimtestaat[[#This Row],[Norm (m2/uur) werkdagen]],0)</f>
        <v>#DIV/0!</v>
      </c>
      <c r="AD903" s="443" t="e">
        <f>Ruimtestaat[[#This Row],[uren / jaar werkdagen BSO]]*Tariefsopbouw!$E$35</f>
        <v>#DIV/0!</v>
      </c>
      <c r="AE903" s="444">
        <f>Ruimtestaat[[#This Row],[uren / jaar werkdagen]]*Tariefsopbouw!$E$35</f>
        <v>0</v>
      </c>
      <c r="AF903" s="454"/>
      <c r="AG903" s="455">
        <f>IF(Ruimtestaat[[#This Row],[Frequentie weekend]]&gt;0,VALUE(LEFT(AF903,1))*S903,0)</f>
        <v>0</v>
      </c>
      <c r="AH903" s="455">
        <f>IF($AG903&gt;0,VLOOKUP($J903,Ruimtegroepen[],3,FALSE)*VLOOKUP($L903,Vloersoorten[],3,FALSE)*VLOOKUP($AF903,Frequenties[],3,FALSE)*VLOOKUP(#REF!,Locaties[],3,FALSE),0)</f>
        <v>0</v>
      </c>
      <c r="AI903" s="434">
        <f>Ruimtestaat[[#This Row],[Uitvoeringen weekend]]*Ruimtestaat[[#This Row],[Oppervlak (netto)]]</f>
        <v>0</v>
      </c>
      <c r="AJ903" s="434">
        <f>IF(AH903&gt;0,Ruimtestaat[[#This Row],[Prest. (m2 /jaar) weekend]]/Ruimtestaat[[#This Row],[Norm (m2/uur) weekend]],0)</f>
        <v>0</v>
      </c>
      <c r="AK903" s="444">
        <f>Ruimtestaat[[#This Row],[uren / jaar weekend]]*Tariefsopbouw!$D$40</f>
        <v>0</v>
      </c>
      <c r="AL903" s="441">
        <f>Ruimtestaat[[#This Row],[Prest. (m2 /jaar) weekend]]+Ruimtestaat[[#This Row],[Prest. (m2 /jaar) werkdagen]]</f>
        <v>11070</v>
      </c>
      <c r="AM903" s="441">
        <f>Ruimtestaat[[#This Row],[uren / jaar weekend]]+Ruimtestaat[[#This Row],[uren / jaar werkdagen]]</f>
        <v>0</v>
      </c>
      <c r="AN903" s="446">
        <f>Ruimtestaat[[#This Row],[kosten / jaar weekend]]+Ruimtestaat[[#This Row],[kosten / jaar werkdagen]]</f>
        <v>0</v>
      </c>
      <c r="AO903" s="446"/>
      <c r="AP903" s="446" t="str">
        <f>IF(Ruimtestaat[[#This Row],[Frequentie werkdagen]]="","",_xlfn.CONCAT(Ruimtestaat[[#This Row],[Ruimte code]],"-",Ruimtestaat[[#This Row],[Frequentie werkdagen]]," ",Ruimtestaat[[#This Row],[Vloer code]]))</f>
        <v>10-5w S</v>
      </c>
      <c r="AQ903" s="448" t="str">
        <f>_xlfn.IFNA(VLOOKUP($AP903,Programma!$F$3:$G$1101,2,0),"")</f>
        <v>_</v>
      </c>
      <c r="AR903" s="448" t="str">
        <f>_xlfn.IFNA(VLOOKUP($AP903,Programma!$F$3:$H$1101,3,0),"")</f>
        <v>_</v>
      </c>
      <c r="AS903" s="448" t="str">
        <f>_xlfn.IFNA(VLOOKUP($AP903,Programma!$F$3:$I$1101,4,0),"")</f>
        <v>4w</v>
      </c>
      <c r="AT903" s="448" t="str">
        <f>_xlfn.IFNA(VLOOKUP($AP903,Programma!$F$3:$J$1101,5,0),"")</f>
        <v>1w</v>
      </c>
      <c r="AU903" s="448" t="str">
        <f>_xlfn.IFNA(VLOOKUP($AP903,Programma!$F$3:$K$1101,6,0),"")</f>
        <v>4j</v>
      </c>
      <c r="AV903" s="448" t="str">
        <f>_xlfn.IFNA(VLOOKUP($AP903,Programma!$F$3:$L$1101,7,0),"")</f>
        <v>_</v>
      </c>
      <c r="AW903" s="448" t="str">
        <f>_xlfn.IFNA(VLOOKUP($AP903,Programma!$F$3:$M$1101,8,0),"")</f>
        <v>_</v>
      </c>
      <c r="AX903" s="448" t="str">
        <f>_xlfn.IFNA(VLOOKUP($AP903,Programma!$F$3:$N$1101,9,0),"")</f>
        <v>_</v>
      </c>
      <c r="AY903" s="448" t="str">
        <f>_xlfn.IFNA(VLOOKUP($AP903,Programma!$F$3:$O$1101,10,0),"")</f>
        <v>5w</v>
      </c>
      <c r="AZ903" s="448" t="str">
        <f>_xlfn.IFNA(VLOOKUP($AP903,Programma!$F$3:$P$1101,11,0),"")</f>
        <v>5w</v>
      </c>
      <c r="BA903" s="448" t="str">
        <f>_xlfn.IFNA(VLOOKUP($AP903,Programma!$F$3:$Q$1101,12,0),"")</f>
        <v>1w</v>
      </c>
      <c r="BB903" s="448" t="str">
        <f>_xlfn.IFNA(VLOOKUP($AP903,Programma!$F$3:$R$1101,13,0),"")</f>
        <v>1w</v>
      </c>
      <c r="BC903" s="448" t="str">
        <f>_xlfn.IFNA(VLOOKUP($AP903,Programma!$F$3:$S$1101,14,0),"")</f>
        <v>1m</v>
      </c>
      <c r="BD903" s="448" t="str">
        <f>_xlfn.IFNA(VLOOKUP($AP903,Programma!$F$3:$T$1101,15,0),"")</f>
        <v>2j</v>
      </c>
      <c r="BE903" s="448" t="str">
        <f>_xlfn.IFNA(VLOOKUP($AP903,Programma!$F$3:$U$1101,16,0),"")</f>
        <v>1j</v>
      </c>
      <c r="BF903" s="448" t="str">
        <f>_xlfn.IFNA(VLOOKUP($AP903,Programma!$F$3:$V$1101,17,0),"")</f>
        <v>_</v>
      </c>
      <c r="BG903" s="448" t="str">
        <f>_xlfn.IFNA(VLOOKUP($AP903,Programma!$F$3:$W$1101,18,0),"")</f>
        <v>_</v>
      </c>
      <c r="BH903" s="448" t="str">
        <f>_xlfn.IFNA(VLOOKUP($AP903,Programma!$F$3:$X$1101,19,0),"")</f>
        <v>_</v>
      </c>
      <c r="BI903" s="448" t="str">
        <f>_xlfn.IFNA(VLOOKUP($AP903,Programma!$F$3:$Y$1101,20,0),"")</f>
        <v>_</v>
      </c>
      <c r="BJ903" s="449"/>
      <c r="BK903" s="446" t="str">
        <f>IF(Ruimtestaat[[#This Row],[Frequentie weekend]]="","",_xlfn.CONCAT(Ruimtestaat[[#This Row],[Ruimte code]],"-",Ruimtestaat[[#This Row],[Frequentie weekend]]," ",Ruimtestaat[[#This Row],[Vloer code]]))</f>
        <v/>
      </c>
      <c r="BL903" s="448" t="str">
        <f>_xlfn.IFNA(VLOOKUP($BK903,Programma!$F$3:$G$1101,2,0),"")</f>
        <v/>
      </c>
      <c r="BM903" s="448" t="str">
        <f>_xlfn.IFNA(VLOOKUP($BK903,Programma!$F$3:$H$1101,3,0),"")</f>
        <v/>
      </c>
      <c r="BN903" s="448" t="str">
        <f>_xlfn.IFNA(VLOOKUP($BK903,Programma!$F$3:$I$1101,4,0),"")</f>
        <v/>
      </c>
      <c r="BO903" s="448" t="str">
        <f>_xlfn.IFNA(VLOOKUP($BK903,Programma!$F$3:$J$1101,5,0),"")</f>
        <v/>
      </c>
      <c r="BP903" s="448" t="str">
        <f>_xlfn.IFNA(VLOOKUP($BK903,Programma!$F$3:$K$1101,6,0),"")</f>
        <v/>
      </c>
      <c r="BQ903" s="448" t="str">
        <f>_xlfn.IFNA(VLOOKUP($BK903,Programma!$F$3:$L$1101,7,0),"")</f>
        <v/>
      </c>
      <c r="BR903" s="448" t="str">
        <f>_xlfn.IFNA(VLOOKUP($BK903,Programma!$F$3:$M$1101,8,0),"")</f>
        <v/>
      </c>
      <c r="BS903" s="448" t="str">
        <f>_xlfn.IFNA(VLOOKUP($BK903,Programma!$F$3:$N$1101,9,0),"")</f>
        <v/>
      </c>
      <c r="BT903" s="448" t="str">
        <f>_xlfn.IFNA(VLOOKUP($BK903,Programma!$F$3:$O$1101,10,0),"")</f>
        <v/>
      </c>
      <c r="BU903" s="448" t="str">
        <f>_xlfn.IFNA(VLOOKUP($BK903,Programma!$F$3:$P$1101,11,0),"")</f>
        <v/>
      </c>
      <c r="BV903" s="448" t="str">
        <f>_xlfn.IFNA(VLOOKUP($BK903,Programma!$F$3:$Q$1101,12,0),"")</f>
        <v/>
      </c>
      <c r="BW903" s="448" t="str">
        <f>_xlfn.IFNA(VLOOKUP($BK903,Programma!$F$3:$R$1101,13,0),"")</f>
        <v/>
      </c>
      <c r="BX903" s="448" t="str">
        <f>_xlfn.IFNA(VLOOKUP($BK903,Programma!$F$3:$S$1101,14,0),"")</f>
        <v/>
      </c>
      <c r="BY903" s="448" t="str">
        <f>_xlfn.IFNA(VLOOKUP($BK903,Programma!$F$3:$T$1101,15,0),"")</f>
        <v/>
      </c>
      <c r="BZ903" s="448" t="str">
        <f>_xlfn.IFNA(VLOOKUP($BK903,Programma!$F$3:$U$1101,16,0),"")</f>
        <v/>
      </c>
      <c r="CA903" s="448" t="str">
        <f>_xlfn.IFNA(VLOOKUP($BK903,Programma!$F$3:$V$1101,17,0),"")</f>
        <v/>
      </c>
      <c r="CB903" s="448" t="str">
        <f>_xlfn.IFNA(VLOOKUP($BK903,Programma!$F$3:$W$1101,18,0),"")</f>
        <v/>
      </c>
      <c r="CC903" s="448" t="str">
        <f>_xlfn.IFNA(VLOOKUP($BK903,Programma!$F$3:$X$1101,19,0),"")</f>
        <v/>
      </c>
      <c r="CD903" s="448" t="str">
        <f>_xlfn.IFNA(VLOOKUP($BK903,Programma!$F$3:$Y$1101,20,0),"")</f>
        <v/>
      </c>
    </row>
    <row r="904" spans="1:82" ht="15" customHeight="1">
      <c r="A904" s="327">
        <v>25</v>
      </c>
      <c r="B904" s="435" t="str">
        <f>VLOOKUP(Ruimtestaat[[#This Row],[Code]],Locaties[[Code]:[Locatie]],2,FALSE)</f>
        <v>IKC De Piramide</v>
      </c>
      <c r="C904" s="435" t="str">
        <f>VLOOKUP(Ruimtestaat[[#This Row],[Code]],Locaties[[#All],[Code]:[Adres]],4,FALSE)</f>
        <v>Fivelingo 84</v>
      </c>
      <c r="D904" s="435" t="str">
        <f>VLOOKUP(Ruimtestaat[[#This Row],[Code]],Locaties[[#All],[Code]:[Postcode]],5,FALSE)</f>
        <v>2716 BG</v>
      </c>
      <c r="E904" s="435" t="str">
        <f>VLOOKUP(Ruimtestaat[[#This Row],[Code]],Locaties[#All],6,FALSE)</f>
        <v>Zoetermeer</v>
      </c>
      <c r="F904" s="450" t="s">
        <v>2059</v>
      </c>
      <c r="G904" s="330" t="s">
        <v>1769</v>
      </c>
      <c r="H904" s="330" t="s">
        <v>1931</v>
      </c>
      <c r="I904" s="450" t="s">
        <v>1679</v>
      </c>
      <c r="J904" s="330">
        <v>16</v>
      </c>
      <c r="K904" s="450" t="str">
        <f>VLOOKUP(Ruimtestaat[[#This Row],[Ruimte code]],Ruimtegroepen[[#All],[Code]:[Ruimte omschrijving]],2,FALSE)</f>
        <v>Leslokalen</v>
      </c>
      <c r="L904" s="330" t="s">
        <v>101</v>
      </c>
      <c r="M904" s="437" t="s">
        <v>1816</v>
      </c>
      <c r="N904" s="439">
        <v>63</v>
      </c>
      <c r="O904" s="439"/>
      <c r="P904" s="439"/>
      <c r="Q904" s="439"/>
      <c r="R904" s="440" t="str">
        <f>VLOOKUP(Ruimtestaat[[#This Row],[Ruimte code]],Ruimtegroepen[],4,FALSE)</f>
        <v>Le</v>
      </c>
      <c r="S904" s="434">
        <v>40</v>
      </c>
      <c r="T904" s="434" t="s">
        <v>2</v>
      </c>
      <c r="U904" s="453">
        <f>IF(S904&gt;0,IF(RIGHT(Ruimtestaat[[#This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4" s="434">
        <f>IF(U904&gt;0,VLOOKUP($J904,Ruimtegroepen[],3,FALSE)*VLOOKUP($L904,Vloersoorten[],3,FALSE)*VLOOKUP($T904,Frequenties[],3,FALSE)*VLOOKUP($A904,Locaties[],3,FALSE),0)</f>
        <v>0</v>
      </c>
      <c r="W904" s="434">
        <f>Ruimtestaat[[#This Row],[Uitvoeringen werkdagen]]*Ruimtestaat[[#This Row],[Oppervlak (netto)]]</f>
        <v>12600</v>
      </c>
      <c r="X904" s="441">
        <f>IF(V904&gt;0,Ruimtestaat[[#This Row],[Prest. (m2 /jaar) werkdagen]]/Ruimtestaat[[#This Row],[Norm (m2/uur) werkdagen]],0)</f>
        <v>0</v>
      </c>
      <c r="Y904" s="442">
        <f>Ruimtestaat[[#This Row],[Uitvoeringen werkdagen]]*Ruimtestaat[[#This Row],[Gedeeltelijk]]</f>
        <v>0</v>
      </c>
      <c r="Z904" s="443" t="e">
        <f>IF(U904&gt;0,Ruimtestaat[[#This Row],[Prest. (m2 / jaar) werkdagen gedeeld]]/Ruimtestaat[[#This Row],[Norm (m2/uur) werkdagen]],0)</f>
        <v>#DIV/0!</v>
      </c>
      <c r="AA904" s="441" t="e">
        <f>Ruimtestaat[[#This Row],[uren / jaar werkdagen gedeeld]]*Tariefsopbouw!$E$35</f>
        <v>#DIV/0!</v>
      </c>
      <c r="AB904" s="441">
        <f>Ruimtestaat[[#This Row],[Uitvoeringen werkdagen]]*Ruimtestaat[[#This Row],[BSO]]</f>
        <v>0</v>
      </c>
      <c r="AC904" s="443" t="e">
        <f>IF(U904&gt;0,Ruimtestaat[[#This Row],[Prest. (m2 / jaar) werkdagen BSO]]/Ruimtestaat[[#This Row],[Norm (m2/uur) werkdagen]],0)</f>
        <v>#DIV/0!</v>
      </c>
      <c r="AD904" s="443" t="e">
        <f>Ruimtestaat[[#This Row],[uren / jaar werkdagen BSO]]*Tariefsopbouw!$E$35</f>
        <v>#DIV/0!</v>
      </c>
      <c r="AE904" s="444">
        <f>Ruimtestaat[[#This Row],[uren / jaar werkdagen]]*Tariefsopbouw!$E$35</f>
        <v>0</v>
      </c>
      <c r="AF904" s="454"/>
      <c r="AG904" s="455">
        <f>IF(Ruimtestaat[[#This Row],[Frequentie weekend]]&gt;0,VALUE(LEFT(AF904,1))*S904,0)</f>
        <v>0</v>
      </c>
      <c r="AH904" s="455">
        <f>IF($AG904&gt;0,VLOOKUP($J904,Ruimtegroepen[],3,FALSE)*VLOOKUP($L904,Vloersoorten[],3,FALSE)*VLOOKUP($AF904,Frequenties[],3,FALSE)*VLOOKUP(#REF!,Locaties[],3,FALSE),0)</f>
        <v>0</v>
      </c>
      <c r="AI904" s="434">
        <f>Ruimtestaat[[#This Row],[Uitvoeringen weekend]]*Ruimtestaat[[#This Row],[Oppervlak (netto)]]</f>
        <v>0</v>
      </c>
      <c r="AJ904" s="434">
        <f>IF(AH904&gt;0,Ruimtestaat[[#This Row],[Prest. (m2 /jaar) weekend]]/Ruimtestaat[[#This Row],[Norm (m2/uur) weekend]],0)</f>
        <v>0</v>
      </c>
      <c r="AK904" s="444">
        <f>Ruimtestaat[[#This Row],[uren / jaar weekend]]*Tariefsopbouw!$D$40</f>
        <v>0</v>
      </c>
      <c r="AL904" s="441">
        <f>Ruimtestaat[[#This Row],[Prest. (m2 /jaar) weekend]]+Ruimtestaat[[#This Row],[Prest. (m2 /jaar) werkdagen]]</f>
        <v>12600</v>
      </c>
      <c r="AM904" s="441">
        <f>Ruimtestaat[[#This Row],[uren / jaar weekend]]+Ruimtestaat[[#This Row],[uren / jaar werkdagen]]</f>
        <v>0</v>
      </c>
      <c r="AN904" s="446">
        <f>Ruimtestaat[[#This Row],[kosten / jaar weekend]]+Ruimtestaat[[#This Row],[kosten / jaar werkdagen]]</f>
        <v>0</v>
      </c>
      <c r="AO904" s="446"/>
      <c r="AP904" s="446" t="str">
        <f>IF(Ruimtestaat[[#This Row],[Frequentie werkdagen]]="","",_xlfn.CONCAT(Ruimtestaat[[#This Row],[Ruimte code]],"-",Ruimtestaat[[#This Row],[Frequentie werkdagen]]," ",Ruimtestaat[[#This Row],[Vloer code]]))</f>
        <v>16-5w S</v>
      </c>
      <c r="AQ904" s="448" t="str">
        <f>_xlfn.IFNA(VLOOKUP($AP904,Programma!$F$3:$G$1101,2,0),"")</f>
        <v>_</v>
      </c>
      <c r="AR904" s="448" t="str">
        <f>_xlfn.IFNA(VLOOKUP($AP904,Programma!$F$3:$H$1101,3,0),"")</f>
        <v>_</v>
      </c>
      <c r="AS904" s="448" t="str">
        <f>_xlfn.IFNA(VLOOKUP($AP904,Programma!$F$3:$I$1101,4,0),"")</f>
        <v>4w</v>
      </c>
      <c r="AT904" s="448" t="str">
        <f>_xlfn.IFNA(VLOOKUP($AP904,Programma!$F$3:$J$1101,5,0),"")</f>
        <v>1w</v>
      </c>
      <c r="AU904" s="448" t="str">
        <f>_xlfn.IFNA(VLOOKUP($AP904,Programma!$F$3:$K$1101,6,0),"")</f>
        <v>1m</v>
      </c>
      <c r="AV904" s="448" t="str">
        <f>_xlfn.IFNA(VLOOKUP($AP904,Programma!$F$3:$L$1101,7,0),"")</f>
        <v>_</v>
      </c>
      <c r="AW904" s="448" t="str">
        <f>_xlfn.IFNA(VLOOKUP($AP904,Programma!$F$3:$M$1101,8,0),"")</f>
        <v>_</v>
      </c>
      <c r="AX904" s="448" t="str">
        <f>_xlfn.IFNA(VLOOKUP($AP904,Programma!$F$3:$N$1101,9,0),"")</f>
        <v>_</v>
      </c>
      <c r="AY904" s="448" t="str">
        <f>_xlfn.IFNA(VLOOKUP($AP904,Programma!$F$3:$O$1101,10,0),"")</f>
        <v>5w</v>
      </c>
      <c r="AZ904" s="448" t="str">
        <f>_xlfn.IFNA(VLOOKUP($AP904,Programma!$F$3:$P$1101,11,0),"")</f>
        <v>5w</v>
      </c>
      <c r="BA904" s="448" t="str">
        <f>_xlfn.IFNA(VLOOKUP($AP904,Programma!$F$3:$Q$1101,12,0),"")</f>
        <v>1w</v>
      </c>
      <c r="BB904" s="448" t="str">
        <f>_xlfn.IFNA(VLOOKUP($AP904,Programma!$F$3:$R$1101,13,0),"")</f>
        <v>1w</v>
      </c>
      <c r="BC904" s="448" t="str">
        <f>_xlfn.IFNA(VLOOKUP($AP904,Programma!$F$3:$S$1101,14,0),"")</f>
        <v>1m</v>
      </c>
      <c r="BD904" s="448" t="str">
        <f>_xlfn.IFNA(VLOOKUP($AP904,Programma!$F$3:$T$1101,15,0),"")</f>
        <v>2j</v>
      </c>
      <c r="BE904" s="448" t="str">
        <f>_xlfn.IFNA(VLOOKUP($AP904,Programma!$F$3:$U$1101,16,0),"")</f>
        <v>1j</v>
      </c>
      <c r="BF904" s="448" t="str">
        <f>_xlfn.IFNA(VLOOKUP($AP904,Programma!$F$3:$V$1101,17,0),"")</f>
        <v>_</v>
      </c>
      <c r="BG904" s="448" t="str">
        <f>_xlfn.IFNA(VLOOKUP($AP904,Programma!$F$3:$W$1101,18,0),"")</f>
        <v>_</v>
      </c>
      <c r="BH904" s="448" t="str">
        <f>_xlfn.IFNA(VLOOKUP($AP904,Programma!$F$3:$X$1101,19,0),"")</f>
        <v>_</v>
      </c>
      <c r="BI904" s="448" t="str">
        <f>_xlfn.IFNA(VLOOKUP($AP904,Programma!$F$3:$Y$1101,20,0),"")</f>
        <v>_</v>
      </c>
      <c r="BJ904" s="449"/>
      <c r="BK904" s="446" t="str">
        <f>IF(Ruimtestaat[[#This Row],[Frequentie weekend]]="","",_xlfn.CONCAT(Ruimtestaat[[#This Row],[Ruimte code]],"-",Ruimtestaat[[#This Row],[Frequentie weekend]]," ",Ruimtestaat[[#This Row],[Vloer code]]))</f>
        <v/>
      </c>
      <c r="BL904" s="448" t="str">
        <f>_xlfn.IFNA(VLOOKUP($BK904,Programma!$F$3:$G$1101,2,0),"")</f>
        <v/>
      </c>
      <c r="BM904" s="448" t="str">
        <f>_xlfn.IFNA(VLOOKUP($BK904,Programma!$F$3:$H$1101,3,0),"")</f>
        <v/>
      </c>
      <c r="BN904" s="448" t="str">
        <f>_xlfn.IFNA(VLOOKUP($BK904,Programma!$F$3:$I$1101,4,0),"")</f>
        <v/>
      </c>
      <c r="BO904" s="448" t="str">
        <f>_xlfn.IFNA(VLOOKUP($BK904,Programma!$F$3:$J$1101,5,0),"")</f>
        <v/>
      </c>
      <c r="BP904" s="448" t="str">
        <f>_xlfn.IFNA(VLOOKUP($BK904,Programma!$F$3:$K$1101,6,0),"")</f>
        <v/>
      </c>
      <c r="BQ904" s="448" t="str">
        <f>_xlfn.IFNA(VLOOKUP($BK904,Programma!$F$3:$L$1101,7,0),"")</f>
        <v/>
      </c>
      <c r="BR904" s="448" t="str">
        <f>_xlfn.IFNA(VLOOKUP($BK904,Programma!$F$3:$M$1101,8,0),"")</f>
        <v/>
      </c>
      <c r="BS904" s="448" t="str">
        <f>_xlfn.IFNA(VLOOKUP($BK904,Programma!$F$3:$N$1101,9,0),"")</f>
        <v/>
      </c>
      <c r="BT904" s="448" t="str">
        <f>_xlfn.IFNA(VLOOKUP($BK904,Programma!$F$3:$O$1101,10,0),"")</f>
        <v/>
      </c>
      <c r="BU904" s="448" t="str">
        <f>_xlfn.IFNA(VLOOKUP($BK904,Programma!$F$3:$P$1101,11,0),"")</f>
        <v/>
      </c>
      <c r="BV904" s="448" t="str">
        <f>_xlfn.IFNA(VLOOKUP($BK904,Programma!$F$3:$Q$1101,12,0),"")</f>
        <v/>
      </c>
      <c r="BW904" s="448" t="str">
        <f>_xlfn.IFNA(VLOOKUP($BK904,Programma!$F$3:$R$1101,13,0),"")</f>
        <v/>
      </c>
      <c r="BX904" s="448" t="str">
        <f>_xlfn.IFNA(VLOOKUP($BK904,Programma!$F$3:$S$1101,14,0),"")</f>
        <v/>
      </c>
      <c r="BY904" s="448" t="str">
        <f>_xlfn.IFNA(VLOOKUP($BK904,Programma!$F$3:$T$1101,15,0),"")</f>
        <v/>
      </c>
      <c r="BZ904" s="448" t="str">
        <f>_xlfn.IFNA(VLOOKUP($BK904,Programma!$F$3:$U$1101,16,0),"")</f>
        <v/>
      </c>
      <c r="CA904" s="448" t="str">
        <f>_xlfn.IFNA(VLOOKUP($BK904,Programma!$F$3:$V$1101,17,0),"")</f>
        <v/>
      </c>
      <c r="CB904" s="448" t="str">
        <f>_xlfn.IFNA(VLOOKUP($BK904,Programma!$F$3:$W$1101,18,0),"")</f>
        <v/>
      </c>
      <c r="CC904" s="448" t="str">
        <f>_xlfn.IFNA(VLOOKUP($BK904,Programma!$F$3:$X$1101,19,0),"")</f>
        <v/>
      </c>
      <c r="CD904" s="448" t="str">
        <f>_xlfn.IFNA(VLOOKUP($BK904,Programma!$F$3:$Y$1101,20,0),"")</f>
        <v/>
      </c>
    </row>
    <row r="905" spans="1:82" ht="15" customHeight="1">
      <c r="A905" s="327">
        <v>25</v>
      </c>
      <c r="B905" s="435" t="str">
        <f>VLOOKUP(Ruimtestaat[[#This Row],[Code]],Locaties[[Code]:[Locatie]],2,FALSE)</f>
        <v>IKC De Piramide</v>
      </c>
      <c r="C905" s="435" t="str">
        <f>VLOOKUP(Ruimtestaat[[#This Row],[Code]],Locaties[[#All],[Code]:[Adres]],4,FALSE)</f>
        <v>Fivelingo 84</v>
      </c>
      <c r="D905" s="435" t="str">
        <f>VLOOKUP(Ruimtestaat[[#This Row],[Code]],Locaties[[#All],[Code]:[Postcode]],5,FALSE)</f>
        <v>2716 BG</v>
      </c>
      <c r="E905" s="435" t="str">
        <f>VLOOKUP(Ruimtestaat[[#This Row],[Code]],Locaties[#All],6,FALSE)</f>
        <v>Zoetermeer</v>
      </c>
      <c r="F905" s="450" t="s">
        <v>2059</v>
      </c>
      <c r="G905" s="330" t="s">
        <v>1769</v>
      </c>
      <c r="H905" s="330" t="s">
        <v>1933</v>
      </c>
      <c r="I905" s="450" t="s">
        <v>1679</v>
      </c>
      <c r="J905" s="330">
        <v>16</v>
      </c>
      <c r="K905" s="450" t="str">
        <f>VLOOKUP(Ruimtestaat[[#This Row],[Ruimte code]],Ruimtegroepen[[#All],[Code]:[Ruimte omschrijving]],2,FALSE)</f>
        <v>Leslokalen</v>
      </c>
      <c r="L905" s="330" t="s">
        <v>101</v>
      </c>
      <c r="M905" s="437" t="s">
        <v>1816</v>
      </c>
      <c r="N905" s="439">
        <v>63</v>
      </c>
      <c r="O905" s="439"/>
      <c r="P905" s="439"/>
      <c r="Q905" s="439"/>
      <c r="R905" s="440" t="str">
        <f>VLOOKUP(Ruimtestaat[[#This Row],[Ruimte code]],Ruimtegroepen[],4,FALSE)</f>
        <v>Le</v>
      </c>
      <c r="S905" s="434">
        <v>40</v>
      </c>
      <c r="T905" s="434" t="s">
        <v>2</v>
      </c>
      <c r="U905" s="453">
        <f>IF(S905&gt;0,IF(RIGHT(Ruimtestaat[[#This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5" s="434">
        <f>IF(U905&gt;0,VLOOKUP($J905,Ruimtegroepen[],3,FALSE)*VLOOKUP($L905,Vloersoorten[],3,FALSE)*VLOOKUP($T905,Frequenties[],3,FALSE)*VLOOKUP($A905,Locaties[],3,FALSE),0)</f>
        <v>0</v>
      </c>
      <c r="W905" s="434">
        <f>Ruimtestaat[[#This Row],[Uitvoeringen werkdagen]]*Ruimtestaat[[#This Row],[Oppervlak (netto)]]</f>
        <v>12600</v>
      </c>
      <c r="X905" s="441">
        <f>IF(V905&gt;0,Ruimtestaat[[#This Row],[Prest. (m2 /jaar) werkdagen]]/Ruimtestaat[[#This Row],[Norm (m2/uur) werkdagen]],0)</f>
        <v>0</v>
      </c>
      <c r="Y905" s="442">
        <f>Ruimtestaat[[#This Row],[Uitvoeringen werkdagen]]*Ruimtestaat[[#This Row],[Gedeeltelijk]]</f>
        <v>0</v>
      </c>
      <c r="Z905" s="443" t="e">
        <f>IF(U905&gt;0,Ruimtestaat[[#This Row],[Prest. (m2 / jaar) werkdagen gedeeld]]/Ruimtestaat[[#This Row],[Norm (m2/uur) werkdagen]],0)</f>
        <v>#DIV/0!</v>
      </c>
      <c r="AA905" s="441" t="e">
        <f>Ruimtestaat[[#This Row],[uren / jaar werkdagen gedeeld]]*Tariefsopbouw!$E$35</f>
        <v>#DIV/0!</v>
      </c>
      <c r="AB905" s="441">
        <f>Ruimtestaat[[#This Row],[Uitvoeringen werkdagen]]*Ruimtestaat[[#This Row],[BSO]]</f>
        <v>0</v>
      </c>
      <c r="AC905" s="443" t="e">
        <f>IF(U905&gt;0,Ruimtestaat[[#This Row],[Prest. (m2 / jaar) werkdagen BSO]]/Ruimtestaat[[#This Row],[Norm (m2/uur) werkdagen]],0)</f>
        <v>#DIV/0!</v>
      </c>
      <c r="AD905" s="443" t="e">
        <f>Ruimtestaat[[#This Row],[uren / jaar werkdagen BSO]]*Tariefsopbouw!$E$35</f>
        <v>#DIV/0!</v>
      </c>
      <c r="AE905" s="444">
        <f>Ruimtestaat[[#This Row],[uren / jaar werkdagen]]*Tariefsopbouw!$E$35</f>
        <v>0</v>
      </c>
      <c r="AF905" s="454"/>
      <c r="AG905" s="455">
        <f>IF(Ruimtestaat[[#This Row],[Frequentie weekend]]&gt;0,VALUE(LEFT(AF905,1))*S905,0)</f>
        <v>0</v>
      </c>
      <c r="AH905" s="455">
        <f>IF($AG905&gt;0,VLOOKUP($J905,Ruimtegroepen[],3,FALSE)*VLOOKUP($L905,Vloersoorten[],3,FALSE)*VLOOKUP($AF905,Frequenties[],3,FALSE)*VLOOKUP(#REF!,Locaties[],3,FALSE),0)</f>
        <v>0</v>
      </c>
      <c r="AI905" s="434">
        <f>Ruimtestaat[[#This Row],[Uitvoeringen weekend]]*Ruimtestaat[[#This Row],[Oppervlak (netto)]]</f>
        <v>0</v>
      </c>
      <c r="AJ905" s="434">
        <f>IF(AH905&gt;0,Ruimtestaat[[#This Row],[Prest. (m2 /jaar) weekend]]/Ruimtestaat[[#This Row],[Norm (m2/uur) weekend]],0)</f>
        <v>0</v>
      </c>
      <c r="AK905" s="444">
        <f>Ruimtestaat[[#This Row],[uren / jaar weekend]]*Tariefsopbouw!$D$40</f>
        <v>0</v>
      </c>
      <c r="AL905" s="441">
        <f>Ruimtestaat[[#This Row],[Prest. (m2 /jaar) weekend]]+Ruimtestaat[[#This Row],[Prest. (m2 /jaar) werkdagen]]</f>
        <v>12600</v>
      </c>
      <c r="AM905" s="441">
        <f>Ruimtestaat[[#This Row],[uren / jaar weekend]]+Ruimtestaat[[#This Row],[uren / jaar werkdagen]]</f>
        <v>0</v>
      </c>
      <c r="AN905" s="446">
        <f>Ruimtestaat[[#This Row],[kosten / jaar weekend]]+Ruimtestaat[[#This Row],[kosten / jaar werkdagen]]</f>
        <v>0</v>
      </c>
      <c r="AO905" s="446"/>
      <c r="AP905" s="446" t="str">
        <f>IF(Ruimtestaat[[#This Row],[Frequentie werkdagen]]="","",_xlfn.CONCAT(Ruimtestaat[[#This Row],[Ruimte code]],"-",Ruimtestaat[[#This Row],[Frequentie werkdagen]]," ",Ruimtestaat[[#This Row],[Vloer code]]))</f>
        <v>16-5w S</v>
      </c>
      <c r="AQ905" s="448" t="str">
        <f>_xlfn.IFNA(VLOOKUP($AP905,Programma!$F$3:$G$1101,2,0),"")</f>
        <v>_</v>
      </c>
      <c r="AR905" s="448" t="str">
        <f>_xlfn.IFNA(VLOOKUP($AP905,Programma!$F$3:$H$1101,3,0),"")</f>
        <v>_</v>
      </c>
      <c r="AS905" s="448" t="str">
        <f>_xlfn.IFNA(VLOOKUP($AP905,Programma!$F$3:$I$1101,4,0),"")</f>
        <v>4w</v>
      </c>
      <c r="AT905" s="448" t="str">
        <f>_xlfn.IFNA(VLOOKUP($AP905,Programma!$F$3:$J$1101,5,0),"")</f>
        <v>1w</v>
      </c>
      <c r="AU905" s="448" t="str">
        <f>_xlfn.IFNA(VLOOKUP($AP905,Programma!$F$3:$K$1101,6,0),"")</f>
        <v>1m</v>
      </c>
      <c r="AV905" s="448" t="str">
        <f>_xlfn.IFNA(VLOOKUP($AP905,Programma!$F$3:$L$1101,7,0),"")</f>
        <v>_</v>
      </c>
      <c r="AW905" s="448" t="str">
        <f>_xlfn.IFNA(VLOOKUP($AP905,Programma!$F$3:$M$1101,8,0),"")</f>
        <v>_</v>
      </c>
      <c r="AX905" s="448" t="str">
        <f>_xlfn.IFNA(VLOOKUP($AP905,Programma!$F$3:$N$1101,9,0),"")</f>
        <v>_</v>
      </c>
      <c r="AY905" s="448" t="str">
        <f>_xlfn.IFNA(VLOOKUP($AP905,Programma!$F$3:$O$1101,10,0),"")</f>
        <v>5w</v>
      </c>
      <c r="AZ905" s="448" t="str">
        <f>_xlfn.IFNA(VLOOKUP($AP905,Programma!$F$3:$P$1101,11,0),"")</f>
        <v>5w</v>
      </c>
      <c r="BA905" s="448" t="str">
        <f>_xlfn.IFNA(VLOOKUP($AP905,Programma!$F$3:$Q$1101,12,0),"")</f>
        <v>1w</v>
      </c>
      <c r="BB905" s="448" t="str">
        <f>_xlfn.IFNA(VLOOKUP($AP905,Programma!$F$3:$R$1101,13,0),"")</f>
        <v>1w</v>
      </c>
      <c r="BC905" s="448" t="str">
        <f>_xlfn.IFNA(VLOOKUP($AP905,Programma!$F$3:$S$1101,14,0),"")</f>
        <v>1m</v>
      </c>
      <c r="BD905" s="448" t="str">
        <f>_xlfn.IFNA(VLOOKUP($AP905,Programma!$F$3:$T$1101,15,0),"")</f>
        <v>2j</v>
      </c>
      <c r="BE905" s="448" t="str">
        <f>_xlfn.IFNA(VLOOKUP($AP905,Programma!$F$3:$U$1101,16,0),"")</f>
        <v>1j</v>
      </c>
      <c r="BF905" s="448" t="str">
        <f>_xlfn.IFNA(VLOOKUP($AP905,Programma!$F$3:$V$1101,17,0),"")</f>
        <v>_</v>
      </c>
      <c r="BG905" s="448" t="str">
        <f>_xlfn.IFNA(VLOOKUP($AP905,Programma!$F$3:$W$1101,18,0),"")</f>
        <v>_</v>
      </c>
      <c r="BH905" s="448" t="str">
        <f>_xlfn.IFNA(VLOOKUP($AP905,Programma!$F$3:$X$1101,19,0),"")</f>
        <v>_</v>
      </c>
      <c r="BI905" s="448" t="str">
        <f>_xlfn.IFNA(VLOOKUP($AP905,Programma!$F$3:$Y$1101,20,0),"")</f>
        <v>_</v>
      </c>
      <c r="BJ905" s="449"/>
      <c r="BK905" s="446" t="str">
        <f>IF(Ruimtestaat[[#This Row],[Frequentie weekend]]="","",_xlfn.CONCAT(Ruimtestaat[[#This Row],[Ruimte code]],"-",Ruimtestaat[[#This Row],[Frequentie weekend]]," ",Ruimtestaat[[#This Row],[Vloer code]]))</f>
        <v/>
      </c>
      <c r="BL905" s="448" t="str">
        <f>_xlfn.IFNA(VLOOKUP($BK905,Programma!$F$3:$G$1101,2,0),"")</f>
        <v/>
      </c>
      <c r="BM905" s="448" t="str">
        <f>_xlfn.IFNA(VLOOKUP($BK905,Programma!$F$3:$H$1101,3,0),"")</f>
        <v/>
      </c>
      <c r="BN905" s="448" t="str">
        <f>_xlfn.IFNA(VLOOKUP($BK905,Programma!$F$3:$I$1101,4,0),"")</f>
        <v/>
      </c>
      <c r="BO905" s="448" t="str">
        <f>_xlfn.IFNA(VLOOKUP($BK905,Programma!$F$3:$J$1101,5,0),"")</f>
        <v/>
      </c>
      <c r="BP905" s="448" t="str">
        <f>_xlfn.IFNA(VLOOKUP($BK905,Programma!$F$3:$K$1101,6,0),"")</f>
        <v/>
      </c>
      <c r="BQ905" s="448" t="str">
        <f>_xlfn.IFNA(VLOOKUP($BK905,Programma!$F$3:$L$1101,7,0),"")</f>
        <v/>
      </c>
      <c r="BR905" s="448" t="str">
        <f>_xlfn.IFNA(VLOOKUP($BK905,Programma!$F$3:$M$1101,8,0),"")</f>
        <v/>
      </c>
      <c r="BS905" s="448" t="str">
        <f>_xlfn.IFNA(VLOOKUP($BK905,Programma!$F$3:$N$1101,9,0),"")</f>
        <v/>
      </c>
      <c r="BT905" s="448" t="str">
        <f>_xlfn.IFNA(VLOOKUP($BK905,Programma!$F$3:$O$1101,10,0),"")</f>
        <v/>
      </c>
      <c r="BU905" s="448" t="str">
        <f>_xlfn.IFNA(VLOOKUP($BK905,Programma!$F$3:$P$1101,11,0),"")</f>
        <v/>
      </c>
      <c r="BV905" s="448" t="str">
        <f>_xlfn.IFNA(VLOOKUP($BK905,Programma!$F$3:$Q$1101,12,0),"")</f>
        <v/>
      </c>
      <c r="BW905" s="448" t="str">
        <f>_xlfn.IFNA(VLOOKUP($BK905,Programma!$F$3:$R$1101,13,0),"")</f>
        <v/>
      </c>
      <c r="BX905" s="448" t="str">
        <f>_xlfn.IFNA(VLOOKUP($BK905,Programma!$F$3:$S$1101,14,0),"")</f>
        <v/>
      </c>
      <c r="BY905" s="448" t="str">
        <f>_xlfn.IFNA(VLOOKUP($BK905,Programma!$F$3:$T$1101,15,0),"")</f>
        <v/>
      </c>
      <c r="BZ905" s="448" t="str">
        <f>_xlfn.IFNA(VLOOKUP($BK905,Programma!$F$3:$U$1101,16,0),"")</f>
        <v/>
      </c>
      <c r="CA905" s="448" t="str">
        <f>_xlfn.IFNA(VLOOKUP($BK905,Programma!$F$3:$V$1101,17,0),"")</f>
        <v/>
      </c>
      <c r="CB905" s="448" t="str">
        <f>_xlfn.IFNA(VLOOKUP($BK905,Programma!$F$3:$W$1101,18,0),"")</f>
        <v/>
      </c>
      <c r="CC905" s="448" t="str">
        <f>_xlfn.IFNA(VLOOKUP($BK905,Programma!$F$3:$X$1101,19,0),"")</f>
        <v/>
      </c>
      <c r="CD905" s="448" t="str">
        <f>_xlfn.IFNA(VLOOKUP($BK905,Programma!$F$3:$Y$1101,20,0),"")</f>
        <v/>
      </c>
    </row>
    <row r="906" spans="1:82" ht="15" customHeight="1">
      <c r="A906" s="327">
        <v>25</v>
      </c>
      <c r="B906" s="435" t="str">
        <f>VLOOKUP(Ruimtestaat[[#This Row],[Code]],Locaties[[Code]:[Locatie]],2,FALSE)</f>
        <v>IKC De Piramide</v>
      </c>
      <c r="C906" s="435" t="str">
        <f>VLOOKUP(Ruimtestaat[[#This Row],[Code]],Locaties[[#All],[Code]:[Adres]],4,FALSE)</f>
        <v>Fivelingo 84</v>
      </c>
      <c r="D906" s="435" t="str">
        <f>VLOOKUP(Ruimtestaat[[#This Row],[Code]],Locaties[[#All],[Code]:[Postcode]],5,FALSE)</f>
        <v>2716 BG</v>
      </c>
      <c r="E906" s="435" t="str">
        <f>VLOOKUP(Ruimtestaat[[#This Row],[Code]],Locaties[#All],6,FALSE)</f>
        <v>Zoetermeer</v>
      </c>
      <c r="F906" s="450" t="s">
        <v>2059</v>
      </c>
      <c r="G906" s="330" t="s">
        <v>1769</v>
      </c>
      <c r="H906" s="330" t="s">
        <v>1741</v>
      </c>
      <c r="I906" s="450" t="s">
        <v>2073</v>
      </c>
      <c r="J906" s="330">
        <v>16</v>
      </c>
      <c r="K906" s="450" t="str">
        <f>VLOOKUP(Ruimtestaat[[#This Row],[Ruimte code]],Ruimtegroepen[[#All],[Code]:[Ruimte omschrijving]],2,FALSE)</f>
        <v>Leslokalen</v>
      </c>
      <c r="L906" s="330" t="s">
        <v>101</v>
      </c>
      <c r="M906" s="437" t="s">
        <v>1816</v>
      </c>
      <c r="N906" s="439">
        <v>65</v>
      </c>
      <c r="O906" s="439"/>
      <c r="P906" s="439"/>
      <c r="Q906" s="439"/>
      <c r="R906" s="440" t="str">
        <f>VLOOKUP(Ruimtestaat[[#This Row],[Ruimte code]],Ruimtegroepen[],4,FALSE)</f>
        <v>Le</v>
      </c>
      <c r="S906" s="434">
        <v>40</v>
      </c>
      <c r="T906" s="434" t="s">
        <v>2</v>
      </c>
      <c r="U906" s="453">
        <f>IF(S906&gt;0,IF(RIGHT(Ruimtestaat[[#This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6" s="434">
        <f>IF(U906&gt;0,VLOOKUP($J906,Ruimtegroepen[],3,FALSE)*VLOOKUP($L906,Vloersoorten[],3,FALSE)*VLOOKUP($T906,Frequenties[],3,FALSE)*VLOOKUP($A906,Locaties[],3,FALSE),0)</f>
        <v>0</v>
      </c>
      <c r="W906" s="434">
        <f>Ruimtestaat[[#This Row],[Uitvoeringen werkdagen]]*Ruimtestaat[[#This Row],[Oppervlak (netto)]]</f>
        <v>13000</v>
      </c>
      <c r="X906" s="441">
        <f>IF(V906&gt;0,Ruimtestaat[[#This Row],[Prest. (m2 /jaar) werkdagen]]/Ruimtestaat[[#This Row],[Norm (m2/uur) werkdagen]],0)</f>
        <v>0</v>
      </c>
      <c r="Y906" s="442">
        <f>Ruimtestaat[[#This Row],[Uitvoeringen werkdagen]]*Ruimtestaat[[#This Row],[Gedeeltelijk]]</f>
        <v>0</v>
      </c>
      <c r="Z906" s="443" t="e">
        <f>IF(U906&gt;0,Ruimtestaat[[#This Row],[Prest. (m2 / jaar) werkdagen gedeeld]]/Ruimtestaat[[#This Row],[Norm (m2/uur) werkdagen]],0)</f>
        <v>#DIV/0!</v>
      </c>
      <c r="AA906" s="441" t="e">
        <f>Ruimtestaat[[#This Row],[uren / jaar werkdagen gedeeld]]*Tariefsopbouw!$E$35</f>
        <v>#DIV/0!</v>
      </c>
      <c r="AB906" s="441">
        <f>Ruimtestaat[[#This Row],[Uitvoeringen werkdagen]]*Ruimtestaat[[#This Row],[BSO]]</f>
        <v>0</v>
      </c>
      <c r="AC906" s="443" t="e">
        <f>IF(U906&gt;0,Ruimtestaat[[#This Row],[Prest. (m2 / jaar) werkdagen BSO]]/Ruimtestaat[[#This Row],[Norm (m2/uur) werkdagen]],0)</f>
        <v>#DIV/0!</v>
      </c>
      <c r="AD906" s="443" t="e">
        <f>Ruimtestaat[[#This Row],[uren / jaar werkdagen BSO]]*Tariefsopbouw!$E$35</f>
        <v>#DIV/0!</v>
      </c>
      <c r="AE906" s="444">
        <f>Ruimtestaat[[#This Row],[uren / jaar werkdagen]]*Tariefsopbouw!$E$35</f>
        <v>0</v>
      </c>
      <c r="AF906" s="454"/>
      <c r="AG906" s="455">
        <f>IF(Ruimtestaat[[#This Row],[Frequentie weekend]]&gt;0,VALUE(LEFT(AF906,1))*S906,0)</f>
        <v>0</v>
      </c>
      <c r="AH906" s="455">
        <f>IF($AG906&gt;0,VLOOKUP($J906,Ruimtegroepen[],3,FALSE)*VLOOKUP($L906,Vloersoorten[],3,FALSE)*VLOOKUP($AF906,Frequenties[],3,FALSE)*VLOOKUP(#REF!,Locaties[],3,FALSE),0)</f>
        <v>0</v>
      </c>
      <c r="AI906" s="434">
        <f>Ruimtestaat[[#This Row],[Uitvoeringen weekend]]*Ruimtestaat[[#This Row],[Oppervlak (netto)]]</f>
        <v>0</v>
      </c>
      <c r="AJ906" s="434">
        <f>IF(AH906&gt;0,Ruimtestaat[[#This Row],[Prest. (m2 /jaar) weekend]]/Ruimtestaat[[#This Row],[Norm (m2/uur) weekend]],0)</f>
        <v>0</v>
      </c>
      <c r="AK906" s="444">
        <f>Ruimtestaat[[#This Row],[uren / jaar weekend]]*Tariefsopbouw!$D$40</f>
        <v>0</v>
      </c>
      <c r="AL906" s="441">
        <f>Ruimtestaat[[#This Row],[Prest. (m2 /jaar) weekend]]+Ruimtestaat[[#This Row],[Prest. (m2 /jaar) werkdagen]]</f>
        <v>13000</v>
      </c>
      <c r="AM906" s="441">
        <f>Ruimtestaat[[#This Row],[uren / jaar weekend]]+Ruimtestaat[[#This Row],[uren / jaar werkdagen]]</f>
        <v>0</v>
      </c>
      <c r="AN906" s="446">
        <f>Ruimtestaat[[#This Row],[kosten / jaar weekend]]+Ruimtestaat[[#This Row],[kosten / jaar werkdagen]]</f>
        <v>0</v>
      </c>
      <c r="AO906" s="446"/>
      <c r="AP906" s="446" t="str">
        <f>IF(Ruimtestaat[[#This Row],[Frequentie werkdagen]]="","",_xlfn.CONCAT(Ruimtestaat[[#This Row],[Ruimte code]],"-",Ruimtestaat[[#This Row],[Frequentie werkdagen]]," ",Ruimtestaat[[#This Row],[Vloer code]]))</f>
        <v>16-5w S</v>
      </c>
      <c r="AQ906" s="448" t="str">
        <f>_xlfn.IFNA(VLOOKUP($AP906,Programma!$F$3:$G$1101,2,0),"")</f>
        <v>_</v>
      </c>
      <c r="AR906" s="448" t="str">
        <f>_xlfn.IFNA(VLOOKUP($AP906,Programma!$F$3:$H$1101,3,0),"")</f>
        <v>_</v>
      </c>
      <c r="AS906" s="448" t="str">
        <f>_xlfn.IFNA(VLOOKUP($AP906,Programma!$F$3:$I$1101,4,0),"")</f>
        <v>4w</v>
      </c>
      <c r="AT906" s="448" t="str">
        <f>_xlfn.IFNA(VLOOKUP($AP906,Programma!$F$3:$J$1101,5,0),"")</f>
        <v>1w</v>
      </c>
      <c r="AU906" s="448" t="str">
        <f>_xlfn.IFNA(VLOOKUP($AP906,Programma!$F$3:$K$1101,6,0),"")</f>
        <v>1m</v>
      </c>
      <c r="AV906" s="448" t="str">
        <f>_xlfn.IFNA(VLOOKUP($AP906,Programma!$F$3:$L$1101,7,0),"")</f>
        <v>_</v>
      </c>
      <c r="AW906" s="448" t="str">
        <f>_xlfn.IFNA(VLOOKUP($AP906,Programma!$F$3:$M$1101,8,0),"")</f>
        <v>_</v>
      </c>
      <c r="AX906" s="448" t="str">
        <f>_xlfn.IFNA(VLOOKUP($AP906,Programma!$F$3:$N$1101,9,0),"")</f>
        <v>_</v>
      </c>
      <c r="AY906" s="448" t="str">
        <f>_xlfn.IFNA(VLOOKUP($AP906,Programma!$F$3:$O$1101,10,0),"")</f>
        <v>5w</v>
      </c>
      <c r="AZ906" s="448" t="str">
        <f>_xlfn.IFNA(VLOOKUP($AP906,Programma!$F$3:$P$1101,11,0),"")</f>
        <v>5w</v>
      </c>
      <c r="BA906" s="448" t="str">
        <f>_xlfn.IFNA(VLOOKUP($AP906,Programma!$F$3:$Q$1101,12,0),"")</f>
        <v>1w</v>
      </c>
      <c r="BB906" s="448" t="str">
        <f>_xlfn.IFNA(VLOOKUP($AP906,Programma!$F$3:$R$1101,13,0),"")</f>
        <v>1w</v>
      </c>
      <c r="BC906" s="448" t="str">
        <f>_xlfn.IFNA(VLOOKUP($AP906,Programma!$F$3:$S$1101,14,0),"")</f>
        <v>1m</v>
      </c>
      <c r="BD906" s="448" t="str">
        <f>_xlfn.IFNA(VLOOKUP($AP906,Programma!$F$3:$T$1101,15,0),"")</f>
        <v>2j</v>
      </c>
      <c r="BE906" s="448" t="str">
        <f>_xlfn.IFNA(VLOOKUP($AP906,Programma!$F$3:$U$1101,16,0),"")</f>
        <v>1j</v>
      </c>
      <c r="BF906" s="448" t="str">
        <f>_xlfn.IFNA(VLOOKUP($AP906,Programma!$F$3:$V$1101,17,0),"")</f>
        <v>_</v>
      </c>
      <c r="BG906" s="448" t="str">
        <f>_xlfn.IFNA(VLOOKUP($AP906,Programma!$F$3:$W$1101,18,0),"")</f>
        <v>_</v>
      </c>
      <c r="BH906" s="448" t="str">
        <f>_xlfn.IFNA(VLOOKUP($AP906,Programma!$F$3:$X$1101,19,0),"")</f>
        <v>_</v>
      </c>
      <c r="BI906" s="448" t="str">
        <f>_xlfn.IFNA(VLOOKUP($AP906,Programma!$F$3:$Y$1101,20,0),"")</f>
        <v>_</v>
      </c>
      <c r="BJ906" s="449"/>
      <c r="BK906" s="446" t="str">
        <f>IF(Ruimtestaat[[#This Row],[Frequentie weekend]]="","",_xlfn.CONCAT(Ruimtestaat[[#This Row],[Ruimte code]],"-",Ruimtestaat[[#This Row],[Frequentie weekend]]," ",Ruimtestaat[[#This Row],[Vloer code]]))</f>
        <v/>
      </c>
      <c r="BL906" s="448" t="str">
        <f>_xlfn.IFNA(VLOOKUP($BK906,Programma!$F$3:$G$1101,2,0),"")</f>
        <v/>
      </c>
      <c r="BM906" s="448" t="str">
        <f>_xlfn.IFNA(VLOOKUP($BK906,Programma!$F$3:$H$1101,3,0),"")</f>
        <v/>
      </c>
      <c r="BN906" s="448" t="str">
        <f>_xlfn.IFNA(VLOOKUP($BK906,Programma!$F$3:$I$1101,4,0),"")</f>
        <v/>
      </c>
      <c r="BO906" s="448" t="str">
        <f>_xlfn.IFNA(VLOOKUP($BK906,Programma!$F$3:$J$1101,5,0),"")</f>
        <v/>
      </c>
      <c r="BP906" s="448" t="str">
        <f>_xlfn.IFNA(VLOOKUP($BK906,Programma!$F$3:$K$1101,6,0),"")</f>
        <v/>
      </c>
      <c r="BQ906" s="448" t="str">
        <f>_xlfn.IFNA(VLOOKUP($BK906,Programma!$F$3:$L$1101,7,0),"")</f>
        <v/>
      </c>
      <c r="BR906" s="448" t="str">
        <f>_xlfn.IFNA(VLOOKUP($BK906,Programma!$F$3:$M$1101,8,0),"")</f>
        <v/>
      </c>
      <c r="BS906" s="448" t="str">
        <f>_xlfn.IFNA(VLOOKUP($BK906,Programma!$F$3:$N$1101,9,0),"")</f>
        <v/>
      </c>
      <c r="BT906" s="448" t="str">
        <f>_xlfn.IFNA(VLOOKUP($BK906,Programma!$F$3:$O$1101,10,0),"")</f>
        <v/>
      </c>
      <c r="BU906" s="448" t="str">
        <f>_xlfn.IFNA(VLOOKUP($BK906,Programma!$F$3:$P$1101,11,0),"")</f>
        <v/>
      </c>
      <c r="BV906" s="448" t="str">
        <f>_xlfn.IFNA(VLOOKUP($BK906,Programma!$F$3:$Q$1101,12,0),"")</f>
        <v/>
      </c>
      <c r="BW906" s="448" t="str">
        <f>_xlfn.IFNA(VLOOKUP($BK906,Programma!$F$3:$R$1101,13,0),"")</f>
        <v/>
      </c>
      <c r="BX906" s="448" t="str">
        <f>_xlfn.IFNA(VLOOKUP($BK906,Programma!$F$3:$S$1101,14,0),"")</f>
        <v/>
      </c>
      <c r="BY906" s="448" t="str">
        <f>_xlfn.IFNA(VLOOKUP($BK906,Programma!$F$3:$T$1101,15,0),"")</f>
        <v/>
      </c>
      <c r="BZ906" s="448" t="str">
        <f>_xlfn.IFNA(VLOOKUP($BK906,Programma!$F$3:$U$1101,16,0),"")</f>
        <v/>
      </c>
      <c r="CA906" s="448" t="str">
        <f>_xlfn.IFNA(VLOOKUP($BK906,Programma!$F$3:$V$1101,17,0),"")</f>
        <v/>
      </c>
      <c r="CB906" s="448" t="str">
        <f>_xlfn.IFNA(VLOOKUP($BK906,Programma!$F$3:$W$1101,18,0),"")</f>
        <v/>
      </c>
      <c r="CC906" s="448" t="str">
        <f>_xlfn.IFNA(VLOOKUP($BK906,Programma!$F$3:$X$1101,19,0),"")</f>
        <v/>
      </c>
      <c r="CD906" s="448" t="str">
        <f>_xlfn.IFNA(VLOOKUP($BK906,Programma!$F$3:$Y$1101,20,0),"")</f>
        <v/>
      </c>
    </row>
    <row r="907" spans="1:82" ht="15" customHeight="1">
      <c r="A907" s="327">
        <v>25</v>
      </c>
      <c r="B907" s="435" t="str">
        <f>VLOOKUP(Ruimtestaat[[#This Row],[Code]],Locaties[[Code]:[Locatie]],2,FALSE)</f>
        <v>IKC De Piramide</v>
      </c>
      <c r="C907" s="435" t="str">
        <f>VLOOKUP(Ruimtestaat[[#This Row],[Code]],Locaties[[#All],[Code]:[Adres]],4,FALSE)</f>
        <v>Fivelingo 84</v>
      </c>
      <c r="D907" s="435" t="str">
        <f>VLOOKUP(Ruimtestaat[[#This Row],[Code]],Locaties[[#All],[Code]:[Postcode]],5,FALSE)</f>
        <v>2716 BG</v>
      </c>
      <c r="E907" s="435" t="str">
        <f>VLOOKUP(Ruimtestaat[[#This Row],[Code]],Locaties[#All],6,FALSE)</f>
        <v>Zoetermeer</v>
      </c>
      <c r="F907" s="450" t="s">
        <v>2059</v>
      </c>
      <c r="G907" s="330" t="s">
        <v>1769</v>
      </c>
      <c r="H907" s="330" t="s">
        <v>1725</v>
      </c>
      <c r="I907" s="450" t="s">
        <v>1724</v>
      </c>
      <c r="J907" s="330">
        <v>20</v>
      </c>
      <c r="K907" s="450" t="str">
        <f>VLOOKUP(Ruimtestaat[[#This Row],[Ruimte code]],Ruimtegroepen[[#All],[Code]:[Ruimte omschrijving]],2,FALSE)</f>
        <v>Niet in Onderhoud</v>
      </c>
      <c r="L907" s="330" t="s">
        <v>101</v>
      </c>
      <c r="M907" s="437" t="s">
        <v>1816</v>
      </c>
      <c r="N907" s="439"/>
      <c r="O907" s="439">
        <v>14</v>
      </c>
      <c r="P907" s="439"/>
      <c r="Q907" s="439"/>
      <c r="R907" s="440">
        <f>VLOOKUP(Ruimtestaat[[#This Row],[Ruimte code]],Ruimtegroepen[],4,FALSE)</f>
        <v>0</v>
      </c>
      <c r="S907" s="434"/>
      <c r="T907" s="434"/>
      <c r="U907" s="453">
        <f>IF(S907&gt;0,IF(RIGHT(Ruimtestaat[[#This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07" s="434">
        <f>IF(U907&gt;0,VLOOKUP($J907,Ruimtegroepen[],3,FALSE)*VLOOKUP($L907,Vloersoorten[],3,FALSE)*VLOOKUP($T907,Frequenties[],3,FALSE)*VLOOKUP($A907,Locaties[],3,FALSE),0)</f>
        <v>0</v>
      </c>
      <c r="W907" s="434">
        <f>Ruimtestaat[[#This Row],[Uitvoeringen werkdagen]]*Ruimtestaat[[#This Row],[Oppervlak (netto)]]</f>
        <v>0</v>
      </c>
      <c r="X907" s="441">
        <f>IF(V907&gt;0,Ruimtestaat[[#This Row],[Prest. (m2 /jaar) werkdagen]]/Ruimtestaat[[#This Row],[Norm (m2/uur) werkdagen]],0)</f>
        <v>0</v>
      </c>
      <c r="Y907" s="442">
        <f>Ruimtestaat[[#This Row],[Uitvoeringen werkdagen]]*Ruimtestaat[[#This Row],[Gedeeltelijk]]</f>
        <v>0</v>
      </c>
      <c r="Z907" s="443">
        <f>IF(U907&gt;0,Ruimtestaat[[#This Row],[Prest. (m2 / jaar) werkdagen gedeeld]]/Ruimtestaat[[#This Row],[Norm (m2/uur) werkdagen]],0)</f>
        <v>0</v>
      </c>
      <c r="AA907" s="441">
        <f>Ruimtestaat[[#This Row],[uren / jaar werkdagen gedeeld]]*Tariefsopbouw!$E$35</f>
        <v>0</v>
      </c>
      <c r="AB907" s="441">
        <f>Ruimtestaat[[#This Row],[Uitvoeringen werkdagen]]*Ruimtestaat[[#This Row],[BSO]]</f>
        <v>0</v>
      </c>
      <c r="AC907" s="443">
        <f>IF(U907&gt;0,Ruimtestaat[[#This Row],[Prest. (m2 / jaar) werkdagen BSO]]/Ruimtestaat[[#This Row],[Norm (m2/uur) werkdagen]],0)</f>
        <v>0</v>
      </c>
      <c r="AD907" s="443">
        <f>Ruimtestaat[[#This Row],[uren / jaar werkdagen BSO]]*Tariefsopbouw!$E$35</f>
        <v>0</v>
      </c>
      <c r="AE907" s="444">
        <f>Ruimtestaat[[#This Row],[uren / jaar werkdagen]]*Tariefsopbouw!$E$35</f>
        <v>0</v>
      </c>
      <c r="AF907" s="454"/>
      <c r="AG907" s="455">
        <f>IF(Ruimtestaat[[#This Row],[Frequentie weekend]]&gt;0,VALUE(LEFT(AF907,1))*S907,0)</f>
        <v>0</v>
      </c>
      <c r="AH907" s="455">
        <f>IF($AG907&gt;0,VLOOKUP($J907,Ruimtegroepen[],3,FALSE)*VLOOKUP($L907,Vloersoorten[],3,FALSE)*VLOOKUP($AF907,Frequenties[],3,FALSE)*VLOOKUP(#REF!,Locaties[],3,FALSE),0)</f>
        <v>0</v>
      </c>
      <c r="AI907" s="434">
        <f>Ruimtestaat[[#This Row],[Uitvoeringen weekend]]*Ruimtestaat[[#This Row],[Oppervlak (netto)]]</f>
        <v>0</v>
      </c>
      <c r="AJ907" s="434">
        <f>IF(AH907&gt;0,Ruimtestaat[[#This Row],[Prest. (m2 /jaar) weekend]]/Ruimtestaat[[#This Row],[Norm (m2/uur) weekend]],0)</f>
        <v>0</v>
      </c>
      <c r="AK907" s="444">
        <f>Ruimtestaat[[#This Row],[uren / jaar weekend]]*Tariefsopbouw!$D$40</f>
        <v>0</v>
      </c>
      <c r="AL907" s="441">
        <f>Ruimtestaat[[#This Row],[Prest. (m2 /jaar) weekend]]+Ruimtestaat[[#This Row],[Prest. (m2 /jaar) werkdagen]]</f>
        <v>0</v>
      </c>
      <c r="AM907" s="441">
        <f>Ruimtestaat[[#This Row],[uren / jaar weekend]]+Ruimtestaat[[#This Row],[uren / jaar werkdagen]]</f>
        <v>0</v>
      </c>
      <c r="AN907" s="446">
        <f>Ruimtestaat[[#This Row],[kosten / jaar weekend]]+Ruimtestaat[[#This Row],[kosten / jaar werkdagen]]</f>
        <v>0</v>
      </c>
      <c r="AO907" s="446"/>
      <c r="AP907" s="446" t="str">
        <f>IF(Ruimtestaat[[#This Row],[Frequentie werkdagen]]="","",_xlfn.CONCAT(Ruimtestaat[[#This Row],[Ruimte code]],"-",Ruimtestaat[[#This Row],[Frequentie werkdagen]]," ",Ruimtestaat[[#This Row],[Vloer code]]))</f>
        <v/>
      </c>
      <c r="AQ907" s="448" t="str">
        <f>_xlfn.IFNA(VLOOKUP($AP907,Programma!$F$3:$G$1101,2,0),"")</f>
        <v/>
      </c>
      <c r="AR907" s="448" t="str">
        <f>_xlfn.IFNA(VLOOKUP($AP907,Programma!$F$3:$H$1101,3,0),"")</f>
        <v/>
      </c>
      <c r="AS907" s="448" t="str">
        <f>_xlfn.IFNA(VLOOKUP($AP907,Programma!$F$3:$I$1101,4,0),"")</f>
        <v/>
      </c>
      <c r="AT907" s="448" t="str">
        <f>_xlfn.IFNA(VLOOKUP($AP907,Programma!$F$3:$J$1101,5,0),"")</f>
        <v/>
      </c>
      <c r="AU907" s="448" t="str">
        <f>_xlfn.IFNA(VLOOKUP($AP907,Programma!$F$3:$K$1101,6,0),"")</f>
        <v/>
      </c>
      <c r="AV907" s="448" t="str">
        <f>_xlfn.IFNA(VLOOKUP($AP907,Programma!$F$3:$L$1101,7,0),"")</f>
        <v/>
      </c>
      <c r="AW907" s="448" t="str">
        <f>_xlfn.IFNA(VLOOKUP($AP907,Programma!$F$3:$M$1101,8,0),"")</f>
        <v/>
      </c>
      <c r="AX907" s="448" t="str">
        <f>_xlfn.IFNA(VLOOKUP($AP907,Programma!$F$3:$N$1101,9,0),"")</f>
        <v/>
      </c>
      <c r="AY907" s="448" t="str">
        <f>_xlfn.IFNA(VLOOKUP($AP907,Programma!$F$3:$O$1101,10,0),"")</f>
        <v/>
      </c>
      <c r="AZ907" s="448" t="str">
        <f>_xlfn.IFNA(VLOOKUP($AP907,Programma!$F$3:$P$1101,11,0),"")</f>
        <v/>
      </c>
      <c r="BA907" s="448" t="str">
        <f>_xlfn.IFNA(VLOOKUP($AP907,Programma!$F$3:$Q$1101,12,0),"")</f>
        <v/>
      </c>
      <c r="BB907" s="448" t="str">
        <f>_xlfn.IFNA(VLOOKUP($AP907,Programma!$F$3:$R$1101,13,0),"")</f>
        <v/>
      </c>
      <c r="BC907" s="448" t="str">
        <f>_xlfn.IFNA(VLOOKUP($AP907,Programma!$F$3:$S$1101,14,0),"")</f>
        <v/>
      </c>
      <c r="BD907" s="448" t="str">
        <f>_xlfn.IFNA(VLOOKUP($AP907,Programma!$F$3:$T$1101,15,0),"")</f>
        <v/>
      </c>
      <c r="BE907" s="448" t="str">
        <f>_xlfn.IFNA(VLOOKUP($AP907,Programma!$F$3:$U$1101,16,0),"")</f>
        <v/>
      </c>
      <c r="BF907" s="448" t="str">
        <f>_xlfn.IFNA(VLOOKUP($AP907,Programma!$F$3:$V$1101,17,0),"")</f>
        <v/>
      </c>
      <c r="BG907" s="448" t="str">
        <f>_xlfn.IFNA(VLOOKUP($AP907,Programma!$F$3:$W$1101,18,0),"")</f>
        <v/>
      </c>
      <c r="BH907" s="448" t="str">
        <f>_xlfn.IFNA(VLOOKUP($AP907,Programma!$F$3:$X$1101,19,0),"")</f>
        <v/>
      </c>
      <c r="BI907" s="448" t="str">
        <f>_xlfn.IFNA(VLOOKUP($AP907,Programma!$F$3:$Y$1101,20,0),"")</f>
        <v/>
      </c>
      <c r="BJ907" s="449"/>
      <c r="BK907" s="446" t="str">
        <f>IF(Ruimtestaat[[#This Row],[Frequentie weekend]]="","",_xlfn.CONCAT(Ruimtestaat[[#This Row],[Ruimte code]],"-",Ruimtestaat[[#This Row],[Frequentie weekend]]," ",Ruimtestaat[[#This Row],[Vloer code]]))</f>
        <v/>
      </c>
      <c r="BL907" s="448" t="str">
        <f>_xlfn.IFNA(VLOOKUP($BK907,Programma!$F$3:$G$1101,2,0),"")</f>
        <v/>
      </c>
      <c r="BM907" s="448" t="str">
        <f>_xlfn.IFNA(VLOOKUP($BK907,Programma!$F$3:$H$1101,3,0),"")</f>
        <v/>
      </c>
      <c r="BN907" s="448" t="str">
        <f>_xlfn.IFNA(VLOOKUP($BK907,Programma!$F$3:$I$1101,4,0),"")</f>
        <v/>
      </c>
      <c r="BO907" s="448" t="str">
        <f>_xlfn.IFNA(VLOOKUP($BK907,Programma!$F$3:$J$1101,5,0),"")</f>
        <v/>
      </c>
      <c r="BP907" s="448" t="str">
        <f>_xlfn.IFNA(VLOOKUP($BK907,Programma!$F$3:$K$1101,6,0),"")</f>
        <v/>
      </c>
      <c r="BQ907" s="448" t="str">
        <f>_xlfn.IFNA(VLOOKUP($BK907,Programma!$F$3:$L$1101,7,0),"")</f>
        <v/>
      </c>
      <c r="BR907" s="448" t="str">
        <f>_xlfn.IFNA(VLOOKUP($BK907,Programma!$F$3:$M$1101,8,0),"")</f>
        <v/>
      </c>
      <c r="BS907" s="448" t="str">
        <f>_xlfn.IFNA(VLOOKUP($BK907,Programma!$F$3:$N$1101,9,0),"")</f>
        <v/>
      </c>
      <c r="BT907" s="448" t="str">
        <f>_xlfn.IFNA(VLOOKUP($BK907,Programma!$F$3:$O$1101,10,0),"")</f>
        <v/>
      </c>
      <c r="BU907" s="448" t="str">
        <f>_xlfn.IFNA(VLOOKUP($BK907,Programma!$F$3:$P$1101,11,0),"")</f>
        <v/>
      </c>
      <c r="BV907" s="448" t="str">
        <f>_xlfn.IFNA(VLOOKUP($BK907,Programma!$F$3:$Q$1101,12,0),"")</f>
        <v/>
      </c>
      <c r="BW907" s="448" t="str">
        <f>_xlfn.IFNA(VLOOKUP($BK907,Programma!$F$3:$R$1101,13,0),"")</f>
        <v/>
      </c>
      <c r="BX907" s="448" t="str">
        <f>_xlfn.IFNA(VLOOKUP($BK907,Programma!$F$3:$S$1101,14,0),"")</f>
        <v/>
      </c>
      <c r="BY907" s="448" t="str">
        <f>_xlfn.IFNA(VLOOKUP($BK907,Programma!$F$3:$T$1101,15,0),"")</f>
        <v/>
      </c>
      <c r="BZ907" s="448" t="str">
        <f>_xlfn.IFNA(VLOOKUP($BK907,Programma!$F$3:$U$1101,16,0),"")</f>
        <v/>
      </c>
      <c r="CA907" s="448" t="str">
        <f>_xlfn.IFNA(VLOOKUP($BK907,Programma!$F$3:$V$1101,17,0),"")</f>
        <v/>
      </c>
      <c r="CB907" s="448" t="str">
        <f>_xlfn.IFNA(VLOOKUP($BK907,Programma!$F$3:$W$1101,18,0),"")</f>
        <v/>
      </c>
      <c r="CC907" s="448" t="str">
        <f>_xlfn.IFNA(VLOOKUP($BK907,Programma!$F$3:$X$1101,19,0),"")</f>
        <v/>
      </c>
      <c r="CD907" s="448" t="str">
        <f>_xlfn.IFNA(VLOOKUP($BK907,Programma!$F$3:$Y$1101,20,0),"")</f>
        <v/>
      </c>
    </row>
    <row r="908" spans="1:82" ht="15" customHeight="1">
      <c r="A908" s="327">
        <v>25</v>
      </c>
      <c r="B908" s="435" t="str">
        <f>VLOOKUP(Ruimtestaat[[#This Row],[Code]],Locaties[[Code]:[Locatie]],2,FALSE)</f>
        <v>IKC De Piramide</v>
      </c>
      <c r="C908" s="435" t="str">
        <f>VLOOKUP(Ruimtestaat[[#This Row],[Code]],Locaties[[#All],[Code]:[Adres]],4,FALSE)</f>
        <v>Fivelingo 84</v>
      </c>
      <c r="D908" s="435" t="str">
        <f>VLOOKUP(Ruimtestaat[[#This Row],[Code]],Locaties[[#All],[Code]:[Postcode]],5,FALSE)</f>
        <v>2716 BG</v>
      </c>
      <c r="E908" s="435" t="str">
        <f>VLOOKUP(Ruimtestaat[[#This Row],[Code]],Locaties[#All],6,FALSE)</f>
        <v>Zoetermeer</v>
      </c>
      <c r="F908" s="450" t="s">
        <v>2059</v>
      </c>
      <c r="G908" s="330" t="s">
        <v>1769</v>
      </c>
      <c r="H908" s="330" t="s">
        <v>1744</v>
      </c>
      <c r="I908" s="450" t="s">
        <v>1749</v>
      </c>
      <c r="J908" s="330">
        <v>2</v>
      </c>
      <c r="K908" s="450" t="str">
        <f>VLOOKUP(Ruimtestaat[[#This Row],[Ruimte code]],Ruimtegroepen[[#All],[Code]:[Ruimte omschrijving]],2,FALSE)</f>
        <v>Kantoren</v>
      </c>
      <c r="L908" s="330" t="s">
        <v>101</v>
      </c>
      <c r="M908" s="437" t="s">
        <v>1816</v>
      </c>
      <c r="N908" s="439">
        <v>20</v>
      </c>
      <c r="O908" s="439"/>
      <c r="P908" s="439"/>
      <c r="Q908" s="439"/>
      <c r="R908" s="440" t="str">
        <f>VLOOKUP(Ruimtestaat[[#This Row],[Ruimte code]],Ruimtegroepen[],4,FALSE)</f>
        <v>Bu</v>
      </c>
      <c r="S908" s="434">
        <v>41</v>
      </c>
      <c r="T908" s="434" t="s">
        <v>2</v>
      </c>
      <c r="U908" s="453">
        <f>IF(S908&gt;0,IF(RIGHT(Ruimtestaat[[#This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08" s="434">
        <f>IF(U908&gt;0,VLOOKUP($J908,Ruimtegroepen[],3,FALSE)*VLOOKUP($L908,Vloersoorten[],3,FALSE)*VLOOKUP($T908,Frequenties[],3,FALSE)*VLOOKUP($A908,Locaties[],3,FALSE),0)</f>
        <v>0</v>
      </c>
      <c r="W908" s="434">
        <f>Ruimtestaat[[#This Row],[Uitvoeringen werkdagen]]*Ruimtestaat[[#This Row],[Oppervlak (netto)]]</f>
        <v>4100</v>
      </c>
      <c r="X908" s="441">
        <f>IF(V908&gt;0,Ruimtestaat[[#This Row],[Prest. (m2 /jaar) werkdagen]]/Ruimtestaat[[#This Row],[Norm (m2/uur) werkdagen]],0)</f>
        <v>0</v>
      </c>
      <c r="Y908" s="442">
        <f>Ruimtestaat[[#This Row],[Uitvoeringen werkdagen]]*Ruimtestaat[[#This Row],[Gedeeltelijk]]</f>
        <v>0</v>
      </c>
      <c r="Z908" s="443" t="e">
        <f>IF(U908&gt;0,Ruimtestaat[[#This Row],[Prest. (m2 / jaar) werkdagen gedeeld]]/Ruimtestaat[[#This Row],[Norm (m2/uur) werkdagen]],0)</f>
        <v>#DIV/0!</v>
      </c>
      <c r="AA908" s="441" t="e">
        <f>Ruimtestaat[[#This Row],[uren / jaar werkdagen gedeeld]]*Tariefsopbouw!$E$35</f>
        <v>#DIV/0!</v>
      </c>
      <c r="AB908" s="441">
        <f>Ruimtestaat[[#This Row],[Uitvoeringen werkdagen]]*Ruimtestaat[[#This Row],[BSO]]</f>
        <v>0</v>
      </c>
      <c r="AC908" s="443" t="e">
        <f>IF(U908&gt;0,Ruimtestaat[[#This Row],[Prest. (m2 / jaar) werkdagen BSO]]/Ruimtestaat[[#This Row],[Norm (m2/uur) werkdagen]],0)</f>
        <v>#DIV/0!</v>
      </c>
      <c r="AD908" s="443" t="e">
        <f>Ruimtestaat[[#This Row],[uren / jaar werkdagen BSO]]*Tariefsopbouw!$E$35</f>
        <v>#DIV/0!</v>
      </c>
      <c r="AE908" s="444">
        <f>Ruimtestaat[[#This Row],[uren / jaar werkdagen]]*Tariefsopbouw!$E$35</f>
        <v>0</v>
      </c>
      <c r="AF908" s="454"/>
      <c r="AG908" s="455">
        <f>IF(Ruimtestaat[[#This Row],[Frequentie weekend]]&gt;0,VALUE(LEFT(AF908,1))*S908,0)</f>
        <v>0</v>
      </c>
      <c r="AH908" s="455">
        <f>IF($AG908&gt;0,VLOOKUP($J908,Ruimtegroepen[],3,FALSE)*VLOOKUP($L908,Vloersoorten[],3,FALSE)*VLOOKUP($AF908,Frequenties[],3,FALSE)*VLOOKUP(#REF!,Locaties[],3,FALSE),0)</f>
        <v>0</v>
      </c>
      <c r="AI908" s="434">
        <f>Ruimtestaat[[#This Row],[Uitvoeringen weekend]]*Ruimtestaat[[#This Row],[Oppervlak (netto)]]</f>
        <v>0</v>
      </c>
      <c r="AJ908" s="434">
        <f>IF(AH908&gt;0,Ruimtestaat[[#This Row],[Prest. (m2 /jaar) weekend]]/Ruimtestaat[[#This Row],[Norm (m2/uur) weekend]],0)</f>
        <v>0</v>
      </c>
      <c r="AK908" s="444">
        <f>Ruimtestaat[[#This Row],[uren / jaar weekend]]*Tariefsopbouw!$D$40</f>
        <v>0</v>
      </c>
      <c r="AL908" s="441">
        <f>Ruimtestaat[[#This Row],[Prest. (m2 /jaar) weekend]]+Ruimtestaat[[#This Row],[Prest. (m2 /jaar) werkdagen]]</f>
        <v>4100</v>
      </c>
      <c r="AM908" s="441">
        <f>Ruimtestaat[[#This Row],[uren / jaar weekend]]+Ruimtestaat[[#This Row],[uren / jaar werkdagen]]</f>
        <v>0</v>
      </c>
      <c r="AN908" s="446">
        <f>Ruimtestaat[[#This Row],[kosten / jaar weekend]]+Ruimtestaat[[#This Row],[kosten / jaar werkdagen]]</f>
        <v>0</v>
      </c>
      <c r="AO908" s="446"/>
      <c r="AP908" s="446" t="str">
        <f>IF(Ruimtestaat[[#This Row],[Frequentie werkdagen]]="","",_xlfn.CONCAT(Ruimtestaat[[#This Row],[Ruimte code]],"-",Ruimtestaat[[#This Row],[Frequentie werkdagen]]," ",Ruimtestaat[[#This Row],[Vloer code]]))</f>
        <v>2-5w S</v>
      </c>
      <c r="AQ908" s="448" t="str">
        <f>_xlfn.IFNA(VLOOKUP($AP908,Programma!$F$3:$G$1101,2,0),"")</f>
        <v>_</v>
      </c>
      <c r="AR908" s="448" t="str">
        <f>_xlfn.IFNA(VLOOKUP($AP908,Programma!$F$3:$H$1101,3,0),"")</f>
        <v>_</v>
      </c>
      <c r="AS908" s="448" t="str">
        <f>_xlfn.IFNA(VLOOKUP($AP908,Programma!$F$3:$I$1101,4,0),"")</f>
        <v>4w</v>
      </c>
      <c r="AT908" s="448" t="str">
        <f>_xlfn.IFNA(VLOOKUP($AP908,Programma!$F$3:$J$1101,5,0),"")</f>
        <v>1w</v>
      </c>
      <c r="AU908" s="448" t="str">
        <f>_xlfn.IFNA(VLOOKUP($AP908,Programma!$F$3:$K$1101,6,0),"")</f>
        <v>1j</v>
      </c>
      <c r="AV908" s="448" t="str">
        <f>_xlfn.IFNA(VLOOKUP($AP908,Programma!$F$3:$L$1101,7,0),"")</f>
        <v>_</v>
      </c>
      <c r="AW908" s="448" t="str">
        <f>_xlfn.IFNA(VLOOKUP($AP908,Programma!$F$3:$M$1101,8,0),"")</f>
        <v>_</v>
      </c>
      <c r="AX908" s="448" t="str">
        <f>_xlfn.IFNA(VLOOKUP($AP908,Programma!$F$3:$N$1101,9,0),"")</f>
        <v>_</v>
      </c>
      <c r="AY908" s="448" t="str">
        <f>_xlfn.IFNA(VLOOKUP($AP908,Programma!$F$3:$O$1101,10,0),"")</f>
        <v>5w</v>
      </c>
      <c r="AZ908" s="448" t="str">
        <f>_xlfn.IFNA(VLOOKUP($AP908,Programma!$F$3:$P$1101,11,0),"")</f>
        <v>5w</v>
      </c>
      <c r="BA908" s="448" t="str">
        <f>_xlfn.IFNA(VLOOKUP($AP908,Programma!$F$3:$Q$1101,12,0),"")</f>
        <v>1w</v>
      </c>
      <c r="BB908" s="448" t="str">
        <f>_xlfn.IFNA(VLOOKUP($AP908,Programma!$F$3:$R$1101,13,0),"")</f>
        <v>1w</v>
      </c>
      <c r="BC908" s="448" t="str">
        <f>_xlfn.IFNA(VLOOKUP($AP908,Programma!$F$3:$S$1101,14,0),"")</f>
        <v>1m</v>
      </c>
      <c r="BD908" s="448" t="str">
        <f>_xlfn.IFNA(VLOOKUP($AP908,Programma!$F$3:$T$1101,15,0),"")</f>
        <v>2j</v>
      </c>
      <c r="BE908" s="448" t="str">
        <f>_xlfn.IFNA(VLOOKUP($AP908,Programma!$F$3:$U$1101,16,0),"")</f>
        <v>1j</v>
      </c>
      <c r="BF908" s="448" t="str">
        <f>_xlfn.IFNA(VLOOKUP($AP908,Programma!$F$3:$V$1101,17,0),"")</f>
        <v>_</v>
      </c>
      <c r="BG908" s="448" t="str">
        <f>_xlfn.IFNA(VLOOKUP($AP908,Programma!$F$3:$W$1101,18,0),"")</f>
        <v>_</v>
      </c>
      <c r="BH908" s="448" t="str">
        <f>_xlfn.IFNA(VLOOKUP($AP908,Programma!$F$3:$X$1101,19,0),"")</f>
        <v>_</v>
      </c>
      <c r="BI908" s="448" t="str">
        <f>_xlfn.IFNA(VLOOKUP($AP908,Programma!$F$3:$Y$1101,20,0),"")</f>
        <v>_</v>
      </c>
      <c r="BJ908" s="449"/>
      <c r="BK908" s="446" t="str">
        <f>IF(Ruimtestaat[[#This Row],[Frequentie weekend]]="","",_xlfn.CONCAT(Ruimtestaat[[#This Row],[Ruimte code]],"-",Ruimtestaat[[#This Row],[Frequentie weekend]]," ",Ruimtestaat[[#This Row],[Vloer code]]))</f>
        <v/>
      </c>
      <c r="BL908" s="448" t="str">
        <f>_xlfn.IFNA(VLOOKUP($BK908,Programma!$F$3:$G$1101,2,0),"")</f>
        <v/>
      </c>
      <c r="BM908" s="448" t="str">
        <f>_xlfn.IFNA(VLOOKUP($BK908,Programma!$F$3:$H$1101,3,0),"")</f>
        <v/>
      </c>
      <c r="BN908" s="448" t="str">
        <f>_xlfn.IFNA(VLOOKUP($BK908,Programma!$F$3:$I$1101,4,0),"")</f>
        <v/>
      </c>
      <c r="BO908" s="448" t="str">
        <f>_xlfn.IFNA(VLOOKUP($BK908,Programma!$F$3:$J$1101,5,0),"")</f>
        <v/>
      </c>
      <c r="BP908" s="448" t="str">
        <f>_xlfn.IFNA(VLOOKUP($BK908,Programma!$F$3:$K$1101,6,0),"")</f>
        <v/>
      </c>
      <c r="BQ908" s="448" t="str">
        <f>_xlfn.IFNA(VLOOKUP($BK908,Programma!$F$3:$L$1101,7,0),"")</f>
        <v/>
      </c>
      <c r="BR908" s="448" t="str">
        <f>_xlfn.IFNA(VLOOKUP($BK908,Programma!$F$3:$M$1101,8,0),"")</f>
        <v/>
      </c>
      <c r="BS908" s="448" t="str">
        <f>_xlfn.IFNA(VLOOKUP($BK908,Programma!$F$3:$N$1101,9,0),"")</f>
        <v/>
      </c>
      <c r="BT908" s="448" t="str">
        <f>_xlfn.IFNA(VLOOKUP($BK908,Programma!$F$3:$O$1101,10,0),"")</f>
        <v/>
      </c>
      <c r="BU908" s="448" t="str">
        <f>_xlfn.IFNA(VLOOKUP($BK908,Programma!$F$3:$P$1101,11,0),"")</f>
        <v/>
      </c>
      <c r="BV908" s="448" t="str">
        <f>_xlfn.IFNA(VLOOKUP($BK908,Programma!$F$3:$Q$1101,12,0),"")</f>
        <v/>
      </c>
      <c r="BW908" s="448" t="str">
        <f>_xlfn.IFNA(VLOOKUP($BK908,Programma!$F$3:$R$1101,13,0),"")</f>
        <v/>
      </c>
      <c r="BX908" s="448" t="str">
        <f>_xlfn.IFNA(VLOOKUP($BK908,Programma!$F$3:$S$1101,14,0),"")</f>
        <v/>
      </c>
      <c r="BY908" s="448" t="str">
        <f>_xlfn.IFNA(VLOOKUP($BK908,Programma!$F$3:$T$1101,15,0),"")</f>
        <v/>
      </c>
      <c r="BZ908" s="448" t="str">
        <f>_xlfn.IFNA(VLOOKUP($BK908,Programma!$F$3:$U$1101,16,0),"")</f>
        <v/>
      </c>
      <c r="CA908" s="448" t="str">
        <f>_xlfn.IFNA(VLOOKUP($BK908,Programma!$F$3:$V$1101,17,0),"")</f>
        <v/>
      </c>
      <c r="CB908" s="448" t="str">
        <f>_xlfn.IFNA(VLOOKUP($BK908,Programma!$F$3:$W$1101,18,0),"")</f>
        <v/>
      </c>
      <c r="CC908" s="448" t="str">
        <f>_xlfn.IFNA(VLOOKUP($BK908,Programma!$F$3:$X$1101,19,0),"")</f>
        <v/>
      </c>
      <c r="CD908" s="448" t="str">
        <f>_xlfn.IFNA(VLOOKUP($BK908,Programma!$F$3:$Y$1101,20,0),"")</f>
        <v/>
      </c>
    </row>
    <row r="909" spans="1:82" ht="15" customHeight="1">
      <c r="A909" s="327">
        <v>25</v>
      </c>
      <c r="B909" s="435" t="str">
        <f>VLOOKUP(Ruimtestaat[[#This Row],[Code]],Locaties[[Code]:[Locatie]],2,FALSE)</f>
        <v>IKC De Piramide</v>
      </c>
      <c r="C909" s="435" t="str">
        <f>VLOOKUP(Ruimtestaat[[#This Row],[Code]],Locaties[[#All],[Code]:[Adres]],4,FALSE)</f>
        <v>Fivelingo 84</v>
      </c>
      <c r="D909" s="435" t="str">
        <f>VLOOKUP(Ruimtestaat[[#This Row],[Code]],Locaties[[#All],[Code]:[Postcode]],5,FALSE)</f>
        <v>2716 BG</v>
      </c>
      <c r="E909" s="435" t="str">
        <f>VLOOKUP(Ruimtestaat[[#This Row],[Code]],Locaties[#All],6,FALSE)</f>
        <v>Zoetermeer</v>
      </c>
      <c r="F909" s="450" t="s">
        <v>2059</v>
      </c>
      <c r="G909" s="330" t="s">
        <v>1769</v>
      </c>
      <c r="H909" s="330" t="s">
        <v>2046</v>
      </c>
      <c r="I909" s="450" t="s">
        <v>2064</v>
      </c>
      <c r="J909" s="330">
        <v>5</v>
      </c>
      <c r="K909" s="450" t="str">
        <f>VLOOKUP(Ruimtestaat[[#This Row],[Ruimte code]],Ruimtegroepen[[#All],[Code]:[Ruimte omschrijving]],2,FALSE)</f>
        <v>Sanitair</v>
      </c>
      <c r="L909" s="330" t="s">
        <v>101</v>
      </c>
      <c r="M909" s="437" t="s">
        <v>1816</v>
      </c>
      <c r="N909" s="439">
        <v>7</v>
      </c>
      <c r="O909" s="439"/>
      <c r="P909" s="439"/>
      <c r="Q909" s="439"/>
      <c r="R909" s="440" t="str">
        <f>VLOOKUP(Ruimtestaat[[#This Row],[Ruimte code]],Ruimtegroepen[],4,FALSE)</f>
        <v>Sa</v>
      </c>
      <c r="S909" s="434">
        <v>41</v>
      </c>
      <c r="T909" s="434" t="s">
        <v>2</v>
      </c>
      <c r="U909" s="453">
        <f>IF(S909&gt;0,IF(RIGHT(Ruimtestaat[[#This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09" s="434">
        <f>IF(U909&gt;0,VLOOKUP($J909,Ruimtegroepen[],3,FALSE)*VLOOKUP($L909,Vloersoorten[],3,FALSE)*VLOOKUP($T909,Frequenties[],3,FALSE)*VLOOKUP($A909,Locaties[],3,FALSE),0)</f>
        <v>0</v>
      </c>
      <c r="W909" s="434">
        <f>Ruimtestaat[[#This Row],[Uitvoeringen werkdagen]]*Ruimtestaat[[#This Row],[Oppervlak (netto)]]</f>
        <v>1435</v>
      </c>
      <c r="X909" s="441">
        <f>IF(V909&gt;0,Ruimtestaat[[#This Row],[Prest. (m2 /jaar) werkdagen]]/Ruimtestaat[[#This Row],[Norm (m2/uur) werkdagen]],0)</f>
        <v>0</v>
      </c>
      <c r="Y909" s="442">
        <f>Ruimtestaat[[#This Row],[Uitvoeringen werkdagen]]*Ruimtestaat[[#This Row],[Gedeeltelijk]]</f>
        <v>0</v>
      </c>
      <c r="Z909" s="443" t="e">
        <f>IF(U909&gt;0,Ruimtestaat[[#This Row],[Prest. (m2 / jaar) werkdagen gedeeld]]/Ruimtestaat[[#This Row],[Norm (m2/uur) werkdagen]],0)</f>
        <v>#DIV/0!</v>
      </c>
      <c r="AA909" s="441" t="e">
        <f>Ruimtestaat[[#This Row],[uren / jaar werkdagen gedeeld]]*Tariefsopbouw!$E$35</f>
        <v>#DIV/0!</v>
      </c>
      <c r="AB909" s="441">
        <f>Ruimtestaat[[#This Row],[Uitvoeringen werkdagen]]*Ruimtestaat[[#This Row],[BSO]]</f>
        <v>0</v>
      </c>
      <c r="AC909" s="443" t="e">
        <f>IF(U909&gt;0,Ruimtestaat[[#This Row],[Prest. (m2 / jaar) werkdagen BSO]]/Ruimtestaat[[#This Row],[Norm (m2/uur) werkdagen]],0)</f>
        <v>#DIV/0!</v>
      </c>
      <c r="AD909" s="443" t="e">
        <f>Ruimtestaat[[#This Row],[uren / jaar werkdagen BSO]]*Tariefsopbouw!$E$35</f>
        <v>#DIV/0!</v>
      </c>
      <c r="AE909" s="444">
        <f>Ruimtestaat[[#This Row],[uren / jaar werkdagen]]*Tariefsopbouw!$E$35</f>
        <v>0</v>
      </c>
      <c r="AF909" s="454"/>
      <c r="AG909" s="455">
        <f>IF(Ruimtestaat[[#This Row],[Frequentie weekend]]&gt;0,VALUE(LEFT(AF909,1))*S909,0)</f>
        <v>0</v>
      </c>
      <c r="AH909" s="455">
        <f>IF($AG909&gt;0,VLOOKUP($J909,Ruimtegroepen[],3,FALSE)*VLOOKUP($L909,Vloersoorten[],3,FALSE)*VLOOKUP($AF909,Frequenties[],3,FALSE)*VLOOKUP(#REF!,Locaties[],3,FALSE),0)</f>
        <v>0</v>
      </c>
      <c r="AI909" s="434">
        <f>Ruimtestaat[[#This Row],[Uitvoeringen weekend]]*Ruimtestaat[[#This Row],[Oppervlak (netto)]]</f>
        <v>0</v>
      </c>
      <c r="AJ909" s="434">
        <f>IF(AH909&gt;0,Ruimtestaat[[#This Row],[Prest. (m2 /jaar) weekend]]/Ruimtestaat[[#This Row],[Norm (m2/uur) weekend]],0)</f>
        <v>0</v>
      </c>
      <c r="AK909" s="444">
        <f>Ruimtestaat[[#This Row],[uren / jaar weekend]]*Tariefsopbouw!$D$40</f>
        <v>0</v>
      </c>
      <c r="AL909" s="441">
        <f>Ruimtestaat[[#This Row],[Prest. (m2 /jaar) weekend]]+Ruimtestaat[[#This Row],[Prest. (m2 /jaar) werkdagen]]</f>
        <v>1435</v>
      </c>
      <c r="AM909" s="441">
        <f>Ruimtestaat[[#This Row],[uren / jaar weekend]]+Ruimtestaat[[#This Row],[uren / jaar werkdagen]]</f>
        <v>0</v>
      </c>
      <c r="AN909" s="446">
        <f>Ruimtestaat[[#This Row],[kosten / jaar weekend]]+Ruimtestaat[[#This Row],[kosten / jaar werkdagen]]</f>
        <v>0</v>
      </c>
      <c r="AO909" s="446"/>
      <c r="AP909" s="446" t="str">
        <f>IF(Ruimtestaat[[#This Row],[Frequentie werkdagen]]="","",_xlfn.CONCAT(Ruimtestaat[[#This Row],[Ruimte code]],"-",Ruimtestaat[[#This Row],[Frequentie werkdagen]]," ",Ruimtestaat[[#This Row],[Vloer code]]))</f>
        <v>5-5w S</v>
      </c>
      <c r="AQ909" s="448" t="str">
        <f>_xlfn.IFNA(VLOOKUP($AP909,Programma!$F$3:$G$1101,2,0),"")</f>
        <v>_</v>
      </c>
      <c r="AR909" s="448" t="str">
        <f>_xlfn.IFNA(VLOOKUP($AP909,Programma!$F$3:$H$1101,3,0),"")</f>
        <v>_</v>
      </c>
      <c r="AS909" s="448" t="str">
        <f>_xlfn.IFNA(VLOOKUP($AP909,Programma!$F$3:$I$1101,4,0),"")</f>
        <v>_</v>
      </c>
      <c r="AT909" s="448" t="str">
        <f>_xlfn.IFNA(VLOOKUP($AP909,Programma!$F$3:$J$1101,5,0),"")</f>
        <v>4w</v>
      </c>
      <c r="AU909" s="448" t="str">
        <f>_xlfn.IFNA(VLOOKUP($AP909,Programma!$F$3:$K$1101,6,0),"")</f>
        <v>1w</v>
      </c>
      <c r="AV909" s="448" t="str">
        <f>_xlfn.IFNA(VLOOKUP($AP909,Programma!$F$3:$L$1101,7,0),"")</f>
        <v>_</v>
      </c>
      <c r="AW909" s="448" t="str">
        <f>_xlfn.IFNA(VLOOKUP($AP909,Programma!$F$3:$M$1101,8,0),"")</f>
        <v>_</v>
      </c>
      <c r="AX909" s="448" t="str">
        <f>_xlfn.IFNA(VLOOKUP($AP909,Programma!$F$3:$N$1101,9,0),"")</f>
        <v>_</v>
      </c>
      <c r="AY909" s="448" t="str">
        <f>_xlfn.IFNA(VLOOKUP($AP909,Programma!$F$3:$O$1101,10,0),"")</f>
        <v>_</v>
      </c>
      <c r="AZ909" s="448" t="str">
        <f>_xlfn.IFNA(VLOOKUP($AP909,Programma!$F$3:$P$1101,11,0),"")</f>
        <v>_</v>
      </c>
      <c r="BA909" s="448" t="str">
        <f>_xlfn.IFNA(VLOOKUP($AP909,Programma!$F$3:$Q$1101,12,0),"")</f>
        <v>_</v>
      </c>
      <c r="BB909" s="448" t="str">
        <f>_xlfn.IFNA(VLOOKUP($AP909,Programma!$F$3:$R$1101,13,0),"")</f>
        <v>_</v>
      </c>
      <c r="BC909" s="448" t="str">
        <f>_xlfn.IFNA(VLOOKUP($AP909,Programma!$F$3:$S$1101,14,0),"")</f>
        <v>_</v>
      </c>
      <c r="BD909" s="448" t="str">
        <f>_xlfn.IFNA(VLOOKUP($AP909,Programma!$F$3:$T$1101,15,0),"")</f>
        <v>_</v>
      </c>
      <c r="BE909" s="448" t="str">
        <f>_xlfn.IFNA(VLOOKUP($AP909,Programma!$F$3:$U$1101,16,0),"")</f>
        <v>_</v>
      </c>
      <c r="BF909" s="448" t="str">
        <f>_xlfn.IFNA(VLOOKUP($AP909,Programma!$F$3:$V$1101,17,0),"")</f>
        <v>_</v>
      </c>
      <c r="BG909" s="448" t="str">
        <f>_xlfn.IFNA(VLOOKUP($AP909,Programma!$F$3:$W$1101,18,0),"")</f>
        <v>4w</v>
      </c>
      <c r="BH909" s="448" t="str">
        <f>_xlfn.IFNA(VLOOKUP($AP909,Programma!$F$3:$X$1101,19,0),"")</f>
        <v>1w</v>
      </c>
      <c r="BI909" s="448" t="str">
        <f>_xlfn.IFNA(VLOOKUP($AP909,Programma!$F$3:$Y$1101,20,0),"")</f>
        <v>_</v>
      </c>
      <c r="BJ909" s="449"/>
      <c r="BK909" s="446" t="str">
        <f>IF(Ruimtestaat[[#This Row],[Frequentie weekend]]="","",_xlfn.CONCAT(Ruimtestaat[[#This Row],[Ruimte code]],"-",Ruimtestaat[[#This Row],[Frequentie weekend]]," ",Ruimtestaat[[#This Row],[Vloer code]]))</f>
        <v/>
      </c>
      <c r="BL909" s="448" t="str">
        <f>_xlfn.IFNA(VLOOKUP($BK909,Programma!$F$3:$G$1101,2,0),"")</f>
        <v/>
      </c>
      <c r="BM909" s="448" t="str">
        <f>_xlfn.IFNA(VLOOKUP($BK909,Programma!$F$3:$H$1101,3,0),"")</f>
        <v/>
      </c>
      <c r="BN909" s="448" t="str">
        <f>_xlfn.IFNA(VLOOKUP($BK909,Programma!$F$3:$I$1101,4,0),"")</f>
        <v/>
      </c>
      <c r="BO909" s="448" t="str">
        <f>_xlfn.IFNA(VLOOKUP($BK909,Programma!$F$3:$J$1101,5,0),"")</f>
        <v/>
      </c>
      <c r="BP909" s="448" t="str">
        <f>_xlfn.IFNA(VLOOKUP($BK909,Programma!$F$3:$K$1101,6,0),"")</f>
        <v/>
      </c>
      <c r="BQ909" s="448" t="str">
        <f>_xlfn.IFNA(VLOOKUP($BK909,Programma!$F$3:$L$1101,7,0),"")</f>
        <v/>
      </c>
      <c r="BR909" s="448" t="str">
        <f>_xlfn.IFNA(VLOOKUP($BK909,Programma!$F$3:$M$1101,8,0),"")</f>
        <v/>
      </c>
      <c r="BS909" s="448" t="str">
        <f>_xlfn.IFNA(VLOOKUP($BK909,Programma!$F$3:$N$1101,9,0),"")</f>
        <v/>
      </c>
      <c r="BT909" s="448" t="str">
        <f>_xlfn.IFNA(VLOOKUP($BK909,Programma!$F$3:$O$1101,10,0),"")</f>
        <v/>
      </c>
      <c r="BU909" s="448" t="str">
        <f>_xlfn.IFNA(VLOOKUP($BK909,Programma!$F$3:$P$1101,11,0),"")</f>
        <v/>
      </c>
      <c r="BV909" s="448" t="str">
        <f>_xlfn.IFNA(VLOOKUP($BK909,Programma!$F$3:$Q$1101,12,0),"")</f>
        <v/>
      </c>
      <c r="BW909" s="448" t="str">
        <f>_xlfn.IFNA(VLOOKUP($BK909,Programma!$F$3:$R$1101,13,0),"")</f>
        <v/>
      </c>
      <c r="BX909" s="448" t="str">
        <f>_xlfn.IFNA(VLOOKUP($BK909,Programma!$F$3:$S$1101,14,0),"")</f>
        <v/>
      </c>
      <c r="BY909" s="448" t="str">
        <f>_xlfn.IFNA(VLOOKUP($BK909,Programma!$F$3:$T$1101,15,0),"")</f>
        <v/>
      </c>
      <c r="BZ909" s="448" t="str">
        <f>_xlfn.IFNA(VLOOKUP($BK909,Programma!$F$3:$U$1101,16,0),"")</f>
        <v/>
      </c>
      <c r="CA909" s="448" t="str">
        <f>_xlfn.IFNA(VLOOKUP($BK909,Programma!$F$3:$V$1101,17,0),"")</f>
        <v/>
      </c>
      <c r="CB909" s="448" t="str">
        <f>_xlfn.IFNA(VLOOKUP($BK909,Programma!$F$3:$W$1101,18,0),"")</f>
        <v/>
      </c>
      <c r="CC909" s="448" t="str">
        <f>_xlfn.IFNA(VLOOKUP($BK909,Programma!$F$3:$X$1101,19,0),"")</f>
        <v/>
      </c>
      <c r="CD909" s="448" t="str">
        <f>_xlfn.IFNA(VLOOKUP($BK909,Programma!$F$3:$Y$1101,20,0),"")</f>
        <v/>
      </c>
    </row>
    <row r="910" spans="1:82" ht="15" customHeight="1">
      <c r="A910" s="327">
        <v>25</v>
      </c>
      <c r="B910" s="435" t="str">
        <f>VLOOKUP(Ruimtestaat[[#This Row],[Code]],Locaties[[Code]:[Locatie]],2,FALSE)</f>
        <v>IKC De Piramide</v>
      </c>
      <c r="C910" s="435" t="str">
        <f>VLOOKUP(Ruimtestaat[[#This Row],[Code]],Locaties[[#All],[Code]:[Adres]],4,FALSE)</f>
        <v>Fivelingo 84</v>
      </c>
      <c r="D910" s="435" t="str">
        <f>VLOOKUP(Ruimtestaat[[#This Row],[Code]],Locaties[[#All],[Code]:[Postcode]],5,FALSE)</f>
        <v>2716 BG</v>
      </c>
      <c r="E910" s="435" t="str">
        <f>VLOOKUP(Ruimtestaat[[#This Row],[Code]],Locaties[#All],6,FALSE)</f>
        <v>Zoetermeer</v>
      </c>
      <c r="F910" s="450" t="s">
        <v>2059</v>
      </c>
      <c r="G910" s="330" t="s">
        <v>1769</v>
      </c>
      <c r="H910" s="330" t="s">
        <v>1746</v>
      </c>
      <c r="I910" s="450" t="s">
        <v>2064</v>
      </c>
      <c r="J910" s="330">
        <v>5</v>
      </c>
      <c r="K910" s="450" t="str">
        <f>VLOOKUP(Ruimtestaat[[#This Row],[Ruimte code]],Ruimtegroepen[[#All],[Code]:[Ruimte omschrijving]],2,FALSE)</f>
        <v>Sanitair</v>
      </c>
      <c r="L910" s="330" t="s">
        <v>101</v>
      </c>
      <c r="M910" s="437" t="s">
        <v>1816</v>
      </c>
      <c r="N910" s="439">
        <v>7</v>
      </c>
      <c r="O910" s="439"/>
      <c r="P910" s="439"/>
      <c r="Q910" s="439"/>
      <c r="R910" s="440" t="str">
        <f>VLOOKUP(Ruimtestaat[[#This Row],[Ruimte code]],Ruimtegroepen[],4,FALSE)</f>
        <v>Sa</v>
      </c>
      <c r="S910" s="434">
        <v>41</v>
      </c>
      <c r="T910" s="434" t="s">
        <v>2</v>
      </c>
      <c r="U910" s="453">
        <f>IF(S910&gt;0,IF(RIGHT(Ruimtestaat[[#This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10" s="434">
        <f>IF(U910&gt;0,VLOOKUP($J910,Ruimtegroepen[],3,FALSE)*VLOOKUP($L910,Vloersoorten[],3,FALSE)*VLOOKUP($T910,Frequenties[],3,FALSE)*VLOOKUP($A910,Locaties[],3,FALSE),0)</f>
        <v>0</v>
      </c>
      <c r="W910" s="434">
        <f>Ruimtestaat[[#This Row],[Uitvoeringen werkdagen]]*Ruimtestaat[[#This Row],[Oppervlak (netto)]]</f>
        <v>1435</v>
      </c>
      <c r="X910" s="441">
        <f>IF(V910&gt;0,Ruimtestaat[[#This Row],[Prest. (m2 /jaar) werkdagen]]/Ruimtestaat[[#This Row],[Norm (m2/uur) werkdagen]],0)</f>
        <v>0</v>
      </c>
      <c r="Y910" s="442">
        <f>Ruimtestaat[[#This Row],[Uitvoeringen werkdagen]]*Ruimtestaat[[#This Row],[Gedeeltelijk]]</f>
        <v>0</v>
      </c>
      <c r="Z910" s="443" t="e">
        <f>IF(U910&gt;0,Ruimtestaat[[#This Row],[Prest. (m2 / jaar) werkdagen gedeeld]]/Ruimtestaat[[#This Row],[Norm (m2/uur) werkdagen]],0)</f>
        <v>#DIV/0!</v>
      </c>
      <c r="AA910" s="441" t="e">
        <f>Ruimtestaat[[#This Row],[uren / jaar werkdagen gedeeld]]*Tariefsopbouw!$E$35</f>
        <v>#DIV/0!</v>
      </c>
      <c r="AB910" s="441">
        <f>Ruimtestaat[[#This Row],[Uitvoeringen werkdagen]]*Ruimtestaat[[#This Row],[BSO]]</f>
        <v>0</v>
      </c>
      <c r="AC910" s="443" t="e">
        <f>IF(U910&gt;0,Ruimtestaat[[#This Row],[Prest. (m2 / jaar) werkdagen BSO]]/Ruimtestaat[[#This Row],[Norm (m2/uur) werkdagen]],0)</f>
        <v>#DIV/0!</v>
      </c>
      <c r="AD910" s="443" t="e">
        <f>Ruimtestaat[[#This Row],[uren / jaar werkdagen BSO]]*Tariefsopbouw!$E$35</f>
        <v>#DIV/0!</v>
      </c>
      <c r="AE910" s="444">
        <f>Ruimtestaat[[#This Row],[uren / jaar werkdagen]]*Tariefsopbouw!$E$35</f>
        <v>0</v>
      </c>
      <c r="AF910" s="454"/>
      <c r="AG910" s="455">
        <f>IF(Ruimtestaat[[#This Row],[Frequentie weekend]]&gt;0,VALUE(LEFT(AF910,1))*S910,0)</f>
        <v>0</v>
      </c>
      <c r="AH910" s="455">
        <f>IF($AG910&gt;0,VLOOKUP($J910,Ruimtegroepen[],3,FALSE)*VLOOKUP($L910,Vloersoorten[],3,FALSE)*VLOOKUP($AF910,Frequenties[],3,FALSE)*VLOOKUP(#REF!,Locaties[],3,FALSE),0)</f>
        <v>0</v>
      </c>
      <c r="AI910" s="434">
        <f>Ruimtestaat[[#This Row],[Uitvoeringen weekend]]*Ruimtestaat[[#This Row],[Oppervlak (netto)]]</f>
        <v>0</v>
      </c>
      <c r="AJ910" s="434">
        <f>IF(AH910&gt;0,Ruimtestaat[[#This Row],[Prest. (m2 /jaar) weekend]]/Ruimtestaat[[#This Row],[Norm (m2/uur) weekend]],0)</f>
        <v>0</v>
      </c>
      <c r="AK910" s="444">
        <f>Ruimtestaat[[#This Row],[uren / jaar weekend]]*Tariefsopbouw!$D$40</f>
        <v>0</v>
      </c>
      <c r="AL910" s="441">
        <f>Ruimtestaat[[#This Row],[Prest. (m2 /jaar) weekend]]+Ruimtestaat[[#This Row],[Prest. (m2 /jaar) werkdagen]]</f>
        <v>1435</v>
      </c>
      <c r="AM910" s="441">
        <f>Ruimtestaat[[#This Row],[uren / jaar weekend]]+Ruimtestaat[[#This Row],[uren / jaar werkdagen]]</f>
        <v>0</v>
      </c>
      <c r="AN910" s="446">
        <f>Ruimtestaat[[#This Row],[kosten / jaar weekend]]+Ruimtestaat[[#This Row],[kosten / jaar werkdagen]]</f>
        <v>0</v>
      </c>
      <c r="AO910" s="446"/>
      <c r="AP910" s="446" t="str">
        <f>IF(Ruimtestaat[[#This Row],[Frequentie werkdagen]]="","",_xlfn.CONCAT(Ruimtestaat[[#This Row],[Ruimte code]],"-",Ruimtestaat[[#This Row],[Frequentie werkdagen]]," ",Ruimtestaat[[#This Row],[Vloer code]]))</f>
        <v>5-5w S</v>
      </c>
      <c r="AQ910" s="448" t="str">
        <f>_xlfn.IFNA(VLOOKUP($AP910,Programma!$F$3:$G$1101,2,0),"")</f>
        <v>_</v>
      </c>
      <c r="AR910" s="448" t="str">
        <f>_xlfn.IFNA(VLOOKUP($AP910,Programma!$F$3:$H$1101,3,0),"")</f>
        <v>_</v>
      </c>
      <c r="AS910" s="448" t="str">
        <f>_xlfn.IFNA(VLOOKUP($AP910,Programma!$F$3:$I$1101,4,0),"")</f>
        <v>_</v>
      </c>
      <c r="AT910" s="448" t="str">
        <f>_xlfn.IFNA(VLOOKUP($AP910,Programma!$F$3:$J$1101,5,0),"")</f>
        <v>4w</v>
      </c>
      <c r="AU910" s="448" t="str">
        <f>_xlfn.IFNA(VLOOKUP($AP910,Programma!$F$3:$K$1101,6,0),"")</f>
        <v>1w</v>
      </c>
      <c r="AV910" s="448" t="str">
        <f>_xlfn.IFNA(VLOOKUP($AP910,Programma!$F$3:$L$1101,7,0),"")</f>
        <v>_</v>
      </c>
      <c r="AW910" s="448" t="str">
        <f>_xlfn.IFNA(VLOOKUP($AP910,Programma!$F$3:$M$1101,8,0),"")</f>
        <v>_</v>
      </c>
      <c r="AX910" s="448" t="str">
        <f>_xlfn.IFNA(VLOOKUP($AP910,Programma!$F$3:$N$1101,9,0),"")</f>
        <v>_</v>
      </c>
      <c r="AY910" s="448" t="str">
        <f>_xlfn.IFNA(VLOOKUP($AP910,Programma!$F$3:$O$1101,10,0),"")</f>
        <v>_</v>
      </c>
      <c r="AZ910" s="448" t="str">
        <f>_xlfn.IFNA(VLOOKUP($AP910,Programma!$F$3:$P$1101,11,0),"")</f>
        <v>_</v>
      </c>
      <c r="BA910" s="448" t="str">
        <f>_xlfn.IFNA(VLOOKUP($AP910,Programma!$F$3:$Q$1101,12,0),"")</f>
        <v>_</v>
      </c>
      <c r="BB910" s="448" t="str">
        <f>_xlfn.IFNA(VLOOKUP($AP910,Programma!$F$3:$R$1101,13,0),"")</f>
        <v>_</v>
      </c>
      <c r="BC910" s="448" t="str">
        <f>_xlfn.IFNA(VLOOKUP($AP910,Programma!$F$3:$S$1101,14,0),"")</f>
        <v>_</v>
      </c>
      <c r="BD910" s="448" t="str">
        <f>_xlfn.IFNA(VLOOKUP($AP910,Programma!$F$3:$T$1101,15,0),"")</f>
        <v>_</v>
      </c>
      <c r="BE910" s="448" t="str">
        <f>_xlfn.IFNA(VLOOKUP($AP910,Programma!$F$3:$U$1101,16,0),"")</f>
        <v>_</v>
      </c>
      <c r="BF910" s="448" t="str">
        <f>_xlfn.IFNA(VLOOKUP($AP910,Programma!$F$3:$V$1101,17,0),"")</f>
        <v>_</v>
      </c>
      <c r="BG910" s="448" t="str">
        <f>_xlfn.IFNA(VLOOKUP($AP910,Programma!$F$3:$W$1101,18,0),"")</f>
        <v>4w</v>
      </c>
      <c r="BH910" s="448" t="str">
        <f>_xlfn.IFNA(VLOOKUP($AP910,Programma!$F$3:$X$1101,19,0),"")</f>
        <v>1w</v>
      </c>
      <c r="BI910" s="448" t="str">
        <f>_xlfn.IFNA(VLOOKUP($AP910,Programma!$F$3:$Y$1101,20,0),"")</f>
        <v>_</v>
      </c>
      <c r="BJ910" s="449"/>
      <c r="BK910" s="446" t="str">
        <f>IF(Ruimtestaat[[#This Row],[Frequentie weekend]]="","",_xlfn.CONCAT(Ruimtestaat[[#This Row],[Ruimte code]],"-",Ruimtestaat[[#This Row],[Frequentie weekend]]," ",Ruimtestaat[[#This Row],[Vloer code]]))</f>
        <v/>
      </c>
      <c r="BL910" s="448" t="str">
        <f>_xlfn.IFNA(VLOOKUP($BK910,Programma!$F$3:$G$1101,2,0),"")</f>
        <v/>
      </c>
      <c r="BM910" s="448" t="str">
        <f>_xlfn.IFNA(VLOOKUP($BK910,Programma!$F$3:$H$1101,3,0),"")</f>
        <v/>
      </c>
      <c r="BN910" s="448" t="str">
        <f>_xlfn.IFNA(VLOOKUP($BK910,Programma!$F$3:$I$1101,4,0),"")</f>
        <v/>
      </c>
      <c r="BO910" s="448" t="str">
        <f>_xlfn.IFNA(VLOOKUP($BK910,Programma!$F$3:$J$1101,5,0),"")</f>
        <v/>
      </c>
      <c r="BP910" s="448" t="str">
        <f>_xlfn.IFNA(VLOOKUP($BK910,Programma!$F$3:$K$1101,6,0),"")</f>
        <v/>
      </c>
      <c r="BQ910" s="448" t="str">
        <f>_xlfn.IFNA(VLOOKUP($BK910,Programma!$F$3:$L$1101,7,0),"")</f>
        <v/>
      </c>
      <c r="BR910" s="448" t="str">
        <f>_xlfn.IFNA(VLOOKUP($BK910,Programma!$F$3:$M$1101,8,0),"")</f>
        <v/>
      </c>
      <c r="BS910" s="448" t="str">
        <f>_xlfn.IFNA(VLOOKUP($BK910,Programma!$F$3:$N$1101,9,0),"")</f>
        <v/>
      </c>
      <c r="BT910" s="448" t="str">
        <f>_xlfn.IFNA(VLOOKUP($BK910,Programma!$F$3:$O$1101,10,0),"")</f>
        <v/>
      </c>
      <c r="BU910" s="448" t="str">
        <f>_xlfn.IFNA(VLOOKUP($BK910,Programma!$F$3:$P$1101,11,0),"")</f>
        <v/>
      </c>
      <c r="BV910" s="448" t="str">
        <f>_xlfn.IFNA(VLOOKUP($BK910,Programma!$F$3:$Q$1101,12,0),"")</f>
        <v/>
      </c>
      <c r="BW910" s="448" t="str">
        <f>_xlfn.IFNA(VLOOKUP($BK910,Programma!$F$3:$R$1101,13,0),"")</f>
        <v/>
      </c>
      <c r="BX910" s="448" t="str">
        <f>_xlfn.IFNA(VLOOKUP($BK910,Programma!$F$3:$S$1101,14,0),"")</f>
        <v/>
      </c>
      <c r="BY910" s="448" t="str">
        <f>_xlfn.IFNA(VLOOKUP($BK910,Programma!$F$3:$T$1101,15,0),"")</f>
        <v/>
      </c>
      <c r="BZ910" s="448" t="str">
        <f>_xlfn.IFNA(VLOOKUP($BK910,Programma!$F$3:$U$1101,16,0),"")</f>
        <v/>
      </c>
      <c r="CA910" s="448" t="str">
        <f>_xlfn.IFNA(VLOOKUP($BK910,Programma!$F$3:$V$1101,17,0),"")</f>
        <v/>
      </c>
      <c r="CB910" s="448" t="str">
        <f>_xlfn.IFNA(VLOOKUP($BK910,Programma!$F$3:$W$1101,18,0),"")</f>
        <v/>
      </c>
      <c r="CC910" s="448" t="str">
        <f>_xlfn.IFNA(VLOOKUP($BK910,Programma!$F$3:$X$1101,19,0),"")</f>
        <v/>
      </c>
      <c r="CD910" s="448" t="str">
        <f>_xlfn.IFNA(VLOOKUP($BK910,Programma!$F$3:$Y$1101,20,0),"")</f>
        <v/>
      </c>
    </row>
    <row r="911" spans="1:82" ht="15" customHeight="1">
      <c r="A911" s="327">
        <v>25</v>
      </c>
      <c r="B911" s="435" t="str">
        <f>VLOOKUP(Ruimtestaat[[#This Row],[Code]],Locaties[[Code]:[Locatie]],2,FALSE)</f>
        <v>IKC De Piramide</v>
      </c>
      <c r="C911" s="435" t="str">
        <f>VLOOKUP(Ruimtestaat[[#This Row],[Code]],Locaties[[#All],[Code]:[Adres]],4,FALSE)</f>
        <v>Fivelingo 84</v>
      </c>
      <c r="D911" s="435" t="str">
        <f>VLOOKUP(Ruimtestaat[[#This Row],[Code]],Locaties[[#All],[Code]:[Postcode]],5,FALSE)</f>
        <v>2716 BG</v>
      </c>
      <c r="E911" s="435" t="str">
        <f>VLOOKUP(Ruimtestaat[[#This Row],[Code]],Locaties[#All],6,FALSE)</f>
        <v>Zoetermeer</v>
      </c>
      <c r="F911" s="450" t="s">
        <v>2059</v>
      </c>
      <c r="G911" s="330" t="s">
        <v>1769</v>
      </c>
      <c r="H911" s="330" t="s">
        <v>1935</v>
      </c>
      <c r="I911" s="450" t="s">
        <v>1679</v>
      </c>
      <c r="J911" s="330">
        <v>16</v>
      </c>
      <c r="K911" s="450" t="str">
        <f>VLOOKUP(Ruimtestaat[[#This Row],[Ruimte code]],Ruimtegroepen[[#All],[Code]:[Ruimte omschrijving]],2,FALSE)</f>
        <v>Leslokalen</v>
      </c>
      <c r="L911" s="330" t="s">
        <v>101</v>
      </c>
      <c r="M911" s="437" t="s">
        <v>1816</v>
      </c>
      <c r="N911" s="439">
        <v>63</v>
      </c>
      <c r="O911" s="439"/>
      <c r="P911" s="439"/>
      <c r="Q911" s="439"/>
      <c r="R911" s="440" t="str">
        <f>VLOOKUP(Ruimtestaat[[#This Row],[Ruimte code]],Ruimtegroepen[],4,FALSE)</f>
        <v>Le</v>
      </c>
      <c r="S911" s="434">
        <v>40</v>
      </c>
      <c r="T911" s="434" t="s">
        <v>2</v>
      </c>
      <c r="U911" s="453">
        <f>IF(S911&gt;0,IF(RIGHT(Ruimtestaat[[#This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1" s="434">
        <f>IF(U911&gt;0,VLOOKUP($J911,Ruimtegroepen[],3,FALSE)*VLOOKUP($L911,Vloersoorten[],3,FALSE)*VLOOKUP($T911,Frequenties[],3,FALSE)*VLOOKUP($A911,Locaties[],3,FALSE),0)</f>
        <v>0</v>
      </c>
      <c r="W911" s="434">
        <f>Ruimtestaat[[#This Row],[Uitvoeringen werkdagen]]*Ruimtestaat[[#This Row],[Oppervlak (netto)]]</f>
        <v>12600</v>
      </c>
      <c r="X911" s="441">
        <f>IF(V911&gt;0,Ruimtestaat[[#This Row],[Prest. (m2 /jaar) werkdagen]]/Ruimtestaat[[#This Row],[Norm (m2/uur) werkdagen]],0)</f>
        <v>0</v>
      </c>
      <c r="Y911" s="442">
        <f>Ruimtestaat[[#This Row],[Uitvoeringen werkdagen]]*Ruimtestaat[[#This Row],[Gedeeltelijk]]</f>
        <v>0</v>
      </c>
      <c r="Z911" s="443" t="e">
        <f>IF(U911&gt;0,Ruimtestaat[[#This Row],[Prest. (m2 / jaar) werkdagen gedeeld]]/Ruimtestaat[[#This Row],[Norm (m2/uur) werkdagen]],0)</f>
        <v>#DIV/0!</v>
      </c>
      <c r="AA911" s="441" t="e">
        <f>Ruimtestaat[[#This Row],[uren / jaar werkdagen gedeeld]]*Tariefsopbouw!$E$35</f>
        <v>#DIV/0!</v>
      </c>
      <c r="AB911" s="441">
        <f>Ruimtestaat[[#This Row],[Uitvoeringen werkdagen]]*Ruimtestaat[[#This Row],[BSO]]</f>
        <v>0</v>
      </c>
      <c r="AC911" s="443" t="e">
        <f>IF(U911&gt;0,Ruimtestaat[[#This Row],[Prest. (m2 / jaar) werkdagen BSO]]/Ruimtestaat[[#This Row],[Norm (m2/uur) werkdagen]],0)</f>
        <v>#DIV/0!</v>
      </c>
      <c r="AD911" s="443" t="e">
        <f>Ruimtestaat[[#This Row],[uren / jaar werkdagen BSO]]*Tariefsopbouw!$E$35</f>
        <v>#DIV/0!</v>
      </c>
      <c r="AE911" s="444">
        <f>Ruimtestaat[[#This Row],[uren / jaar werkdagen]]*Tariefsopbouw!$E$35</f>
        <v>0</v>
      </c>
      <c r="AF911" s="454"/>
      <c r="AG911" s="455">
        <f>IF(Ruimtestaat[[#This Row],[Frequentie weekend]]&gt;0,VALUE(LEFT(AF911,1))*S911,0)</f>
        <v>0</v>
      </c>
      <c r="AH911" s="455">
        <f>IF($AG911&gt;0,VLOOKUP($J911,Ruimtegroepen[],3,FALSE)*VLOOKUP($L911,Vloersoorten[],3,FALSE)*VLOOKUP($AF911,Frequenties[],3,FALSE)*VLOOKUP(#REF!,Locaties[],3,FALSE),0)</f>
        <v>0</v>
      </c>
      <c r="AI911" s="434">
        <f>Ruimtestaat[[#This Row],[Uitvoeringen weekend]]*Ruimtestaat[[#This Row],[Oppervlak (netto)]]</f>
        <v>0</v>
      </c>
      <c r="AJ911" s="434">
        <f>IF(AH911&gt;0,Ruimtestaat[[#This Row],[Prest. (m2 /jaar) weekend]]/Ruimtestaat[[#This Row],[Norm (m2/uur) weekend]],0)</f>
        <v>0</v>
      </c>
      <c r="AK911" s="444">
        <f>Ruimtestaat[[#This Row],[uren / jaar weekend]]*Tariefsopbouw!$D$40</f>
        <v>0</v>
      </c>
      <c r="AL911" s="441">
        <f>Ruimtestaat[[#This Row],[Prest. (m2 /jaar) weekend]]+Ruimtestaat[[#This Row],[Prest. (m2 /jaar) werkdagen]]</f>
        <v>12600</v>
      </c>
      <c r="AM911" s="441">
        <f>Ruimtestaat[[#This Row],[uren / jaar weekend]]+Ruimtestaat[[#This Row],[uren / jaar werkdagen]]</f>
        <v>0</v>
      </c>
      <c r="AN911" s="446">
        <f>Ruimtestaat[[#This Row],[kosten / jaar weekend]]+Ruimtestaat[[#This Row],[kosten / jaar werkdagen]]</f>
        <v>0</v>
      </c>
      <c r="AO911" s="446"/>
      <c r="AP911" s="446" t="str">
        <f>IF(Ruimtestaat[[#This Row],[Frequentie werkdagen]]="","",_xlfn.CONCAT(Ruimtestaat[[#This Row],[Ruimte code]],"-",Ruimtestaat[[#This Row],[Frequentie werkdagen]]," ",Ruimtestaat[[#This Row],[Vloer code]]))</f>
        <v>16-5w S</v>
      </c>
      <c r="AQ911" s="448" t="str">
        <f>_xlfn.IFNA(VLOOKUP($AP911,Programma!$F$3:$G$1101,2,0),"")</f>
        <v>_</v>
      </c>
      <c r="AR911" s="448" t="str">
        <f>_xlfn.IFNA(VLOOKUP($AP911,Programma!$F$3:$H$1101,3,0),"")</f>
        <v>_</v>
      </c>
      <c r="AS911" s="448" t="str">
        <f>_xlfn.IFNA(VLOOKUP($AP911,Programma!$F$3:$I$1101,4,0),"")</f>
        <v>4w</v>
      </c>
      <c r="AT911" s="448" t="str">
        <f>_xlfn.IFNA(VLOOKUP($AP911,Programma!$F$3:$J$1101,5,0),"")</f>
        <v>1w</v>
      </c>
      <c r="AU911" s="448" t="str">
        <f>_xlfn.IFNA(VLOOKUP($AP911,Programma!$F$3:$K$1101,6,0),"")</f>
        <v>1m</v>
      </c>
      <c r="AV911" s="448" t="str">
        <f>_xlfn.IFNA(VLOOKUP($AP911,Programma!$F$3:$L$1101,7,0),"")</f>
        <v>_</v>
      </c>
      <c r="AW911" s="448" t="str">
        <f>_xlfn.IFNA(VLOOKUP($AP911,Programma!$F$3:$M$1101,8,0),"")</f>
        <v>_</v>
      </c>
      <c r="AX911" s="448" t="str">
        <f>_xlfn.IFNA(VLOOKUP($AP911,Programma!$F$3:$N$1101,9,0),"")</f>
        <v>_</v>
      </c>
      <c r="AY911" s="448" t="str">
        <f>_xlfn.IFNA(VLOOKUP($AP911,Programma!$F$3:$O$1101,10,0),"")</f>
        <v>5w</v>
      </c>
      <c r="AZ911" s="448" t="str">
        <f>_xlfn.IFNA(VLOOKUP($AP911,Programma!$F$3:$P$1101,11,0),"")</f>
        <v>5w</v>
      </c>
      <c r="BA911" s="448" t="str">
        <f>_xlfn.IFNA(VLOOKUP($AP911,Programma!$F$3:$Q$1101,12,0),"")</f>
        <v>1w</v>
      </c>
      <c r="BB911" s="448" t="str">
        <f>_xlfn.IFNA(VLOOKUP($AP911,Programma!$F$3:$R$1101,13,0),"")</f>
        <v>1w</v>
      </c>
      <c r="BC911" s="448" t="str">
        <f>_xlfn.IFNA(VLOOKUP($AP911,Programma!$F$3:$S$1101,14,0),"")</f>
        <v>1m</v>
      </c>
      <c r="BD911" s="448" t="str">
        <f>_xlfn.IFNA(VLOOKUP($AP911,Programma!$F$3:$T$1101,15,0),"")</f>
        <v>2j</v>
      </c>
      <c r="BE911" s="448" t="str">
        <f>_xlfn.IFNA(VLOOKUP($AP911,Programma!$F$3:$U$1101,16,0),"")</f>
        <v>1j</v>
      </c>
      <c r="BF911" s="448" t="str">
        <f>_xlfn.IFNA(VLOOKUP($AP911,Programma!$F$3:$V$1101,17,0),"")</f>
        <v>_</v>
      </c>
      <c r="BG911" s="448" t="str">
        <f>_xlfn.IFNA(VLOOKUP($AP911,Programma!$F$3:$W$1101,18,0),"")</f>
        <v>_</v>
      </c>
      <c r="BH911" s="448" t="str">
        <f>_xlfn.IFNA(VLOOKUP($AP911,Programma!$F$3:$X$1101,19,0),"")</f>
        <v>_</v>
      </c>
      <c r="BI911" s="448" t="str">
        <f>_xlfn.IFNA(VLOOKUP($AP911,Programma!$F$3:$Y$1101,20,0),"")</f>
        <v>_</v>
      </c>
      <c r="BJ911" s="449"/>
      <c r="BK911" s="446" t="str">
        <f>IF(Ruimtestaat[[#This Row],[Frequentie weekend]]="","",_xlfn.CONCAT(Ruimtestaat[[#This Row],[Ruimte code]],"-",Ruimtestaat[[#This Row],[Frequentie weekend]]," ",Ruimtestaat[[#This Row],[Vloer code]]))</f>
        <v/>
      </c>
      <c r="BL911" s="448" t="str">
        <f>_xlfn.IFNA(VLOOKUP($BK911,Programma!$F$3:$G$1101,2,0),"")</f>
        <v/>
      </c>
      <c r="BM911" s="448" t="str">
        <f>_xlfn.IFNA(VLOOKUP($BK911,Programma!$F$3:$H$1101,3,0),"")</f>
        <v/>
      </c>
      <c r="BN911" s="448" t="str">
        <f>_xlfn.IFNA(VLOOKUP($BK911,Programma!$F$3:$I$1101,4,0),"")</f>
        <v/>
      </c>
      <c r="BO911" s="448" t="str">
        <f>_xlfn.IFNA(VLOOKUP($BK911,Programma!$F$3:$J$1101,5,0),"")</f>
        <v/>
      </c>
      <c r="BP911" s="448" t="str">
        <f>_xlfn.IFNA(VLOOKUP($BK911,Programma!$F$3:$K$1101,6,0),"")</f>
        <v/>
      </c>
      <c r="BQ911" s="448" t="str">
        <f>_xlfn.IFNA(VLOOKUP($BK911,Programma!$F$3:$L$1101,7,0),"")</f>
        <v/>
      </c>
      <c r="BR911" s="448" t="str">
        <f>_xlfn.IFNA(VLOOKUP($BK911,Programma!$F$3:$M$1101,8,0),"")</f>
        <v/>
      </c>
      <c r="BS911" s="448" t="str">
        <f>_xlfn.IFNA(VLOOKUP($BK911,Programma!$F$3:$N$1101,9,0),"")</f>
        <v/>
      </c>
      <c r="BT911" s="448" t="str">
        <f>_xlfn.IFNA(VLOOKUP($BK911,Programma!$F$3:$O$1101,10,0),"")</f>
        <v/>
      </c>
      <c r="BU911" s="448" t="str">
        <f>_xlfn.IFNA(VLOOKUP($BK911,Programma!$F$3:$P$1101,11,0),"")</f>
        <v/>
      </c>
      <c r="BV911" s="448" t="str">
        <f>_xlfn.IFNA(VLOOKUP($BK911,Programma!$F$3:$Q$1101,12,0),"")</f>
        <v/>
      </c>
      <c r="BW911" s="448" t="str">
        <f>_xlfn.IFNA(VLOOKUP($BK911,Programma!$F$3:$R$1101,13,0),"")</f>
        <v/>
      </c>
      <c r="BX911" s="448" t="str">
        <f>_xlfn.IFNA(VLOOKUP($BK911,Programma!$F$3:$S$1101,14,0),"")</f>
        <v/>
      </c>
      <c r="BY911" s="448" t="str">
        <f>_xlfn.IFNA(VLOOKUP($BK911,Programma!$F$3:$T$1101,15,0),"")</f>
        <v/>
      </c>
      <c r="BZ911" s="448" t="str">
        <f>_xlfn.IFNA(VLOOKUP($BK911,Programma!$F$3:$U$1101,16,0),"")</f>
        <v/>
      </c>
      <c r="CA911" s="448" t="str">
        <f>_xlfn.IFNA(VLOOKUP($BK911,Programma!$F$3:$V$1101,17,0),"")</f>
        <v/>
      </c>
      <c r="CB911" s="448" t="str">
        <f>_xlfn.IFNA(VLOOKUP($BK911,Programma!$F$3:$W$1101,18,0),"")</f>
        <v/>
      </c>
      <c r="CC911" s="448" t="str">
        <f>_xlfn.IFNA(VLOOKUP($BK911,Programma!$F$3:$X$1101,19,0),"")</f>
        <v/>
      </c>
      <c r="CD911" s="448" t="str">
        <f>_xlfn.IFNA(VLOOKUP($BK911,Programma!$F$3:$Y$1101,20,0),"")</f>
        <v/>
      </c>
    </row>
    <row r="912" spans="1:82" ht="15" customHeight="1">
      <c r="A912" s="327">
        <v>25</v>
      </c>
      <c r="B912" s="435" t="str">
        <f>VLOOKUP(Ruimtestaat[[#This Row],[Code]],Locaties[[Code]:[Locatie]],2,FALSE)</f>
        <v>IKC De Piramide</v>
      </c>
      <c r="C912" s="435" t="str">
        <f>VLOOKUP(Ruimtestaat[[#This Row],[Code]],Locaties[[#All],[Code]:[Adres]],4,FALSE)</f>
        <v>Fivelingo 84</v>
      </c>
      <c r="D912" s="435" t="str">
        <f>VLOOKUP(Ruimtestaat[[#This Row],[Code]],Locaties[[#All],[Code]:[Postcode]],5,FALSE)</f>
        <v>2716 BG</v>
      </c>
      <c r="E912" s="435" t="str">
        <f>VLOOKUP(Ruimtestaat[[#This Row],[Code]],Locaties[#All],6,FALSE)</f>
        <v>Zoetermeer</v>
      </c>
      <c r="F912" s="450" t="s">
        <v>2059</v>
      </c>
      <c r="G912" s="330" t="s">
        <v>1769</v>
      </c>
      <c r="H912" s="330" t="s">
        <v>1748</v>
      </c>
      <c r="I912" s="450" t="s">
        <v>1679</v>
      </c>
      <c r="J912" s="330">
        <v>16</v>
      </c>
      <c r="K912" s="450" t="str">
        <f>VLOOKUP(Ruimtestaat[[#This Row],[Ruimte code]],Ruimtegroepen[[#All],[Code]:[Ruimte omschrijving]],2,FALSE)</f>
        <v>Leslokalen</v>
      </c>
      <c r="L912" s="330" t="s">
        <v>101</v>
      </c>
      <c r="M912" s="437" t="s">
        <v>1816</v>
      </c>
      <c r="N912" s="439">
        <v>63</v>
      </c>
      <c r="O912" s="439"/>
      <c r="P912" s="439"/>
      <c r="Q912" s="439"/>
      <c r="R912" s="440" t="str">
        <f>VLOOKUP(Ruimtestaat[[#This Row],[Ruimte code]],Ruimtegroepen[],4,FALSE)</f>
        <v>Le</v>
      </c>
      <c r="S912" s="434">
        <v>40</v>
      </c>
      <c r="T912" s="434" t="s">
        <v>2</v>
      </c>
      <c r="U912" s="453">
        <f>IF(S912&gt;0,IF(RIGHT(Ruimtestaat[[#This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2" s="434">
        <f>IF(U912&gt;0,VLOOKUP($J912,Ruimtegroepen[],3,FALSE)*VLOOKUP($L912,Vloersoorten[],3,FALSE)*VLOOKUP($T912,Frequenties[],3,FALSE)*VLOOKUP($A912,Locaties[],3,FALSE),0)</f>
        <v>0</v>
      </c>
      <c r="W912" s="434">
        <f>Ruimtestaat[[#This Row],[Uitvoeringen werkdagen]]*Ruimtestaat[[#This Row],[Oppervlak (netto)]]</f>
        <v>12600</v>
      </c>
      <c r="X912" s="441">
        <f>IF(V912&gt;0,Ruimtestaat[[#This Row],[Prest. (m2 /jaar) werkdagen]]/Ruimtestaat[[#This Row],[Norm (m2/uur) werkdagen]],0)</f>
        <v>0</v>
      </c>
      <c r="Y912" s="442">
        <f>Ruimtestaat[[#This Row],[Uitvoeringen werkdagen]]*Ruimtestaat[[#This Row],[Gedeeltelijk]]</f>
        <v>0</v>
      </c>
      <c r="Z912" s="443" t="e">
        <f>IF(U912&gt;0,Ruimtestaat[[#This Row],[Prest. (m2 / jaar) werkdagen gedeeld]]/Ruimtestaat[[#This Row],[Norm (m2/uur) werkdagen]],0)</f>
        <v>#DIV/0!</v>
      </c>
      <c r="AA912" s="441" t="e">
        <f>Ruimtestaat[[#This Row],[uren / jaar werkdagen gedeeld]]*Tariefsopbouw!$E$35</f>
        <v>#DIV/0!</v>
      </c>
      <c r="AB912" s="441">
        <f>Ruimtestaat[[#This Row],[Uitvoeringen werkdagen]]*Ruimtestaat[[#This Row],[BSO]]</f>
        <v>0</v>
      </c>
      <c r="AC912" s="443" t="e">
        <f>IF(U912&gt;0,Ruimtestaat[[#This Row],[Prest. (m2 / jaar) werkdagen BSO]]/Ruimtestaat[[#This Row],[Norm (m2/uur) werkdagen]],0)</f>
        <v>#DIV/0!</v>
      </c>
      <c r="AD912" s="443" t="e">
        <f>Ruimtestaat[[#This Row],[uren / jaar werkdagen BSO]]*Tariefsopbouw!$E$35</f>
        <v>#DIV/0!</v>
      </c>
      <c r="AE912" s="444">
        <f>Ruimtestaat[[#This Row],[uren / jaar werkdagen]]*Tariefsopbouw!$E$35</f>
        <v>0</v>
      </c>
      <c r="AF912" s="454"/>
      <c r="AG912" s="455">
        <f>IF(Ruimtestaat[[#This Row],[Frequentie weekend]]&gt;0,VALUE(LEFT(AF912,1))*S912,0)</f>
        <v>0</v>
      </c>
      <c r="AH912" s="455">
        <f>IF($AG912&gt;0,VLOOKUP($J912,Ruimtegroepen[],3,FALSE)*VLOOKUP($L912,Vloersoorten[],3,FALSE)*VLOOKUP($AF912,Frequenties[],3,FALSE)*VLOOKUP(#REF!,Locaties[],3,FALSE),0)</f>
        <v>0</v>
      </c>
      <c r="AI912" s="434">
        <f>Ruimtestaat[[#This Row],[Uitvoeringen weekend]]*Ruimtestaat[[#This Row],[Oppervlak (netto)]]</f>
        <v>0</v>
      </c>
      <c r="AJ912" s="434">
        <f>IF(AH912&gt;0,Ruimtestaat[[#This Row],[Prest. (m2 /jaar) weekend]]/Ruimtestaat[[#This Row],[Norm (m2/uur) weekend]],0)</f>
        <v>0</v>
      </c>
      <c r="AK912" s="444">
        <f>Ruimtestaat[[#This Row],[uren / jaar weekend]]*Tariefsopbouw!$D$40</f>
        <v>0</v>
      </c>
      <c r="AL912" s="441">
        <f>Ruimtestaat[[#This Row],[Prest. (m2 /jaar) weekend]]+Ruimtestaat[[#This Row],[Prest. (m2 /jaar) werkdagen]]</f>
        <v>12600</v>
      </c>
      <c r="AM912" s="441">
        <f>Ruimtestaat[[#This Row],[uren / jaar weekend]]+Ruimtestaat[[#This Row],[uren / jaar werkdagen]]</f>
        <v>0</v>
      </c>
      <c r="AN912" s="446">
        <f>Ruimtestaat[[#This Row],[kosten / jaar weekend]]+Ruimtestaat[[#This Row],[kosten / jaar werkdagen]]</f>
        <v>0</v>
      </c>
      <c r="AO912" s="446"/>
      <c r="AP912" s="446" t="str">
        <f>IF(Ruimtestaat[[#This Row],[Frequentie werkdagen]]="","",_xlfn.CONCAT(Ruimtestaat[[#This Row],[Ruimte code]],"-",Ruimtestaat[[#This Row],[Frequentie werkdagen]]," ",Ruimtestaat[[#This Row],[Vloer code]]))</f>
        <v>16-5w S</v>
      </c>
      <c r="AQ912" s="448" t="str">
        <f>_xlfn.IFNA(VLOOKUP($AP912,Programma!$F$3:$G$1101,2,0),"")</f>
        <v>_</v>
      </c>
      <c r="AR912" s="448" t="str">
        <f>_xlfn.IFNA(VLOOKUP($AP912,Programma!$F$3:$H$1101,3,0),"")</f>
        <v>_</v>
      </c>
      <c r="AS912" s="448" t="str">
        <f>_xlfn.IFNA(VLOOKUP($AP912,Programma!$F$3:$I$1101,4,0),"")</f>
        <v>4w</v>
      </c>
      <c r="AT912" s="448" t="str">
        <f>_xlfn.IFNA(VLOOKUP($AP912,Programma!$F$3:$J$1101,5,0),"")</f>
        <v>1w</v>
      </c>
      <c r="AU912" s="448" t="str">
        <f>_xlfn.IFNA(VLOOKUP($AP912,Programma!$F$3:$K$1101,6,0),"")</f>
        <v>1m</v>
      </c>
      <c r="AV912" s="448" t="str">
        <f>_xlfn.IFNA(VLOOKUP($AP912,Programma!$F$3:$L$1101,7,0),"")</f>
        <v>_</v>
      </c>
      <c r="AW912" s="448" t="str">
        <f>_xlfn.IFNA(VLOOKUP($AP912,Programma!$F$3:$M$1101,8,0),"")</f>
        <v>_</v>
      </c>
      <c r="AX912" s="448" t="str">
        <f>_xlfn.IFNA(VLOOKUP($AP912,Programma!$F$3:$N$1101,9,0),"")</f>
        <v>_</v>
      </c>
      <c r="AY912" s="448" t="str">
        <f>_xlfn.IFNA(VLOOKUP($AP912,Programma!$F$3:$O$1101,10,0),"")</f>
        <v>5w</v>
      </c>
      <c r="AZ912" s="448" t="str">
        <f>_xlfn.IFNA(VLOOKUP($AP912,Programma!$F$3:$P$1101,11,0),"")</f>
        <v>5w</v>
      </c>
      <c r="BA912" s="448" t="str">
        <f>_xlfn.IFNA(VLOOKUP($AP912,Programma!$F$3:$Q$1101,12,0),"")</f>
        <v>1w</v>
      </c>
      <c r="BB912" s="448" t="str">
        <f>_xlfn.IFNA(VLOOKUP($AP912,Programma!$F$3:$R$1101,13,0),"")</f>
        <v>1w</v>
      </c>
      <c r="BC912" s="448" t="str">
        <f>_xlfn.IFNA(VLOOKUP($AP912,Programma!$F$3:$S$1101,14,0),"")</f>
        <v>1m</v>
      </c>
      <c r="BD912" s="448" t="str">
        <f>_xlfn.IFNA(VLOOKUP($AP912,Programma!$F$3:$T$1101,15,0),"")</f>
        <v>2j</v>
      </c>
      <c r="BE912" s="448" t="str">
        <f>_xlfn.IFNA(VLOOKUP($AP912,Programma!$F$3:$U$1101,16,0),"")</f>
        <v>1j</v>
      </c>
      <c r="BF912" s="448" t="str">
        <f>_xlfn.IFNA(VLOOKUP($AP912,Programma!$F$3:$V$1101,17,0),"")</f>
        <v>_</v>
      </c>
      <c r="BG912" s="448" t="str">
        <f>_xlfn.IFNA(VLOOKUP($AP912,Programma!$F$3:$W$1101,18,0),"")</f>
        <v>_</v>
      </c>
      <c r="BH912" s="448" t="str">
        <f>_xlfn.IFNA(VLOOKUP($AP912,Programma!$F$3:$X$1101,19,0),"")</f>
        <v>_</v>
      </c>
      <c r="BI912" s="448" t="str">
        <f>_xlfn.IFNA(VLOOKUP($AP912,Programma!$F$3:$Y$1101,20,0),"")</f>
        <v>_</v>
      </c>
      <c r="BJ912" s="449"/>
      <c r="BK912" s="446" t="str">
        <f>IF(Ruimtestaat[[#This Row],[Frequentie weekend]]="","",_xlfn.CONCAT(Ruimtestaat[[#This Row],[Ruimte code]],"-",Ruimtestaat[[#This Row],[Frequentie weekend]]," ",Ruimtestaat[[#This Row],[Vloer code]]))</f>
        <v/>
      </c>
      <c r="BL912" s="448" t="str">
        <f>_xlfn.IFNA(VLOOKUP($BK912,Programma!$F$3:$G$1101,2,0),"")</f>
        <v/>
      </c>
      <c r="BM912" s="448" t="str">
        <f>_xlfn.IFNA(VLOOKUP($BK912,Programma!$F$3:$H$1101,3,0),"")</f>
        <v/>
      </c>
      <c r="BN912" s="448" t="str">
        <f>_xlfn.IFNA(VLOOKUP($BK912,Programma!$F$3:$I$1101,4,0),"")</f>
        <v/>
      </c>
      <c r="BO912" s="448" t="str">
        <f>_xlfn.IFNA(VLOOKUP($BK912,Programma!$F$3:$J$1101,5,0),"")</f>
        <v/>
      </c>
      <c r="BP912" s="448" t="str">
        <f>_xlfn.IFNA(VLOOKUP($BK912,Programma!$F$3:$K$1101,6,0),"")</f>
        <v/>
      </c>
      <c r="BQ912" s="448" t="str">
        <f>_xlfn.IFNA(VLOOKUP($BK912,Programma!$F$3:$L$1101,7,0),"")</f>
        <v/>
      </c>
      <c r="BR912" s="448" t="str">
        <f>_xlfn.IFNA(VLOOKUP($BK912,Programma!$F$3:$M$1101,8,0),"")</f>
        <v/>
      </c>
      <c r="BS912" s="448" t="str">
        <f>_xlfn.IFNA(VLOOKUP($BK912,Programma!$F$3:$N$1101,9,0),"")</f>
        <v/>
      </c>
      <c r="BT912" s="448" t="str">
        <f>_xlfn.IFNA(VLOOKUP($BK912,Programma!$F$3:$O$1101,10,0),"")</f>
        <v/>
      </c>
      <c r="BU912" s="448" t="str">
        <f>_xlfn.IFNA(VLOOKUP($BK912,Programma!$F$3:$P$1101,11,0),"")</f>
        <v/>
      </c>
      <c r="BV912" s="448" t="str">
        <f>_xlfn.IFNA(VLOOKUP($BK912,Programma!$F$3:$Q$1101,12,0),"")</f>
        <v/>
      </c>
      <c r="BW912" s="448" t="str">
        <f>_xlfn.IFNA(VLOOKUP($BK912,Programma!$F$3:$R$1101,13,0),"")</f>
        <v/>
      </c>
      <c r="BX912" s="448" t="str">
        <f>_xlfn.IFNA(VLOOKUP($BK912,Programma!$F$3:$S$1101,14,0),"")</f>
        <v/>
      </c>
      <c r="BY912" s="448" t="str">
        <f>_xlfn.IFNA(VLOOKUP($BK912,Programma!$F$3:$T$1101,15,0),"")</f>
        <v/>
      </c>
      <c r="BZ912" s="448" t="str">
        <f>_xlfn.IFNA(VLOOKUP($BK912,Programma!$F$3:$U$1101,16,0),"")</f>
        <v/>
      </c>
      <c r="CA912" s="448" t="str">
        <f>_xlfn.IFNA(VLOOKUP($BK912,Programma!$F$3:$V$1101,17,0),"")</f>
        <v/>
      </c>
      <c r="CB912" s="448" t="str">
        <f>_xlfn.IFNA(VLOOKUP($BK912,Programma!$F$3:$W$1101,18,0),"")</f>
        <v/>
      </c>
      <c r="CC912" s="448" t="str">
        <f>_xlfn.IFNA(VLOOKUP($BK912,Programma!$F$3:$X$1101,19,0),"")</f>
        <v/>
      </c>
      <c r="CD912" s="448" t="str">
        <f>_xlfn.IFNA(VLOOKUP($BK912,Programma!$F$3:$Y$1101,20,0),"")</f>
        <v/>
      </c>
    </row>
    <row r="913" spans="1:82" ht="15" customHeight="1">
      <c r="A913" s="327">
        <v>25</v>
      </c>
      <c r="B913" s="435" t="str">
        <f>VLOOKUP(Ruimtestaat[[#This Row],[Code]],Locaties[[Code]:[Locatie]],2,FALSE)</f>
        <v>IKC De Piramide</v>
      </c>
      <c r="C913" s="435" t="str">
        <f>VLOOKUP(Ruimtestaat[[#This Row],[Code]],Locaties[[#All],[Code]:[Adres]],4,FALSE)</f>
        <v>Fivelingo 84</v>
      </c>
      <c r="D913" s="435" t="str">
        <f>VLOOKUP(Ruimtestaat[[#This Row],[Code]],Locaties[[#All],[Code]:[Postcode]],5,FALSE)</f>
        <v>2716 BG</v>
      </c>
      <c r="E913" s="435" t="str">
        <f>VLOOKUP(Ruimtestaat[[#This Row],[Code]],Locaties[#All],6,FALSE)</f>
        <v>Zoetermeer</v>
      </c>
      <c r="F913" s="450" t="s">
        <v>2059</v>
      </c>
      <c r="G913" s="330" t="s">
        <v>2074</v>
      </c>
      <c r="H913" s="330" t="s">
        <v>2075</v>
      </c>
      <c r="I913" s="450" t="s">
        <v>1789</v>
      </c>
      <c r="J913" s="330">
        <v>20</v>
      </c>
      <c r="K913" s="450" t="str">
        <f>VLOOKUP(Ruimtestaat[[#This Row],[Ruimte code]],Ruimtegroepen[[#All],[Code]:[Ruimte omschrijving]],2,FALSE)</f>
        <v>Niet in Onderhoud</v>
      </c>
      <c r="L913" s="434" t="s">
        <v>100</v>
      </c>
      <c r="M913" s="437" t="s">
        <v>1759</v>
      </c>
      <c r="N913" s="439"/>
      <c r="O913" s="439">
        <v>11</v>
      </c>
      <c r="P913" s="439"/>
      <c r="Q913" s="439"/>
      <c r="R913" s="440">
        <f>VLOOKUP(Ruimtestaat[[#This Row],[Ruimte code]],Ruimtegroepen[],4,FALSE)</f>
        <v>0</v>
      </c>
      <c r="S913" s="434"/>
      <c r="T913" s="434"/>
      <c r="U913" s="453">
        <f>IF(S913&gt;0,IF(RIGHT(Ruimtestaat[[#This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13" s="434">
        <f>IF(U913&gt;0,VLOOKUP($J913,Ruimtegroepen[],3,FALSE)*VLOOKUP($L913,Vloersoorten[],3,FALSE)*VLOOKUP($T913,Frequenties[],3,FALSE)*VLOOKUP($A913,Locaties[],3,FALSE),0)</f>
        <v>0</v>
      </c>
      <c r="W913" s="434">
        <f>Ruimtestaat[[#This Row],[Uitvoeringen werkdagen]]*Ruimtestaat[[#This Row],[Oppervlak (netto)]]</f>
        <v>0</v>
      </c>
      <c r="X913" s="441">
        <f>IF(V913&gt;0,Ruimtestaat[[#This Row],[Prest. (m2 /jaar) werkdagen]]/Ruimtestaat[[#This Row],[Norm (m2/uur) werkdagen]],0)</f>
        <v>0</v>
      </c>
      <c r="Y913" s="442">
        <f>Ruimtestaat[[#This Row],[Uitvoeringen werkdagen]]*Ruimtestaat[[#This Row],[Gedeeltelijk]]</f>
        <v>0</v>
      </c>
      <c r="Z913" s="443">
        <f>IF(U913&gt;0,Ruimtestaat[[#This Row],[Prest. (m2 / jaar) werkdagen gedeeld]]/Ruimtestaat[[#This Row],[Norm (m2/uur) werkdagen]],0)</f>
        <v>0</v>
      </c>
      <c r="AA913" s="441">
        <f>Ruimtestaat[[#This Row],[uren / jaar werkdagen gedeeld]]*Tariefsopbouw!$E$35</f>
        <v>0</v>
      </c>
      <c r="AB913" s="441">
        <f>Ruimtestaat[[#This Row],[Uitvoeringen werkdagen]]*Ruimtestaat[[#This Row],[BSO]]</f>
        <v>0</v>
      </c>
      <c r="AC913" s="443">
        <f>IF(U913&gt;0,Ruimtestaat[[#This Row],[Prest. (m2 / jaar) werkdagen BSO]]/Ruimtestaat[[#This Row],[Norm (m2/uur) werkdagen]],0)</f>
        <v>0</v>
      </c>
      <c r="AD913" s="443">
        <f>Ruimtestaat[[#This Row],[uren / jaar werkdagen BSO]]*Tariefsopbouw!$E$35</f>
        <v>0</v>
      </c>
      <c r="AE913" s="444">
        <f>Ruimtestaat[[#This Row],[uren / jaar werkdagen]]*Tariefsopbouw!$E$35</f>
        <v>0</v>
      </c>
      <c r="AF913" s="454"/>
      <c r="AG913" s="455">
        <f>IF(Ruimtestaat[[#This Row],[Frequentie weekend]]&gt;0,VALUE(LEFT(AF913,1))*S913,0)</f>
        <v>0</v>
      </c>
      <c r="AH913" s="455">
        <f>IF($AG913&gt;0,VLOOKUP($J913,Ruimtegroepen[],3,FALSE)*VLOOKUP($L913,Vloersoorten[],3,FALSE)*VLOOKUP($AF913,Frequenties[],3,FALSE)*VLOOKUP(#REF!,Locaties[],3,FALSE),0)</f>
        <v>0</v>
      </c>
      <c r="AI913" s="434">
        <f>Ruimtestaat[[#This Row],[Uitvoeringen weekend]]*Ruimtestaat[[#This Row],[Oppervlak (netto)]]</f>
        <v>0</v>
      </c>
      <c r="AJ913" s="434">
        <f>IF(AH913&gt;0,Ruimtestaat[[#This Row],[Prest. (m2 /jaar) weekend]]/Ruimtestaat[[#This Row],[Norm (m2/uur) weekend]],0)</f>
        <v>0</v>
      </c>
      <c r="AK913" s="444">
        <f>Ruimtestaat[[#This Row],[uren / jaar weekend]]*Tariefsopbouw!$D$40</f>
        <v>0</v>
      </c>
      <c r="AL913" s="441">
        <f>Ruimtestaat[[#This Row],[Prest. (m2 /jaar) weekend]]+Ruimtestaat[[#This Row],[Prest. (m2 /jaar) werkdagen]]</f>
        <v>0</v>
      </c>
      <c r="AM913" s="441">
        <f>Ruimtestaat[[#This Row],[uren / jaar weekend]]+Ruimtestaat[[#This Row],[uren / jaar werkdagen]]</f>
        <v>0</v>
      </c>
      <c r="AN913" s="446">
        <f>Ruimtestaat[[#This Row],[kosten / jaar weekend]]+Ruimtestaat[[#This Row],[kosten / jaar werkdagen]]</f>
        <v>0</v>
      </c>
      <c r="AO913" s="446"/>
      <c r="AP913" s="446" t="str">
        <f>IF(Ruimtestaat[[#This Row],[Frequentie werkdagen]]="","",_xlfn.CONCAT(Ruimtestaat[[#This Row],[Ruimte code]],"-",Ruimtestaat[[#This Row],[Frequentie werkdagen]]," ",Ruimtestaat[[#This Row],[Vloer code]]))</f>
        <v/>
      </c>
      <c r="AQ913" s="448" t="str">
        <f>_xlfn.IFNA(VLOOKUP($AP913,Programma!$F$3:$G$1101,2,0),"")</f>
        <v/>
      </c>
      <c r="AR913" s="448" t="str">
        <f>_xlfn.IFNA(VLOOKUP($AP913,Programma!$F$3:$H$1101,3,0),"")</f>
        <v/>
      </c>
      <c r="AS913" s="448" t="str">
        <f>_xlfn.IFNA(VLOOKUP($AP913,Programma!$F$3:$I$1101,4,0),"")</f>
        <v/>
      </c>
      <c r="AT913" s="448" t="str">
        <f>_xlfn.IFNA(VLOOKUP($AP913,Programma!$F$3:$J$1101,5,0),"")</f>
        <v/>
      </c>
      <c r="AU913" s="448" t="str">
        <f>_xlfn.IFNA(VLOOKUP($AP913,Programma!$F$3:$K$1101,6,0),"")</f>
        <v/>
      </c>
      <c r="AV913" s="448" t="str">
        <f>_xlfn.IFNA(VLOOKUP($AP913,Programma!$F$3:$L$1101,7,0),"")</f>
        <v/>
      </c>
      <c r="AW913" s="448" t="str">
        <f>_xlfn.IFNA(VLOOKUP($AP913,Programma!$F$3:$M$1101,8,0),"")</f>
        <v/>
      </c>
      <c r="AX913" s="448" t="str">
        <f>_xlfn.IFNA(VLOOKUP($AP913,Programma!$F$3:$N$1101,9,0),"")</f>
        <v/>
      </c>
      <c r="AY913" s="448" t="str">
        <f>_xlfn.IFNA(VLOOKUP($AP913,Programma!$F$3:$O$1101,10,0),"")</f>
        <v/>
      </c>
      <c r="AZ913" s="448" t="str">
        <f>_xlfn.IFNA(VLOOKUP($AP913,Programma!$F$3:$P$1101,11,0),"")</f>
        <v/>
      </c>
      <c r="BA913" s="448" t="str">
        <f>_xlfn.IFNA(VLOOKUP($AP913,Programma!$F$3:$Q$1101,12,0),"")</f>
        <v/>
      </c>
      <c r="BB913" s="448" t="str">
        <f>_xlfn.IFNA(VLOOKUP($AP913,Programma!$F$3:$R$1101,13,0),"")</f>
        <v/>
      </c>
      <c r="BC913" s="448" t="str">
        <f>_xlfn.IFNA(VLOOKUP($AP913,Programma!$F$3:$S$1101,14,0),"")</f>
        <v/>
      </c>
      <c r="BD913" s="448" t="str">
        <f>_xlfn.IFNA(VLOOKUP($AP913,Programma!$F$3:$T$1101,15,0),"")</f>
        <v/>
      </c>
      <c r="BE913" s="448" t="str">
        <f>_xlfn.IFNA(VLOOKUP($AP913,Programma!$F$3:$U$1101,16,0),"")</f>
        <v/>
      </c>
      <c r="BF913" s="448" t="str">
        <f>_xlfn.IFNA(VLOOKUP($AP913,Programma!$F$3:$V$1101,17,0),"")</f>
        <v/>
      </c>
      <c r="BG913" s="448" t="str">
        <f>_xlfn.IFNA(VLOOKUP($AP913,Programma!$F$3:$W$1101,18,0),"")</f>
        <v/>
      </c>
      <c r="BH913" s="448" t="str">
        <f>_xlfn.IFNA(VLOOKUP($AP913,Programma!$F$3:$X$1101,19,0),"")</f>
        <v/>
      </c>
      <c r="BI913" s="448" t="str">
        <f>_xlfn.IFNA(VLOOKUP($AP913,Programma!$F$3:$Y$1101,20,0),"")</f>
        <v/>
      </c>
      <c r="BJ913" s="449"/>
      <c r="BK913" s="446" t="str">
        <f>IF(Ruimtestaat[[#This Row],[Frequentie weekend]]="","",_xlfn.CONCAT(Ruimtestaat[[#This Row],[Ruimte code]],"-",Ruimtestaat[[#This Row],[Frequentie weekend]]," ",Ruimtestaat[[#This Row],[Vloer code]]))</f>
        <v/>
      </c>
      <c r="BL913" s="448" t="str">
        <f>_xlfn.IFNA(VLOOKUP($BK913,Programma!$F$3:$G$1101,2,0),"")</f>
        <v/>
      </c>
      <c r="BM913" s="448" t="str">
        <f>_xlfn.IFNA(VLOOKUP($BK913,Programma!$F$3:$H$1101,3,0),"")</f>
        <v/>
      </c>
      <c r="BN913" s="448" t="str">
        <f>_xlfn.IFNA(VLOOKUP($BK913,Programma!$F$3:$I$1101,4,0),"")</f>
        <v/>
      </c>
      <c r="BO913" s="448" t="str">
        <f>_xlfn.IFNA(VLOOKUP($BK913,Programma!$F$3:$J$1101,5,0),"")</f>
        <v/>
      </c>
      <c r="BP913" s="448" t="str">
        <f>_xlfn.IFNA(VLOOKUP($BK913,Programma!$F$3:$K$1101,6,0),"")</f>
        <v/>
      </c>
      <c r="BQ913" s="448" t="str">
        <f>_xlfn.IFNA(VLOOKUP($BK913,Programma!$F$3:$L$1101,7,0),"")</f>
        <v/>
      </c>
      <c r="BR913" s="448" t="str">
        <f>_xlfn.IFNA(VLOOKUP($BK913,Programma!$F$3:$M$1101,8,0),"")</f>
        <v/>
      </c>
      <c r="BS913" s="448" t="str">
        <f>_xlfn.IFNA(VLOOKUP($BK913,Programma!$F$3:$N$1101,9,0),"")</f>
        <v/>
      </c>
      <c r="BT913" s="448" t="str">
        <f>_xlfn.IFNA(VLOOKUP($BK913,Programma!$F$3:$O$1101,10,0),"")</f>
        <v/>
      </c>
      <c r="BU913" s="448" t="str">
        <f>_xlfn.IFNA(VLOOKUP($BK913,Programma!$F$3:$P$1101,11,0),"")</f>
        <v/>
      </c>
      <c r="BV913" s="448" t="str">
        <f>_xlfn.IFNA(VLOOKUP($BK913,Programma!$F$3:$Q$1101,12,0),"")</f>
        <v/>
      </c>
      <c r="BW913" s="448" t="str">
        <f>_xlfn.IFNA(VLOOKUP($BK913,Programma!$F$3:$R$1101,13,0),"")</f>
        <v/>
      </c>
      <c r="BX913" s="448" t="str">
        <f>_xlfn.IFNA(VLOOKUP($BK913,Programma!$F$3:$S$1101,14,0),"")</f>
        <v/>
      </c>
      <c r="BY913" s="448" t="str">
        <f>_xlfn.IFNA(VLOOKUP($BK913,Programma!$F$3:$T$1101,15,0),"")</f>
        <v/>
      </c>
      <c r="BZ913" s="448" t="str">
        <f>_xlfn.IFNA(VLOOKUP($BK913,Programma!$F$3:$U$1101,16,0),"")</f>
        <v/>
      </c>
      <c r="CA913" s="448" t="str">
        <f>_xlfn.IFNA(VLOOKUP($BK913,Programma!$F$3:$V$1101,17,0),"")</f>
        <v/>
      </c>
      <c r="CB913" s="448" t="str">
        <f>_xlfn.IFNA(VLOOKUP($BK913,Programma!$F$3:$W$1101,18,0),"")</f>
        <v/>
      </c>
      <c r="CC913" s="448" t="str">
        <f>_xlfn.IFNA(VLOOKUP($BK913,Programma!$F$3:$X$1101,19,0),"")</f>
        <v/>
      </c>
      <c r="CD913" s="448" t="str">
        <f>_xlfn.IFNA(VLOOKUP($BK913,Programma!$F$3:$Y$1101,20,0),"")</f>
        <v/>
      </c>
    </row>
    <row r="914" spans="1:82" ht="15" customHeight="1">
      <c r="A914" s="327">
        <v>25</v>
      </c>
      <c r="B914" s="435" t="str">
        <f>VLOOKUP(Ruimtestaat[[#This Row],[Code]],Locaties[[Code]:[Locatie]],2,FALSE)</f>
        <v>IKC De Piramide</v>
      </c>
      <c r="C914" s="435" t="str">
        <f>VLOOKUP(Ruimtestaat[[#This Row],[Code]],Locaties[[#All],[Code]:[Adres]],4,FALSE)</f>
        <v>Fivelingo 84</v>
      </c>
      <c r="D914" s="435" t="str">
        <f>VLOOKUP(Ruimtestaat[[#This Row],[Code]],Locaties[[#All],[Code]:[Postcode]],5,FALSE)</f>
        <v>2716 BG</v>
      </c>
      <c r="E914" s="435" t="str">
        <f>VLOOKUP(Ruimtestaat[[#This Row],[Code]],Locaties[#All],6,FALSE)</f>
        <v>Zoetermeer</v>
      </c>
      <c r="F914" s="450" t="s">
        <v>2059</v>
      </c>
      <c r="G914" s="330" t="s">
        <v>2074</v>
      </c>
      <c r="H914" s="330" t="s">
        <v>2076</v>
      </c>
      <c r="I914" s="450" t="s">
        <v>1708</v>
      </c>
      <c r="J914" s="330">
        <v>20</v>
      </c>
      <c r="K914" s="450" t="str">
        <f>VLOOKUP(Ruimtestaat[[#This Row],[Ruimte code]],Ruimtegroepen[[#All],[Code]:[Ruimte omschrijving]],2,FALSE)</f>
        <v>Niet in Onderhoud</v>
      </c>
      <c r="L914" s="434" t="s">
        <v>100</v>
      </c>
      <c r="M914" s="437" t="s">
        <v>1759</v>
      </c>
      <c r="N914" s="439"/>
      <c r="O914" s="439">
        <v>5</v>
      </c>
      <c r="P914" s="439"/>
      <c r="Q914" s="439"/>
      <c r="R914" s="440">
        <f>VLOOKUP(Ruimtestaat[[#This Row],[Ruimte code]],Ruimtegroepen[],4,FALSE)</f>
        <v>0</v>
      </c>
      <c r="S914" s="434"/>
      <c r="T914" s="434"/>
      <c r="U914" s="453">
        <f>IF(S914&gt;0,IF(RIGHT(Ruimtestaat[[#This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14" s="434">
        <f>IF(U914&gt;0,VLOOKUP($J914,Ruimtegroepen[],3,FALSE)*VLOOKUP($L914,Vloersoorten[],3,FALSE)*VLOOKUP($T914,Frequenties[],3,FALSE)*VLOOKUP($A914,Locaties[],3,FALSE),0)</f>
        <v>0</v>
      </c>
      <c r="W914" s="434">
        <f>Ruimtestaat[[#This Row],[Uitvoeringen werkdagen]]*Ruimtestaat[[#This Row],[Oppervlak (netto)]]</f>
        <v>0</v>
      </c>
      <c r="X914" s="441">
        <f>IF(V914&gt;0,Ruimtestaat[[#This Row],[Prest. (m2 /jaar) werkdagen]]/Ruimtestaat[[#This Row],[Norm (m2/uur) werkdagen]],0)</f>
        <v>0</v>
      </c>
      <c r="Y914" s="442">
        <f>Ruimtestaat[[#This Row],[Uitvoeringen werkdagen]]*Ruimtestaat[[#This Row],[Gedeeltelijk]]</f>
        <v>0</v>
      </c>
      <c r="Z914" s="443">
        <f>IF(U914&gt;0,Ruimtestaat[[#This Row],[Prest. (m2 / jaar) werkdagen gedeeld]]/Ruimtestaat[[#This Row],[Norm (m2/uur) werkdagen]],0)</f>
        <v>0</v>
      </c>
      <c r="AA914" s="441">
        <f>Ruimtestaat[[#This Row],[uren / jaar werkdagen gedeeld]]*Tariefsopbouw!$E$35</f>
        <v>0</v>
      </c>
      <c r="AB914" s="441">
        <f>Ruimtestaat[[#This Row],[Uitvoeringen werkdagen]]*Ruimtestaat[[#This Row],[BSO]]</f>
        <v>0</v>
      </c>
      <c r="AC914" s="443">
        <f>IF(U914&gt;0,Ruimtestaat[[#This Row],[Prest. (m2 / jaar) werkdagen BSO]]/Ruimtestaat[[#This Row],[Norm (m2/uur) werkdagen]],0)</f>
        <v>0</v>
      </c>
      <c r="AD914" s="443">
        <f>Ruimtestaat[[#This Row],[uren / jaar werkdagen BSO]]*Tariefsopbouw!$E$35</f>
        <v>0</v>
      </c>
      <c r="AE914" s="444">
        <f>Ruimtestaat[[#This Row],[uren / jaar werkdagen]]*Tariefsopbouw!$E$35</f>
        <v>0</v>
      </c>
      <c r="AF914" s="454"/>
      <c r="AG914" s="455">
        <f>IF(Ruimtestaat[[#This Row],[Frequentie weekend]]&gt;0,VALUE(LEFT(AF914,1))*S914,0)</f>
        <v>0</v>
      </c>
      <c r="AH914" s="455">
        <f>IF($AG914&gt;0,VLOOKUP($J914,Ruimtegroepen[],3,FALSE)*VLOOKUP($L914,Vloersoorten[],3,FALSE)*VLOOKUP($AF914,Frequenties[],3,FALSE)*VLOOKUP(#REF!,Locaties[],3,FALSE),0)</f>
        <v>0</v>
      </c>
      <c r="AI914" s="434">
        <f>Ruimtestaat[[#This Row],[Uitvoeringen weekend]]*Ruimtestaat[[#This Row],[Oppervlak (netto)]]</f>
        <v>0</v>
      </c>
      <c r="AJ914" s="434">
        <f>IF(AH914&gt;0,Ruimtestaat[[#This Row],[Prest. (m2 /jaar) weekend]]/Ruimtestaat[[#This Row],[Norm (m2/uur) weekend]],0)</f>
        <v>0</v>
      </c>
      <c r="AK914" s="444">
        <f>Ruimtestaat[[#This Row],[uren / jaar weekend]]*Tariefsopbouw!$D$40</f>
        <v>0</v>
      </c>
      <c r="AL914" s="441">
        <f>Ruimtestaat[[#This Row],[Prest. (m2 /jaar) weekend]]+Ruimtestaat[[#This Row],[Prest. (m2 /jaar) werkdagen]]</f>
        <v>0</v>
      </c>
      <c r="AM914" s="441">
        <f>Ruimtestaat[[#This Row],[uren / jaar weekend]]+Ruimtestaat[[#This Row],[uren / jaar werkdagen]]</f>
        <v>0</v>
      </c>
      <c r="AN914" s="446">
        <f>Ruimtestaat[[#This Row],[kosten / jaar weekend]]+Ruimtestaat[[#This Row],[kosten / jaar werkdagen]]</f>
        <v>0</v>
      </c>
      <c r="AO914" s="446"/>
      <c r="AP914" s="446" t="str">
        <f>IF(Ruimtestaat[[#This Row],[Frequentie werkdagen]]="","",_xlfn.CONCAT(Ruimtestaat[[#This Row],[Ruimte code]],"-",Ruimtestaat[[#This Row],[Frequentie werkdagen]]," ",Ruimtestaat[[#This Row],[Vloer code]]))</f>
        <v/>
      </c>
      <c r="AQ914" s="448" t="str">
        <f>_xlfn.IFNA(VLOOKUP($AP914,Programma!$F$3:$G$1101,2,0),"")</f>
        <v/>
      </c>
      <c r="AR914" s="448" t="str">
        <f>_xlfn.IFNA(VLOOKUP($AP914,Programma!$F$3:$H$1101,3,0),"")</f>
        <v/>
      </c>
      <c r="AS914" s="448" t="str">
        <f>_xlfn.IFNA(VLOOKUP($AP914,Programma!$F$3:$I$1101,4,0),"")</f>
        <v/>
      </c>
      <c r="AT914" s="448" t="str">
        <f>_xlfn.IFNA(VLOOKUP($AP914,Programma!$F$3:$J$1101,5,0),"")</f>
        <v/>
      </c>
      <c r="AU914" s="448" t="str">
        <f>_xlfn.IFNA(VLOOKUP($AP914,Programma!$F$3:$K$1101,6,0),"")</f>
        <v/>
      </c>
      <c r="AV914" s="448" t="str">
        <f>_xlfn.IFNA(VLOOKUP($AP914,Programma!$F$3:$L$1101,7,0),"")</f>
        <v/>
      </c>
      <c r="AW914" s="448" t="str">
        <f>_xlfn.IFNA(VLOOKUP($AP914,Programma!$F$3:$M$1101,8,0),"")</f>
        <v/>
      </c>
      <c r="AX914" s="448" t="str">
        <f>_xlfn.IFNA(VLOOKUP($AP914,Programma!$F$3:$N$1101,9,0),"")</f>
        <v/>
      </c>
      <c r="AY914" s="448" t="str">
        <f>_xlfn.IFNA(VLOOKUP($AP914,Programma!$F$3:$O$1101,10,0),"")</f>
        <v/>
      </c>
      <c r="AZ914" s="448" t="str">
        <f>_xlfn.IFNA(VLOOKUP($AP914,Programma!$F$3:$P$1101,11,0),"")</f>
        <v/>
      </c>
      <c r="BA914" s="448" t="str">
        <f>_xlfn.IFNA(VLOOKUP($AP914,Programma!$F$3:$Q$1101,12,0),"")</f>
        <v/>
      </c>
      <c r="BB914" s="448" t="str">
        <f>_xlfn.IFNA(VLOOKUP($AP914,Programma!$F$3:$R$1101,13,0),"")</f>
        <v/>
      </c>
      <c r="BC914" s="448" t="str">
        <f>_xlfn.IFNA(VLOOKUP($AP914,Programma!$F$3:$S$1101,14,0),"")</f>
        <v/>
      </c>
      <c r="BD914" s="448" t="str">
        <f>_xlfn.IFNA(VLOOKUP($AP914,Programma!$F$3:$T$1101,15,0),"")</f>
        <v/>
      </c>
      <c r="BE914" s="448" t="str">
        <f>_xlfn.IFNA(VLOOKUP($AP914,Programma!$F$3:$U$1101,16,0),"")</f>
        <v/>
      </c>
      <c r="BF914" s="448" t="str">
        <f>_xlfn.IFNA(VLOOKUP($AP914,Programma!$F$3:$V$1101,17,0),"")</f>
        <v/>
      </c>
      <c r="BG914" s="448" t="str">
        <f>_xlfn.IFNA(VLOOKUP($AP914,Programma!$F$3:$W$1101,18,0),"")</f>
        <v/>
      </c>
      <c r="BH914" s="448" t="str">
        <f>_xlfn.IFNA(VLOOKUP($AP914,Programma!$F$3:$X$1101,19,0),"")</f>
        <v/>
      </c>
      <c r="BI914" s="448" t="str">
        <f>_xlfn.IFNA(VLOOKUP($AP914,Programma!$F$3:$Y$1101,20,0),"")</f>
        <v/>
      </c>
      <c r="BJ914" s="449"/>
      <c r="BK914" s="446" t="str">
        <f>IF(Ruimtestaat[[#This Row],[Frequentie weekend]]="","",_xlfn.CONCAT(Ruimtestaat[[#This Row],[Ruimte code]],"-",Ruimtestaat[[#This Row],[Frequentie weekend]]," ",Ruimtestaat[[#This Row],[Vloer code]]))</f>
        <v/>
      </c>
      <c r="BL914" s="448" t="str">
        <f>_xlfn.IFNA(VLOOKUP($BK914,Programma!$F$3:$G$1101,2,0),"")</f>
        <v/>
      </c>
      <c r="BM914" s="448" t="str">
        <f>_xlfn.IFNA(VLOOKUP($BK914,Programma!$F$3:$H$1101,3,0),"")</f>
        <v/>
      </c>
      <c r="BN914" s="448" t="str">
        <f>_xlfn.IFNA(VLOOKUP($BK914,Programma!$F$3:$I$1101,4,0),"")</f>
        <v/>
      </c>
      <c r="BO914" s="448" t="str">
        <f>_xlfn.IFNA(VLOOKUP($BK914,Programma!$F$3:$J$1101,5,0),"")</f>
        <v/>
      </c>
      <c r="BP914" s="448" t="str">
        <f>_xlfn.IFNA(VLOOKUP($BK914,Programma!$F$3:$K$1101,6,0),"")</f>
        <v/>
      </c>
      <c r="BQ914" s="448" t="str">
        <f>_xlfn.IFNA(VLOOKUP($BK914,Programma!$F$3:$L$1101,7,0),"")</f>
        <v/>
      </c>
      <c r="BR914" s="448" t="str">
        <f>_xlfn.IFNA(VLOOKUP($BK914,Programma!$F$3:$M$1101,8,0),"")</f>
        <v/>
      </c>
      <c r="BS914" s="448" t="str">
        <f>_xlfn.IFNA(VLOOKUP($BK914,Programma!$F$3:$N$1101,9,0),"")</f>
        <v/>
      </c>
      <c r="BT914" s="448" t="str">
        <f>_xlfn.IFNA(VLOOKUP($BK914,Programma!$F$3:$O$1101,10,0),"")</f>
        <v/>
      </c>
      <c r="BU914" s="448" t="str">
        <f>_xlfn.IFNA(VLOOKUP($BK914,Programma!$F$3:$P$1101,11,0),"")</f>
        <v/>
      </c>
      <c r="BV914" s="448" t="str">
        <f>_xlfn.IFNA(VLOOKUP($BK914,Programma!$F$3:$Q$1101,12,0),"")</f>
        <v/>
      </c>
      <c r="BW914" s="448" t="str">
        <f>_xlfn.IFNA(VLOOKUP($BK914,Programma!$F$3:$R$1101,13,0),"")</f>
        <v/>
      </c>
      <c r="BX914" s="448" t="str">
        <f>_xlfn.IFNA(VLOOKUP($BK914,Programma!$F$3:$S$1101,14,0),"")</f>
        <v/>
      </c>
      <c r="BY914" s="448" t="str">
        <f>_xlfn.IFNA(VLOOKUP($BK914,Programma!$F$3:$T$1101,15,0),"")</f>
        <v/>
      </c>
      <c r="BZ914" s="448" t="str">
        <f>_xlfn.IFNA(VLOOKUP($BK914,Programma!$F$3:$U$1101,16,0),"")</f>
        <v/>
      </c>
      <c r="CA914" s="448" t="str">
        <f>_xlfn.IFNA(VLOOKUP($BK914,Programma!$F$3:$V$1101,17,0),"")</f>
        <v/>
      </c>
      <c r="CB914" s="448" t="str">
        <f>_xlfn.IFNA(VLOOKUP($BK914,Programma!$F$3:$W$1101,18,0),"")</f>
        <v/>
      </c>
      <c r="CC914" s="448" t="str">
        <f>_xlfn.IFNA(VLOOKUP($BK914,Programma!$F$3:$X$1101,19,0),"")</f>
        <v/>
      </c>
      <c r="CD914" s="448" t="str">
        <f>_xlfn.IFNA(VLOOKUP($BK914,Programma!$F$3:$Y$1101,20,0),"")</f>
        <v/>
      </c>
    </row>
    <row r="915" spans="1:82" ht="15" customHeight="1">
      <c r="A915" s="327">
        <v>25</v>
      </c>
      <c r="B915" s="435" t="str">
        <f>VLOOKUP(Ruimtestaat[[#This Row],[Code]],Locaties[[Code]:[Locatie]],2,FALSE)</f>
        <v>IKC De Piramide</v>
      </c>
      <c r="C915" s="435" t="str">
        <f>VLOOKUP(Ruimtestaat[[#This Row],[Code]],Locaties[[#All],[Code]:[Adres]],4,FALSE)</f>
        <v>Fivelingo 84</v>
      </c>
      <c r="D915" s="435" t="str">
        <f>VLOOKUP(Ruimtestaat[[#This Row],[Code]],Locaties[[#All],[Code]:[Postcode]],5,FALSE)</f>
        <v>2716 BG</v>
      </c>
      <c r="E915" s="435" t="str">
        <f>VLOOKUP(Ruimtestaat[[#This Row],[Code]],Locaties[#All],6,FALSE)</f>
        <v>Zoetermeer</v>
      </c>
      <c r="F915" s="450" t="s">
        <v>2059</v>
      </c>
      <c r="G915" s="330" t="s">
        <v>2074</v>
      </c>
      <c r="H915" s="330" t="s">
        <v>2077</v>
      </c>
      <c r="I915" s="450" t="s">
        <v>1901</v>
      </c>
      <c r="J915" s="330">
        <v>20</v>
      </c>
      <c r="K915" s="450" t="str">
        <f>VLOOKUP(Ruimtestaat[[#This Row],[Ruimte code]],Ruimtegroepen[[#All],[Code]:[Ruimte omschrijving]],2,FALSE)</f>
        <v>Niet in Onderhoud</v>
      </c>
      <c r="L915" s="434" t="s">
        <v>100</v>
      </c>
      <c r="M915" s="437" t="s">
        <v>1759</v>
      </c>
      <c r="N915" s="439"/>
      <c r="O915" s="439">
        <v>21</v>
      </c>
      <c r="P915" s="439"/>
      <c r="Q915" s="439"/>
      <c r="R915" s="440">
        <f>VLOOKUP(Ruimtestaat[[#This Row],[Ruimte code]],Ruimtegroepen[],4,FALSE)</f>
        <v>0</v>
      </c>
      <c r="S915" s="434"/>
      <c r="T915" s="434"/>
      <c r="U915" s="453">
        <f>IF(S915&gt;0,IF(RIGHT(Ruimtestaat[[#This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15" s="434">
        <f>IF(U915&gt;0,VLOOKUP($J915,Ruimtegroepen[],3,FALSE)*VLOOKUP($L915,Vloersoorten[],3,FALSE)*VLOOKUP($T915,Frequenties[],3,FALSE)*VLOOKUP($A915,Locaties[],3,FALSE),0)</f>
        <v>0</v>
      </c>
      <c r="W915" s="434">
        <f>Ruimtestaat[[#This Row],[Uitvoeringen werkdagen]]*Ruimtestaat[[#This Row],[Oppervlak (netto)]]</f>
        <v>0</v>
      </c>
      <c r="X915" s="441">
        <f>IF(V915&gt;0,Ruimtestaat[[#This Row],[Prest. (m2 /jaar) werkdagen]]/Ruimtestaat[[#This Row],[Norm (m2/uur) werkdagen]],0)</f>
        <v>0</v>
      </c>
      <c r="Y915" s="442">
        <f>Ruimtestaat[[#This Row],[Uitvoeringen werkdagen]]*Ruimtestaat[[#This Row],[Gedeeltelijk]]</f>
        <v>0</v>
      </c>
      <c r="Z915" s="443">
        <f>IF(U915&gt;0,Ruimtestaat[[#This Row],[Prest. (m2 / jaar) werkdagen gedeeld]]/Ruimtestaat[[#This Row],[Norm (m2/uur) werkdagen]],0)</f>
        <v>0</v>
      </c>
      <c r="AA915" s="441">
        <f>Ruimtestaat[[#This Row],[uren / jaar werkdagen gedeeld]]*Tariefsopbouw!$E$35</f>
        <v>0</v>
      </c>
      <c r="AB915" s="441">
        <f>Ruimtestaat[[#This Row],[Uitvoeringen werkdagen]]*Ruimtestaat[[#This Row],[BSO]]</f>
        <v>0</v>
      </c>
      <c r="AC915" s="443">
        <f>IF(U915&gt;0,Ruimtestaat[[#This Row],[Prest. (m2 / jaar) werkdagen BSO]]/Ruimtestaat[[#This Row],[Norm (m2/uur) werkdagen]],0)</f>
        <v>0</v>
      </c>
      <c r="AD915" s="443">
        <f>Ruimtestaat[[#This Row],[uren / jaar werkdagen BSO]]*Tariefsopbouw!$E$35</f>
        <v>0</v>
      </c>
      <c r="AE915" s="444">
        <f>Ruimtestaat[[#This Row],[uren / jaar werkdagen]]*Tariefsopbouw!$E$35</f>
        <v>0</v>
      </c>
      <c r="AF915" s="454"/>
      <c r="AG915" s="455">
        <f>IF(Ruimtestaat[[#This Row],[Frequentie weekend]]&gt;0,VALUE(LEFT(AF915,1))*S915,0)</f>
        <v>0</v>
      </c>
      <c r="AH915" s="455">
        <f>IF($AG915&gt;0,VLOOKUP($J915,Ruimtegroepen[],3,FALSE)*VLOOKUP($L915,Vloersoorten[],3,FALSE)*VLOOKUP($AF915,Frequenties[],3,FALSE)*VLOOKUP(#REF!,Locaties[],3,FALSE),0)</f>
        <v>0</v>
      </c>
      <c r="AI915" s="434">
        <f>Ruimtestaat[[#This Row],[Uitvoeringen weekend]]*Ruimtestaat[[#This Row],[Oppervlak (netto)]]</f>
        <v>0</v>
      </c>
      <c r="AJ915" s="434">
        <f>IF(AH915&gt;0,Ruimtestaat[[#This Row],[Prest. (m2 /jaar) weekend]]/Ruimtestaat[[#This Row],[Norm (m2/uur) weekend]],0)</f>
        <v>0</v>
      </c>
      <c r="AK915" s="444">
        <f>Ruimtestaat[[#This Row],[uren / jaar weekend]]*Tariefsopbouw!$D$40</f>
        <v>0</v>
      </c>
      <c r="AL915" s="441">
        <f>Ruimtestaat[[#This Row],[Prest. (m2 /jaar) weekend]]+Ruimtestaat[[#This Row],[Prest. (m2 /jaar) werkdagen]]</f>
        <v>0</v>
      </c>
      <c r="AM915" s="441">
        <f>Ruimtestaat[[#This Row],[uren / jaar weekend]]+Ruimtestaat[[#This Row],[uren / jaar werkdagen]]</f>
        <v>0</v>
      </c>
      <c r="AN915" s="446">
        <f>Ruimtestaat[[#This Row],[kosten / jaar weekend]]+Ruimtestaat[[#This Row],[kosten / jaar werkdagen]]</f>
        <v>0</v>
      </c>
      <c r="AO915" s="446"/>
      <c r="AP915" s="446" t="str">
        <f>IF(Ruimtestaat[[#This Row],[Frequentie werkdagen]]="","",_xlfn.CONCAT(Ruimtestaat[[#This Row],[Ruimte code]],"-",Ruimtestaat[[#This Row],[Frequentie werkdagen]]," ",Ruimtestaat[[#This Row],[Vloer code]]))</f>
        <v/>
      </c>
      <c r="AQ915" s="448" t="str">
        <f>_xlfn.IFNA(VLOOKUP($AP915,Programma!$F$3:$G$1101,2,0),"")</f>
        <v/>
      </c>
      <c r="AR915" s="448" t="str">
        <f>_xlfn.IFNA(VLOOKUP($AP915,Programma!$F$3:$H$1101,3,0),"")</f>
        <v/>
      </c>
      <c r="AS915" s="448" t="str">
        <f>_xlfn.IFNA(VLOOKUP($AP915,Programma!$F$3:$I$1101,4,0),"")</f>
        <v/>
      </c>
      <c r="AT915" s="448" t="str">
        <f>_xlfn.IFNA(VLOOKUP($AP915,Programma!$F$3:$J$1101,5,0),"")</f>
        <v/>
      </c>
      <c r="AU915" s="448" t="str">
        <f>_xlfn.IFNA(VLOOKUP($AP915,Programma!$F$3:$K$1101,6,0),"")</f>
        <v/>
      </c>
      <c r="AV915" s="448" t="str">
        <f>_xlfn.IFNA(VLOOKUP($AP915,Programma!$F$3:$L$1101,7,0),"")</f>
        <v/>
      </c>
      <c r="AW915" s="448" t="str">
        <f>_xlfn.IFNA(VLOOKUP($AP915,Programma!$F$3:$M$1101,8,0),"")</f>
        <v/>
      </c>
      <c r="AX915" s="448" t="str">
        <f>_xlfn.IFNA(VLOOKUP($AP915,Programma!$F$3:$N$1101,9,0),"")</f>
        <v/>
      </c>
      <c r="AY915" s="448" t="str">
        <f>_xlfn.IFNA(VLOOKUP($AP915,Programma!$F$3:$O$1101,10,0),"")</f>
        <v/>
      </c>
      <c r="AZ915" s="448" t="str">
        <f>_xlfn.IFNA(VLOOKUP($AP915,Programma!$F$3:$P$1101,11,0),"")</f>
        <v/>
      </c>
      <c r="BA915" s="448" t="str">
        <f>_xlfn.IFNA(VLOOKUP($AP915,Programma!$F$3:$Q$1101,12,0),"")</f>
        <v/>
      </c>
      <c r="BB915" s="448" t="str">
        <f>_xlfn.IFNA(VLOOKUP($AP915,Programma!$F$3:$R$1101,13,0),"")</f>
        <v/>
      </c>
      <c r="BC915" s="448" t="str">
        <f>_xlfn.IFNA(VLOOKUP($AP915,Programma!$F$3:$S$1101,14,0),"")</f>
        <v/>
      </c>
      <c r="BD915" s="448" t="str">
        <f>_xlfn.IFNA(VLOOKUP($AP915,Programma!$F$3:$T$1101,15,0),"")</f>
        <v/>
      </c>
      <c r="BE915" s="448" t="str">
        <f>_xlfn.IFNA(VLOOKUP($AP915,Programma!$F$3:$U$1101,16,0),"")</f>
        <v/>
      </c>
      <c r="BF915" s="448" t="str">
        <f>_xlfn.IFNA(VLOOKUP($AP915,Programma!$F$3:$V$1101,17,0),"")</f>
        <v/>
      </c>
      <c r="BG915" s="448" t="str">
        <f>_xlfn.IFNA(VLOOKUP($AP915,Programma!$F$3:$W$1101,18,0),"")</f>
        <v/>
      </c>
      <c r="BH915" s="448" t="str">
        <f>_xlfn.IFNA(VLOOKUP($AP915,Programma!$F$3:$X$1101,19,0),"")</f>
        <v/>
      </c>
      <c r="BI915" s="448" t="str">
        <f>_xlfn.IFNA(VLOOKUP($AP915,Programma!$F$3:$Y$1101,20,0),"")</f>
        <v/>
      </c>
      <c r="BJ915" s="449"/>
      <c r="BK915" s="446" t="str">
        <f>IF(Ruimtestaat[[#This Row],[Frequentie weekend]]="","",_xlfn.CONCAT(Ruimtestaat[[#This Row],[Ruimte code]],"-",Ruimtestaat[[#This Row],[Frequentie weekend]]," ",Ruimtestaat[[#This Row],[Vloer code]]))</f>
        <v/>
      </c>
      <c r="BL915" s="448" t="str">
        <f>_xlfn.IFNA(VLOOKUP($BK915,Programma!$F$3:$G$1101,2,0),"")</f>
        <v/>
      </c>
      <c r="BM915" s="448" t="str">
        <f>_xlfn.IFNA(VLOOKUP($BK915,Programma!$F$3:$H$1101,3,0),"")</f>
        <v/>
      </c>
      <c r="BN915" s="448" t="str">
        <f>_xlfn.IFNA(VLOOKUP($BK915,Programma!$F$3:$I$1101,4,0),"")</f>
        <v/>
      </c>
      <c r="BO915" s="448" t="str">
        <f>_xlfn.IFNA(VLOOKUP($BK915,Programma!$F$3:$J$1101,5,0),"")</f>
        <v/>
      </c>
      <c r="BP915" s="448" t="str">
        <f>_xlfn.IFNA(VLOOKUP($BK915,Programma!$F$3:$K$1101,6,0),"")</f>
        <v/>
      </c>
      <c r="BQ915" s="448" t="str">
        <f>_xlfn.IFNA(VLOOKUP($BK915,Programma!$F$3:$L$1101,7,0),"")</f>
        <v/>
      </c>
      <c r="BR915" s="448" t="str">
        <f>_xlfn.IFNA(VLOOKUP($BK915,Programma!$F$3:$M$1101,8,0),"")</f>
        <v/>
      </c>
      <c r="BS915" s="448" t="str">
        <f>_xlfn.IFNA(VLOOKUP($BK915,Programma!$F$3:$N$1101,9,0),"")</f>
        <v/>
      </c>
      <c r="BT915" s="448" t="str">
        <f>_xlfn.IFNA(VLOOKUP($BK915,Programma!$F$3:$O$1101,10,0),"")</f>
        <v/>
      </c>
      <c r="BU915" s="448" t="str">
        <f>_xlfn.IFNA(VLOOKUP($BK915,Programma!$F$3:$P$1101,11,0),"")</f>
        <v/>
      </c>
      <c r="BV915" s="448" t="str">
        <f>_xlfn.IFNA(VLOOKUP($BK915,Programma!$F$3:$Q$1101,12,0),"")</f>
        <v/>
      </c>
      <c r="BW915" s="448" t="str">
        <f>_xlfn.IFNA(VLOOKUP($BK915,Programma!$F$3:$R$1101,13,0),"")</f>
        <v/>
      </c>
      <c r="BX915" s="448" t="str">
        <f>_xlfn.IFNA(VLOOKUP($BK915,Programma!$F$3:$S$1101,14,0),"")</f>
        <v/>
      </c>
      <c r="BY915" s="448" t="str">
        <f>_xlfn.IFNA(VLOOKUP($BK915,Programma!$F$3:$T$1101,15,0),"")</f>
        <v/>
      </c>
      <c r="BZ915" s="448" t="str">
        <f>_xlfn.IFNA(VLOOKUP($BK915,Programma!$F$3:$U$1101,16,0),"")</f>
        <v/>
      </c>
      <c r="CA915" s="448" t="str">
        <f>_xlfn.IFNA(VLOOKUP($BK915,Programma!$F$3:$V$1101,17,0),"")</f>
        <v/>
      </c>
      <c r="CB915" s="448" t="str">
        <f>_xlfn.IFNA(VLOOKUP($BK915,Programma!$F$3:$W$1101,18,0),"")</f>
        <v/>
      </c>
      <c r="CC915" s="448" t="str">
        <f>_xlfn.IFNA(VLOOKUP($BK915,Programma!$F$3:$X$1101,19,0),"")</f>
        <v/>
      </c>
      <c r="CD915" s="448" t="str">
        <f>_xlfn.IFNA(VLOOKUP($BK915,Programma!$F$3:$Y$1101,20,0),"")</f>
        <v/>
      </c>
    </row>
    <row r="916" spans="1:82" ht="15" customHeight="1">
      <c r="A916" s="327">
        <v>25</v>
      </c>
      <c r="B916" s="435" t="str">
        <f>VLOOKUP(Ruimtestaat[[#This Row],[Code]],Locaties[[Code]:[Locatie]],2,FALSE)</f>
        <v>IKC De Piramide</v>
      </c>
      <c r="C916" s="435" t="str">
        <f>VLOOKUP(Ruimtestaat[[#This Row],[Code]],Locaties[[#All],[Code]:[Adres]],4,FALSE)</f>
        <v>Fivelingo 84</v>
      </c>
      <c r="D916" s="435" t="str">
        <f>VLOOKUP(Ruimtestaat[[#This Row],[Code]],Locaties[[#All],[Code]:[Postcode]],5,FALSE)</f>
        <v>2716 BG</v>
      </c>
      <c r="E916" s="435" t="str">
        <f>VLOOKUP(Ruimtestaat[[#This Row],[Code]],Locaties[#All],6,FALSE)</f>
        <v>Zoetermeer</v>
      </c>
      <c r="F916" s="450" t="s">
        <v>2059</v>
      </c>
      <c r="G916" s="330" t="s">
        <v>2074</v>
      </c>
      <c r="H916" s="330" t="s">
        <v>2078</v>
      </c>
      <c r="I916" s="450" t="s">
        <v>1708</v>
      </c>
      <c r="J916" s="330">
        <v>20</v>
      </c>
      <c r="K916" s="450" t="str">
        <f>VLOOKUP(Ruimtestaat[[#This Row],[Ruimte code]],Ruimtegroepen[[#All],[Code]:[Ruimte omschrijving]],2,FALSE)</f>
        <v>Niet in Onderhoud</v>
      </c>
      <c r="L916" s="434" t="s">
        <v>100</v>
      </c>
      <c r="M916" s="437" t="s">
        <v>1759</v>
      </c>
      <c r="N916" s="439"/>
      <c r="O916" s="439">
        <v>21</v>
      </c>
      <c r="P916" s="439"/>
      <c r="Q916" s="439"/>
      <c r="R916" s="440">
        <f>VLOOKUP(Ruimtestaat[[#This Row],[Ruimte code]],Ruimtegroepen[],4,FALSE)</f>
        <v>0</v>
      </c>
      <c r="S916" s="434"/>
      <c r="T916" s="434"/>
      <c r="U916" s="453">
        <f>IF(S916&gt;0,IF(RIGHT(Ruimtestaat[[#This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16" s="434">
        <f>IF(U916&gt;0,VLOOKUP($J916,Ruimtegroepen[],3,FALSE)*VLOOKUP($L916,Vloersoorten[],3,FALSE)*VLOOKUP($T916,Frequenties[],3,FALSE)*VLOOKUP($A916,Locaties[],3,FALSE),0)</f>
        <v>0</v>
      </c>
      <c r="W916" s="434">
        <f>Ruimtestaat[[#This Row],[Uitvoeringen werkdagen]]*Ruimtestaat[[#This Row],[Oppervlak (netto)]]</f>
        <v>0</v>
      </c>
      <c r="X916" s="441">
        <f>IF(V916&gt;0,Ruimtestaat[[#This Row],[Prest. (m2 /jaar) werkdagen]]/Ruimtestaat[[#This Row],[Norm (m2/uur) werkdagen]],0)</f>
        <v>0</v>
      </c>
      <c r="Y916" s="442">
        <f>Ruimtestaat[[#This Row],[Uitvoeringen werkdagen]]*Ruimtestaat[[#This Row],[Gedeeltelijk]]</f>
        <v>0</v>
      </c>
      <c r="Z916" s="443">
        <f>IF(U916&gt;0,Ruimtestaat[[#This Row],[Prest. (m2 / jaar) werkdagen gedeeld]]/Ruimtestaat[[#This Row],[Norm (m2/uur) werkdagen]],0)</f>
        <v>0</v>
      </c>
      <c r="AA916" s="441">
        <f>Ruimtestaat[[#This Row],[uren / jaar werkdagen gedeeld]]*Tariefsopbouw!$E$35</f>
        <v>0</v>
      </c>
      <c r="AB916" s="441">
        <f>Ruimtestaat[[#This Row],[Uitvoeringen werkdagen]]*Ruimtestaat[[#This Row],[BSO]]</f>
        <v>0</v>
      </c>
      <c r="AC916" s="443">
        <f>IF(U916&gt;0,Ruimtestaat[[#This Row],[Prest. (m2 / jaar) werkdagen BSO]]/Ruimtestaat[[#This Row],[Norm (m2/uur) werkdagen]],0)</f>
        <v>0</v>
      </c>
      <c r="AD916" s="443">
        <f>Ruimtestaat[[#This Row],[uren / jaar werkdagen BSO]]*Tariefsopbouw!$E$35</f>
        <v>0</v>
      </c>
      <c r="AE916" s="444">
        <f>Ruimtestaat[[#This Row],[uren / jaar werkdagen]]*Tariefsopbouw!$E$35</f>
        <v>0</v>
      </c>
      <c r="AF916" s="454"/>
      <c r="AG916" s="455">
        <f>IF(Ruimtestaat[[#This Row],[Frequentie weekend]]&gt;0,VALUE(LEFT(AF916,1))*S916,0)</f>
        <v>0</v>
      </c>
      <c r="AH916" s="455">
        <f>IF($AG916&gt;0,VLOOKUP($J916,Ruimtegroepen[],3,FALSE)*VLOOKUP($L916,Vloersoorten[],3,FALSE)*VLOOKUP($AF916,Frequenties[],3,FALSE)*VLOOKUP(#REF!,Locaties[],3,FALSE),0)</f>
        <v>0</v>
      </c>
      <c r="AI916" s="434">
        <f>Ruimtestaat[[#This Row],[Uitvoeringen weekend]]*Ruimtestaat[[#This Row],[Oppervlak (netto)]]</f>
        <v>0</v>
      </c>
      <c r="AJ916" s="434">
        <f>IF(AH916&gt;0,Ruimtestaat[[#This Row],[Prest. (m2 /jaar) weekend]]/Ruimtestaat[[#This Row],[Norm (m2/uur) weekend]],0)</f>
        <v>0</v>
      </c>
      <c r="AK916" s="444">
        <f>Ruimtestaat[[#This Row],[uren / jaar weekend]]*Tariefsopbouw!$D$40</f>
        <v>0</v>
      </c>
      <c r="AL916" s="441">
        <f>Ruimtestaat[[#This Row],[Prest. (m2 /jaar) weekend]]+Ruimtestaat[[#This Row],[Prest. (m2 /jaar) werkdagen]]</f>
        <v>0</v>
      </c>
      <c r="AM916" s="441">
        <f>Ruimtestaat[[#This Row],[uren / jaar weekend]]+Ruimtestaat[[#This Row],[uren / jaar werkdagen]]</f>
        <v>0</v>
      </c>
      <c r="AN916" s="446">
        <f>Ruimtestaat[[#This Row],[kosten / jaar weekend]]+Ruimtestaat[[#This Row],[kosten / jaar werkdagen]]</f>
        <v>0</v>
      </c>
      <c r="AO916" s="446"/>
      <c r="AP916" s="446" t="str">
        <f>IF(Ruimtestaat[[#This Row],[Frequentie werkdagen]]="","",_xlfn.CONCAT(Ruimtestaat[[#This Row],[Ruimte code]],"-",Ruimtestaat[[#This Row],[Frequentie werkdagen]]," ",Ruimtestaat[[#This Row],[Vloer code]]))</f>
        <v/>
      </c>
      <c r="AQ916" s="448" t="str">
        <f>_xlfn.IFNA(VLOOKUP($AP916,Programma!$F$3:$G$1101,2,0),"")</f>
        <v/>
      </c>
      <c r="AR916" s="448" t="str">
        <f>_xlfn.IFNA(VLOOKUP($AP916,Programma!$F$3:$H$1101,3,0),"")</f>
        <v/>
      </c>
      <c r="AS916" s="448" t="str">
        <f>_xlfn.IFNA(VLOOKUP($AP916,Programma!$F$3:$I$1101,4,0),"")</f>
        <v/>
      </c>
      <c r="AT916" s="448" t="str">
        <f>_xlfn.IFNA(VLOOKUP($AP916,Programma!$F$3:$J$1101,5,0),"")</f>
        <v/>
      </c>
      <c r="AU916" s="448" t="str">
        <f>_xlfn.IFNA(VLOOKUP($AP916,Programma!$F$3:$K$1101,6,0),"")</f>
        <v/>
      </c>
      <c r="AV916" s="448" t="str">
        <f>_xlfn.IFNA(VLOOKUP($AP916,Programma!$F$3:$L$1101,7,0),"")</f>
        <v/>
      </c>
      <c r="AW916" s="448" t="str">
        <f>_xlfn.IFNA(VLOOKUP($AP916,Programma!$F$3:$M$1101,8,0),"")</f>
        <v/>
      </c>
      <c r="AX916" s="448" t="str">
        <f>_xlfn.IFNA(VLOOKUP($AP916,Programma!$F$3:$N$1101,9,0),"")</f>
        <v/>
      </c>
      <c r="AY916" s="448" t="str">
        <f>_xlfn.IFNA(VLOOKUP($AP916,Programma!$F$3:$O$1101,10,0),"")</f>
        <v/>
      </c>
      <c r="AZ916" s="448" t="str">
        <f>_xlfn.IFNA(VLOOKUP($AP916,Programma!$F$3:$P$1101,11,0),"")</f>
        <v/>
      </c>
      <c r="BA916" s="448" t="str">
        <f>_xlfn.IFNA(VLOOKUP($AP916,Programma!$F$3:$Q$1101,12,0),"")</f>
        <v/>
      </c>
      <c r="BB916" s="448" t="str">
        <f>_xlfn.IFNA(VLOOKUP($AP916,Programma!$F$3:$R$1101,13,0),"")</f>
        <v/>
      </c>
      <c r="BC916" s="448" t="str">
        <f>_xlfn.IFNA(VLOOKUP($AP916,Programma!$F$3:$S$1101,14,0),"")</f>
        <v/>
      </c>
      <c r="BD916" s="448" t="str">
        <f>_xlfn.IFNA(VLOOKUP($AP916,Programma!$F$3:$T$1101,15,0),"")</f>
        <v/>
      </c>
      <c r="BE916" s="448" t="str">
        <f>_xlfn.IFNA(VLOOKUP($AP916,Programma!$F$3:$U$1101,16,0),"")</f>
        <v/>
      </c>
      <c r="BF916" s="448" t="str">
        <f>_xlfn.IFNA(VLOOKUP($AP916,Programma!$F$3:$V$1101,17,0),"")</f>
        <v/>
      </c>
      <c r="BG916" s="448" t="str">
        <f>_xlfn.IFNA(VLOOKUP($AP916,Programma!$F$3:$W$1101,18,0),"")</f>
        <v/>
      </c>
      <c r="BH916" s="448" t="str">
        <f>_xlfn.IFNA(VLOOKUP($AP916,Programma!$F$3:$X$1101,19,0),"")</f>
        <v/>
      </c>
      <c r="BI916" s="448" t="str">
        <f>_xlfn.IFNA(VLOOKUP($AP916,Programma!$F$3:$Y$1101,20,0),"")</f>
        <v/>
      </c>
      <c r="BJ916" s="449"/>
      <c r="BK916" s="446" t="str">
        <f>IF(Ruimtestaat[[#This Row],[Frequentie weekend]]="","",_xlfn.CONCAT(Ruimtestaat[[#This Row],[Ruimte code]],"-",Ruimtestaat[[#This Row],[Frequentie weekend]]," ",Ruimtestaat[[#This Row],[Vloer code]]))</f>
        <v/>
      </c>
      <c r="BL916" s="448" t="str">
        <f>_xlfn.IFNA(VLOOKUP($BK916,Programma!$F$3:$G$1101,2,0),"")</f>
        <v/>
      </c>
      <c r="BM916" s="448" t="str">
        <f>_xlfn.IFNA(VLOOKUP($BK916,Programma!$F$3:$H$1101,3,0),"")</f>
        <v/>
      </c>
      <c r="BN916" s="448" t="str">
        <f>_xlfn.IFNA(VLOOKUP($BK916,Programma!$F$3:$I$1101,4,0),"")</f>
        <v/>
      </c>
      <c r="BO916" s="448" t="str">
        <f>_xlfn.IFNA(VLOOKUP($BK916,Programma!$F$3:$J$1101,5,0),"")</f>
        <v/>
      </c>
      <c r="BP916" s="448" t="str">
        <f>_xlfn.IFNA(VLOOKUP($BK916,Programma!$F$3:$K$1101,6,0),"")</f>
        <v/>
      </c>
      <c r="BQ916" s="448" t="str">
        <f>_xlfn.IFNA(VLOOKUP($BK916,Programma!$F$3:$L$1101,7,0),"")</f>
        <v/>
      </c>
      <c r="BR916" s="448" t="str">
        <f>_xlfn.IFNA(VLOOKUP($BK916,Programma!$F$3:$M$1101,8,0),"")</f>
        <v/>
      </c>
      <c r="BS916" s="448" t="str">
        <f>_xlfn.IFNA(VLOOKUP($BK916,Programma!$F$3:$N$1101,9,0),"")</f>
        <v/>
      </c>
      <c r="BT916" s="448" t="str">
        <f>_xlfn.IFNA(VLOOKUP($BK916,Programma!$F$3:$O$1101,10,0),"")</f>
        <v/>
      </c>
      <c r="BU916" s="448" t="str">
        <f>_xlfn.IFNA(VLOOKUP($BK916,Programma!$F$3:$P$1101,11,0),"")</f>
        <v/>
      </c>
      <c r="BV916" s="448" t="str">
        <f>_xlfn.IFNA(VLOOKUP($BK916,Programma!$F$3:$Q$1101,12,0),"")</f>
        <v/>
      </c>
      <c r="BW916" s="448" t="str">
        <f>_xlfn.IFNA(VLOOKUP($BK916,Programma!$F$3:$R$1101,13,0),"")</f>
        <v/>
      </c>
      <c r="BX916" s="448" t="str">
        <f>_xlfn.IFNA(VLOOKUP($BK916,Programma!$F$3:$S$1101,14,0),"")</f>
        <v/>
      </c>
      <c r="BY916" s="448" t="str">
        <f>_xlfn.IFNA(VLOOKUP($BK916,Programma!$F$3:$T$1101,15,0),"")</f>
        <v/>
      </c>
      <c r="BZ916" s="448" t="str">
        <f>_xlfn.IFNA(VLOOKUP($BK916,Programma!$F$3:$U$1101,16,0),"")</f>
        <v/>
      </c>
      <c r="CA916" s="448" t="str">
        <f>_xlfn.IFNA(VLOOKUP($BK916,Programma!$F$3:$V$1101,17,0),"")</f>
        <v/>
      </c>
      <c r="CB916" s="448" t="str">
        <f>_xlfn.IFNA(VLOOKUP($BK916,Programma!$F$3:$W$1101,18,0),"")</f>
        <v/>
      </c>
      <c r="CC916" s="448" t="str">
        <f>_xlfn.IFNA(VLOOKUP($BK916,Programma!$F$3:$X$1101,19,0),"")</f>
        <v/>
      </c>
      <c r="CD916" s="448" t="str">
        <f>_xlfn.IFNA(VLOOKUP($BK916,Programma!$F$3:$Y$1101,20,0),"")</f>
        <v/>
      </c>
    </row>
    <row r="917" spans="1:82" ht="15" customHeight="1">
      <c r="A917" s="327">
        <v>25</v>
      </c>
      <c r="B917" s="435" t="str">
        <f>VLOOKUP(Ruimtestaat[[#This Row],[Code]],Locaties[[Code]:[Locatie]],2,FALSE)</f>
        <v>IKC De Piramide</v>
      </c>
      <c r="C917" s="435" t="str">
        <f>VLOOKUP(Ruimtestaat[[#This Row],[Code]],Locaties[[#All],[Code]:[Adres]],4,FALSE)</f>
        <v>Fivelingo 84</v>
      </c>
      <c r="D917" s="435" t="str">
        <f>VLOOKUP(Ruimtestaat[[#This Row],[Code]],Locaties[[#All],[Code]:[Postcode]],5,FALSE)</f>
        <v>2716 BG</v>
      </c>
      <c r="E917" s="435" t="str">
        <f>VLOOKUP(Ruimtestaat[[#This Row],[Code]],Locaties[#All],6,FALSE)</f>
        <v>Zoetermeer</v>
      </c>
      <c r="F917" s="450" t="s">
        <v>2059</v>
      </c>
      <c r="G917" s="330" t="s">
        <v>2074</v>
      </c>
      <c r="H917" s="330" t="s">
        <v>2079</v>
      </c>
      <c r="I917" s="450" t="s">
        <v>1679</v>
      </c>
      <c r="J917" s="330">
        <v>20</v>
      </c>
      <c r="K917" s="450" t="str">
        <f>VLOOKUP(Ruimtestaat[[#This Row],[Ruimte code]],Ruimtegroepen[[#All],[Code]:[Ruimte omschrijving]],2,FALSE)</f>
        <v>Niet in Onderhoud</v>
      </c>
      <c r="L917" s="434" t="s">
        <v>100</v>
      </c>
      <c r="M917" s="437" t="s">
        <v>1759</v>
      </c>
      <c r="N917" s="439"/>
      <c r="O917" s="439">
        <v>61</v>
      </c>
      <c r="P917" s="439"/>
      <c r="Q917" s="439"/>
      <c r="R917" s="440">
        <f>VLOOKUP(Ruimtestaat[[#This Row],[Ruimte code]],Ruimtegroepen[],4,FALSE)</f>
        <v>0</v>
      </c>
      <c r="S917" s="434"/>
      <c r="T917" s="434"/>
      <c r="U917" s="453">
        <f>IF(S917&gt;0,IF(RIGHT(Ruimtestaat[[#This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17" s="434">
        <f>IF(U917&gt;0,VLOOKUP($J917,Ruimtegroepen[],3,FALSE)*VLOOKUP($L917,Vloersoorten[],3,FALSE)*VLOOKUP($T917,Frequenties[],3,FALSE)*VLOOKUP($A917,Locaties[],3,FALSE),0)</f>
        <v>0</v>
      </c>
      <c r="W917" s="434">
        <f>Ruimtestaat[[#This Row],[Uitvoeringen werkdagen]]*Ruimtestaat[[#This Row],[Oppervlak (netto)]]</f>
        <v>0</v>
      </c>
      <c r="X917" s="441">
        <f>IF(V917&gt;0,Ruimtestaat[[#This Row],[Prest. (m2 /jaar) werkdagen]]/Ruimtestaat[[#This Row],[Norm (m2/uur) werkdagen]],0)</f>
        <v>0</v>
      </c>
      <c r="Y917" s="442">
        <f>Ruimtestaat[[#This Row],[Uitvoeringen werkdagen]]*Ruimtestaat[[#This Row],[Gedeeltelijk]]</f>
        <v>0</v>
      </c>
      <c r="Z917" s="443">
        <f>IF(U917&gt;0,Ruimtestaat[[#This Row],[Prest. (m2 / jaar) werkdagen gedeeld]]/Ruimtestaat[[#This Row],[Norm (m2/uur) werkdagen]],0)</f>
        <v>0</v>
      </c>
      <c r="AA917" s="441">
        <f>Ruimtestaat[[#This Row],[uren / jaar werkdagen gedeeld]]*Tariefsopbouw!$E$35</f>
        <v>0</v>
      </c>
      <c r="AB917" s="441">
        <f>Ruimtestaat[[#This Row],[Uitvoeringen werkdagen]]*Ruimtestaat[[#This Row],[BSO]]</f>
        <v>0</v>
      </c>
      <c r="AC917" s="443">
        <f>IF(U917&gt;0,Ruimtestaat[[#This Row],[Prest. (m2 / jaar) werkdagen BSO]]/Ruimtestaat[[#This Row],[Norm (m2/uur) werkdagen]],0)</f>
        <v>0</v>
      </c>
      <c r="AD917" s="443">
        <f>Ruimtestaat[[#This Row],[uren / jaar werkdagen BSO]]*Tariefsopbouw!$E$35</f>
        <v>0</v>
      </c>
      <c r="AE917" s="444">
        <f>Ruimtestaat[[#This Row],[uren / jaar werkdagen]]*Tariefsopbouw!$E$35</f>
        <v>0</v>
      </c>
      <c r="AF917" s="454"/>
      <c r="AG917" s="455">
        <f>IF(Ruimtestaat[[#This Row],[Frequentie weekend]]&gt;0,VALUE(LEFT(AF917,1))*S917,0)</f>
        <v>0</v>
      </c>
      <c r="AH917" s="455">
        <f>IF($AG917&gt;0,VLOOKUP($J917,Ruimtegroepen[],3,FALSE)*VLOOKUP($L917,Vloersoorten[],3,FALSE)*VLOOKUP($AF917,Frequenties[],3,FALSE)*VLOOKUP(#REF!,Locaties[],3,FALSE),0)</f>
        <v>0</v>
      </c>
      <c r="AI917" s="434">
        <f>Ruimtestaat[[#This Row],[Uitvoeringen weekend]]*Ruimtestaat[[#This Row],[Oppervlak (netto)]]</f>
        <v>0</v>
      </c>
      <c r="AJ917" s="434">
        <f>IF(AH917&gt;0,Ruimtestaat[[#This Row],[Prest. (m2 /jaar) weekend]]/Ruimtestaat[[#This Row],[Norm (m2/uur) weekend]],0)</f>
        <v>0</v>
      </c>
      <c r="AK917" s="444">
        <f>Ruimtestaat[[#This Row],[uren / jaar weekend]]*Tariefsopbouw!$D$40</f>
        <v>0</v>
      </c>
      <c r="AL917" s="441">
        <f>Ruimtestaat[[#This Row],[Prest. (m2 /jaar) weekend]]+Ruimtestaat[[#This Row],[Prest. (m2 /jaar) werkdagen]]</f>
        <v>0</v>
      </c>
      <c r="AM917" s="441">
        <f>Ruimtestaat[[#This Row],[uren / jaar weekend]]+Ruimtestaat[[#This Row],[uren / jaar werkdagen]]</f>
        <v>0</v>
      </c>
      <c r="AN917" s="446">
        <f>Ruimtestaat[[#This Row],[kosten / jaar weekend]]+Ruimtestaat[[#This Row],[kosten / jaar werkdagen]]</f>
        <v>0</v>
      </c>
      <c r="AO917" s="446"/>
      <c r="AP917" s="446" t="str">
        <f>IF(Ruimtestaat[[#This Row],[Frequentie werkdagen]]="","",_xlfn.CONCAT(Ruimtestaat[[#This Row],[Ruimte code]],"-",Ruimtestaat[[#This Row],[Frequentie werkdagen]]," ",Ruimtestaat[[#This Row],[Vloer code]]))</f>
        <v/>
      </c>
      <c r="AQ917" s="448" t="str">
        <f>_xlfn.IFNA(VLOOKUP($AP917,Programma!$F$3:$G$1101,2,0),"")</f>
        <v/>
      </c>
      <c r="AR917" s="448" t="str">
        <f>_xlfn.IFNA(VLOOKUP($AP917,Programma!$F$3:$H$1101,3,0),"")</f>
        <v/>
      </c>
      <c r="AS917" s="448" t="str">
        <f>_xlfn.IFNA(VLOOKUP($AP917,Programma!$F$3:$I$1101,4,0),"")</f>
        <v/>
      </c>
      <c r="AT917" s="448" t="str">
        <f>_xlfn.IFNA(VLOOKUP($AP917,Programma!$F$3:$J$1101,5,0),"")</f>
        <v/>
      </c>
      <c r="AU917" s="448" t="str">
        <f>_xlfn.IFNA(VLOOKUP($AP917,Programma!$F$3:$K$1101,6,0),"")</f>
        <v/>
      </c>
      <c r="AV917" s="448" t="str">
        <f>_xlfn.IFNA(VLOOKUP($AP917,Programma!$F$3:$L$1101,7,0),"")</f>
        <v/>
      </c>
      <c r="AW917" s="448" t="str">
        <f>_xlfn.IFNA(VLOOKUP($AP917,Programma!$F$3:$M$1101,8,0),"")</f>
        <v/>
      </c>
      <c r="AX917" s="448" t="str">
        <f>_xlfn.IFNA(VLOOKUP($AP917,Programma!$F$3:$N$1101,9,0),"")</f>
        <v/>
      </c>
      <c r="AY917" s="448" t="str">
        <f>_xlfn.IFNA(VLOOKUP($AP917,Programma!$F$3:$O$1101,10,0),"")</f>
        <v/>
      </c>
      <c r="AZ917" s="448" t="str">
        <f>_xlfn.IFNA(VLOOKUP($AP917,Programma!$F$3:$P$1101,11,0),"")</f>
        <v/>
      </c>
      <c r="BA917" s="448" t="str">
        <f>_xlfn.IFNA(VLOOKUP($AP917,Programma!$F$3:$Q$1101,12,0),"")</f>
        <v/>
      </c>
      <c r="BB917" s="448" t="str">
        <f>_xlfn.IFNA(VLOOKUP($AP917,Programma!$F$3:$R$1101,13,0),"")</f>
        <v/>
      </c>
      <c r="BC917" s="448" t="str">
        <f>_xlfn.IFNA(VLOOKUP($AP917,Programma!$F$3:$S$1101,14,0),"")</f>
        <v/>
      </c>
      <c r="BD917" s="448" t="str">
        <f>_xlfn.IFNA(VLOOKUP($AP917,Programma!$F$3:$T$1101,15,0),"")</f>
        <v/>
      </c>
      <c r="BE917" s="448" t="str">
        <f>_xlfn.IFNA(VLOOKUP($AP917,Programma!$F$3:$U$1101,16,0),"")</f>
        <v/>
      </c>
      <c r="BF917" s="448" t="str">
        <f>_xlfn.IFNA(VLOOKUP($AP917,Programma!$F$3:$V$1101,17,0),"")</f>
        <v/>
      </c>
      <c r="BG917" s="448" t="str">
        <f>_xlfn.IFNA(VLOOKUP($AP917,Programma!$F$3:$W$1101,18,0),"")</f>
        <v/>
      </c>
      <c r="BH917" s="448" t="str">
        <f>_xlfn.IFNA(VLOOKUP($AP917,Programma!$F$3:$X$1101,19,0),"")</f>
        <v/>
      </c>
      <c r="BI917" s="448" t="str">
        <f>_xlfn.IFNA(VLOOKUP($AP917,Programma!$F$3:$Y$1101,20,0),"")</f>
        <v/>
      </c>
      <c r="BJ917" s="449"/>
      <c r="BK917" s="446" t="str">
        <f>IF(Ruimtestaat[[#This Row],[Frequentie weekend]]="","",_xlfn.CONCAT(Ruimtestaat[[#This Row],[Ruimte code]],"-",Ruimtestaat[[#This Row],[Frequentie weekend]]," ",Ruimtestaat[[#This Row],[Vloer code]]))</f>
        <v/>
      </c>
      <c r="BL917" s="448" t="str">
        <f>_xlfn.IFNA(VLOOKUP($BK917,Programma!$F$3:$G$1101,2,0),"")</f>
        <v/>
      </c>
      <c r="BM917" s="448" t="str">
        <f>_xlfn.IFNA(VLOOKUP($BK917,Programma!$F$3:$H$1101,3,0),"")</f>
        <v/>
      </c>
      <c r="BN917" s="448" t="str">
        <f>_xlfn.IFNA(VLOOKUP($BK917,Programma!$F$3:$I$1101,4,0),"")</f>
        <v/>
      </c>
      <c r="BO917" s="448" t="str">
        <f>_xlfn.IFNA(VLOOKUP($BK917,Programma!$F$3:$J$1101,5,0),"")</f>
        <v/>
      </c>
      <c r="BP917" s="448" t="str">
        <f>_xlfn.IFNA(VLOOKUP($BK917,Programma!$F$3:$K$1101,6,0),"")</f>
        <v/>
      </c>
      <c r="BQ917" s="448" t="str">
        <f>_xlfn.IFNA(VLOOKUP($BK917,Programma!$F$3:$L$1101,7,0),"")</f>
        <v/>
      </c>
      <c r="BR917" s="448" t="str">
        <f>_xlfn.IFNA(VLOOKUP($BK917,Programma!$F$3:$M$1101,8,0),"")</f>
        <v/>
      </c>
      <c r="BS917" s="448" t="str">
        <f>_xlfn.IFNA(VLOOKUP($BK917,Programma!$F$3:$N$1101,9,0),"")</f>
        <v/>
      </c>
      <c r="BT917" s="448" t="str">
        <f>_xlfn.IFNA(VLOOKUP($BK917,Programma!$F$3:$O$1101,10,0),"")</f>
        <v/>
      </c>
      <c r="BU917" s="448" t="str">
        <f>_xlfn.IFNA(VLOOKUP($BK917,Programma!$F$3:$P$1101,11,0),"")</f>
        <v/>
      </c>
      <c r="BV917" s="448" t="str">
        <f>_xlfn.IFNA(VLOOKUP($BK917,Programma!$F$3:$Q$1101,12,0),"")</f>
        <v/>
      </c>
      <c r="BW917" s="448" t="str">
        <f>_xlfn.IFNA(VLOOKUP($BK917,Programma!$F$3:$R$1101,13,0),"")</f>
        <v/>
      </c>
      <c r="BX917" s="448" t="str">
        <f>_xlfn.IFNA(VLOOKUP($BK917,Programma!$F$3:$S$1101,14,0),"")</f>
        <v/>
      </c>
      <c r="BY917" s="448" t="str">
        <f>_xlfn.IFNA(VLOOKUP($BK917,Programma!$F$3:$T$1101,15,0),"")</f>
        <v/>
      </c>
      <c r="BZ917" s="448" t="str">
        <f>_xlfn.IFNA(VLOOKUP($BK917,Programma!$F$3:$U$1101,16,0),"")</f>
        <v/>
      </c>
      <c r="CA917" s="448" t="str">
        <f>_xlfn.IFNA(VLOOKUP($BK917,Programma!$F$3:$V$1101,17,0),"")</f>
        <v/>
      </c>
      <c r="CB917" s="448" t="str">
        <f>_xlfn.IFNA(VLOOKUP($BK917,Programma!$F$3:$W$1101,18,0),"")</f>
        <v/>
      </c>
      <c r="CC917" s="448" t="str">
        <f>_xlfn.IFNA(VLOOKUP($BK917,Programma!$F$3:$X$1101,19,0),"")</f>
        <v/>
      </c>
      <c r="CD917" s="448" t="str">
        <f>_xlfn.IFNA(VLOOKUP($BK917,Programma!$F$3:$Y$1101,20,0),"")</f>
        <v/>
      </c>
    </row>
    <row r="918" spans="1:82" ht="15" customHeight="1">
      <c r="A918" s="327">
        <v>25</v>
      </c>
      <c r="B918" s="435" t="str">
        <f>VLOOKUP(Ruimtestaat[[#This Row],[Code]],Locaties[[Code]:[Locatie]],2,FALSE)</f>
        <v>IKC De Piramide</v>
      </c>
      <c r="C918" s="435" t="str">
        <f>VLOOKUP(Ruimtestaat[[#This Row],[Code]],Locaties[[#All],[Code]:[Adres]],4,FALSE)</f>
        <v>Fivelingo 84</v>
      </c>
      <c r="D918" s="435" t="str">
        <f>VLOOKUP(Ruimtestaat[[#This Row],[Code]],Locaties[[#All],[Code]:[Postcode]],5,FALSE)</f>
        <v>2716 BG</v>
      </c>
      <c r="E918" s="435" t="str">
        <f>VLOOKUP(Ruimtestaat[[#This Row],[Code]],Locaties[#All],6,FALSE)</f>
        <v>Zoetermeer</v>
      </c>
      <c r="F918" s="450" t="s">
        <v>2059</v>
      </c>
      <c r="G918" s="330" t="s">
        <v>2074</v>
      </c>
      <c r="H918" s="330" t="s">
        <v>2080</v>
      </c>
      <c r="I918" s="450" t="s">
        <v>1679</v>
      </c>
      <c r="J918" s="330">
        <v>20</v>
      </c>
      <c r="K918" s="450" t="str">
        <f>VLOOKUP(Ruimtestaat[[#This Row],[Ruimte code]],Ruimtegroepen[[#All],[Code]:[Ruimte omschrijving]],2,FALSE)</f>
        <v>Niet in Onderhoud</v>
      </c>
      <c r="L918" s="434" t="s">
        <v>100</v>
      </c>
      <c r="M918" s="437" t="s">
        <v>1759</v>
      </c>
      <c r="N918" s="439"/>
      <c r="O918" s="439">
        <v>61</v>
      </c>
      <c r="P918" s="439"/>
      <c r="Q918" s="439"/>
      <c r="R918" s="440">
        <f>VLOOKUP(Ruimtestaat[[#This Row],[Ruimte code]],Ruimtegroepen[],4,FALSE)</f>
        <v>0</v>
      </c>
      <c r="S918" s="434"/>
      <c r="T918" s="434"/>
      <c r="U918" s="453">
        <f>IF(S918&gt;0,IF(RIGHT(Ruimtestaat[[#This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18" s="434">
        <f>IF(U918&gt;0,VLOOKUP($J918,Ruimtegroepen[],3,FALSE)*VLOOKUP($L918,Vloersoorten[],3,FALSE)*VLOOKUP($T918,Frequenties[],3,FALSE)*VLOOKUP($A918,Locaties[],3,FALSE),0)</f>
        <v>0</v>
      </c>
      <c r="W918" s="434">
        <f>Ruimtestaat[[#This Row],[Uitvoeringen werkdagen]]*Ruimtestaat[[#This Row],[Oppervlak (netto)]]</f>
        <v>0</v>
      </c>
      <c r="X918" s="441">
        <f>IF(V918&gt;0,Ruimtestaat[[#This Row],[Prest. (m2 /jaar) werkdagen]]/Ruimtestaat[[#This Row],[Norm (m2/uur) werkdagen]],0)</f>
        <v>0</v>
      </c>
      <c r="Y918" s="442">
        <f>Ruimtestaat[[#This Row],[Uitvoeringen werkdagen]]*Ruimtestaat[[#This Row],[Gedeeltelijk]]</f>
        <v>0</v>
      </c>
      <c r="Z918" s="443">
        <f>IF(U918&gt;0,Ruimtestaat[[#This Row],[Prest. (m2 / jaar) werkdagen gedeeld]]/Ruimtestaat[[#This Row],[Norm (m2/uur) werkdagen]],0)</f>
        <v>0</v>
      </c>
      <c r="AA918" s="441">
        <f>Ruimtestaat[[#This Row],[uren / jaar werkdagen gedeeld]]*Tariefsopbouw!$E$35</f>
        <v>0</v>
      </c>
      <c r="AB918" s="441">
        <f>Ruimtestaat[[#This Row],[Uitvoeringen werkdagen]]*Ruimtestaat[[#This Row],[BSO]]</f>
        <v>0</v>
      </c>
      <c r="AC918" s="443">
        <f>IF(U918&gt;0,Ruimtestaat[[#This Row],[Prest. (m2 / jaar) werkdagen BSO]]/Ruimtestaat[[#This Row],[Norm (m2/uur) werkdagen]],0)</f>
        <v>0</v>
      </c>
      <c r="AD918" s="443">
        <f>Ruimtestaat[[#This Row],[uren / jaar werkdagen BSO]]*Tariefsopbouw!$E$35</f>
        <v>0</v>
      </c>
      <c r="AE918" s="444">
        <f>Ruimtestaat[[#This Row],[uren / jaar werkdagen]]*Tariefsopbouw!$E$35</f>
        <v>0</v>
      </c>
      <c r="AF918" s="454"/>
      <c r="AG918" s="455">
        <f>IF(Ruimtestaat[[#This Row],[Frequentie weekend]]&gt;0,VALUE(LEFT(AF918,1))*S918,0)</f>
        <v>0</v>
      </c>
      <c r="AH918" s="455">
        <f>IF($AG918&gt;0,VLOOKUP($J918,Ruimtegroepen[],3,FALSE)*VLOOKUP($L918,Vloersoorten[],3,FALSE)*VLOOKUP($AF918,Frequenties[],3,FALSE)*VLOOKUP(#REF!,Locaties[],3,FALSE),0)</f>
        <v>0</v>
      </c>
      <c r="AI918" s="434">
        <f>Ruimtestaat[[#This Row],[Uitvoeringen weekend]]*Ruimtestaat[[#This Row],[Oppervlak (netto)]]</f>
        <v>0</v>
      </c>
      <c r="AJ918" s="434">
        <f>IF(AH918&gt;0,Ruimtestaat[[#This Row],[Prest. (m2 /jaar) weekend]]/Ruimtestaat[[#This Row],[Norm (m2/uur) weekend]],0)</f>
        <v>0</v>
      </c>
      <c r="AK918" s="444">
        <f>Ruimtestaat[[#This Row],[uren / jaar weekend]]*Tariefsopbouw!$D$40</f>
        <v>0</v>
      </c>
      <c r="AL918" s="441">
        <f>Ruimtestaat[[#This Row],[Prest. (m2 /jaar) weekend]]+Ruimtestaat[[#This Row],[Prest. (m2 /jaar) werkdagen]]</f>
        <v>0</v>
      </c>
      <c r="AM918" s="441">
        <f>Ruimtestaat[[#This Row],[uren / jaar weekend]]+Ruimtestaat[[#This Row],[uren / jaar werkdagen]]</f>
        <v>0</v>
      </c>
      <c r="AN918" s="446">
        <f>Ruimtestaat[[#This Row],[kosten / jaar weekend]]+Ruimtestaat[[#This Row],[kosten / jaar werkdagen]]</f>
        <v>0</v>
      </c>
      <c r="AO918" s="446"/>
      <c r="AP918" s="446" t="str">
        <f>IF(Ruimtestaat[[#This Row],[Frequentie werkdagen]]="","",_xlfn.CONCAT(Ruimtestaat[[#This Row],[Ruimte code]],"-",Ruimtestaat[[#This Row],[Frequentie werkdagen]]," ",Ruimtestaat[[#This Row],[Vloer code]]))</f>
        <v/>
      </c>
      <c r="AQ918" s="448" t="str">
        <f>_xlfn.IFNA(VLOOKUP($AP918,Programma!$F$3:$G$1101,2,0),"")</f>
        <v/>
      </c>
      <c r="AR918" s="448" t="str">
        <f>_xlfn.IFNA(VLOOKUP($AP918,Programma!$F$3:$H$1101,3,0),"")</f>
        <v/>
      </c>
      <c r="AS918" s="448" t="str">
        <f>_xlfn.IFNA(VLOOKUP($AP918,Programma!$F$3:$I$1101,4,0),"")</f>
        <v/>
      </c>
      <c r="AT918" s="448" t="str">
        <f>_xlfn.IFNA(VLOOKUP($AP918,Programma!$F$3:$J$1101,5,0),"")</f>
        <v/>
      </c>
      <c r="AU918" s="448" t="str">
        <f>_xlfn.IFNA(VLOOKUP($AP918,Programma!$F$3:$K$1101,6,0),"")</f>
        <v/>
      </c>
      <c r="AV918" s="448" t="str">
        <f>_xlfn.IFNA(VLOOKUP($AP918,Programma!$F$3:$L$1101,7,0),"")</f>
        <v/>
      </c>
      <c r="AW918" s="448" t="str">
        <f>_xlfn.IFNA(VLOOKUP($AP918,Programma!$F$3:$M$1101,8,0),"")</f>
        <v/>
      </c>
      <c r="AX918" s="448" t="str">
        <f>_xlfn.IFNA(VLOOKUP($AP918,Programma!$F$3:$N$1101,9,0),"")</f>
        <v/>
      </c>
      <c r="AY918" s="448" t="str">
        <f>_xlfn.IFNA(VLOOKUP($AP918,Programma!$F$3:$O$1101,10,0),"")</f>
        <v/>
      </c>
      <c r="AZ918" s="448" t="str">
        <f>_xlfn.IFNA(VLOOKUP($AP918,Programma!$F$3:$P$1101,11,0),"")</f>
        <v/>
      </c>
      <c r="BA918" s="448" t="str">
        <f>_xlfn.IFNA(VLOOKUP($AP918,Programma!$F$3:$Q$1101,12,0),"")</f>
        <v/>
      </c>
      <c r="BB918" s="448" t="str">
        <f>_xlfn.IFNA(VLOOKUP($AP918,Programma!$F$3:$R$1101,13,0),"")</f>
        <v/>
      </c>
      <c r="BC918" s="448" t="str">
        <f>_xlfn.IFNA(VLOOKUP($AP918,Programma!$F$3:$S$1101,14,0),"")</f>
        <v/>
      </c>
      <c r="BD918" s="448" t="str">
        <f>_xlfn.IFNA(VLOOKUP($AP918,Programma!$F$3:$T$1101,15,0),"")</f>
        <v/>
      </c>
      <c r="BE918" s="448" t="str">
        <f>_xlfn.IFNA(VLOOKUP($AP918,Programma!$F$3:$U$1101,16,0),"")</f>
        <v/>
      </c>
      <c r="BF918" s="448" t="str">
        <f>_xlfn.IFNA(VLOOKUP($AP918,Programma!$F$3:$V$1101,17,0),"")</f>
        <v/>
      </c>
      <c r="BG918" s="448" t="str">
        <f>_xlfn.IFNA(VLOOKUP($AP918,Programma!$F$3:$W$1101,18,0),"")</f>
        <v/>
      </c>
      <c r="BH918" s="448" t="str">
        <f>_xlfn.IFNA(VLOOKUP($AP918,Programma!$F$3:$X$1101,19,0),"")</f>
        <v/>
      </c>
      <c r="BI918" s="448" t="str">
        <f>_xlfn.IFNA(VLOOKUP($AP918,Programma!$F$3:$Y$1101,20,0),"")</f>
        <v/>
      </c>
      <c r="BJ918" s="449"/>
      <c r="BK918" s="446" t="str">
        <f>IF(Ruimtestaat[[#This Row],[Frequentie weekend]]="","",_xlfn.CONCAT(Ruimtestaat[[#This Row],[Ruimte code]],"-",Ruimtestaat[[#This Row],[Frequentie weekend]]," ",Ruimtestaat[[#This Row],[Vloer code]]))</f>
        <v/>
      </c>
      <c r="BL918" s="448" t="str">
        <f>_xlfn.IFNA(VLOOKUP($BK918,Programma!$F$3:$G$1101,2,0),"")</f>
        <v/>
      </c>
      <c r="BM918" s="448" t="str">
        <f>_xlfn.IFNA(VLOOKUP($BK918,Programma!$F$3:$H$1101,3,0),"")</f>
        <v/>
      </c>
      <c r="BN918" s="448" t="str">
        <f>_xlfn.IFNA(VLOOKUP($BK918,Programma!$F$3:$I$1101,4,0),"")</f>
        <v/>
      </c>
      <c r="BO918" s="448" t="str">
        <f>_xlfn.IFNA(VLOOKUP($BK918,Programma!$F$3:$J$1101,5,0),"")</f>
        <v/>
      </c>
      <c r="BP918" s="448" t="str">
        <f>_xlfn.IFNA(VLOOKUP($BK918,Programma!$F$3:$K$1101,6,0),"")</f>
        <v/>
      </c>
      <c r="BQ918" s="448" t="str">
        <f>_xlfn.IFNA(VLOOKUP($BK918,Programma!$F$3:$L$1101,7,0),"")</f>
        <v/>
      </c>
      <c r="BR918" s="448" t="str">
        <f>_xlfn.IFNA(VLOOKUP($BK918,Programma!$F$3:$M$1101,8,0),"")</f>
        <v/>
      </c>
      <c r="BS918" s="448" t="str">
        <f>_xlfn.IFNA(VLOOKUP($BK918,Programma!$F$3:$N$1101,9,0),"")</f>
        <v/>
      </c>
      <c r="BT918" s="448" t="str">
        <f>_xlfn.IFNA(VLOOKUP($BK918,Programma!$F$3:$O$1101,10,0),"")</f>
        <v/>
      </c>
      <c r="BU918" s="448" t="str">
        <f>_xlfn.IFNA(VLOOKUP($BK918,Programma!$F$3:$P$1101,11,0),"")</f>
        <v/>
      </c>
      <c r="BV918" s="448" t="str">
        <f>_xlfn.IFNA(VLOOKUP($BK918,Programma!$F$3:$Q$1101,12,0),"")</f>
        <v/>
      </c>
      <c r="BW918" s="448" t="str">
        <f>_xlfn.IFNA(VLOOKUP($BK918,Programma!$F$3:$R$1101,13,0),"")</f>
        <v/>
      </c>
      <c r="BX918" s="448" t="str">
        <f>_xlfn.IFNA(VLOOKUP($BK918,Programma!$F$3:$S$1101,14,0),"")</f>
        <v/>
      </c>
      <c r="BY918" s="448" t="str">
        <f>_xlfn.IFNA(VLOOKUP($BK918,Programma!$F$3:$T$1101,15,0),"")</f>
        <v/>
      </c>
      <c r="BZ918" s="448" t="str">
        <f>_xlfn.IFNA(VLOOKUP($BK918,Programma!$F$3:$U$1101,16,0),"")</f>
        <v/>
      </c>
      <c r="CA918" s="448" t="str">
        <f>_xlfn.IFNA(VLOOKUP($BK918,Programma!$F$3:$V$1101,17,0),"")</f>
        <v/>
      </c>
      <c r="CB918" s="448" t="str">
        <f>_xlfn.IFNA(VLOOKUP($BK918,Programma!$F$3:$W$1101,18,0),"")</f>
        <v/>
      </c>
      <c r="CC918" s="448" t="str">
        <f>_xlfn.IFNA(VLOOKUP($BK918,Programma!$F$3:$X$1101,19,0),"")</f>
        <v/>
      </c>
      <c r="CD918" s="448" t="str">
        <f>_xlfn.IFNA(VLOOKUP($BK918,Programma!$F$3:$Y$1101,20,0),"")</f>
        <v/>
      </c>
    </row>
    <row r="919" spans="1:82" ht="15" customHeight="1">
      <c r="A919" s="327">
        <v>25</v>
      </c>
      <c r="B919" s="435" t="str">
        <f>VLOOKUP(Ruimtestaat[[#This Row],[Code]],Locaties[[Code]:[Locatie]],2,FALSE)</f>
        <v>IKC De Piramide</v>
      </c>
      <c r="C919" s="435" t="str">
        <f>VLOOKUP(Ruimtestaat[[#This Row],[Code]],Locaties[[#All],[Code]:[Adres]],4,FALSE)</f>
        <v>Fivelingo 84</v>
      </c>
      <c r="D919" s="435" t="str">
        <f>VLOOKUP(Ruimtestaat[[#This Row],[Code]],Locaties[[#All],[Code]:[Postcode]],5,FALSE)</f>
        <v>2716 BG</v>
      </c>
      <c r="E919" s="435" t="str">
        <f>VLOOKUP(Ruimtestaat[[#This Row],[Code]],Locaties[#All],6,FALSE)</f>
        <v>Zoetermeer</v>
      </c>
      <c r="F919" s="450" t="s">
        <v>2059</v>
      </c>
      <c r="G919" s="330" t="s">
        <v>2074</v>
      </c>
      <c r="H919" s="330" t="s">
        <v>2081</v>
      </c>
      <c r="I919" s="450" t="s">
        <v>1901</v>
      </c>
      <c r="J919" s="330">
        <v>20</v>
      </c>
      <c r="K919" s="450" t="str">
        <f>VLOOKUP(Ruimtestaat[[#This Row],[Ruimte code]],Ruimtegroepen[[#All],[Code]:[Ruimte omschrijving]],2,FALSE)</f>
        <v>Niet in Onderhoud</v>
      </c>
      <c r="L919" s="434" t="s">
        <v>100</v>
      </c>
      <c r="M919" s="437" t="s">
        <v>1759</v>
      </c>
      <c r="N919" s="439"/>
      <c r="O919" s="439">
        <v>21</v>
      </c>
      <c r="P919" s="439"/>
      <c r="Q919" s="439"/>
      <c r="R919" s="440">
        <f>VLOOKUP(Ruimtestaat[[#This Row],[Ruimte code]],Ruimtegroepen[],4,FALSE)</f>
        <v>0</v>
      </c>
      <c r="S919" s="434"/>
      <c r="T919" s="434"/>
      <c r="U919" s="453">
        <f>IF(S919&gt;0,IF(RIGHT(Ruimtestaat[[#This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19" s="434">
        <f>IF(U919&gt;0,VLOOKUP($J919,Ruimtegroepen[],3,FALSE)*VLOOKUP($L919,Vloersoorten[],3,FALSE)*VLOOKUP($T919,Frequenties[],3,FALSE)*VLOOKUP($A919,Locaties[],3,FALSE),0)</f>
        <v>0</v>
      </c>
      <c r="W919" s="434">
        <f>Ruimtestaat[[#This Row],[Uitvoeringen werkdagen]]*Ruimtestaat[[#This Row],[Oppervlak (netto)]]</f>
        <v>0</v>
      </c>
      <c r="X919" s="441">
        <f>IF(V919&gt;0,Ruimtestaat[[#This Row],[Prest. (m2 /jaar) werkdagen]]/Ruimtestaat[[#This Row],[Norm (m2/uur) werkdagen]],0)</f>
        <v>0</v>
      </c>
      <c r="Y919" s="442">
        <f>Ruimtestaat[[#This Row],[Uitvoeringen werkdagen]]*Ruimtestaat[[#This Row],[Gedeeltelijk]]</f>
        <v>0</v>
      </c>
      <c r="Z919" s="443">
        <f>IF(U919&gt;0,Ruimtestaat[[#This Row],[Prest. (m2 / jaar) werkdagen gedeeld]]/Ruimtestaat[[#This Row],[Norm (m2/uur) werkdagen]],0)</f>
        <v>0</v>
      </c>
      <c r="AA919" s="441">
        <f>Ruimtestaat[[#This Row],[uren / jaar werkdagen gedeeld]]*Tariefsopbouw!$E$35</f>
        <v>0</v>
      </c>
      <c r="AB919" s="441">
        <f>Ruimtestaat[[#This Row],[Uitvoeringen werkdagen]]*Ruimtestaat[[#This Row],[BSO]]</f>
        <v>0</v>
      </c>
      <c r="AC919" s="443">
        <f>IF(U919&gt;0,Ruimtestaat[[#This Row],[Prest. (m2 / jaar) werkdagen BSO]]/Ruimtestaat[[#This Row],[Norm (m2/uur) werkdagen]],0)</f>
        <v>0</v>
      </c>
      <c r="AD919" s="443">
        <f>Ruimtestaat[[#This Row],[uren / jaar werkdagen BSO]]*Tariefsopbouw!$E$35</f>
        <v>0</v>
      </c>
      <c r="AE919" s="444">
        <f>Ruimtestaat[[#This Row],[uren / jaar werkdagen]]*Tariefsopbouw!$E$35</f>
        <v>0</v>
      </c>
      <c r="AF919" s="454"/>
      <c r="AG919" s="455">
        <f>IF(Ruimtestaat[[#This Row],[Frequentie weekend]]&gt;0,VALUE(LEFT(AF919,1))*S919,0)</f>
        <v>0</v>
      </c>
      <c r="AH919" s="455">
        <f>IF($AG919&gt;0,VLOOKUP($J919,Ruimtegroepen[],3,FALSE)*VLOOKUP($L919,Vloersoorten[],3,FALSE)*VLOOKUP($AF919,Frequenties[],3,FALSE)*VLOOKUP(#REF!,Locaties[],3,FALSE),0)</f>
        <v>0</v>
      </c>
      <c r="AI919" s="434">
        <f>Ruimtestaat[[#This Row],[Uitvoeringen weekend]]*Ruimtestaat[[#This Row],[Oppervlak (netto)]]</f>
        <v>0</v>
      </c>
      <c r="AJ919" s="434">
        <f>IF(AH919&gt;0,Ruimtestaat[[#This Row],[Prest. (m2 /jaar) weekend]]/Ruimtestaat[[#This Row],[Norm (m2/uur) weekend]],0)</f>
        <v>0</v>
      </c>
      <c r="AK919" s="444">
        <f>Ruimtestaat[[#This Row],[uren / jaar weekend]]*Tariefsopbouw!$D$40</f>
        <v>0</v>
      </c>
      <c r="AL919" s="441">
        <f>Ruimtestaat[[#This Row],[Prest. (m2 /jaar) weekend]]+Ruimtestaat[[#This Row],[Prest. (m2 /jaar) werkdagen]]</f>
        <v>0</v>
      </c>
      <c r="AM919" s="441">
        <f>Ruimtestaat[[#This Row],[uren / jaar weekend]]+Ruimtestaat[[#This Row],[uren / jaar werkdagen]]</f>
        <v>0</v>
      </c>
      <c r="AN919" s="446">
        <f>Ruimtestaat[[#This Row],[kosten / jaar weekend]]+Ruimtestaat[[#This Row],[kosten / jaar werkdagen]]</f>
        <v>0</v>
      </c>
      <c r="AO919" s="446"/>
      <c r="AP919" s="446" t="str">
        <f>IF(Ruimtestaat[[#This Row],[Frequentie werkdagen]]="","",_xlfn.CONCAT(Ruimtestaat[[#This Row],[Ruimte code]],"-",Ruimtestaat[[#This Row],[Frequentie werkdagen]]," ",Ruimtestaat[[#This Row],[Vloer code]]))</f>
        <v/>
      </c>
      <c r="AQ919" s="448" t="str">
        <f>_xlfn.IFNA(VLOOKUP($AP919,Programma!$F$3:$G$1101,2,0),"")</f>
        <v/>
      </c>
      <c r="AR919" s="448" t="str">
        <f>_xlfn.IFNA(VLOOKUP($AP919,Programma!$F$3:$H$1101,3,0),"")</f>
        <v/>
      </c>
      <c r="AS919" s="448" t="str">
        <f>_xlfn.IFNA(VLOOKUP($AP919,Programma!$F$3:$I$1101,4,0),"")</f>
        <v/>
      </c>
      <c r="AT919" s="448" t="str">
        <f>_xlfn.IFNA(VLOOKUP($AP919,Programma!$F$3:$J$1101,5,0),"")</f>
        <v/>
      </c>
      <c r="AU919" s="448" t="str">
        <f>_xlfn.IFNA(VLOOKUP($AP919,Programma!$F$3:$K$1101,6,0),"")</f>
        <v/>
      </c>
      <c r="AV919" s="448" t="str">
        <f>_xlfn.IFNA(VLOOKUP($AP919,Programma!$F$3:$L$1101,7,0),"")</f>
        <v/>
      </c>
      <c r="AW919" s="448" t="str">
        <f>_xlfn.IFNA(VLOOKUP($AP919,Programma!$F$3:$M$1101,8,0),"")</f>
        <v/>
      </c>
      <c r="AX919" s="448" t="str">
        <f>_xlfn.IFNA(VLOOKUP($AP919,Programma!$F$3:$N$1101,9,0),"")</f>
        <v/>
      </c>
      <c r="AY919" s="448" t="str">
        <f>_xlfn.IFNA(VLOOKUP($AP919,Programma!$F$3:$O$1101,10,0),"")</f>
        <v/>
      </c>
      <c r="AZ919" s="448" t="str">
        <f>_xlfn.IFNA(VLOOKUP($AP919,Programma!$F$3:$P$1101,11,0),"")</f>
        <v/>
      </c>
      <c r="BA919" s="448" t="str">
        <f>_xlfn.IFNA(VLOOKUP($AP919,Programma!$F$3:$Q$1101,12,0),"")</f>
        <v/>
      </c>
      <c r="BB919" s="448" t="str">
        <f>_xlfn.IFNA(VLOOKUP($AP919,Programma!$F$3:$R$1101,13,0),"")</f>
        <v/>
      </c>
      <c r="BC919" s="448" t="str">
        <f>_xlfn.IFNA(VLOOKUP($AP919,Programma!$F$3:$S$1101,14,0),"")</f>
        <v/>
      </c>
      <c r="BD919" s="448" t="str">
        <f>_xlfn.IFNA(VLOOKUP($AP919,Programma!$F$3:$T$1101,15,0),"")</f>
        <v/>
      </c>
      <c r="BE919" s="448" t="str">
        <f>_xlfn.IFNA(VLOOKUP($AP919,Programma!$F$3:$U$1101,16,0),"")</f>
        <v/>
      </c>
      <c r="BF919" s="448" t="str">
        <f>_xlfn.IFNA(VLOOKUP($AP919,Programma!$F$3:$V$1101,17,0),"")</f>
        <v/>
      </c>
      <c r="BG919" s="448" t="str">
        <f>_xlfn.IFNA(VLOOKUP($AP919,Programma!$F$3:$W$1101,18,0),"")</f>
        <v/>
      </c>
      <c r="BH919" s="448" t="str">
        <f>_xlfn.IFNA(VLOOKUP($AP919,Programma!$F$3:$X$1101,19,0),"")</f>
        <v/>
      </c>
      <c r="BI919" s="448" t="str">
        <f>_xlfn.IFNA(VLOOKUP($AP919,Programma!$F$3:$Y$1101,20,0),"")</f>
        <v/>
      </c>
      <c r="BJ919" s="449"/>
      <c r="BK919" s="446" t="str">
        <f>IF(Ruimtestaat[[#This Row],[Frequentie weekend]]="","",_xlfn.CONCAT(Ruimtestaat[[#This Row],[Ruimte code]],"-",Ruimtestaat[[#This Row],[Frequentie weekend]]," ",Ruimtestaat[[#This Row],[Vloer code]]))</f>
        <v/>
      </c>
      <c r="BL919" s="448" t="str">
        <f>_xlfn.IFNA(VLOOKUP($BK919,Programma!$F$3:$G$1101,2,0),"")</f>
        <v/>
      </c>
      <c r="BM919" s="448" t="str">
        <f>_xlfn.IFNA(VLOOKUP($BK919,Programma!$F$3:$H$1101,3,0),"")</f>
        <v/>
      </c>
      <c r="BN919" s="448" t="str">
        <f>_xlfn.IFNA(VLOOKUP($BK919,Programma!$F$3:$I$1101,4,0),"")</f>
        <v/>
      </c>
      <c r="BO919" s="448" t="str">
        <f>_xlfn.IFNA(VLOOKUP($BK919,Programma!$F$3:$J$1101,5,0),"")</f>
        <v/>
      </c>
      <c r="BP919" s="448" t="str">
        <f>_xlfn.IFNA(VLOOKUP($BK919,Programma!$F$3:$K$1101,6,0),"")</f>
        <v/>
      </c>
      <c r="BQ919" s="448" t="str">
        <f>_xlfn.IFNA(VLOOKUP($BK919,Programma!$F$3:$L$1101,7,0),"")</f>
        <v/>
      </c>
      <c r="BR919" s="448" t="str">
        <f>_xlfn.IFNA(VLOOKUP($BK919,Programma!$F$3:$M$1101,8,0),"")</f>
        <v/>
      </c>
      <c r="BS919" s="448" t="str">
        <f>_xlfn.IFNA(VLOOKUP($BK919,Programma!$F$3:$N$1101,9,0),"")</f>
        <v/>
      </c>
      <c r="BT919" s="448" t="str">
        <f>_xlfn.IFNA(VLOOKUP($BK919,Programma!$F$3:$O$1101,10,0),"")</f>
        <v/>
      </c>
      <c r="BU919" s="448" t="str">
        <f>_xlfn.IFNA(VLOOKUP($BK919,Programma!$F$3:$P$1101,11,0),"")</f>
        <v/>
      </c>
      <c r="BV919" s="448" t="str">
        <f>_xlfn.IFNA(VLOOKUP($BK919,Programma!$F$3:$Q$1101,12,0),"")</f>
        <v/>
      </c>
      <c r="BW919" s="448" t="str">
        <f>_xlfn.IFNA(VLOOKUP($BK919,Programma!$F$3:$R$1101,13,0),"")</f>
        <v/>
      </c>
      <c r="BX919" s="448" t="str">
        <f>_xlfn.IFNA(VLOOKUP($BK919,Programma!$F$3:$S$1101,14,0),"")</f>
        <v/>
      </c>
      <c r="BY919" s="448" t="str">
        <f>_xlfn.IFNA(VLOOKUP($BK919,Programma!$F$3:$T$1101,15,0),"")</f>
        <v/>
      </c>
      <c r="BZ919" s="448" t="str">
        <f>_xlfn.IFNA(VLOOKUP($BK919,Programma!$F$3:$U$1101,16,0),"")</f>
        <v/>
      </c>
      <c r="CA919" s="448" t="str">
        <f>_xlfn.IFNA(VLOOKUP($BK919,Programma!$F$3:$V$1101,17,0),"")</f>
        <v/>
      </c>
      <c r="CB919" s="448" t="str">
        <f>_xlfn.IFNA(VLOOKUP($BK919,Programma!$F$3:$W$1101,18,0),"")</f>
        <v/>
      </c>
      <c r="CC919" s="448" t="str">
        <f>_xlfn.IFNA(VLOOKUP($BK919,Programma!$F$3:$X$1101,19,0),"")</f>
        <v/>
      </c>
      <c r="CD919" s="448" t="str">
        <f>_xlfn.IFNA(VLOOKUP($BK919,Programma!$F$3:$Y$1101,20,0),"")</f>
        <v/>
      </c>
    </row>
    <row r="920" spans="1:82" ht="15" customHeight="1">
      <c r="A920" s="327">
        <v>25</v>
      </c>
      <c r="B920" s="435" t="str">
        <f>VLOOKUP(Ruimtestaat[[#This Row],[Code]],Locaties[[Code]:[Locatie]],2,FALSE)</f>
        <v>IKC De Piramide</v>
      </c>
      <c r="C920" s="435" t="str">
        <f>VLOOKUP(Ruimtestaat[[#This Row],[Code]],Locaties[[#All],[Code]:[Adres]],4,FALSE)</f>
        <v>Fivelingo 84</v>
      </c>
      <c r="D920" s="435" t="str">
        <f>VLOOKUP(Ruimtestaat[[#This Row],[Code]],Locaties[[#All],[Code]:[Postcode]],5,FALSE)</f>
        <v>2716 BG</v>
      </c>
      <c r="E920" s="435" t="str">
        <f>VLOOKUP(Ruimtestaat[[#This Row],[Code]],Locaties[#All],6,FALSE)</f>
        <v>Zoetermeer</v>
      </c>
      <c r="F920" s="450" t="s">
        <v>2059</v>
      </c>
      <c r="G920" s="330" t="s">
        <v>2074</v>
      </c>
      <c r="H920" s="330" t="s">
        <v>2082</v>
      </c>
      <c r="I920" s="450" t="s">
        <v>1679</v>
      </c>
      <c r="J920" s="330">
        <v>20</v>
      </c>
      <c r="K920" s="450" t="str">
        <f>VLOOKUP(Ruimtestaat[[#This Row],[Ruimte code]],Ruimtegroepen[[#All],[Code]:[Ruimte omschrijving]],2,FALSE)</f>
        <v>Niet in Onderhoud</v>
      </c>
      <c r="L920" s="434" t="s">
        <v>100</v>
      </c>
      <c r="M920" s="437" t="s">
        <v>1759</v>
      </c>
      <c r="N920" s="439"/>
      <c r="O920" s="439">
        <v>61</v>
      </c>
      <c r="P920" s="439"/>
      <c r="Q920" s="439"/>
      <c r="R920" s="440">
        <f>VLOOKUP(Ruimtestaat[[#This Row],[Ruimte code]],Ruimtegroepen[],4,FALSE)</f>
        <v>0</v>
      </c>
      <c r="S920" s="434"/>
      <c r="T920" s="434"/>
      <c r="U920" s="453">
        <f>IF(S920&gt;0,IF(RIGHT(Ruimtestaat[[#This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20" s="434">
        <f>IF(U920&gt;0,VLOOKUP($J920,Ruimtegroepen[],3,FALSE)*VLOOKUP($L920,Vloersoorten[],3,FALSE)*VLOOKUP($T920,Frequenties[],3,FALSE)*VLOOKUP($A920,Locaties[],3,FALSE),0)</f>
        <v>0</v>
      </c>
      <c r="W920" s="434">
        <f>Ruimtestaat[[#This Row],[Uitvoeringen werkdagen]]*Ruimtestaat[[#This Row],[Oppervlak (netto)]]</f>
        <v>0</v>
      </c>
      <c r="X920" s="441">
        <f>IF(V920&gt;0,Ruimtestaat[[#This Row],[Prest. (m2 /jaar) werkdagen]]/Ruimtestaat[[#This Row],[Norm (m2/uur) werkdagen]],0)</f>
        <v>0</v>
      </c>
      <c r="Y920" s="442">
        <f>Ruimtestaat[[#This Row],[Uitvoeringen werkdagen]]*Ruimtestaat[[#This Row],[Gedeeltelijk]]</f>
        <v>0</v>
      </c>
      <c r="Z920" s="443">
        <f>IF(U920&gt;0,Ruimtestaat[[#This Row],[Prest. (m2 / jaar) werkdagen gedeeld]]/Ruimtestaat[[#This Row],[Norm (m2/uur) werkdagen]],0)</f>
        <v>0</v>
      </c>
      <c r="AA920" s="441">
        <f>Ruimtestaat[[#This Row],[uren / jaar werkdagen gedeeld]]*Tariefsopbouw!$E$35</f>
        <v>0</v>
      </c>
      <c r="AB920" s="441">
        <f>Ruimtestaat[[#This Row],[Uitvoeringen werkdagen]]*Ruimtestaat[[#This Row],[BSO]]</f>
        <v>0</v>
      </c>
      <c r="AC920" s="443">
        <f>IF(U920&gt;0,Ruimtestaat[[#This Row],[Prest. (m2 / jaar) werkdagen BSO]]/Ruimtestaat[[#This Row],[Norm (m2/uur) werkdagen]],0)</f>
        <v>0</v>
      </c>
      <c r="AD920" s="443">
        <f>Ruimtestaat[[#This Row],[uren / jaar werkdagen BSO]]*Tariefsopbouw!$E$35</f>
        <v>0</v>
      </c>
      <c r="AE920" s="444">
        <f>Ruimtestaat[[#This Row],[uren / jaar werkdagen]]*Tariefsopbouw!$E$35</f>
        <v>0</v>
      </c>
      <c r="AF920" s="454"/>
      <c r="AG920" s="455">
        <f>IF(Ruimtestaat[[#This Row],[Frequentie weekend]]&gt;0,VALUE(LEFT(AF920,1))*S920,0)</f>
        <v>0</v>
      </c>
      <c r="AH920" s="455">
        <f>IF($AG920&gt;0,VLOOKUP($J920,Ruimtegroepen[],3,FALSE)*VLOOKUP($L920,Vloersoorten[],3,FALSE)*VLOOKUP($AF920,Frequenties[],3,FALSE)*VLOOKUP(#REF!,Locaties[],3,FALSE),0)</f>
        <v>0</v>
      </c>
      <c r="AI920" s="434">
        <f>Ruimtestaat[[#This Row],[Uitvoeringen weekend]]*Ruimtestaat[[#This Row],[Oppervlak (netto)]]</f>
        <v>0</v>
      </c>
      <c r="AJ920" s="434">
        <f>IF(AH920&gt;0,Ruimtestaat[[#This Row],[Prest. (m2 /jaar) weekend]]/Ruimtestaat[[#This Row],[Norm (m2/uur) weekend]],0)</f>
        <v>0</v>
      </c>
      <c r="AK920" s="444">
        <f>Ruimtestaat[[#This Row],[uren / jaar weekend]]*Tariefsopbouw!$D$40</f>
        <v>0</v>
      </c>
      <c r="AL920" s="441">
        <f>Ruimtestaat[[#This Row],[Prest. (m2 /jaar) weekend]]+Ruimtestaat[[#This Row],[Prest. (m2 /jaar) werkdagen]]</f>
        <v>0</v>
      </c>
      <c r="AM920" s="441">
        <f>Ruimtestaat[[#This Row],[uren / jaar weekend]]+Ruimtestaat[[#This Row],[uren / jaar werkdagen]]</f>
        <v>0</v>
      </c>
      <c r="AN920" s="446">
        <f>Ruimtestaat[[#This Row],[kosten / jaar weekend]]+Ruimtestaat[[#This Row],[kosten / jaar werkdagen]]</f>
        <v>0</v>
      </c>
      <c r="AO920" s="446"/>
      <c r="AP920" s="446" t="str">
        <f>IF(Ruimtestaat[[#This Row],[Frequentie werkdagen]]="","",_xlfn.CONCAT(Ruimtestaat[[#This Row],[Ruimte code]],"-",Ruimtestaat[[#This Row],[Frequentie werkdagen]]," ",Ruimtestaat[[#This Row],[Vloer code]]))</f>
        <v/>
      </c>
      <c r="AQ920" s="448" t="str">
        <f>_xlfn.IFNA(VLOOKUP($AP920,Programma!$F$3:$G$1101,2,0),"")</f>
        <v/>
      </c>
      <c r="AR920" s="448" t="str">
        <f>_xlfn.IFNA(VLOOKUP($AP920,Programma!$F$3:$H$1101,3,0),"")</f>
        <v/>
      </c>
      <c r="AS920" s="448" t="str">
        <f>_xlfn.IFNA(VLOOKUP($AP920,Programma!$F$3:$I$1101,4,0),"")</f>
        <v/>
      </c>
      <c r="AT920" s="448" t="str">
        <f>_xlfn.IFNA(VLOOKUP($AP920,Programma!$F$3:$J$1101,5,0),"")</f>
        <v/>
      </c>
      <c r="AU920" s="448" t="str">
        <f>_xlfn.IFNA(VLOOKUP($AP920,Programma!$F$3:$K$1101,6,0),"")</f>
        <v/>
      </c>
      <c r="AV920" s="448" t="str">
        <f>_xlfn.IFNA(VLOOKUP($AP920,Programma!$F$3:$L$1101,7,0),"")</f>
        <v/>
      </c>
      <c r="AW920" s="448" t="str">
        <f>_xlfn.IFNA(VLOOKUP($AP920,Programma!$F$3:$M$1101,8,0),"")</f>
        <v/>
      </c>
      <c r="AX920" s="448" t="str">
        <f>_xlfn.IFNA(VLOOKUP($AP920,Programma!$F$3:$N$1101,9,0),"")</f>
        <v/>
      </c>
      <c r="AY920" s="448" t="str">
        <f>_xlfn.IFNA(VLOOKUP($AP920,Programma!$F$3:$O$1101,10,0),"")</f>
        <v/>
      </c>
      <c r="AZ920" s="448" t="str">
        <f>_xlfn.IFNA(VLOOKUP($AP920,Programma!$F$3:$P$1101,11,0),"")</f>
        <v/>
      </c>
      <c r="BA920" s="448" t="str">
        <f>_xlfn.IFNA(VLOOKUP($AP920,Programma!$F$3:$Q$1101,12,0),"")</f>
        <v/>
      </c>
      <c r="BB920" s="448" t="str">
        <f>_xlfn.IFNA(VLOOKUP($AP920,Programma!$F$3:$R$1101,13,0),"")</f>
        <v/>
      </c>
      <c r="BC920" s="448" t="str">
        <f>_xlfn.IFNA(VLOOKUP($AP920,Programma!$F$3:$S$1101,14,0),"")</f>
        <v/>
      </c>
      <c r="BD920" s="448" t="str">
        <f>_xlfn.IFNA(VLOOKUP($AP920,Programma!$F$3:$T$1101,15,0),"")</f>
        <v/>
      </c>
      <c r="BE920" s="448" t="str">
        <f>_xlfn.IFNA(VLOOKUP($AP920,Programma!$F$3:$U$1101,16,0),"")</f>
        <v/>
      </c>
      <c r="BF920" s="448" t="str">
        <f>_xlfn.IFNA(VLOOKUP($AP920,Programma!$F$3:$V$1101,17,0),"")</f>
        <v/>
      </c>
      <c r="BG920" s="448" t="str">
        <f>_xlfn.IFNA(VLOOKUP($AP920,Programma!$F$3:$W$1101,18,0),"")</f>
        <v/>
      </c>
      <c r="BH920" s="448" t="str">
        <f>_xlfn.IFNA(VLOOKUP($AP920,Programma!$F$3:$X$1101,19,0),"")</f>
        <v/>
      </c>
      <c r="BI920" s="448" t="str">
        <f>_xlfn.IFNA(VLOOKUP($AP920,Programma!$F$3:$Y$1101,20,0),"")</f>
        <v/>
      </c>
      <c r="BJ920" s="449"/>
      <c r="BK920" s="446" t="str">
        <f>IF(Ruimtestaat[[#This Row],[Frequentie weekend]]="","",_xlfn.CONCAT(Ruimtestaat[[#This Row],[Ruimte code]],"-",Ruimtestaat[[#This Row],[Frequentie weekend]]," ",Ruimtestaat[[#This Row],[Vloer code]]))</f>
        <v/>
      </c>
      <c r="BL920" s="448" t="str">
        <f>_xlfn.IFNA(VLOOKUP($BK920,Programma!$F$3:$G$1101,2,0),"")</f>
        <v/>
      </c>
      <c r="BM920" s="448" t="str">
        <f>_xlfn.IFNA(VLOOKUP($BK920,Programma!$F$3:$H$1101,3,0),"")</f>
        <v/>
      </c>
      <c r="BN920" s="448" t="str">
        <f>_xlfn.IFNA(VLOOKUP($BK920,Programma!$F$3:$I$1101,4,0),"")</f>
        <v/>
      </c>
      <c r="BO920" s="448" t="str">
        <f>_xlfn.IFNA(VLOOKUP($BK920,Programma!$F$3:$J$1101,5,0),"")</f>
        <v/>
      </c>
      <c r="BP920" s="448" t="str">
        <f>_xlfn.IFNA(VLOOKUP($BK920,Programma!$F$3:$K$1101,6,0),"")</f>
        <v/>
      </c>
      <c r="BQ920" s="448" t="str">
        <f>_xlfn.IFNA(VLOOKUP($BK920,Programma!$F$3:$L$1101,7,0),"")</f>
        <v/>
      </c>
      <c r="BR920" s="448" t="str">
        <f>_xlfn.IFNA(VLOOKUP($BK920,Programma!$F$3:$M$1101,8,0),"")</f>
        <v/>
      </c>
      <c r="BS920" s="448" t="str">
        <f>_xlfn.IFNA(VLOOKUP($BK920,Programma!$F$3:$N$1101,9,0),"")</f>
        <v/>
      </c>
      <c r="BT920" s="448" t="str">
        <f>_xlfn.IFNA(VLOOKUP($BK920,Programma!$F$3:$O$1101,10,0),"")</f>
        <v/>
      </c>
      <c r="BU920" s="448" t="str">
        <f>_xlfn.IFNA(VLOOKUP($BK920,Programma!$F$3:$P$1101,11,0),"")</f>
        <v/>
      </c>
      <c r="BV920" s="448" t="str">
        <f>_xlfn.IFNA(VLOOKUP($BK920,Programma!$F$3:$Q$1101,12,0),"")</f>
        <v/>
      </c>
      <c r="BW920" s="448" t="str">
        <f>_xlfn.IFNA(VLOOKUP($BK920,Programma!$F$3:$R$1101,13,0),"")</f>
        <v/>
      </c>
      <c r="BX920" s="448" t="str">
        <f>_xlfn.IFNA(VLOOKUP($BK920,Programma!$F$3:$S$1101,14,0),"")</f>
        <v/>
      </c>
      <c r="BY920" s="448" t="str">
        <f>_xlfn.IFNA(VLOOKUP($BK920,Programma!$F$3:$T$1101,15,0),"")</f>
        <v/>
      </c>
      <c r="BZ920" s="448" t="str">
        <f>_xlfn.IFNA(VLOOKUP($BK920,Programma!$F$3:$U$1101,16,0),"")</f>
        <v/>
      </c>
      <c r="CA920" s="448" t="str">
        <f>_xlfn.IFNA(VLOOKUP($BK920,Programma!$F$3:$V$1101,17,0),"")</f>
        <v/>
      </c>
      <c r="CB920" s="448" t="str">
        <f>_xlfn.IFNA(VLOOKUP($BK920,Programma!$F$3:$W$1101,18,0),"")</f>
        <v/>
      </c>
      <c r="CC920" s="448" t="str">
        <f>_xlfn.IFNA(VLOOKUP($BK920,Programma!$F$3:$X$1101,19,0),"")</f>
        <v/>
      </c>
      <c r="CD920" s="448" t="str">
        <f>_xlfn.IFNA(VLOOKUP($BK920,Programma!$F$3:$Y$1101,20,0),"")</f>
        <v/>
      </c>
    </row>
    <row r="921" spans="1:82" ht="15" customHeight="1">
      <c r="A921" s="327">
        <v>25</v>
      </c>
      <c r="B921" s="435" t="str">
        <f>VLOOKUP(Ruimtestaat[[#This Row],[Code]],Locaties[[Code]:[Locatie]],2,FALSE)</f>
        <v>IKC De Piramide</v>
      </c>
      <c r="C921" s="435" t="str">
        <f>VLOOKUP(Ruimtestaat[[#This Row],[Code]],Locaties[[#All],[Code]:[Adres]],4,FALSE)</f>
        <v>Fivelingo 84</v>
      </c>
      <c r="D921" s="435" t="str">
        <f>VLOOKUP(Ruimtestaat[[#This Row],[Code]],Locaties[[#All],[Code]:[Postcode]],5,FALSE)</f>
        <v>2716 BG</v>
      </c>
      <c r="E921" s="435" t="str">
        <f>VLOOKUP(Ruimtestaat[[#This Row],[Code]],Locaties[#All],6,FALSE)</f>
        <v>Zoetermeer</v>
      </c>
      <c r="F921" s="450" t="s">
        <v>2059</v>
      </c>
      <c r="G921" s="330" t="s">
        <v>2074</v>
      </c>
      <c r="H921" s="330" t="s">
        <v>2083</v>
      </c>
      <c r="I921" s="450" t="s">
        <v>22</v>
      </c>
      <c r="J921" s="330">
        <v>20</v>
      </c>
      <c r="K921" s="450" t="str">
        <f>VLOOKUP(Ruimtestaat[[#This Row],[Ruimte code]],Ruimtegroepen[[#All],[Code]:[Ruimte omschrijving]],2,FALSE)</f>
        <v>Niet in Onderhoud</v>
      </c>
      <c r="L921" s="330" t="s">
        <v>101</v>
      </c>
      <c r="M921" s="437" t="s">
        <v>1816</v>
      </c>
      <c r="N921" s="439"/>
      <c r="O921" s="439">
        <v>12</v>
      </c>
      <c r="P921" s="439"/>
      <c r="Q921" s="439"/>
      <c r="R921" s="440">
        <f>VLOOKUP(Ruimtestaat[[#This Row],[Ruimte code]],Ruimtegroepen[],4,FALSE)</f>
        <v>0</v>
      </c>
      <c r="S921" s="434"/>
      <c r="T921" s="434"/>
      <c r="U921" s="453">
        <f>IF(S921&gt;0,IF(RIGHT(Ruimtestaat[[#This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21" s="434">
        <f>IF(U921&gt;0,VLOOKUP($J921,Ruimtegroepen[],3,FALSE)*VLOOKUP($L921,Vloersoorten[],3,FALSE)*VLOOKUP($T921,Frequenties[],3,FALSE)*VLOOKUP($A921,Locaties[],3,FALSE),0)</f>
        <v>0</v>
      </c>
      <c r="W921" s="434">
        <f>Ruimtestaat[[#This Row],[Uitvoeringen werkdagen]]*Ruimtestaat[[#This Row],[Oppervlak (netto)]]</f>
        <v>0</v>
      </c>
      <c r="X921" s="441">
        <f>IF(V921&gt;0,Ruimtestaat[[#This Row],[Prest. (m2 /jaar) werkdagen]]/Ruimtestaat[[#This Row],[Norm (m2/uur) werkdagen]],0)</f>
        <v>0</v>
      </c>
      <c r="Y921" s="442">
        <f>Ruimtestaat[[#This Row],[Uitvoeringen werkdagen]]*Ruimtestaat[[#This Row],[Gedeeltelijk]]</f>
        <v>0</v>
      </c>
      <c r="Z921" s="443">
        <f>IF(U921&gt;0,Ruimtestaat[[#This Row],[Prest. (m2 / jaar) werkdagen gedeeld]]/Ruimtestaat[[#This Row],[Norm (m2/uur) werkdagen]],0)</f>
        <v>0</v>
      </c>
      <c r="AA921" s="441">
        <f>Ruimtestaat[[#This Row],[uren / jaar werkdagen gedeeld]]*Tariefsopbouw!$E$35</f>
        <v>0</v>
      </c>
      <c r="AB921" s="441">
        <f>Ruimtestaat[[#This Row],[Uitvoeringen werkdagen]]*Ruimtestaat[[#This Row],[BSO]]</f>
        <v>0</v>
      </c>
      <c r="AC921" s="443">
        <f>IF(U921&gt;0,Ruimtestaat[[#This Row],[Prest. (m2 / jaar) werkdagen BSO]]/Ruimtestaat[[#This Row],[Norm (m2/uur) werkdagen]],0)</f>
        <v>0</v>
      </c>
      <c r="AD921" s="443">
        <f>Ruimtestaat[[#This Row],[uren / jaar werkdagen BSO]]*Tariefsopbouw!$E$35</f>
        <v>0</v>
      </c>
      <c r="AE921" s="444">
        <f>Ruimtestaat[[#This Row],[uren / jaar werkdagen]]*Tariefsopbouw!$E$35</f>
        <v>0</v>
      </c>
      <c r="AF921" s="454"/>
      <c r="AG921" s="455">
        <f>IF(Ruimtestaat[[#This Row],[Frequentie weekend]]&gt;0,VALUE(LEFT(AF921,1))*S921,0)</f>
        <v>0</v>
      </c>
      <c r="AH921" s="455">
        <f>IF($AG921&gt;0,VLOOKUP($J921,Ruimtegroepen[],3,FALSE)*VLOOKUP($L921,Vloersoorten[],3,FALSE)*VLOOKUP($AF921,Frequenties[],3,FALSE)*VLOOKUP(#REF!,Locaties[],3,FALSE),0)</f>
        <v>0</v>
      </c>
      <c r="AI921" s="434">
        <f>Ruimtestaat[[#This Row],[Uitvoeringen weekend]]*Ruimtestaat[[#This Row],[Oppervlak (netto)]]</f>
        <v>0</v>
      </c>
      <c r="AJ921" s="434">
        <f>IF(AH921&gt;0,Ruimtestaat[[#This Row],[Prest. (m2 /jaar) weekend]]/Ruimtestaat[[#This Row],[Norm (m2/uur) weekend]],0)</f>
        <v>0</v>
      </c>
      <c r="AK921" s="444">
        <f>Ruimtestaat[[#This Row],[uren / jaar weekend]]*Tariefsopbouw!$D$40</f>
        <v>0</v>
      </c>
      <c r="AL921" s="441">
        <f>Ruimtestaat[[#This Row],[Prest. (m2 /jaar) weekend]]+Ruimtestaat[[#This Row],[Prest. (m2 /jaar) werkdagen]]</f>
        <v>0</v>
      </c>
      <c r="AM921" s="441">
        <f>Ruimtestaat[[#This Row],[uren / jaar weekend]]+Ruimtestaat[[#This Row],[uren / jaar werkdagen]]</f>
        <v>0</v>
      </c>
      <c r="AN921" s="446">
        <f>Ruimtestaat[[#This Row],[kosten / jaar weekend]]+Ruimtestaat[[#This Row],[kosten / jaar werkdagen]]</f>
        <v>0</v>
      </c>
      <c r="AO921" s="446"/>
      <c r="AP921" s="446" t="str">
        <f>IF(Ruimtestaat[[#This Row],[Frequentie werkdagen]]="","",_xlfn.CONCAT(Ruimtestaat[[#This Row],[Ruimte code]],"-",Ruimtestaat[[#This Row],[Frequentie werkdagen]]," ",Ruimtestaat[[#This Row],[Vloer code]]))</f>
        <v/>
      </c>
      <c r="AQ921" s="448" t="str">
        <f>_xlfn.IFNA(VLOOKUP($AP921,Programma!$F$3:$G$1101,2,0),"")</f>
        <v/>
      </c>
      <c r="AR921" s="448" t="str">
        <f>_xlfn.IFNA(VLOOKUP($AP921,Programma!$F$3:$H$1101,3,0),"")</f>
        <v/>
      </c>
      <c r="AS921" s="448" t="str">
        <f>_xlfn.IFNA(VLOOKUP($AP921,Programma!$F$3:$I$1101,4,0),"")</f>
        <v/>
      </c>
      <c r="AT921" s="448" t="str">
        <f>_xlfn.IFNA(VLOOKUP($AP921,Programma!$F$3:$J$1101,5,0),"")</f>
        <v/>
      </c>
      <c r="AU921" s="448" t="str">
        <f>_xlfn.IFNA(VLOOKUP($AP921,Programma!$F$3:$K$1101,6,0),"")</f>
        <v/>
      </c>
      <c r="AV921" s="448" t="str">
        <f>_xlfn.IFNA(VLOOKUP($AP921,Programma!$F$3:$L$1101,7,0),"")</f>
        <v/>
      </c>
      <c r="AW921" s="448" t="str">
        <f>_xlfn.IFNA(VLOOKUP($AP921,Programma!$F$3:$M$1101,8,0),"")</f>
        <v/>
      </c>
      <c r="AX921" s="448" t="str">
        <f>_xlfn.IFNA(VLOOKUP($AP921,Programma!$F$3:$N$1101,9,0),"")</f>
        <v/>
      </c>
      <c r="AY921" s="448" t="str">
        <f>_xlfn.IFNA(VLOOKUP($AP921,Programma!$F$3:$O$1101,10,0),"")</f>
        <v/>
      </c>
      <c r="AZ921" s="448" t="str">
        <f>_xlfn.IFNA(VLOOKUP($AP921,Programma!$F$3:$P$1101,11,0),"")</f>
        <v/>
      </c>
      <c r="BA921" s="448" t="str">
        <f>_xlfn.IFNA(VLOOKUP($AP921,Programma!$F$3:$Q$1101,12,0),"")</f>
        <v/>
      </c>
      <c r="BB921" s="448" t="str">
        <f>_xlfn.IFNA(VLOOKUP($AP921,Programma!$F$3:$R$1101,13,0),"")</f>
        <v/>
      </c>
      <c r="BC921" s="448" t="str">
        <f>_xlfn.IFNA(VLOOKUP($AP921,Programma!$F$3:$S$1101,14,0),"")</f>
        <v/>
      </c>
      <c r="BD921" s="448" t="str">
        <f>_xlfn.IFNA(VLOOKUP($AP921,Programma!$F$3:$T$1101,15,0),"")</f>
        <v/>
      </c>
      <c r="BE921" s="448" t="str">
        <f>_xlfn.IFNA(VLOOKUP($AP921,Programma!$F$3:$U$1101,16,0),"")</f>
        <v/>
      </c>
      <c r="BF921" s="448" t="str">
        <f>_xlfn.IFNA(VLOOKUP($AP921,Programma!$F$3:$V$1101,17,0),"")</f>
        <v/>
      </c>
      <c r="BG921" s="448" t="str">
        <f>_xlfn.IFNA(VLOOKUP($AP921,Programma!$F$3:$W$1101,18,0),"")</f>
        <v/>
      </c>
      <c r="BH921" s="448" t="str">
        <f>_xlfn.IFNA(VLOOKUP($AP921,Programma!$F$3:$X$1101,19,0),"")</f>
        <v/>
      </c>
      <c r="BI921" s="448" t="str">
        <f>_xlfn.IFNA(VLOOKUP($AP921,Programma!$F$3:$Y$1101,20,0),"")</f>
        <v/>
      </c>
      <c r="BJ921" s="449"/>
      <c r="BK921" s="446" t="str">
        <f>IF(Ruimtestaat[[#This Row],[Frequentie weekend]]="","",_xlfn.CONCAT(Ruimtestaat[[#This Row],[Ruimte code]],"-",Ruimtestaat[[#This Row],[Frequentie weekend]]," ",Ruimtestaat[[#This Row],[Vloer code]]))</f>
        <v/>
      </c>
      <c r="BL921" s="448" t="str">
        <f>_xlfn.IFNA(VLOOKUP($BK921,Programma!$F$3:$G$1101,2,0),"")</f>
        <v/>
      </c>
      <c r="BM921" s="448" t="str">
        <f>_xlfn.IFNA(VLOOKUP($BK921,Programma!$F$3:$H$1101,3,0),"")</f>
        <v/>
      </c>
      <c r="BN921" s="448" t="str">
        <f>_xlfn.IFNA(VLOOKUP($BK921,Programma!$F$3:$I$1101,4,0),"")</f>
        <v/>
      </c>
      <c r="BO921" s="448" t="str">
        <f>_xlfn.IFNA(VLOOKUP($BK921,Programma!$F$3:$J$1101,5,0),"")</f>
        <v/>
      </c>
      <c r="BP921" s="448" t="str">
        <f>_xlfn.IFNA(VLOOKUP($BK921,Programma!$F$3:$K$1101,6,0),"")</f>
        <v/>
      </c>
      <c r="BQ921" s="448" t="str">
        <f>_xlfn.IFNA(VLOOKUP($BK921,Programma!$F$3:$L$1101,7,0),"")</f>
        <v/>
      </c>
      <c r="BR921" s="448" t="str">
        <f>_xlfn.IFNA(VLOOKUP($BK921,Programma!$F$3:$M$1101,8,0),"")</f>
        <v/>
      </c>
      <c r="BS921" s="448" t="str">
        <f>_xlfn.IFNA(VLOOKUP($BK921,Programma!$F$3:$N$1101,9,0),"")</f>
        <v/>
      </c>
      <c r="BT921" s="448" t="str">
        <f>_xlfn.IFNA(VLOOKUP($BK921,Programma!$F$3:$O$1101,10,0),"")</f>
        <v/>
      </c>
      <c r="BU921" s="448" t="str">
        <f>_xlfn.IFNA(VLOOKUP($BK921,Programma!$F$3:$P$1101,11,0),"")</f>
        <v/>
      </c>
      <c r="BV921" s="448" t="str">
        <f>_xlfn.IFNA(VLOOKUP($BK921,Programma!$F$3:$Q$1101,12,0),"")</f>
        <v/>
      </c>
      <c r="BW921" s="448" t="str">
        <f>_xlfn.IFNA(VLOOKUP($BK921,Programma!$F$3:$R$1101,13,0),"")</f>
        <v/>
      </c>
      <c r="BX921" s="448" t="str">
        <f>_xlfn.IFNA(VLOOKUP($BK921,Programma!$F$3:$S$1101,14,0),"")</f>
        <v/>
      </c>
      <c r="BY921" s="448" t="str">
        <f>_xlfn.IFNA(VLOOKUP($BK921,Programma!$F$3:$T$1101,15,0),"")</f>
        <v/>
      </c>
      <c r="BZ921" s="448" t="str">
        <f>_xlfn.IFNA(VLOOKUP($BK921,Programma!$F$3:$U$1101,16,0),"")</f>
        <v/>
      </c>
      <c r="CA921" s="448" t="str">
        <f>_xlfn.IFNA(VLOOKUP($BK921,Programma!$F$3:$V$1101,17,0),"")</f>
        <v/>
      </c>
      <c r="CB921" s="448" t="str">
        <f>_xlfn.IFNA(VLOOKUP($BK921,Programma!$F$3:$W$1101,18,0),"")</f>
        <v/>
      </c>
      <c r="CC921" s="448" t="str">
        <f>_xlfn.IFNA(VLOOKUP($BK921,Programma!$F$3:$X$1101,19,0),"")</f>
        <v/>
      </c>
      <c r="CD921" s="448" t="str">
        <f>_xlfn.IFNA(VLOOKUP($BK921,Programma!$F$3:$Y$1101,20,0),"")</f>
        <v/>
      </c>
    </row>
    <row r="922" spans="1:82" ht="15" customHeight="1">
      <c r="A922" s="327">
        <v>25</v>
      </c>
      <c r="B922" s="435" t="str">
        <f>VLOOKUP(Ruimtestaat[[#This Row],[Code]],Locaties[[Code]:[Locatie]],2,FALSE)</f>
        <v>IKC De Piramide</v>
      </c>
      <c r="C922" s="435" t="str">
        <f>VLOOKUP(Ruimtestaat[[#This Row],[Code]],Locaties[[#All],[Code]:[Adres]],4,FALSE)</f>
        <v>Fivelingo 84</v>
      </c>
      <c r="D922" s="435" t="str">
        <f>VLOOKUP(Ruimtestaat[[#This Row],[Code]],Locaties[[#All],[Code]:[Postcode]],5,FALSE)</f>
        <v>2716 BG</v>
      </c>
      <c r="E922" s="435" t="str">
        <f>VLOOKUP(Ruimtestaat[[#This Row],[Code]],Locaties[#All],6,FALSE)</f>
        <v>Zoetermeer</v>
      </c>
      <c r="F922" s="450" t="s">
        <v>2059</v>
      </c>
      <c r="G922" s="330" t="s">
        <v>2074</v>
      </c>
      <c r="H922" s="330" t="s">
        <v>2084</v>
      </c>
      <c r="I922" s="450" t="s">
        <v>22</v>
      </c>
      <c r="J922" s="330">
        <v>20</v>
      </c>
      <c r="K922" s="450" t="str">
        <f>VLOOKUP(Ruimtestaat[[#This Row],[Ruimte code]],Ruimtegroepen[[#All],[Code]:[Ruimte omschrijving]],2,FALSE)</f>
        <v>Niet in Onderhoud</v>
      </c>
      <c r="L922" s="330" t="s">
        <v>101</v>
      </c>
      <c r="M922" s="437" t="s">
        <v>1816</v>
      </c>
      <c r="N922" s="439"/>
      <c r="O922" s="439">
        <v>12</v>
      </c>
      <c r="P922" s="439"/>
      <c r="Q922" s="439"/>
      <c r="R922" s="440">
        <f>VLOOKUP(Ruimtestaat[[#This Row],[Ruimte code]],Ruimtegroepen[],4,FALSE)</f>
        <v>0</v>
      </c>
      <c r="S922" s="434"/>
      <c r="T922" s="434"/>
      <c r="U922" s="453">
        <f>IF(S922&gt;0,IF(RIGHT(Ruimtestaat[[#This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22" s="434">
        <f>IF(U922&gt;0,VLOOKUP($J922,Ruimtegroepen[],3,FALSE)*VLOOKUP($L922,Vloersoorten[],3,FALSE)*VLOOKUP($T922,Frequenties[],3,FALSE)*VLOOKUP($A922,Locaties[],3,FALSE),0)</f>
        <v>0</v>
      </c>
      <c r="W922" s="434">
        <f>Ruimtestaat[[#This Row],[Uitvoeringen werkdagen]]*Ruimtestaat[[#This Row],[Oppervlak (netto)]]</f>
        <v>0</v>
      </c>
      <c r="X922" s="441">
        <f>IF(V922&gt;0,Ruimtestaat[[#This Row],[Prest. (m2 /jaar) werkdagen]]/Ruimtestaat[[#This Row],[Norm (m2/uur) werkdagen]],0)</f>
        <v>0</v>
      </c>
      <c r="Y922" s="442">
        <f>Ruimtestaat[[#This Row],[Uitvoeringen werkdagen]]*Ruimtestaat[[#This Row],[Gedeeltelijk]]</f>
        <v>0</v>
      </c>
      <c r="Z922" s="443">
        <f>IF(U922&gt;0,Ruimtestaat[[#This Row],[Prest. (m2 / jaar) werkdagen gedeeld]]/Ruimtestaat[[#This Row],[Norm (m2/uur) werkdagen]],0)</f>
        <v>0</v>
      </c>
      <c r="AA922" s="441">
        <f>Ruimtestaat[[#This Row],[uren / jaar werkdagen gedeeld]]*Tariefsopbouw!$E$35</f>
        <v>0</v>
      </c>
      <c r="AB922" s="441">
        <f>Ruimtestaat[[#This Row],[Uitvoeringen werkdagen]]*Ruimtestaat[[#This Row],[BSO]]</f>
        <v>0</v>
      </c>
      <c r="AC922" s="443">
        <f>IF(U922&gt;0,Ruimtestaat[[#This Row],[Prest. (m2 / jaar) werkdagen BSO]]/Ruimtestaat[[#This Row],[Norm (m2/uur) werkdagen]],0)</f>
        <v>0</v>
      </c>
      <c r="AD922" s="443">
        <f>Ruimtestaat[[#This Row],[uren / jaar werkdagen BSO]]*Tariefsopbouw!$E$35</f>
        <v>0</v>
      </c>
      <c r="AE922" s="444">
        <f>Ruimtestaat[[#This Row],[uren / jaar werkdagen]]*Tariefsopbouw!$E$35</f>
        <v>0</v>
      </c>
      <c r="AF922" s="454"/>
      <c r="AG922" s="455">
        <f>IF(Ruimtestaat[[#This Row],[Frequentie weekend]]&gt;0,VALUE(LEFT(AF922,1))*S922,0)</f>
        <v>0</v>
      </c>
      <c r="AH922" s="455">
        <f>IF($AG922&gt;0,VLOOKUP($J922,Ruimtegroepen[],3,FALSE)*VLOOKUP($L922,Vloersoorten[],3,FALSE)*VLOOKUP($AF922,Frequenties[],3,FALSE)*VLOOKUP(#REF!,Locaties[],3,FALSE),0)</f>
        <v>0</v>
      </c>
      <c r="AI922" s="434">
        <f>Ruimtestaat[[#This Row],[Uitvoeringen weekend]]*Ruimtestaat[[#This Row],[Oppervlak (netto)]]</f>
        <v>0</v>
      </c>
      <c r="AJ922" s="434">
        <f>IF(AH922&gt;0,Ruimtestaat[[#This Row],[Prest. (m2 /jaar) weekend]]/Ruimtestaat[[#This Row],[Norm (m2/uur) weekend]],0)</f>
        <v>0</v>
      </c>
      <c r="AK922" s="444">
        <f>Ruimtestaat[[#This Row],[uren / jaar weekend]]*Tariefsopbouw!$D$40</f>
        <v>0</v>
      </c>
      <c r="AL922" s="441">
        <f>Ruimtestaat[[#This Row],[Prest. (m2 /jaar) weekend]]+Ruimtestaat[[#This Row],[Prest. (m2 /jaar) werkdagen]]</f>
        <v>0</v>
      </c>
      <c r="AM922" s="441">
        <f>Ruimtestaat[[#This Row],[uren / jaar weekend]]+Ruimtestaat[[#This Row],[uren / jaar werkdagen]]</f>
        <v>0</v>
      </c>
      <c r="AN922" s="446">
        <f>Ruimtestaat[[#This Row],[kosten / jaar weekend]]+Ruimtestaat[[#This Row],[kosten / jaar werkdagen]]</f>
        <v>0</v>
      </c>
      <c r="AO922" s="446"/>
      <c r="AP922" s="446" t="str">
        <f>IF(Ruimtestaat[[#This Row],[Frequentie werkdagen]]="","",_xlfn.CONCAT(Ruimtestaat[[#This Row],[Ruimte code]],"-",Ruimtestaat[[#This Row],[Frequentie werkdagen]]," ",Ruimtestaat[[#This Row],[Vloer code]]))</f>
        <v/>
      </c>
      <c r="AQ922" s="448" t="str">
        <f>_xlfn.IFNA(VLOOKUP($AP922,Programma!$F$3:$G$1101,2,0),"")</f>
        <v/>
      </c>
      <c r="AR922" s="448" t="str">
        <f>_xlfn.IFNA(VLOOKUP($AP922,Programma!$F$3:$H$1101,3,0),"")</f>
        <v/>
      </c>
      <c r="AS922" s="448" t="str">
        <f>_xlfn.IFNA(VLOOKUP($AP922,Programma!$F$3:$I$1101,4,0),"")</f>
        <v/>
      </c>
      <c r="AT922" s="448" t="str">
        <f>_xlfn.IFNA(VLOOKUP($AP922,Programma!$F$3:$J$1101,5,0),"")</f>
        <v/>
      </c>
      <c r="AU922" s="448" t="str">
        <f>_xlfn.IFNA(VLOOKUP($AP922,Programma!$F$3:$K$1101,6,0),"")</f>
        <v/>
      </c>
      <c r="AV922" s="448" t="str">
        <f>_xlfn.IFNA(VLOOKUP($AP922,Programma!$F$3:$L$1101,7,0),"")</f>
        <v/>
      </c>
      <c r="AW922" s="448" t="str">
        <f>_xlfn.IFNA(VLOOKUP($AP922,Programma!$F$3:$M$1101,8,0),"")</f>
        <v/>
      </c>
      <c r="AX922" s="448" t="str">
        <f>_xlfn.IFNA(VLOOKUP($AP922,Programma!$F$3:$N$1101,9,0),"")</f>
        <v/>
      </c>
      <c r="AY922" s="448" t="str">
        <f>_xlfn.IFNA(VLOOKUP($AP922,Programma!$F$3:$O$1101,10,0),"")</f>
        <v/>
      </c>
      <c r="AZ922" s="448" t="str">
        <f>_xlfn.IFNA(VLOOKUP($AP922,Programma!$F$3:$P$1101,11,0),"")</f>
        <v/>
      </c>
      <c r="BA922" s="448" t="str">
        <f>_xlfn.IFNA(VLOOKUP($AP922,Programma!$F$3:$Q$1101,12,0),"")</f>
        <v/>
      </c>
      <c r="BB922" s="448" t="str">
        <f>_xlfn.IFNA(VLOOKUP($AP922,Programma!$F$3:$R$1101,13,0),"")</f>
        <v/>
      </c>
      <c r="BC922" s="448" t="str">
        <f>_xlfn.IFNA(VLOOKUP($AP922,Programma!$F$3:$S$1101,14,0),"")</f>
        <v/>
      </c>
      <c r="BD922" s="448" t="str">
        <f>_xlfn.IFNA(VLOOKUP($AP922,Programma!$F$3:$T$1101,15,0),"")</f>
        <v/>
      </c>
      <c r="BE922" s="448" t="str">
        <f>_xlfn.IFNA(VLOOKUP($AP922,Programma!$F$3:$U$1101,16,0),"")</f>
        <v/>
      </c>
      <c r="BF922" s="448" t="str">
        <f>_xlfn.IFNA(VLOOKUP($AP922,Programma!$F$3:$V$1101,17,0),"")</f>
        <v/>
      </c>
      <c r="BG922" s="448" t="str">
        <f>_xlfn.IFNA(VLOOKUP($AP922,Programma!$F$3:$W$1101,18,0),"")</f>
        <v/>
      </c>
      <c r="BH922" s="448" t="str">
        <f>_xlfn.IFNA(VLOOKUP($AP922,Programma!$F$3:$X$1101,19,0),"")</f>
        <v/>
      </c>
      <c r="BI922" s="448" t="str">
        <f>_xlfn.IFNA(VLOOKUP($AP922,Programma!$F$3:$Y$1101,20,0),"")</f>
        <v/>
      </c>
      <c r="BJ922" s="449"/>
      <c r="BK922" s="446" t="str">
        <f>IF(Ruimtestaat[[#This Row],[Frequentie weekend]]="","",_xlfn.CONCAT(Ruimtestaat[[#This Row],[Ruimte code]],"-",Ruimtestaat[[#This Row],[Frequentie weekend]]," ",Ruimtestaat[[#This Row],[Vloer code]]))</f>
        <v/>
      </c>
      <c r="BL922" s="448" t="str">
        <f>_xlfn.IFNA(VLOOKUP($BK922,Programma!$F$3:$G$1101,2,0),"")</f>
        <v/>
      </c>
      <c r="BM922" s="448" t="str">
        <f>_xlfn.IFNA(VLOOKUP($BK922,Programma!$F$3:$H$1101,3,0),"")</f>
        <v/>
      </c>
      <c r="BN922" s="448" t="str">
        <f>_xlfn.IFNA(VLOOKUP($BK922,Programma!$F$3:$I$1101,4,0),"")</f>
        <v/>
      </c>
      <c r="BO922" s="448" t="str">
        <f>_xlfn.IFNA(VLOOKUP($BK922,Programma!$F$3:$J$1101,5,0),"")</f>
        <v/>
      </c>
      <c r="BP922" s="448" t="str">
        <f>_xlfn.IFNA(VLOOKUP($BK922,Programma!$F$3:$K$1101,6,0),"")</f>
        <v/>
      </c>
      <c r="BQ922" s="448" t="str">
        <f>_xlfn.IFNA(VLOOKUP($BK922,Programma!$F$3:$L$1101,7,0),"")</f>
        <v/>
      </c>
      <c r="BR922" s="448" t="str">
        <f>_xlfn.IFNA(VLOOKUP($BK922,Programma!$F$3:$M$1101,8,0),"")</f>
        <v/>
      </c>
      <c r="BS922" s="448" t="str">
        <f>_xlfn.IFNA(VLOOKUP($BK922,Programma!$F$3:$N$1101,9,0),"")</f>
        <v/>
      </c>
      <c r="BT922" s="448" t="str">
        <f>_xlfn.IFNA(VLOOKUP($BK922,Programma!$F$3:$O$1101,10,0),"")</f>
        <v/>
      </c>
      <c r="BU922" s="448" t="str">
        <f>_xlfn.IFNA(VLOOKUP($BK922,Programma!$F$3:$P$1101,11,0),"")</f>
        <v/>
      </c>
      <c r="BV922" s="448" t="str">
        <f>_xlfn.IFNA(VLOOKUP($BK922,Programma!$F$3:$Q$1101,12,0),"")</f>
        <v/>
      </c>
      <c r="BW922" s="448" t="str">
        <f>_xlfn.IFNA(VLOOKUP($BK922,Programma!$F$3:$R$1101,13,0),"")</f>
        <v/>
      </c>
      <c r="BX922" s="448" t="str">
        <f>_xlfn.IFNA(VLOOKUP($BK922,Programma!$F$3:$S$1101,14,0),"")</f>
        <v/>
      </c>
      <c r="BY922" s="448" t="str">
        <f>_xlfn.IFNA(VLOOKUP($BK922,Programma!$F$3:$T$1101,15,0),"")</f>
        <v/>
      </c>
      <c r="BZ922" s="448" t="str">
        <f>_xlfn.IFNA(VLOOKUP($BK922,Programma!$F$3:$U$1101,16,0),"")</f>
        <v/>
      </c>
      <c r="CA922" s="448" t="str">
        <f>_xlfn.IFNA(VLOOKUP($BK922,Programma!$F$3:$V$1101,17,0),"")</f>
        <v/>
      </c>
      <c r="CB922" s="448" t="str">
        <f>_xlfn.IFNA(VLOOKUP($BK922,Programma!$F$3:$W$1101,18,0),"")</f>
        <v/>
      </c>
      <c r="CC922" s="448" t="str">
        <f>_xlfn.IFNA(VLOOKUP($BK922,Programma!$F$3:$X$1101,19,0),"")</f>
        <v/>
      </c>
      <c r="CD922" s="448" t="str">
        <f>_xlfn.IFNA(VLOOKUP($BK922,Programma!$F$3:$Y$1101,20,0),"")</f>
        <v/>
      </c>
    </row>
    <row r="923" spans="1:82" ht="15" customHeight="1">
      <c r="A923" s="327">
        <v>25</v>
      </c>
      <c r="B923" s="435" t="str">
        <f>VLOOKUP(Ruimtestaat[[#This Row],[Code]],Locaties[[Code]:[Locatie]],2,FALSE)</f>
        <v>IKC De Piramide</v>
      </c>
      <c r="C923" s="435" t="str">
        <f>VLOOKUP(Ruimtestaat[[#This Row],[Code]],Locaties[[#All],[Code]:[Adres]],4,FALSE)</f>
        <v>Fivelingo 84</v>
      </c>
      <c r="D923" s="435" t="str">
        <f>VLOOKUP(Ruimtestaat[[#This Row],[Code]],Locaties[[#All],[Code]:[Postcode]],5,FALSE)</f>
        <v>2716 BG</v>
      </c>
      <c r="E923" s="435" t="str">
        <f>VLOOKUP(Ruimtestaat[[#This Row],[Code]],Locaties[#All],6,FALSE)</f>
        <v>Zoetermeer</v>
      </c>
      <c r="F923" s="450" t="s">
        <v>2059</v>
      </c>
      <c r="G923" s="330" t="s">
        <v>1678</v>
      </c>
      <c r="H923" s="330" t="s">
        <v>1829</v>
      </c>
      <c r="I923" s="450" t="s">
        <v>1679</v>
      </c>
      <c r="J923" s="330">
        <v>16</v>
      </c>
      <c r="K923" s="450" t="str">
        <f>VLOOKUP(Ruimtestaat[[#This Row],[Ruimte code]],Ruimtegroepen[[#All],[Code]:[Ruimte omschrijving]],2,FALSE)</f>
        <v>Leslokalen</v>
      </c>
      <c r="L923" s="330" t="s">
        <v>101</v>
      </c>
      <c r="M923" s="437" t="s">
        <v>1816</v>
      </c>
      <c r="N923" s="439">
        <v>55</v>
      </c>
      <c r="O923" s="439"/>
      <c r="P923" s="439"/>
      <c r="Q923" s="439"/>
      <c r="R923" s="440" t="str">
        <f>VLOOKUP(Ruimtestaat[[#This Row],[Ruimte code]],Ruimtegroepen[],4,FALSE)</f>
        <v>Le</v>
      </c>
      <c r="S923" s="434">
        <v>40</v>
      </c>
      <c r="T923" s="434" t="s">
        <v>2</v>
      </c>
      <c r="U923" s="453">
        <f>IF(S923&gt;0,IF(RIGHT(Ruimtestaat[[#This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3" s="434">
        <f>IF(U923&gt;0,VLOOKUP($J923,Ruimtegroepen[],3,FALSE)*VLOOKUP($L923,Vloersoorten[],3,FALSE)*VLOOKUP($T923,Frequenties[],3,FALSE)*VLOOKUP($A923,Locaties[],3,FALSE),0)</f>
        <v>0</v>
      </c>
      <c r="W923" s="434">
        <f>Ruimtestaat[[#This Row],[Uitvoeringen werkdagen]]*Ruimtestaat[[#This Row],[Oppervlak (netto)]]</f>
        <v>11000</v>
      </c>
      <c r="X923" s="441">
        <f>IF(V923&gt;0,Ruimtestaat[[#This Row],[Prest. (m2 /jaar) werkdagen]]/Ruimtestaat[[#This Row],[Norm (m2/uur) werkdagen]],0)</f>
        <v>0</v>
      </c>
      <c r="Y923" s="442">
        <f>Ruimtestaat[[#This Row],[Uitvoeringen werkdagen]]*Ruimtestaat[[#This Row],[Gedeeltelijk]]</f>
        <v>0</v>
      </c>
      <c r="Z923" s="443" t="e">
        <f>IF(U923&gt;0,Ruimtestaat[[#This Row],[Prest. (m2 / jaar) werkdagen gedeeld]]/Ruimtestaat[[#This Row],[Norm (m2/uur) werkdagen]],0)</f>
        <v>#DIV/0!</v>
      </c>
      <c r="AA923" s="441" t="e">
        <f>Ruimtestaat[[#This Row],[uren / jaar werkdagen gedeeld]]*Tariefsopbouw!$E$35</f>
        <v>#DIV/0!</v>
      </c>
      <c r="AB923" s="441">
        <f>Ruimtestaat[[#This Row],[Uitvoeringen werkdagen]]*Ruimtestaat[[#This Row],[BSO]]</f>
        <v>0</v>
      </c>
      <c r="AC923" s="443" t="e">
        <f>IF(U923&gt;0,Ruimtestaat[[#This Row],[Prest. (m2 / jaar) werkdagen BSO]]/Ruimtestaat[[#This Row],[Norm (m2/uur) werkdagen]],0)</f>
        <v>#DIV/0!</v>
      </c>
      <c r="AD923" s="443" t="e">
        <f>Ruimtestaat[[#This Row],[uren / jaar werkdagen BSO]]*Tariefsopbouw!$E$35</f>
        <v>#DIV/0!</v>
      </c>
      <c r="AE923" s="444">
        <f>Ruimtestaat[[#This Row],[uren / jaar werkdagen]]*Tariefsopbouw!$E$35</f>
        <v>0</v>
      </c>
      <c r="AF923" s="454"/>
      <c r="AG923" s="455">
        <f>IF(Ruimtestaat[[#This Row],[Frequentie weekend]]&gt;0,VALUE(LEFT(AF923,1))*S923,0)</f>
        <v>0</v>
      </c>
      <c r="AH923" s="455">
        <f>IF($AG923&gt;0,VLOOKUP($J923,Ruimtegroepen[],3,FALSE)*VLOOKUP($L923,Vloersoorten[],3,FALSE)*VLOOKUP($AF923,Frequenties[],3,FALSE)*VLOOKUP(#REF!,Locaties[],3,FALSE),0)</f>
        <v>0</v>
      </c>
      <c r="AI923" s="434">
        <f>Ruimtestaat[[#This Row],[Uitvoeringen weekend]]*Ruimtestaat[[#This Row],[Oppervlak (netto)]]</f>
        <v>0</v>
      </c>
      <c r="AJ923" s="434">
        <f>IF(AH923&gt;0,Ruimtestaat[[#This Row],[Prest. (m2 /jaar) weekend]]/Ruimtestaat[[#This Row],[Norm (m2/uur) weekend]],0)</f>
        <v>0</v>
      </c>
      <c r="AK923" s="444">
        <f>Ruimtestaat[[#This Row],[uren / jaar weekend]]*Tariefsopbouw!$D$40</f>
        <v>0</v>
      </c>
      <c r="AL923" s="441">
        <f>Ruimtestaat[[#This Row],[Prest. (m2 /jaar) weekend]]+Ruimtestaat[[#This Row],[Prest. (m2 /jaar) werkdagen]]</f>
        <v>11000</v>
      </c>
      <c r="AM923" s="441">
        <f>Ruimtestaat[[#This Row],[uren / jaar weekend]]+Ruimtestaat[[#This Row],[uren / jaar werkdagen]]</f>
        <v>0</v>
      </c>
      <c r="AN923" s="446">
        <f>Ruimtestaat[[#This Row],[kosten / jaar weekend]]+Ruimtestaat[[#This Row],[kosten / jaar werkdagen]]</f>
        <v>0</v>
      </c>
      <c r="AO923" s="446"/>
      <c r="AP923" s="446" t="str">
        <f>IF(Ruimtestaat[[#This Row],[Frequentie werkdagen]]="","",_xlfn.CONCAT(Ruimtestaat[[#This Row],[Ruimte code]],"-",Ruimtestaat[[#This Row],[Frequentie werkdagen]]," ",Ruimtestaat[[#This Row],[Vloer code]]))</f>
        <v>16-5w S</v>
      </c>
      <c r="AQ923" s="448" t="str">
        <f>_xlfn.IFNA(VLOOKUP($AP923,Programma!$F$3:$G$1101,2,0),"")</f>
        <v>_</v>
      </c>
      <c r="AR923" s="448" t="str">
        <f>_xlfn.IFNA(VLOOKUP($AP923,Programma!$F$3:$H$1101,3,0),"")</f>
        <v>_</v>
      </c>
      <c r="AS923" s="448" t="str">
        <f>_xlfn.IFNA(VLOOKUP($AP923,Programma!$F$3:$I$1101,4,0),"")</f>
        <v>4w</v>
      </c>
      <c r="AT923" s="448" t="str">
        <f>_xlfn.IFNA(VLOOKUP($AP923,Programma!$F$3:$J$1101,5,0),"")</f>
        <v>1w</v>
      </c>
      <c r="AU923" s="448" t="str">
        <f>_xlfn.IFNA(VLOOKUP($AP923,Programma!$F$3:$K$1101,6,0),"")</f>
        <v>1m</v>
      </c>
      <c r="AV923" s="448" t="str">
        <f>_xlfn.IFNA(VLOOKUP($AP923,Programma!$F$3:$L$1101,7,0),"")</f>
        <v>_</v>
      </c>
      <c r="AW923" s="448" t="str">
        <f>_xlfn.IFNA(VLOOKUP($AP923,Programma!$F$3:$M$1101,8,0),"")</f>
        <v>_</v>
      </c>
      <c r="AX923" s="448" t="str">
        <f>_xlfn.IFNA(VLOOKUP($AP923,Programma!$F$3:$N$1101,9,0),"")</f>
        <v>_</v>
      </c>
      <c r="AY923" s="448" t="str">
        <f>_xlfn.IFNA(VLOOKUP($AP923,Programma!$F$3:$O$1101,10,0),"")</f>
        <v>5w</v>
      </c>
      <c r="AZ923" s="448" t="str">
        <f>_xlfn.IFNA(VLOOKUP($AP923,Programma!$F$3:$P$1101,11,0),"")</f>
        <v>5w</v>
      </c>
      <c r="BA923" s="448" t="str">
        <f>_xlfn.IFNA(VLOOKUP($AP923,Programma!$F$3:$Q$1101,12,0),"")</f>
        <v>1w</v>
      </c>
      <c r="BB923" s="448" t="str">
        <f>_xlfn.IFNA(VLOOKUP($AP923,Programma!$F$3:$R$1101,13,0),"")</f>
        <v>1w</v>
      </c>
      <c r="BC923" s="448" t="str">
        <f>_xlfn.IFNA(VLOOKUP($AP923,Programma!$F$3:$S$1101,14,0),"")</f>
        <v>1m</v>
      </c>
      <c r="BD923" s="448" t="str">
        <f>_xlfn.IFNA(VLOOKUP($AP923,Programma!$F$3:$T$1101,15,0),"")</f>
        <v>2j</v>
      </c>
      <c r="BE923" s="448" t="str">
        <f>_xlfn.IFNA(VLOOKUP($AP923,Programma!$F$3:$U$1101,16,0),"")</f>
        <v>1j</v>
      </c>
      <c r="BF923" s="448" t="str">
        <f>_xlfn.IFNA(VLOOKUP($AP923,Programma!$F$3:$V$1101,17,0),"")</f>
        <v>_</v>
      </c>
      <c r="BG923" s="448" t="str">
        <f>_xlfn.IFNA(VLOOKUP($AP923,Programma!$F$3:$W$1101,18,0),"")</f>
        <v>_</v>
      </c>
      <c r="BH923" s="448" t="str">
        <f>_xlfn.IFNA(VLOOKUP($AP923,Programma!$F$3:$X$1101,19,0),"")</f>
        <v>_</v>
      </c>
      <c r="BI923" s="448" t="str">
        <f>_xlfn.IFNA(VLOOKUP($AP923,Programma!$F$3:$Y$1101,20,0),"")</f>
        <v>_</v>
      </c>
      <c r="BJ923" s="449"/>
      <c r="BK923" s="446" t="str">
        <f>IF(Ruimtestaat[[#This Row],[Frequentie weekend]]="","",_xlfn.CONCAT(Ruimtestaat[[#This Row],[Ruimte code]],"-",Ruimtestaat[[#This Row],[Frequentie weekend]]," ",Ruimtestaat[[#This Row],[Vloer code]]))</f>
        <v/>
      </c>
      <c r="BL923" s="448" t="str">
        <f>_xlfn.IFNA(VLOOKUP($BK923,Programma!$F$3:$G$1101,2,0),"")</f>
        <v/>
      </c>
      <c r="BM923" s="448" t="str">
        <f>_xlfn.IFNA(VLOOKUP($BK923,Programma!$F$3:$H$1101,3,0),"")</f>
        <v/>
      </c>
      <c r="BN923" s="448" t="str">
        <f>_xlfn.IFNA(VLOOKUP($BK923,Programma!$F$3:$I$1101,4,0),"")</f>
        <v/>
      </c>
      <c r="BO923" s="448" t="str">
        <f>_xlfn.IFNA(VLOOKUP($BK923,Programma!$F$3:$J$1101,5,0),"")</f>
        <v/>
      </c>
      <c r="BP923" s="448" t="str">
        <f>_xlfn.IFNA(VLOOKUP($BK923,Programma!$F$3:$K$1101,6,0),"")</f>
        <v/>
      </c>
      <c r="BQ923" s="448" t="str">
        <f>_xlfn.IFNA(VLOOKUP($BK923,Programma!$F$3:$L$1101,7,0),"")</f>
        <v/>
      </c>
      <c r="BR923" s="448" t="str">
        <f>_xlfn.IFNA(VLOOKUP($BK923,Programma!$F$3:$M$1101,8,0),"")</f>
        <v/>
      </c>
      <c r="BS923" s="448" t="str">
        <f>_xlfn.IFNA(VLOOKUP($BK923,Programma!$F$3:$N$1101,9,0),"")</f>
        <v/>
      </c>
      <c r="BT923" s="448" t="str">
        <f>_xlfn.IFNA(VLOOKUP($BK923,Programma!$F$3:$O$1101,10,0),"")</f>
        <v/>
      </c>
      <c r="BU923" s="448" t="str">
        <f>_xlfn.IFNA(VLOOKUP($BK923,Programma!$F$3:$P$1101,11,0),"")</f>
        <v/>
      </c>
      <c r="BV923" s="448" t="str">
        <f>_xlfn.IFNA(VLOOKUP($BK923,Programma!$F$3:$Q$1101,12,0),"")</f>
        <v/>
      </c>
      <c r="BW923" s="448" t="str">
        <f>_xlfn.IFNA(VLOOKUP($BK923,Programma!$F$3:$R$1101,13,0),"")</f>
        <v/>
      </c>
      <c r="BX923" s="448" t="str">
        <f>_xlfn.IFNA(VLOOKUP($BK923,Programma!$F$3:$S$1101,14,0),"")</f>
        <v/>
      </c>
      <c r="BY923" s="448" t="str">
        <f>_xlfn.IFNA(VLOOKUP($BK923,Programma!$F$3:$T$1101,15,0),"")</f>
        <v/>
      </c>
      <c r="BZ923" s="448" t="str">
        <f>_xlfn.IFNA(VLOOKUP($BK923,Programma!$F$3:$U$1101,16,0),"")</f>
        <v/>
      </c>
      <c r="CA923" s="448" t="str">
        <f>_xlfn.IFNA(VLOOKUP($BK923,Programma!$F$3:$V$1101,17,0),"")</f>
        <v/>
      </c>
      <c r="CB923" s="448" t="str">
        <f>_xlfn.IFNA(VLOOKUP($BK923,Programma!$F$3:$W$1101,18,0),"")</f>
        <v/>
      </c>
      <c r="CC923" s="448" t="str">
        <f>_xlfn.IFNA(VLOOKUP($BK923,Programma!$F$3:$X$1101,19,0),"")</f>
        <v/>
      </c>
      <c r="CD923" s="448" t="str">
        <f>_xlfn.IFNA(VLOOKUP($BK923,Programma!$F$3:$Y$1101,20,0),"")</f>
        <v/>
      </c>
    </row>
    <row r="924" spans="1:82" ht="15" customHeight="1">
      <c r="A924" s="327">
        <v>25</v>
      </c>
      <c r="B924" s="435" t="str">
        <f>VLOOKUP(Ruimtestaat[[#This Row],[Code]],Locaties[[Code]:[Locatie]],2,FALSE)</f>
        <v>IKC De Piramide</v>
      </c>
      <c r="C924" s="435" t="str">
        <f>VLOOKUP(Ruimtestaat[[#This Row],[Code]],Locaties[[#All],[Code]:[Adres]],4,FALSE)</f>
        <v>Fivelingo 84</v>
      </c>
      <c r="D924" s="435" t="str">
        <f>VLOOKUP(Ruimtestaat[[#This Row],[Code]],Locaties[[#All],[Code]:[Postcode]],5,FALSE)</f>
        <v>2716 BG</v>
      </c>
      <c r="E924" s="435" t="str">
        <f>VLOOKUP(Ruimtestaat[[#This Row],[Code]],Locaties[#All],6,FALSE)</f>
        <v>Zoetermeer</v>
      </c>
      <c r="F924" s="450" t="s">
        <v>2059</v>
      </c>
      <c r="G924" s="330" t="s">
        <v>1678</v>
      </c>
      <c r="H924" s="330" t="s">
        <v>1830</v>
      </c>
      <c r="I924" s="450" t="s">
        <v>1679</v>
      </c>
      <c r="J924" s="330">
        <v>16</v>
      </c>
      <c r="K924" s="450" t="str">
        <f>VLOOKUP(Ruimtestaat[[#This Row],[Ruimte code]],Ruimtegroepen[[#All],[Code]:[Ruimte omschrijving]],2,FALSE)</f>
        <v>Leslokalen</v>
      </c>
      <c r="L924" s="434" t="s">
        <v>100</v>
      </c>
      <c r="M924" s="437" t="s">
        <v>1759</v>
      </c>
      <c r="N924" s="439">
        <v>42</v>
      </c>
      <c r="O924" s="439"/>
      <c r="P924" s="439"/>
      <c r="Q924" s="439"/>
      <c r="R924" s="440" t="str">
        <f>VLOOKUP(Ruimtestaat[[#This Row],[Ruimte code]],Ruimtegroepen[],4,FALSE)</f>
        <v>Le</v>
      </c>
      <c r="S924" s="434">
        <v>40</v>
      </c>
      <c r="T924" s="434" t="s">
        <v>2</v>
      </c>
      <c r="U924" s="453">
        <f>IF(S924&gt;0,IF(RIGHT(Ruimtestaat[[#This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4" s="434">
        <f>IF(U924&gt;0,VLOOKUP($J924,Ruimtegroepen[],3,FALSE)*VLOOKUP($L924,Vloersoorten[],3,FALSE)*VLOOKUP($T924,Frequenties[],3,FALSE)*VLOOKUP($A924,Locaties[],3,FALSE),0)</f>
        <v>0</v>
      </c>
      <c r="W924" s="434">
        <f>Ruimtestaat[[#This Row],[Uitvoeringen werkdagen]]*Ruimtestaat[[#This Row],[Oppervlak (netto)]]</f>
        <v>8400</v>
      </c>
      <c r="X924" s="441">
        <f>IF(V924&gt;0,Ruimtestaat[[#This Row],[Prest. (m2 /jaar) werkdagen]]/Ruimtestaat[[#This Row],[Norm (m2/uur) werkdagen]],0)</f>
        <v>0</v>
      </c>
      <c r="Y924" s="442">
        <f>Ruimtestaat[[#This Row],[Uitvoeringen werkdagen]]*Ruimtestaat[[#This Row],[Gedeeltelijk]]</f>
        <v>0</v>
      </c>
      <c r="Z924" s="443" t="e">
        <f>IF(U924&gt;0,Ruimtestaat[[#This Row],[Prest. (m2 / jaar) werkdagen gedeeld]]/Ruimtestaat[[#This Row],[Norm (m2/uur) werkdagen]],0)</f>
        <v>#DIV/0!</v>
      </c>
      <c r="AA924" s="441" t="e">
        <f>Ruimtestaat[[#This Row],[uren / jaar werkdagen gedeeld]]*Tariefsopbouw!$E$35</f>
        <v>#DIV/0!</v>
      </c>
      <c r="AB924" s="441">
        <f>Ruimtestaat[[#This Row],[Uitvoeringen werkdagen]]*Ruimtestaat[[#This Row],[BSO]]</f>
        <v>0</v>
      </c>
      <c r="AC924" s="443" t="e">
        <f>IF(U924&gt;0,Ruimtestaat[[#This Row],[Prest. (m2 / jaar) werkdagen BSO]]/Ruimtestaat[[#This Row],[Norm (m2/uur) werkdagen]],0)</f>
        <v>#DIV/0!</v>
      </c>
      <c r="AD924" s="443" t="e">
        <f>Ruimtestaat[[#This Row],[uren / jaar werkdagen BSO]]*Tariefsopbouw!$E$35</f>
        <v>#DIV/0!</v>
      </c>
      <c r="AE924" s="444">
        <f>Ruimtestaat[[#This Row],[uren / jaar werkdagen]]*Tariefsopbouw!$E$35</f>
        <v>0</v>
      </c>
      <c r="AF924" s="454"/>
      <c r="AG924" s="455">
        <f>IF(Ruimtestaat[[#This Row],[Frequentie weekend]]&gt;0,VALUE(LEFT(AF924,1))*S924,0)</f>
        <v>0</v>
      </c>
      <c r="AH924" s="455">
        <f>IF($AG924&gt;0,VLOOKUP($J924,Ruimtegroepen[],3,FALSE)*VLOOKUP($L924,Vloersoorten[],3,FALSE)*VLOOKUP($AF924,Frequenties[],3,FALSE)*VLOOKUP(#REF!,Locaties[],3,FALSE),0)</f>
        <v>0</v>
      </c>
      <c r="AI924" s="434">
        <f>Ruimtestaat[[#This Row],[Uitvoeringen weekend]]*Ruimtestaat[[#This Row],[Oppervlak (netto)]]</f>
        <v>0</v>
      </c>
      <c r="AJ924" s="434">
        <f>IF(AH924&gt;0,Ruimtestaat[[#This Row],[Prest. (m2 /jaar) weekend]]/Ruimtestaat[[#This Row],[Norm (m2/uur) weekend]],0)</f>
        <v>0</v>
      </c>
      <c r="AK924" s="444">
        <f>Ruimtestaat[[#This Row],[uren / jaar weekend]]*Tariefsopbouw!$D$40</f>
        <v>0</v>
      </c>
      <c r="AL924" s="441">
        <f>Ruimtestaat[[#This Row],[Prest. (m2 /jaar) weekend]]+Ruimtestaat[[#This Row],[Prest. (m2 /jaar) werkdagen]]</f>
        <v>8400</v>
      </c>
      <c r="AM924" s="441">
        <f>Ruimtestaat[[#This Row],[uren / jaar weekend]]+Ruimtestaat[[#This Row],[uren / jaar werkdagen]]</f>
        <v>0</v>
      </c>
      <c r="AN924" s="446">
        <f>Ruimtestaat[[#This Row],[kosten / jaar weekend]]+Ruimtestaat[[#This Row],[kosten / jaar werkdagen]]</f>
        <v>0</v>
      </c>
      <c r="AO924" s="446"/>
      <c r="AP924" s="446" t="str">
        <f>IF(Ruimtestaat[[#This Row],[Frequentie werkdagen]]="","",_xlfn.CONCAT(Ruimtestaat[[#This Row],[Ruimte code]],"-",Ruimtestaat[[#This Row],[Frequentie werkdagen]]," ",Ruimtestaat[[#This Row],[Vloer code]]))</f>
        <v>16-5w L</v>
      </c>
      <c r="AQ924" s="448" t="str">
        <f>_xlfn.IFNA(VLOOKUP($AP924,Programma!$F$3:$G$1101,2,0),"")</f>
        <v>_</v>
      </c>
      <c r="AR924" s="448" t="str">
        <f>_xlfn.IFNA(VLOOKUP($AP924,Programma!$F$3:$H$1101,3,0),"")</f>
        <v>_</v>
      </c>
      <c r="AS924" s="448" t="str">
        <f>_xlfn.IFNA(VLOOKUP($AP924,Programma!$F$3:$I$1101,4,0),"")</f>
        <v>4w</v>
      </c>
      <c r="AT924" s="448" t="str">
        <f>_xlfn.IFNA(VLOOKUP($AP924,Programma!$F$3:$J$1101,5,0),"")</f>
        <v>1w</v>
      </c>
      <c r="AU924" s="448" t="str">
        <f>_xlfn.IFNA(VLOOKUP($AP924,Programma!$F$3:$K$1101,6,0),"")</f>
        <v>_</v>
      </c>
      <c r="AV924" s="448" t="str">
        <f>_xlfn.IFNA(VLOOKUP($AP924,Programma!$F$3:$L$1101,7,0),"")</f>
        <v>_</v>
      </c>
      <c r="AW924" s="448" t="str">
        <f>_xlfn.IFNA(VLOOKUP($AP924,Programma!$F$3:$M$1101,8,0),"")</f>
        <v>_</v>
      </c>
      <c r="AX924" s="448" t="str">
        <f>_xlfn.IFNA(VLOOKUP($AP924,Programma!$F$3:$N$1101,9,0),"")</f>
        <v>_</v>
      </c>
      <c r="AY924" s="448" t="str">
        <f>_xlfn.IFNA(VLOOKUP($AP924,Programma!$F$3:$O$1101,10,0),"")</f>
        <v>5w</v>
      </c>
      <c r="AZ924" s="448" t="str">
        <f>_xlfn.IFNA(VLOOKUP($AP924,Programma!$F$3:$P$1101,11,0),"")</f>
        <v>5w</v>
      </c>
      <c r="BA924" s="448" t="str">
        <f>_xlfn.IFNA(VLOOKUP($AP924,Programma!$F$3:$Q$1101,12,0),"")</f>
        <v>1w</v>
      </c>
      <c r="BB924" s="448" t="str">
        <f>_xlfn.IFNA(VLOOKUP($AP924,Programma!$F$3:$R$1101,13,0),"")</f>
        <v>1w</v>
      </c>
      <c r="BC924" s="448" t="str">
        <f>_xlfn.IFNA(VLOOKUP($AP924,Programma!$F$3:$S$1101,14,0),"")</f>
        <v>1m</v>
      </c>
      <c r="BD924" s="448" t="str">
        <f>_xlfn.IFNA(VLOOKUP($AP924,Programma!$F$3:$T$1101,15,0),"")</f>
        <v>2j</v>
      </c>
      <c r="BE924" s="448" t="str">
        <f>_xlfn.IFNA(VLOOKUP($AP924,Programma!$F$3:$U$1101,16,0),"")</f>
        <v>1j</v>
      </c>
      <c r="BF924" s="448" t="str">
        <f>_xlfn.IFNA(VLOOKUP($AP924,Programma!$F$3:$V$1101,17,0),"")</f>
        <v>_</v>
      </c>
      <c r="BG924" s="448" t="str">
        <f>_xlfn.IFNA(VLOOKUP($AP924,Programma!$F$3:$W$1101,18,0),"")</f>
        <v>_</v>
      </c>
      <c r="BH924" s="448" t="str">
        <f>_xlfn.IFNA(VLOOKUP($AP924,Programma!$F$3:$X$1101,19,0),"")</f>
        <v>_</v>
      </c>
      <c r="BI924" s="448" t="str">
        <f>_xlfn.IFNA(VLOOKUP($AP924,Programma!$F$3:$Y$1101,20,0),"")</f>
        <v>_</v>
      </c>
      <c r="BJ924" s="449"/>
      <c r="BK924" s="446" t="str">
        <f>IF(Ruimtestaat[[#This Row],[Frequentie weekend]]="","",_xlfn.CONCAT(Ruimtestaat[[#This Row],[Ruimte code]],"-",Ruimtestaat[[#This Row],[Frequentie weekend]]," ",Ruimtestaat[[#This Row],[Vloer code]]))</f>
        <v/>
      </c>
      <c r="BL924" s="448" t="str">
        <f>_xlfn.IFNA(VLOOKUP($BK924,Programma!$F$3:$G$1101,2,0),"")</f>
        <v/>
      </c>
      <c r="BM924" s="448" t="str">
        <f>_xlfn.IFNA(VLOOKUP($BK924,Programma!$F$3:$H$1101,3,0),"")</f>
        <v/>
      </c>
      <c r="BN924" s="448" t="str">
        <f>_xlfn.IFNA(VLOOKUP($BK924,Programma!$F$3:$I$1101,4,0),"")</f>
        <v/>
      </c>
      <c r="BO924" s="448" t="str">
        <f>_xlfn.IFNA(VLOOKUP($BK924,Programma!$F$3:$J$1101,5,0),"")</f>
        <v/>
      </c>
      <c r="BP924" s="448" t="str">
        <f>_xlfn.IFNA(VLOOKUP($BK924,Programma!$F$3:$K$1101,6,0),"")</f>
        <v/>
      </c>
      <c r="BQ924" s="448" t="str">
        <f>_xlfn.IFNA(VLOOKUP($BK924,Programma!$F$3:$L$1101,7,0),"")</f>
        <v/>
      </c>
      <c r="BR924" s="448" t="str">
        <f>_xlfn.IFNA(VLOOKUP($BK924,Programma!$F$3:$M$1101,8,0),"")</f>
        <v/>
      </c>
      <c r="BS924" s="448" t="str">
        <f>_xlfn.IFNA(VLOOKUP($BK924,Programma!$F$3:$N$1101,9,0),"")</f>
        <v/>
      </c>
      <c r="BT924" s="448" t="str">
        <f>_xlfn.IFNA(VLOOKUP($BK924,Programma!$F$3:$O$1101,10,0),"")</f>
        <v/>
      </c>
      <c r="BU924" s="448" t="str">
        <f>_xlfn.IFNA(VLOOKUP($BK924,Programma!$F$3:$P$1101,11,0),"")</f>
        <v/>
      </c>
      <c r="BV924" s="448" t="str">
        <f>_xlfn.IFNA(VLOOKUP($BK924,Programma!$F$3:$Q$1101,12,0),"")</f>
        <v/>
      </c>
      <c r="BW924" s="448" t="str">
        <f>_xlfn.IFNA(VLOOKUP($BK924,Programma!$F$3:$R$1101,13,0),"")</f>
        <v/>
      </c>
      <c r="BX924" s="448" t="str">
        <f>_xlfn.IFNA(VLOOKUP($BK924,Programma!$F$3:$S$1101,14,0),"")</f>
        <v/>
      </c>
      <c r="BY924" s="448" t="str">
        <f>_xlfn.IFNA(VLOOKUP($BK924,Programma!$F$3:$T$1101,15,0),"")</f>
        <v/>
      </c>
      <c r="BZ924" s="448" t="str">
        <f>_xlfn.IFNA(VLOOKUP($BK924,Programma!$F$3:$U$1101,16,0),"")</f>
        <v/>
      </c>
      <c r="CA924" s="448" t="str">
        <f>_xlfn.IFNA(VLOOKUP($BK924,Programma!$F$3:$V$1101,17,0),"")</f>
        <v/>
      </c>
      <c r="CB924" s="448" t="str">
        <f>_xlfn.IFNA(VLOOKUP($BK924,Programma!$F$3:$W$1101,18,0),"")</f>
        <v/>
      </c>
      <c r="CC924" s="448" t="str">
        <f>_xlfn.IFNA(VLOOKUP($BK924,Programma!$F$3:$X$1101,19,0),"")</f>
        <v/>
      </c>
      <c r="CD924" s="448" t="str">
        <f>_xlfn.IFNA(VLOOKUP($BK924,Programma!$F$3:$Y$1101,20,0),"")</f>
        <v/>
      </c>
    </row>
    <row r="925" spans="1:82" ht="15" customHeight="1">
      <c r="A925" s="327">
        <v>25</v>
      </c>
      <c r="B925" s="435" t="str">
        <f>VLOOKUP(Ruimtestaat[[#This Row],[Code]],Locaties[[Code]:[Locatie]],2,FALSE)</f>
        <v>IKC De Piramide</v>
      </c>
      <c r="C925" s="435" t="str">
        <f>VLOOKUP(Ruimtestaat[[#This Row],[Code]],Locaties[[#All],[Code]:[Adres]],4,FALSE)</f>
        <v>Fivelingo 84</v>
      </c>
      <c r="D925" s="435" t="str">
        <f>VLOOKUP(Ruimtestaat[[#This Row],[Code]],Locaties[[#All],[Code]:[Postcode]],5,FALSE)</f>
        <v>2716 BG</v>
      </c>
      <c r="E925" s="435" t="str">
        <f>VLOOKUP(Ruimtestaat[[#This Row],[Code]],Locaties[#All],6,FALSE)</f>
        <v>Zoetermeer</v>
      </c>
      <c r="F925" s="450" t="s">
        <v>2059</v>
      </c>
      <c r="G925" s="330" t="s">
        <v>1678</v>
      </c>
      <c r="H925" s="330" t="s">
        <v>1904</v>
      </c>
      <c r="I925" s="450" t="s">
        <v>1679</v>
      </c>
      <c r="J925" s="330">
        <v>16</v>
      </c>
      <c r="K925" s="450" t="str">
        <f>VLOOKUP(Ruimtestaat[[#This Row],[Ruimte code]],Ruimtegroepen[[#All],[Code]:[Ruimte omschrijving]],2,FALSE)</f>
        <v>Leslokalen</v>
      </c>
      <c r="L925" s="434" t="s">
        <v>100</v>
      </c>
      <c r="M925" s="437" t="s">
        <v>1759</v>
      </c>
      <c r="N925" s="439">
        <v>42</v>
      </c>
      <c r="O925" s="439"/>
      <c r="P925" s="439"/>
      <c r="Q925" s="439"/>
      <c r="R925" s="440" t="str">
        <f>VLOOKUP(Ruimtestaat[[#This Row],[Ruimte code]],Ruimtegroepen[],4,FALSE)</f>
        <v>Le</v>
      </c>
      <c r="S925" s="434">
        <v>40</v>
      </c>
      <c r="T925" s="434" t="s">
        <v>2</v>
      </c>
      <c r="U925" s="453">
        <f>IF(S925&gt;0,IF(RIGHT(Ruimtestaat[[#This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5" s="434">
        <f>IF(U925&gt;0,VLOOKUP($J925,Ruimtegroepen[],3,FALSE)*VLOOKUP($L925,Vloersoorten[],3,FALSE)*VLOOKUP($T925,Frequenties[],3,FALSE)*VLOOKUP($A925,Locaties[],3,FALSE),0)</f>
        <v>0</v>
      </c>
      <c r="W925" s="434">
        <f>Ruimtestaat[[#This Row],[Uitvoeringen werkdagen]]*Ruimtestaat[[#This Row],[Oppervlak (netto)]]</f>
        <v>8400</v>
      </c>
      <c r="X925" s="441">
        <f>IF(V925&gt;0,Ruimtestaat[[#This Row],[Prest. (m2 /jaar) werkdagen]]/Ruimtestaat[[#This Row],[Norm (m2/uur) werkdagen]],0)</f>
        <v>0</v>
      </c>
      <c r="Y925" s="442">
        <f>Ruimtestaat[[#This Row],[Uitvoeringen werkdagen]]*Ruimtestaat[[#This Row],[Gedeeltelijk]]</f>
        <v>0</v>
      </c>
      <c r="Z925" s="443" t="e">
        <f>IF(U925&gt;0,Ruimtestaat[[#This Row],[Prest. (m2 / jaar) werkdagen gedeeld]]/Ruimtestaat[[#This Row],[Norm (m2/uur) werkdagen]],0)</f>
        <v>#DIV/0!</v>
      </c>
      <c r="AA925" s="441" t="e">
        <f>Ruimtestaat[[#This Row],[uren / jaar werkdagen gedeeld]]*Tariefsopbouw!$E$35</f>
        <v>#DIV/0!</v>
      </c>
      <c r="AB925" s="441">
        <f>Ruimtestaat[[#This Row],[Uitvoeringen werkdagen]]*Ruimtestaat[[#This Row],[BSO]]</f>
        <v>0</v>
      </c>
      <c r="AC925" s="443" t="e">
        <f>IF(U925&gt;0,Ruimtestaat[[#This Row],[Prest. (m2 / jaar) werkdagen BSO]]/Ruimtestaat[[#This Row],[Norm (m2/uur) werkdagen]],0)</f>
        <v>#DIV/0!</v>
      </c>
      <c r="AD925" s="443" t="e">
        <f>Ruimtestaat[[#This Row],[uren / jaar werkdagen BSO]]*Tariefsopbouw!$E$35</f>
        <v>#DIV/0!</v>
      </c>
      <c r="AE925" s="444">
        <f>Ruimtestaat[[#This Row],[uren / jaar werkdagen]]*Tariefsopbouw!$E$35</f>
        <v>0</v>
      </c>
      <c r="AF925" s="454"/>
      <c r="AG925" s="455">
        <f>IF(Ruimtestaat[[#This Row],[Frequentie weekend]]&gt;0,VALUE(LEFT(AF925,1))*S925,0)</f>
        <v>0</v>
      </c>
      <c r="AH925" s="455">
        <f>IF($AG925&gt;0,VLOOKUP($J925,Ruimtegroepen[],3,FALSE)*VLOOKUP($L925,Vloersoorten[],3,FALSE)*VLOOKUP($AF925,Frequenties[],3,FALSE)*VLOOKUP(#REF!,Locaties[],3,FALSE),0)</f>
        <v>0</v>
      </c>
      <c r="AI925" s="434">
        <f>Ruimtestaat[[#This Row],[Uitvoeringen weekend]]*Ruimtestaat[[#This Row],[Oppervlak (netto)]]</f>
        <v>0</v>
      </c>
      <c r="AJ925" s="434">
        <f>IF(AH925&gt;0,Ruimtestaat[[#This Row],[Prest. (m2 /jaar) weekend]]/Ruimtestaat[[#This Row],[Norm (m2/uur) weekend]],0)</f>
        <v>0</v>
      </c>
      <c r="AK925" s="444">
        <f>Ruimtestaat[[#This Row],[uren / jaar weekend]]*Tariefsopbouw!$D$40</f>
        <v>0</v>
      </c>
      <c r="AL925" s="441">
        <f>Ruimtestaat[[#This Row],[Prest. (m2 /jaar) weekend]]+Ruimtestaat[[#This Row],[Prest. (m2 /jaar) werkdagen]]</f>
        <v>8400</v>
      </c>
      <c r="AM925" s="441">
        <f>Ruimtestaat[[#This Row],[uren / jaar weekend]]+Ruimtestaat[[#This Row],[uren / jaar werkdagen]]</f>
        <v>0</v>
      </c>
      <c r="AN925" s="446">
        <f>Ruimtestaat[[#This Row],[kosten / jaar weekend]]+Ruimtestaat[[#This Row],[kosten / jaar werkdagen]]</f>
        <v>0</v>
      </c>
      <c r="AO925" s="446"/>
      <c r="AP925" s="446" t="str">
        <f>IF(Ruimtestaat[[#This Row],[Frequentie werkdagen]]="","",_xlfn.CONCAT(Ruimtestaat[[#This Row],[Ruimte code]],"-",Ruimtestaat[[#This Row],[Frequentie werkdagen]]," ",Ruimtestaat[[#This Row],[Vloer code]]))</f>
        <v>16-5w L</v>
      </c>
      <c r="AQ925" s="448" t="str">
        <f>_xlfn.IFNA(VLOOKUP($AP925,Programma!$F$3:$G$1101,2,0),"")</f>
        <v>_</v>
      </c>
      <c r="AR925" s="448" t="str">
        <f>_xlfn.IFNA(VLOOKUP($AP925,Programma!$F$3:$H$1101,3,0),"")</f>
        <v>_</v>
      </c>
      <c r="AS925" s="448" t="str">
        <f>_xlfn.IFNA(VLOOKUP($AP925,Programma!$F$3:$I$1101,4,0),"")</f>
        <v>4w</v>
      </c>
      <c r="AT925" s="448" t="str">
        <f>_xlfn.IFNA(VLOOKUP($AP925,Programma!$F$3:$J$1101,5,0),"")</f>
        <v>1w</v>
      </c>
      <c r="AU925" s="448" t="str">
        <f>_xlfn.IFNA(VLOOKUP($AP925,Programma!$F$3:$K$1101,6,0),"")</f>
        <v>_</v>
      </c>
      <c r="AV925" s="448" t="str">
        <f>_xlfn.IFNA(VLOOKUP($AP925,Programma!$F$3:$L$1101,7,0),"")</f>
        <v>_</v>
      </c>
      <c r="AW925" s="448" t="str">
        <f>_xlfn.IFNA(VLOOKUP($AP925,Programma!$F$3:$M$1101,8,0),"")</f>
        <v>_</v>
      </c>
      <c r="AX925" s="448" t="str">
        <f>_xlfn.IFNA(VLOOKUP($AP925,Programma!$F$3:$N$1101,9,0),"")</f>
        <v>_</v>
      </c>
      <c r="AY925" s="448" t="str">
        <f>_xlfn.IFNA(VLOOKUP($AP925,Programma!$F$3:$O$1101,10,0),"")</f>
        <v>5w</v>
      </c>
      <c r="AZ925" s="448" t="str">
        <f>_xlfn.IFNA(VLOOKUP($AP925,Programma!$F$3:$P$1101,11,0),"")</f>
        <v>5w</v>
      </c>
      <c r="BA925" s="448" t="str">
        <f>_xlfn.IFNA(VLOOKUP($AP925,Programma!$F$3:$Q$1101,12,0),"")</f>
        <v>1w</v>
      </c>
      <c r="BB925" s="448" t="str">
        <f>_xlfn.IFNA(VLOOKUP($AP925,Programma!$F$3:$R$1101,13,0),"")</f>
        <v>1w</v>
      </c>
      <c r="BC925" s="448" t="str">
        <f>_xlfn.IFNA(VLOOKUP($AP925,Programma!$F$3:$S$1101,14,0),"")</f>
        <v>1m</v>
      </c>
      <c r="BD925" s="448" t="str">
        <f>_xlfn.IFNA(VLOOKUP($AP925,Programma!$F$3:$T$1101,15,0),"")</f>
        <v>2j</v>
      </c>
      <c r="BE925" s="448" t="str">
        <f>_xlfn.IFNA(VLOOKUP($AP925,Programma!$F$3:$U$1101,16,0),"")</f>
        <v>1j</v>
      </c>
      <c r="BF925" s="448" t="str">
        <f>_xlfn.IFNA(VLOOKUP($AP925,Programma!$F$3:$V$1101,17,0),"")</f>
        <v>_</v>
      </c>
      <c r="BG925" s="448" t="str">
        <f>_xlfn.IFNA(VLOOKUP($AP925,Programma!$F$3:$W$1101,18,0),"")</f>
        <v>_</v>
      </c>
      <c r="BH925" s="448" t="str">
        <f>_xlfn.IFNA(VLOOKUP($AP925,Programma!$F$3:$X$1101,19,0),"")</f>
        <v>_</v>
      </c>
      <c r="BI925" s="448" t="str">
        <f>_xlfn.IFNA(VLOOKUP($AP925,Programma!$F$3:$Y$1101,20,0),"")</f>
        <v>_</v>
      </c>
      <c r="BJ925" s="449"/>
      <c r="BK925" s="446" t="str">
        <f>IF(Ruimtestaat[[#This Row],[Frequentie weekend]]="","",_xlfn.CONCAT(Ruimtestaat[[#This Row],[Ruimte code]],"-",Ruimtestaat[[#This Row],[Frequentie weekend]]," ",Ruimtestaat[[#This Row],[Vloer code]]))</f>
        <v/>
      </c>
      <c r="BL925" s="448" t="str">
        <f>_xlfn.IFNA(VLOOKUP($BK925,Programma!$F$3:$G$1101,2,0),"")</f>
        <v/>
      </c>
      <c r="BM925" s="448" t="str">
        <f>_xlfn.IFNA(VLOOKUP($BK925,Programma!$F$3:$H$1101,3,0),"")</f>
        <v/>
      </c>
      <c r="BN925" s="448" t="str">
        <f>_xlfn.IFNA(VLOOKUP($BK925,Programma!$F$3:$I$1101,4,0),"")</f>
        <v/>
      </c>
      <c r="BO925" s="448" t="str">
        <f>_xlfn.IFNA(VLOOKUP($BK925,Programma!$F$3:$J$1101,5,0),"")</f>
        <v/>
      </c>
      <c r="BP925" s="448" t="str">
        <f>_xlfn.IFNA(VLOOKUP($BK925,Programma!$F$3:$K$1101,6,0),"")</f>
        <v/>
      </c>
      <c r="BQ925" s="448" t="str">
        <f>_xlfn.IFNA(VLOOKUP($BK925,Programma!$F$3:$L$1101,7,0),"")</f>
        <v/>
      </c>
      <c r="BR925" s="448" t="str">
        <f>_xlfn.IFNA(VLOOKUP($BK925,Programma!$F$3:$M$1101,8,0),"")</f>
        <v/>
      </c>
      <c r="BS925" s="448" t="str">
        <f>_xlfn.IFNA(VLOOKUP($BK925,Programma!$F$3:$N$1101,9,0),"")</f>
        <v/>
      </c>
      <c r="BT925" s="448" t="str">
        <f>_xlfn.IFNA(VLOOKUP($BK925,Programma!$F$3:$O$1101,10,0),"")</f>
        <v/>
      </c>
      <c r="BU925" s="448" t="str">
        <f>_xlfn.IFNA(VLOOKUP($BK925,Programma!$F$3:$P$1101,11,0),"")</f>
        <v/>
      </c>
      <c r="BV925" s="448" t="str">
        <f>_xlfn.IFNA(VLOOKUP($BK925,Programma!$F$3:$Q$1101,12,0),"")</f>
        <v/>
      </c>
      <c r="BW925" s="448" t="str">
        <f>_xlfn.IFNA(VLOOKUP($BK925,Programma!$F$3:$R$1101,13,0),"")</f>
        <v/>
      </c>
      <c r="BX925" s="448" t="str">
        <f>_xlfn.IFNA(VLOOKUP($BK925,Programma!$F$3:$S$1101,14,0),"")</f>
        <v/>
      </c>
      <c r="BY925" s="448" t="str">
        <f>_xlfn.IFNA(VLOOKUP($BK925,Programma!$F$3:$T$1101,15,0),"")</f>
        <v/>
      </c>
      <c r="BZ925" s="448" t="str">
        <f>_xlfn.IFNA(VLOOKUP($BK925,Programma!$F$3:$U$1101,16,0),"")</f>
        <v/>
      </c>
      <c r="CA925" s="448" t="str">
        <f>_xlfn.IFNA(VLOOKUP($BK925,Programma!$F$3:$V$1101,17,0),"")</f>
        <v/>
      </c>
      <c r="CB925" s="448" t="str">
        <f>_xlfn.IFNA(VLOOKUP($BK925,Programma!$F$3:$W$1101,18,0),"")</f>
        <v/>
      </c>
      <c r="CC925" s="448" t="str">
        <f>_xlfn.IFNA(VLOOKUP($BK925,Programma!$F$3:$X$1101,19,0),"")</f>
        <v/>
      </c>
      <c r="CD925" s="448" t="str">
        <f>_xlfn.IFNA(VLOOKUP($BK925,Programma!$F$3:$Y$1101,20,0),"")</f>
        <v/>
      </c>
    </row>
    <row r="926" spans="1:82" ht="15" customHeight="1">
      <c r="A926" s="327">
        <v>25</v>
      </c>
      <c r="B926" s="435" t="str">
        <f>VLOOKUP(Ruimtestaat[[#This Row],[Code]],Locaties[[Code]:[Locatie]],2,FALSE)</f>
        <v>IKC De Piramide</v>
      </c>
      <c r="C926" s="435" t="str">
        <f>VLOOKUP(Ruimtestaat[[#This Row],[Code]],Locaties[[#All],[Code]:[Adres]],4,FALSE)</f>
        <v>Fivelingo 84</v>
      </c>
      <c r="D926" s="435" t="str">
        <f>VLOOKUP(Ruimtestaat[[#This Row],[Code]],Locaties[[#All],[Code]:[Postcode]],5,FALSE)</f>
        <v>2716 BG</v>
      </c>
      <c r="E926" s="435" t="str">
        <f>VLOOKUP(Ruimtestaat[[#This Row],[Code]],Locaties[#All],6,FALSE)</f>
        <v>Zoetermeer</v>
      </c>
      <c r="F926" s="450" t="s">
        <v>2059</v>
      </c>
      <c r="G926" s="330" t="s">
        <v>1678</v>
      </c>
      <c r="H926" s="330" t="s">
        <v>1831</v>
      </c>
      <c r="I926" s="450" t="s">
        <v>1679</v>
      </c>
      <c r="J926" s="330">
        <v>16</v>
      </c>
      <c r="K926" s="450" t="str">
        <f>VLOOKUP(Ruimtestaat[[#This Row],[Ruimte code]],Ruimtegroepen[[#All],[Code]:[Ruimte omschrijving]],2,FALSE)</f>
        <v>Leslokalen</v>
      </c>
      <c r="L926" s="434" t="s">
        <v>100</v>
      </c>
      <c r="M926" s="437" t="s">
        <v>1759</v>
      </c>
      <c r="N926" s="439">
        <v>42</v>
      </c>
      <c r="O926" s="439"/>
      <c r="P926" s="439"/>
      <c r="Q926" s="439"/>
      <c r="R926" s="440" t="str">
        <f>VLOOKUP(Ruimtestaat[[#This Row],[Ruimte code]],Ruimtegroepen[],4,FALSE)</f>
        <v>Le</v>
      </c>
      <c r="S926" s="434">
        <v>40</v>
      </c>
      <c r="T926" s="434" t="s">
        <v>2</v>
      </c>
      <c r="U926" s="453">
        <f>IF(S926&gt;0,IF(RIGHT(Ruimtestaat[[#This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6" s="434">
        <f>IF(U926&gt;0,VLOOKUP($J926,Ruimtegroepen[],3,FALSE)*VLOOKUP($L926,Vloersoorten[],3,FALSE)*VLOOKUP($T926,Frequenties[],3,FALSE)*VLOOKUP($A926,Locaties[],3,FALSE),0)</f>
        <v>0</v>
      </c>
      <c r="W926" s="434">
        <f>Ruimtestaat[[#This Row],[Uitvoeringen werkdagen]]*Ruimtestaat[[#This Row],[Oppervlak (netto)]]</f>
        <v>8400</v>
      </c>
      <c r="X926" s="441">
        <f>IF(V926&gt;0,Ruimtestaat[[#This Row],[Prest. (m2 /jaar) werkdagen]]/Ruimtestaat[[#This Row],[Norm (m2/uur) werkdagen]],0)</f>
        <v>0</v>
      </c>
      <c r="Y926" s="442">
        <f>Ruimtestaat[[#This Row],[Uitvoeringen werkdagen]]*Ruimtestaat[[#This Row],[Gedeeltelijk]]</f>
        <v>0</v>
      </c>
      <c r="Z926" s="443" t="e">
        <f>IF(U926&gt;0,Ruimtestaat[[#This Row],[Prest. (m2 / jaar) werkdagen gedeeld]]/Ruimtestaat[[#This Row],[Norm (m2/uur) werkdagen]],0)</f>
        <v>#DIV/0!</v>
      </c>
      <c r="AA926" s="441" t="e">
        <f>Ruimtestaat[[#This Row],[uren / jaar werkdagen gedeeld]]*Tariefsopbouw!$E$35</f>
        <v>#DIV/0!</v>
      </c>
      <c r="AB926" s="441">
        <f>Ruimtestaat[[#This Row],[Uitvoeringen werkdagen]]*Ruimtestaat[[#This Row],[BSO]]</f>
        <v>0</v>
      </c>
      <c r="AC926" s="443" t="e">
        <f>IF(U926&gt;0,Ruimtestaat[[#This Row],[Prest. (m2 / jaar) werkdagen BSO]]/Ruimtestaat[[#This Row],[Norm (m2/uur) werkdagen]],0)</f>
        <v>#DIV/0!</v>
      </c>
      <c r="AD926" s="443" t="e">
        <f>Ruimtestaat[[#This Row],[uren / jaar werkdagen BSO]]*Tariefsopbouw!$E$35</f>
        <v>#DIV/0!</v>
      </c>
      <c r="AE926" s="444">
        <f>Ruimtestaat[[#This Row],[uren / jaar werkdagen]]*Tariefsopbouw!$E$35</f>
        <v>0</v>
      </c>
      <c r="AF926" s="454"/>
      <c r="AG926" s="455">
        <f>IF(Ruimtestaat[[#This Row],[Frequentie weekend]]&gt;0,VALUE(LEFT(AF926,1))*S926,0)</f>
        <v>0</v>
      </c>
      <c r="AH926" s="455">
        <f>IF($AG926&gt;0,VLOOKUP($J926,Ruimtegroepen[],3,FALSE)*VLOOKUP($L926,Vloersoorten[],3,FALSE)*VLOOKUP($AF926,Frequenties[],3,FALSE)*VLOOKUP(#REF!,Locaties[],3,FALSE),0)</f>
        <v>0</v>
      </c>
      <c r="AI926" s="434">
        <f>Ruimtestaat[[#This Row],[Uitvoeringen weekend]]*Ruimtestaat[[#This Row],[Oppervlak (netto)]]</f>
        <v>0</v>
      </c>
      <c r="AJ926" s="434">
        <f>IF(AH926&gt;0,Ruimtestaat[[#This Row],[Prest. (m2 /jaar) weekend]]/Ruimtestaat[[#This Row],[Norm (m2/uur) weekend]],0)</f>
        <v>0</v>
      </c>
      <c r="AK926" s="444">
        <f>Ruimtestaat[[#This Row],[uren / jaar weekend]]*Tariefsopbouw!$D$40</f>
        <v>0</v>
      </c>
      <c r="AL926" s="441">
        <f>Ruimtestaat[[#This Row],[Prest. (m2 /jaar) weekend]]+Ruimtestaat[[#This Row],[Prest. (m2 /jaar) werkdagen]]</f>
        <v>8400</v>
      </c>
      <c r="AM926" s="441">
        <f>Ruimtestaat[[#This Row],[uren / jaar weekend]]+Ruimtestaat[[#This Row],[uren / jaar werkdagen]]</f>
        <v>0</v>
      </c>
      <c r="AN926" s="446">
        <f>Ruimtestaat[[#This Row],[kosten / jaar weekend]]+Ruimtestaat[[#This Row],[kosten / jaar werkdagen]]</f>
        <v>0</v>
      </c>
      <c r="AO926" s="446"/>
      <c r="AP926" s="446" t="str">
        <f>IF(Ruimtestaat[[#This Row],[Frequentie werkdagen]]="","",_xlfn.CONCAT(Ruimtestaat[[#This Row],[Ruimte code]],"-",Ruimtestaat[[#This Row],[Frequentie werkdagen]]," ",Ruimtestaat[[#This Row],[Vloer code]]))</f>
        <v>16-5w L</v>
      </c>
      <c r="AQ926" s="448" t="str">
        <f>_xlfn.IFNA(VLOOKUP($AP926,Programma!$F$3:$G$1101,2,0),"")</f>
        <v>_</v>
      </c>
      <c r="AR926" s="448" t="str">
        <f>_xlfn.IFNA(VLOOKUP($AP926,Programma!$F$3:$H$1101,3,0),"")</f>
        <v>_</v>
      </c>
      <c r="AS926" s="448" t="str">
        <f>_xlfn.IFNA(VLOOKUP($AP926,Programma!$F$3:$I$1101,4,0),"")</f>
        <v>4w</v>
      </c>
      <c r="AT926" s="448" t="str">
        <f>_xlfn.IFNA(VLOOKUP($AP926,Programma!$F$3:$J$1101,5,0),"")</f>
        <v>1w</v>
      </c>
      <c r="AU926" s="448" t="str">
        <f>_xlfn.IFNA(VLOOKUP($AP926,Programma!$F$3:$K$1101,6,0),"")</f>
        <v>_</v>
      </c>
      <c r="AV926" s="448" t="str">
        <f>_xlfn.IFNA(VLOOKUP($AP926,Programma!$F$3:$L$1101,7,0),"")</f>
        <v>_</v>
      </c>
      <c r="AW926" s="448" t="str">
        <f>_xlfn.IFNA(VLOOKUP($AP926,Programma!$F$3:$M$1101,8,0),"")</f>
        <v>_</v>
      </c>
      <c r="AX926" s="448" t="str">
        <f>_xlfn.IFNA(VLOOKUP($AP926,Programma!$F$3:$N$1101,9,0),"")</f>
        <v>_</v>
      </c>
      <c r="AY926" s="448" t="str">
        <f>_xlfn.IFNA(VLOOKUP($AP926,Programma!$F$3:$O$1101,10,0),"")</f>
        <v>5w</v>
      </c>
      <c r="AZ926" s="448" t="str">
        <f>_xlfn.IFNA(VLOOKUP($AP926,Programma!$F$3:$P$1101,11,0),"")</f>
        <v>5w</v>
      </c>
      <c r="BA926" s="448" t="str">
        <f>_xlfn.IFNA(VLOOKUP($AP926,Programma!$F$3:$Q$1101,12,0),"")</f>
        <v>1w</v>
      </c>
      <c r="BB926" s="448" t="str">
        <f>_xlfn.IFNA(VLOOKUP($AP926,Programma!$F$3:$R$1101,13,0),"")</f>
        <v>1w</v>
      </c>
      <c r="BC926" s="448" t="str">
        <f>_xlfn.IFNA(VLOOKUP($AP926,Programma!$F$3:$S$1101,14,0),"")</f>
        <v>1m</v>
      </c>
      <c r="BD926" s="448" t="str">
        <f>_xlfn.IFNA(VLOOKUP($AP926,Programma!$F$3:$T$1101,15,0),"")</f>
        <v>2j</v>
      </c>
      <c r="BE926" s="448" t="str">
        <f>_xlfn.IFNA(VLOOKUP($AP926,Programma!$F$3:$U$1101,16,0),"")</f>
        <v>1j</v>
      </c>
      <c r="BF926" s="448" t="str">
        <f>_xlfn.IFNA(VLOOKUP($AP926,Programma!$F$3:$V$1101,17,0),"")</f>
        <v>_</v>
      </c>
      <c r="BG926" s="448" t="str">
        <f>_xlfn.IFNA(VLOOKUP($AP926,Programma!$F$3:$W$1101,18,0),"")</f>
        <v>_</v>
      </c>
      <c r="BH926" s="448" t="str">
        <f>_xlfn.IFNA(VLOOKUP($AP926,Programma!$F$3:$X$1101,19,0),"")</f>
        <v>_</v>
      </c>
      <c r="BI926" s="448" t="str">
        <f>_xlfn.IFNA(VLOOKUP($AP926,Programma!$F$3:$Y$1101,20,0),"")</f>
        <v>_</v>
      </c>
      <c r="BJ926" s="449"/>
      <c r="BK926" s="446" t="str">
        <f>IF(Ruimtestaat[[#This Row],[Frequentie weekend]]="","",_xlfn.CONCAT(Ruimtestaat[[#This Row],[Ruimte code]],"-",Ruimtestaat[[#This Row],[Frequentie weekend]]," ",Ruimtestaat[[#This Row],[Vloer code]]))</f>
        <v/>
      </c>
      <c r="BL926" s="448" t="str">
        <f>_xlfn.IFNA(VLOOKUP($BK926,Programma!$F$3:$G$1101,2,0),"")</f>
        <v/>
      </c>
      <c r="BM926" s="448" t="str">
        <f>_xlfn.IFNA(VLOOKUP($BK926,Programma!$F$3:$H$1101,3,0),"")</f>
        <v/>
      </c>
      <c r="BN926" s="448" t="str">
        <f>_xlfn.IFNA(VLOOKUP($BK926,Programma!$F$3:$I$1101,4,0),"")</f>
        <v/>
      </c>
      <c r="BO926" s="448" t="str">
        <f>_xlfn.IFNA(VLOOKUP($BK926,Programma!$F$3:$J$1101,5,0),"")</f>
        <v/>
      </c>
      <c r="BP926" s="448" t="str">
        <f>_xlfn.IFNA(VLOOKUP($BK926,Programma!$F$3:$K$1101,6,0),"")</f>
        <v/>
      </c>
      <c r="BQ926" s="448" t="str">
        <f>_xlfn.IFNA(VLOOKUP($BK926,Programma!$F$3:$L$1101,7,0),"")</f>
        <v/>
      </c>
      <c r="BR926" s="448" t="str">
        <f>_xlfn.IFNA(VLOOKUP($BK926,Programma!$F$3:$M$1101,8,0),"")</f>
        <v/>
      </c>
      <c r="BS926" s="448" t="str">
        <f>_xlfn.IFNA(VLOOKUP($BK926,Programma!$F$3:$N$1101,9,0),"")</f>
        <v/>
      </c>
      <c r="BT926" s="448" t="str">
        <f>_xlfn.IFNA(VLOOKUP($BK926,Programma!$F$3:$O$1101,10,0),"")</f>
        <v/>
      </c>
      <c r="BU926" s="448" t="str">
        <f>_xlfn.IFNA(VLOOKUP($BK926,Programma!$F$3:$P$1101,11,0),"")</f>
        <v/>
      </c>
      <c r="BV926" s="448" t="str">
        <f>_xlfn.IFNA(VLOOKUP($BK926,Programma!$F$3:$Q$1101,12,0),"")</f>
        <v/>
      </c>
      <c r="BW926" s="448" t="str">
        <f>_xlfn.IFNA(VLOOKUP($BK926,Programma!$F$3:$R$1101,13,0),"")</f>
        <v/>
      </c>
      <c r="BX926" s="448" t="str">
        <f>_xlfn.IFNA(VLOOKUP($BK926,Programma!$F$3:$S$1101,14,0),"")</f>
        <v/>
      </c>
      <c r="BY926" s="448" t="str">
        <f>_xlfn.IFNA(VLOOKUP($BK926,Programma!$F$3:$T$1101,15,0),"")</f>
        <v/>
      </c>
      <c r="BZ926" s="448" t="str">
        <f>_xlfn.IFNA(VLOOKUP($BK926,Programma!$F$3:$U$1101,16,0),"")</f>
        <v/>
      </c>
      <c r="CA926" s="448" t="str">
        <f>_xlfn.IFNA(VLOOKUP($BK926,Programma!$F$3:$V$1101,17,0),"")</f>
        <v/>
      </c>
      <c r="CB926" s="448" t="str">
        <f>_xlfn.IFNA(VLOOKUP($BK926,Programma!$F$3:$W$1101,18,0),"")</f>
        <v/>
      </c>
      <c r="CC926" s="448" t="str">
        <f>_xlfn.IFNA(VLOOKUP($BK926,Programma!$F$3:$X$1101,19,0),"")</f>
        <v/>
      </c>
      <c r="CD926" s="448" t="str">
        <f>_xlfn.IFNA(VLOOKUP($BK926,Programma!$F$3:$Y$1101,20,0),"")</f>
        <v/>
      </c>
    </row>
    <row r="927" spans="1:82" ht="15" customHeight="1">
      <c r="A927" s="327">
        <v>25</v>
      </c>
      <c r="B927" s="435" t="str">
        <f>VLOOKUP(Ruimtestaat[[#This Row],[Code]],Locaties[[Code]:[Locatie]],2,FALSE)</f>
        <v>IKC De Piramide</v>
      </c>
      <c r="C927" s="435" t="str">
        <f>VLOOKUP(Ruimtestaat[[#This Row],[Code]],Locaties[[#All],[Code]:[Adres]],4,FALSE)</f>
        <v>Fivelingo 84</v>
      </c>
      <c r="D927" s="435" t="str">
        <f>VLOOKUP(Ruimtestaat[[#This Row],[Code]],Locaties[[#All],[Code]:[Postcode]],5,FALSE)</f>
        <v>2716 BG</v>
      </c>
      <c r="E927" s="435" t="str">
        <f>VLOOKUP(Ruimtestaat[[#This Row],[Code]],Locaties[#All],6,FALSE)</f>
        <v>Zoetermeer</v>
      </c>
      <c r="F927" s="450" t="s">
        <v>2059</v>
      </c>
      <c r="G927" s="330" t="s">
        <v>1678</v>
      </c>
      <c r="H927" s="330" t="s">
        <v>2085</v>
      </c>
      <c r="I927" s="450" t="s">
        <v>1708</v>
      </c>
      <c r="J927" s="330">
        <v>6</v>
      </c>
      <c r="K927" s="450" t="str">
        <f>VLOOKUP(Ruimtestaat[[#This Row],[Ruimte code]],Ruimtegroepen[[#All],[Code]:[Ruimte omschrijving]],2,FALSE)</f>
        <v>Gangen/hallen</v>
      </c>
      <c r="L927" s="330" t="s">
        <v>101</v>
      </c>
      <c r="M927" s="437" t="s">
        <v>1816</v>
      </c>
      <c r="N927" s="439">
        <v>111</v>
      </c>
      <c r="O927" s="439"/>
      <c r="P927" s="439"/>
      <c r="Q927" s="439"/>
      <c r="R927" s="440" t="str">
        <f>VLOOKUP(Ruimtestaat[[#This Row],[Ruimte code]],Ruimtegroepen[],4,FALSE)</f>
        <v>Ve</v>
      </c>
      <c r="S927" s="434">
        <v>41</v>
      </c>
      <c r="T927" s="434" t="s">
        <v>2</v>
      </c>
      <c r="U927" s="453">
        <f>IF(S927&gt;0,IF(RIGHT(Ruimtestaat[[#This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27" s="434">
        <f>IF(U927&gt;0,VLOOKUP($J927,Ruimtegroepen[],3,FALSE)*VLOOKUP($L927,Vloersoorten[],3,FALSE)*VLOOKUP($T927,Frequenties[],3,FALSE)*VLOOKUP($A927,Locaties[],3,FALSE),0)</f>
        <v>0</v>
      </c>
      <c r="W927" s="434">
        <f>Ruimtestaat[[#This Row],[Uitvoeringen werkdagen]]*Ruimtestaat[[#This Row],[Oppervlak (netto)]]</f>
        <v>22755</v>
      </c>
      <c r="X927" s="441">
        <f>IF(V927&gt;0,Ruimtestaat[[#This Row],[Prest. (m2 /jaar) werkdagen]]/Ruimtestaat[[#This Row],[Norm (m2/uur) werkdagen]],0)</f>
        <v>0</v>
      </c>
      <c r="Y927" s="442">
        <f>Ruimtestaat[[#This Row],[Uitvoeringen werkdagen]]*Ruimtestaat[[#This Row],[Gedeeltelijk]]</f>
        <v>0</v>
      </c>
      <c r="Z927" s="443" t="e">
        <f>IF(U927&gt;0,Ruimtestaat[[#This Row],[Prest. (m2 / jaar) werkdagen gedeeld]]/Ruimtestaat[[#This Row],[Norm (m2/uur) werkdagen]],0)</f>
        <v>#DIV/0!</v>
      </c>
      <c r="AA927" s="441" t="e">
        <f>Ruimtestaat[[#This Row],[uren / jaar werkdagen gedeeld]]*Tariefsopbouw!$E$35</f>
        <v>#DIV/0!</v>
      </c>
      <c r="AB927" s="441">
        <f>Ruimtestaat[[#This Row],[Uitvoeringen werkdagen]]*Ruimtestaat[[#This Row],[BSO]]</f>
        <v>0</v>
      </c>
      <c r="AC927" s="443" t="e">
        <f>IF(U927&gt;0,Ruimtestaat[[#This Row],[Prest. (m2 / jaar) werkdagen BSO]]/Ruimtestaat[[#This Row],[Norm (m2/uur) werkdagen]],0)</f>
        <v>#DIV/0!</v>
      </c>
      <c r="AD927" s="443" t="e">
        <f>Ruimtestaat[[#This Row],[uren / jaar werkdagen BSO]]*Tariefsopbouw!$E$35</f>
        <v>#DIV/0!</v>
      </c>
      <c r="AE927" s="444">
        <f>Ruimtestaat[[#This Row],[uren / jaar werkdagen]]*Tariefsopbouw!$E$35</f>
        <v>0</v>
      </c>
      <c r="AF927" s="454"/>
      <c r="AG927" s="455">
        <f>IF(Ruimtestaat[[#This Row],[Frequentie weekend]]&gt;0,VALUE(LEFT(AF927,1))*S927,0)</f>
        <v>0</v>
      </c>
      <c r="AH927" s="455">
        <f>IF($AG927&gt;0,VLOOKUP($J927,Ruimtegroepen[],3,FALSE)*VLOOKUP($L927,Vloersoorten[],3,FALSE)*VLOOKUP($AF927,Frequenties[],3,FALSE)*VLOOKUP(#REF!,Locaties[],3,FALSE),0)</f>
        <v>0</v>
      </c>
      <c r="AI927" s="434">
        <f>Ruimtestaat[[#This Row],[Uitvoeringen weekend]]*Ruimtestaat[[#This Row],[Oppervlak (netto)]]</f>
        <v>0</v>
      </c>
      <c r="AJ927" s="434">
        <f>IF(AH927&gt;0,Ruimtestaat[[#This Row],[Prest. (m2 /jaar) weekend]]/Ruimtestaat[[#This Row],[Norm (m2/uur) weekend]],0)</f>
        <v>0</v>
      </c>
      <c r="AK927" s="444">
        <f>Ruimtestaat[[#This Row],[uren / jaar weekend]]*Tariefsopbouw!$D$40</f>
        <v>0</v>
      </c>
      <c r="AL927" s="441">
        <f>Ruimtestaat[[#This Row],[Prest. (m2 /jaar) weekend]]+Ruimtestaat[[#This Row],[Prest. (m2 /jaar) werkdagen]]</f>
        <v>22755</v>
      </c>
      <c r="AM927" s="441">
        <f>Ruimtestaat[[#This Row],[uren / jaar weekend]]+Ruimtestaat[[#This Row],[uren / jaar werkdagen]]</f>
        <v>0</v>
      </c>
      <c r="AN927" s="446">
        <f>Ruimtestaat[[#This Row],[kosten / jaar weekend]]+Ruimtestaat[[#This Row],[kosten / jaar werkdagen]]</f>
        <v>0</v>
      </c>
      <c r="AO927" s="446"/>
      <c r="AP927" s="446" t="str">
        <f>IF(Ruimtestaat[[#This Row],[Frequentie werkdagen]]="","",_xlfn.CONCAT(Ruimtestaat[[#This Row],[Ruimte code]],"-",Ruimtestaat[[#This Row],[Frequentie werkdagen]]," ",Ruimtestaat[[#This Row],[Vloer code]]))</f>
        <v>6-5w S</v>
      </c>
      <c r="AQ927" s="448" t="str">
        <f>_xlfn.IFNA(VLOOKUP($AP927,Programma!$F$3:$G$1101,2,0),"")</f>
        <v>_</v>
      </c>
      <c r="AR927" s="448" t="str">
        <f>_xlfn.IFNA(VLOOKUP($AP927,Programma!$F$3:$H$1101,3,0),"")</f>
        <v>_</v>
      </c>
      <c r="AS927" s="448" t="str">
        <f>_xlfn.IFNA(VLOOKUP($AP927,Programma!$F$3:$I$1101,4,0),"")</f>
        <v>5w</v>
      </c>
      <c r="AT927" s="448" t="str">
        <f>_xlfn.IFNA(VLOOKUP($AP927,Programma!$F$3:$J$1101,5,0),"")</f>
        <v>_</v>
      </c>
      <c r="AU927" s="448" t="str">
        <f>_xlfn.IFNA(VLOOKUP($AP927,Programma!$F$3:$K$1101,6,0),"")</f>
        <v>5w</v>
      </c>
      <c r="AV927" s="448" t="str">
        <f>_xlfn.IFNA(VLOOKUP($AP927,Programma!$F$3:$L$1101,7,0),"")</f>
        <v>_</v>
      </c>
      <c r="AW927" s="448" t="str">
        <f>_xlfn.IFNA(VLOOKUP($AP927,Programma!$F$3:$M$1101,8,0),"")</f>
        <v>_</v>
      </c>
      <c r="AX927" s="448" t="str">
        <f>_xlfn.IFNA(VLOOKUP($AP927,Programma!$F$3:$N$1101,9,0),"")</f>
        <v>_</v>
      </c>
      <c r="AY927" s="448" t="str">
        <f>_xlfn.IFNA(VLOOKUP($AP927,Programma!$F$3:$O$1101,10,0),"")</f>
        <v>5w</v>
      </c>
      <c r="AZ927" s="448" t="str">
        <f>_xlfn.IFNA(VLOOKUP($AP927,Programma!$F$3:$P$1101,11,0),"")</f>
        <v>5w</v>
      </c>
      <c r="BA927" s="448" t="str">
        <f>_xlfn.IFNA(VLOOKUP($AP927,Programma!$F$3:$Q$1101,12,0),"")</f>
        <v>1w</v>
      </c>
      <c r="BB927" s="448" t="str">
        <f>_xlfn.IFNA(VLOOKUP($AP927,Programma!$F$3:$R$1101,13,0),"")</f>
        <v>1w</v>
      </c>
      <c r="BC927" s="448" t="str">
        <f>_xlfn.IFNA(VLOOKUP($AP927,Programma!$F$3:$S$1101,14,0),"")</f>
        <v>1m</v>
      </c>
      <c r="BD927" s="448" t="str">
        <f>_xlfn.IFNA(VLOOKUP($AP927,Programma!$F$3:$T$1101,15,0),"")</f>
        <v>2j</v>
      </c>
      <c r="BE927" s="448" t="str">
        <f>_xlfn.IFNA(VLOOKUP($AP927,Programma!$F$3:$U$1101,16,0),"")</f>
        <v>1j</v>
      </c>
      <c r="BF927" s="448" t="str">
        <f>_xlfn.IFNA(VLOOKUP($AP927,Programma!$F$3:$V$1101,17,0),"")</f>
        <v>_</v>
      </c>
      <c r="BG927" s="448" t="str">
        <f>_xlfn.IFNA(VLOOKUP($AP927,Programma!$F$3:$W$1101,18,0),"")</f>
        <v>_</v>
      </c>
      <c r="BH927" s="448" t="str">
        <f>_xlfn.IFNA(VLOOKUP($AP927,Programma!$F$3:$X$1101,19,0),"")</f>
        <v>_</v>
      </c>
      <c r="BI927" s="448" t="str">
        <f>_xlfn.IFNA(VLOOKUP($AP927,Programma!$F$3:$Y$1101,20,0),"")</f>
        <v>_</v>
      </c>
      <c r="BJ927" s="449"/>
      <c r="BK927" s="446" t="str">
        <f>IF(Ruimtestaat[[#This Row],[Frequentie weekend]]="","",_xlfn.CONCAT(Ruimtestaat[[#This Row],[Ruimte code]],"-",Ruimtestaat[[#This Row],[Frequentie weekend]]," ",Ruimtestaat[[#This Row],[Vloer code]]))</f>
        <v/>
      </c>
      <c r="BL927" s="448" t="str">
        <f>_xlfn.IFNA(VLOOKUP($BK927,Programma!$F$3:$G$1101,2,0),"")</f>
        <v/>
      </c>
      <c r="BM927" s="448" t="str">
        <f>_xlfn.IFNA(VLOOKUP($BK927,Programma!$F$3:$H$1101,3,0),"")</f>
        <v/>
      </c>
      <c r="BN927" s="448" t="str">
        <f>_xlfn.IFNA(VLOOKUP($BK927,Programma!$F$3:$I$1101,4,0),"")</f>
        <v/>
      </c>
      <c r="BO927" s="448" t="str">
        <f>_xlfn.IFNA(VLOOKUP($BK927,Programma!$F$3:$J$1101,5,0),"")</f>
        <v/>
      </c>
      <c r="BP927" s="448" t="str">
        <f>_xlfn.IFNA(VLOOKUP($BK927,Programma!$F$3:$K$1101,6,0),"")</f>
        <v/>
      </c>
      <c r="BQ927" s="448" t="str">
        <f>_xlfn.IFNA(VLOOKUP($BK927,Programma!$F$3:$L$1101,7,0),"")</f>
        <v/>
      </c>
      <c r="BR927" s="448" t="str">
        <f>_xlfn.IFNA(VLOOKUP($BK927,Programma!$F$3:$M$1101,8,0),"")</f>
        <v/>
      </c>
      <c r="BS927" s="448" t="str">
        <f>_xlfn.IFNA(VLOOKUP($BK927,Programma!$F$3:$N$1101,9,0),"")</f>
        <v/>
      </c>
      <c r="BT927" s="448" t="str">
        <f>_xlfn.IFNA(VLOOKUP($BK927,Programma!$F$3:$O$1101,10,0),"")</f>
        <v/>
      </c>
      <c r="BU927" s="448" t="str">
        <f>_xlfn.IFNA(VLOOKUP($BK927,Programma!$F$3:$P$1101,11,0),"")</f>
        <v/>
      </c>
      <c r="BV927" s="448" t="str">
        <f>_xlfn.IFNA(VLOOKUP($BK927,Programma!$F$3:$Q$1101,12,0),"")</f>
        <v/>
      </c>
      <c r="BW927" s="448" t="str">
        <f>_xlfn.IFNA(VLOOKUP($BK927,Programma!$F$3:$R$1101,13,0),"")</f>
        <v/>
      </c>
      <c r="BX927" s="448" t="str">
        <f>_xlfn.IFNA(VLOOKUP($BK927,Programma!$F$3:$S$1101,14,0),"")</f>
        <v/>
      </c>
      <c r="BY927" s="448" t="str">
        <f>_xlfn.IFNA(VLOOKUP($BK927,Programma!$F$3:$T$1101,15,0),"")</f>
        <v/>
      </c>
      <c r="BZ927" s="448" t="str">
        <f>_xlfn.IFNA(VLOOKUP($BK927,Programma!$F$3:$U$1101,16,0),"")</f>
        <v/>
      </c>
      <c r="CA927" s="448" t="str">
        <f>_xlfn.IFNA(VLOOKUP($BK927,Programma!$F$3:$V$1101,17,0),"")</f>
        <v/>
      </c>
      <c r="CB927" s="448" t="str">
        <f>_xlfn.IFNA(VLOOKUP($BK927,Programma!$F$3:$W$1101,18,0),"")</f>
        <v/>
      </c>
      <c r="CC927" s="448" t="str">
        <f>_xlfn.IFNA(VLOOKUP($BK927,Programma!$F$3:$X$1101,19,0),"")</f>
        <v/>
      </c>
      <c r="CD927" s="448" t="str">
        <f>_xlfn.IFNA(VLOOKUP($BK927,Programma!$F$3:$Y$1101,20,0),"")</f>
        <v/>
      </c>
    </row>
    <row r="928" spans="1:82" ht="15" customHeight="1">
      <c r="A928" s="327">
        <v>25</v>
      </c>
      <c r="B928" s="435" t="str">
        <f>VLOOKUP(Ruimtestaat[[#This Row],[Code]],Locaties[[Code]:[Locatie]],2,FALSE)</f>
        <v>IKC De Piramide</v>
      </c>
      <c r="C928" s="435" t="str">
        <f>VLOOKUP(Ruimtestaat[[#This Row],[Code]],Locaties[[#All],[Code]:[Adres]],4,FALSE)</f>
        <v>Fivelingo 84</v>
      </c>
      <c r="D928" s="435" t="str">
        <f>VLOOKUP(Ruimtestaat[[#This Row],[Code]],Locaties[[#All],[Code]:[Postcode]],5,FALSE)</f>
        <v>2716 BG</v>
      </c>
      <c r="E928" s="435" t="str">
        <f>VLOOKUP(Ruimtestaat[[#This Row],[Code]],Locaties[#All],6,FALSE)</f>
        <v>Zoetermeer</v>
      </c>
      <c r="F928" s="450" t="s">
        <v>2059</v>
      </c>
      <c r="G928" s="330" t="s">
        <v>1678</v>
      </c>
      <c r="H928" s="330" t="s">
        <v>1905</v>
      </c>
      <c r="I928" s="450" t="s">
        <v>2038</v>
      </c>
      <c r="J928" s="330">
        <v>10</v>
      </c>
      <c r="K928" s="450" t="str">
        <f>VLOOKUP(Ruimtestaat[[#This Row],[Ruimte code]],Ruimtegroepen[[#All],[Code]:[Ruimte omschrijving]],2,FALSE)</f>
        <v>Trappenhuizen/lift</v>
      </c>
      <c r="L928" s="330" t="s">
        <v>101</v>
      </c>
      <c r="M928" s="437" t="s">
        <v>2103</v>
      </c>
      <c r="N928" s="439">
        <v>10</v>
      </c>
      <c r="O928" s="439"/>
      <c r="P928" s="439"/>
      <c r="Q928" s="439"/>
      <c r="R928" s="440" t="str">
        <f>VLOOKUP(Ruimtestaat[[#This Row],[Ruimte code]],Ruimtegroepen[],4,FALSE)</f>
        <v>Ve</v>
      </c>
      <c r="S928" s="434">
        <v>41</v>
      </c>
      <c r="T928" s="434" t="s">
        <v>2</v>
      </c>
      <c r="U928" s="453">
        <f>IF(S928&gt;0,IF(RIGHT(Ruimtestaat[[#This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28" s="434">
        <f>IF(U928&gt;0,VLOOKUP($J928,Ruimtegroepen[],3,FALSE)*VLOOKUP($L928,Vloersoorten[],3,FALSE)*VLOOKUP($T928,Frequenties[],3,FALSE)*VLOOKUP($A928,Locaties[],3,FALSE),0)</f>
        <v>0</v>
      </c>
      <c r="W928" s="434">
        <f>Ruimtestaat[[#This Row],[Uitvoeringen werkdagen]]*Ruimtestaat[[#This Row],[Oppervlak (netto)]]</f>
        <v>2050</v>
      </c>
      <c r="X928" s="441">
        <f>IF(V928&gt;0,Ruimtestaat[[#This Row],[Prest. (m2 /jaar) werkdagen]]/Ruimtestaat[[#This Row],[Norm (m2/uur) werkdagen]],0)</f>
        <v>0</v>
      </c>
      <c r="Y928" s="442">
        <f>Ruimtestaat[[#This Row],[Uitvoeringen werkdagen]]*Ruimtestaat[[#This Row],[Gedeeltelijk]]</f>
        <v>0</v>
      </c>
      <c r="Z928" s="443" t="e">
        <f>IF(U928&gt;0,Ruimtestaat[[#This Row],[Prest. (m2 / jaar) werkdagen gedeeld]]/Ruimtestaat[[#This Row],[Norm (m2/uur) werkdagen]],0)</f>
        <v>#DIV/0!</v>
      </c>
      <c r="AA928" s="441" t="e">
        <f>Ruimtestaat[[#This Row],[uren / jaar werkdagen gedeeld]]*Tariefsopbouw!$E$35</f>
        <v>#DIV/0!</v>
      </c>
      <c r="AB928" s="441">
        <f>Ruimtestaat[[#This Row],[Uitvoeringen werkdagen]]*Ruimtestaat[[#This Row],[BSO]]</f>
        <v>0</v>
      </c>
      <c r="AC928" s="443" t="e">
        <f>IF(U928&gt;0,Ruimtestaat[[#This Row],[Prest. (m2 / jaar) werkdagen BSO]]/Ruimtestaat[[#This Row],[Norm (m2/uur) werkdagen]],0)</f>
        <v>#DIV/0!</v>
      </c>
      <c r="AD928" s="443" t="e">
        <f>Ruimtestaat[[#This Row],[uren / jaar werkdagen BSO]]*Tariefsopbouw!$E$35</f>
        <v>#DIV/0!</v>
      </c>
      <c r="AE928" s="444">
        <f>Ruimtestaat[[#This Row],[uren / jaar werkdagen]]*Tariefsopbouw!$E$35</f>
        <v>0</v>
      </c>
      <c r="AF928" s="454"/>
      <c r="AG928" s="455">
        <f>IF(Ruimtestaat[[#This Row],[Frequentie weekend]]&gt;0,VALUE(LEFT(AF928,1))*S928,0)</f>
        <v>0</v>
      </c>
      <c r="AH928" s="455">
        <f>IF($AG928&gt;0,VLOOKUP($J928,Ruimtegroepen[],3,FALSE)*VLOOKUP($L928,Vloersoorten[],3,FALSE)*VLOOKUP($AF928,Frequenties[],3,FALSE)*VLOOKUP(#REF!,Locaties[],3,FALSE),0)</f>
        <v>0</v>
      </c>
      <c r="AI928" s="434">
        <f>Ruimtestaat[[#This Row],[Uitvoeringen weekend]]*Ruimtestaat[[#This Row],[Oppervlak (netto)]]</f>
        <v>0</v>
      </c>
      <c r="AJ928" s="434">
        <f>IF(AH928&gt;0,Ruimtestaat[[#This Row],[Prest. (m2 /jaar) weekend]]/Ruimtestaat[[#This Row],[Norm (m2/uur) weekend]],0)</f>
        <v>0</v>
      </c>
      <c r="AK928" s="444">
        <f>Ruimtestaat[[#This Row],[uren / jaar weekend]]*Tariefsopbouw!$D$40</f>
        <v>0</v>
      </c>
      <c r="AL928" s="441">
        <f>Ruimtestaat[[#This Row],[Prest. (m2 /jaar) weekend]]+Ruimtestaat[[#This Row],[Prest. (m2 /jaar) werkdagen]]</f>
        <v>2050</v>
      </c>
      <c r="AM928" s="441">
        <f>Ruimtestaat[[#This Row],[uren / jaar weekend]]+Ruimtestaat[[#This Row],[uren / jaar werkdagen]]</f>
        <v>0</v>
      </c>
      <c r="AN928" s="446">
        <f>Ruimtestaat[[#This Row],[kosten / jaar weekend]]+Ruimtestaat[[#This Row],[kosten / jaar werkdagen]]</f>
        <v>0</v>
      </c>
      <c r="AO928" s="446"/>
      <c r="AP928" s="446" t="str">
        <f>IF(Ruimtestaat[[#This Row],[Frequentie werkdagen]]="","",_xlfn.CONCAT(Ruimtestaat[[#This Row],[Ruimte code]],"-",Ruimtestaat[[#This Row],[Frequentie werkdagen]]," ",Ruimtestaat[[#This Row],[Vloer code]]))</f>
        <v>10-5w S</v>
      </c>
      <c r="AQ928" s="448" t="str">
        <f>_xlfn.IFNA(VLOOKUP($AP928,Programma!$F$3:$G$1101,2,0),"")</f>
        <v>_</v>
      </c>
      <c r="AR928" s="448" t="str">
        <f>_xlfn.IFNA(VLOOKUP($AP928,Programma!$F$3:$H$1101,3,0),"")</f>
        <v>_</v>
      </c>
      <c r="AS928" s="448" t="str">
        <f>_xlfn.IFNA(VLOOKUP($AP928,Programma!$F$3:$I$1101,4,0),"")</f>
        <v>4w</v>
      </c>
      <c r="AT928" s="448" t="str">
        <f>_xlfn.IFNA(VLOOKUP($AP928,Programma!$F$3:$J$1101,5,0),"")</f>
        <v>1w</v>
      </c>
      <c r="AU928" s="448" t="str">
        <f>_xlfn.IFNA(VLOOKUP($AP928,Programma!$F$3:$K$1101,6,0),"")</f>
        <v>4j</v>
      </c>
      <c r="AV928" s="448" t="str">
        <f>_xlfn.IFNA(VLOOKUP($AP928,Programma!$F$3:$L$1101,7,0),"")</f>
        <v>_</v>
      </c>
      <c r="AW928" s="448" t="str">
        <f>_xlfn.IFNA(VLOOKUP($AP928,Programma!$F$3:$M$1101,8,0),"")</f>
        <v>_</v>
      </c>
      <c r="AX928" s="448" t="str">
        <f>_xlfn.IFNA(VLOOKUP($AP928,Programma!$F$3:$N$1101,9,0),"")</f>
        <v>_</v>
      </c>
      <c r="AY928" s="448" t="str">
        <f>_xlfn.IFNA(VLOOKUP($AP928,Programma!$F$3:$O$1101,10,0),"")</f>
        <v>5w</v>
      </c>
      <c r="AZ928" s="448" t="str">
        <f>_xlfn.IFNA(VLOOKUP($AP928,Programma!$F$3:$P$1101,11,0),"")</f>
        <v>5w</v>
      </c>
      <c r="BA928" s="448" t="str">
        <f>_xlfn.IFNA(VLOOKUP($AP928,Programma!$F$3:$Q$1101,12,0),"")</f>
        <v>1w</v>
      </c>
      <c r="BB928" s="448" t="str">
        <f>_xlfn.IFNA(VLOOKUP($AP928,Programma!$F$3:$R$1101,13,0),"")</f>
        <v>1w</v>
      </c>
      <c r="BC928" s="448" t="str">
        <f>_xlfn.IFNA(VLOOKUP($AP928,Programma!$F$3:$S$1101,14,0),"")</f>
        <v>1m</v>
      </c>
      <c r="BD928" s="448" t="str">
        <f>_xlfn.IFNA(VLOOKUP($AP928,Programma!$F$3:$T$1101,15,0),"")</f>
        <v>2j</v>
      </c>
      <c r="BE928" s="448" t="str">
        <f>_xlfn.IFNA(VLOOKUP($AP928,Programma!$F$3:$U$1101,16,0),"")</f>
        <v>1j</v>
      </c>
      <c r="BF928" s="448" t="str">
        <f>_xlfn.IFNA(VLOOKUP($AP928,Programma!$F$3:$V$1101,17,0),"")</f>
        <v>_</v>
      </c>
      <c r="BG928" s="448" t="str">
        <f>_xlfn.IFNA(VLOOKUP($AP928,Programma!$F$3:$W$1101,18,0),"")</f>
        <v>_</v>
      </c>
      <c r="BH928" s="448" t="str">
        <f>_xlfn.IFNA(VLOOKUP($AP928,Programma!$F$3:$X$1101,19,0),"")</f>
        <v>_</v>
      </c>
      <c r="BI928" s="448" t="str">
        <f>_xlfn.IFNA(VLOOKUP($AP928,Programma!$F$3:$Y$1101,20,0),"")</f>
        <v>_</v>
      </c>
      <c r="BJ928" s="449"/>
      <c r="BK928" s="446" t="str">
        <f>IF(Ruimtestaat[[#This Row],[Frequentie weekend]]="","",_xlfn.CONCAT(Ruimtestaat[[#This Row],[Ruimte code]],"-",Ruimtestaat[[#This Row],[Frequentie weekend]]," ",Ruimtestaat[[#This Row],[Vloer code]]))</f>
        <v/>
      </c>
      <c r="BL928" s="448" t="str">
        <f>_xlfn.IFNA(VLOOKUP($BK928,Programma!$F$3:$G$1101,2,0),"")</f>
        <v/>
      </c>
      <c r="BM928" s="448" t="str">
        <f>_xlfn.IFNA(VLOOKUP($BK928,Programma!$F$3:$H$1101,3,0),"")</f>
        <v/>
      </c>
      <c r="BN928" s="448" t="str">
        <f>_xlfn.IFNA(VLOOKUP($BK928,Programma!$F$3:$I$1101,4,0),"")</f>
        <v/>
      </c>
      <c r="BO928" s="448" t="str">
        <f>_xlfn.IFNA(VLOOKUP($BK928,Programma!$F$3:$J$1101,5,0),"")</f>
        <v/>
      </c>
      <c r="BP928" s="448" t="str">
        <f>_xlfn.IFNA(VLOOKUP($BK928,Programma!$F$3:$K$1101,6,0),"")</f>
        <v/>
      </c>
      <c r="BQ928" s="448" t="str">
        <f>_xlfn.IFNA(VLOOKUP($BK928,Programma!$F$3:$L$1101,7,0),"")</f>
        <v/>
      </c>
      <c r="BR928" s="448" t="str">
        <f>_xlfn.IFNA(VLOOKUP($BK928,Programma!$F$3:$M$1101,8,0),"")</f>
        <v/>
      </c>
      <c r="BS928" s="448" t="str">
        <f>_xlfn.IFNA(VLOOKUP($BK928,Programma!$F$3:$N$1101,9,0),"")</f>
        <v/>
      </c>
      <c r="BT928" s="448" t="str">
        <f>_xlfn.IFNA(VLOOKUP($BK928,Programma!$F$3:$O$1101,10,0),"")</f>
        <v/>
      </c>
      <c r="BU928" s="448" t="str">
        <f>_xlfn.IFNA(VLOOKUP($BK928,Programma!$F$3:$P$1101,11,0),"")</f>
        <v/>
      </c>
      <c r="BV928" s="448" t="str">
        <f>_xlfn.IFNA(VLOOKUP($BK928,Programma!$F$3:$Q$1101,12,0),"")</f>
        <v/>
      </c>
      <c r="BW928" s="448" t="str">
        <f>_xlfn.IFNA(VLOOKUP($BK928,Programma!$F$3:$R$1101,13,0),"")</f>
        <v/>
      </c>
      <c r="BX928" s="448" t="str">
        <f>_xlfn.IFNA(VLOOKUP($BK928,Programma!$F$3:$S$1101,14,0),"")</f>
        <v/>
      </c>
      <c r="BY928" s="448" t="str">
        <f>_xlfn.IFNA(VLOOKUP($BK928,Programma!$F$3:$T$1101,15,0),"")</f>
        <v/>
      </c>
      <c r="BZ928" s="448" t="str">
        <f>_xlfn.IFNA(VLOOKUP($BK928,Programma!$F$3:$U$1101,16,0),"")</f>
        <v/>
      </c>
      <c r="CA928" s="448" t="str">
        <f>_xlfn.IFNA(VLOOKUP($BK928,Programma!$F$3:$V$1101,17,0),"")</f>
        <v/>
      </c>
      <c r="CB928" s="448" t="str">
        <f>_xlfn.IFNA(VLOOKUP($BK928,Programma!$F$3:$W$1101,18,0),"")</f>
        <v/>
      </c>
      <c r="CC928" s="448" t="str">
        <f>_xlfn.IFNA(VLOOKUP($BK928,Programma!$F$3:$X$1101,19,0),"")</f>
        <v/>
      </c>
      <c r="CD928" s="448" t="str">
        <f>_xlfn.IFNA(VLOOKUP($BK928,Programma!$F$3:$Y$1101,20,0),"")</f>
        <v/>
      </c>
    </row>
    <row r="929" spans="1:82" ht="15" customHeight="1">
      <c r="A929" s="327">
        <v>25</v>
      </c>
      <c r="B929" s="435" t="str">
        <f>VLOOKUP(Ruimtestaat[[#This Row],[Code]],Locaties[[Code]:[Locatie]],2,FALSE)</f>
        <v>IKC De Piramide</v>
      </c>
      <c r="C929" s="435" t="str">
        <f>VLOOKUP(Ruimtestaat[[#This Row],[Code]],Locaties[[#All],[Code]:[Adres]],4,FALSE)</f>
        <v>Fivelingo 84</v>
      </c>
      <c r="D929" s="435" t="str">
        <f>VLOOKUP(Ruimtestaat[[#This Row],[Code]],Locaties[[#All],[Code]:[Postcode]],5,FALSE)</f>
        <v>2716 BG</v>
      </c>
      <c r="E929" s="435" t="str">
        <f>VLOOKUP(Ruimtestaat[[#This Row],[Code]],Locaties[#All],6,FALSE)</f>
        <v>Zoetermeer</v>
      </c>
      <c r="F929" s="450" t="s">
        <v>2059</v>
      </c>
      <c r="G929" s="330" t="s">
        <v>1678</v>
      </c>
      <c r="H929" s="330" t="s">
        <v>1907</v>
      </c>
      <c r="I929" s="450" t="s">
        <v>2086</v>
      </c>
      <c r="J929" s="330">
        <v>7</v>
      </c>
      <c r="K929" s="450" t="str">
        <f>VLOOKUP(Ruimtestaat[[#This Row],[Ruimte code]],Ruimtegroepen[[#All],[Code]:[Ruimte omschrijving]],2,FALSE)</f>
        <v>Entree</v>
      </c>
      <c r="L929" s="330" t="s">
        <v>101</v>
      </c>
      <c r="M929" s="437" t="s">
        <v>2103</v>
      </c>
      <c r="N929" s="439">
        <v>4</v>
      </c>
      <c r="O929" s="439"/>
      <c r="P929" s="439"/>
      <c r="Q929" s="439"/>
      <c r="R929" s="440" t="str">
        <f>VLOOKUP(Ruimtestaat[[#This Row],[Ruimte code]],Ruimtegroepen[],4,FALSE)</f>
        <v>Ve</v>
      </c>
      <c r="S929" s="434">
        <v>41</v>
      </c>
      <c r="T929" s="434" t="s">
        <v>2</v>
      </c>
      <c r="U929" s="453">
        <f>IF(S929&gt;0,IF(RIGHT(Ruimtestaat[[#This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V929" s="434">
        <f>IF(U929&gt;0,VLOOKUP($J929,Ruimtegroepen[],3,FALSE)*VLOOKUP($L929,Vloersoorten[],3,FALSE)*VLOOKUP($T929,Frequenties[],3,FALSE)*VLOOKUP($A929,Locaties[],3,FALSE),0)</f>
        <v>0</v>
      </c>
      <c r="W929" s="434">
        <f>Ruimtestaat[[#This Row],[Uitvoeringen werkdagen]]*Ruimtestaat[[#This Row],[Oppervlak (netto)]]</f>
        <v>820</v>
      </c>
      <c r="X929" s="441">
        <f>IF(V929&gt;0,Ruimtestaat[[#This Row],[Prest. (m2 /jaar) werkdagen]]/Ruimtestaat[[#This Row],[Norm (m2/uur) werkdagen]],0)</f>
        <v>0</v>
      </c>
      <c r="Y929" s="442">
        <f>Ruimtestaat[[#This Row],[Uitvoeringen werkdagen]]*Ruimtestaat[[#This Row],[Gedeeltelijk]]</f>
        <v>0</v>
      </c>
      <c r="Z929" s="443" t="e">
        <f>IF(U929&gt;0,Ruimtestaat[[#This Row],[Prest. (m2 / jaar) werkdagen gedeeld]]/Ruimtestaat[[#This Row],[Norm (m2/uur) werkdagen]],0)</f>
        <v>#DIV/0!</v>
      </c>
      <c r="AA929" s="441" t="e">
        <f>Ruimtestaat[[#This Row],[uren / jaar werkdagen gedeeld]]*Tariefsopbouw!$E$35</f>
        <v>#DIV/0!</v>
      </c>
      <c r="AB929" s="441">
        <f>Ruimtestaat[[#This Row],[Uitvoeringen werkdagen]]*Ruimtestaat[[#This Row],[BSO]]</f>
        <v>0</v>
      </c>
      <c r="AC929" s="443" t="e">
        <f>IF(U929&gt;0,Ruimtestaat[[#This Row],[Prest. (m2 / jaar) werkdagen BSO]]/Ruimtestaat[[#This Row],[Norm (m2/uur) werkdagen]],0)</f>
        <v>#DIV/0!</v>
      </c>
      <c r="AD929" s="443" t="e">
        <f>Ruimtestaat[[#This Row],[uren / jaar werkdagen BSO]]*Tariefsopbouw!$E$35</f>
        <v>#DIV/0!</v>
      </c>
      <c r="AE929" s="444">
        <f>Ruimtestaat[[#This Row],[uren / jaar werkdagen]]*Tariefsopbouw!$E$35</f>
        <v>0</v>
      </c>
      <c r="AF929" s="454"/>
      <c r="AG929" s="455">
        <f>IF(Ruimtestaat[[#This Row],[Frequentie weekend]]&gt;0,VALUE(LEFT(AF929,1))*S929,0)</f>
        <v>0</v>
      </c>
      <c r="AH929" s="455">
        <f>IF($AG929&gt;0,VLOOKUP($J929,Ruimtegroepen[],3,FALSE)*VLOOKUP($L929,Vloersoorten[],3,FALSE)*VLOOKUP($AF929,Frequenties[],3,FALSE)*VLOOKUP(#REF!,Locaties[],3,FALSE),0)</f>
        <v>0</v>
      </c>
      <c r="AI929" s="434">
        <f>Ruimtestaat[[#This Row],[Uitvoeringen weekend]]*Ruimtestaat[[#This Row],[Oppervlak (netto)]]</f>
        <v>0</v>
      </c>
      <c r="AJ929" s="434">
        <f>IF(AH929&gt;0,Ruimtestaat[[#This Row],[Prest. (m2 /jaar) weekend]]/Ruimtestaat[[#This Row],[Norm (m2/uur) weekend]],0)</f>
        <v>0</v>
      </c>
      <c r="AK929" s="444">
        <f>Ruimtestaat[[#This Row],[uren / jaar weekend]]*Tariefsopbouw!$D$40</f>
        <v>0</v>
      </c>
      <c r="AL929" s="441">
        <f>Ruimtestaat[[#This Row],[Prest. (m2 /jaar) weekend]]+Ruimtestaat[[#This Row],[Prest. (m2 /jaar) werkdagen]]</f>
        <v>820</v>
      </c>
      <c r="AM929" s="441">
        <f>Ruimtestaat[[#This Row],[uren / jaar weekend]]+Ruimtestaat[[#This Row],[uren / jaar werkdagen]]</f>
        <v>0</v>
      </c>
      <c r="AN929" s="446">
        <f>Ruimtestaat[[#This Row],[kosten / jaar weekend]]+Ruimtestaat[[#This Row],[kosten / jaar werkdagen]]</f>
        <v>0</v>
      </c>
      <c r="AO929" s="446"/>
      <c r="AP929" s="446" t="str">
        <f>IF(Ruimtestaat[[#This Row],[Frequentie werkdagen]]="","",_xlfn.CONCAT(Ruimtestaat[[#This Row],[Ruimte code]],"-",Ruimtestaat[[#This Row],[Frequentie werkdagen]]," ",Ruimtestaat[[#This Row],[Vloer code]]))</f>
        <v>7-5w S</v>
      </c>
      <c r="AQ929" s="448" t="str">
        <f>_xlfn.IFNA(VLOOKUP($AP929,Programma!$F$3:$G$1101,2,0),"")</f>
        <v>_</v>
      </c>
      <c r="AR929" s="448" t="str">
        <f>_xlfn.IFNA(VLOOKUP($AP929,Programma!$F$3:$H$1101,3,0),"")</f>
        <v>_</v>
      </c>
      <c r="AS929" s="448" t="str">
        <f>_xlfn.IFNA(VLOOKUP($AP929,Programma!$F$3:$I$1101,4,0),"")</f>
        <v>5w</v>
      </c>
      <c r="AT929" s="448" t="str">
        <f>_xlfn.IFNA(VLOOKUP($AP929,Programma!$F$3:$J$1101,5,0),"")</f>
        <v>_</v>
      </c>
      <c r="AU929" s="448" t="str">
        <f>_xlfn.IFNA(VLOOKUP($AP929,Programma!$F$3:$K$1101,6,0),"")</f>
        <v>5w</v>
      </c>
      <c r="AV929" s="448" t="str">
        <f>_xlfn.IFNA(VLOOKUP($AP929,Programma!$F$3:$L$1101,7,0),"")</f>
        <v>_</v>
      </c>
      <c r="AW929" s="448" t="str">
        <f>_xlfn.IFNA(VLOOKUP($AP929,Programma!$F$3:$M$1101,8,0),"")</f>
        <v>_</v>
      </c>
      <c r="AX929" s="448" t="str">
        <f>_xlfn.IFNA(VLOOKUP($AP929,Programma!$F$3:$N$1101,9,0),"")</f>
        <v>_</v>
      </c>
      <c r="AY929" s="448" t="str">
        <f>_xlfn.IFNA(VLOOKUP($AP929,Programma!$F$3:$O$1101,10,0),"")</f>
        <v>5w</v>
      </c>
      <c r="AZ929" s="448" t="str">
        <f>_xlfn.IFNA(VLOOKUP($AP929,Programma!$F$3:$P$1101,11,0),"")</f>
        <v>5w</v>
      </c>
      <c r="BA929" s="448" t="str">
        <f>_xlfn.IFNA(VLOOKUP($AP929,Programma!$F$3:$Q$1101,12,0),"")</f>
        <v>1w</v>
      </c>
      <c r="BB929" s="448" t="str">
        <f>_xlfn.IFNA(VLOOKUP($AP929,Programma!$F$3:$R$1101,13,0),"")</f>
        <v>1w</v>
      </c>
      <c r="BC929" s="448" t="str">
        <f>_xlfn.IFNA(VLOOKUP($AP929,Programma!$F$3:$S$1101,14,0),"")</f>
        <v>1m</v>
      </c>
      <c r="BD929" s="448" t="str">
        <f>_xlfn.IFNA(VLOOKUP($AP929,Programma!$F$3:$T$1101,15,0),"")</f>
        <v>2j</v>
      </c>
      <c r="BE929" s="448" t="str">
        <f>_xlfn.IFNA(VLOOKUP($AP929,Programma!$F$3:$U$1101,16,0),"")</f>
        <v>1j</v>
      </c>
      <c r="BF929" s="448" t="str">
        <f>_xlfn.IFNA(VLOOKUP($AP929,Programma!$F$3:$V$1101,17,0),"")</f>
        <v>_</v>
      </c>
      <c r="BG929" s="448" t="str">
        <f>_xlfn.IFNA(VLOOKUP($AP929,Programma!$F$3:$W$1101,18,0),"")</f>
        <v>_</v>
      </c>
      <c r="BH929" s="448" t="str">
        <f>_xlfn.IFNA(VLOOKUP($AP929,Programma!$F$3:$X$1101,19,0),"")</f>
        <v>_</v>
      </c>
      <c r="BI929" s="448" t="str">
        <f>_xlfn.IFNA(VLOOKUP($AP929,Programma!$F$3:$Y$1101,20,0),"")</f>
        <v>_</v>
      </c>
      <c r="BJ929" s="449"/>
      <c r="BK929" s="446" t="str">
        <f>IF(Ruimtestaat[[#This Row],[Frequentie weekend]]="","",_xlfn.CONCAT(Ruimtestaat[[#This Row],[Ruimte code]],"-",Ruimtestaat[[#This Row],[Frequentie weekend]]," ",Ruimtestaat[[#This Row],[Vloer code]]))</f>
        <v/>
      </c>
      <c r="BL929" s="448" t="str">
        <f>_xlfn.IFNA(VLOOKUP($BK929,Programma!$F$3:$G$1101,2,0),"")</f>
        <v/>
      </c>
      <c r="BM929" s="448" t="str">
        <f>_xlfn.IFNA(VLOOKUP($BK929,Programma!$F$3:$H$1101,3,0),"")</f>
        <v/>
      </c>
      <c r="BN929" s="448" t="str">
        <f>_xlfn.IFNA(VLOOKUP($BK929,Programma!$F$3:$I$1101,4,0),"")</f>
        <v/>
      </c>
      <c r="BO929" s="448" t="str">
        <f>_xlfn.IFNA(VLOOKUP($BK929,Programma!$F$3:$J$1101,5,0),"")</f>
        <v/>
      </c>
      <c r="BP929" s="448" t="str">
        <f>_xlfn.IFNA(VLOOKUP($BK929,Programma!$F$3:$K$1101,6,0),"")</f>
        <v/>
      </c>
      <c r="BQ929" s="448" t="str">
        <f>_xlfn.IFNA(VLOOKUP($BK929,Programma!$F$3:$L$1101,7,0),"")</f>
        <v/>
      </c>
      <c r="BR929" s="448" t="str">
        <f>_xlfn.IFNA(VLOOKUP($BK929,Programma!$F$3:$M$1101,8,0),"")</f>
        <v/>
      </c>
      <c r="BS929" s="448" t="str">
        <f>_xlfn.IFNA(VLOOKUP($BK929,Programma!$F$3:$N$1101,9,0),"")</f>
        <v/>
      </c>
      <c r="BT929" s="448" t="str">
        <f>_xlfn.IFNA(VLOOKUP($BK929,Programma!$F$3:$O$1101,10,0),"")</f>
        <v/>
      </c>
      <c r="BU929" s="448" t="str">
        <f>_xlfn.IFNA(VLOOKUP($BK929,Programma!$F$3:$P$1101,11,0),"")</f>
        <v/>
      </c>
      <c r="BV929" s="448" t="str">
        <f>_xlfn.IFNA(VLOOKUP($BK929,Programma!$F$3:$Q$1101,12,0),"")</f>
        <v/>
      </c>
      <c r="BW929" s="448" t="str">
        <f>_xlfn.IFNA(VLOOKUP($BK929,Programma!$F$3:$R$1101,13,0),"")</f>
        <v/>
      </c>
      <c r="BX929" s="448" t="str">
        <f>_xlfn.IFNA(VLOOKUP($BK929,Programma!$F$3:$S$1101,14,0),"")</f>
        <v/>
      </c>
      <c r="BY929" s="448" t="str">
        <f>_xlfn.IFNA(VLOOKUP($BK929,Programma!$F$3:$T$1101,15,0),"")</f>
        <v/>
      </c>
      <c r="BZ929" s="448" t="str">
        <f>_xlfn.IFNA(VLOOKUP($BK929,Programma!$F$3:$U$1101,16,0),"")</f>
        <v/>
      </c>
      <c r="CA929" s="448" t="str">
        <f>_xlfn.IFNA(VLOOKUP($BK929,Programma!$F$3:$V$1101,17,0),"")</f>
        <v/>
      </c>
      <c r="CB929" s="448" t="str">
        <f>_xlfn.IFNA(VLOOKUP($BK929,Programma!$F$3:$W$1101,18,0),"")</f>
        <v/>
      </c>
      <c r="CC929" s="448" t="str">
        <f>_xlfn.IFNA(VLOOKUP($BK929,Programma!$F$3:$X$1101,19,0),"")</f>
        <v/>
      </c>
      <c r="CD929" s="448" t="str">
        <f>_xlfn.IFNA(VLOOKUP($BK929,Programma!$F$3:$Y$1101,20,0),"")</f>
        <v/>
      </c>
    </row>
    <row r="930" spans="1:82" ht="15" customHeight="1">
      <c r="A930" s="327">
        <v>25</v>
      </c>
      <c r="B930" s="435" t="str">
        <f>VLOOKUP(Ruimtestaat[[#This Row],[Code]],Locaties[[Code]:[Locatie]],2,FALSE)</f>
        <v>IKC De Piramide</v>
      </c>
      <c r="C930" s="435" t="str">
        <f>VLOOKUP(Ruimtestaat[[#This Row],[Code]],Locaties[[#All],[Code]:[Adres]],4,FALSE)</f>
        <v>Fivelingo 84</v>
      </c>
      <c r="D930" s="435" t="str">
        <f>VLOOKUP(Ruimtestaat[[#This Row],[Code]],Locaties[[#All],[Code]:[Postcode]],5,FALSE)</f>
        <v>2716 BG</v>
      </c>
      <c r="E930" s="435" t="str">
        <f>VLOOKUP(Ruimtestaat[[#This Row],[Code]],Locaties[#All],6,FALSE)</f>
        <v>Zoetermeer</v>
      </c>
      <c r="F930" s="450" t="s">
        <v>2059</v>
      </c>
      <c r="G930" s="330" t="s">
        <v>1678</v>
      </c>
      <c r="H930" s="330" t="s">
        <v>1828</v>
      </c>
      <c r="I930" s="450" t="s">
        <v>1724</v>
      </c>
      <c r="J930" s="330">
        <v>20</v>
      </c>
      <c r="K930" s="450" t="str">
        <f>VLOOKUP(Ruimtestaat[[#This Row],[Ruimte code]],Ruimtegroepen[[#All],[Code]:[Ruimte omschrijving]],2,FALSE)</f>
        <v>Niet in Onderhoud</v>
      </c>
      <c r="L930" s="330" t="s">
        <v>101</v>
      </c>
      <c r="M930" s="437" t="s">
        <v>1816</v>
      </c>
      <c r="N930" s="439"/>
      <c r="O930" s="439">
        <v>11</v>
      </c>
      <c r="P930" s="439"/>
      <c r="Q930" s="439"/>
      <c r="R930" s="440">
        <f>VLOOKUP(Ruimtestaat[[#This Row],[Ruimte code]],Ruimtegroepen[],4,FALSE)</f>
        <v>0</v>
      </c>
      <c r="S930" s="434"/>
      <c r="T930" s="434"/>
      <c r="U930" s="453">
        <f>IF(S930&gt;0,IF(RIGHT(Ruimtestaat[[#This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30" s="434">
        <f>IF(U930&gt;0,VLOOKUP($J930,Ruimtegroepen[],3,FALSE)*VLOOKUP($L930,Vloersoorten[],3,FALSE)*VLOOKUP($T930,Frequenties[],3,FALSE)*VLOOKUP($A930,Locaties[],3,FALSE),0)</f>
        <v>0</v>
      </c>
      <c r="W930" s="434">
        <f>Ruimtestaat[[#This Row],[Uitvoeringen werkdagen]]*Ruimtestaat[[#This Row],[Oppervlak (netto)]]</f>
        <v>0</v>
      </c>
      <c r="X930" s="441">
        <f>IF(V930&gt;0,Ruimtestaat[[#This Row],[Prest. (m2 /jaar) werkdagen]]/Ruimtestaat[[#This Row],[Norm (m2/uur) werkdagen]],0)</f>
        <v>0</v>
      </c>
      <c r="Y930" s="442">
        <f>Ruimtestaat[[#This Row],[Uitvoeringen werkdagen]]*Ruimtestaat[[#This Row],[Gedeeltelijk]]</f>
        <v>0</v>
      </c>
      <c r="Z930" s="443">
        <f>IF(U930&gt;0,Ruimtestaat[[#This Row],[Prest. (m2 / jaar) werkdagen gedeeld]]/Ruimtestaat[[#This Row],[Norm (m2/uur) werkdagen]],0)</f>
        <v>0</v>
      </c>
      <c r="AA930" s="441">
        <f>Ruimtestaat[[#This Row],[uren / jaar werkdagen gedeeld]]*Tariefsopbouw!$E$35</f>
        <v>0</v>
      </c>
      <c r="AB930" s="441">
        <f>Ruimtestaat[[#This Row],[Uitvoeringen werkdagen]]*Ruimtestaat[[#This Row],[BSO]]</f>
        <v>0</v>
      </c>
      <c r="AC930" s="443">
        <f>IF(U930&gt;0,Ruimtestaat[[#This Row],[Prest. (m2 / jaar) werkdagen BSO]]/Ruimtestaat[[#This Row],[Norm (m2/uur) werkdagen]],0)</f>
        <v>0</v>
      </c>
      <c r="AD930" s="443">
        <f>Ruimtestaat[[#This Row],[uren / jaar werkdagen BSO]]*Tariefsopbouw!$E$35</f>
        <v>0</v>
      </c>
      <c r="AE930" s="444">
        <f>Ruimtestaat[[#This Row],[uren / jaar werkdagen]]*Tariefsopbouw!$E$35</f>
        <v>0</v>
      </c>
      <c r="AF930" s="454"/>
      <c r="AG930" s="455">
        <f>IF(Ruimtestaat[[#This Row],[Frequentie weekend]]&gt;0,VALUE(LEFT(AF930,1))*S930,0)</f>
        <v>0</v>
      </c>
      <c r="AH930" s="455">
        <f>IF($AG930&gt;0,VLOOKUP($J930,Ruimtegroepen[],3,FALSE)*VLOOKUP($L930,Vloersoorten[],3,FALSE)*VLOOKUP($AF930,Frequenties[],3,FALSE)*VLOOKUP(#REF!,Locaties[],3,FALSE),0)</f>
        <v>0</v>
      </c>
      <c r="AI930" s="434">
        <f>Ruimtestaat[[#This Row],[Uitvoeringen weekend]]*Ruimtestaat[[#This Row],[Oppervlak (netto)]]</f>
        <v>0</v>
      </c>
      <c r="AJ930" s="434">
        <f>IF(AH930&gt;0,Ruimtestaat[[#This Row],[Prest. (m2 /jaar) weekend]]/Ruimtestaat[[#This Row],[Norm (m2/uur) weekend]],0)</f>
        <v>0</v>
      </c>
      <c r="AK930" s="444">
        <f>Ruimtestaat[[#This Row],[uren / jaar weekend]]*Tariefsopbouw!$D$40</f>
        <v>0</v>
      </c>
      <c r="AL930" s="441">
        <f>Ruimtestaat[[#This Row],[Prest. (m2 /jaar) weekend]]+Ruimtestaat[[#This Row],[Prest. (m2 /jaar) werkdagen]]</f>
        <v>0</v>
      </c>
      <c r="AM930" s="441">
        <f>Ruimtestaat[[#This Row],[uren / jaar weekend]]+Ruimtestaat[[#This Row],[uren / jaar werkdagen]]</f>
        <v>0</v>
      </c>
      <c r="AN930" s="446">
        <f>Ruimtestaat[[#This Row],[kosten / jaar weekend]]+Ruimtestaat[[#This Row],[kosten / jaar werkdagen]]</f>
        <v>0</v>
      </c>
      <c r="AO930" s="446"/>
      <c r="AP930" s="446" t="str">
        <f>IF(Ruimtestaat[[#This Row],[Frequentie werkdagen]]="","",_xlfn.CONCAT(Ruimtestaat[[#This Row],[Ruimte code]],"-",Ruimtestaat[[#This Row],[Frequentie werkdagen]]," ",Ruimtestaat[[#This Row],[Vloer code]]))</f>
        <v/>
      </c>
      <c r="AQ930" s="448" t="str">
        <f>_xlfn.IFNA(VLOOKUP($AP930,Programma!$F$3:$G$1101,2,0),"")</f>
        <v/>
      </c>
      <c r="AR930" s="448" t="str">
        <f>_xlfn.IFNA(VLOOKUP($AP930,Programma!$F$3:$H$1101,3,0),"")</f>
        <v/>
      </c>
      <c r="AS930" s="448" t="str">
        <f>_xlfn.IFNA(VLOOKUP($AP930,Programma!$F$3:$I$1101,4,0),"")</f>
        <v/>
      </c>
      <c r="AT930" s="448" t="str">
        <f>_xlfn.IFNA(VLOOKUP($AP930,Programma!$F$3:$J$1101,5,0),"")</f>
        <v/>
      </c>
      <c r="AU930" s="448" t="str">
        <f>_xlfn.IFNA(VLOOKUP($AP930,Programma!$F$3:$K$1101,6,0),"")</f>
        <v/>
      </c>
      <c r="AV930" s="448" t="str">
        <f>_xlfn.IFNA(VLOOKUP($AP930,Programma!$F$3:$L$1101,7,0),"")</f>
        <v/>
      </c>
      <c r="AW930" s="448" t="str">
        <f>_xlfn.IFNA(VLOOKUP($AP930,Programma!$F$3:$M$1101,8,0),"")</f>
        <v/>
      </c>
      <c r="AX930" s="448" t="str">
        <f>_xlfn.IFNA(VLOOKUP($AP930,Programma!$F$3:$N$1101,9,0),"")</f>
        <v/>
      </c>
      <c r="AY930" s="448" t="str">
        <f>_xlfn.IFNA(VLOOKUP($AP930,Programma!$F$3:$O$1101,10,0),"")</f>
        <v/>
      </c>
      <c r="AZ930" s="448" t="str">
        <f>_xlfn.IFNA(VLOOKUP($AP930,Programma!$F$3:$P$1101,11,0),"")</f>
        <v/>
      </c>
      <c r="BA930" s="448" t="str">
        <f>_xlfn.IFNA(VLOOKUP($AP930,Programma!$F$3:$Q$1101,12,0),"")</f>
        <v/>
      </c>
      <c r="BB930" s="448" t="str">
        <f>_xlfn.IFNA(VLOOKUP($AP930,Programma!$F$3:$R$1101,13,0),"")</f>
        <v/>
      </c>
      <c r="BC930" s="448" t="str">
        <f>_xlfn.IFNA(VLOOKUP($AP930,Programma!$F$3:$S$1101,14,0),"")</f>
        <v/>
      </c>
      <c r="BD930" s="448" t="str">
        <f>_xlfn.IFNA(VLOOKUP($AP930,Programma!$F$3:$T$1101,15,0),"")</f>
        <v/>
      </c>
      <c r="BE930" s="448" t="str">
        <f>_xlfn.IFNA(VLOOKUP($AP930,Programma!$F$3:$U$1101,16,0),"")</f>
        <v/>
      </c>
      <c r="BF930" s="448" t="str">
        <f>_xlfn.IFNA(VLOOKUP($AP930,Programma!$F$3:$V$1101,17,0),"")</f>
        <v/>
      </c>
      <c r="BG930" s="448" t="str">
        <f>_xlfn.IFNA(VLOOKUP($AP930,Programma!$F$3:$W$1101,18,0),"")</f>
        <v/>
      </c>
      <c r="BH930" s="448" t="str">
        <f>_xlfn.IFNA(VLOOKUP($AP930,Programma!$F$3:$X$1101,19,0),"")</f>
        <v/>
      </c>
      <c r="BI930" s="448" t="str">
        <f>_xlfn.IFNA(VLOOKUP($AP930,Programma!$F$3:$Y$1101,20,0),"")</f>
        <v/>
      </c>
      <c r="BJ930" s="449"/>
      <c r="BK930" s="446" t="str">
        <f>IF(Ruimtestaat[[#This Row],[Frequentie weekend]]="","",_xlfn.CONCAT(Ruimtestaat[[#This Row],[Ruimte code]],"-",Ruimtestaat[[#This Row],[Frequentie weekend]]," ",Ruimtestaat[[#This Row],[Vloer code]]))</f>
        <v/>
      </c>
      <c r="BL930" s="448" t="str">
        <f>_xlfn.IFNA(VLOOKUP($BK930,Programma!$F$3:$G$1101,2,0),"")</f>
        <v/>
      </c>
      <c r="BM930" s="448" t="str">
        <f>_xlfn.IFNA(VLOOKUP($BK930,Programma!$F$3:$H$1101,3,0),"")</f>
        <v/>
      </c>
      <c r="BN930" s="448" t="str">
        <f>_xlfn.IFNA(VLOOKUP($BK930,Programma!$F$3:$I$1101,4,0),"")</f>
        <v/>
      </c>
      <c r="BO930" s="448" t="str">
        <f>_xlfn.IFNA(VLOOKUP($BK930,Programma!$F$3:$J$1101,5,0),"")</f>
        <v/>
      </c>
      <c r="BP930" s="448" t="str">
        <f>_xlfn.IFNA(VLOOKUP($BK930,Programma!$F$3:$K$1101,6,0),"")</f>
        <v/>
      </c>
      <c r="BQ930" s="448" t="str">
        <f>_xlfn.IFNA(VLOOKUP($BK930,Programma!$F$3:$L$1101,7,0),"")</f>
        <v/>
      </c>
      <c r="BR930" s="448" t="str">
        <f>_xlfn.IFNA(VLOOKUP($BK930,Programma!$F$3:$M$1101,8,0),"")</f>
        <v/>
      </c>
      <c r="BS930" s="448" t="str">
        <f>_xlfn.IFNA(VLOOKUP($BK930,Programma!$F$3:$N$1101,9,0),"")</f>
        <v/>
      </c>
      <c r="BT930" s="448" t="str">
        <f>_xlfn.IFNA(VLOOKUP($BK930,Programma!$F$3:$O$1101,10,0),"")</f>
        <v/>
      </c>
      <c r="BU930" s="448" t="str">
        <f>_xlfn.IFNA(VLOOKUP($BK930,Programma!$F$3:$P$1101,11,0),"")</f>
        <v/>
      </c>
      <c r="BV930" s="448" t="str">
        <f>_xlfn.IFNA(VLOOKUP($BK930,Programma!$F$3:$Q$1101,12,0),"")</f>
        <v/>
      </c>
      <c r="BW930" s="448" t="str">
        <f>_xlfn.IFNA(VLOOKUP($BK930,Programma!$F$3:$R$1101,13,0),"")</f>
        <v/>
      </c>
      <c r="BX930" s="448" t="str">
        <f>_xlfn.IFNA(VLOOKUP($BK930,Programma!$F$3:$S$1101,14,0),"")</f>
        <v/>
      </c>
      <c r="BY930" s="448" t="str">
        <f>_xlfn.IFNA(VLOOKUP($BK930,Programma!$F$3:$T$1101,15,0),"")</f>
        <v/>
      </c>
      <c r="BZ930" s="448" t="str">
        <f>_xlfn.IFNA(VLOOKUP($BK930,Programma!$F$3:$U$1101,16,0),"")</f>
        <v/>
      </c>
      <c r="CA930" s="448" t="str">
        <f>_xlfn.IFNA(VLOOKUP($BK930,Programma!$F$3:$V$1101,17,0),"")</f>
        <v/>
      </c>
      <c r="CB930" s="448" t="str">
        <f>_xlfn.IFNA(VLOOKUP($BK930,Programma!$F$3:$W$1101,18,0),"")</f>
        <v/>
      </c>
      <c r="CC930" s="448" t="str">
        <f>_xlfn.IFNA(VLOOKUP($BK930,Programma!$F$3:$X$1101,19,0),"")</f>
        <v/>
      </c>
      <c r="CD930" s="448" t="str">
        <f>_xlfn.IFNA(VLOOKUP($BK930,Programma!$F$3:$Y$1101,20,0),"")</f>
        <v/>
      </c>
    </row>
    <row r="931" spans="1:82" ht="15" customHeight="1">
      <c r="A931" s="327">
        <v>25</v>
      </c>
      <c r="B931" s="435" t="str">
        <f>VLOOKUP(Ruimtestaat[[#This Row],[Code]],Locaties[[Code]:[Locatie]],2,FALSE)</f>
        <v>IKC De Piramide</v>
      </c>
      <c r="C931" s="435" t="str">
        <f>VLOOKUP(Ruimtestaat[[#This Row],[Code]],Locaties[[#All],[Code]:[Adres]],4,FALSE)</f>
        <v>Fivelingo 84</v>
      </c>
      <c r="D931" s="435" t="str">
        <f>VLOOKUP(Ruimtestaat[[#This Row],[Code]],Locaties[[#All],[Code]:[Postcode]],5,FALSE)</f>
        <v>2716 BG</v>
      </c>
      <c r="E931" s="435" t="str">
        <f>VLOOKUP(Ruimtestaat[[#This Row],[Code]],Locaties[#All],6,FALSE)</f>
        <v>Zoetermeer</v>
      </c>
      <c r="F931" s="450" t="s">
        <v>2059</v>
      </c>
      <c r="G931" s="330" t="s">
        <v>1678</v>
      </c>
      <c r="H931" s="330" t="s">
        <v>1761</v>
      </c>
      <c r="I931" s="450" t="s">
        <v>1745</v>
      </c>
      <c r="J931" s="330">
        <v>12</v>
      </c>
      <c r="K931" s="450" t="str">
        <f>VLOOKUP(Ruimtestaat[[#This Row],[Ruimte code]],Ruimtegroepen[[#All],[Code]:[Ruimte omschrijving]],2,FALSE)</f>
        <v>Kantine/Aula</v>
      </c>
      <c r="L931" s="330" t="s">
        <v>101</v>
      </c>
      <c r="M931" s="437" t="s">
        <v>1816</v>
      </c>
      <c r="N931" s="439"/>
      <c r="O931" s="439"/>
      <c r="P931" s="439"/>
      <c r="Q931" s="439">
        <v>127</v>
      </c>
      <c r="R931" s="440" t="str">
        <f>VLOOKUP(Ruimtestaat[[#This Row],[Ruimte code]],Ruimtegroepen[],4,FALSE)</f>
        <v>Ve</v>
      </c>
      <c r="S931" s="434">
        <v>51</v>
      </c>
      <c r="T931" s="434" t="s">
        <v>2</v>
      </c>
      <c r="U931" s="453">
        <f>IF(S931&gt;0,IF(RIGHT(Ruimtestaat[[#This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31" s="434">
        <f>IF(U931&gt;0,VLOOKUP($J931,Ruimtegroepen[],3,FALSE)*VLOOKUP($L931,Vloersoorten[],3,FALSE)*VLOOKUP($T931,Frequenties[],3,FALSE)*VLOOKUP($A931,Locaties[],3,FALSE),0)</f>
        <v>0</v>
      </c>
      <c r="W931" s="434">
        <f>Ruimtestaat[[#This Row],[Uitvoeringen werkdagen]]*Ruimtestaat[[#This Row],[Oppervlak (netto)]]</f>
        <v>0</v>
      </c>
      <c r="X931" s="441">
        <f>IF(V931&gt;0,Ruimtestaat[[#This Row],[Prest. (m2 /jaar) werkdagen]]/Ruimtestaat[[#This Row],[Norm (m2/uur) werkdagen]],0)</f>
        <v>0</v>
      </c>
      <c r="Y931" s="442">
        <f>Ruimtestaat[[#This Row],[Uitvoeringen werkdagen]]*Ruimtestaat[[#This Row],[Gedeeltelijk]]</f>
        <v>0</v>
      </c>
      <c r="Z931" s="443" t="e">
        <f>IF(U931&gt;0,Ruimtestaat[[#This Row],[Prest. (m2 / jaar) werkdagen gedeeld]]/Ruimtestaat[[#This Row],[Norm (m2/uur) werkdagen]],0)</f>
        <v>#DIV/0!</v>
      </c>
      <c r="AA931" s="441" t="e">
        <f>Ruimtestaat[[#This Row],[uren / jaar werkdagen gedeeld]]*Tariefsopbouw!$E$35</f>
        <v>#DIV/0!</v>
      </c>
      <c r="AB931" s="441">
        <f>Ruimtestaat[[#This Row],[Uitvoeringen werkdagen]]*Ruimtestaat[[#This Row],[BSO]]</f>
        <v>32385</v>
      </c>
      <c r="AC931" s="443" t="e">
        <f>IF(U931&gt;0,Ruimtestaat[[#This Row],[Prest. (m2 / jaar) werkdagen BSO]]/Ruimtestaat[[#This Row],[Norm (m2/uur) werkdagen]],0)</f>
        <v>#DIV/0!</v>
      </c>
      <c r="AD931" s="443" t="e">
        <f>Ruimtestaat[[#This Row],[uren / jaar werkdagen BSO]]*Tariefsopbouw!$E$35</f>
        <v>#DIV/0!</v>
      </c>
      <c r="AE931" s="444">
        <f>Ruimtestaat[[#This Row],[uren / jaar werkdagen]]*Tariefsopbouw!$E$35</f>
        <v>0</v>
      </c>
      <c r="AF931" s="454"/>
      <c r="AG931" s="455">
        <f>IF(Ruimtestaat[[#This Row],[Frequentie weekend]]&gt;0,VALUE(LEFT(AF931,1))*S931,0)</f>
        <v>0</v>
      </c>
      <c r="AH931" s="455">
        <f>IF($AG931&gt;0,VLOOKUP($J931,Ruimtegroepen[],3,FALSE)*VLOOKUP($L931,Vloersoorten[],3,FALSE)*VLOOKUP($AF931,Frequenties[],3,FALSE)*VLOOKUP(#REF!,Locaties[],3,FALSE),0)</f>
        <v>0</v>
      </c>
      <c r="AI931" s="434">
        <f>Ruimtestaat[[#This Row],[Uitvoeringen weekend]]*Ruimtestaat[[#This Row],[Oppervlak (netto)]]</f>
        <v>0</v>
      </c>
      <c r="AJ931" s="434">
        <f>IF(AH931&gt;0,Ruimtestaat[[#This Row],[Prest. (m2 /jaar) weekend]]/Ruimtestaat[[#This Row],[Norm (m2/uur) weekend]],0)</f>
        <v>0</v>
      </c>
      <c r="AK931" s="444">
        <f>Ruimtestaat[[#This Row],[uren / jaar weekend]]*Tariefsopbouw!$D$40</f>
        <v>0</v>
      </c>
      <c r="AL931" s="441">
        <f>Ruimtestaat[[#This Row],[Prest. (m2 /jaar) weekend]]+Ruimtestaat[[#This Row],[Prest. (m2 /jaar) werkdagen]]</f>
        <v>0</v>
      </c>
      <c r="AM931" s="441">
        <f>Ruimtestaat[[#This Row],[uren / jaar weekend]]+Ruimtestaat[[#This Row],[uren / jaar werkdagen]]</f>
        <v>0</v>
      </c>
      <c r="AN931" s="446">
        <f>Ruimtestaat[[#This Row],[kosten / jaar weekend]]+Ruimtestaat[[#This Row],[kosten / jaar werkdagen]]</f>
        <v>0</v>
      </c>
      <c r="AO931" s="446"/>
      <c r="AP931" s="446" t="str">
        <f>IF(Ruimtestaat[[#This Row],[Frequentie werkdagen]]="","",_xlfn.CONCAT(Ruimtestaat[[#This Row],[Ruimte code]],"-",Ruimtestaat[[#This Row],[Frequentie werkdagen]]," ",Ruimtestaat[[#This Row],[Vloer code]]))</f>
        <v>12-5w S</v>
      </c>
      <c r="AQ931" s="448" t="str">
        <f>_xlfn.IFNA(VLOOKUP($AP931,Programma!$F$3:$G$1101,2,0),"")</f>
        <v>_</v>
      </c>
      <c r="AR931" s="448" t="str">
        <f>_xlfn.IFNA(VLOOKUP($AP931,Programma!$F$3:$H$1101,3,0),"")</f>
        <v>_</v>
      </c>
      <c r="AS931" s="448" t="str">
        <f>_xlfn.IFNA(VLOOKUP($AP931,Programma!$F$3:$I$1101,4,0),"")</f>
        <v>5w</v>
      </c>
      <c r="AT931" s="448" t="str">
        <f>_xlfn.IFNA(VLOOKUP($AP931,Programma!$F$3:$J$1101,5,0),"")</f>
        <v>_</v>
      </c>
      <c r="AU931" s="448" t="str">
        <f>_xlfn.IFNA(VLOOKUP($AP931,Programma!$F$3:$K$1101,6,0),"")</f>
        <v>5w</v>
      </c>
      <c r="AV931" s="448" t="str">
        <f>_xlfn.IFNA(VLOOKUP($AP931,Programma!$F$3:$L$1101,7,0),"")</f>
        <v>_</v>
      </c>
      <c r="AW931" s="448" t="str">
        <f>_xlfn.IFNA(VLOOKUP($AP931,Programma!$F$3:$M$1101,8,0),"")</f>
        <v>_</v>
      </c>
      <c r="AX931" s="448" t="str">
        <f>_xlfn.IFNA(VLOOKUP($AP931,Programma!$F$3:$N$1101,9,0),"")</f>
        <v>_</v>
      </c>
      <c r="AY931" s="448" t="str">
        <f>_xlfn.IFNA(VLOOKUP($AP931,Programma!$F$3:$O$1101,10,0),"")</f>
        <v>5w</v>
      </c>
      <c r="AZ931" s="448" t="str">
        <f>_xlfn.IFNA(VLOOKUP($AP931,Programma!$F$3:$P$1101,11,0),"")</f>
        <v>5w</v>
      </c>
      <c r="BA931" s="448" t="str">
        <f>_xlfn.IFNA(VLOOKUP($AP931,Programma!$F$3:$Q$1101,12,0),"")</f>
        <v>1w</v>
      </c>
      <c r="BB931" s="448" t="str">
        <f>_xlfn.IFNA(VLOOKUP($AP931,Programma!$F$3:$R$1101,13,0),"")</f>
        <v>1w</v>
      </c>
      <c r="BC931" s="448" t="str">
        <f>_xlfn.IFNA(VLOOKUP($AP931,Programma!$F$3:$S$1101,14,0),"")</f>
        <v>1m</v>
      </c>
      <c r="BD931" s="448" t="str">
        <f>_xlfn.IFNA(VLOOKUP($AP931,Programma!$F$3:$T$1101,15,0),"")</f>
        <v>2j</v>
      </c>
      <c r="BE931" s="448" t="str">
        <f>_xlfn.IFNA(VLOOKUP($AP931,Programma!$F$3:$U$1101,16,0),"")</f>
        <v>1j</v>
      </c>
      <c r="BF931" s="448" t="str">
        <f>_xlfn.IFNA(VLOOKUP($AP931,Programma!$F$3:$V$1101,17,0),"")</f>
        <v>_</v>
      </c>
      <c r="BG931" s="448" t="str">
        <f>_xlfn.IFNA(VLOOKUP($AP931,Programma!$F$3:$W$1101,18,0),"")</f>
        <v>_</v>
      </c>
      <c r="BH931" s="448" t="str">
        <f>_xlfn.IFNA(VLOOKUP($AP931,Programma!$F$3:$X$1101,19,0),"")</f>
        <v>_</v>
      </c>
      <c r="BI931" s="448" t="str">
        <f>_xlfn.IFNA(VLOOKUP($AP931,Programma!$F$3:$Y$1101,20,0),"")</f>
        <v>_</v>
      </c>
      <c r="BJ931" s="449"/>
      <c r="BK931" s="446" t="str">
        <f>IF(Ruimtestaat[[#This Row],[Frequentie weekend]]="","",_xlfn.CONCAT(Ruimtestaat[[#This Row],[Ruimte code]],"-",Ruimtestaat[[#This Row],[Frequentie weekend]]," ",Ruimtestaat[[#This Row],[Vloer code]]))</f>
        <v/>
      </c>
      <c r="BL931" s="448" t="str">
        <f>_xlfn.IFNA(VLOOKUP($BK931,Programma!$F$3:$G$1101,2,0),"")</f>
        <v/>
      </c>
      <c r="BM931" s="448" t="str">
        <f>_xlfn.IFNA(VLOOKUP($BK931,Programma!$F$3:$H$1101,3,0),"")</f>
        <v/>
      </c>
      <c r="BN931" s="448" t="str">
        <f>_xlfn.IFNA(VLOOKUP($BK931,Programma!$F$3:$I$1101,4,0),"")</f>
        <v/>
      </c>
      <c r="BO931" s="448" t="str">
        <f>_xlfn.IFNA(VLOOKUP($BK931,Programma!$F$3:$J$1101,5,0),"")</f>
        <v/>
      </c>
      <c r="BP931" s="448" t="str">
        <f>_xlfn.IFNA(VLOOKUP($BK931,Programma!$F$3:$K$1101,6,0),"")</f>
        <v/>
      </c>
      <c r="BQ931" s="448" t="str">
        <f>_xlfn.IFNA(VLOOKUP($BK931,Programma!$F$3:$L$1101,7,0),"")</f>
        <v/>
      </c>
      <c r="BR931" s="448" t="str">
        <f>_xlfn.IFNA(VLOOKUP($BK931,Programma!$F$3:$M$1101,8,0),"")</f>
        <v/>
      </c>
      <c r="BS931" s="448" t="str">
        <f>_xlfn.IFNA(VLOOKUP($BK931,Programma!$F$3:$N$1101,9,0),"")</f>
        <v/>
      </c>
      <c r="BT931" s="448" t="str">
        <f>_xlfn.IFNA(VLOOKUP($BK931,Programma!$F$3:$O$1101,10,0),"")</f>
        <v/>
      </c>
      <c r="BU931" s="448" t="str">
        <f>_xlfn.IFNA(VLOOKUP($BK931,Programma!$F$3:$P$1101,11,0),"")</f>
        <v/>
      </c>
      <c r="BV931" s="448" t="str">
        <f>_xlfn.IFNA(VLOOKUP($BK931,Programma!$F$3:$Q$1101,12,0),"")</f>
        <v/>
      </c>
      <c r="BW931" s="448" t="str">
        <f>_xlfn.IFNA(VLOOKUP($BK931,Programma!$F$3:$R$1101,13,0),"")</f>
        <v/>
      </c>
      <c r="BX931" s="448" t="str">
        <f>_xlfn.IFNA(VLOOKUP($BK931,Programma!$F$3:$S$1101,14,0),"")</f>
        <v/>
      </c>
      <c r="BY931" s="448" t="str">
        <f>_xlfn.IFNA(VLOOKUP($BK931,Programma!$F$3:$T$1101,15,0),"")</f>
        <v/>
      </c>
      <c r="BZ931" s="448" t="str">
        <f>_xlfn.IFNA(VLOOKUP($BK931,Programma!$F$3:$U$1101,16,0),"")</f>
        <v/>
      </c>
      <c r="CA931" s="448" t="str">
        <f>_xlfn.IFNA(VLOOKUP($BK931,Programma!$F$3:$V$1101,17,0),"")</f>
        <v/>
      </c>
      <c r="CB931" s="448" t="str">
        <f>_xlfn.IFNA(VLOOKUP($BK931,Programma!$F$3:$W$1101,18,0),"")</f>
        <v/>
      </c>
      <c r="CC931" s="448" t="str">
        <f>_xlfn.IFNA(VLOOKUP($BK931,Programma!$F$3:$X$1101,19,0),"")</f>
        <v/>
      </c>
      <c r="CD931" s="448" t="str">
        <f>_xlfn.IFNA(VLOOKUP($BK931,Programma!$F$3:$Y$1101,20,0),"")</f>
        <v/>
      </c>
    </row>
    <row r="932" spans="1:82" ht="15" customHeight="1">
      <c r="A932" s="327">
        <v>25</v>
      </c>
      <c r="B932" s="435" t="str">
        <f>VLOOKUP(Ruimtestaat[[#This Row],[Code]],Locaties[[Code]:[Locatie]],2,FALSE)</f>
        <v>IKC De Piramide</v>
      </c>
      <c r="C932" s="435" t="str">
        <f>VLOOKUP(Ruimtestaat[[#This Row],[Code]],Locaties[[#All],[Code]:[Adres]],4,FALSE)</f>
        <v>Fivelingo 84</v>
      </c>
      <c r="D932" s="435" t="str">
        <f>VLOOKUP(Ruimtestaat[[#This Row],[Code]],Locaties[[#All],[Code]:[Postcode]],5,FALSE)</f>
        <v>2716 BG</v>
      </c>
      <c r="E932" s="435" t="str">
        <f>VLOOKUP(Ruimtestaat[[#This Row],[Code]],Locaties[#All],6,FALSE)</f>
        <v>Zoetermeer</v>
      </c>
      <c r="F932" s="450" t="s">
        <v>1659</v>
      </c>
      <c r="G932" s="330" t="s">
        <v>1678</v>
      </c>
      <c r="H932" s="330" t="s">
        <v>2087</v>
      </c>
      <c r="I932" s="450" t="s">
        <v>1675</v>
      </c>
      <c r="J932" s="330">
        <v>6</v>
      </c>
      <c r="K932" s="450" t="str">
        <f>VLOOKUP(Ruimtestaat[[#This Row],[Ruimte code]],Ruimtegroepen[[#All],[Code]:[Ruimte omschrijving]],2,FALSE)</f>
        <v>Gangen/hallen</v>
      </c>
      <c r="L932" s="434" t="s">
        <v>100</v>
      </c>
      <c r="M932" s="437" t="s">
        <v>1759</v>
      </c>
      <c r="N932" s="439"/>
      <c r="O932" s="439"/>
      <c r="P932" s="439"/>
      <c r="Q932" s="439">
        <v>46</v>
      </c>
      <c r="R932" s="440" t="str">
        <f>VLOOKUP(Ruimtestaat[[#This Row],[Ruimte code]],Ruimtegroepen[],4,FALSE)</f>
        <v>Ve</v>
      </c>
      <c r="S932" s="434">
        <v>51</v>
      </c>
      <c r="T932" s="434" t="s">
        <v>2</v>
      </c>
      <c r="U932" s="453">
        <f>IF(S932&gt;0,IF(RIGHT(Ruimtestaat[[#This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32" s="434">
        <f>IF(U932&gt;0,VLOOKUP($J932,Ruimtegroepen[],3,FALSE)*VLOOKUP($L932,Vloersoorten[],3,FALSE)*VLOOKUP($T932,Frequenties[],3,FALSE)*VLOOKUP($A932,Locaties[],3,FALSE),0)</f>
        <v>0</v>
      </c>
      <c r="W932" s="434">
        <f>Ruimtestaat[[#This Row],[Uitvoeringen werkdagen]]*Ruimtestaat[[#This Row],[Oppervlak (netto)]]</f>
        <v>0</v>
      </c>
      <c r="X932" s="441">
        <f>IF(V932&gt;0,Ruimtestaat[[#This Row],[Prest. (m2 /jaar) werkdagen]]/Ruimtestaat[[#This Row],[Norm (m2/uur) werkdagen]],0)</f>
        <v>0</v>
      </c>
      <c r="Y932" s="442">
        <f>Ruimtestaat[[#This Row],[Uitvoeringen werkdagen]]*Ruimtestaat[[#This Row],[Gedeeltelijk]]</f>
        <v>0</v>
      </c>
      <c r="Z932" s="443" t="e">
        <f>IF(U932&gt;0,Ruimtestaat[[#This Row],[Prest. (m2 / jaar) werkdagen gedeeld]]/Ruimtestaat[[#This Row],[Norm (m2/uur) werkdagen]],0)</f>
        <v>#DIV/0!</v>
      </c>
      <c r="AA932" s="441" t="e">
        <f>Ruimtestaat[[#This Row],[uren / jaar werkdagen gedeeld]]*Tariefsopbouw!$E$35</f>
        <v>#DIV/0!</v>
      </c>
      <c r="AB932" s="441">
        <f>Ruimtestaat[[#This Row],[Uitvoeringen werkdagen]]*Ruimtestaat[[#This Row],[BSO]]</f>
        <v>11730</v>
      </c>
      <c r="AC932" s="443" t="e">
        <f>IF(U932&gt;0,Ruimtestaat[[#This Row],[Prest. (m2 / jaar) werkdagen BSO]]/Ruimtestaat[[#This Row],[Norm (m2/uur) werkdagen]],0)</f>
        <v>#DIV/0!</v>
      </c>
      <c r="AD932" s="443" t="e">
        <f>Ruimtestaat[[#This Row],[uren / jaar werkdagen BSO]]*Tariefsopbouw!$E$35</f>
        <v>#DIV/0!</v>
      </c>
      <c r="AE932" s="444">
        <f>Ruimtestaat[[#This Row],[uren / jaar werkdagen]]*Tariefsopbouw!$E$35</f>
        <v>0</v>
      </c>
      <c r="AF932" s="454"/>
      <c r="AG932" s="455">
        <f>IF(Ruimtestaat[[#This Row],[Frequentie weekend]]&gt;0,VALUE(LEFT(AF932,1))*S932,0)</f>
        <v>0</v>
      </c>
      <c r="AH932" s="455">
        <f>IF($AG932&gt;0,VLOOKUP($J932,Ruimtegroepen[],3,FALSE)*VLOOKUP($L932,Vloersoorten[],3,FALSE)*VLOOKUP($AF932,Frequenties[],3,FALSE)*VLOOKUP(#REF!,Locaties[],3,FALSE),0)</f>
        <v>0</v>
      </c>
      <c r="AI932" s="434">
        <f>Ruimtestaat[[#This Row],[Uitvoeringen weekend]]*Ruimtestaat[[#This Row],[Oppervlak (netto)]]</f>
        <v>0</v>
      </c>
      <c r="AJ932" s="434">
        <f>IF(AH932&gt;0,Ruimtestaat[[#This Row],[Prest. (m2 /jaar) weekend]]/Ruimtestaat[[#This Row],[Norm (m2/uur) weekend]],0)</f>
        <v>0</v>
      </c>
      <c r="AK932" s="444">
        <f>Ruimtestaat[[#This Row],[uren / jaar weekend]]*Tariefsopbouw!$D$40</f>
        <v>0</v>
      </c>
      <c r="AL932" s="441">
        <f>Ruimtestaat[[#This Row],[Prest. (m2 /jaar) weekend]]+Ruimtestaat[[#This Row],[Prest. (m2 /jaar) werkdagen]]</f>
        <v>0</v>
      </c>
      <c r="AM932" s="441">
        <f>Ruimtestaat[[#This Row],[uren / jaar weekend]]+Ruimtestaat[[#This Row],[uren / jaar werkdagen]]</f>
        <v>0</v>
      </c>
      <c r="AN932" s="446">
        <f>Ruimtestaat[[#This Row],[kosten / jaar weekend]]+Ruimtestaat[[#This Row],[kosten / jaar werkdagen]]</f>
        <v>0</v>
      </c>
      <c r="AO932" s="446"/>
      <c r="AP932" s="446" t="str">
        <f>IF(Ruimtestaat[[#This Row],[Frequentie werkdagen]]="","",_xlfn.CONCAT(Ruimtestaat[[#This Row],[Ruimte code]],"-",Ruimtestaat[[#This Row],[Frequentie werkdagen]]," ",Ruimtestaat[[#This Row],[Vloer code]]))</f>
        <v>6-5w L</v>
      </c>
      <c r="AQ932" s="448" t="str">
        <f>_xlfn.IFNA(VLOOKUP($AP932,Programma!$F$3:$G$1101,2,0),"")</f>
        <v>_</v>
      </c>
      <c r="AR932" s="448" t="str">
        <f>_xlfn.IFNA(VLOOKUP($AP932,Programma!$F$3:$H$1101,3,0),"")</f>
        <v>_</v>
      </c>
      <c r="AS932" s="448" t="str">
        <f>_xlfn.IFNA(VLOOKUP($AP932,Programma!$F$3:$I$1101,4,0),"")</f>
        <v>_</v>
      </c>
      <c r="AT932" s="448" t="str">
        <f>_xlfn.IFNA(VLOOKUP($AP932,Programma!$F$3:$J$1101,5,0),"")</f>
        <v>5w</v>
      </c>
      <c r="AU932" s="448" t="str">
        <f>_xlfn.IFNA(VLOOKUP($AP932,Programma!$F$3:$K$1101,6,0),"")</f>
        <v>_</v>
      </c>
      <c r="AV932" s="448" t="str">
        <f>_xlfn.IFNA(VLOOKUP($AP932,Programma!$F$3:$L$1101,7,0),"")</f>
        <v>_</v>
      </c>
      <c r="AW932" s="448" t="str">
        <f>_xlfn.IFNA(VLOOKUP($AP932,Programma!$F$3:$M$1101,8,0),"")</f>
        <v>_</v>
      </c>
      <c r="AX932" s="448" t="str">
        <f>_xlfn.IFNA(VLOOKUP($AP932,Programma!$F$3:$N$1101,9,0),"")</f>
        <v>_</v>
      </c>
      <c r="AY932" s="448" t="str">
        <f>_xlfn.IFNA(VLOOKUP($AP932,Programma!$F$3:$O$1101,10,0),"")</f>
        <v>5w</v>
      </c>
      <c r="AZ932" s="448" t="str">
        <f>_xlfn.IFNA(VLOOKUP($AP932,Programma!$F$3:$P$1101,11,0),"")</f>
        <v>5w</v>
      </c>
      <c r="BA932" s="448" t="str">
        <f>_xlfn.IFNA(VLOOKUP($AP932,Programma!$F$3:$Q$1101,12,0),"")</f>
        <v>1w</v>
      </c>
      <c r="BB932" s="448" t="str">
        <f>_xlfn.IFNA(VLOOKUP($AP932,Programma!$F$3:$R$1101,13,0),"")</f>
        <v>1w</v>
      </c>
      <c r="BC932" s="448" t="str">
        <f>_xlfn.IFNA(VLOOKUP($AP932,Programma!$F$3:$S$1101,14,0),"")</f>
        <v>1m</v>
      </c>
      <c r="BD932" s="448" t="str">
        <f>_xlfn.IFNA(VLOOKUP($AP932,Programma!$F$3:$T$1101,15,0),"")</f>
        <v>2j</v>
      </c>
      <c r="BE932" s="448" t="str">
        <f>_xlfn.IFNA(VLOOKUP($AP932,Programma!$F$3:$U$1101,16,0),"")</f>
        <v>1j</v>
      </c>
      <c r="BF932" s="448" t="str">
        <f>_xlfn.IFNA(VLOOKUP($AP932,Programma!$F$3:$V$1101,17,0),"")</f>
        <v>_</v>
      </c>
      <c r="BG932" s="448" t="str">
        <f>_xlfn.IFNA(VLOOKUP($AP932,Programma!$F$3:$W$1101,18,0),"")</f>
        <v>_</v>
      </c>
      <c r="BH932" s="448" t="str">
        <f>_xlfn.IFNA(VLOOKUP($AP932,Programma!$F$3:$X$1101,19,0),"")</f>
        <v>_</v>
      </c>
      <c r="BI932" s="448" t="str">
        <f>_xlfn.IFNA(VLOOKUP($AP932,Programma!$F$3:$Y$1101,20,0),"")</f>
        <v>_</v>
      </c>
      <c r="BJ932" s="449"/>
      <c r="BK932" s="446" t="str">
        <f>IF(Ruimtestaat[[#This Row],[Frequentie weekend]]="","",_xlfn.CONCAT(Ruimtestaat[[#This Row],[Ruimte code]],"-",Ruimtestaat[[#This Row],[Frequentie weekend]]," ",Ruimtestaat[[#This Row],[Vloer code]]))</f>
        <v/>
      </c>
      <c r="BL932" s="448" t="str">
        <f>_xlfn.IFNA(VLOOKUP($BK932,Programma!$F$3:$G$1101,2,0),"")</f>
        <v/>
      </c>
      <c r="BM932" s="448" t="str">
        <f>_xlfn.IFNA(VLOOKUP($BK932,Programma!$F$3:$H$1101,3,0),"")</f>
        <v/>
      </c>
      <c r="BN932" s="448" t="str">
        <f>_xlfn.IFNA(VLOOKUP($BK932,Programma!$F$3:$I$1101,4,0),"")</f>
        <v/>
      </c>
      <c r="BO932" s="448" t="str">
        <f>_xlfn.IFNA(VLOOKUP($BK932,Programma!$F$3:$J$1101,5,0),"")</f>
        <v/>
      </c>
      <c r="BP932" s="448" t="str">
        <f>_xlfn.IFNA(VLOOKUP($BK932,Programma!$F$3:$K$1101,6,0),"")</f>
        <v/>
      </c>
      <c r="BQ932" s="448" t="str">
        <f>_xlfn.IFNA(VLOOKUP($BK932,Programma!$F$3:$L$1101,7,0),"")</f>
        <v/>
      </c>
      <c r="BR932" s="448" t="str">
        <f>_xlfn.IFNA(VLOOKUP($BK932,Programma!$F$3:$M$1101,8,0),"")</f>
        <v/>
      </c>
      <c r="BS932" s="448" t="str">
        <f>_xlfn.IFNA(VLOOKUP($BK932,Programma!$F$3:$N$1101,9,0),"")</f>
        <v/>
      </c>
      <c r="BT932" s="448" t="str">
        <f>_xlfn.IFNA(VLOOKUP($BK932,Programma!$F$3:$O$1101,10,0),"")</f>
        <v/>
      </c>
      <c r="BU932" s="448" t="str">
        <f>_xlfn.IFNA(VLOOKUP($BK932,Programma!$F$3:$P$1101,11,0),"")</f>
        <v/>
      </c>
      <c r="BV932" s="448" t="str">
        <f>_xlfn.IFNA(VLOOKUP($BK932,Programma!$F$3:$Q$1101,12,0),"")</f>
        <v/>
      </c>
      <c r="BW932" s="448" t="str">
        <f>_xlfn.IFNA(VLOOKUP($BK932,Programma!$F$3:$R$1101,13,0),"")</f>
        <v/>
      </c>
      <c r="BX932" s="448" t="str">
        <f>_xlfn.IFNA(VLOOKUP($BK932,Programma!$F$3:$S$1101,14,0),"")</f>
        <v/>
      </c>
      <c r="BY932" s="448" t="str">
        <f>_xlfn.IFNA(VLOOKUP($BK932,Programma!$F$3:$T$1101,15,0),"")</f>
        <v/>
      </c>
      <c r="BZ932" s="448" t="str">
        <f>_xlfn.IFNA(VLOOKUP($BK932,Programma!$F$3:$U$1101,16,0),"")</f>
        <v/>
      </c>
      <c r="CA932" s="448" t="str">
        <f>_xlfn.IFNA(VLOOKUP($BK932,Programma!$F$3:$V$1101,17,0),"")</f>
        <v/>
      </c>
      <c r="CB932" s="448" t="str">
        <f>_xlfn.IFNA(VLOOKUP($BK932,Programma!$F$3:$W$1101,18,0),"")</f>
        <v/>
      </c>
      <c r="CC932" s="448" t="str">
        <f>_xlfn.IFNA(VLOOKUP($BK932,Programma!$F$3:$X$1101,19,0),"")</f>
        <v/>
      </c>
      <c r="CD932" s="448" t="str">
        <f>_xlfn.IFNA(VLOOKUP($BK932,Programma!$F$3:$Y$1101,20,0),"")</f>
        <v/>
      </c>
    </row>
    <row r="933" spans="1:82" ht="15" customHeight="1">
      <c r="A933" s="327">
        <v>25</v>
      </c>
      <c r="B933" s="435" t="str">
        <f>VLOOKUP(Ruimtestaat[[#This Row],[Code]],Locaties[[Code]:[Locatie]],2,FALSE)</f>
        <v>IKC De Piramide</v>
      </c>
      <c r="C933" s="435" t="str">
        <f>VLOOKUP(Ruimtestaat[[#This Row],[Code]],Locaties[[#All],[Code]:[Adres]],4,FALSE)</f>
        <v>Fivelingo 84</v>
      </c>
      <c r="D933" s="435" t="str">
        <f>VLOOKUP(Ruimtestaat[[#This Row],[Code]],Locaties[[#All],[Code]:[Postcode]],5,FALSE)</f>
        <v>2716 BG</v>
      </c>
      <c r="E933" s="435" t="str">
        <f>VLOOKUP(Ruimtestaat[[#This Row],[Code]],Locaties[#All],6,FALSE)</f>
        <v>Zoetermeer</v>
      </c>
      <c r="F933" s="450" t="s">
        <v>1659</v>
      </c>
      <c r="G933" s="330" t="s">
        <v>1678</v>
      </c>
      <c r="H933" s="330" t="s">
        <v>2088</v>
      </c>
      <c r="I933" s="450" t="s">
        <v>1720</v>
      </c>
      <c r="J933" s="330">
        <v>5</v>
      </c>
      <c r="K933" s="450" t="str">
        <f>VLOOKUP(Ruimtestaat[[#This Row],[Ruimte code]],Ruimtegroepen[[#All],[Code]:[Ruimte omschrijving]],2,FALSE)</f>
        <v>Sanitair</v>
      </c>
      <c r="L933" s="330" t="s">
        <v>101</v>
      </c>
      <c r="M933" s="437" t="s">
        <v>1816</v>
      </c>
      <c r="N933" s="439"/>
      <c r="O933" s="439"/>
      <c r="P933" s="439"/>
      <c r="Q933" s="439">
        <v>11</v>
      </c>
      <c r="R933" s="440" t="str">
        <f>VLOOKUP(Ruimtestaat[[#This Row],[Ruimte code]],Ruimtegroepen[],4,FALSE)</f>
        <v>Sa</v>
      </c>
      <c r="S933" s="434">
        <v>51</v>
      </c>
      <c r="T933" s="434" t="s">
        <v>2</v>
      </c>
      <c r="U933" s="453">
        <f>IF(S933&gt;0,IF(RIGHT(Ruimtestaat[[#This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33" s="434">
        <f>IF(U933&gt;0,VLOOKUP($J933,Ruimtegroepen[],3,FALSE)*VLOOKUP($L933,Vloersoorten[],3,FALSE)*VLOOKUP($T933,Frequenties[],3,FALSE)*VLOOKUP($A933,Locaties[],3,FALSE),0)</f>
        <v>0</v>
      </c>
      <c r="W933" s="434">
        <f>Ruimtestaat[[#This Row],[Uitvoeringen werkdagen]]*Ruimtestaat[[#This Row],[Oppervlak (netto)]]</f>
        <v>0</v>
      </c>
      <c r="X933" s="441">
        <f>IF(V933&gt;0,Ruimtestaat[[#This Row],[Prest. (m2 /jaar) werkdagen]]/Ruimtestaat[[#This Row],[Norm (m2/uur) werkdagen]],0)</f>
        <v>0</v>
      </c>
      <c r="Y933" s="442">
        <f>Ruimtestaat[[#This Row],[Uitvoeringen werkdagen]]*Ruimtestaat[[#This Row],[Gedeeltelijk]]</f>
        <v>0</v>
      </c>
      <c r="Z933" s="443" t="e">
        <f>IF(U933&gt;0,Ruimtestaat[[#This Row],[Prest. (m2 / jaar) werkdagen gedeeld]]/Ruimtestaat[[#This Row],[Norm (m2/uur) werkdagen]],0)</f>
        <v>#DIV/0!</v>
      </c>
      <c r="AA933" s="441" t="e">
        <f>Ruimtestaat[[#This Row],[uren / jaar werkdagen gedeeld]]*Tariefsopbouw!$E$35</f>
        <v>#DIV/0!</v>
      </c>
      <c r="AB933" s="441">
        <f>Ruimtestaat[[#This Row],[Uitvoeringen werkdagen]]*Ruimtestaat[[#This Row],[BSO]]</f>
        <v>2805</v>
      </c>
      <c r="AC933" s="443" t="e">
        <f>IF(U933&gt;0,Ruimtestaat[[#This Row],[Prest. (m2 / jaar) werkdagen BSO]]/Ruimtestaat[[#This Row],[Norm (m2/uur) werkdagen]],0)</f>
        <v>#DIV/0!</v>
      </c>
      <c r="AD933" s="443" t="e">
        <f>Ruimtestaat[[#This Row],[uren / jaar werkdagen BSO]]*Tariefsopbouw!$E$35</f>
        <v>#DIV/0!</v>
      </c>
      <c r="AE933" s="444">
        <f>Ruimtestaat[[#This Row],[uren / jaar werkdagen]]*Tariefsopbouw!$E$35</f>
        <v>0</v>
      </c>
      <c r="AF933" s="454"/>
      <c r="AG933" s="455">
        <f>IF(Ruimtestaat[[#This Row],[Frequentie weekend]]&gt;0,VALUE(LEFT(AF933,1))*S933,0)</f>
        <v>0</v>
      </c>
      <c r="AH933" s="455">
        <f>IF($AG933&gt;0,VLOOKUP($J933,Ruimtegroepen[],3,FALSE)*VLOOKUP($L933,Vloersoorten[],3,FALSE)*VLOOKUP($AF933,Frequenties[],3,FALSE)*VLOOKUP(#REF!,Locaties[],3,FALSE),0)</f>
        <v>0</v>
      </c>
      <c r="AI933" s="434">
        <f>Ruimtestaat[[#This Row],[Uitvoeringen weekend]]*Ruimtestaat[[#This Row],[Oppervlak (netto)]]</f>
        <v>0</v>
      </c>
      <c r="AJ933" s="434">
        <f>IF(AH933&gt;0,Ruimtestaat[[#This Row],[Prest. (m2 /jaar) weekend]]/Ruimtestaat[[#This Row],[Norm (m2/uur) weekend]],0)</f>
        <v>0</v>
      </c>
      <c r="AK933" s="444">
        <f>Ruimtestaat[[#This Row],[uren / jaar weekend]]*Tariefsopbouw!$D$40</f>
        <v>0</v>
      </c>
      <c r="AL933" s="441">
        <f>Ruimtestaat[[#This Row],[Prest. (m2 /jaar) weekend]]+Ruimtestaat[[#This Row],[Prest. (m2 /jaar) werkdagen]]</f>
        <v>0</v>
      </c>
      <c r="AM933" s="441">
        <f>Ruimtestaat[[#This Row],[uren / jaar weekend]]+Ruimtestaat[[#This Row],[uren / jaar werkdagen]]</f>
        <v>0</v>
      </c>
      <c r="AN933" s="446">
        <f>Ruimtestaat[[#This Row],[kosten / jaar weekend]]+Ruimtestaat[[#This Row],[kosten / jaar werkdagen]]</f>
        <v>0</v>
      </c>
      <c r="AO933" s="446"/>
      <c r="AP933" s="446" t="str">
        <f>IF(Ruimtestaat[[#This Row],[Frequentie werkdagen]]="","",_xlfn.CONCAT(Ruimtestaat[[#This Row],[Ruimte code]],"-",Ruimtestaat[[#This Row],[Frequentie werkdagen]]," ",Ruimtestaat[[#This Row],[Vloer code]]))</f>
        <v>5-5w S</v>
      </c>
      <c r="AQ933" s="448" t="str">
        <f>_xlfn.IFNA(VLOOKUP($AP933,Programma!$F$3:$G$1101,2,0),"")</f>
        <v>_</v>
      </c>
      <c r="AR933" s="448" t="str">
        <f>_xlfn.IFNA(VLOOKUP($AP933,Programma!$F$3:$H$1101,3,0),"")</f>
        <v>_</v>
      </c>
      <c r="AS933" s="448" t="str">
        <f>_xlfn.IFNA(VLOOKUP($AP933,Programma!$F$3:$I$1101,4,0),"")</f>
        <v>_</v>
      </c>
      <c r="AT933" s="448" t="str">
        <f>_xlfn.IFNA(VLOOKUP($AP933,Programma!$F$3:$J$1101,5,0),"")</f>
        <v>4w</v>
      </c>
      <c r="AU933" s="448" t="str">
        <f>_xlfn.IFNA(VLOOKUP($AP933,Programma!$F$3:$K$1101,6,0),"")</f>
        <v>1w</v>
      </c>
      <c r="AV933" s="448" t="str">
        <f>_xlfn.IFNA(VLOOKUP($AP933,Programma!$F$3:$L$1101,7,0),"")</f>
        <v>_</v>
      </c>
      <c r="AW933" s="448" t="str">
        <f>_xlfn.IFNA(VLOOKUP($AP933,Programma!$F$3:$M$1101,8,0),"")</f>
        <v>_</v>
      </c>
      <c r="AX933" s="448" t="str">
        <f>_xlfn.IFNA(VLOOKUP($AP933,Programma!$F$3:$N$1101,9,0),"")</f>
        <v>_</v>
      </c>
      <c r="AY933" s="448" t="str">
        <f>_xlfn.IFNA(VLOOKUP($AP933,Programma!$F$3:$O$1101,10,0),"")</f>
        <v>_</v>
      </c>
      <c r="AZ933" s="448" t="str">
        <f>_xlfn.IFNA(VLOOKUP($AP933,Programma!$F$3:$P$1101,11,0),"")</f>
        <v>_</v>
      </c>
      <c r="BA933" s="448" t="str">
        <f>_xlfn.IFNA(VLOOKUP($AP933,Programma!$F$3:$Q$1101,12,0),"")</f>
        <v>_</v>
      </c>
      <c r="BB933" s="448" t="str">
        <f>_xlfn.IFNA(VLOOKUP($AP933,Programma!$F$3:$R$1101,13,0),"")</f>
        <v>_</v>
      </c>
      <c r="BC933" s="448" t="str">
        <f>_xlfn.IFNA(VLOOKUP($AP933,Programma!$F$3:$S$1101,14,0),"")</f>
        <v>_</v>
      </c>
      <c r="BD933" s="448" t="str">
        <f>_xlfn.IFNA(VLOOKUP($AP933,Programma!$F$3:$T$1101,15,0),"")</f>
        <v>_</v>
      </c>
      <c r="BE933" s="448" t="str">
        <f>_xlfn.IFNA(VLOOKUP($AP933,Programma!$F$3:$U$1101,16,0),"")</f>
        <v>_</v>
      </c>
      <c r="BF933" s="448" t="str">
        <f>_xlfn.IFNA(VLOOKUP($AP933,Programma!$F$3:$V$1101,17,0),"")</f>
        <v>_</v>
      </c>
      <c r="BG933" s="448" t="str">
        <f>_xlfn.IFNA(VLOOKUP($AP933,Programma!$F$3:$W$1101,18,0),"")</f>
        <v>4w</v>
      </c>
      <c r="BH933" s="448" t="str">
        <f>_xlfn.IFNA(VLOOKUP($AP933,Programma!$F$3:$X$1101,19,0),"")</f>
        <v>1w</v>
      </c>
      <c r="BI933" s="448" t="str">
        <f>_xlfn.IFNA(VLOOKUP($AP933,Programma!$F$3:$Y$1101,20,0),"")</f>
        <v>_</v>
      </c>
      <c r="BJ933" s="449"/>
      <c r="BK933" s="446" t="str">
        <f>IF(Ruimtestaat[[#This Row],[Frequentie weekend]]="","",_xlfn.CONCAT(Ruimtestaat[[#This Row],[Ruimte code]],"-",Ruimtestaat[[#This Row],[Frequentie weekend]]," ",Ruimtestaat[[#This Row],[Vloer code]]))</f>
        <v/>
      </c>
      <c r="BL933" s="448" t="str">
        <f>_xlfn.IFNA(VLOOKUP($BK933,Programma!$F$3:$G$1101,2,0),"")</f>
        <v/>
      </c>
      <c r="BM933" s="448" t="str">
        <f>_xlfn.IFNA(VLOOKUP($BK933,Programma!$F$3:$H$1101,3,0),"")</f>
        <v/>
      </c>
      <c r="BN933" s="448" t="str">
        <f>_xlfn.IFNA(VLOOKUP($BK933,Programma!$F$3:$I$1101,4,0),"")</f>
        <v/>
      </c>
      <c r="BO933" s="448" t="str">
        <f>_xlfn.IFNA(VLOOKUP($BK933,Programma!$F$3:$J$1101,5,0),"")</f>
        <v/>
      </c>
      <c r="BP933" s="448" t="str">
        <f>_xlfn.IFNA(VLOOKUP($BK933,Programma!$F$3:$K$1101,6,0),"")</f>
        <v/>
      </c>
      <c r="BQ933" s="448" t="str">
        <f>_xlfn.IFNA(VLOOKUP($BK933,Programma!$F$3:$L$1101,7,0),"")</f>
        <v/>
      </c>
      <c r="BR933" s="448" t="str">
        <f>_xlfn.IFNA(VLOOKUP($BK933,Programma!$F$3:$M$1101,8,0),"")</f>
        <v/>
      </c>
      <c r="BS933" s="448" t="str">
        <f>_xlfn.IFNA(VLOOKUP($BK933,Programma!$F$3:$N$1101,9,0),"")</f>
        <v/>
      </c>
      <c r="BT933" s="448" t="str">
        <f>_xlfn.IFNA(VLOOKUP($BK933,Programma!$F$3:$O$1101,10,0),"")</f>
        <v/>
      </c>
      <c r="BU933" s="448" t="str">
        <f>_xlfn.IFNA(VLOOKUP($BK933,Programma!$F$3:$P$1101,11,0),"")</f>
        <v/>
      </c>
      <c r="BV933" s="448" t="str">
        <f>_xlfn.IFNA(VLOOKUP($BK933,Programma!$F$3:$Q$1101,12,0),"")</f>
        <v/>
      </c>
      <c r="BW933" s="448" t="str">
        <f>_xlfn.IFNA(VLOOKUP($BK933,Programma!$F$3:$R$1101,13,0),"")</f>
        <v/>
      </c>
      <c r="BX933" s="448" t="str">
        <f>_xlfn.IFNA(VLOOKUP($BK933,Programma!$F$3:$S$1101,14,0),"")</f>
        <v/>
      </c>
      <c r="BY933" s="448" t="str">
        <f>_xlfn.IFNA(VLOOKUP($BK933,Programma!$F$3:$T$1101,15,0),"")</f>
        <v/>
      </c>
      <c r="BZ933" s="448" t="str">
        <f>_xlfn.IFNA(VLOOKUP($BK933,Programma!$F$3:$U$1101,16,0),"")</f>
        <v/>
      </c>
      <c r="CA933" s="448" t="str">
        <f>_xlfn.IFNA(VLOOKUP($BK933,Programma!$F$3:$V$1101,17,0),"")</f>
        <v/>
      </c>
      <c r="CB933" s="448" t="str">
        <f>_xlfn.IFNA(VLOOKUP($BK933,Programma!$F$3:$W$1101,18,0),"")</f>
        <v/>
      </c>
      <c r="CC933" s="448" t="str">
        <f>_xlfn.IFNA(VLOOKUP($BK933,Programma!$F$3:$X$1101,19,0),"")</f>
        <v/>
      </c>
      <c r="CD933" s="448" t="str">
        <f>_xlfn.IFNA(VLOOKUP($BK933,Programma!$F$3:$Y$1101,20,0),"")</f>
        <v/>
      </c>
    </row>
    <row r="934" spans="1:82" ht="15" customHeight="1">
      <c r="A934" s="327">
        <v>25</v>
      </c>
      <c r="B934" s="435" t="str">
        <f>VLOOKUP(Ruimtestaat[[#This Row],[Code]],Locaties[[Code]:[Locatie]],2,FALSE)</f>
        <v>IKC De Piramide</v>
      </c>
      <c r="C934" s="435" t="str">
        <f>VLOOKUP(Ruimtestaat[[#This Row],[Code]],Locaties[[#All],[Code]:[Adres]],4,FALSE)</f>
        <v>Fivelingo 84</v>
      </c>
      <c r="D934" s="435" t="str">
        <f>VLOOKUP(Ruimtestaat[[#This Row],[Code]],Locaties[[#All],[Code]:[Postcode]],5,FALSE)</f>
        <v>2716 BG</v>
      </c>
      <c r="E934" s="435" t="str">
        <f>VLOOKUP(Ruimtestaat[[#This Row],[Code]],Locaties[#All],6,FALSE)</f>
        <v>Zoetermeer</v>
      </c>
      <c r="F934" s="450" t="s">
        <v>1659</v>
      </c>
      <c r="G934" s="330" t="s">
        <v>1678</v>
      </c>
      <c r="H934" s="330" t="s">
        <v>2089</v>
      </c>
      <c r="I934" s="450" t="s">
        <v>1724</v>
      </c>
      <c r="J934" s="330">
        <v>20</v>
      </c>
      <c r="K934" s="450" t="str">
        <f>VLOOKUP(Ruimtestaat[[#This Row],[Ruimte code]],Ruimtegroepen[[#All],[Code]:[Ruimte omschrijving]],2,FALSE)</f>
        <v>Niet in Onderhoud</v>
      </c>
      <c r="L934" s="434" t="s">
        <v>100</v>
      </c>
      <c r="M934" s="437" t="s">
        <v>1759</v>
      </c>
      <c r="N934" s="439"/>
      <c r="O934" s="439">
        <v>6</v>
      </c>
      <c r="P934" s="439"/>
      <c r="Q934" s="439"/>
      <c r="R934" s="440">
        <f>VLOOKUP(Ruimtestaat[[#This Row],[Ruimte code]],Ruimtegroepen[],4,FALSE)</f>
        <v>0</v>
      </c>
      <c r="S934" s="434"/>
      <c r="T934" s="434"/>
      <c r="U934" s="453">
        <f>IF(S934&gt;0,IF(RIGHT(Ruimtestaat[[#This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34" s="434">
        <f>IF(U934&gt;0,VLOOKUP($J934,Ruimtegroepen[],3,FALSE)*VLOOKUP($L934,Vloersoorten[],3,FALSE)*VLOOKUP($T934,Frequenties[],3,FALSE)*VLOOKUP($A934,Locaties[],3,FALSE),0)</f>
        <v>0</v>
      </c>
      <c r="W934" s="434">
        <f>Ruimtestaat[[#This Row],[Uitvoeringen werkdagen]]*Ruimtestaat[[#This Row],[Oppervlak (netto)]]</f>
        <v>0</v>
      </c>
      <c r="X934" s="441">
        <f>IF(V934&gt;0,Ruimtestaat[[#This Row],[Prest. (m2 /jaar) werkdagen]]/Ruimtestaat[[#This Row],[Norm (m2/uur) werkdagen]],0)</f>
        <v>0</v>
      </c>
      <c r="Y934" s="442">
        <f>Ruimtestaat[[#This Row],[Uitvoeringen werkdagen]]*Ruimtestaat[[#This Row],[Gedeeltelijk]]</f>
        <v>0</v>
      </c>
      <c r="Z934" s="443">
        <f>IF(U934&gt;0,Ruimtestaat[[#This Row],[Prest. (m2 / jaar) werkdagen gedeeld]]/Ruimtestaat[[#This Row],[Norm (m2/uur) werkdagen]],0)</f>
        <v>0</v>
      </c>
      <c r="AA934" s="441">
        <f>Ruimtestaat[[#This Row],[uren / jaar werkdagen gedeeld]]*Tariefsopbouw!$E$35</f>
        <v>0</v>
      </c>
      <c r="AB934" s="441">
        <f>Ruimtestaat[[#This Row],[Uitvoeringen werkdagen]]*Ruimtestaat[[#This Row],[BSO]]</f>
        <v>0</v>
      </c>
      <c r="AC934" s="443">
        <f>IF(U934&gt;0,Ruimtestaat[[#This Row],[Prest. (m2 / jaar) werkdagen BSO]]/Ruimtestaat[[#This Row],[Norm (m2/uur) werkdagen]],0)</f>
        <v>0</v>
      </c>
      <c r="AD934" s="443">
        <f>Ruimtestaat[[#This Row],[uren / jaar werkdagen BSO]]*Tariefsopbouw!$E$35</f>
        <v>0</v>
      </c>
      <c r="AE934" s="444">
        <f>Ruimtestaat[[#This Row],[uren / jaar werkdagen]]*Tariefsopbouw!$E$35</f>
        <v>0</v>
      </c>
      <c r="AF934" s="454"/>
      <c r="AG934" s="455">
        <f>IF(Ruimtestaat[[#This Row],[Frequentie weekend]]&gt;0,VALUE(LEFT(AF934,1))*S934,0)</f>
        <v>0</v>
      </c>
      <c r="AH934" s="455">
        <f>IF($AG934&gt;0,VLOOKUP($J934,Ruimtegroepen[],3,FALSE)*VLOOKUP($L934,Vloersoorten[],3,FALSE)*VLOOKUP($AF934,Frequenties[],3,FALSE)*VLOOKUP(#REF!,Locaties[],3,FALSE),0)</f>
        <v>0</v>
      </c>
      <c r="AI934" s="434">
        <f>Ruimtestaat[[#This Row],[Uitvoeringen weekend]]*Ruimtestaat[[#This Row],[Oppervlak (netto)]]</f>
        <v>0</v>
      </c>
      <c r="AJ934" s="434">
        <f>IF(AH934&gt;0,Ruimtestaat[[#This Row],[Prest. (m2 /jaar) weekend]]/Ruimtestaat[[#This Row],[Norm (m2/uur) weekend]],0)</f>
        <v>0</v>
      </c>
      <c r="AK934" s="444">
        <f>Ruimtestaat[[#This Row],[uren / jaar weekend]]*Tariefsopbouw!$D$40</f>
        <v>0</v>
      </c>
      <c r="AL934" s="441">
        <f>Ruimtestaat[[#This Row],[Prest. (m2 /jaar) weekend]]+Ruimtestaat[[#This Row],[Prest. (m2 /jaar) werkdagen]]</f>
        <v>0</v>
      </c>
      <c r="AM934" s="441">
        <f>Ruimtestaat[[#This Row],[uren / jaar weekend]]+Ruimtestaat[[#This Row],[uren / jaar werkdagen]]</f>
        <v>0</v>
      </c>
      <c r="AN934" s="446">
        <f>Ruimtestaat[[#This Row],[kosten / jaar weekend]]+Ruimtestaat[[#This Row],[kosten / jaar werkdagen]]</f>
        <v>0</v>
      </c>
      <c r="AO934" s="446"/>
      <c r="AP934" s="446" t="str">
        <f>IF(Ruimtestaat[[#This Row],[Frequentie werkdagen]]="","",_xlfn.CONCAT(Ruimtestaat[[#This Row],[Ruimte code]],"-",Ruimtestaat[[#This Row],[Frequentie werkdagen]]," ",Ruimtestaat[[#This Row],[Vloer code]]))</f>
        <v/>
      </c>
      <c r="AQ934" s="448" t="str">
        <f>_xlfn.IFNA(VLOOKUP($AP934,Programma!$F$3:$G$1101,2,0),"")</f>
        <v/>
      </c>
      <c r="AR934" s="448" t="str">
        <f>_xlfn.IFNA(VLOOKUP($AP934,Programma!$F$3:$H$1101,3,0),"")</f>
        <v/>
      </c>
      <c r="AS934" s="448" t="str">
        <f>_xlfn.IFNA(VLOOKUP($AP934,Programma!$F$3:$I$1101,4,0),"")</f>
        <v/>
      </c>
      <c r="AT934" s="448" t="str">
        <f>_xlfn.IFNA(VLOOKUP($AP934,Programma!$F$3:$J$1101,5,0),"")</f>
        <v/>
      </c>
      <c r="AU934" s="448" t="str">
        <f>_xlfn.IFNA(VLOOKUP($AP934,Programma!$F$3:$K$1101,6,0),"")</f>
        <v/>
      </c>
      <c r="AV934" s="448" t="str">
        <f>_xlfn.IFNA(VLOOKUP($AP934,Programma!$F$3:$L$1101,7,0),"")</f>
        <v/>
      </c>
      <c r="AW934" s="448" t="str">
        <f>_xlfn.IFNA(VLOOKUP($AP934,Programma!$F$3:$M$1101,8,0),"")</f>
        <v/>
      </c>
      <c r="AX934" s="448" t="str">
        <f>_xlfn.IFNA(VLOOKUP($AP934,Programma!$F$3:$N$1101,9,0),"")</f>
        <v/>
      </c>
      <c r="AY934" s="448" t="str">
        <f>_xlfn.IFNA(VLOOKUP($AP934,Programma!$F$3:$O$1101,10,0),"")</f>
        <v/>
      </c>
      <c r="AZ934" s="448" t="str">
        <f>_xlfn.IFNA(VLOOKUP($AP934,Programma!$F$3:$P$1101,11,0),"")</f>
        <v/>
      </c>
      <c r="BA934" s="448" t="str">
        <f>_xlfn.IFNA(VLOOKUP($AP934,Programma!$F$3:$Q$1101,12,0),"")</f>
        <v/>
      </c>
      <c r="BB934" s="448" t="str">
        <f>_xlfn.IFNA(VLOOKUP($AP934,Programma!$F$3:$R$1101,13,0),"")</f>
        <v/>
      </c>
      <c r="BC934" s="448" t="str">
        <f>_xlfn.IFNA(VLOOKUP($AP934,Programma!$F$3:$S$1101,14,0),"")</f>
        <v/>
      </c>
      <c r="BD934" s="448" t="str">
        <f>_xlfn.IFNA(VLOOKUP($AP934,Programma!$F$3:$T$1101,15,0),"")</f>
        <v/>
      </c>
      <c r="BE934" s="448" t="str">
        <f>_xlfn.IFNA(VLOOKUP($AP934,Programma!$F$3:$U$1101,16,0),"")</f>
        <v/>
      </c>
      <c r="BF934" s="448" t="str">
        <f>_xlfn.IFNA(VLOOKUP($AP934,Programma!$F$3:$V$1101,17,0),"")</f>
        <v/>
      </c>
      <c r="BG934" s="448" t="str">
        <f>_xlfn.IFNA(VLOOKUP($AP934,Programma!$F$3:$W$1101,18,0),"")</f>
        <v/>
      </c>
      <c r="BH934" s="448" t="str">
        <f>_xlfn.IFNA(VLOOKUP($AP934,Programma!$F$3:$X$1101,19,0),"")</f>
        <v/>
      </c>
      <c r="BI934" s="448" t="str">
        <f>_xlfn.IFNA(VLOOKUP($AP934,Programma!$F$3:$Y$1101,20,0),"")</f>
        <v/>
      </c>
      <c r="BJ934" s="449"/>
      <c r="BK934" s="446" t="str">
        <f>IF(Ruimtestaat[[#This Row],[Frequentie weekend]]="","",_xlfn.CONCAT(Ruimtestaat[[#This Row],[Ruimte code]],"-",Ruimtestaat[[#This Row],[Frequentie weekend]]," ",Ruimtestaat[[#This Row],[Vloer code]]))</f>
        <v/>
      </c>
      <c r="BL934" s="448" t="str">
        <f>_xlfn.IFNA(VLOOKUP($BK934,Programma!$F$3:$G$1101,2,0),"")</f>
        <v/>
      </c>
      <c r="BM934" s="448" t="str">
        <f>_xlfn.IFNA(VLOOKUP($BK934,Programma!$F$3:$H$1101,3,0),"")</f>
        <v/>
      </c>
      <c r="BN934" s="448" t="str">
        <f>_xlfn.IFNA(VLOOKUP($BK934,Programma!$F$3:$I$1101,4,0),"")</f>
        <v/>
      </c>
      <c r="BO934" s="448" t="str">
        <f>_xlfn.IFNA(VLOOKUP($BK934,Programma!$F$3:$J$1101,5,0),"")</f>
        <v/>
      </c>
      <c r="BP934" s="448" t="str">
        <f>_xlfn.IFNA(VLOOKUP($BK934,Programma!$F$3:$K$1101,6,0),"")</f>
        <v/>
      </c>
      <c r="BQ934" s="448" t="str">
        <f>_xlfn.IFNA(VLOOKUP($BK934,Programma!$F$3:$L$1101,7,0),"")</f>
        <v/>
      </c>
      <c r="BR934" s="448" t="str">
        <f>_xlfn.IFNA(VLOOKUP($BK934,Programma!$F$3:$M$1101,8,0),"")</f>
        <v/>
      </c>
      <c r="BS934" s="448" t="str">
        <f>_xlfn.IFNA(VLOOKUP($BK934,Programma!$F$3:$N$1101,9,0),"")</f>
        <v/>
      </c>
      <c r="BT934" s="448" t="str">
        <f>_xlfn.IFNA(VLOOKUP($BK934,Programma!$F$3:$O$1101,10,0),"")</f>
        <v/>
      </c>
      <c r="BU934" s="448" t="str">
        <f>_xlfn.IFNA(VLOOKUP($BK934,Programma!$F$3:$P$1101,11,0),"")</f>
        <v/>
      </c>
      <c r="BV934" s="448" t="str">
        <f>_xlfn.IFNA(VLOOKUP($BK934,Programma!$F$3:$Q$1101,12,0),"")</f>
        <v/>
      </c>
      <c r="BW934" s="448" t="str">
        <f>_xlfn.IFNA(VLOOKUP($BK934,Programma!$F$3:$R$1101,13,0),"")</f>
        <v/>
      </c>
      <c r="BX934" s="448" t="str">
        <f>_xlfn.IFNA(VLOOKUP($BK934,Programma!$F$3:$S$1101,14,0),"")</f>
        <v/>
      </c>
      <c r="BY934" s="448" t="str">
        <f>_xlfn.IFNA(VLOOKUP($BK934,Programma!$F$3:$T$1101,15,0),"")</f>
        <v/>
      </c>
      <c r="BZ934" s="448" t="str">
        <f>_xlfn.IFNA(VLOOKUP($BK934,Programma!$F$3:$U$1101,16,0),"")</f>
        <v/>
      </c>
      <c r="CA934" s="448" t="str">
        <f>_xlfn.IFNA(VLOOKUP($BK934,Programma!$F$3:$V$1101,17,0),"")</f>
        <v/>
      </c>
      <c r="CB934" s="448" t="str">
        <f>_xlfn.IFNA(VLOOKUP($BK934,Programma!$F$3:$W$1101,18,0),"")</f>
        <v/>
      </c>
      <c r="CC934" s="448" t="str">
        <f>_xlfn.IFNA(VLOOKUP($BK934,Programma!$F$3:$X$1101,19,0),"")</f>
        <v/>
      </c>
      <c r="CD934" s="448" t="str">
        <f>_xlfn.IFNA(VLOOKUP($BK934,Programma!$F$3:$Y$1101,20,0),"")</f>
        <v/>
      </c>
    </row>
    <row r="935" spans="1:82" ht="15" customHeight="1">
      <c r="A935" s="327">
        <v>25</v>
      </c>
      <c r="B935" s="435" t="str">
        <f>VLOOKUP(Ruimtestaat[[#This Row],[Code]],Locaties[[Code]:[Locatie]],2,FALSE)</f>
        <v>IKC De Piramide</v>
      </c>
      <c r="C935" s="435" t="str">
        <f>VLOOKUP(Ruimtestaat[[#This Row],[Code]],Locaties[[#All],[Code]:[Adres]],4,FALSE)</f>
        <v>Fivelingo 84</v>
      </c>
      <c r="D935" s="435" t="str">
        <f>VLOOKUP(Ruimtestaat[[#This Row],[Code]],Locaties[[#All],[Code]:[Postcode]],5,FALSE)</f>
        <v>2716 BG</v>
      </c>
      <c r="E935" s="435" t="str">
        <f>VLOOKUP(Ruimtestaat[[#This Row],[Code]],Locaties[#All],6,FALSE)</f>
        <v>Zoetermeer</v>
      </c>
      <c r="F935" s="450" t="s">
        <v>1659</v>
      </c>
      <c r="G935" s="330" t="s">
        <v>1678</v>
      </c>
      <c r="H935" s="330" t="s">
        <v>2090</v>
      </c>
      <c r="I935" s="450" t="s">
        <v>1906</v>
      </c>
      <c r="J935" s="330">
        <v>8</v>
      </c>
      <c r="K935" s="450" t="str">
        <f>VLOOKUP(Ruimtestaat[[#This Row],[Ruimte code]],Ruimtegroepen[[#All],[Code]:[Ruimte omschrijving]],2,FALSE)</f>
        <v>Kinderopvang</v>
      </c>
      <c r="L935" s="434" t="s">
        <v>100</v>
      </c>
      <c r="M935" s="437" t="s">
        <v>1759</v>
      </c>
      <c r="N935" s="439"/>
      <c r="O935" s="439"/>
      <c r="P935" s="439"/>
      <c r="Q935" s="439">
        <v>11</v>
      </c>
      <c r="R935" s="440" t="str">
        <f>VLOOKUP(Ruimtestaat[[#This Row],[Ruimte code]],Ruimtegroepen[],4,FALSE)</f>
        <v>Le</v>
      </c>
      <c r="S935" s="434">
        <v>51</v>
      </c>
      <c r="T935" s="434" t="s">
        <v>2</v>
      </c>
      <c r="U935" s="453">
        <f>IF(S935&gt;0,IF(RIGHT(Ruimtestaat[[#This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35" s="434">
        <f>IF(U935&gt;0,VLOOKUP($J935,Ruimtegroepen[],3,FALSE)*VLOOKUP($L935,Vloersoorten[],3,FALSE)*VLOOKUP($T935,Frequenties[],3,FALSE)*VLOOKUP($A935,Locaties[],3,FALSE),0)</f>
        <v>0</v>
      </c>
      <c r="W935" s="434">
        <f>Ruimtestaat[[#This Row],[Uitvoeringen werkdagen]]*Ruimtestaat[[#This Row],[Oppervlak (netto)]]</f>
        <v>0</v>
      </c>
      <c r="X935" s="441">
        <f>IF(V935&gt;0,Ruimtestaat[[#This Row],[Prest. (m2 /jaar) werkdagen]]/Ruimtestaat[[#This Row],[Norm (m2/uur) werkdagen]],0)</f>
        <v>0</v>
      </c>
      <c r="Y935" s="442">
        <f>Ruimtestaat[[#This Row],[Uitvoeringen werkdagen]]*Ruimtestaat[[#This Row],[Gedeeltelijk]]</f>
        <v>0</v>
      </c>
      <c r="Z935" s="443" t="e">
        <f>IF(U935&gt;0,Ruimtestaat[[#This Row],[Prest. (m2 / jaar) werkdagen gedeeld]]/Ruimtestaat[[#This Row],[Norm (m2/uur) werkdagen]],0)</f>
        <v>#DIV/0!</v>
      </c>
      <c r="AA935" s="441" t="e">
        <f>Ruimtestaat[[#This Row],[uren / jaar werkdagen gedeeld]]*Tariefsopbouw!$E$35</f>
        <v>#DIV/0!</v>
      </c>
      <c r="AB935" s="441">
        <f>Ruimtestaat[[#This Row],[Uitvoeringen werkdagen]]*Ruimtestaat[[#This Row],[BSO]]</f>
        <v>2805</v>
      </c>
      <c r="AC935" s="443" t="e">
        <f>IF(U935&gt;0,Ruimtestaat[[#This Row],[Prest. (m2 / jaar) werkdagen BSO]]/Ruimtestaat[[#This Row],[Norm (m2/uur) werkdagen]],0)</f>
        <v>#DIV/0!</v>
      </c>
      <c r="AD935" s="443" t="e">
        <f>Ruimtestaat[[#This Row],[uren / jaar werkdagen BSO]]*Tariefsopbouw!$E$35</f>
        <v>#DIV/0!</v>
      </c>
      <c r="AE935" s="444">
        <f>Ruimtestaat[[#This Row],[uren / jaar werkdagen]]*Tariefsopbouw!$E$35</f>
        <v>0</v>
      </c>
      <c r="AF935" s="454"/>
      <c r="AG935" s="455">
        <f>IF(Ruimtestaat[[#This Row],[Frequentie weekend]]&gt;0,VALUE(LEFT(AF935,1))*S935,0)</f>
        <v>0</v>
      </c>
      <c r="AH935" s="455">
        <f>IF($AG935&gt;0,VLOOKUP($J935,Ruimtegroepen[],3,FALSE)*VLOOKUP($L935,Vloersoorten[],3,FALSE)*VLOOKUP($AF935,Frequenties[],3,FALSE)*VLOOKUP(#REF!,Locaties[],3,FALSE),0)</f>
        <v>0</v>
      </c>
      <c r="AI935" s="434">
        <f>Ruimtestaat[[#This Row],[Uitvoeringen weekend]]*Ruimtestaat[[#This Row],[Oppervlak (netto)]]</f>
        <v>0</v>
      </c>
      <c r="AJ935" s="434">
        <f>IF(AH935&gt;0,Ruimtestaat[[#This Row],[Prest. (m2 /jaar) weekend]]/Ruimtestaat[[#This Row],[Norm (m2/uur) weekend]],0)</f>
        <v>0</v>
      </c>
      <c r="AK935" s="444">
        <f>Ruimtestaat[[#This Row],[uren / jaar weekend]]*Tariefsopbouw!$D$40</f>
        <v>0</v>
      </c>
      <c r="AL935" s="441">
        <f>Ruimtestaat[[#This Row],[Prest. (m2 /jaar) weekend]]+Ruimtestaat[[#This Row],[Prest. (m2 /jaar) werkdagen]]</f>
        <v>0</v>
      </c>
      <c r="AM935" s="441">
        <f>Ruimtestaat[[#This Row],[uren / jaar weekend]]+Ruimtestaat[[#This Row],[uren / jaar werkdagen]]</f>
        <v>0</v>
      </c>
      <c r="AN935" s="446">
        <f>Ruimtestaat[[#This Row],[kosten / jaar weekend]]+Ruimtestaat[[#This Row],[kosten / jaar werkdagen]]</f>
        <v>0</v>
      </c>
      <c r="AO935" s="446"/>
      <c r="AP935" s="446" t="str">
        <f>IF(Ruimtestaat[[#This Row],[Frequentie werkdagen]]="","",_xlfn.CONCAT(Ruimtestaat[[#This Row],[Ruimte code]],"-",Ruimtestaat[[#This Row],[Frequentie werkdagen]]," ",Ruimtestaat[[#This Row],[Vloer code]]))</f>
        <v>8-5w L</v>
      </c>
      <c r="AQ935" s="448" t="str">
        <f>_xlfn.IFNA(VLOOKUP($AP935,Programma!$F$3:$G$1101,2,0),"")</f>
        <v>_</v>
      </c>
      <c r="AR935" s="448" t="str">
        <f>_xlfn.IFNA(VLOOKUP($AP935,Programma!$F$3:$H$1101,3,0),"")</f>
        <v>_</v>
      </c>
      <c r="AS935" s="448" t="str">
        <f>_xlfn.IFNA(VLOOKUP($AP935,Programma!$F$3:$I$1101,4,0),"")</f>
        <v>4w</v>
      </c>
      <c r="AT935" s="448" t="str">
        <f>_xlfn.IFNA(VLOOKUP($AP935,Programma!$F$3:$J$1101,5,0),"")</f>
        <v>1w</v>
      </c>
      <c r="AU935" s="448" t="str">
        <f>_xlfn.IFNA(VLOOKUP($AP935,Programma!$F$3:$K$1101,6,0),"")</f>
        <v>_</v>
      </c>
      <c r="AV935" s="448" t="str">
        <f>_xlfn.IFNA(VLOOKUP($AP935,Programma!$F$3:$L$1101,7,0),"")</f>
        <v>_</v>
      </c>
      <c r="AW935" s="448" t="str">
        <f>_xlfn.IFNA(VLOOKUP($AP935,Programma!$F$3:$M$1101,8,0),"")</f>
        <v>_</v>
      </c>
      <c r="AX935" s="448" t="str">
        <f>_xlfn.IFNA(VLOOKUP($AP935,Programma!$F$3:$N$1101,9,0),"")</f>
        <v>_</v>
      </c>
      <c r="AY935" s="448" t="str">
        <f>_xlfn.IFNA(VLOOKUP($AP935,Programma!$F$3:$O$1101,10,0),"")</f>
        <v>5w</v>
      </c>
      <c r="AZ935" s="448" t="str">
        <f>_xlfn.IFNA(VLOOKUP($AP935,Programma!$F$3:$P$1101,11,0),"")</f>
        <v>5w</v>
      </c>
      <c r="BA935" s="448" t="str">
        <f>_xlfn.IFNA(VLOOKUP($AP935,Programma!$F$3:$Q$1101,12,0),"")</f>
        <v>1w</v>
      </c>
      <c r="BB935" s="448" t="str">
        <f>_xlfn.IFNA(VLOOKUP($AP935,Programma!$F$3:$R$1101,13,0),"")</f>
        <v>1w</v>
      </c>
      <c r="BC935" s="448" t="str">
        <f>_xlfn.IFNA(VLOOKUP($AP935,Programma!$F$3:$S$1101,14,0),"")</f>
        <v>1m</v>
      </c>
      <c r="BD935" s="448" t="str">
        <f>_xlfn.IFNA(VLOOKUP($AP935,Programma!$F$3:$T$1101,15,0),"")</f>
        <v>2j</v>
      </c>
      <c r="BE935" s="448" t="str">
        <f>_xlfn.IFNA(VLOOKUP($AP935,Programma!$F$3:$U$1101,16,0),"")</f>
        <v>1j</v>
      </c>
      <c r="BF935" s="448" t="str">
        <f>_xlfn.IFNA(VLOOKUP($AP935,Programma!$F$3:$V$1101,17,0),"")</f>
        <v>_</v>
      </c>
      <c r="BG935" s="448" t="str">
        <f>_xlfn.IFNA(VLOOKUP($AP935,Programma!$F$3:$W$1101,18,0),"")</f>
        <v>_</v>
      </c>
      <c r="BH935" s="448" t="str">
        <f>_xlfn.IFNA(VLOOKUP($AP935,Programma!$F$3:$X$1101,19,0),"")</f>
        <v>_</v>
      </c>
      <c r="BI935" s="448" t="str">
        <f>_xlfn.IFNA(VLOOKUP($AP935,Programma!$F$3:$Y$1101,20,0),"")</f>
        <v>_</v>
      </c>
      <c r="BJ935" s="449"/>
      <c r="BK935" s="446" t="str">
        <f>IF(Ruimtestaat[[#This Row],[Frequentie weekend]]="","",_xlfn.CONCAT(Ruimtestaat[[#This Row],[Ruimte code]],"-",Ruimtestaat[[#This Row],[Frequentie weekend]]," ",Ruimtestaat[[#This Row],[Vloer code]]))</f>
        <v/>
      </c>
      <c r="BL935" s="448" t="str">
        <f>_xlfn.IFNA(VLOOKUP($BK935,Programma!$F$3:$G$1101,2,0),"")</f>
        <v/>
      </c>
      <c r="BM935" s="448" t="str">
        <f>_xlfn.IFNA(VLOOKUP($BK935,Programma!$F$3:$H$1101,3,0),"")</f>
        <v/>
      </c>
      <c r="BN935" s="448" t="str">
        <f>_xlfn.IFNA(VLOOKUP($BK935,Programma!$F$3:$I$1101,4,0),"")</f>
        <v/>
      </c>
      <c r="BO935" s="448" t="str">
        <f>_xlfn.IFNA(VLOOKUP($BK935,Programma!$F$3:$J$1101,5,0),"")</f>
        <v/>
      </c>
      <c r="BP935" s="448" t="str">
        <f>_xlfn.IFNA(VLOOKUP($BK935,Programma!$F$3:$K$1101,6,0),"")</f>
        <v/>
      </c>
      <c r="BQ935" s="448" t="str">
        <f>_xlfn.IFNA(VLOOKUP($BK935,Programma!$F$3:$L$1101,7,0),"")</f>
        <v/>
      </c>
      <c r="BR935" s="448" t="str">
        <f>_xlfn.IFNA(VLOOKUP($BK935,Programma!$F$3:$M$1101,8,0),"")</f>
        <v/>
      </c>
      <c r="BS935" s="448" t="str">
        <f>_xlfn.IFNA(VLOOKUP($BK935,Programma!$F$3:$N$1101,9,0),"")</f>
        <v/>
      </c>
      <c r="BT935" s="448" t="str">
        <f>_xlfn.IFNA(VLOOKUP($BK935,Programma!$F$3:$O$1101,10,0),"")</f>
        <v/>
      </c>
      <c r="BU935" s="448" t="str">
        <f>_xlfn.IFNA(VLOOKUP($BK935,Programma!$F$3:$P$1101,11,0),"")</f>
        <v/>
      </c>
      <c r="BV935" s="448" t="str">
        <f>_xlfn.IFNA(VLOOKUP($BK935,Programma!$F$3:$Q$1101,12,0),"")</f>
        <v/>
      </c>
      <c r="BW935" s="448" t="str">
        <f>_xlfn.IFNA(VLOOKUP($BK935,Programma!$F$3:$R$1101,13,0),"")</f>
        <v/>
      </c>
      <c r="BX935" s="448" t="str">
        <f>_xlfn.IFNA(VLOOKUP($BK935,Programma!$F$3:$S$1101,14,0),"")</f>
        <v/>
      </c>
      <c r="BY935" s="448" t="str">
        <f>_xlfn.IFNA(VLOOKUP($BK935,Programma!$F$3:$T$1101,15,0),"")</f>
        <v/>
      </c>
      <c r="BZ935" s="448" t="str">
        <f>_xlfn.IFNA(VLOOKUP($BK935,Programma!$F$3:$U$1101,16,0),"")</f>
        <v/>
      </c>
      <c r="CA935" s="448" t="str">
        <f>_xlfn.IFNA(VLOOKUP($BK935,Programma!$F$3:$V$1101,17,0),"")</f>
        <v/>
      </c>
      <c r="CB935" s="448" t="str">
        <f>_xlfn.IFNA(VLOOKUP($BK935,Programma!$F$3:$W$1101,18,0),"")</f>
        <v/>
      </c>
      <c r="CC935" s="448" t="str">
        <f>_xlfn.IFNA(VLOOKUP($BK935,Programma!$F$3:$X$1101,19,0),"")</f>
        <v/>
      </c>
      <c r="CD935" s="448" t="str">
        <f>_xlfn.IFNA(VLOOKUP($BK935,Programma!$F$3:$Y$1101,20,0),"")</f>
        <v/>
      </c>
    </row>
    <row r="936" spans="1:82" ht="15" customHeight="1">
      <c r="A936" s="327">
        <v>25</v>
      </c>
      <c r="B936" s="435" t="str">
        <f>VLOOKUP(Ruimtestaat[[#This Row],[Code]],Locaties[[Code]:[Locatie]],2,FALSE)</f>
        <v>IKC De Piramide</v>
      </c>
      <c r="C936" s="435" t="str">
        <f>VLOOKUP(Ruimtestaat[[#This Row],[Code]],Locaties[[#All],[Code]:[Adres]],4,FALSE)</f>
        <v>Fivelingo 84</v>
      </c>
      <c r="D936" s="435" t="str">
        <f>VLOOKUP(Ruimtestaat[[#This Row],[Code]],Locaties[[#All],[Code]:[Postcode]],5,FALSE)</f>
        <v>2716 BG</v>
      </c>
      <c r="E936" s="435" t="str">
        <f>VLOOKUP(Ruimtestaat[[#This Row],[Code]],Locaties[#All],6,FALSE)</f>
        <v>Zoetermeer</v>
      </c>
      <c r="F936" s="450" t="s">
        <v>1659</v>
      </c>
      <c r="G936" s="330" t="s">
        <v>1678</v>
      </c>
      <c r="H936" s="330" t="s">
        <v>2091</v>
      </c>
      <c r="I936" s="450" t="s">
        <v>1906</v>
      </c>
      <c r="J936" s="330">
        <v>8</v>
      </c>
      <c r="K936" s="450" t="str">
        <f>VLOOKUP(Ruimtestaat[[#This Row],[Ruimte code]],Ruimtegroepen[[#All],[Code]:[Ruimte omschrijving]],2,FALSE)</f>
        <v>Kinderopvang</v>
      </c>
      <c r="L936" s="434" t="s">
        <v>100</v>
      </c>
      <c r="M936" s="437" t="s">
        <v>1759</v>
      </c>
      <c r="N936" s="439"/>
      <c r="O936" s="439"/>
      <c r="P936" s="439"/>
      <c r="Q936" s="439">
        <v>11</v>
      </c>
      <c r="R936" s="440" t="str">
        <f>VLOOKUP(Ruimtestaat[[#This Row],[Ruimte code]],Ruimtegroepen[],4,FALSE)</f>
        <v>Le</v>
      </c>
      <c r="S936" s="434">
        <v>51</v>
      </c>
      <c r="T936" s="434" t="s">
        <v>2</v>
      </c>
      <c r="U936" s="453">
        <f>IF(S936&gt;0,IF(RIGHT(Ruimtestaat[[#This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36" s="434">
        <f>IF(U936&gt;0,VLOOKUP($J936,Ruimtegroepen[],3,FALSE)*VLOOKUP($L936,Vloersoorten[],3,FALSE)*VLOOKUP($T936,Frequenties[],3,FALSE)*VLOOKUP($A936,Locaties[],3,FALSE),0)</f>
        <v>0</v>
      </c>
      <c r="W936" s="434">
        <f>Ruimtestaat[[#This Row],[Uitvoeringen werkdagen]]*Ruimtestaat[[#This Row],[Oppervlak (netto)]]</f>
        <v>0</v>
      </c>
      <c r="X936" s="441">
        <f>IF(V936&gt;0,Ruimtestaat[[#This Row],[Prest. (m2 /jaar) werkdagen]]/Ruimtestaat[[#This Row],[Norm (m2/uur) werkdagen]],0)</f>
        <v>0</v>
      </c>
      <c r="Y936" s="442">
        <f>Ruimtestaat[[#This Row],[Uitvoeringen werkdagen]]*Ruimtestaat[[#This Row],[Gedeeltelijk]]</f>
        <v>0</v>
      </c>
      <c r="Z936" s="443" t="e">
        <f>IF(U936&gt;0,Ruimtestaat[[#This Row],[Prest. (m2 / jaar) werkdagen gedeeld]]/Ruimtestaat[[#This Row],[Norm (m2/uur) werkdagen]],0)</f>
        <v>#DIV/0!</v>
      </c>
      <c r="AA936" s="441" t="e">
        <f>Ruimtestaat[[#This Row],[uren / jaar werkdagen gedeeld]]*Tariefsopbouw!$E$35</f>
        <v>#DIV/0!</v>
      </c>
      <c r="AB936" s="441">
        <f>Ruimtestaat[[#This Row],[Uitvoeringen werkdagen]]*Ruimtestaat[[#This Row],[BSO]]</f>
        <v>2805</v>
      </c>
      <c r="AC936" s="443" t="e">
        <f>IF(U936&gt;0,Ruimtestaat[[#This Row],[Prest. (m2 / jaar) werkdagen BSO]]/Ruimtestaat[[#This Row],[Norm (m2/uur) werkdagen]],0)</f>
        <v>#DIV/0!</v>
      </c>
      <c r="AD936" s="443" t="e">
        <f>Ruimtestaat[[#This Row],[uren / jaar werkdagen BSO]]*Tariefsopbouw!$E$35</f>
        <v>#DIV/0!</v>
      </c>
      <c r="AE936" s="444">
        <f>Ruimtestaat[[#This Row],[uren / jaar werkdagen]]*Tariefsopbouw!$E$35</f>
        <v>0</v>
      </c>
      <c r="AF936" s="454"/>
      <c r="AG936" s="455">
        <f>IF(Ruimtestaat[[#This Row],[Frequentie weekend]]&gt;0,VALUE(LEFT(AF936,1))*S936,0)</f>
        <v>0</v>
      </c>
      <c r="AH936" s="455">
        <f>IF($AG936&gt;0,VLOOKUP($J936,Ruimtegroepen[],3,FALSE)*VLOOKUP($L936,Vloersoorten[],3,FALSE)*VLOOKUP($AF936,Frequenties[],3,FALSE)*VLOOKUP(#REF!,Locaties[],3,FALSE),0)</f>
        <v>0</v>
      </c>
      <c r="AI936" s="434">
        <f>Ruimtestaat[[#This Row],[Uitvoeringen weekend]]*Ruimtestaat[[#This Row],[Oppervlak (netto)]]</f>
        <v>0</v>
      </c>
      <c r="AJ936" s="434">
        <f>IF(AH936&gt;0,Ruimtestaat[[#This Row],[Prest. (m2 /jaar) weekend]]/Ruimtestaat[[#This Row],[Norm (m2/uur) weekend]],0)</f>
        <v>0</v>
      </c>
      <c r="AK936" s="444">
        <f>Ruimtestaat[[#This Row],[uren / jaar weekend]]*Tariefsopbouw!$D$40</f>
        <v>0</v>
      </c>
      <c r="AL936" s="441">
        <f>Ruimtestaat[[#This Row],[Prest. (m2 /jaar) weekend]]+Ruimtestaat[[#This Row],[Prest. (m2 /jaar) werkdagen]]</f>
        <v>0</v>
      </c>
      <c r="AM936" s="441">
        <f>Ruimtestaat[[#This Row],[uren / jaar weekend]]+Ruimtestaat[[#This Row],[uren / jaar werkdagen]]</f>
        <v>0</v>
      </c>
      <c r="AN936" s="446">
        <f>Ruimtestaat[[#This Row],[kosten / jaar weekend]]+Ruimtestaat[[#This Row],[kosten / jaar werkdagen]]</f>
        <v>0</v>
      </c>
      <c r="AO936" s="446"/>
      <c r="AP936" s="446" t="str">
        <f>IF(Ruimtestaat[[#This Row],[Frequentie werkdagen]]="","",_xlfn.CONCAT(Ruimtestaat[[#This Row],[Ruimte code]],"-",Ruimtestaat[[#This Row],[Frequentie werkdagen]]," ",Ruimtestaat[[#This Row],[Vloer code]]))</f>
        <v>8-5w L</v>
      </c>
      <c r="AQ936" s="448" t="str">
        <f>_xlfn.IFNA(VLOOKUP($AP936,Programma!$F$3:$G$1101,2,0),"")</f>
        <v>_</v>
      </c>
      <c r="AR936" s="448" t="str">
        <f>_xlfn.IFNA(VLOOKUP($AP936,Programma!$F$3:$H$1101,3,0),"")</f>
        <v>_</v>
      </c>
      <c r="AS936" s="448" t="str">
        <f>_xlfn.IFNA(VLOOKUP($AP936,Programma!$F$3:$I$1101,4,0),"")</f>
        <v>4w</v>
      </c>
      <c r="AT936" s="448" t="str">
        <f>_xlfn.IFNA(VLOOKUP($AP936,Programma!$F$3:$J$1101,5,0),"")</f>
        <v>1w</v>
      </c>
      <c r="AU936" s="448" t="str">
        <f>_xlfn.IFNA(VLOOKUP($AP936,Programma!$F$3:$K$1101,6,0),"")</f>
        <v>_</v>
      </c>
      <c r="AV936" s="448" t="str">
        <f>_xlfn.IFNA(VLOOKUP($AP936,Programma!$F$3:$L$1101,7,0),"")</f>
        <v>_</v>
      </c>
      <c r="AW936" s="448" t="str">
        <f>_xlfn.IFNA(VLOOKUP($AP936,Programma!$F$3:$M$1101,8,0),"")</f>
        <v>_</v>
      </c>
      <c r="AX936" s="448" t="str">
        <f>_xlfn.IFNA(VLOOKUP($AP936,Programma!$F$3:$N$1101,9,0),"")</f>
        <v>_</v>
      </c>
      <c r="AY936" s="448" t="str">
        <f>_xlfn.IFNA(VLOOKUP($AP936,Programma!$F$3:$O$1101,10,0),"")</f>
        <v>5w</v>
      </c>
      <c r="AZ936" s="448" t="str">
        <f>_xlfn.IFNA(VLOOKUP($AP936,Programma!$F$3:$P$1101,11,0),"")</f>
        <v>5w</v>
      </c>
      <c r="BA936" s="448" t="str">
        <f>_xlfn.IFNA(VLOOKUP($AP936,Programma!$F$3:$Q$1101,12,0),"")</f>
        <v>1w</v>
      </c>
      <c r="BB936" s="448" t="str">
        <f>_xlfn.IFNA(VLOOKUP($AP936,Programma!$F$3:$R$1101,13,0),"")</f>
        <v>1w</v>
      </c>
      <c r="BC936" s="448" t="str">
        <f>_xlfn.IFNA(VLOOKUP($AP936,Programma!$F$3:$S$1101,14,0),"")</f>
        <v>1m</v>
      </c>
      <c r="BD936" s="448" t="str">
        <f>_xlfn.IFNA(VLOOKUP($AP936,Programma!$F$3:$T$1101,15,0),"")</f>
        <v>2j</v>
      </c>
      <c r="BE936" s="448" t="str">
        <f>_xlfn.IFNA(VLOOKUP($AP936,Programma!$F$3:$U$1101,16,0),"")</f>
        <v>1j</v>
      </c>
      <c r="BF936" s="448" t="str">
        <f>_xlfn.IFNA(VLOOKUP($AP936,Programma!$F$3:$V$1101,17,0),"")</f>
        <v>_</v>
      </c>
      <c r="BG936" s="448" t="str">
        <f>_xlfn.IFNA(VLOOKUP($AP936,Programma!$F$3:$W$1101,18,0),"")</f>
        <v>_</v>
      </c>
      <c r="BH936" s="448" t="str">
        <f>_xlfn.IFNA(VLOOKUP($AP936,Programma!$F$3:$X$1101,19,0),"")</f>
        <v>_</v>
      </c>
      <c r="BI936" s="448" t="str">
        <f>_xlfn.IFNA(VLOOKUP($AP936,Programma!$F$3:$Y$1101,20,0),"")</f>
        <v>_</v>
      </c>
      <c r="BJ936" s="449"/>
      <c r="BK936" s="446" t="str">
        <f>IF(Ruimtestaat[[#This Row],[Frequentie weekend]]="","",_xlfn.CONCAT(Ruimtestaat[[#This Row],[Ruimte code]],"-",Ruimtestaat[[#This Row],[Frequentie weekend]]," ",Ruimtestaat[[#This Row],[Vloer code]]))</f>
        <v/>
      </c>
      <c r="BL936" s="448" t="str">
        <f>_xlfn.IFNA(VLOOKUP($BK936,Programma!$F$3:$G$1101,2,0),"")</f>
        <v/>
      </c>
      <c r="BM936" s="448" t="str">
        <f>_xlfn.IFNA(VLOOKUP($BK936,Programma!$F$3:$H$1101,3,0),"")</f>
        <v/>
      </c>
      <c r="BN936" s="448" t="str">
        <f>_xlfn.IFNA(VLOOKUP($BK936,Programma!$F$3:$I$1101,4,0),"")</f>
        <v/>
      </c>
      <c r="BO936" s="448" t="str">
        <f>_xlfn.IFNA(VLOOKUP($BK936,Programma!$F$3:$J$1101,5,0),"")</f>
        <v/>
      </c>
      <c r="BP936" s="448" t="str">
        <f>_xlfn.IFNA(VLOOKUP($BK936,Programma!$F$3:$K$1101,6,0),"")</f>
        <v/>
      </c>
      <c r="BQ936" s="448" t="str">
        <f>_xlfn.IFNA(VLOOKUP($BK936,Programma!$F$3:$L$1101,7,0),"")</f>
        <v/>
      </c>
      <c r="BR936" s="448" t="str">
        <f>_xlfn.IFNA(VLOOKUP($BK936,Programma!$F$3:$M$1101,8,0),"")</f>
        <v/>
      </c>
      <c r="BS936" s="448" t="str">
        <f>_xlfn.IFNA(VLOOKUP($BK936,Programma!$F$3:$N$1101,9,0),"")</f>
        <v/>
      </c>
      <c r="BT936" s="448" t="str">
        <f>_xlfn.IFNA(VLOOKUP($BK936,Programma!$F$3:$O$1101,10,0),"")</f>
        <v/>
      </c>
      <c r="BU936" s="448" t="str">
        <f>_xlfn.IFNA(VLOOKUP($BK936,Programma!$F$3:$P$1101,11,0),"")</f>
        <v/>
      </c>
      <c r="BV936" s="448" t="str">
        <f>_xlfn.IFNA(VLOOKUP($BK936,Programma!$F$3:$Q$1101,12,0),"")</f>
        <v/>
      </c>
      <c r="BW936" s="448" t="str">
        <f>_xlfn.IFNA(VLOOKUP($BK936,Programma!$F$3:$R$1101,13,0),"")</f>
        <v/>
      </c>
      <c r="BX936" s="448" t="str">
        <f>_xlfn.IFNA(VLOOKUP($BK936,Programma!$F$3:$S$1101,14,0),"")</f>
        <v/>
      </c>
      <c r="BY936" s="448" t="str">
        <f>_xlfn.IFNA(VLOOKUP($BK936,Programma!$F$3:$T$1101,15,0),"")</f>
        <v/>
      </c>
      <c r="BZ936" s="448" t="str">
        <f>_xlfn.IFNA(VLOOKUP($BK936,Programma!$F$3:$U$1101,16,0),"")</f>
        <v/>
      </c>
      <c r="CA936" s="448" t="str">
        <f>_xlfn.IFNA(VLOOKUP($BK936,Programma!$F$3:$V$1101,17,0),"")</f>
        <v/>
      </c>
      <c r="CB936" s="448" t="str">
        <f>_xlfn.IFNA(VLOOKUP($BK936,Programma!$F$3:$W$1101,18,0),"")</f>
        <v/>
      </c>
      <c r="CC936" s="448" t="str">
        <f>_xlfn.IFNA(VLOOKUP($BK936,Programma!$F$3:$X$1101,19,0),"")</f>
        <v/>
      </c>
      <c r="CD936" s="448" t="str">
        <f>_xlfn.IFNA(VLOOKUP($BK936,Programma!$F$3:$Y$1101,20,0),"")</f>
        <v/>
      </c>
    </row>
    <row r="937" spans="1:82" ht="15" customHeight="1">
      <c r="A937" s="327">
        <v>25</v>
      </c>
      <c r="B937" s="435" t="str">
        <f>VLOOKUP(Ruimtestaat[[#This Row],[Code]],Locaties[[Code]:[Locatie]],2,FALSE)</f>
        <v>IKC De Piramide</v>
      </c>
      <c r="C937" s="435" t="str">
        <f>VLOOKUP(Ruimtestaat[[#This Row],[Code]],Locaties[[#All],[Code]:[Adres]],4,FALSE)</f>
        <v>Fivelingo 84</v>
      </c>
      <c r="D937" s="435" t="str">
        <f>VLOOKUP(Ruimtestaat[[#This Row],[Code]],Locaties[[#All],[Code]:[Postcode]],5,FALSE)</f>
        <v>2716 BG</v>
      </c>
      <c r="E937" s="435" t="str">
        <f>VLOOKUP(Ruimtestaat[[#This Row],[Code]],Locaties[#All],6,FALSE)</f>
        <v>Zoetermeer</v>
      </c>
      <c r="F937" s="450" t="s">
        <v>1659</v>
      </c>
      <c r="G937" s="330" t="s">
        <v>1678</v>
      </c>
      <c r="H937" s="330" t="s">
        <v>2092</v>
      </c>
      <c r="I937" s="450" t="s">
        <v>1720</v>
      </c>
      <c r="J937" s="330">
        <v>5</v>
      </c>
      <c r="K937" s="450" t="str">
        <f>VLOOKUP(Ruimtestaat[[#This Row],[Ruimte code]],Ruimtegroepen[[#All],[Code]:[Ruimte omschrijving]],2,FALSE)</f>
        <v>Sanitair</v>
      </c>
      <c r="L937" s="330" t="s">
        <v>101</v>
      </c>
      <c r="M937" s="437" t="s">
        <v>1816</v>
      </c>
      <c r="N937" s="439"/>
      <c r="O937" s="439"/>
      <c r="P937" s="439"/>
      <c r="Q937" s="439">
        <v>11</v>
      </c>
      <c r="R937" s="440" t="str">
        <f>VLOOKUP(Ruimtestaat[[#This Row],[Ruimte code]],Ruimtegroepen[],4,FALSE)</f>
        <v>Sa</v>
      </c>
      <c r="S937" s="434">
        <v>51</v>
      </c>
      <c r="T937" s="434" t="s">
        <v>2</v>
      </c>
      <c r="U937" s="453">
        <f>IF(S937&gt;0,IF(RIGHT(Ruimtestaat[[#This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37" s="434">
        <f>IF(U937&gt;0,VLOOKUP($J937,Ruimtegroepen[],3,FALSE)*VLOOKUP($L937,Vloersoorten[],3,FALSE)*VLOOKUP($T937,Frequenties[],3,FALSE)*VLOOKUP($A937,Locaties[],3,FALSE),0)</f>
        <v>0</v>
      </c>
      <c r="W937" s="434">
        <f>Ruimtestaat[[#This Row],[Uitvoeringen werkdagen]]*Ruimtestaat[[#This Row],[Oppervlak (netto)]]</f>
        <v>0</v>
      </c>
      <c r="X937" s="441">
        <f>IF(V937&gt;0,Ruimtestaat[[#This Row],[Prest. (m2 /jaar) werkdagen]]/Ruimtestaat[[#This Row],[Norm (m2/uur) werkdagen]],0)</f>
        <v>0</v>
      </c>
      <c r="Y937" s="442">
        <f>Ruimtestaat[[#This Row],[Uitvoeringen werkdagen]]*Ruimtestaat[[#This Row],[Gedeeltelijk]]</f>
        <v>0</v>
      </c>
      <c r="Z937" s="443" t="e">
        <f>IF(U937&gt;0,Ruimtestaat[[#This Row],[Prest. (m2 / jaar) werkdagen gedeeld]]/Ruimtestaat[[#This Row],[Norm (m2/uur) werkdagen]],0)</f>
        <v>#DIV/0!</v>
      </c>
      <c r="AA937" s="441" t="e">
        <f>Ruimtestaat[[#This Row],[uren / jaar werkdagen gedeeld]]*Tariefsopbouw!$E$35</f>
        <v>#DIV/0!</v>
      </c>
      <c r="AB937" s="441">
        <f>Ruimtestaat[[#This Row],[Uitvoeringen werkdagen]]*Ruimtestaat[[#This Row],[BSO]]</f>
        <v>2805</v>
      </c>
      <c r="AC937" s="443" t="e">
        <f>IF(U937&gt;0,Ruimtestaat[[#This Row],[Prest. (m2 / jaar) werkdagen BSO]]/Ruimtestaat[[#This Row],[Norm (m2/uur) werkdagen]],0)</f>
        <v>#DIV/0!</v>
      </c>
      <c r="AD937" s="443" t="e">
        <f>Ruimtestaat[[#This Row],[uren / jaar werkdagen BSO]]*Tariefsopbouw!$E$35</f>
        <v>#DIV/0!</v>
      </c>
      <c r="AE937" s="444">
        <f>Ruimtestaat[[#This Row],[uren / jaar werkdagen]]*Tariefsopbouw!$E$35</f>
        <v>0</v>
      </c>
      <c r="AF937" s="454"/>
      <c r="AG937" s="455">
        <f>IF(Ruimtestaat[[#This Row],[Frequentie weekend]]&gt;0,VALUE(LEFT(AF937,1))*S937,0)</f>
        <v>0</v>
      </c>
      <c r="AH937" s="455">
        <f>IF($AG937&gt;0,VLOOKUP($J937,Ruimtegroepen[],3,FALSE)*VLOOKUP($L937,Vloersoorten[],3,FALSE)*VLOOKUP($AF937,Frequenties[],3,FALSE)*VLOOKUP(#REF!,Locaties[],3,FALSE),0)</f>
        <v>0</v>
      </c>
      <c r="AI937" s="434">
        <f>Ruimtestaat[[#This Row],[Uitvoeringen weekend]]*Ruimtestaat[[#This Row],[Oppervlak (netto)]]</f>
        <v>0</v>
      </c>
      <c r="AJ937" s="434">
        <f>IF(AH937&gt;0,Ruimtestaat[[#This Row],[Prest. (m2 /jaar) weekend]]/Ruimtestaat[[#This Row],[Norm (m2/uur) weekend]],0)</f>
        <v>0</v>
      </c>
      <c r="AK937" s="444">
        <f>Ruimtestaat[[#This Row],[uren / jaar weekend]]*Tariefsopbouw!$D$40</f>
        <v>0</v>
      </c>
      <c r="AL937" s="441">
        <f>Ruimtestaat[[#This Row],[Prest. (m2 /jaar) weekend]]+Ruimtestaat[[#This Row],[Prest. (m2 /jaar) werkdagen]]</f>
        <v>0</v>
      </c>
      <c r="AM937" s="441">
        <f>Ruimtestaat[[#This Row],[uren / jaar weekend]]+Ruimtestaat[[#This Row],[uren / jaar werkdagen]]</f>
        <v>0</v>
      </c>
      <c r="AN937" s="446">
        <f>Ruimtestaat[[#This Row],[kosten / jaar weekend]]+Ruimtestaat[[#This Row],[kosten / jaar werkdagen]]</f>
        <v>0</v>
      </c>
      <c r="AO937" s="446"/>
      <c r="AP937" s="446" t="str">
        <f>IF(Ruimtestaat[[#This Row],[Frequentie werkdagen]]="","",_xlfn.CONCAT(Ruimtestaat[[#This Row],[Ruimte code]],"-",Ruimtestaat[[#This Row],[Frequentie werkdagen]]," ",Ruimtestaat[[#This Row],[Vloer code]]))</f>
        <v>5-5w S</v>
      </c>
      <c r="AQ937" s="448" t="str">
        <f>_xlfn.IFNA(VLOOKUP($AP937,Programma!$F$3:$G$1101,2,0),"")</f>
        <v>_</v>
      </c>
      <c r="AR937" s="448" t="str">
        <f>_xlfn.IFNA(VLOOKUP($AP937,Programma!$F$3:$H$1101,3,0),"")</f>
        <v>_</v>
      </c>
      <c r="AS937" s="448" t="str">
        <f>_xlfn.IFNA(VLOOKUP($AP937,Programma!$F$3:$I$1101,4,0),"")</f>
        <v>_</v>
      </c>
      <c r="AT937" s="448" t="str">
        <f>_xlfn.IFNA(VLOOKUP($AP937,Programma!$F$3:$J$1101,5,0),"")</f>
        <v>4w</v>
      </c>
      <c r="AU937" s="448" t="str">
        <f>_xlfn.IFNA(VLOOKUP($AP937,Programma!$F$3:$K$1101,6,0),"")</f>
        <v>1w</v>
      </c>
      <c r="AV937" s="448" t="str">
        <f>_xlfn.IFNA(VLOOKUP($AP937,Programma!$F$3:$L$1101,7,0),"")</f>
        <v>_</v>
      </c>
      <c r="AW937" s="448" t="str">
        <f>_xlfn.IFNA(VLOOKUP($AP937,Programma!$F$3:$M$1101,8,0),"")</f>
        <v>_</v>
      </c>
      <c r="AX937" s="448" t="str">
        <f>_xlfn.IFNA(VLOOKUP($AP937,Programma!$F$3:$N$1101,9,0),"")</f>
        <v>_</v>
      </c>
      <c r="AY937" s="448" t="str">
        <f>_xlfn.IFNA(VLOOKUP($AP937,Programma!$F$3:$O$1101,10,0),"")</f>
        <v>_</v>
      </c>
      <c r="AZ937" s="448" t="str">
        <f>_xlfn.IFNA(VLOOKUP($AP937,Programma!$F$3:$P$1101,11,0),"")</f>
        <v>_</v>
      </c>
      <c r="BA937" s="448" t="str">
        <f>_xlfn.IFNA(VLOOKUP($AP937,Programma!$F$3:$Q$1101,12,0),"")</f>
        <v>_</v>
      </c>
      <c r="BB937" s="448" t="str">
        <f>_xlfn.IFNA(VLOOKUP($AP937,Programma!$F$3:$R$1101,13,0),"")</f>
        <v>_</v>
      </c>
      <c r="BC937" s="448" t="str">
        <f>_xlfn.IFNA(VLOOKUP($AP937,Programma!$F$3:$S$1101,14,0),"")</f>
        <v>_</v>
      </c>
      <c r="BD937" s="448" t="str">
        <f>_xlfn.IFNA(VLOOKUP($AP937,Programma!$F$3:$T$1101,15,0),"")</f>
        <v>_</v>
      </c>
      <c r="BE937" s="448" t="str">
        <f>_xlfn.IFNA(VLOOKUP($AP937,Programma!$F$3:$U$1101,16,0),"")</f>
        <v>_</v>
      </c>
      <c r="BF937" s="448" t="str">
        <f>_xlfn.IFNA(VLOOKUP($AP937,Programma!$F$3:$V$1101,17,0),"")</f>
        <v>_</v>
      </c>
      <c r="BG937" s="448" t="str">
        <f>_xlfn.IFNA(VLOOKUP($AP937,Programma!$F$3:$W$1101,18,0),"")</f>
        <v>4w</v>
      </c>
      <c r="BH937" s="448" t="str">
        <f>_xlfn.IFNA(VLOOKUP($AP937,Programma!$F$3:$X$1101,19,0),"")</f>
        <v>1w</v>
      </c>
      <c r="BI937" s="448" t="str">
        <f>_xlfn.IFNA(VLOOKUP($AP937,Programma!$F$3:$Y$1101,20,0),"")</f>
        <v>_</v>
      </c>
      <c r="BJ937" s="449"/>
      <c r="BK937" s="446" t="str">
        <f>IF(Ruimtestaat[[#This Row],[Frequentie weekend]]="","",_xlfn.CONCAT(Ruimtestaat[[#This Row],[Ruimte code]],"-",Ruimtestaat[[#This Row],[Frequentie weekend]]," ",Ruimtestaat[[#This Row],[Vloer code]]))</f>
        <v/>
      </c>
      <c r="BL937" s="448" t="str">
        <f>_xlfn.IFNA(VLOOKUP($BK937,Programma!$F$3:$G$1101,2,0),"")</f>
        <v/>
      </c>
      <c r="BM937" s="448" t="str">
        <f>_xlfn.IFNA(VLOOKUP($BK937,Programma!$F$3:$H$1101,3,0),"")</f>
        <v/>
      </c>
      <c r="BN937" s="448" t="str">
        <f>_xlfn.IFNA(VLOOKUP($BK937,Programma!$F$3:$I$1101,4,0),"")</f>
        <v/>
      </c>
      <c r="BO937" s="448" t="str">
        <f>_xlfn.IFNA(VLOOKUP($BK937,Programma!$F$3:$J$1101,5,0),"")</f>
        <v/>
      </c>
      <c r="BP937" s="448" t="str">
        <f>_xlfn.IFNA(VLOOKUP($BK937,Programma!$F$3:$K$1101,6,0),"")</f>
        <v/>
      </c>
      <c r="BQ937" s="448" t="str">
        <f>_xlfn.IFNA(VLOOKUP($BK937,Programma!$F$3:$L$1101,7,0),"")</f>
        <v/>
      </c>
      <c r="BR937" s="448" t="str">
        <f>_xlfn.IFNA(VLOOKUP($BK937,Programma!$F$3:$M$1101,8,0),"")</f>
        <v/>
      </c>
      <c r="BS937" s="448" t="str">
        <f>_xlfn.IFNA(VLOOKUP($BK937,Programma!$F$3:$N$1101,9,0),"")</f>
        <v/>
      </c>
      <c r="BT937" s="448" t="str">
        <f>_xlfn.IFNA(VLOOKUP($BK937,Programma!$F$3:$O$1101,10,0),"")</f>
        <v/>
      </c>
      <c r="BU937" s="448" t="str">
        <f>_xlfn.IFNA(VLOOKUP($BK937,Programma!$F$3:$P$1101,11,0),"")</f>
        <v/>
      </c>
      <c r="BV937" s="448" t="str">
        <f>_xlfn.IFNA(VLOOKUP($BK937,Programma!$F$3:$Q$1101,12,0),"")</f>
        <v/>
      </c>
      <c r="BW937" s="448" t="str">
        <f>_xlfn.IFNA(VLOOKUP($BK937,Programma!$F$3:$R$1101,13,0),"")</f>
        <v/>
      </c>
      <c r="BX937" s="448" t="str">
        <f>_xlfn.IFNA(VLOOKUP($BK937,Programma!$F$3:$S$1101,14,0),"")</f>
        <v/>
      </c>
      <c r="BY937" s="448" t="str">
        <f>_xlfn.IFNA(VLOOKUP($BK937,Programma!$F$3:$T$1101,15,0),"")</f>
        <v/>
      </c>
      <c r="BZ937" s="448" t="str">
        <f>_xlfn.IFNA(VLOOKUP($BK937,Programma!$F$3:$U$1101,16,0),"")</f>
        <v/>
      </c>
      <c r="CA937" s="448" t="str">
        <f>_xlfn.IFNA(VLOOKUP($BK937,Programma!$F$3:$V$1101,17,0),"")</f>
        <v/>
      </c>
      <c r="CB937" s="448" t="str">
        <f>_xlfn.IFNA(VLOOKUP($BK937,Programma!$F$3:$W$1101,18,0),"")</f>
        <v/>
      </c>
      <c r="CC937" s="448" t="str">
        <f>_xlfn.IFNA(VLOOKUP($BK937,Programma!$F$3:$X$1101,19,0),"")</f>
        <v/>
      </c>
      <c r="CD937" s="448" t="str">
        <f>_xlfn.IFNA(VLOOKUP($BK937,Programma!$F$3:$Y$1101,20,0),"")</f>
        <v/>
      </c>
    </row>
    <row r="938" spans="1:82" ht="15" customHeight="1">
      <c r="A938" s="327">
        <v>25</v>
      </c>
      <c r="B938" s="435" t="str">
        <f>VLOOKUP(Ruimtestaat[[#This Row],[Code]],Locaties[[Code]:[Locatie]],2,FALSE)</f>
        <v>IKC De Piramide</v>
      </c>
      <c r="C938" s="435" t="str">
        <f>VLOOKUP(Ruimtestaat[[#This Row],[Code]],Locaties[[#All],[Code]:[Adres]],4,FALSE)</f>
        <v>Fivelingo 84</v>
      </c>
      <c r="D938" s="435" t="str">
        <f>VLOOKUP(Ruimtestaat[[#This Row],[Code]],Locaties[[#All],[Code]:[Postcode]],5,FALSE)</f>
        <v>2716 BG</v>
      </c>
      <c r="E938" s="435" t="str">
        <f>VLOOKUP(Ruimtestaat[[#This Row],[Code]],Locaties[#All],6,FALSE)</f>
        <v>Zoetermeer</v>
      </c>
      <c r="F938" s="450" t="s">
        <v>1659</v>
      </c>
      <c r="G938" s="330" t="s">
        <v>1678</v>
      </c>
      <c r="H938" s="330" t="s">
        <v>2093</v>
      </c>
      <c r="I938" s="450" t="s">
        <v>1724</v>
      </c>
      <c r="J938" s="330">
        <v>20</v>
      </c>
      <c r="K938" s="450" t="str">
        <f>VLOOKUP(Ruimtestaat[[#This Row],[Ruimte code]],Ruimtegroepen[[#All],[Code]:[Ruimte omschrijving]],2,FALSE)</f>
        <v>Niet in Onderhoud</v>
      </c>
      <c r="L938" s="434" t="s">
        <v>100</v>
      </c>
      <c r="M938" s="437" t="s">
        <v>1759</v>
      </c>
      <c r="N938" s="439"/>
      <c r="O938" s="439">
        <v>6</v>
      </c>
      <c r="P938" s="439"/>
      <c r="Q938" s="439"/>
      <c r="R938" s="440">
        <f>VLOOKUP(Ruimtestaat[[#This Row],[Ruimte code]],Ruimtegroepen[],4,FALSE)</f>
        <v>0</v>
      </c>
      <c r="S938" s="434"/>
      <c r="T938" s="434"/>
      <c r="U938" s="453">
        <f>IF(S938&gt;0,IF(RIGHT(Ruimtestaat[[#This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38" s="434">
        <f>IF(U938&gt;0,VLOOKUP($J938,Ruimtegroepen[],3,FALSE)*VLOOKUP($L938,Vloersoorten[],3,FALSE)*VLOOKUP($T938,Frequenties[],3,FALSE)*VLOOKUP($A938,Locaties[],3,FALSE),0)</f>
        <v>0</v>
      </c>
      <c r="W938" s="434">
        <f>Ruimtestaat[[#This Row],[Uitvoeringen werkdagen]]*Ruimtestaat[[#This Row],[Oppervlak (netto)]]</f>
        <v>0</v>
      </c>
      <c r="X938" s="441">
        <f>IF(V938&gt;0,Ruimtestaat[[#This Row],[Prest. (m2 /jaar) werkdagen]]/Ruimtestaat[[#This Row],[Norm (m2/uur) werkdagen]],0)</f>
        <v>0</v>
      </c>
      <c r="Y938" s="442">
        <f>Ruimtestaat[[#This Row],[Uitvoeringen werkdagen]]*Ruimtestaat[[#This Row],[Gedeeltelijk]]</f>
        <v>0</v>
      </c>
      <c r="Z938" s="443">
        <f>IF(U938&gt;0,Ruimtestaat[[#This Row],[Prest. (m2 / jaar) werkdagen gedeeld]]/Ruimtestaat[[#This Row],[Norm (m2/uur) werkdagen]],0)</f>
        <v>0</v>
      </c>
      <c r="AA938" s="441">
        <f>Ruimtestaat[[#This Row],[uren / jaar werkdagen gedeeld]]*Tariefsopbouw!$E$35</f>
        <v>0</v>
      </c>
      <c r="AB938" s="441">
        <f>Ruimtestaat[[#This Row],[Uitvoeringen werkdagen]]*Ruimtestaat[[#This Row],[BSO]]</f>
        <v>0</v>
      </c>
      <c r="AC938" s="443">
        <f>IF(U938&gt;0,Ruimtestaat[[#This Row],[Prest. (m2 / jaar) werkdagen BSO]]/Ruimtestaat[[#This Row],[Norm (m2/uur) werkdagen]],0)</f>
        <v>0</v>
      </c>
      <c r="AD938" s="443">
        <f>Ruimtestaat[[#This Row],[uren / jaar werkdagen BSO]]*Tariefsopbouw!$E$35</f>
        <v>0</v>
      </c>
      <c r="AE938" s="444">
        <f>Ruimtestaat[[#This Row],[uren / jaar werkdagen]]*Tariefsopbouw!$E$35</f>
        <v>0</v>
      </c>
      <c r="AF938" s="454"/>
      <c r="AG938" s="455">
        <f>IF(Ruimtestaat[[#This Row],[Frequentie weekend]]&gt;0,VALUE(LEFT(AF938,1))*S938,0)</f>
        <v>0</v>
      </c>
      <c r="AH938" s="455">
        <f>IF($AG938&gt;0,VLOOKUP($J938,Ruimtegroepen[],3,FALSE)*VLOOKUP($L938,Vloersoorten[],3,FALSE)*VLOOKUP($AF938,Frequenties[],3,FALSE)*VLOOKUP(#REF!,Locaties[],3,FALSE),0)</f>
        <v>0</v>
      </c>
      <c r="AI938" s="434">
        <f>Ruimtestaat[[#This Row],[Uitvoeringen weekend]]*Ruimtestaat[[#This Row],[Oppervlak (netto)]]</f>
        <v>0</v>
      </c>
      <c r="AJ938" s="434">
        <f>IF(AH938&gt;0,Ruimtestaat[[#This Row],[Prest. (m2 /jaar) weekend]]/Ruimtestaat[[#This Row],[Norm (m2/uur) weekend]],0)</f>
        <v>0</v>
      </c>
      <c r="AK938" s="444">
        <f>Ruimtestaat[[#This Row],[uren / jaar weekend]]*Tariefsopbouw!$D$40</f>
        <v>0</v>
      </c>
      <c r="AL938" s="441">
        <f>Ruimtestaat[[#This Row],[Prest. (m2 /jaar) weekend]]+Ruimtestaat[[#This Row],[Prest. (m2 /jaar) werkdagen]]</f>
        <v>0</v>
      </c>
      <c r="AM938" s="441">
        <f>Ruimtestaat[[#This Row],[uren / jaar weekend]]+Ruimtestaat[[#This Row],[uren / jaar werkdagen]]</f>
        <v>0</v>
      </c>
      <c r="AN938" s="446">
        <f>Ruimtestaat[[#This Row],[kosten / jaar weekend]]+Ruimtestaat[[#This Row],[kosten / jaar werkdagen]]</f>
        <v>0</v>
      </c>
      <c r="AO938" s="446"/>
      <c r="AP938" s="446" t="str">
        <f>IF(Ruimtestaat[[#This Row],[Frequentie werkdagen]]="","",_xlfn.CONCAT(Ruimtestaat[[#This Row],[Ruimte code]],"-",Ruimtestaat[[#This Row],[Frequentie werkdagen]]," ",Ruimtestaat[[#This Row],[Vloer code]]))</f>
        <v/>
      </c>
      <c r="AQ938" s="448" t="str">
        <f>_xlfn.IFNA(VLOOKUP($AP938,Programma!$F$3:$G$1101,2,0),"")</f>
        <v/>
      </c>
      <c r="AR938" s="448" t="str">
        <f>_xlfn.IFNA(VLOOKUP($AP938,Programma!$F$3:$H$1101,3,0),"")</f>
        <v/>
      </c>
      <c r="AS938" s="448" t="str">
        <f>_xlfn.IFNA(VLOOKUP($AP938,Programma!$F$3:$I$1101,4,0),"")</f>
        <v/>
      </c>
      <c r="AT938" s="448" t="str">
        <f>_xlfn.IFNA(VLOOKUP($AP938,Programma!$F$3:$J$1101,5,0),"")</f>
        <v/>
      </c>
      <c r="AU938" s="448" t="str">
        <f>_xlfn.IFNA(VLOOKUP($AP938,Programma!$F$3:$K$1101,6,0),"")</f>
        <v/>
      </c>
      <c r="AV938" s="448" t="str">
        <f>_xlfn.IFNA(VLOOKUP($AP938,Programma!$F$3:$L$1101,7,0),"")</f>
        <v/>
      </c>
      <c r="AW938" s="448" t="str">
        <f>_xlfn.IFNA(VLOOKUP($AP938,Programma!$F$3:$M$1101,8,0),"")</f>
        <v/>
      </c>
      <c r="AX938" s="448" t="str">
        <f>_xlfn.IFNA(VLOOKUP($AP938,Programma!$F$3:$N$1101,9,0),"")</f>
        <v/>
      </c>
      <c r="AY938" s="448" t="str">
        <f>_xlfn.IFNA(VLOOKUP($AP938,Programma!$F$3:$O$1101,10,0),"")</f>
        <v/>
      </c>
      <c r="AZ938" s="448" t="str">
        <f>_xlfn.IFNA(VLOOKUP($AP938,Programma!$F$3:$P$1101,11,0),"")</f>
        <v/>
      </c>
      <c r="BA938" s="448" t="str">
        <f>_xlfn.IFNA(VLOOKUP($AP938,Programma!$F$3:$Q$1101,12,0),"")</f>
        <v/>
      </c>
      <c r="BB938" s="448" t="str">
        <f>_xlfn.IFNA(VLOOKUP($AP938,Programma!$F$3:$R$1101,13,0),"")</f>
        <v/>
      </c>
      <c r="BC938" s="448" t="str">
        <f>_xlfn.IFNA(VLOOKUP($AP938,Programma!$F$3:$S$1101,14,0),"")</f>
        <v/>
      </c>
      <c r="BD938" s="448" t="str">
        <f>_xlfn.IFNA(VLOOKUP($AP938,Programma!$F$3:$T$1101,15,0),"")</f>
        <v/>
      </c>
      <c r="BE938" s="448" t="str">
        <f>_xlfn.IFNA(VLOOKUP($AP938,Programma!$F$3:$U$1101,16,0),"")</f>
        <v/>
      </c>
      <c r="BF938" s="448" t="str">
        <f>_xlfn.IFNA(VLOOKUP($AP938,Programma!$F$3:$V$1101,17,0),"")</f>
        <v/>
      </c>
      <c r="BG938" s="448" t="str">
        <f>_xlfn.IFNA(VLOOKUP($AP938,Programma!$F$3:$W$1101,18,0),"")</f>
        <v/>
      </c>
      <c r="BH938" s="448" t="str">
        <f>_xlfn.IFNA(VLOOKUP($AP938,Programma!$F$3:$X$1101,19,0),"")</f>
        <v/>
      </c>
      <c r="BI938" s="448" t="str">
        <f>_xlfn.IFNA(VLOOKUP($AP938,Programma!$F$3:$Y$1101,20,0),"")</f>
        <v/>
      </c>
      <c r="BJ938" s="449"/>
      <c r="BK938" s="446" t="str">
        <f>IF(Ruimtestaat[[#This Row],[Frequentie weekend]]="","",_xlfn.CONCAT(Ruimtestaat[[#This Row],[Ruimte code]],"-",Ruimtestaat[[#This Row],[Frequentie weekend]]," ",Ruimtestaat[[#This Row],[Vloer code]]))</f>
        <v/>
      </c>
      <c r="BL938" s="448" t="str">
        <f>_xlfn.IFNA(VLOOKUP($BK938,Programma!$F$3:$G$1101,2,0),"")</f>
        <v/>
      </c>
      <c r="BM938" s="448" t="str">
        <f>_xlfn.IFNA(VLOOKUP($BK938,Programma!$F$3:$H$1101,3,0),"")</f>
        <v/>
      </c>
      <c r="BN938" s="448" t="str">
        <f>_xlfn.IFNA(VLOOKUP($BK938,Programma!$F$3:$I$1101,4,0),"")</f>
        <v/>
      </c>
      <c r="BO938" s="448" t="str">
        <f>_xlfn.IFNA(VLOOKUP($BK938,Programma!$F$3:$J$1101,5,0),"")</f>
        <v/>
      </c>
      <c r="BP938" s="448" t="str">
        <f>_xlfn.IFNA(VLOOKUP($BK938,Programma!$F$3:$K$1101,6,0),"")</f>
        <v/>
      </c>
      <c r="BQ938" s="448" t="str">
        <f>_xlfn.IFNA(VLOOKUP($BK938,Programma!$F$3:$L$1101,7,0),"")</f>
        <v/>
      </c>
      <c r="BR938" s="448" t="str">
        <f>_xlfn.IFNA(VLOOKUP($BK938,Programma!$F$3:$M$1101,8,0),"")</f>
        <v/>
      </c>
      <c r="BS938" s="448" t="str">
        <f>_xlfn.IFNA(VLOOKUP($BK938,Programma!$F$3:$N$1101,9,0),"")</f>
        <v/>
      </c>
      <c r="BT938" s="448" t="str">
        <f>_xlfn.IFNA(VLOOKUP($BK938,Programma!$F$3:$O$1101,10,0),"")</f>
        <v/>
      </c>
      <c r="BU938" s="448" t="str">
        <f>_xlfn.IFNA(VLOOKUP($BK938,Programma!$F$3:$P$1101,11,0),"")</f>
        <v/>
      </c>
      <c r="BV938" s="448" t="str">
        <f>_xlfn.IFNA(VLOOKUP($BK938,Programma!$F$3:$Q$1101,12,0),"")</f>
        <v/>
      </c>
      <c r="BW938" s="448" t="str">
        <f>_xlfn.IFNA(VLOOKUP($BK938,Programma!$F$3:$R$1101,13,0),"")</f>
        <v/>
      </c>
      <c r="BX938" s="448" t="str">
        <f>_xlfn.IFNA(VLOOKUP($BK938,Programma!$F$3:$S$1101,14,0),"")</f>
        <v/>
      </c>
      <c r="BY938" s="448" t="str">
        <f>_xlfn.IFNA(VLOOKUP($BK938,Programma!$F$3:$T$1101,15,0),"")</f>
        <v/>
      </c>
      <c r="BZ938" s="448" t="str">
        <f>_xlfn.IFNA(VLOOKUP($BK938,Programma!$F$3:$U$1101,16,0),"")</f>
        <v/>
      </c>
      <c r="CA938" s="448" t="str">
        <f>_xlfn.IFNA(VLOOKUP($BK938,Programma!$F$3:$V$1101,17,0),"")</f>
        <v/>
      </c>
      <c r="CB938" s="448" t="str">
        <f>_xlfn.IFNA(VLOOKUP($BK938,Programma!$F$3:$W$1101,18,0),"")</f>
        <v/>
      </c>
      <c r="CC938" s="448" t="str">
        <f>_xlfn.IFNA(VLOOKUP($BK938,Programma!$F$3:$X$1101,19,0),"")</f>
        <v/>
      </c>
      <c r="CD938" s="448" t="str">
        <f>_xlfn.IFNA(VLOOKUP($BK938,Programma!$F$3:$Y$1101,20,0),"")</f>
        <v/>
      </c>
    </row>
    <row r="939" spans="1:82" ht="15" customHeight="1">
      <c r="A939" s="327">
        <v>25</v>
      </c>
      <c r="B939" s="435" t="str">
        <f>VLOOKUP(Ruimtestaat[[#This Row],[Code]],Locaties[[Code]:[Locatie]],2,FALSE)</f>
        <v>IKC De Piramide</v>
      </c>
      <c r="C939" s="435" t="str">
        <f>VLOOKUP(Ruimtestaat[[#This Row],[Code]],Locaties[[#All],[Code]:[Adres]],4,FALSE)</f>
        <v>Fivelingo 84</v>
      </c>
      <c r="D939" s="435" t="str">
        <f>VLOOKUP(Ruimtestaat[[#This Row],[Code]],Locaties[[#All],[Code]:[Postcode]],5,FALSE)</f>
        <v>2716 BG</v>
      </c>
      <c r="E939" s="435" t="str">
        <f>VLOOKUP(Ruimtestaat[[#This Row],[Code]],Locaties[#All],6,FALSE)</f>
        <v>Zoetermeer</v>
      </c>
      <c r="F939" s="450" t="s">
        <v>1659</v>
      </c>
      <c r="G939" s="330" t="s">
        <v>1678</v>
      </c>
      <c r="H939" s="330" t="s">
        <v>2094</v>
      </c>
      <c r="I939" s="450" t="s">
        <v>2095</v>
      </c>
      <c r="J939" s="330">
        <v>20</v>
      </c>
      <c r="K939" s="450" t="str">
        <f>VLOOKUP(Ruimtestaat[[#This Row],[Ruimte code]],Ruimtegroepen[[#All],[Code]:[Ruimte omschrijving]],2,FALSE)</f>
        <v>Niet in Onderhoud</v>
      </c>
      <c r="L939" s="434" t="s">
        <v>100</v>
      </c>
      <c r="M939" s="437" t="s">
        <v>1759</v>
      </c>
      <c r="N939" s="439"/>
      <c r="O939" s="439">
        <v>7</v>
      </c>
      <c r="P939" s="439"/>
      <c r="Q939" s="439"/>
      <c r="R939" s="440">
        <f>VLOOKUP(Ruimtestaat[[#This Row],[Ruimte code]],Ruimtegroepen[],4,FALSE)</f>
        <v>0</v>
      </c>
      <c r="S939" s="434"/>
      <c r="T939" s="434"/>
      <c r="U939" s="453">
        <f>IF(S939&gt;0,IF(RIGHT(Ruimtestaat[[#This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39" s="434">
        <f>IF(U939&gt;0,VLOOKUP($J939,Ruimtegroepen[],3,FALSE)*VLOOKUP($L939,Vloersoorten[],3,FALSE)*VLOOKUP($T939,Frequenties[],3,FALSE)*VLOOKUP($A939,Locaties[],3,FALSE),0)</f>
        <v>0</v>
      </c>
      <c r="W939" s="434">
        <f>Ruimtestaat[[#This Row],[Uitvoeringen werkdagen]]*Ruimtestaat[[#This Row],[Oppervlak (netto)]]</f>
        <v>0</v>
      </c>
      <c r="X939" s="441">
        <f>IF(V939&gt;0,Ruimtestaat[[#This Row],[Prest. (m2 /jaar) werkdagen]]/Ruimtestaat[[#This Row],[Norm (m2/uur) werkdagen]],0)</f>
        <v>0</v>
      </c>
      <c r="Y939" s="442">
        <f>Ruimtestaat[[#This Row],[Uitvoeringen werkdagen]]*Ruimtestaat[[#This Row],[Gedeeltelijk]]</f>
        <v>0</v>
      </c>
      <c r="Z939" s="443">
        <f>IF(U939&gt;0,Ruimtestaat[[#This Row],[Prest. (m2 / jaar) werkdagen gedeeld]]/Ruimtestaat[[#This Row],[Norm (m2/uur) werkdagen]],0)</f>
        <v>0</v>
      </c>
      <c r="AA939" s="441">
        <f>Ruimtestaat[[#This Row],[uren / jaar werkdagen gedeeld]]*Tariefsopbouw!$E$35</f>
        <v>0</v>
      </c>
      <c r="AB939" s="441">
        <f>Ruimtestaat[[#This Row],[Uitvoeringen werkdagen]]*Ruimtestaat[[#This Row],[BSO]]</f>
        <v>0</v>
      </c>
      <c r="AC939" s="443">
        <f>IF(U939&gt;0,Ruimtestaat[[#This Row],[Prest. (m2 / jaar) werkdagen BSO]]/Ruimtestaat[[#This Row],[Norm (m2/uur) werkdagen]],0)</f>
        <v>0</v>
      </c>
      <c r="AD939" s="443">
        <f>Ruimtestaat[[#This Row],[uren / jaar werkdagen BSO]]*Tariefsopbouw!$E$35</f>
        <v>0</v>
      </c>
      <c r="AE939" s="444">
        <f>Ruimtestaat[[#This Row],[uren / jaar werkdagen]]*Tariefsopbouw!$E$35</f>
        <v>0</v>
      </c>
      <c r="AF939" s="454"/>
      <c r="AG939" s="455">
        <f>IF(Ruimtestaat[[#This Row],[Frequentie weekend]]&gt;0,VALUE(LEFT(AF939,1))*S939,0)</f>
        <v>0</v>
      </c>
      <c r="AH939" s="455">
        <f>IF($AG939&gt;0,VLOOKUP($J939,Ruimtegroepen[],3,FALSE)*VLOOKUP($L939,Vloersoorten[],3,FALSE)*VLOOKUP($AF939,Frequenties[],3,FALSE)*VLOOKUP(#REF!,Locaties[],3,FALSE),0)</f>
        <v>0</v>
      </c>
      <c r="AI939" s="434">
        <f>Ruimtestaat[[#This Row],[Uitvoeringen weekend]]*Ruimtestaat[[#This Row],[Oppervlak (netto)]]</f>
        <v>0</v>
      </c>
      <c r="AJ939" s="434">
        <f>IF(AH939&gt;0,Ruimtestaat[[#This Row],[Prest. (m2 /jaar) weekend]]/Ruimtestaat[[#This Row],[Norm (m2/uur) weekend]],0)</f>
        <v>0</v>
      </c>
      <c r="AK939" s="444">
        <f>Ruimtestaat[[#This Row],[uren / jaar weekend]]*Tariefsopbouw!$D$40</f>
        <v>0</v>
      </c>
      <c r="AL939" s="441">
        <f>Ruimtestaat[[#This Row],[Prest. (m2 /jaar) weekend]]+Ruimtestaat[[#This Row],[Prest. (m2 /jaar) werkdagen]]</f>
        <v>0</v>
      </c>
      <c r="AM939" s="441">
        <f>Ruimtestaat[[#This Row],[uren / jaar weekend]]+Ruimtestaat[[#This Row],[uren / jaar werkdagen]]</f>
        <v>0</v>
      </c>
      <c r="AN939" s="446">
        <f>Ruimtestaat[[#This Row],[kosten / jaar weekend]]+Ruimtestaat[[#This Row],[kosten / jaar werkdagen]]</f>
        <v>0</v>
      </c>
      <c r="AO939" s="446"/>
      <c r="AP939" s="446" t="str">
        <f>IF(Ruimtestaat[[#This Row],[Frequentie werkdagen]]="","",_xlfn.CONCAT(Ruimtestaat[[#This Row],[Ruimte code]],"-",Ruimtestaat[[#This Row],[Frequentie werkdagen]]," ",Ruimtestaat[[#This Row],[Vloer code]]))</f>
        <v/>
      </c>
      <c r="AQ939" s="448" t="str">
        <f>_xlfn.IFNA(VLOOKUP($AP939,Programma!$F$3:$G$1101,2,0),"")</f>
        <v/>
      </c>
      <c r="AR939" s="448" t="str">
        <f>_xlfn.IFNA(VLOOKUP($AP939,Programma!$F$3:$H$1101,3,0),"")</f>
        <v/>
      </c>
      <c r="AS939" s="448" t="str">
        <f>_xlfn.IFNA(VLOOKUP($AP939,Programma!$F$3:$I$1101,4,0),"")</f>
        <v/>
      </c>
      <c r="AT939" s="448" t="str">
        <f>_xlfn.IFNA(VLOOKUP($AP939,Programma!$F$3:$J$1101,5,0),"")</f>
        <v/>
      </c>
      <c r="AU939" s="448" t="str">
        <f>_xlfn.IFNA(VLOOKUP($AP939,Programma!$F$3:$K$1101,6,0),"")</f>
        <v/>
      </c>
      <c r="AV939" s="448" t="str">
        <f>_xlfn.IFNA(VLOOKUP($AP939,Programma!$F$3:$L$1101,7,0),"")</f>
        <v/>
      </c>
      <c r="AW939" s="448" t="str">
        <f>_xlfn.IFNA(VLOOKUP($AP939,Programma!$F$3:$M$1101,8,0),"")</f>
        <v/>
      </c>
      <c r="AX939" s="448" t="str">
        <f>_xlfn.IFNA(VLOOKUP($AP939,Programma!$F$3:$N$1101,9,0),"")</f>
        <v/>
      </c>
      <c r="AY939" s="448" t="str">
        <f>_xlfn.IFNA(VLOOKUP($AP939,Programma!$F$3:$O$1101,10,0),"")</f>
        <v/>
      </c>
      <c r="AZ939" s="448" t="str">
        <f>_xlfn.IFNA(VLOOKUP($AP939,Programma!$F$3:$P$1101,11,0),"")</f>
        <v/>
      </c>
      <c r="BA939" s="448" t="str">
        <f>_xlfn.IFNA(VLOOKUP($AP939,Programma!$F$3:$Q$1101,12,0),"")</f>
        <v/>
      </c>
      <c r="BB939" s="448" t="str">
        <f>_xlfn.IFNA(VLOOKUP($AP939,Programma!$F$3:$R$1101,13,0),"")</f>
        <v/>
      </c>
      <c r="BC939" s="448" t="str">
        <f>_xlfn.IFNA(VLOOKUP($AP939,Programma!$F$3:$S$1101,14,0),"")</f>
        <v/>
      </c>
      <c r="BD939" s="448" t="str">
        <f>_xlfn.IFNA(VLOOKUP($AP939,Programma!$F$3:$T$1101,15,0),"")</f>
        <v/>
      </c>
      <c r="BE939" s="448" t="str">
        <f>_xlfn.IFNA(VLOOKUP($AP939,Programma!$F$3:$U$1101,16,0),"")</f>
        <v/>
      </c>
      <c r="BF939" s="448" t="str">
        <f>_xlfn.IFNA(VLOOKUP($AP939,Programma!$F$3:$V$1101,17,0),"")</f>
        <v/>
      </c>
      <c r="BG939" s="448" t="str">
        <f>_xlfn.IFNA(VLOOKUP($AP939,Programma!$F$3:$W$1101,18,0),"")</f>
        <v/>
      </c>
      <c r="BH939" s="448" t="str">
        <f>_xlfn.IFNA(VLOOKUP($AP939,Programma!$F$3:$X$1101,19,0),"")</f>
        <v/>
      </c>
      <c r="BI939" s="448" t="str">
        <f>_xlfn.IFNA(VLOOKUP($AP939,Programma!$F$3:$Y$1101,20,0),"")</f>
        <v/>
      </c>
      <c r="BJ939" s="449"/>
      <c r="BK939" s="446" t="str">
        <f>IF(Ruimtestaat[[#This Row],[Frequentie weekend]]="","",_xlfn.CONCAT(Ruimtestaat[[#This Row],[Ruimte code]],"-",Ruimtestaat[[#This Row],[Frequentie weekend]]," ",Ruimtestaat[[#This Row],[Vloer code]]))</f>
        <v/>
      </c>
      <c r="BL939" s="448" t="str">
        <f>_xlfn.IFNA(VLOOKUP($BK939,Programma!$F$3:$G$1101,2,0),"")</f>
        <v/>
      </c>
      <c r="BM939" s="448" t="str">
        <f>_xlfn.IFNA(VLOOKUP($BK939,Programma!$F$3:$H$1101,3,0),"")</f>
        <v/>
      </c>
      <c r="BN939" s="448" t="str">
        <f>_xlfn.IFNA(VLOOKUP($BK939,Programma!$F$3:$I$1101,4,0),"")</f>
        <v/>
      </c>
      <c r="BO939" s="448" t="str">
        <f>_xlfn.IFNA(VLOOKUP($BK939,Programma!$F$3:$J$1101,5,0),"")</f>
        <v/>
      </c>
      <c r="BP939" s="448" t="str">
        <f>_xlfn.IFNA(VLOOKUP($BK939,Programma!$F$3:$K$1101,6,0),"")</f>
        <v/>
      </c>
      <c r="BQ939" s="448" t="str">
        <f>_xlfn.IFNA(VLOOKUP($BK939,Programma!$F$3:$L$1101,7,0),"")</f>
        <v/>
      </c>
      <c r="BR939" s="448" t="str">
        <f>_xlfn.IFNA(VLOOKUP($BK939,Programma!$F$3:$M$1101,8,0),"")</f>
        <v/>
      </c>
      <c r="BS939" s="448" t="str">
        <f>_xlfn.IFNA(VLOOKUP($BK939,Programma!$F$3:$N$1101,9,0),"")</f>
        <v/>
      </c>
      <c r="BT939" s="448" t="str">
        <f>_xlfn.IFNA(VLOOKUP($BK939,Programma!$F$3:$O$1101,10,0),"")</f>
        <v/>
      </c>
      <c r="BU939" s="448" t="str">
        <f>_xlfn.IFNA(VLOOKUP($BK939,Programma!$F$3:$P$1101,11,0),"")</f>
        <v/>
      </c>
      <c r="BV939" s="448" t="str">
        <f>_xlfn.IFNA(VLOOKUP($BK939,Programma!$F$3:$Q$1101,12,0),"")</f>
        <v/>
      </c>
      <c r="BW939" s="448" t="str">
        <f>_xlfn.IFNA(VLOOKUP($BK939,Programma!$F$3:$R$1101,13,0),"")</f>
        <v/>
      </c>
      <c r="BX939" s="448" t="str">
        <f>_xlfn.IFNA(VLOOKUP($BK939,Programma!$F$3:$S$1101,14,0),"")</f>
        <v/>
      </c>
      <c r="BY939" s="448" t="str">
        <f>_xlfn.IFNA(VLOOKUP($BK939,Programma!$F$3:$T$1101,15,0),"")</f>
        <v/>
      </c>
      <c r="BZ939" s="448" t="str">
        <f>_xlfn.IFNA(VLOOKUP($BK939,Programma!$F$3:$U$1101,16,0),"")</f>
        <v/>
      </c>
      <c r="CA939" s="448" t="str">
        <f>_xlfn.IFNA(VLOOKUP($BK939,Programma!$F$3:$V$1101,17,0),"")</f>
        <v/>
      </c>
      <c r="CB939" s="448" t="str">
        <f>_xlfn.IFNA(VLOOKUP($BK939,Programma!$F$3:$W$1101,18,0),"")</f>
        <v/>
      </c>
      <c r="CC939" s="448" t="str">
        <f>_xlfn.IFNA(VLOOKUP($BK939,Programma!$F$3:$X$1101,19,0),"")</f>
        <v/>
      </c>
      <c r="CD939" s="448" t="str">
        <f>_xlfn.IFNA(VLOOKUP($BK939,Programma!$F$3:$Y$1101,20,0),"")</f>
        <v/>
      </c>
    </row>
    <row r="940" spans="1:82" ht="15" customHeight="1">
      <c r="A940" s="327">
        <v>25</v>
      </c>
      <c r="B940" s="435" t="str">
        <f>VLOOKUP(Ruimtestaat[[#This Row],[Code]],Locaties[[Code]:[Locatie]],2,FALSE)</f>
        <v>IKC De Piramide</v>
      </c>
      <c r="C940" s="435" t="str">
        <f>VLOOKUP(Ruimtestaat[[#This Row],[Code]],Locaties[[#All],[Code]:[Adres]],4,FALSE)</f>
        <v>Fivelingo 84</v>
      </c>
      <c r="D940" s="435" t="str">
        <f>VLOOKUP(Ruimtestaat[[#This Row],[Code]],Locaties[[#All],[Code]:[Postcode]],5,FALSE)</f>
        <v>2716 BG</v>
      </c>
      <c r="E940" s="435" t="str">
        <f>VLOOKUP(Ruimtestaat[[#This Row],[Code]],Locaties[#All],6,FALSE)</f>
        <v>Zoetermeer</v>
      </c>
      <c r="F940" s="450" t="s">
        <v>1659</v>
      </c>
      <c r="G940" s="330" t="s">
        <v>1678</v>
      </c>
      <c r="H940" s="330" t="s">
        <v>2096</v>
      </c>
      <c r="I940" s="450" t="s">
        <v>1906</v>
      </c>
      <c r="J940" s="330">
        <v>8</v>
      </c>
      <c r="K940" s="450" t="str">
        <f>VLOOKUP(Ruimtestaat[[#This Row],[Ruimte code]],Ruimtegroepen[[#All],[Code]:[Ruimte omschrijving]],2,FALSE)</f>
        <v>Kinderopvang</v>
      </c>
      <c r="L940" s="434" t="s">
        <v>100</v>
      </c>
      <c r="M940" s="437" t="s">
        <v>1759</v>
      </c>
      <c r="N940" s="439"/>
      <c r="O940" s="439"/>
      <c r="P940" s="439"/>
      <c r="Q940" s="439">
        <v>11</v>
      </c>
      <c r="R940" s="440" t="str">
        <f>VLOOKUP(Ruimtestaat[[#This Row],[Ruimte code]],Ruimtegroepen[],4,FALSE)</f>
        <v>Le</v>
      </c>
      <c r="S940" s="434">
        <v>51</v>
      </c>
      <c r="T940" s="434" t="s">
        <v>2</v>
      </c>
      <c r="U940" s="453">
        <f>IF(S940&gt;0,IF(RIGHT(Ruimtestaat[[#This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40" s="434">
        <f>IF(U940&gt;0,VLOOKUP($J940,Ruimtegroepen[],3,FALSE)*VLOOKUP($L940,Vloersoorten[],3,FALSE)*VLOOKUP($T940,Frequenties[],3,FALSE)*VLOOKUP($A940,Locaties[],3,FALSE),0)</f>
        <v>0</v>
      </c>
      <c r="W940" s="434">
        <f>Ruimtestaat[[#This Row],[Uitvoeringen werkdagen]]*Ruimtestaat[[#This Row],[Oppervlak (netto)]]</f>
        <v>0</v>
      </c>
      <c r="X940" s="441">
        <f>IF(V940&gt;0,Ruimtestaat[[#This Row],[Prest. (m2 /jaar) werkdagen]]/Ruimtestaat[[#This Row],[Norm (m2/uur) werkdagen]],0)</f>
        <v>0</v>
      </c>
      <c r="Y940" s="442">
        <f>Ruimtestaat[[#This Row],[Uitvoeringen werkdagen]]*Ruimtestaat[[#This Row],[Gedeeltelijk]]</f>
        <v>0</v>
      </c>
      <c r="Z940" s="443" t="e">
        <f>IF(U940&gt;0,Ruimtestaat[[#This Row],[Prest. (m2 / jaar) werkdagen gedeeld]]/Ruimtestaat[[#This Row],[Norm (m2/uur) werkdagen]],0)</f>
        <v>#DIV/0!</v>
      </c>
      <c r="AA940" s="441" t="e">
        <f>Ruimtestaat[[#This Row],[uren / jaar werkdagen gedeeld]]*Tariefsopbouw!$E$35</f>
        <v>#DIV/0!</v>
      </c>
      <c r="AB940" s="441">
        <f>Ruimtestaat[[#This Row],[Uitvoeringen werkdagen]]*Ruimtestaat[[#This Row],[BSO]]</f>
        <v>2805</v>
      </c>
      <c r="AC940" s="443" t="e">
        <f>IF(U940&gt;0,Ruimtestaat[[#This Row],[Prest. (m2 / jaar) werkdagen BSO]]/Ruimtestaat[[#This Row],[Norm (m2/uur) werkdagen]],0)</f>
        <v>#DIV/0!</v>
      </c>
      <c r="AD940" s="443" t="e">
        <f>Ruimtestaat[[#This Row],[uren / jaar werkdagen BSO]]*Tariefsopbouw!$E$35</f>
        <v>#DIV/0!</v>
      </c>
      <c r="AE940" s="444">
        <f>Ruimtestaat[[#This Row],[uren / jaar werkdagen]]*Tariefsopbouw!$E$35</f>
        <v>0</v>
      </c>
      <c r="AF940" s="454"/>
      <c r="AG940" s="455">
        <f>IF(Ruimtestaat[[#This Row],[Frequentie weekend]]&gt;0,VALUE(LEFT(AF940,1))*S940,0)</f>
        <v>0</v>
      </c>
      <c r="AH940" s="455">
        <f>IF($AG940&gt;0,VLOOKUP($J940,Ruimtegroepen[],3,FALSE)*VLOOKUP($L940,Vloersoorten[],3,FALSE)*VLOOKUP($AF940,Frequenties[],3,FALSE)*VLOOKUP(#REF!,Locaties[],3,FALSE),0)</f>
        <v>0</v>
      </c>
      <c r="AI940" s="434">
        <f>Ruimtestaat[[#This Row],[Uitvoeringen weekend]]*Ruimtestaat[[#This Row],[Oppervlak (netto)]]</f>
        <v>0</v>
      </c>
      <c r="AJ940" s="434">
        <f>IF(AH940&gt;0,Ruimtestaat[[#This Row],[Prest. (m2 /jaar) weekend]]/Ruimtestaat[[#This Row],[Norm (m2/uur) weekend]],0)</f>
        <v>0</v>
      </c>
      <c r="AK940" s="444">
        <f>Ruimtestaat[[#This Row],[uren / jaar weekend]]*Tariefsopbouw!$D$40</f>
        <v>0</v>
      </c>
      <c r="AL940" s="441">
        <f>Ruimtestaat[[#This Row],[Prest. (m2 /jaar) weekend]]+Ruimtestaat[[#This Row],[Prest. (m2 /jaar) werkdagen]]</f>
        <v>0</v>
      </c>
      <c r="AM940" s="441">
        <f>Ruimtestaat[[#This Row],[uren / jaar weekend]]+Ruimtestaat[[#This Row],[uren / jaar werkdagen]]</f>
        <v>0</v>
      </c>
      <c r="AN940" s="446">
        <f>Ruimtestaat[[#This Row],[kosten / jaar weekend]]+Ruimtestaat[[#This Row],[kosten / jaar werkdagen]]</f>
        <v>0</v>
      </c>
      <c r="AO940" s="446"/>
      <c r="AP940" s="446" t="str">
        <f>IF(Ruimtestaat[[#This Row],[Frequentie werkdagen]]="","",_xlfn.CONCAT(Ruimtestaat[[#This Row],[Ruimte code]],"-",Ruimtestaat[[#This Row],[Frequentie werkdagen]]," ",Ruimtestaat[[#This Row],[Vloer code]]))</f>
        <v>8-5w L</v>
      </c>
      <c r="AQ940" s="448" t="str">
        <f>_xlfn.IFNA(VLOOKUP($AP940,Programma!$F$3:$G$1101,2,0),"")</f>
        <v>_</v>
      </c>
      <c r="AR940" s="448" t="str">
        <f>_xlfn.IFNA(VLOOKUP($AP940,Programma!$F$3:$H$1101,3,0),"")</f>
        <v>_</v>
      </c>
      <c r="AS940" s="448" t="str">
        <f>_xlfn.IFNA(VLOOKUP($AP940,Programma!$F$3:$I$1101,4,0),"")</f>
        <v>4w</v>
      </c>
      <c r="AT940" s="448" t="str">
        <f>_xlfn.IFNA(VLOOKUP($AP940,Programma!$F$3:$J$1101,5,0),"")</f>
        <v>1w</v>
      </c>
      <c r="AU940" s="448" t="str">
        <f>_xlfn.IFNA(VLOOKUP($AP940,Programma!$F$3:$K$1101,6,0),"")</f>
        <v>_</v>
      </c>
      <c r="AV940" s="448" t="str">
        <f>_xlfn.IFNA(VLOOKUP($AP940,Programma!$F$3:$L$1101,7,0),"")</f>
        <v>_</v>
      </c>
      <c r="AW940" s="448" t="str">
        <f>_xlfn.IFNA(VLOOKUP($AP940,Programma!$F$3:$M$1101,8,0),"")</f>
        <v>_</v>
      </c>
      <c r="AX940" s="448" t="str">
        <f>_xlfn.IFNA(VLOOKUP($AP940,Programma!$F$3:$N$1101,9,0),"")</f>
        <v>_</v>
      </c>
      <c r="AY940" s="448" t="str">
        <f>_xlfn.IFNA(VLOOKUP($AP940,Programma!$F$3:$O$1101,10,0),"")</f>
        <v>5w</v>
      </c>
      <c r="AZ940" s="448" t="str">
        <f>_xlfn.IFNA(VLOOKUP($AP940,Programma!$F$3:$P$1101,11,0),"")</f>
        <v>5w</v>
      </c>
      <c r="BA940" s="448" t="str">
        <f>_xlfn.IFNA(VLOOKUP($AP940,Programma!$F$3:$Q$1101,12,0),"")</f>
        <v>1w</v>
      </c>
      <c r="BB940" s="448" t="str">
        <f>_xlfn.IFNA(VLOOKUP($AP940,Programma!$F$3:$R$1101,13,0),"")</f>
        <v>1w</v>
      </c>
      <c r="BC940" s="448" t="str">
        <f>_xlfn.IFNA(VLOOKUP($AP940,Programma!$F$3:$S$1101,14,0),"")</f>
        <v>1m</v>
      </c>
      <c r="BD940" s="448" t="str">
        <f>_xlfn.IFNA(VLOOKUP($AP940,Programma!$F$3:$T$1101,15,0),"")</f>
        <v>2j</v>
      </c>
      <c r="BE940" s="448" t="str">
        <f>_xlfn.IFNA(VLOOKUP($AP940,Programma!$F$3:$U$1101,16,0),"")</f>
        <v>1j</v>
      </c>
      <c r="BF940" s="448" t="str">
        <f>_xlfn.IFNA(VLOOKUP($AP940,Programma!$F$3:$V$1101,17,0),"")</f>
        <v>_</v>
      </c>
      <c r="BG940" s="448" t="str">
        <f>_xlfn.IFNA(VLOOKUP($AP940,Programma!$F$3:$W$1101,18,0),"")</f>
        <v>_</v>
      </c>
      <c r="BH940" s="448" t="str">
        <f>_xlfn.IFNA(VLOOKUP($AP940,Programma!$F$3:$X$1101,19,0),"")</f>
        <v>_</v>
      </c>
      <c r="BI940" s="448" t="str">
        <f>_xlfn.IFNA(VLOOKUP($AP940,Programma!$F$3:$Y$1101,20,0),"")</f>
        <v>_</v>
      </c>
      <c r="BJ940" s="449"/>
      <c r="BK940" s="446" t="str">
        <f>IF(Ruimtestaat[[#This Row],[Frequentie weekend]]="","",_xlfn.CONCAT(Ruimtestaat[[#This Row],[Ruimte code]],"-",Ruimtestaat[[#This Row],[Frequentie weekend]]," ",Ruimtestaat[[#This Row],[Vloer code]]))</f>
        <v/>
      </c>
      <c r="BL940" s="448" t="str">
        <f>_xlfn.IFNA(VLOOKUP($BK940,Programma!$F$3:$G$1101,2,0),"")</f>
        <v/>
      </c>
      <c r="BM940" s="448" t="str">
        <f>_xlfn.IFNA(VLOOKUP($BK940,Programma!$F$3:$H$1101,3,0),"")</f>
        <v/>
      </c>
      <c r="BN940" s="448" t="str">
        <f>_xlfn.IFNA(VLOOKUP($BK940,Programma!$F$3:$I$1101,4,0),"")</f>
        <v/>
      </c>
      <c r="BO940" s="448" t="str">
        <f>_xlfn.IFNA(VLOOKUP($BK940,Programma!$F$3:$J$1101,5,0),"")</f>
        <v/>
      </c>
      <c r="BP940" s="448" t="str">
        <f>_xlfn.IFNA(VLOOKUP($BK940,Programma!$F$3:$K$1101,6,0),"")</f>
        <v/>
      </c>
      <c r="BQ940" s="448" t="str">
        <f>_xlfn.IFNA(VLOOKUP($BK940,Programma!$F$3:$L$1101,7,0),"")</f>
        <v/>
      </c>
      <c r="BR940" s="448" t="str">
        <f>_xlfn.IFNA(VLOOKUP($BK940,Programma!$F$3:$M$1101,8,0),"")</f>
        <v/>
      </c>
      <c r="BS940" s="448" t="str">
        <f>_xlfn.IFNA(VLOOKUP($BK940,Programma!$F$3:$N$1101,9,0),"")</f>
        <v/>
      </c>
      <c r="BT940" s="448" t="str">
        <f>_xlfn.IFNA(VLOOKUP($BK940,Programma!$F$3:$O$1101,10,0),"")</f>
        <v/>
      </c>
      <c r="BU940" s="448" t="str">
        <f>_xlfn.IFNA(VLOOKUP($BK940,Programma!$F$3:$P$1101,11,0),"")</f>
        <v/>
      </c>
      <c r="BV940" s="448" t="str">
        <f>_xlfn.IFNA(VLOOKUP($BK940,Programma!$F$3:$Q$1101,12,0),"")</f>
        <v/>
      </c>
      <c r="BW940" s="448" t="str">
        <f>_xlfn.IFNA(VLOOKUP($BK940,Programma!$F$3:$R$1101,13,0),"")</f>
        <v/>
      </c>
      <c r="BX940" s="448" t="str">
        <f>_xlfn.IFNA(VLOOKUP($BK940,Programma!$F$3:$S$1101,14,0),"")</f>
        <v/>
      </c>
      <c r="BY940" s="448" t="str">
        <f>_xlfn.IFNA(VLOOKUP($BK940,Programma!$F$3:$T$1101,15,0),"")</f>
        <v/>
      </c>
      <c r="BZ940" s="448" t="str">
        <f>_xlfn.IFNA(VLOOKUP($BK940,Programma!$F$3:$U$1101,16,0),"")</f>
        <v/>
      </c>
      <c r="CA940" s="448" t="str">
        <f>_xlfn.IFNA(VLOOKUP($BK940,Programma!$F$3:$V$1101,17,0),"")</f>
        <v/>
      </c>
      <c r="CB940" s="448" t="str">
        <f>_xlfn.IFNA(VLOOKUP($BK940,Programma!$F$3:$W$1101,18,0),"")</f>
        <v/>
      </c>
      <c r="CC940" s="448" t="str">
        <f>_xlfn.IFNA(VLOOKUP($BK940,Programma!$F$3:$X$1101,19,0),"")</f>
        <v/>
      </c>
      <c r="CD940" s="448" t="str">
        <f>_xlfn.IFNA(VLOOKUP($BK940,Programma!$F$3:$Y$1101,20,0),"")</f>
        <v/>
      </c>
    </row>
    <row r="941" spans="1:82" ht="15" customHeight="1">
      <c r="A941" s="327">
        <v>25</v>
      </c>
      <c r="B941" s="435" t="str">
        <f>VLOOKUP(Ruimtestaat[[#This Row],[Code]],Locaties[[Code]:[Locatie]],2,FALSE)</f>
        <v>IKC De Piramide</v>
      </c>
      <c r="C941" s="435" t="str">
        <f>VLOOKUP(Ruimtestaat[[#This Row],[Code]],Locaties[[#All],[Code]:[Adres]],4,FALSE)</f>
        <v>Fivelingo 84</v>
      </c>
      <c r="D941" s="435" t="str">
        <f>VLOOKUP(Ruimtestaat[[#This Row],[Code]],Locaties[[#All],[Code]:[Postcode]],5,FALSE)</f>
        <v>2716 BG</v>
      </c>
      <c r="E941" s="435" t="str">
        <f>VLOOKUP(Ruimtestaat[[#This Row],[Code]],Locaties[#All],6,FALSE)</f>
        <v>Zoetermeer</v>
      </c>
      <c r="F941" s="450" t="s">
        <v>1659</v>
      </c>
      <c r="G941" s="330" t="s">
        <v>1678</v>
      </c>
      <c r="H941" s="330" t="s">
        <v>2097</v>
      </c>
      <c r="I941" s="450" t="s">
        <v>1842</v>
      </c>
      <c r="J941" s="330">
        <v>8</v>
      </c>
      <c r="K941" s="450" t="str">
        <f>VLOOKUP(Ruimtestaat[[#This Row],[Ruimte code]],Ruimtegroepen[[#All],[Code]:[Ruimte omschrijving]],2,FALSE)</f>
        <v>Kinderopvang</v>
      </c>
      <c r="L941" s="434" t="s">
        <v>100</v>
      </c>
      <c r="M941" s="437" t="s">
        <v>1759</v>
      </c>
      <c r="N941" s="439"/>
      <c r="O941" s="439"/>
      <c r="P941" s="439"/>
      <c r="Q941" s="439">
        <v>59</v>
      </c>
      <c r="R941" s="440" t="str">
        <f>VLOOKUP(Ruimtestaat[[#This Row],[Ruimte code]],Ruimtegroepen[],4,FALSE)</f>
        <v>Le</v>
      </c>
      <c r="S941" s="434">
        <v>51</v>
      </c>
      <c r="T941" s="434" t="s">
        <v>2</v>
      </c>
      <c r="U941" s="453">
        <f>IF(S941&gt;0,IF(RIGHT(Ruimtestaat[[#This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41" s="434">
        <f>IF(U941&gt;0,VLOOKUP($J941,Ruimtegroepen[],3,FALSE)*VLOOKUP($L941,Vloersoorten[],3,FALSE)*VLOOKUP($T941,Frequenties[],3,FALSE)*VLOOKUP($A941,Locaties[],3,FALSE),0)</f>
        <v>0</v>
      </c>
      <c r="W941" s="434">
        <f>Ruimtestaat[[#This Row],[Uitvoeringen werkdagen]]*Ruimtestaat[[#This Row],[Oppervlak (netto)]]</f>
        <v>0</v>
      </c>
      <c r="X941" s="441">
        <f>IF(V941&gt;0,Ruimtestaat[[#This Row],[Prest. (m2 /jaar) werkdagen]]/Ruimtestaat[[#This Row],[Norm (m2/uur) werkdagen]],0)</f>
        <v>0</v>
      </c>
      <c r="Y941" s="442">
        <f>Ruimtestaat[[#This Row],[Uitvoeringen werkdagen]]*Ruimtestaat[[#This Row],[Gedeeltelijk]]</f>
        <v>0</v>
      </c>
      <c r="Z941" s="443" t="e">
        <f>IF(U941&gt;0,Ruimtestaat[[#This Row],[Prest. (m2 / jaar) werkdagen gedeeld]]/Ruimtestaat[[#This Row],[Norm (m2/uur) werkdagen]],0)</f>
        <v>#DIV/0!</v>
      </c>
      <c r="AA941" s="441" t="e">
        <f>Ruimtestaat[[#This Row],[uren / jaar werkdagen gedeeld]]*Tariefsopbouw!$E$35</f>
        <v>#DIV/0!</v>
      </c>
      <c r="AB941" s="441">
        <f>Ruimtestaat[[#This Row],[Uitvoeringen werkdagen]]*Ruimtestaat[[#This Row],[BSO]]</f>
        <v>15045</v>
      </c>
      <c r="AC941" s="443" t="e">
        <f>IF(U941&gt;0,Ruimtestaat[[#This Row],[Prest. (m2 / jaar) werkdagen BSO]]/Ruimtestaat[[#This Row],[Norm (m2/uur) werkdagen]],0)</f>
        <v>#DIV/0!</v>
      </c>
      <c r="AD941" s="443" t="e">
        <f>Ruimtestaat[[#This Row],[uren / jaar werkdagen BSO]]*Tariefsopbouw!$E$35</f>
        <v>#DIV/0!</v>
      </c>
      <c r="AE941" s="444">
        <f>Ruimtestaat[[#This Row],[uren / jaar werkdagen]]*Tariefsopbouw!$E$35</f>
        <v>0</v>
      </c>
      <c r="AF941" s="454"/>
      <c r="AG941" s="455">
        <f>IF(Ruimtestaat[[#This Row],[Frequentie weekend]]&gt;0,VALUE(LEFT(AF941,1))*S941,0)</f>
        <v>0</v>
      </c>
      <c r="AH941" s="455">
        <f>IF($AG941&gt;0,VLOOKUP($J941,Ruimtegroepen[],3,FALSE)*VLOOKUP($L941,Vloersoorten[],3,FALSE)*VLOOKUP($AF941,Frequenties[],3,FALSE)*VLOOKUP(#REF!,Locaties[],3,FALSE),0)</f>
        <v>0</v>
      </c>
      <c r="AI941" s="434">
        <f>Ruimtestaat[[#This Row],[Uitvoeringen weekend]]*Ruimtestaat[[#This Row],[Oppervlak (netto)]]</f>
        <v>0</v>
      </c>
      <c r="AJ941" s="434">
        <f>IF(AH941&gt;0,Ruimtestaat[[#This Row],[Prest. (m2 /jaar) weekend]]/Ruimtestaat[[#This Row],[Norm (m2/uur) weekend]],0)</f>
        <v>0</v>
      </c>
      <c r="AK941" s="444">
        <f>Ruimtestaat[[#This Row],[uren / jaar weekend]]*Tariefsopbouw!$D$40</f>
        <v>0</v>
      </c>
      <c r="AL941" s="441">
        <f>Ruimtestaat[[#This Row],[Prest. (m2 /jaar) weekend]]+Ruimtestaat[[#This Row],[Prest. (m2 /jaar) werkdagen]]</f>
        <v>0</v>
      </c>
      <c r="AM941" s="441">
        <f>Ruimtestaat[[#This Row],[uren / jaar weekend]]+Ruimtestaat[[#This Row],[uren / jaar werkdagen]]</f>
        <v>0</v>
      </c>
      <c r="AN941" s="446">
        <f>Ruimtestaat[[#This Row],[kosten / jaar weekend]]+Ruimtestaat[[#This Row],[kosten / jaar werkdagen]]</f>
        <v>0</v>
      </c>
      <c r="AO941" s="446"/>
      <c r="AP941" s="446" t="str">
        <f>IF(Ruimtestaat[[#This Row],[Frequentie werkdagen]]="","",_xlfn.CONCAT(Ruimtestaat[[#This Row],[Ruimte code]],"-",Ruimtestaat[[#This Row],[Frequentie werkdagen]]," ",Ruimtestaat[[#This Row],[Vloer code]]))</f>
        <v>8-5w L</v>
      </c>
      <c r="AQ941" s="448" t="str">
        <f>_xlfn.IFNA(VLOOKUP($AP941,Programma!$F$3:$G$1101,2,0),"")</f>
        <v>_</v>
      </c>
      <c r="AR941" s="448" t="str">
        <f>_xlfn.IFNA(VLOOKUP($AP941,Programma!$F$3:$H$1101,3,0),"")</f>
        <v>_</v>
      </c>
      <c r="AS941" s="448" t="str">
        <f>_xlfn.IFNA(VLOOKUP($AP941,Programma!$F$3:$I$1101,4,0),"")</f>
        <v>4w</v>
      </c>
      <c r="AT941" s="448" t="str">
        <f>_xlfn.IFNA(VLOOKUP($AP941,Programma!$F$3:$J$1101,5,0),"")</f>
        <v>1w</v>
      </c>
      <c r="AU941" s="448" t="str">
        <f>_xlfn.IFNA(VLOOKUP($AP941,Programma!$F$3:$K$1101,6,0),"")</f>
        <v>_</v>
      </c>
      <c r="AV941" s="448" t="str">
        <f>_xlfn.IFNA(VLOOKUP($AP941,Programma!$F$3:$L$1101,7,0),"")</f>
        <v>_</v>
      </c>
      <c r="AW941" s="448" t="str">
        <f>_xlfn.IFNA(VLOOKUP($AP941,Programma!$F$3:$M$1101,8,0),"")</f>
        <v>_</v>
      </c>
      <c r="AX941" s="448" t="str">
        <f>_xlfn.IFNA(VLOOKUP($AP941,Programma!$F$3:$N$1101,9,0),"")</f>
        <v>_</v>
      </c>
      <c r="AY941" s="448" t="str">
        <f>_xlfn.IFNA(VLOOKUP($AP941,Programma!$F$3:$O$1101,10,0),"")</f>
        <v>5w</v>
      </c>
      <c r="AZ941" s="448" t="str">
        <f>_xlfn.IFNA(VLOOKUP($AP941,Programma!$F$3:$P$1101,11,0),"")</f>
        <v>5w</v>
      </c>
      <c r="BA941" s="448" t="str">
        <f>_xlfn.IFNA(VLOOKUP($AP941,Programma!$F$3:$Q$1101,12,0),"")</f>
        <v>1w</v>
      </c>
      <c r="BB941" s="448" t="str">
        <f>_xlfn.IFNA(VLOOKUP($AP941,Programma!$F$3:$R$1101,13,0),"")</f>
        <v>1w</v>
      </c>
      <c r="BC941" s="448" t="str">
        <f>_xlfn.IFNA(VLOOKUP($AP941,Programma!$F$3:$S$1101,14,0),"")</f>
        <v>1m</v>
      </c>
      <c r="BD941" s="448" t="str">
        <f>_xlfn.IFNA(VLOOKUP($AP941,Programma!$F$3:$T$1101,15,0),"")</f>
        <v>2j</v>
      </c>
      <c r="BE941" s="448" t="str">
        <f>_xlfn.IFNA(VLOOKUP($AP941,Programma!$F$3:$U$1101,16,0),"")</f>
        <v>1j</v>
      </c>
      <c r="BF941" s="448" t="str">
        <f>_xlfn.IFNA(VLOOKUP($AP941,Programma!$F$3:$V$1101,17,0),"")</f>
        <v>_</v>
      </c>
      <c r="BG941" s="448" t="str">
        <f>_xlfn.IFNA(VLOOKUP($AP941,Programma!$F$3:$W$1101,18,0),"")</f>
        <v>_</v>
      </c>
      <c r="BH941" s="448" t="str">
        <f>_xlfn.IFNA(VLOOKUP($AP941,Programma!$F$3:$X$1101,19,0),"")</f>
        <v>_</v>
      </c>
      <c r="BI941" s="448" t="str">
        <f>_xlfn.IFNA(VLOOKUP($AP941,Programma!$F$3:$Y$1101,20,0),"")</f>
        <v>_</v>
      </c>
      <c r="BJ941" s="449"/>
      <c r="BK941" s="446" t="str">
        <f>IF(Ruimtestaat[[#This Row],[Frequentie weekend]]="","",_xlfn.CONCAT(Ruimtestaat[[#This Row],[Ruimte code]],"-",Ruimtestaat[[#This Row],[Frequentie weekend]]," ",Ruimtestaat[[#This Row],[Vloer code]]))</f>
        <v/>
      </c>
      <c r="BL941" s="448" t="str">
        <f>_xlfn.IFNA(VLOOKUP($BK941,Programma!$F$3:$G$1101,2,0),"")</f>
        <v/>
      </c>
      <c r="BM941" s="448" t="str">
        <f>_xlfn.IFNA(VLOOKUP($BK941,Programma!$F$3:$H$1101,3,0),"")</f>
        <v/>
      </c>
      <c r="BN941" s="448" t="str">
        <f>_xlfn.IFNA(VLOOKUP($BK941,Programma!$F$3:$I$1101,4,0),"")</f>
        <v/>
      </c>
      <c r="BO941" s="448" t="str">
        <f>_xlfn.IFNA(VLOOKUP($BK941,Programma!$F$3:$J$1101,5,0),"")</f>
        <v/>
      </c>
      <c r="BP941" s="448" t="str">
        <f>_xlfn.IFNA(VLOOKUP($BK941,Programma!$F$3:$K$1101,6,0),"")</f>
        <v/>
      </c>
      <c r="BQ941" s="448" t="str">
        <f>_xlfn.IFNA(VLOOKUP($BK941,Programma!$F$3:$L$1101,7,0),"")</f>
        <v/>
      </c>
      <c r="BR941" s="448" t="str">
        <f>_xlfn.IFNA(VLOOKUP($BK941,Programma!$F$3:$M$1101,8,0),"")</f>
        <v/>
      </c>
      <c r="BS941" s="448" t="str">
        <f>_xlfn.IFNA(VLOOKUP($BK941,Programma!$F$3:$N$1101,9,0),"")</f>
        <v/>
      </c>
      <c r="BT941" s="448" t="str">
        <f>_xlfn.IFNA(VLOOKUP($BK941,Programma!$F$3:$O$1101,10,0),"")</f>
        <v/>
      </c>
      <c r="BU941" s="448" t="str">
        <f>_xlfn.IFNA(VLOOKUP($BK941,Programma!$F$3:$P$1101,11,0),"")</f>
        <v/>
      </c>
      <c r="BV941" s="448" t="str">
        <f>_xlfn.IFNA(VLOOKUP($BK941,Programma!$F$3:$Q$1101,12,0),"")</f>
        <v/>
      </c>
      <c r="BW941" s="448" t="str">
        <f>_xlfn.IFNA(VLOOKUP($BK941,Programma!$F$3:$R$1101,13,0),"")</f>
        <v/>
      </c>
      <c r="BX941" s="448" t="str">
        <f>_xlfn.IFNA(VLOOKUP($BK941,Programma!$F$3:$S$1101,14,0),"")</f>
        <v/>
      </c>
      <c r="BY941" s="448" t="str">
        <f>_xlfn.IFNA(VLOOKUP($BK941,Programma!$F$3:$T$1101,15,0),"")</f>
        <v/>
      </c>
      <c r="BZ941" s="448" t="str">
        <f>_xlfn.IFNA(VLOOKUP($BK941,Programma!$F$3:$U$1101,16,0),"")</f>
        <v/>
      </c>
      <c r="CA941" s="448" t="str">
        <f>_xlfn.IFNA(VLOOKUP($BK941,Programma!$F$3:$V$1101,17,0),"")</f>
        <v/>
      </c>
      <c r="CB941" s="448" t="str">
        <f>_xlfn.IFNA(VLOOKUP($BK941,Programma!$F$3:$W$1101,18,0),"")</f>
        <v/>
      </c>
      <c r="CC941" s="448" t="str">
        <f>_xlfn.IFNA(VLOOKUP($BK941,Programma!$F$3:$X$1101,19,0),"")</f>
        <v/>
      </c>
      <c r="CD941" s="448" t="str">
        <f>_xlfn.IFNA(VLOOKUP($BK941,Programma!$F$3:$Y$1101,20,0),"")</f>
        <v/>
      </c>
    </row>
    <row r="942" spans="1:82" ht="15" customHeight="1">
      <c r="A942" s="327">
        <v>25</v>
      </c>
      <c r="B942" s="435" t="str">
        <f>VLOOKUP(Ruimtestaat[[#This Row],[Code]],Locaties[[Code]:[Locatie]],2,FALSE)</f>
        <v>IKC De Piramide</v>
      </c>
      <c r="C942" s="435" t="str">
        <f>VLOOKUP(Ruimtestaat[[#This Row],[Code]],Locaties[[#All],[Code]:[Adres]],4,FALSE)</f>
        <v>Fivelingo 84</v>
      </c>
      <c r="D942" s="435" t="str">
        <f>VLOOKUP(Ruimtestaat[[#This Row],[Code]],Locaties[[#All],[Code]:[Postcode]],5,FALSE)</f>
        <v>2716 BG</v>
      </c>
      <c r="E942" s="435" t="str">
        <f>VLOOKUP(Ruimtestaat[[#This Row],[Code]],Locaties[#All],6,FALSE)</f>
        <v>Zoetermeer</v>
      </c>
      <c r="F942" s="450" t="s">
        <v>1659</v>
      </c>
      <c r="G942" s="330" t="s">
        <v>1678</v>
      </c>
      <c r="H942" s="330" t="s">
        <v>2098</v>
      </c>
      <c r="I942" s="450" t="s">
        <v>1842</v>
      </c>
      <c r="J942" s="330">
        <v>8</v>
      </c>
      <c r="K942" s="450" t="str">
        <f>VLOOKUP(Ruimtestaat[[#This Row],[Ruimte code]],Ruimtegroepen[[#All],[Code]:[Ruimte omschrijving]],2,FALSE)</f>
        <v>Kinderopvang</v>
      </c>
      <c r="L942" s="434" t="s">
        <v>100</v>
      </c>
      <c r="M942" s="437" t="s">
        <v>1759</v>
      </c>
      <c r="N942" s="439"/>
      <c r="O942" s="439"/>
      <c r="P942" s="439"/>
      <c r="Q942" s="439">
        <v>59</v>
      </c>
      <c r="R942" s="440" t="str">
        <f>VLOOKUP(Ruimtestaat[[#This Row],[Ruimte code]],Ruimtegroepen[],4,FALSE)</f>
        <v>Le</v>
      </c>
      <c r="S942" s="434">
        <v>51</v>
      </c>
      <c r="T942" s="434" t="s">
        <v>2</v>
      </c>
      <c r="U942" s="453">
        <f>IF(S942&gt;0,IF(RIGHT(Ruimtestaat[[#This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42" s="434">
        <f>IF(U942&gt;0,VLOOKUP($J942,Ruimtegroepen[],3,FALSE)*VLOOKUP($L942,Vloersoorten[],3,FALSE)*VLOOKUP($T942,Frequenties[],3,FALSE)*VLOOKUP($A942,Locaties[],3,FALSE),0)</f>
        <v>0</v>
      </c>
      <c r="W942" s="434">
        <f>Ruimtestaat[[#This Row],[Uitvoeringen werkdagen]]*Ruimtestaat[[#This Row],[Oppervlak (netto)]]</f>
        <v>0</v>
      </c>
      <c r="X942" s="441">
        <f>IF(V942&gt;0,Ruimtestaat[[#This Row],[Prest. (m2 /jaar) werkdagen]]/Ruimtestaat[[#This Row],[Norm (m2/uur) werkdagen]],0)</f>
        <v>0</v>
      </c>
      <c r="Y942" s="442">
        <f>Ruimtestaat[[#This Row],[Uitvoeringen werkdagen]]*Ruimtestaat[[#This Row],[Gedeeltelijk]]</f>
        <v>0</v>
      </c>
      <c r="Z942" s="443" t="e">
        <f>IF(U942&gt;0,Ruimtestaat[[#This Row],[Prest. (m2 / jaar) werkdagen gedeeld]]/Ruimtestaat[[#This Row],[Norm (m2/uur) werkdagen]],0)</f>
        <v>#DIV/0!</v>
      </c>
      <c r="AA942" s="441" t="e">
        <f>Ruimtestaat[[#This Row],[uren / jaar werkdagen gedeeld]]*Tariefsopbouw!$E$35</f>
        <v>#DIV/0!</v>
      </c>
      <c r="AB942" s="441">
        <f>Ruimtestaat[[#This Row],[Uitvoeringen werkdagen]]*Ruimtestaat[[#This Row],[BSO]]</f>
        <v>15045</v>
      </c>
      <c r="AC942" s="443" t="e">
        <f>IF(U942&gt;0,Ruimtestaat[[#This Row],[Prest. (m2 / jaar) werkdagen BSO]]/Ruimtestaat[[#This Row],[Norm (m2/uur) werkdagen]],0)</f>
        <v>#DIV/0!</v>
      </c>
      <c r="AD942" s="443" t="e">
        <f>Ruimtestaat[[#This Row],[uren / jaar werkdagen BSO]]*Tariefsopbouw!$E$35</f>
        <v>#DIV/0!</v>
      </c>
      <c r="AE942" s="444">
        <f>Ruimtestaat[[#This Row],[uren / jaar werkdagen]]*Tariefsopbouw!$E$35</f>
        <v>0</v>
      </c>
      <c r="AF942" s="454"/>
      <c r="AG942" s="455">
        <f>IF(Ruimtestaat[[#This Row],[Frequentie weekend]]&gt;0,VALUE(LEFT(AF942,1))*S942,0)</f>
        <v>0</v>
      </c>
      <c r="AH942" s="455">
        <f>IF($AG942&gt;0,VLOOKUP($J942,Ruimtegroepen[],3,FALSE)*VLOOKUP($L942,Vloersoorten[],3,FALSE)*VLOOKUP($AF942,Frequenties[],3,FALSE)*VLOOKUP(#REF!,Locaties[],3,FALSE),0)</f>
        <v>0</v>
      </c>
      <c r="AI942" s="434">
        <f>Ruimtestaat[[#This Row],[Uitvoeringen weekend]]*Ruimtestaat[[#This Row],[Oppervlak (netto)]]</f>
        <v>0</v>
      </c>
      <c r="AJ942" s="434">
        <f>IF(AH942&gt;0,Ruimtestaat[[#This Row],[Prest. (m2 /jaar) weekend]]/Ruimtestaat[[#This Row],[Norm (m2/uur) weekend]],0)</f>
        <v>0</v>
      </c>
      <c r="AK942" s="444">
        <f>Ruimtestaat[[#This Row],[uren / jaar weekend]]*Tariefsopbouw!$D$40</f>
        <v>0</v>
      </c>
      <c r="AL942" s="441">
        <f>Ruimtestaat[[#This Row],[Prest. (m2 /jaar) weekend]]+Ruimtestaat[[#This Row],[Prest. (m2 /jaar) werkdagen]]</f>
        <v>0</v>
      </c>
      <c r="AM942" s="441">
        <f>Ruimtestaat[[#This Row],[uren / jaar weekend]]+Ruimtestaat[[#This Row],[uren / jaar werkdagen]]</f>
        <v>0</v>
      </c>
      <c r="AN942" s="446">
        <f>Ruimtestaat[[#This Row],[kosten / jaar weekend]]+Ruimtestaat[[#This Row],[kosten / jaar werkdagen]]</f>
        <v>0</v>
      </c>
      <c r="AO942" s="446"/>
      <c r="AP942" s="446" t="str">
        <f>IF(Ruimtestaat[[#This Row],[Frequentie werkdagen]]="","",_xlfn.CONCAT(Ruimtestaat[[#This Row],[Ruimte code]],"-",Ruimtestaat[[#This Row],[Frequentie werkdagen]]," ",Ruimtestaat[[#This Row],[Vloer code]]))</f>
        <v>8-5w L</v>
      </c>
      <c r="AQ942" s="448" t="str">
        <f>_xlfn.IFNA(VLOOKUP($AP942,Programma!$F$3:$G$1101,2,0),"")</f>
        <v>_</v>
      </c>
      <c r="AR942" s="448" t="str">
        <f>_xlfn.IFNA(VLOOKUP($AP942,Programma!$F$3:$H$1101,3,0),"")</f>
        <v>_</v>
      </c>
      <c r="AS942" s="448" t="str">
        <f>_xlfn.IFNA(VLOOKUP($AP942,Programma!$F$3:$I$1101,4,0),"")</f>
        <v>4w</v>
      </c>
      <c r="AT942" s="448" t="str">
        <f>_xlfn.IFNA(VLOOKUP($AP942,Programma!$F$3:$J$1101,5,0),"")</f>
        <v>1w</v>
      </c>
      <c r="AU942" s="448" t="str">
        <f>_xlfn.IFNA(VLOOKUP($AP942,Programma!$F$3:$K$1101,6,0),"")</f>
        <v>_</v>
      </c>
      <c r="AV942" s="448" t="str">
        <f>_xlfn.IFNA(VLOOKUP($AP942,Programma!$F$3:$L$1101,7,0),"")</f>
        <v>_</v>
      </c>
      <c r="AW942" s="448" t="str">
        <f>_xlfn.IFNA(VLOOKUP($AP942,Programma!$F$3:$M$1101,8,0),"")</f>
        <v>_</v>
      </c>
      <c r="AX942" s="448" t="str">
        <f>_xlfn.IFNA(VLOOKUP($AP942,Programma!$F$3:$N$1101,9,0),"")</f>
        <v>_</v>
      </c>
      <c r="AY942" s="448" t="str">
        <f>_xlfn.IFNA(VLOOKUP($AP942,Programma!$F$3:$O$1101,10,0),"")</f>
        <v>5w</v>
      </c>
      <c r="AZ942" s="448" t="str">
        <f>_xlfn.IFNA(VLOOKUP($AP942,Programma!$F$3:$P$1101,11,0),"")</f>
        <v>5w</v>
      </c>
      <c r="BA942" s="448" t="str">
        <f>_xlfn.IFNA(VLOOKUP($AP942,Programma!$F$3:$Q$1101,12,0),"")</f>
        <v>1w</v>
      </c>
      <c r="BB942" s="448" t="str">
        <f>_xlfn.IFNA(VLOOKUP($AP942,Programma!$F$3:$R$1101,13,0),"")</f>
        <v>1w</v>
      </c>
      <c r="BC942" s="448" t="str">
        <f>_xlfn.IFNA(VLOOKUP($AP942,Programma!$F$3:$S$1101,14,0),"")</f>
        <v>1m</v>
      </c>
      <c r="BD942" s="448" t="str">
        <f>_xlfn.IFNA(VLOOKUP($AP942,Programma!$F$3:$T$1101,15,0),"")</f>
        <v>2j</v>
      </c>
      <c r="BE942" s="448" t="str">
        <f>_xlfn.IFNA(VLOOKUP($AP942,Programma!$F$3:$U$1101,16,0),"")</f>
        <v>1j</v>
      </c>
      <c r="BF942" s="448" t="str">
        <f>_xlfn.IFNA(VLOOKUP($AP942,Programma!$F$3:$V$1101,17,0),"")</f>
        <v>_</v>
      </c>
      <c r="BG942" s="448" t="str">
        <f>_xlfn.IFNA(VLOOKUP($AP942,Programma!$F$3:$W$1101,18,0),"")</f>
        <v>_</v>
      </c>
      <c r="BH942" s="448" t="str">
        <f>_xlfn.IFNA(VLOOKUP($AP942,Programma!$F$3:$X$1101,19,0),"")</f>
        <v>_</v>
      </c>
      <c r="BI942" s="448" t="str">
        <f>_xlfn.IFNA(VLOOKUP($AP942,Programma!$F$3:$Y$1101,20,0),"")</f>
        <v>_</v>
      </c>
      <c r="BJ942" s="449"/>
      <c r="BK942" s="446" t="str">
        <f>IF(Ruimtestaat[[#This Row],[Frequentie weekend]]="","",_xlfn.CONCAT(Ruimtestaat[[#This Row],[Ruimte code]],"-",Ruimtestaat[[#This Row],[Frequentie weekend]]," ",Ruimtestaat[[#This Row],[Vloer code]]))</f>
        <v/>
      </c>
      <c r="BL942" s="448" t="str">
        <f>_xlfn.IFNA(VLOOKUP($BK942,Programma!$F$3:$G$1101,2,0),"")</f>
        <v/>
      </c>
      <c r="BM942" s="448" t="str">
        <f>_xlfn.IFNA(VLOOKUP($BK942,Programma!$F$3:$H$1101,3,0),"")</f>
        <v/>
      </c>
      <c r="BN942" s="448" t="str">
        <f>_xlfn.IFNA(VLOOKUP($BK942,Programma!$F$3:$I$1101,4,0),"")</f>
        <v/>
      </c>
      <c r="BO942" s="448" t="str">
        <f>_xlfn.IFNA(VLOOKUP($BK942,Programma!$F$3:$J$1101,5,0),"")</f>
        <v/>
      </c>
      <c r="BP942" s="448" t="str">
        <f>_xlfn.IFNA(VLOOKUP($BK942,Programma!$F$3:$K$1101,6,0),"")</f>
        <v/>
      </c>
      <c r="BQ942" s="448" t="str">
        <f>_xlfn.IFNA(VLOOKUP($BK942,Programma!$F$3:$L$1101,7,0),"")</f>
        <v/>
      </c>
      <c r="BR942" s="448" t="str">
        <f>_xlfn.IFNA(VLOOKUP($BK942,Programma!$F$3:$M$1101,8,0),"")</f>
        <v/>
      </c>
      <c r="BS942" s="448" t="str">
        <f>_xlfn.IFNA(VLOOKUP($BK942,Programma!$F$3:$N$1101,9,0),"")</f>
        <v/>
      </c>
      <c r="BT942" s="448" t="str">
        <f>_xlfn.IFNA(VLOOKUP($BK942,Programma!$F$3:$O$1101,10,0),"")</f>
        <v/>
      </c>
      <c r="BU942" s="448" t="str">
        <f>_xlfn.IFNA(VLOOKUP($BK942,Programma!$F$3:$P$1101,11,0),"")</f>
        <v/>
      </c>
      <c r="BV942" s="448" t="str">
        <f>_xlfn.IFNA(VLOOKUP($BK942,Programma!$F$3:$Q$1101,12,0),"")</f>
        <v/>
      </c>
      <c r="BW942" s="448" t="str">
        <f>_xlfn.IFNA(VLOOKUP($BK942,Programma!$F$3:$R$1101,13,0),"")</f>
        <v/>
      </c>
      <c r="BX942" s="448" t="str">
        <f>_xlfn.IFNA(VLOOKUP($BK942,Programma!$F$3:$S$1101,14,0),"")</f>
        <v/>
      </c>
      <c r="BY942" s="448" t="str">
        <f>_xlfn.IFNA(VLOOKUP($BK942,Programma!$F$3:$T$1101,15,0),"")</f>
        <v/>
      </c>
      <c r="BZ942" s="448" t="str">
        <f>_xlfn.IFNA(VLOOKUP($BK942,Programma!$F$3:$U$1101,16,0),"")</f>
        <v/>
      </c>
      <c r="CA942" s="448" t="str">
        <f>_xlfn.IFNA(VLOOKUP($BK942,Programma!$F$3:$V$1101,17,0),"")</f>
        <v/>
      </c>
      <c r="CB942" s="448" t="str">
        <f>_xlfn.IFNA(VLOOKUP($BK942,Programma!$F$3:$W$1101,18,0),"")</f>
        <v/>
      </c>
      <c r="CC942" s="448" t="str">
        <f>_xlfn.IFNA(VLOOKUP($BK942,Programma!$F$3:$X$1101,19,0),"")</f>
        <v/>
      </c>
      <c r="CD942" s="448" t="str">
        <f>_xlfn.IFNA(VLOOKUP($BK942,Programma!$F$3:$Y$1101,20,0),"")</f>
        <v/>
      </c>
    </row>
    <row r="943" spans="1:82" ht="15" customHeight="1">
      <c r="A943" s="327">
        <v>25</v>
      </c>
      <c r="B943" s="435" t="str">
        <f>VLOOKUP(Ruimtestaat[[#This Row],[Code]],Locaties[[Code]:[Locatie]],2,FALSE)</f>
        <v>IKC De Piramide</v>
      </c>
      <c r="C943" s="435" t="str">
        <f>VLOOKUP(Ruimtestaat[[#This Row],[Code]],Locaties[[#All],[Code]:[Adres]],4,FALSE)</f>
        <v>Fivelingo 84</v>
      </c>
      <c r="D943" s="435" t="str">
        <f>VLOOKUP(Ruimtestaat[[#This Row],[Code]],Locaties[[#All],[Code]:[Postcode]],5,FALSE)</f>
        <v>2716 BG</v>
      </c>
      <c r="E943" s="435" t="str">
        <f>VLOOKUP(Ruimtestaat[[#This Row],[Code]],Locaties[#All],6,FALSE)</f>
        <v>Zoetermeer</v>
      </c>
      <c r="F943" s="450" t="s">
        <v>1659</v>
      </c>
      <c r="G943" s="330" t="s">
        <v>1678</v>
      </c>
      <c r="H943" s="330" t="s">
        <v>2099</v>
      </c>
      <c r="I943" s="450" t="s">
        <v>1842</v>
      </c>
      <c r="J943" s="330">
        <v>8</v>
      </c>
      <c r="K943" s="450" t="str">
        <f>VLOOKUP(Ruimtestaat[[#This Row],[Ruimte code]],Ruimtegroepen[[#All],[Code]:[Ruimte omschrijving]],2,FALSE)</f>
        <v>Kinderopvang</v>
      </c>
      <c r="L943" s="434" t="s">
        <v>100</v>
      </c>
      <c r="M943" s="437" t="s">
        <v>1759</v>
      </c>
      <c r="N943" s="439"/>
      <c r="O943" s="439"/>
      <c r="P943" s="439"/>
      <c r="Q943" s="439">
        <v>59</v>
      </c>
      <c r="R943" s="440" t="str">
        <f>VLOOKUP(Ruimtestaat[[#This Row],[Ruimte code]],Ruimtegroepen[],4,FALSE)</f>
        <v>Le</v>
      </c>
      <c r="S943" s="434">
        <v>51</v>
      </c>
      <c r="T943" s="434" t="s">
        <v>2</v>
      </c>
      <c r="U943" s="453">
        <f>IF(S943&gt;0,IF(RIGHT(Ruimtestaat[[#This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43" s="434">
        <f>IF(U943&gt;0,VLOOKUP($J943,Ruimtegroepen[],3,FALSE)*VLOOKUP($L943,Vloersoorten[],3,FALSE)*VLOOKUP($T943,Frequenties[],3,FALSE)*VLOOKUP($A943,Locaties[],3,FALSE),0)</f>
        <v>0</v>
      </c>
      <c r="W943" s="434">
        <f>Ruimtestaat[[#This Row],[Uitvoeringen werkdagen]]*Ruimtestaat[[#This Row],[Oppervlak (netto)]]</f>
        <v>0</v>
      </c>
      <c r="X943" s="441">
        <f>IF(V943&gt;0,Ruimtestaat[[#This Row],[Prest. (m2 /jaar) werkdagen]]/Ruimtestaat[[#This Row],[Norm (m2/uur) werkdagen]],0)</f>
        <v>0</v>
      </c>
      <c r="Y943" s="442">
        <f>Ruimtestaat[[#This Row],[Uitvoeringen werkdagen]]*Ruimtestaat[[#This Row],[Gedeeltelijk]]</f>
        <v>0</v>
      </c>
      <c r="Z943" s="443" t="e">
        <f>IF(U943&gt;0,Ruimtestaat[[#This Row],[Prest. (m2 / jaar) werkdagen gedeeld]]/Ruimtestaat[[#This Row],[Norm (m2/uur) werkdagen]],0)</f>
        <v>#DIV/0!</v>
      </c>
      <c r="AA943" s="441" t="e">
        <f>Ruimtestaat[[#This Row],[uren / jaar werkdagen gedeeld]]*Tariefsopbouw!$E$35</f>
        <v>#DIV/0!</v>
      </c>
      <c r="AB943" s="441">
        <f>Ruimtestaat[[#This Row],[Uitvoeringen werkdagen]]*Ruimtestaat[[#This Row],[BSO]]</f>
        <v>15045</v>
      </c>
      <c r="AC943" s="443" t="e">
        <f>IF(U943&gt;0,Ruimtestaat[[#This Row],[Prest. (m2 / jaar) werkdagen BSO]]/Ruimtestaat[[#This Row],[Norm (m2/uur) werkdagen]],0)</f>
        <v>#DIV/0!</v>
      </c>
      <c r="AD943" s="443" t="e">
        <f>Ruimtestaat[[#This Row],[uren / jaar werkdagen BSO]]*Tariefsopbouw!$E$35</f>
        <v>#DIV/0!</v>
      </c>
      <c r="AE943" s="444">
        <f>Ruimtestaat[[#This Row],[uren / jaar werkdagen]]*Tariefsopbouw!$E$35</f>
        <v>0</v>
      </c>
      <c r="AF943" s="454"/>
      <c r="AG943" s="455">
        <f>IF(Ruimtestaat[[#This Row],[Frequentie weekend]]&gt;0,VALUE(LEFT(AF943,1))*S943,0)</f>
        <v>0</v>
      </c>
      <c r="AH943" s="455">
        <f>IF($AG943&gt;0,VLOOKUP($J943,Ruimtegroepen[],3,FALSE)*VLOOKUP($L943,Vloersoorten[],3,FALSE)*VLOOKUP($AF943,Frequenties[],3,FALSE)*VLOOKUP(#REF!,Locaties[],3,FALSE),0)</f>
        <v>0</v>
      </c>
      <c r="AI943" s="434">
        <f>Ruimtestaat[[#This Row],[Uitvoeringen weekend]]*Ruimtestaat[[#This Row],[Oppervlak (netto)]]</f>
        <v>0</v>
      </c>
      <c r="AJ943" s="434">
        <f>IF(AH943&gt;0,Ruimtestaat[[#This Row],[Prest. (m2 /jaar) weekend]]/Ruimtestaat[[#This Row],[Norm (m2/uur) weekend]],0)</f>
        <v>0</v>
      </c>
      <c r="AK943" s="444">
        <f>Ruimtestaat[[#This Row],[uren / jaar weekend]]*Tariefsopbouw!$D$40</f>
        <v>0</v>
      </c>
      <c r="AL943" s="441">
        <f>Ruimtestaat[[#This Row],[Prest. (m2 /jaar) weekend]]+Ruimtestaat[[#This Row],[Prest. (m2 /jaar) werkdagen]]</f>
        <v>0</v>
      </c>
      <c r="AM943" s="441">
        <f>Ruimtestaat[[#This Row],[uren / jaar weekend]]+Ruimtestaat[[#This Row],[uren / jaar werkdagen]]</f>
        <v>0</v>
      </c>
      <c r="AN943" s="446">
        <f>Ruimtestaat[[#This Row],[kosten / jaar weekend]]+Ruimtestaat[[#This Row],[kosten / jaar werkdagen]]</f>
        <v>0</v>
      </c>
      <c r="AO943" s="446"/>
      <c r="AP943" s="446" t="str">
        <f>IF(Ruimtestaat[[#This Row],[Frequentie werkdagen]]="","",_xlfn.CONCAT(Ruimtestaat[[#This Row],[Ruimte code]],"-",Ruimtestaat[[#This Row],[Frequentie werkdagen]]," ",Ruimtestaat[[#This Row],[Vloer code]]))</f>
        <v>8-5w L</v>
      </c>
      <c r="AQ943" s="448" t="str">
        <f>_xlfn.IFNA(VLOOKUP($AP943,Programma!$F$3:$G$1101,2,0),"")</f>
        <v>_</v>
      </c>
      <c r="AR943" s="448" t="str">
        <f>_xlfn.IFNA(VLOOKUP($AP943,Programma!$F$3:$H$1101,3,0),"")</f>
        <v>_</v>
      </c>
      <c r="AS943" s="448" t="str">
        <f>_xlfn.IFNA(VLOOKUP($AP943,Programma!$F$3:$I$1101,4,0),"")</f>
        <v>4w</v>
      </c>
      <c r="AT943" s="448" t="str">
        <f>_xlfn.IFNA(VLOOKUP($AP943,Programma!$F$3:$J$1101,5,0),"")</f>
        <v>1w</v>
      </c>
      <c r="AU943" s="448" t="str">
        <f>_xlfn.IFNA(VLOOKUP($AP943,Programma!$F$3:$K$1101,6,0),"")</f>
        <v>_</v>
      </c>
      <c r="AV943" s="448" t="str">
        <f>_xlfn.IFNA(VLOOKUP($AP943,Programma!$F$3:$L$1101,7,0),"")</f>
        <v>_</v>
      </c>
      <c r="AW943" s="448" t="str">
        <f>_xlfn.IFNA(VLOOKUP($AP943,Programma!$F$3:$M$1101,8,0),"")</f>
        <v>_</v>
      </c>
      <c r="AX943" s="448" t="str">
        <f>_xlfn.IFNA(VLOOKUP($AP943,Programma!$F$3:$N$1101,9,0),"")</f>
        <v>_</v>
      </c>
      <c r="AY943" s="448" t="str">
        <f>_xlfn.IFNA(VLOOKUP($AP943,Programma!$F$3:$O$1101,10,0),"")</f>
        <v>5w</v>
      </c>
      <c r="AZ943" s="448" t="str">
        <f>_xlfn.IFNA(VLOOKUP($AP943,Programma!$F$3:$P$1101,11,0),"")</f>
        <v>5w</v>
      </c>
      <c r="BA943" s="448" t="str">
        <f>_xlfn.IFNA(VLOOKUP($AP943,Programma!$F$3:$Q$1101,12,0),"")</f>
        <v>1w</v>
      </c>
      <c r="BB943" s="448" t="str">
        <f>_xlfn.IFNA(VLOOKUP($AP943,Programma!$F$3:$R$1101,13,0),"")</f>
        <v>1w</v>
      </c>
      <c r="BC943" s="448" t="str">
        <f>_xlfn.IFNA(VLOOKUP($AP943,Programma!$F$3:$S$1101,14,0),"")</f>
        <v>1m</v>
      </c>
      <c r="BD943" s="448" t="str">
        <f>_xlfn.IFNA(VLOOKUP($AP943,Programma!$F$3:$T$1101,15,0),"")</f>
        <v>2j</v>
      </c>
      <c r="BE943" s="448" t="str">
        <f>_xlfn.IFNA(VLOOKUP($AP943,Programma!$F$3:$U$1101,16,0),"")</f>
        <v>1j</v>
      </c>
      <c r="BF943" s="448" t="str">
        <f>_xlfn.IFNA(VLOOKUP($AP943,Programma!$F$3:$V$1101,17,0),"")</f>
        <v>_</v>
      </c>
      <c r="BG943" s="448" t="str">
        <f>_xlfn.IFNA(VLOOKUP($AP943,Programma!$F$3:$W$1101,18,0),"")</f>
        <v>_</v>
      </c>
      <c r="BH943" s="448" t="str">
        <f>_xlfn.IFNA(VLOOKUP($AP943,Programma!$F$3:$X$1101,19,0),"")</f>
        <v>_</v>
      </c>
      <c r="BI943" s="448" t="str">
        <f>_xlfn.IFNA(VLOOKUP($AP943,Programma!$F$3:$Y$1101,20,0),"")</f>
        <v>_</v>
      </c>
      <c r="BJ943" s="449"/>
      <c r="BK943" s="446" t="str">
        <f>IF(Ruimtestaat[[#This Row],[Frequentie weekend]]="","",_xlfn.CONCAT(Ruimtestaat[[#This Row],[Ruimte code]],"-",Ruimtestaat[[#This Row],[Frequentie weekend]]," ",Ruimtestaat[[#This Row],[Vloer code]]))</f>
        <v/>
      </c>
      <c r="BL943" s="448" t="str">
        <f>_xlfn.IFNA(VLOOKUP($BK943,Programma!$F$3:$G$1101,2,0),"")</f>
        <v/>
      </c>
      <c r="BM943" s="448" t="str">
        <f>_xlfn.IFNA(VLOOKUP($BK943,Programma!$F$3:$H$1101,3,0),"")</f>
        <v/>
      </c>
      <c r="BN943" s="448" t="str">
        <f>_xlfn.IFNA(VLOOKUP($BK943,Programma!$F$3:$I$1101,4,0),"")</f>
        <v/>
      </c>
      <c r="BO943" s="448" t="str">
        <f>_xlfn.IFNA(VLOOKUP($BK943,Programma!$F$3:$J$1101,5,0),"")</f>
        <v/>
      </c>
      <c r="BP943" s="448" t="str">
        <f>_xlfn.IFNA(VLOOKUP($BK943,Programma!$F$3:$K$1101,6,0),"")</f>
        <v/>
      </c>
      <c r="BQ943" s="448" t="str">
        <f>_xlfn.IFNA(VLOOKUP($BK943,Programma!$F$3:$L$1101,7,0),"")</f>
        <v/>
      </c>
      <c r="BR943" s="448" t="str">
        <f>_xlfn.IFNA(VLOOKUP($BK943,Programma!$F$3:$M$1101,8,0),"")</f>
        <v/>
      </c>
      <c r="BS943" s="448" t="str">
        <f>_xlfn.IFNA(VLOOKUP($BK943,Programma!$F$3:$N$1101,9,0),"")</f>
        <v/>
      </c>
      <c r="BT943" s="448" t="str">
        <f>_xlfn.IFNA(VLOOKUP($BK943,Programma!$F$3:$O$1101,10,0),"")</f>
        <v/>
      </c>
      <c r="BU943" s="448" t="str">
        <f>_xlfn.IFNA(VLOOKUP($BK943,Programma!$F$3:$P$1101,11,0),"")</f>
        <v/>
      </c>
      <c r="BV943" s="448" t="str">
        <f>_xlfn.IFNA(VLOOKUP($BK943,Programma!$F$3:$Q$1101,12,0),"")</f>
        <v/>
      </c>
      <c r="BW943" s="448" t="str">
        <f>_xlfn.IFNA(VLOOKUP($BK943,Programma!$F$3:$R$1101,13,0),"")</f>
        <v/>
      </c>
      <c r="BX943" s="448" t="str">
        <f>_xlfn.IFNA(VLOOKUP($BK943,Programma!$F$3:$S$1101,14,0),"")</f>
        <v/>
      </c>
      <c r="BY943" s="448" t="str">
        <f>_xlfn.IFNA(VLOOKUP($BK943,Programma!$F$3:$T$1101,15,0),"")</f>
        <v/>
      </c>
      <c r="BZ943" s="448" t="str">
        <f>_xlfn.IFNA(VLOOKUP($BK943,Programma!$F$3:$U$1101,16,0),"")</f>
        <v/>
      </c>
      <c r="CA943" s="448" t="str">
        <f>_xlfn.IFNA(VLOOKUP($BK943,Programma!$F$3:$V$1101,17,0),"")</f>
        <v/>
      </c>
      <c r="CB943" s="448" t="str">
        <f>_xlfn.IFNA(VLOOKUP($BK943,Programma!$F$3:$W$1101,18,0),"")</f>
        <v/>
      </c>
      <c r="CC943" s="448" t="str">
        <f>_xlfn.IFNA(VLOOKUP($BK943,Programma!$F$3:$X$1101,19,0),"")</f>
        <v/>
      </c>
      <c r="CD943" s="448" t="str">
        <f>_xlfn.IFNA(VLOOKUP($BK943,Programma!$F$3:$Y$1101,20,0),"")</f>
        <v/>
      </c>
    </row>
    <row r="944" spans="1:82" ht="15" customHeight="1">
      <c r="A944" s="327">
        <v>25</v>
      </c>
      <c r="B944" s="435" t="str">
        <f>VLOOKUP(Ruimtestaat[[#This Row],[Code]],Locaties[[Code]:[Locatie]],2,FALSE)</f>
        <v>IKC De Piramide</v>
      </c>
      <c r="C944" s="435" t="str">
        <f>VLOOKUP(Ruimtestaat[[#This Row],[Code]],Locaties[[#All],[Code]:[Adres]],4,FALSE)</f>
        <v>Fivelingo 84</v>
      </c>
      <c r="D944" s="435" t="str">
        <f>VLOOKUP(Ruimtestaat[[#This Row],[Code]],Locaties[[#All],[Code]:[Postcode]],5,FALSE)</f>
        <v>2716 BG</v>
      </c>
      <c r="E944" s="435" t="str">
        <f>VLOOKUP(Ruimtestaat[[#This Row],[Code]],Locaties[#All],6,FALSE)</f>
        <v>Zoetermeer</v>
      </c>
      <c r="F944" s="450" t="s">
        <v>1659</v>
      </c>
      <c r="G944" s="330" t="s">
        <v>1678</v>
      </c>
      <c r="H944" s="330" t="s">
        <v>2100</v>
      </c>
      <c r="I944" s="450" t="s">
        <v>1842</v>
      </c>
      <c r="J944" s="330">
        <v>8</v>
      </c>
      <c r="K944" s="450" t="str">
        <f>VLOOKUP(Ruimtestaat[[#This Row],[Ruimte code]],Ruimtegroepen[[#All],[Code]:[Ruimte omschrijving]],2,FALSE)</f>
        <v>Kinderopvang</v>
      </c>
      <c r="L944" s="434" t="s">
        <v>100</v>
      </c>
      <c r="M944" s="437" t="s">
        <v>1759</v>
      </c>
      <c r="N944" s="439"/>
      <c r="O944" s="439"/>
      <c r="P944" s="439"/>
      <c r="Q944" s="439">
        <v>59</v>
      </c>
      <c r="R944" s="440" t="str">
        <f>VLOOKUP(Ruimtestaat[[#This Row],[Ruimte code]],Ruimtegroepen[],4,FALSE)</f>
        <v>Le</v>
      </c>
      <c r="S944" s="434">
        <v>51</v>
      </c>
      <c r="T944" s="434" t="s">
        <v>2</v>
      </c>
      <c r="U944" s="453">
        <f>IF(S944&gt;0,IF(RIGHT(Ruimtestaat[[#This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44" s="434">
        <f>IF(U944&gt;0,VLOOKUP($J944,Ruimtegroepen[],3,FALSE)*VLOOKUP($L944,Vloersoorten[],3,FALSE)*VLOOKUP($T944,Frequenties[],3,FALSE)*VLOOKUP($A944,Locaties[],3,FALSE),0)</f>
        <v>0</v>
      </c>
      <c r="W944" s="434">
        <f>Ruimtestaat[[#This Row],[Uitvoeringen werkdagen]]*Ruimtestaat[[#This Row],[Oppervlak (netto)]]</f>
        <v>0</v>
      </c>
      <c r="X944" s="441">
        <f>IF(V944&gt;0,Ruimtestaat[[#This Row],[Prest. (m2 /jaar) werkdagen]]/Ruimtestaat[[#This Row],[Norm (m2/uur) werkdagen]],0)</f>
        <v>0</v>
      </c>
      <c r="Y944" s="442">
        <f>Ruimtestaat[[#This Row],[Uitvoeringen werkdagen]]*Ruimtestaat[[#This Row],[Gedeeltelijk]]</f>
        <v>0</v>
      </c>
      <c r="Z944" s="443" t="e">
        <f>IF(U944&gt;0,Ruimtestaat[[#This Row],[Prest. (m2 / jaar) werkdagen gedeeld]]/Ruimtestaat[[#This Row],[Norm (m2/uur) werkdagen]],0)</f>
        <v>#DIV/0!</v>
      </c>
      <c r="AA944" s="441" t="e">
        <f>Ruimtestaat[[#This Row],[uren / jaar werkdagen gedeeld]]*Tariefsopbouw!$E$35</f>
        <v>#DIV/0!</v>
      </c>
      <c r="AB944" s="441">
        <f>Ruimtestaat[[#This Row],[Uitvoeringen werkdagen]]*Ruimtestaat[[#This Row],[BSO]]</f>
        <v>15045</v>
      </c>
      <c r="AC944" s="443" t="e">
        <f>IF(U944&gt;0,Ruimtestaat[[#This Row],[Prest. (m2 / jaar) werkdagen BSO]]/Ruimtestaat[[#This Row],[Norm (m2/uur) werkdagen]],0)</f>
        <v>#DIV/0!</v>
      </c>
      <c r="AD944" s="443" t="e">
        <f>Ruimtestaat[[#This Row],[uren / jaar werkdagen BSO]]*Tariefsopbouw!$E$35</f>
        <v>#DIV/0!</v>
      </c>
      <c r="AE944" s="444">
        <f>Ruimtestaat[[#This Row],[uren / jaar werkdagen]]*Tariefsopbouw!$E$35</f>
        <v>0</v>
      </c>
      <c r="AF944" s="454"/>
      <c r="AG944" s="455">
        <f>IF(Ruimtestaat[[#This Row],[Frequentie weekend]]&gt;0,VALUE(LEFT(AF944,1))*S944,0)</f>
        <v>0</v>
      </c>
      <c r="AH944" s="455">
        <f>IF($AG944&gt;0,VLOOKUP($J944,Ruimtegroepen[],3,FALSE)*VLOOKUP($L944,Vloersoorten[],3,FALSE)*VLOOKUP($AF944,Frequenties[],3,FALSE)*VLOOKUP(#REF!,Locaties[],3,FALSE),0)</f>
        <v>0</v>
      </c>
      <c r="AI944" s="434">
        <f>Ruimtestaat[[#This Row],[Uitvoeringen weekend]]*Ruimtestaat[[#This Row],[Oppervlak (netto)]]</f>
        <v>0</v>
      </c>
      <c r="AJ944" s="434">
        <f>IF(AH944&gt;0,Ruimtestaat[[#This Row],[Prest. (m2 /jaar) weekend]]/Ruimtestaat[[#This Row],[Norm (m2/uur) weekend]],0)</f>
        <v>0</v>
      </c>
      <c r="AK944" s="444">
        <f>Ruimtestaat[[#This Row],[uren / jaar weekend]]*Tariefsopbouw!$D$40</f>
        <v>0</v>
      </c>
      <c r="AL944" s="441">
        <f>Ruimtestaat[[#This Row],[Prest. (m2 /jaar) weekend]]+Ruimtestaat[[#This Row],[Prest. (m2 /jaar) werkdagen]]</f>
        <v>0</v>
      </c>
      <c r="AM944" s="441">
        <f>Ruimtestaat[[#This Row],[uren / jaar weekend]]+Ruimtestaat[[#This Row],[uren / jaar werkdagen]]</f>
        <v>0</v>
      </c>
      <c r="AN944" s="446">
        <f>Ruimtestaat[[#This Row],[kosten / jaar weekend]]+Ruimtestaat[[#This Row],[kosten / jaar werkdagen]]</f>
        <v>0</v>
      </c>
      <c r="AO944" s="446"/>
      <c r="AP944" s="446" t="str">
        <f>IF(Ruimtestaat[[#This Row],[Frequentie werkdagen]]="","",_xlfn.CONCAT(Ruimtestaat[[#This Row],[Ruimte code]],"-",Ruimtestaat[[#This Row],[Frequentie werkdagen]]," ",Ruimtestaat[[#This Row],[Vloer code]]))</f>
        <v>8-5w L</v>
      </c>
      <c r="AQ944" s="448" t="str">
        <f>_xlfn.IFNA(VLOOKUP($AP944,Programma!$F$3:$G$1101,2,0),"")</f>
        <v>_</v>
      </c>
      <c r="AR944" s="448" t="str">
        <f>_xlfn.IFNA(VLOOKUP($AP944,Programma!$F$3:$H$1101,3,0),"")</f>
        <v>_</v>
      </c>
      <c r="AS944" s="448" t="str">
        <f>_xlfn.IFNA(VLOOKUP($AP944,Programma!$F$3:$I$1101,4,0),"")</f>
        <v>4w</v>
      </c>
      <c r="AT944" s="448" t="str">
        <f>_xlfn.IFNA(VLOOKUP($AP944,Programma!$F$3:$J$1101,5,0),"")</f>
        <v>1w</v>
      </c>
      <c r="AU944" s="448" t="str">
        <f>_xlfn.IFNA(VLOOKUP($AP944,Programma!$F$3:$K$1101,6,0),"")</f>
        <v>_</v>
      </c>
      <c r="AV944" s="448" t="str">
        <f>_xlfn.IFNA(VLOOKUP($AP944,Programma!$F$3:$L$1101,7,0),"")</f>
        <v>_</v>
      </c>
      <c r="AW944" s="448" t="str">
        <f>_xlfn.IFNA(VLOOKUP($AP944,Programma!$F$3:$M$1101,8,0),"")</f>
        <v>_</v>
      </c>
      <c r="AX944" s="448" t="str">
        <f>_xlfn.IFNA(VLOOKUP($AP944,Programma!$F$3:$N$1101,9,0),"")</f>
        <v>_</v>
      </c>
      <c r="AY944" s="448" t="str">
        <f>_xlfn.IFNA(VLOOKUP($AP944,Programma!$F$3:$O$1101,10,0),"")</f>
        <v>5w</v>
      </c>
      <c r="AZ944" s="448" t="str">
        <f>_xlfn.IFNA(VLOOKUP($AP944,Programma!$F$3:$P$1101,11,0),"")</f>
        <v>5w</v>
      </c>
      <c r="BA944" s="448" t="str">
        <f>_xlfn.IFNA(VLOOKUP($AP944,Programma!$F$3:$Q$1101,12,0),"")</f>
        <v>1w</v>
      </c>
      <c r="BB944" s="448" t="str">
        <f>_xlfn.IFNA(VLOOKUP($AP944,Programma!$F$3:$R$1101,13,0),"")</f>
        <v>1w</v>
      </c>
      <c r="BC944" s="448" t="str">
        <f>_xlfn.IFNA(VLOOKUP($AP944,Programma!$F$3:$S$1101,14,0),"")</f>
        <v>1m</v>
      </c>
      <c r="BD944" s="448" t="str">
        <f>_xlfn.IFNA(VLOOKUP($AP944,Programma!$F$3:$T$1101,15,0),"")</f>
        <v>2j</v>
      </c>
      <c r="BE944" s="448" t="str">
        <f>_xlfn.IFNA(VLOOKUP($AP944,Programma!$F$3:$U$1101,16,0),"")</f>
        <v>1j</v>
      </c>
      <c r="BF944" s="448" t="str">
        <f>_xlfn.IFNA(VLOOKUP($AP944,Programma!$F$3:$V$1101,17,0),"")</f>
        <v>_</v>
      </c>
      <c r="BG944" s="448" t="str">
        <f>_xlfn.IFNA(VLOOKUP($AP944,Programma!$F$3:$W$1101,18,0),"")</f>
        <v>_</v>
      </c>
      <c r="BH944" s="448" t="str">
        <f>_xlfn.IFNA(VLOOKUP($AP944,Programma!$F$3:$X$1101,19,0),"")</f>
        <v>_</v>
      </c>
      <c r="BI944" s="448" t="str">
        <f>_xlfn.IFNA(VLOOKUP($AP944,Programma!$F$3:$Y$1101,20,0),"")</f>
        <v>_</v>
      </c>
      <c r="BJ944" s="449"/>
      <c r="BK944" s="446" t="str">
        <f>IF(Ruimtestaat[[#This Row],[Frequentie weekend]]="","",_xlfn.CONCAT(Ruimtestaat[[#This Row],[Ruimte code]],"-",Ruimtestaat[[#This Row],[Frequentie weekend]]," ",Ruimtestaat[[#This Row],[Vloer code]]))</f>
        <v/>
      </c>
      <c r="BL944" s="448" t="str">
        <f>_xlfn.IFNA(VLOOKUP($BK944,Programma!$F$3:$G$1101,2,0),"")</f>
        <v/>
      </c>
      <c r="BM944" s="448" t="str">
        <f>_xlfn.IFNA(VLOOKUP($BK944,Programma!$F$3:$H$1101,3,0),"")</f>
        <v/>
      </c>
      <c r="BN944" s="448" t="str">
        <f>_xlfn.IFNA(VLOOKUP($BK944,Programma!$F$3:$I$1101,4,0),"")</f>
        <v/>
      </c>
      <c r="BO944" s="448" t="str">
        <f>_xlfn.IFNA(VLOOKUP($BK944,Programma!$F$3:$J$1101,5,0),"")</f>
        <v/>
      </c>
      <c r="BP944" s="448" t="str">
        <f>_xlfn.IFNA(VLOOKUP($BK944,Programma!$F$3:$K$1101,6,0),"")</f>
        <v/>
      </c>
      <c r="BQ944" s="448" t="str">
        <f>_xlfn.IFNA(VLOOKUP($BK944,Programma!$F$3:$L$1101,7,0),"")</f>
        <v/>
      </c>
      <c r="BR944" s="448" t="str">
        <f>_xlfn.IFNA(VLOOKUP($BK944,Programma!$F$3:$M$1101,8,0),"")</f>
        <v/>
      </c>
      <c r="BS944" s="448" t="str">
        <f>_xlfn.IFNA(VLOOKUP($BK944,Programma!$F$3:$N$1101,9,0),"")</f>
        <v/>
      </c>
      <c r="BT944" s="448" t="str">
        <f>_xlfn.IFNA(VLOOKUP($BK944,Programma!$F$3:$O$1101,10,0),"")</f>
        <v/>
      </c>
      <c r="BU944" s="448" t="str">
        <f>_xlfn.IFNA(VLOOKUP($BK944,Programma!$F$3:$P$1101,11,0),"")</f>
        <v/>
      </c>
      <c r="BV944" s="448" t="str">
        <f>_xlfn.IFNA(VLOOKUP($BK944,Programma!$F$3:$Q$1101,12,0),"")</f>
        <v/>
      </c>
      <c r="BW944" s="448" t="str">
        <f>_xlfn.IFNA(VLOOKUP($BK944,Programma!$F$3:$R$1101,13,0),"")</f>
        <v/>
      </c>
      <c r="BX944" s="448" t="str">
        <f>_xlfn.IFNA(VLOOKUP($BK944,Programma!$F$3:$S$1101,14,0),"")</f>
        <v/>
      </c>
      <c r="BY944" s="448" t="str">
        <f>_xlfn.IFNA(VLOOKUP($BK944,Programma!$F$3:$T$1101,15,0),"")</f>
        <v/>
      </c>
      <c r="BZ944" s="448" t="str">
        <f>_xlfn.IFNA(VLOOKUP($BK944,Programma!$F$3:$U$1101,16,0),"")</f>
        <v/>
      </c>
      <c r="CA944" s="448" t="str">
        <f>_xlfn.IFNA(VLOOKUP($BK944,Programma!$F$3:$V$1101,17,0),"")</f>
        <v/>
      </c>
      <c r="CB944" s="448" t="str">
        <f>_xlfn.IFNA(VLOOKUP($BK944,Programma!$F$3:$W$1101,18,0),"")</f>
        <v/>
      </c>
      <c r="CC944" s="448" t="str">
        <f>_xlfn.IFNA(VLOOKUP($BK944,Programma!$F$3:$X$1101,19,0),"")</f>
        <v/>
      </c>
      <c r="CD944" s="448" t="str">
        <f>_xlfn.IFNA(VLOOKUP($BK944,Programma!$F$3:$Y$1101,20,0),"")</f>
        <v/>
      </c>
    </row>
    <row r="945" spans="1:82" ht="15" customHeight="1">
      <c r="A945" s="327">
        <v>25</v>
      </c>
      <c r="B945" s="435" t="str">
        <f>VLOOKUP(Ruimtestaat[[#This Row],[Code]],Locaties[[Code]:[Locatie]],2,FALSE)</f>
        <v>IKC De Piramide</v>
      </c>
      <c r="C945" s="435" t="str">
        <f>VLOOKUP(Ruimtestaat[[#This Row],[Code]],Locaties[[#All],[Code]:[Adres]],4,FALSE)</f>
        <v>Fivelingo 84</v>
      </c>
      <c r="D945" s="435" t="str">
        <f>VLOOKUP(Ruimtestaat[[#This Row],[Code]],Locaties[[#All],[Code]:[Postcode]],5,FALSE)</f>
        <v>2716 BG</v>
      </c>
      <c r="E945" s="435" t="str">
        <f>VLOOKUP(Ruimtestaat[[#This Row],[Code]],Locaties[#All],6,FALSE)</f>
        <v>Zoetermeer</v>
      </c>
      <c r="F945" s="450" t="s">
        <v>1659</v>
      </c>
      <c r="G945" s="330" t="s">
        <v>1678</v>
      </c>
      <c r="H945" s="330" t="s">
        <v>2101</v>
      </c>
      <c r="I945" s="450" t="s">
        <v>1724</v>
      </c>
      <c r="J945" s="330">
        <v>20</v>
      </c>
      <c r="K945" s="450" t="str">
        <f>VLOOKUP(Ruimtestaat[[#This Row],[Ruimte code]],Ruimtegroepen[[#All],[Code]:[Ruimte omschrijving]],2,FALSE)</f>
        <v>Niet in Onderhoud</v>
      </c>
      <c r="L945" s="434" t="s">
        <v>100</v>
      </c>
      <c r="M945" s="437" t="s">
        <v>1759</v>
      </c>
      <c r="N945" s="439"/>
      <c r="O945" s="439">
        <v>11</v>
      </c>
      <c r="P945" s="439"/>
      <c r="Q945" s="439"/>
      <c r="R945" s="440">
        <f>VLOOKUP(Ruimtestaat[[#This Row],[Ruimte code]],Ruimtegroepen[],4,FALSE)</f>
        <v>0</v>
      </c>
      <c r="S945" s="434"/>
      <c r="T945" s="434"/>
      <c r="U945" s="453">
        <f>IF(S945&gt;0,IF(RIGHT(Ruimtestaat[[#This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45" s="434">
        <f>IF(U945&gt;0,VLOOKUP($J945,Ruimtegroepen[],3,FALSE)*VLOOKUP($L945,Vloersoorten[],3,FALSE)*VLOOKUP($T945,Frequenties[],3,FALSE)*VLOOKUP($A945,Locaties[],3,FALSE),0)</f>
        <v>0</v>
      </c>
      <c r="W945" s="434">
        <f>Ruimtestaat[[#This Row],[Uitvoeringen werkdagen]]*Ruimtestaat[[#This Row],[Oppervlak (netto)]]</f>
        <v>0</v>
      </c>
      <c r="X945" s="441">
        <f>IF(V945&gt;0,Ruimtestaat[[#This Row],[Prest. (m2 /jaar) werkdagen]]/Ruimtestaat[[#This Row],[Norm (m2/uur) werkdagen]],0)</f>
        <v>0</v>
      </c>
      <c r="Y945" s="442">
        <f>Ruimtestaat[[#This Row],[Uitvoeringen werkdagen]]*Ruimtestaat[[#This Row],[Gedeeltelijk]]</f>
        <v>0</v>
      </c>
      <c r="Z945" s="443">
        <f>IF(U945&gt;0,Ruimtestaat[[#This Row],[Prest. (m2 / jaar) werkdagen gedeeld]]/Ruimtestaat[[#This Row],[Norm (m2/uur) werkdagen]],0)</f>
        <v>0</v>
      </c>
      <c r="AA945" s="441">
        <f>Ruimtestaat[[#This Row],[uren / jaar werkdagen gedeeld]]*Tariefsopbouw!$E$35</f>
        <v>0</v>
      </c>
      <c r="AB945" s="441">
        <f>Ruimtestaat[[#This Row],[Uitvoeringen werkdagen]]*Ruimtestaat[[#This Row],[BSO]]</f>
        <v>0</v>
      </c>
      <c r="AC945" s="443">
        <f>IF(U945&gt;0,Ruimtestaat[[#This Row],[Prest. (m2 / jaar) werkdagen BSO]]/Ruimtestaat[[#This Row],[Norm (m2/uur) werkdagen]],0)</f>
        <v>0</v>
      </c>
      <c r="AD945" s="443">
        <f>Ruimtestaat[[#This Row],[uren / jaar werkdagen BSO]]*Tariefsopbouw!$E$35</f>
        <v>0</v>
      </c>
      <c r="AE945" s="444">
        <f>Ruimtestaat[[#This Row],[uren / jaar werkdagen]]*Tariefsopbouw!$E$35</f>
        <v>0</v>
      </c>
      <c r="AF945" s="454"/>
      <c r="AG945" s="455">
        <f>IF(Ruimtestaat[[#This Row],[Frequentie weekend]]&gt;0,VALUE(LEFT(AF945,1))*S945,0)</f>
        <v>0</v>
      </c>
      <c r="AH945" s="455">
        <f>IF($AG945&gt;0,VLOOKUP($J945,Ruimtegroepen[],3,FALSE)*VLOOKUP($L945,Vloersoorten[],3,FALSE)*VLOOKUP($AF945,Frequenties[],3,FALSE)*VLOOKUP(#REF!,Locaties[],3,FALSE),0)</f>
        <v>0</v>
      </c>
      <c r="AI945" s="434">
        <f>Ruimtestaat[[#This Row],[Uitvoeringen weekend]]*Ruimtestaat[[#This Row],[Oppervlak (netto)]]</f>
        <v>0</v>
      </c>
      <c r="AJ945" s="434">
        <f>IF(AH945&gt;0,Ruimtestaat[[#This Row],[Prest. (m2 /jaar) weekend]]/Ruimtestaat[[#This Row],[Norm (m2/uur) weekend]],0)</f>
        <v>0</v>
      </c>
      <c r="AK945" s="444">
        <f>Ruimtestaat[[#This Row],[uren / jaar weekend]]*Tariefsopbouw!$D$40</f>
        <v>0</v>
      </c>
      <c r="AL945" s="441">
        <f>Ruimtestaat[[#This Row],[Prest. (m2 /jaar) weekend]]+Ruimtestaat[[#This Row],[Prest. (m2 /jaar) werkdagen]]</f>
        <v>0</v>
      </c>
      <c r="AM945" s="441">
        <f>Ruimtestaat[[#This Row],[uren / jaar weekend]]+Ruimtestaat[[#This Row],[uren / jaar werkdagen]]</f>
        <v>0</v>
      </c>
      <c r="AN945" s="446">
        <f>Ruimtestaat[[#This Row],[kosten / jaar weekend]]+Ruimtestaat[[#This Row],[kosten / jaar werkdagen]]</f>
        <v>0</v>
      </c>
      <c r="AO945" s="446"/>
      <c r="AP945" s="446" t="str">
        <f>IF(Ruimtestaat[[#This Row],[Frequentie werkdagen]]="","",_xlfn.CONCAT(Ruimtestaat[[#This Row],[Ruimte code]],"-",Ruimtestaat[[#This Row],[Frequentie werkdagen]]," ",Ruimtestaat[[#This Row],[Vloer code]]))</f>
        <v/>
      </c>
      <c r="AQ945" s="448" t="str">
        <f>_xlfn.IFNA(VLOOKUP($AP945,Programma!$F$3:$G$1101,2,0),"")</f>
        <v/>
      </c>
      <c r="AR945" s="448" t="str">
        <f>_xlfn.IFNA(VLOOKUP($AP945,Programma!$F$3:$H$1101,3,0),"")</f>
        <v/>
      </c>
      <c r="AS945" s="448" t="str">
        <f>_xlfn.IFNA(VLOOKUP($AP945,Programma!$F$3:$I$1101,4,0),"")</f>
        <v/>
      </c>
      <c r="AT945" s="448" t="str">
        <f>_xlfn.IFNA(VLOOKUP($AP945,Programma!$F$3:$J$1101,5,0),"")</f>
        <v/>
      </c>
      <c r="AU945" s="448" t="str">
        <f>_xlfn.IFNA(VLOOKUP($AP945,Programma!$F$3:$K$1101,6,0),"")</f>
        <v/>
      </c>
      <c r="AV945" s="448" t="str">
        <f>_xlfn.IFNA(VLOOKUP($AP945,Programma!$F$3:$L$1101,7,0),"")</f>
        <v/>
      </c>
      <c r="AW945" s="448" t="str">
        <f>_xlfn.IFNA(VLOOKUP($AP945,Programma!$F$3:$M$1101,8,0),"")</f>
        <v/>
      </c>
      <c r="AX945" s="448" t="str">
        <f>_xlfn.IFNA(VLOOKUP($AP945,Programma!$F$3:$N$1101,9,0),"")</f>
        <v/>
      </c>
      <c r="AY945" s="448" t="str">
        <f>_xlfn.IFNA(VLOOKUP($AP945,Programma!$F$3:$O$1101,10,0),"")</f>
        <v/>
      </c>
      <c r="AZ945" s="448" t="str">
        <f>_xlfn.IFNA(VLOOKUP($AP945,Programma!$F$3:$P$1101,11,0),"")</f>
        <v/>
      </c>
      <c r="BA945" s="448" t="str">
        <f>_xlfn.IFNA(VLOOKUP($AP945,Programma!$F$3:$Q$1101,12,0),"")</f>
        <v/>
      </c>
      <c r="BB945" s="448" t="str">
        <f>_xlfn.IFNA(VLOOKUP($AP945,Programma!$F$3:$R$1101,13,0),"")</f>
        <v/>
      </c>
      <c r="BC945" s="448" t="str">
        <f>_xlfn.IFNA(VLOOKUP($AP945,Programma!$F$3:$S$1101,14,0),"")</f>
        <v/>
      </c>
      <c r="BD945" s="448" t="str">
        <f>_xlfn.IFNA(VLOOKUP($AP945,Programma!$F$3:$T$1101,15,0),"")</f>
        <v/>
      </c>
      <c r="BE945" s="448" t="str">
        <f>_xlfn.IFNA(VLOOKUP($AP945,Programma!$F$3:$U$1101,16,0),"")</f>
        <v/>
      </c>
      <c r="BF945" s="448" t="str">
        <f>_xlfn.IFNA(VLOOKUP($AP945,Programma!$F$3:$V$1101,17,0),"")</f>
        <v/>
      </c>
      <c r="BG945" s="448" t="str">
        <f>_xlfn.IFNA(VLOOKUP($AP945,Programma!$F$3:$W$1101,18,0),"")</f>
        <v/>
      </c>
      <c r="BH945" s="448" t="str">
        <f>_xlfn.IFNA(VLOOKUP($AP945,Programma!$F$3:$X$1101,19,0),"")</f>
        <v/>
      </c>
      <c r="BI945" s="448" t="str">
        <f>_xlfn.IFNA(VLOOKUP($AP945,Programma!$F$3:$Y$1101,20,0),"")</f>
        <v/>
      </c>
      <c r="BJ945" s="449"/>
      <c r="BK945" s="446" t="str">
        <f>IF(Ruimtestaat[[#This Row],[Frequentie weekend]]="","",_xlfn.CONCAT(Ruimtestaat[[#This Row],[Ruimte code]],"-",Ruimtestaat[[#This Row],[Frequentie weekend]]," ",Ruimtestaat[[#This Row],[Vloer code]]))</f>
        <v/>
      </c>
      <c r="BL945" s="448" t="str">
        <f>_xlfn.IFNA(VLOOKUP($BK945,Programma!$F$3:$G$1101,2,0),"")</f>
        <v/>
      </c>
      <c r="BM945" s="448" t="str">
        <f>_xlfn.IFNA(VLOOKUP($BK945,Programma!$F$3:$H$1101,3,0),"")</f>
        <v/>
      </c>
      <c r="BN945" s="448" t="str">
        <f>_xlfn.IFNA(VLOOKUP($BK945,Programma!$F$3:$I$1101,4,0),"")</f>
        <v/>
      </c>
      <c r="BO945" s="448" t="str">
        <f>_xlfn.IFNA(VLOOKUP($BK945,Programma!$F$3:$J$1101,5,0),"")</f>
        <v/>
      </c>
      <c r="BP945" s="448" t="str">
        <f>_xlfn.IFNA(VLOOKUP($BK945,Programma!$F$3:$K$1101,6,0),"")</f>
        <v/>
      </c>
      <c r="BQ945" s="448" t="str">
        <f>_xlfn.IFNA(VLOOKUP($BK945,Programma!$F$3:$L$1101,7,0),"")</f>
        <v/>
      </c>
      <c r="BR945" s="448" t="str">
        <f>_xlfn.IFNA(VLOOKUP($BK945,Programma!$F$3:$M$1101,8,0),"")</f>
        <v/>
      </c>
      <c r="BS945" s="448" t="str">
        <f>_xlfn.IFNA(VLOOKUP($BK945,Programma!$F$3:$N$1101,9,0),"")</f>
        <v/>
      </c>
      <c r="BT945" s="448" t="str">
        <f>_xlfn.IFNA(VLOOKUP($BK945,Programma!$F$3:$O$1101,10,0),"")</f>
        <v/>
      </c>
      <c r="BU945" s="448" t="str">
        <f>_xlfn.IFNA(VLOOKUP($BK945,Programma!$F$3:$P$1101,11,0),"")</f>
        <v/>
      </c>
      <c r="BV945" s="448" t="str">
        <f>_xlfn.IFNA(VLOOKUP($BK945,Programma!$F$3:$Q$1101,12,0),"")</f>
        <v/>
      </c>
      <c r="BW945" s="448" t="str">
        <f>_xlfn.IFNA(VLOOKUP($BK945,Programma!$F$3:$R$1101,13,0),"")</f>
        <v/>
      </c>
      <c r="BX945" s="448" t="str">
        <f>_xlfn.IFNA(VLOOKUP($BK945,Programma!$F$3:$S$1101,14,0),"")</f>
        <v/>
      </c>
      <c r="BY945" s="448" t="str">
        <f>_xlfn.IFNA(VLOOKUP($BK945,Programma!$F$3:$T$1101,15,0),"")</f>
        <v/>
      </c>
      <c r="BZ945" s="448" t="str">
        <f>_xlfn.IFNA(VLOOKUP($BK945,Programma!$F$3:$U$1101,16,0),"")</f>
        <v/>
      </c>
      <c r="CA945" s="448" t="str">
        <f>_xlfn.IFNA(VLOOKUP($BK945,Programma!$F$3:$V$1101,17,0),"")</f>
        <v/>
      </c>
      <c r="CB945" s="448" t="str">
        <f>_xlfn.IFNA(VLOOKUP($BK945,Programma!$F$3:$W$1101,18,0),"")</f>
        <v/>
      </c>
      <c r="CC945" s="448" t="str">
        <f>_xlfn.IFNA(VLOOKUP($BK945,Programma!$F$3:$X$1101,19,0),"")</f>
        <v/>
      </c>
      <c r="CD945" s="448" t="str">
        <f>_xlfn.IFNA(VLOOKUP($BK945,Programma!$F$3:$Y$1101,20,0),"")</f>
        <v/>
      </c>
    </row>
    <row r="946" spans="1:82" ht="15" customHeight="1">
      <c r="A946" s="327">
        <v>25</v>
      </c>
      <c r="B946" s="435" t="str">
        <f>VLOOKUP(Ruimtestaat[[#This Row],[Code]],Locaties[[Code]:[Locatie]],2,FALSE)</f>
        <v>IKC De Piramide</v>
      </c>
      <c r="C946" s="435" t="str">
        <f>VLOOKUP(Ruimtestaat[[#This Row],[Code]],Locaties[[#All],[Code]:[Adres]],4,FALSE)</f>
        <v>Fivelingo 84</v>
      </c>
      <c r="D946" s="435" t="str">
        <f>VLOOKUP(Ruimtestaat[[#This Row],[Code]],Locaties[[#All],[Code]:[Postcode]],5,FALSE)</f>
        <v>2716 BG</v>
      </c>
      <c r="E946" s="435" t="str">
        <f>VLOOKUP(Ruimtestaat[[#This Row],[Code]],Locaties[#All],6,FALSE)</f>
        <v>Zoetermeer</v>
      </c>
      <c r="F946" s="450" t="s">
        <v>1659</v>
      </c>
      <c r="G946" s="330" t="s">
        <v>1678</v>
      </c>
      <c r="H946" s="330" t="s">
        <v>1892</v>
      </c>
      <c r="I946" s="450" t="s">
        <v>1842</v>
      </c>
      <c r="J946" s="330">
        <v>8</v>
      </c>
      <c r="K946" s="450" t="str">
        <f>VLOOKUP(Ruimtestaat[[#This Row],[Ruimte code]],Ruimtegroepen[[#All],[Code]:[Ruimte omschrijving]],2,FALSE)</f>
        <v>Kinderopvang</v>
      </c>
      <c r="L946" s="434" t="s">
        <v>99</v>
      </c>
      <c r="M946" s="437" t="s">
        <v>36</v>
      </c>
      <c r="N946" s="439"/>
      <c r="O946" s="456"/>
      <c r="P946" s="456"/>
      <c r="Q946" s="456">
        <v>51</v>
      </c>
      <c r="R946" s="440" t="str">
        <f>VLOOKUP(Ruimtestaat[[#This Row],[Ruimte code]],Ruimtegroepen[],4,FALSE)</f>
        <v>Le</v>
      </c>
      <c r="S946" s="434">
        <v>51</v>
      </c>
      <c r="T946" s="434" t="s">
        <v>2</v>
      </c>
      <c r="U946" s="453">
        <f>IF(S946&gt;0,IF(RIGHT(Ruimtestaat[[#This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V946" s="434">
        <f>IF(U946&gt;0,VLOOKUP($J946,Ruimtegroepen[],3,FALSE)*VLOOKUP($L946,Vloersoorten[],3,FALSE)*VLOOKUP($T946,Frequenties[],3,FALSE)*VLOOKUP($A946,Locaties[],3,FALSE),0)</f>
        <v>0</v>
      </c>
      <c r="W946" s="434">
        <f>Ruimtestaat[[#This Row],[Uitvoeringen werkdagen]]*Ruimtestaat[[#This Row],[Oppervlak (netto)]]</f>
        <v>0</v>
      </c>
      <c r="X946" s="441">
        <f>IF(V946&gt;0,Ruimtestaat[[#This Row],[Prest. (m2 /jaar) werkdagen]]/Ruimtestaat[[#This Row],[Norm (m2/uur) werkdagen]],0)</f>
        <v>0</v>
      </c>
      <c r="Y946" s="442">
        <f>Ruimtestaat[[#This Row],[Uitvoeringen werkdagen]]*Ruimtestaat[[#This Row],[Gedeeltelijk]]</f>
        <v>0</v>
      </c>
      <c r="Z946" s="443" t="e">
        <f>IF(U946&gt;0,Ruimtestaat[[#This Row],[Prest. (m2 / jaar) werkdagen gedeeld]]/Ruimtestaat[[#This Row],[Norm (m2/uur) werkdagen]],0)</f>
        <v>#DIV/0!</v>
      </c>
      <c r="AA946" s="441" t="e">
        <f>Ruimtestaat[[#This Row],[uren / jaar werkdagen gedeeld]]*Tariefsopbouw!$E$35</f>
        <v>#DIV/0!</v>
      </c>
      <c r="AB946" s="441">
        <f>Ruimtestaat[[#This Row],[Uitvoeringen werkdagen]]*Ruimtestaat[[#This Row],[BSO]]</f>
        <v>13005</v>
      </c>
      <c r="AC946" s="443" t="e">
        <f>IF(U946&gt;0,Ruimtestaat[[#This Row],[Prest. (m2 / jaar) werkdagen BSO]]/Ruimtestaat[[#This Row],[Norm (m2/uur) werkdagen]],0)</f>
        <v>#DIV/0!</v>
      </c>
      <c r="AD946" s="443" t="e">
        <f>Ruimtestaat[[#This Row],[uren / jaar werkdagen BSO]]*Tariefsopbouw!$E$35</f>
        <v>#DIV/0!</v>
      </c>
      <c r="AE946" s="444">
        <f>Ruimtestaat[[#This Row],[uren / jaar werkdagen]]*Tariefsopbouw!$E$35</f>
        <v>0</v>
      </c>
      <c r="AF946" s="454"/>
      <c r="AG946" s="455">
        <f>IF(Ruimtestaat[[#This Row],[Frequentie weekend]]&gt;0,VALUE(LEFT(AF946,1))*S946,0)</f>
        <v>0</v>
      </c>
      <c r="AH946" s="455">
        <f>IF($AG946&gt;0,VLOOKUP($J946,Ruimtegroepen[],3,FALSE)*VLOOKUP($L946,Vloersoorten[],3,FALSE)*VLOOKUP($AF946,Frequenties[],3,FALSE)*VLOOKUP(#REF!,Locaties[],3,FALSE),0)</f>
        <v>0</v>
      </c>
      <c r="AI946" s="434">
        <f>Ruimtestaat[[#This Row],[Uitvoeringen weekend]]*Ruimtestaat[[#This Row],[Oppervlak (netto)]]</f>
        <v>0</v>
      </c>
      <c r="AJ946" s="434">
        <f>IF(AH946&gt;0,Ruimtestaat[[#This Row],[Prest. (m2 /jaar) weekend]]/Ruimtestaat[[#This Row],[Norm (m2/uur) weekend]],0)</f>
        <v>0</v>
      </c>
      <c r="AK946" s="444">
        <f>Ruimtestaat[[#This Row],[uren / jaar weekend]]*Tariefsopbouw!$D$40</f>
        <v>0</v>
      </c>
      <c r="AL946" s="441">
        <f>Ruimtestaat[[#This Row],[Prest. (m2 /jaar) weekend]]+Ruimtestaat[[#This Row],[Prest. (m2 /jaar) werkdagen]]</f>
        <v>0</v>
      </c>
      <c r="AM946" s="441">
        <f>Ruimtestaat[[#This Row],[uren / jaar weekend]]+Ruimtestaat[[#This Row],[uren / jaar werkdagen]]</f>
        <v>0</v>
      </c>
      <c r="AN946" s="446">
        <f>Ruimtestaat[[#This Row],[kosten / jaar weekend]]+Ruimtestaat[[#This Row],[kosten / jaar werkdagen]]</f>
        <v>0</v>
      </c>
      <c r="AO946" s="446"/>
      <c r="AP946" s="446" t="str">
        <f>IF(Ruimtestaat[[#This Row],[Frequentie werkdagen]]="","",_xlfn.CONCAT(Ruimtestaat[[#This Row],[Ruimte code]],"-",Ruimtestaat[[#This Row],[Frequentie werkdagen]]," ",Ruimtestaat[[#This Row],[Vloer code]]))</f>
        <v>8-5w T</v>
      </c>
      <c r="AQ946" s="448" t="str">
        <f>_xlfn.IFNA(VLOOKUP($AP946,Programma!$F$3:$G$1101,2,0),"")</f>
        <v>_</v>
      </c>
      <c r="AR946" s="448" t="str">
        <f>_xlfn.IFNA(VLOOKUP($AP946,Programma!$F$3:$H$1101,3,0),"")</f>
        <v>5w</v>
      </c>
      <c r="AS946" s="448" t="str">
        <f>_xlfn.IFNA(VLOOKUP($AP946,Programma!$F$3:$I$1101,4,0),"")</f>
        <v>_</v>
      </c>
      <c r="AT946" s="448" t="str">
        <f>_xlfn.IFNA(VLOOKUP($AP946,Programma!$F$3:$J$1101,5,0),"")</f>
        <v>_</v>
      </c>
      <c r="AU946" s="448" t="str">
        <f>_xlfn.IFNA(VLOOKUP($AP946,Programma!$F$3:$K$1101,6,0),"")</f>
        <v>_</v>
      </c>
      <c r="AV946" s="448" t="str">
        <f>_xlfn.IFNA(VLOOKUP($AP946,Programma!$F$3:$L$1101,7,0),"")</f>
        <v>_</v>
      </c>
      <c r="AW946" s="448" t="str">
        <f>_xlfn.IFNA(VLOOKUP($AP946,Programma!$F$3:$M$1101,8,0),"")</f>
        <v>_</v>
      </c>
      <c r="AX946" s="448" t="str">
        <f>_xlfn.IFNA(VLOOKUP($AP946,Programma!$F$3:$N$1101,9,0),"")</f>
        <v>_</v>
      </c>
      <c r="AY946" s="448" t="str">
        <f>_xlfn.IFNA(VLOOKUP($AP946,Programma!$F$3:$O$1101,10,0),"")</f>
        <v>5w</v>
      </c>
      <c r="AZ946" s="448" t="str">
        <f>_xlfn.IFNA(VLOOKUP($AP946,Programma!$F$3:$P$1101,11,0),"")</f>
        <v>5w</v>
      </c>
      <c r="BA946" s="448" t="str">
        <f>_xlfn.IFNA(VLOOKUP($AP946,Programma!$F$3:$Q$1101,12,0),"")</f>
        <v>1w</v>
      </c>
      <c r="BB946" s="448" t="str">
        <f>_xlfn.IFNA(VLOOKUP($AP946,Programma!$F$3:$R$1101,13,0),"")</f>
        <v>1w</v>
      </c>
      <c r="BC946" s="448" t="str">
        <f>_xlfn.IFNA(VLOOKUP($AP946,Programma!$F$3:$S$1101,14,0),"")</f>
        <v>1m</v>
      </c>
      <c r="BD946" s="448" t="str">
        <f>_xlfn.IFNA(VLOOKUP($AP946,Programma!$F$3:$T$1101,15,0),"")</f>
        <v>2j</v>
      </c>
      <c r="BE946" s="448" t="str">
        <f>_xlfn.IFNA(VLOOKUP($AP946,Programma!$F$3:$U$1101,16,0),"")</f>
        <v>1j</v>
      </c>
      <c r="BF946" s="448" t="str">
        <f>_xlfn.IFNA(VLOOKUP($AP946,Programma!$F$3:$V$1101,17,0),"")</f>
        <v>_</v>
      </c>
      <c r="BG946" s="448" t="str">
        <f>_xlfn.IFNA(VLOOKUP($AP946,Programma!$F$3:$W$1101,18,0),"")</f>
        <v>_</v>
      </c>
      <c r="BH946" s="448" t="str">
        <f>_xlfn.IFNA(VLOOKUP($AP946,Programma!$F$3:$X$1101,19,0),"")</f>
        <v>_</v>
      </c>
      <c r="BI946" s="448" t="str">
        <f>_xlfn.IFNA(VLOOKUP($AP946,Programma!$F$3:$Y$1101,20,0),"")</f>
        <v>_</v>
      </c>
      <c r="BJ946" s="449"/>
      <c r="BK946" s="446" t="str">
        <f>IF(Ruimtestaat[[#This Row],[Frequentie weekend]]="","",_xlfn.CONCAT(Ruimtestaat[[#This Row],[Ruimte code]],"-",Ruimtestaat[[#This Row],[Frequentie weekend]]," ",Ruimtestaat[[#This Row],[Vloer code]]))</f>
        <v/>
      </c>
      <c r="BL946" s="448" t="str">
        <f>_xlfn.IFNA(VLOOKUP($BK946,Programma!$F$3:$G$1101,2,0),"")</f>
        <v/>
      </c>
      <c r="BM946" s="448" t="str">
        <f>_xlfn.IFNA(VLOOKUP($BK946,Programma!$F$3:$H$1101,3,0),"")</f>
        <v/>
      </c>
      <c r="BN946" s="448" t="str">
        <f>_xlfn.IFNA(VLOOKUP($BK946,Programma!$F$3:$I$1101,4,0),"")</f>
        <v/>
      </c>
      <c r="BO946" s="448" t="str">
        <f>_xlfn.IFNA(VLOOKUP($BK946,Programma!$F$3:$J$1101,5,0),"")</f>
        <v/>
      </c>
      <c r="BP946" s="448" t="str">
        <f>_xlfn.IFNA(VLOOKUP($BK946,Programma!$F$3:$K$1101,6,0),"")</f>
        <v/>
      </c>
      <c r="BQ946" s="448" t="str">
        <f>_xlfn.IFNA(VLOOKUP($BK946,Programma!$F$3:$L$1101,7,0),"")</f>
        <v/>
      </c>
      <c r="BR946" s="448" t="str">
        <f>_xlfn.IFNA(VLOOKUP($BK946,Programma!$F$3:$M$1101,8,0),"")</f>
        <v/>
      </c>
      <c r="BS946" s="448" t="str">
        <f>_xlfn.IFNA(VLOOKUP($BK946,Programma!$F$3:$N$1101,9,0),"")</f>
        <v/>
      </c>
      <c r="BT946" s="448" t="str">
        <f>_xlfn.IFNA(VLOOKUP($BK946,Programma!$F$3:$O$1101,10,0),"")</f>
        <v/>
      </c>
      <c r="BU946" s="448" t="str">
        <f>_xlfn.IFNA(VLOOKUP($BK946,Programma!$F$3:$P$1101,11,0),"")</f>
        <v/>
      </c>
      <c r="BV946" s="448" t="str">
        <f>_xlfn.IFNA(VLOOKUP($BK946,Programma!$F$3:$Q$1101,12,0),"")</f>
        <v/>
      </c>
      <c r="BW946" s="448" t="str">
        <f>_xlfn.IFNA(VLOOKUP($BK946,Programma!$F$3:$R$1101,13,0),"")</f>
        <v/>
      </c>
      <c r="BX946" s="448" t="str">
        <f>_xlfn.IFNA(VLOOKUP($BK946,Programma!$F$3:$S$1101,14,0),"")</f>
        <v/>
      </c>
      <c r="BY946" s="448" t="str">
        <f>_xlfn.IFNA(VLOOKUP($BK946,Programma!$F$3:$T$1101,15,0),"")</f>
        <v/>
      </c>
      <c r="BZ946" s="448" t="str">
        <f>_xlfn.IFNA(VLOOKUP($BK946,Programma!$F$3:$U$1101,16,0),"")</f>
        <v/>
      </c>
      <c r="CA946" s="448" t="str">
        <f>_xlfn.IFNA(VLOOKUP($BK946,Programma!$F$3:$V$1101,17,0),"")</f>
        <v/>
      </c>
      <c r="CB946" s="448" t="str">
        <f>_xlfn.IFNA(VLOOKUP($BK946,Programma!$F$3:$W$1101,18,0),"")</f>
        <v/>
      </c>
      <c r="CC946" s="448" t="str">
        <f>_xlfn.IFNA(VLOOKUP($BK946,Programma!$F$3:$X$1101,19,0),"")</f>
        <v/>
      </c>
      <c r="CD946" s="448" t="str">
        <f>_xlfn.IFNA(VLOOKUP($BK946,Programma!$F$3:$Y$1101,20,0),"")</f>
        <v/>
      </c>
    </row>
  </sheetData>
  <sheetProtection algorithmName="SHA-512" hashValue="grtasWpwpCDzTi/5uI6H5Vw2n/SSkVWSfLjCsQP+8xVoi4DK1UbzYC76ToE42Q3Ho6CZwb4FMjtZuipSHsgpjg==" saltValue="LwGFdHG5MwBoIzq3oD9XTQ==" spinCount="100000" sheet="1" objects="1" scenarios="1" sort="0" autoFilter="0"/>
  <sortState xmlns:xlrd2="http://schemas.microsoft.com/office/spreadsheetml/2017/richdata2" ref="B17:T455">
    <sortCondition ref="F17:F455"/>
  </sortState>
  <mergeCells count="13">
    <mergeCell ref="A1:R1"/>
    <mergeCell ref="S1:AN1"/>
    <mergeCell ref="T3:AE3"/>
    <mergeCell ref="AF3:AK3"/>
    <mergeCell ref="AL3:AN3"/>
    <mergeCell ref="AQ2:BI2"/>
    <mergeCell ref="BL2:CD2"/>
    <mergeCell ref="AQ3:AX3"/>
    <mergeCell ref="AY3:BF3"/>
    <mergeCell ref="BG3:BI3"/>
    <mergeCell ref="BL3:BS3"/>
    <mergeCell ref="BT3:CA3"/>
    <mergeCell ref="CB3:CD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32"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135"/>
  <sheetViews>
    <sheetView showGridLines="0" view="pageBreakPreview" zoomScaleNormal="100" zoomScaleSheetLayoutView="100" workbookViewId="0">
      <selection activeCell="D12" sqref="D12"/>
    </sheetView>
  </sheetViews>
  <sheetFormatPr defaultColWidth="9.140625" defaultRowHeight="15" customHeight="1"/>
  <cols>
    <col min="1" max="1" width="9.7109375" style="28" customWidth="1"/>
    <col min="2" max="2" width="56.28515625" style="28" customWidth="1"/>
    <col min="3" max="3" width="14.85546875" style="30" customWidth="1"/>
    <col min="4" max="4" width="62" style="28" customWidth="1"/>
    <col min="5" max="5" width="17.7109375" style="28" bestFit="1" customWidth="1"/>
    <col min="6" max="6" width="17.7109375" style="90" bestFit="1" customWidth="1"/>
    <col min="7" max="7" width="17.7109375" style="28" bestFit="1" customWidth="1"/>
    <col min="8" max="8" width="18" style="28" bestFit="1" customWidth="1"/>
    <col min="9" max="9" width="19" style="28" customWidth="1"/>
    <col min="10" max="10" width="6.42578125" style="28" customWidth="1"/>
    <col min="11" max="11" width="9.140625" style="28"/>
    <col min="12" max="12" width="35.7109375" style="28" customWidth="1"/>
    <col min="13" max="13" width="15.85546875" style="28" customWidth="1"/>
    <col min="14" max="16384" width="9.140625" style="28"/>
  </cols>
  <sheetData>
    <row r="1" spans="1:13" s="26" customFormat="1" ht="26.25" customHeight="1">
      <c r="A1" s="280" t="s">
        <v>160</v>
      </c>
      <c r="B1" s="280"/>
      <c r="C1" s="280"/>
      <c r="D1" s="280"/>
      <c r="E1" s="280"/>
      <c r="F1" s="280"/>
      <c r="G1" s="280"/>
      <c r="H1" s="280"/>
    </row>
    <row r="2" spans="1:13" s="26" customFormat="1" ht="15" customHeight="1">
      <c r="A2" s="304" t="s">
        <v>1607</v>
      </c>
      <c r="B2" s="281"/>
      <c r="C2" s="281"/>
      <c r="D2" s="281"/>
      <c r="E2" s="281"/>
      <c r="F2" s="281"/>
      <c r="G2" s="281"/>
      <c r="H2" s="281"/>
    </row>
    <row r="3" spans="1:13" ht="15" customHeight="1">
      <c r="B3" s="30"/>
      <c r="C3" s="28"/>
      <c r="D3" s="88"/>
      <c r="E3" s="89"/>
    </row>
    <row r="4" spans="1:13" ht="15" customHeight="1">
      <c r="A4" s="28" t="s">
        <v>166</v>
      </c>
      <c r="B4" s="91"/>
      <c r="C4" s="91"/>
      <c r="D4" s="91"/>
      <c r="E4" s="91"/>
      <c r="F4" s="92"/>
      <c r="G4" s="93"/>
    </row>
    <row r="5" spans="1:13" ht="15" customHeight="1">
      <c r="A5" s="28" t="s">
        <v>220</v>
      </c>
      <c r="B5" s="91"/>
      <c r="C5" s="91"/>
      <c r="D5" s="91"/>
      <c r="E5" s="91"/>
      <c r="F5" s="92"/>
      <c r="G5" s="93"/>
    </row>
    <row r="6" spans="1:13" ht="15" customHeight="1">
      <c r="A6" s="28" t="s">
        <v>213</v>
      </c>
      <c r="B6" s="94"/>
      <c r="C6" s="95"/>
      <c r="D6" s="95"/>
      <c r="E6" s="95"/>
      <c r="F6" s="96"/>
    </row>
    <row r="7" spans="1:13" ht="15" customHeight="1">
      <c r="B7" s="94"/>
      <c r="C7" s="94"/>
      <c r="D7" s="97"/>
      <c r="E7" s="305" t="s">
        <v>242</v>
      </c>
      <c r="F7" s="305"/>
      <c r="G7" s="305"/>
      <c r="H7" s="305"/>
      <c r="I7" s="305"/>
      <c r="M7" s="98"/>
    </row>
    <row r="8" spans="1:13" s="29" customFormat="1" ht="26.25" customHeight="1">
      <c r="A8" s="248" t="s">
        <v>196</v>
      </c>
      <c r="B8" s="249" t="s">
        <v>150</v>
      </c>
      <c r="C8" s="250" t="s">
        <v>142</v>
      </c>
      <c r="D8" s="248" t="s">
        <v>1298</v>
      </c>
      <c r="E8" s="248" t="s">
        <v>1300</v>
      </c>
      <c r="F8" s="248" t="s">
        <v>1577</v>
      </c>
      <c r="G8" s="248" t="s">
        <v>1613</v>
      </c>
      <c r="H8" s="248" t="s">
        <v>1612</v>
      </c>
      <c r="I8" s="248" t="s">
        <v>2155</v>
      </c>
      <c r="M8" s="99"/>
    </row>
    <row r="9" spans="1:13" ht="15" customHeight="1">
      <c r="A9" s="105">
        <v>1</v>
      </c>
      <c r="B9" s="119" t="s">
        <v>155</v>
      </c>
      <c r="C9" s="463">
        <v>0</v>
      </c>
      <c r="D9" s="106" t="s">
        <v>151</v>
      </c>
      <c r="E9" s="100" t="e">
        <f>InvulVloer19[[#This Row],[Prijs]]*Tariefsopbouw!$I$37+InvulVloer19[[#This Row],[Prijs]]</f>
        <v>#DIV/0!</v>
      </c>
      <c r="F9" s="268" t="e">
        <f>InvulVloer19[[#This Row],[2028]]*Tariefsopbouw!$K$37+InvulVloer19[[#This Row],[2028]]</f>
        <v>#DIV/0!</v>
      </c>
      <c r="G9" s="268" t="e">
        <f>InvulVloer19[[#This Row],[2029]]*Tariefsopbouw!$M$37+InvulVloer19[[#This Row],[2029]]</f>
        <v>#DIV/0!</v>
      </c>
      <c r="H9" s="268" t="e">
        <f>InvulVloer19[[#This Row],[2030]]*Tariefsopbouw!$O$37+InvulVloer19[[#This Row],[2030]]</f>
        <v>#DIV/0!</v>
      </c>
      <c r="I9" s="268" t="e">
        <f>InvulVloer19[[#This Row],[2031]]*Tariefsopbouw!$Q$37+InvulVloer19[[#This Row],[2031]]</f>
        <v>#DIV/0!</v>
      </c>
      <c r="M9" s="98"/>
    </row>
    <row r="10" spans="1:13" ht="15" customHeight="1">
      <c r="A10" s="105">
        <v>2</v>
      </c>
      <c r="B10" s="119" t="s">
        <v>243</v>
      </c>
      <c r="C10" s="463">
        <v>0</v>
      </c>
      <c r="D10" s="106" t="s">
        <v>151</v>
      </c>
      <c r="E10" s="100" t="e">
        <f>InvulVloer19[[#This Row],[Prijs]]*Tariefsopbouw!$I$37+InvulVloer19[[#This Row],[Prijs]]</f>
        <v>#DIV/0!</v>
      </c>
      <c r="F10" s="100" t="e">
        <f>InvulVloer19[[#This Row],[2028]]*Tariefsopbouw!$K$37+InvulVloer19[[#This Row],[2028]]</f>
        <v>#DIV/0!</v>
      </c>
      <c r="G10" s="100" t="e">
        <f>InvulVloer19[[#This Row],[2029]]*Tariefsopbouw!$M$37+InvulVloer19[[#This Row],[2029]]</f>
        <v>#DIV/0!</v>
      </c>
      <c r="H10" s="100" t="e">
        <f>InvulVloer19[[#This Row],[2030]]*Tariefsopbouw!$O$37+InvulVloer19[[#This Row],[2030]]</f>
        <v>#DIV/0!</v>
      </c>
      <c r="I10" s="100" t="e">
        <f>InvulVloer19[[#This Row],[2031]]*Tariefsopbouw!$Q$37+InvulVloer19[[#This Row],[2031]]</f>
        <v>#DIV/0!</v>
      </c>
      <c r="M10" s="101"/>
    </row>
    <row r="11" spans="1:13" ht="15" customHeight="1">
      <c r="A11" s="105">
        <v>3</v>
      </c>
      <c r="B11" s="119" t="s">
        <v>156</v>
      </c>
      <c r="C11" s="463">
        <v>0</v>
      </c>
      <c r="D11" s="106" t="s">
        <v>152</v>
      </c>
      <c r="E11" s="100" t="e">
        <f>InvulVloer19[[#This Row],[Prijs]]*Tariefsopbouw!$I$37+InvulVloer19[[#This Row],[Prijs]]</f>
        <v>#DIV/0!</v>
      </c>
      <c r="F11" s="100" t="e">
        <f>InvulVloer19[[#This Row],[2028]]*Tariefsopbouw!$K$37+InvulVloer19[[#This Row],[2028]]</f>
        <v>#DIV/0!</v>
      </c>
      <c r="G11" s="100" t="e">
        <f>InvulVloer19[[#This Row],[2029]]*Tariefsopbouw!$M$37+InvulVloer19[[#This Row],[2029]]</f>
        <v>#DIV/0!</v>
      </c>
      <c r="H11" s="100" t="e">
        <f>InvulVloer19[[#This Row],[2030]]*Tariefsopbouw!$O$37+InvulVloer19[[#This Row],[2030]]</f>
        <v>#DIV/0!</v>
      </c>
      <c r="I11" s="100" t="e">
        <f>InvulVloer19[[#This Row],[2031]]*Tariefsopbouw!$Q$37+InvulVloer19[[#This Row],[2031]]</f>
        <v>#DIV/0!</v>
      </c>
      <c r="M11" s="102"/>
    </row>
    <row r="12" spans="1:13" ht="15" customHeight="1">
      <c r="A12" s="105">
        <v>4</v>
      </c>
      <c r="B12" s="119" t="s">
        <v>244</v>
      </c>
      <c r="C12" s="463">
        <v>0</v>
      </c>
      <c r="D12" s="106" t="s">
        <v>151</v>
      </c>
      <c r="E12" s="100" t="e">
        <f>InvulVloer19[[#This Row],[Prijs]]*Tariefsopbouw!$I$37+InvulVloer19[[#This Row],[Prijs]]</f>
        <v>#DIV/0!</v>
      </c>
      <c r="F12" s="100" t="e">
        <f>InvulVloer19[[#This Row],[2028]]*Tariefsopbouw!$K$37+InvulVloer19[[#This Row],[2028]]</f>
        <v>#DIV/0!</v>
      </c>
      <c r="G12" s="100" t="e">
        <f>InvulVloer19[[#This Row],[2029]]*Tariefsopbouw!$M$37+InvulVloer19[[#This Row],[2029]]</f>
        <v>#DIV/0!</v>
      </c>
      <c r="H12" s="100" t="e">
        <f>InvulVloer19[[#This Row],[2030]]*Tariefsopbouw!$O$37+InvulVloer19[[#This Row],[2030]]</f>
        <v>#DIV/0!</v>
      </c>
      <c r="I12" s="100" t="e">
        <f>InvulVloer19[[#This Row],[2031]]*Tariefsopbouw!$Q$37+InvulVloer19[[#This Row],[2031]]</f>
        <v>#DIV/0!</v>
      </c>
    </row>
    <row r="13" spans="1:13" ht="15" customHeight="1">
      <c r="A13" s="105">
        <v>5</v>
      </c>
      <c r="B13" s="119" t="s">
        <v>245</v>
      </c>
      <c r="C13" s="463">
        <v>0</v>
      </c>
      <c r="D13" s="106" t="s">
        <v>151</v>
      </c>
      <c r="E13" s="100" t="e">
        <f>InvulVloer19[[#This Row],[Prijs]]*Tariefsopbouw!$I$37+InvulVloer19[[#This Row],[Prijs]]</f>
        <v>#DIV/0!</v>
      </c>
      <c r="F13" s="100" t="e">
        <f>InvulVloer19[[#This Row],[2028]]*Tariefsopbouw!$K$37+InvulVloer19[[#This Row],[2028]]</f>
        <v>#DIV/0!</v>
      </c>
      <c r="G13" s="100" t="e">
        <f>InvulVloer19[[#This Row],[2029]]*Tariefsopbouw!$M$37+InvulVloer19[[#This Row],[2029]]</f>
        <v>#DIV/0!</v>
      </c>
      <c r="H13" s="100" t="e">
        <f>InvulVloer19[[#This Row],[2030]]*Tariefsopbouw!$O$37+InvulVloer19[[#This Row],[2030]]</f>
        <v>#DIV/0!</v>
      </c>
      <c r="I13" s="100" t="e">
        <f>InvulVloer19[[#This Row],[2031]]*Tariefsopbouw!$Q$37+InvulVloer19[[#This Row],[2031]]</f>
        <v>#DIV/0!</v>
      </c>
    </row>
    <row r="14" spans="1:13" ht="15" customHeight="1">
      <c r="A14" s="105">
        <v>6</v>
      </c>
      <c r="B14" s="119" t="s">
        <v>157</v>
      </c>
      <c r="C14" s="463">
        <v>0</v>
      </c>
      <c r="D14" s="106" t="s">
        <v>151</v>
      </c>
      <c r="E14" s="100" t="e">
        <f>InvulVloer19[[#This Row],[Prijs]]*Tariefsopbouw!$I$37+InvulVloer19[[#This Row],[Prijs]]</f>
        <v>#DIV/0!</v>
      </c>
      <c r="F14" s="100" t="e">
        <f>InvulVloer19[[#This Row],[2028]]*Tariefsopbouw!$K$37+InvulVloer19[[#This Row],[2028]]</f>
        <v>#DIV/0!</v>
      </c>
      <c r="G14" s="100" t="e">
        <f>InvulVloer19[[#This Row],[2029]]*Tariefsopbouw!$M$37+InvulVloer19[[#This Row],[2029]]</f>
        <v>#DIV/0!</v>
      </c>
      <c r="H14" s="100" t="e">
        <f>InvulVloer19[[#This Row],[2030]]*Tariefsopbouw!$O$37+InvulVloer19[[#This Row],[2030]]</f>
        <v>#DIV/0!</v>
      </c>
      <c r="I14" s="100" t="e">
        <f>InvulVloer19[[#This Row],[2031]]*Tariefsopbouw!$Q$37+InvulVloer19[[#This Row],[2031]]</f>
        <v>#DIV/0!</v>
      </c>
    </row>
    <row r="15" spans="1:13" ht="15" customHeight="1">
      <c r="A15" s="105">
        <v>7</v>
      </c>
      <c r="B15" s="119" t="s">
        <v>1584</v>
      </c>
      <c r="C15" s="463">
        <v>0</v>
      </c>
      <c r="D15" s="106" t="s">
        <v>151</v>
      </c>
      <c r="E15" s="100" t="e">
        <f>InvulVloer19[[#This Row],[Prijs]]*Tariefsopbouw!$I$37+InvulVloer19[[#This Row],[Prijs]]</f>
        <v>#DIV/0!</v>
      </c>
      <c r="F15" s="269" t="e">
        <f>InvulVloer19[[#This Row],[2028]]*Tariefsopbouw!$K$37+InvulVloer19[[#This Row],[2028]]</f>
        <v>#DIV/0!</v>
      </c>
      <c r="G15" s="100" t="e">
        <f>InvulVloer19[[#This Row],[2029]]*Tariefsopbouw!$M$37+InvulVloer19[[#This Row],[2029]]</f>
        <v>#DIV/0!</v>
      </c>
      <c r="H15" s="100" t="e">
        <f>InvulVloer19[[#This Row],[2030]]*Tariefsopbouw!$O$37+InvulVloer19[[#This Row],[2030]]</f>
        <v>#DIV/0!</v>
      </c>
      <c r="I15" s="100" t="e">
        <f>InvulVloer19[[#This Row],[2031]]*Tariefsopbouw!$Q$37+InvulVloer19[[#This Row],[2031]]</f>
        <v>#DIV/0!</v>
      </c>
    </row>
    <row r="16" spans="1:13" ht="15" customHeight="1">
      <c r="A16" s="105">
        <v>8</v>
      </c>
      <c r="B16" s="106" t="s">
        <v>159</v>
      </c>
      <c r="C16" s="463">
        <v>0</v>
      </c>
      <c r="D16" s="106" t="s">
        <v>151</v>
      </c>
      <c r="E16" s="100" t="e">
        <f>InvulVloer19[[#This Row],[Prijs]]*Tariefsopbouw!$I$37+InvulVloer19[[#This Row],[Prijs]]</f>
        <v>#DIV/0!</v>
      </c>
      <c r="F16" s="100" t="e">
        <f>InvulVloer19[[#This Row],[2028]]*Tariefsopbouw!$K$37+InvulVloer19[[#This Row],[2028]]</f>
        <v>#DIV/0!</v>
      </c>
      <c r="G16" s="100" t="e">
        <f>InvulVloer19[[#This Row],[2029]]*Tariefsopbouw!$M$37+InvulVloer19[[#This Row],[2029]]</f>
        <v>#DIV/0!</v>
      </c>
      <c r="H16" s="100" t="e">
        <f>InvulVloer19[[#This Row],[2030]]*Tariefsopbouw!$O$37+InvulVloer19[[#This Row],[2030]]</f>
        <v>#DIV/0!</v>
      </c>
      <c r="I16" s="100" t="e">
        <f>InvulVloer19[[#This Row],[2031]]*Tariefsopbouw!$Q$37+InvulVloer19[[#This Row],[2031]]</f>
        <v>#DIV/0!</v>
      </c>
    </row>
    <row r="17" spans="1:13" ht="15" customHeight="1">
      <c r="A17" s="105">
        <v>9</v>
      </c>
      <c r="B17" s="271" t="s">
        <v>184</v>
      </c>
      <c r="C17" s="463">
        <v>0</v>
      </c>
      <c r="D17" s="106" t="s">
        <v>151</v>
      </c>
      <c r="E17" s="100" t="e">
        <f>InvulVloer19[[#This Row],[Prijs]]*Tariefsopbouw!$I$37+InvulVloer19[[#This Row],[Prijs]]</f>
        <v>#DIV/0!</v>
      </c>
      <c r="F17" s="100" t="e">
        <f>InvulVloer19[[#This Row],[2028]]*Tariefsopbouw!$K$37+InvulVloer19[[#This Row],[2028]]</f>
        <v>#DIV/0!</v>
      </c>
      <c r="G17" s="100" t="e">
        <f>InvulVloer19[[#This Row],[2029]]*Tariefsopbouw!$M$37+InvulVloer19[[#This Row],[2029]]</f>
        <v>#DIV/0!</v>
      </c>
      <c r="H17" s="100" t="e">
        <f>InvulVloer19[[#This Row],[2030]]*Tariefsopbouw!$O$37+InvulVloer19[[#This Row],[2030]]</f>
        <v>#DIV/0!</v>
      </c>
      <c r="I17" s="100" t="e">
        <f>InvulVloer19[[#This Row],[2031]]*Tariefsopbouw!$Q$37+InvulVloer19[[#This Row],[2031]]</f>
        <v>#DIV/0!</v>
      </c>
    </row>
    <row r="18" spans="1:13" ht="15" customHeight="1">
      <c r="A18" s="105">
        <v>10</v>
      </c>
      <c r="B18" s="271" t="s">
        <v>2118</v>
      </c>
      <c r="C18" s="463">
        <v>0</v>
      </c>
      <c r="D18" s="106" t="s">
        <v>151</v>
      </c>
      <c r="E18" s="267" t="e">
        <f>InvulVloer19[[#This Row],[Prijs]]*Tariefsopbouw!$I$37+InvulVloer19[[#This Row],[Prijs]]</f>
        <v>#DIV/0!</v>
      </c>
      <c r="F18" s="270" t="e">
        <f>InvulVloer19[[#This Row],[2028]]*Tariefsopbouw!$K$37+InvulVloer19[[#This Row],[2028]]</f>
        <v>#DIV/0!</v>
      </c>
      <c r="G18" s="267" t="e">
        <f>InvulVloer19[[#This Row],[2029]]*Tariefsopbouw!$M$37+InvulVloer19[[#This Row],[2029]]</f>
        <v>#DIV/0!</v>
      </c>
      <c r="H18" s="267" t="e">
        <f>InvulVloer19[[#This Row],[2030]]*Tariefsopbouw!$O$37+InvulVloer19[[#This Row],[2030]]</f>
        <v>#DIV/0!</v>
      </c>
      <c r="I18" s="267" t="e">
        <f>InvulVloer19[[#This Row],[2031]]*Tariefsopbouw!$Q$37+InvulVloer19[[#This Row],[2031]]</f>
        <v>#DIV/0!</v>
      </c>
    </row>
    <row r="19" spans="1:13" ht="15" customHeight="1">
      <c r="B19" s="30"/>
      <c r="E19" s="103"/>
      <c r="F19" s="104"/>
      <c r="G19" s="103"/>
      <c r="H19" s="103"/>
    </row>
    <row r="20" spans="1:13" s="71" customFormat="1" ht="26.25" customHeight="1">
      <c r="A20" s="248" t="s">
        <v>195</v>
      </c>
      <c r="B20" s="249" t="s">
        <v>135</v>
      </c>
      <c r="C20" s="250" t="s">
        <v>196</v>
      </c>
      <c r="D20" s="248" t="s">
        <v>225</v>
      </c>
      <c r="E20" s="248" t="s">
        <v>153</v>
      </c>
      <c r="F20" s="248" t="s">
        <v>154</v>
      </c>
      <c r="G20" s="248" t="s">
        <v>158</v>
      </c>
      <c r="H20" s="248" t="s">
        <v>137</v>
      </c>
      <c r="I20" s="248" t="s">
        <v>1260</v>
      </c>
    </row>
    <row r="21" spans="1:13" ht="15" customHeight="1">
      <c r="A21" s="105">
        <v>1</v>
      </c>
      <c r="B21" s="106" t="str">
        <f>VLOOKUP(OverzichtVloer20[[#This Row],[Code Locatie]],Locaties[],2,0)</f>
        <v>Hoofdkantoor OPOZ</v>
      </c>
      <c r="C21" s="105">
        <v>1</v>
      </c>
      <c r="D21" s="97" t="str">
        <f>IF(Vloeronderhoud!$C21&gt;0,VLOOKUP(Vloeronderhoud!$C21,$A$8:$B$18,2,FALSE),"")</f>
        <v>Sprayen/opblokken</v>
      </c>
      <c r="E21" s="108" t="s">
        <v>100</v>
      </c>
      <c r="F21" s="109">
        <f>SUMIFS('Ruimtestaat'!$N:$N,'Ruimtestaat'!L:L,Vloeronderhoud!E21,'Ruimtestaat'!A:A,Vloeronderhoud!A21)</f>
        <v>10.5</v>
      </c>
      <c r="G21" s="91">
        <v>1</v>
      </c>
      <c r="H21" s="110">
        <f>VLOOKUP(OverzichtVloer20[[#This Row],[Code Taak]],InvulVloer19[],3,3)*F21*G21</f>
        <v>0</v>
      </c>
      <c r="I21" s="111">
        <f>OverzichtVloer20[[#This Row],[Kosten/jaar excl. BTW]]*1.21</f>
        <v>0</v>
      </c>
      <c r="M21" s="98"/>
    </row>
    <row r="22" spans="1:13" ht="15" customHeight="1">
      <c r="A22" s="105">
        <v>1</v>
      </c>
      <c r="B22" s="106" t="str">
        <f>VLOOKUP(OverzichtVloer20[[#This Row],[Code Locatie]],Locaties[],2,0)</f>
        <v>Hoofdkantoor OPOZ</v>
      </c>
      <c r="C22" s="105">
        <v>2</v>
      </c>
      <c r="D22" s="97" t="str">
        <f>IF(Vloeronderhoud!$C22&gt;0,VLOOKUP(Vloeronderhoud!$C22,$A$8:$B$18,2,FALSE),"")</f>
        <v>Topstrippen en conserveren</v>
      </c>
      <c r="E22" s="108" t="s">
        <v>100</v>
      </c>
      <c r="F22" s="109">
        <f>SUMIFS('Ruimtestaat'!$N:$N,'Ruimtestaat'!L:L,Vloeronderhoud!E22,'Ruimtestaat'!A:A,Vloeronderhoud!A22)</f>
        <v>10.5</v>
      </c>
      <c r="G22" s="91">
        <v>1</v>
      </c>
      <c r="H22" s="110">
        <f>VLOOKUP(OverzichtVloer20[[#This Row],[Code Taak]],InvulVloer19[],3,3)*F22*G22</f>
        <v>0</v>
      </c>
      <c r="I22" s="111">
        <f>OverzichtVloer20[[#This Row],[Kosten/jaar excl. BTW]]*1.21</f>
        <v>0</v>
      </c>
      <c r="M22" s="98"/>
    </row>
    <row r="23" spans="1:13" ht="15" customHeight="1">
      <c r="A23" s="105">
        <v>1</v>
      </c>
      <c r="B23" s="106" t="str">
        <f>VLOOKUP(OverzichtVloer20[[#This Row],[Code Locatie]],Locaties[],2,0)</f>
        <v>Hoofdkantoor OPOZ</v>
      </c>
      <c r="C23" s="105">
        <v>3</v>
      </c>
      <c r="D23" s="97" t="str">
        <f>IF(Vloeronderhoud!$C23&gt;0,VLOOKUP(Vloeronderhoud!$C23,$A$8:$B$18,2,FALSE),"")</f>
        <v>Diepstrippen, sealen en conserveren</v>
      </c>
      <c r="E23" s="108" t="s">
        <v>100</v>
      </c>
      <c r="F23" s="109">
        <f>SUMIFS('Ruimtestaat'!$N:$N,'Ruimtestaat'!L:L,Vloeronderhoud!E23,'Ruimtestaat'!A:A,Vloeronderhoud!A23)</f>
        <v>10.5</v>
      </c>
      <c r="G23" s="91">
        <v>0.25</v>
      </c>
      <c r="H23" s="110">
        <f>VLOOKUP(OverzichtVloer20[[#This Row],[Code Taak]],InvulVloer19[],3,3)*F23*G23</f>
        <v>0</v>
      </c>
      <c r="I23" s="111">
        <f>OverzichtVloer20[[#This Row],[Kosten/jaar excl. BTW]]*1.21</f>
        <v>0</v>
      </c>
      <c r="M23" s="98"/>
    </row>
    <row r="24" spans="1:13" ht="14.25" customHeight="1">
      <c r="A24" s="105">
        <v>1</v>
      </c>
      <c r="B24" s="106" t="str">
        <f>VLOOKUP(OverzichtVloer20[[#This Row],[Code Locatie]],Locaties[],2,0)</f>
        <v>Hoofdkantoor OPOZ</v>
      </c>
      <c r="C24" s="105">
        <v>4</v>
      </c>
      <c r="D24" s="97" t="str">
        <f>IF(Vloeronderhoud!$C24&gt;0,VLOOKUP(Vloeronderhoud!$C24,$A$8:$B$18,2,FALSE),"")</f>
        <v>Tapijtreinigen, sproei-extractiemethode</v>
      </c>
      <c r="E24" s="108" t="s">
        <v>99</v>
      </c>
      <c r="F24" s="109">
        <f>SUMIFS('Ruimtestaat'!$N:$N,'Ruimtestaat'!L:L,Vloeronderhoud!E24,'Ruimtestaat'!A:A,Vloeronderhoud!A24)</f>
        <v>240</v>
      </c>
      <c r="G24" s="91">
        <v>1</v>
      </c>
      <c r="H24" s="110">
        <f>VLOOKUP(OverzichtVloer20[[#This Row],[Code Taak]],InvulVloer19[],3,3)*F24*G24</f>
        <v>0</v>
      </c>
      <c r="I24" s="111">
        <f>OverzichtVloer20[[#This Row],[Kosten/jaar excl. BTW]]*1.21</f>
        <v>0</v>
      </c>
      <c r="M24" s="98"/>
    </row>
    <row r="25" spans="1:13" ht="14.25" customHeight="1">
      <c r="A25" s="105">
        <v>1</v>
      </c>
      <c r="B25" s="106" t="str">
        <f>VLOOKUP(OverzichtVloer20[[#This Row],[Code Locatie]],Locaties[],2,0)</f>
        <v>Hoofdkantoor OPOZ</v>
      </c>
      <c r="C25" s="105">
        <v>9</v>
      </c>
      <c r="D25" s="97" t="str">
        <f>IF(Vloeronderhoud!$C25&gt;0,VLOOKUP(Vloeronderhoud!$C25,$A$8:$B$18,2,FALSE),"")</f>
        <v>Machinaal schrobben en droogzuigen</v>
      </c>
      <c r="E25" s="108" t="s">
        <v>101</v>
      </c>
      <c r="F25" s="109">
        <f>SUMIFS('Ruimtestaat'!$N:$N,'Ruimtestaat'!L:L,Vloeronderhoud!E25,'Ruimtestaat'!A:A,Vloeronderhoud!A25)</f>
        <v>6.5</v>
      </c>
      <c r="G25" s="91">
        <v>1</v>
      </c>
      <c r="H25" s="110">
        <f>VLOOKUP(OverzichtVloer20[[#This Row],[Code Taak]],InvulVloer19[],3,3)*F25*G25</f>
        <v>0</v>
      </c>
      <c r="I25" s="111">
        <f>OverzichtVloer20[[#This Row],[Kosten/jaar excl. BTW]]*1.21</f>
        <v>0</v>
      </c>
      <c r="M25" s="98"/>
    </row>
    <row r="26" spans="1:13" ht="14.25" customHeight="1">
      <c r="A26" s="105">
        <v>2</v>
      </c>
      <c r="B26" s="106" t="str">
        <f>VLOOKUP(OverzichtVloer20[[#This Row],[Code Locatie]],Locaties[],2,0)</f>
        <v>IKC  De Watersnip</v>
      </c>
      <c r="C26" s="105">
        <v>1</v>
      </c>
      <c r="D26" s="97" t="str">
        <f>IF(Vloeronderhoud!$C26&gt;0,VLOOKUP(Vloeronderhoud!$C26,$A$8:$B$18,2,FALSE),"")</f>
        <v>Sprayen/opblokken</v>
      </c>
      <c r="E26" s="108" t="s">
        <v>100</v>
      </c>
      <c r="F26" s="109">
        <f>SUMIFS('Ruimtestaat'!$N:$N,'Ruimtestaat'!L:L,Vloeronderhoud!E26,'Ruimtestaat'!A:A,Vloeronderhoud!A26)</f>
        <v>773</v>
      </c>
      <c r="G26" s="91">
        <v>1</v>
      </c>
      <c r="H26" s="110">
        <f>VLOOKUP(OverzichtVloer20[[#This Row],[Code Taak]],InvulVloer19[],3,3)*F26*G26</f>
        <v>0</v>
      </c>
      <c r="I26" s="111">
        <f>OverzichtVloer20[[#This Row],[Kosten/jaar excl. BTW]]*1.21</f>
        <v>0</v>
      </c>
      <c r="M26" s="98"/>
    </row>
    <row r="27" spans="1:13" ht="14.25" customHeight="1">
      <c r="A27" s="105">
        <v>2</v>
      </c>
      <c r="B27" s="106" t="str">
        <f>VLOOKUP(OverzichtVloer20[[#This Row],[Code Locatie]],Locaties[],2,0)</f>
        <v>IKC  De Watersnip</v>
      </c>
      <c r="C27" s="105">
        <v>2</v>
      </c>
      <c r="D27" s="97" t="str">
        <f>IF(Vloeronderhoud!$C27&gt;0,VLOOKUP(Vloeronderhoud!$C27,$A$8:$B$18,2,FALSE),"")</f>
        <v>Topstrippen en conserveren</v>
      </c>
      <c r="E27" s="108" t="s">
        <v>100</v>
      </c>
      <c r="F27" s="109">
        <f>SUMIFS('Ruimtestaat'!$N:$N,'Ruimtestaat'!L:L,Vloeronderhoud!E27,'Ruimtestaat'!A:A,Vloeronderhoud!A27)</f>
        <v>773</v>
      </c>
      <c r="G27" s="91">
        <v>1</v>
      </c>
      <c r="H27" s="110">
        <f>VLOOKUP(OverzichtVloer20[[#This Row],[Code Taak]],InvulVloer19[],3,3)*F27*G27</f>
        <v>0</v>
      </c>
      <c r="I27" s="111">
        <f>OverzichtVloer20[[#This Row],[Kosten/jaar excl. BTW]]*1.21</f>
        <v>0</v>
      </c>
      <c r="M27" s="98"/>
    </row>
    <row r="28" spans="1:13" ht="14.25" customHeight="1">
      <c r="A28" s="105">
        <v>2</v>
      </c>
      <c r="B28" s="106" t="str">
        <f>VLOOKUP(OverzichtVloer20[[#This Row],[Code Locatie]],Locaties[],2,0)</f>
        <v>IKC  De Watersnip</v>
      </c>
      <c r="C28" s="105">
        <v>3</v>
      </c>
      <c r="D28" s="97" t="str">
        <f>IF(Vloeronderhoud!$C28&gt;0,VLOOKUP(Vloeronderhoud!$C28,$A$8:$B$18,2,FALSE),"")</f>
        <v>Diepstrippen, sealen en conserveren</v>
      </c>
      <c r="E28" s="108" t="s">
        <v>100</v>
      </c>
      <c r="F28" s="109">
        <f>SUMIFS('Ruimtestaat'!$N:$N,'Ruimtestaat'!L:L,Vloeronderhoud!E28,'Ruimtestaat'!A:A,Vloeronderhoud!A28)</f>
        <v>773</v>
      </c>
      <c r="G28" s="91">
        <v>0.25</v>
      </c>
      <c r="H28" s="110">
        <f>VLOOKUP(OverzichtVloer20[[#This Row],[Code Taak]],InvulVloer19[],3,3)*F28*G28</f>
        <v>0</v>
      </c>
      <c r="I28" s="111">
        <f>OverzichtVloer20[[#This Row],[Kosten/jaar excl. BTW]]*1.21</f>
        <v>0</v>
      </c>
      <c r="M28" s="98"/>
    </row>
    <row r="29" spans="1:13" ht="14.25" customHeight="1">
      <c r="A29" s="105">
        <v>2</v>
      </c>
      <c r="B29" s="106" t="str">
        <f>VLOOKUP(OverzichtVloer20[[#This Row],[Code Locatie]],Locaties[],2,0)</f>
        <v>IKC  De Watersnip</v>
      </c>
      <c r="C29" s="105">
        <v>4</v>
      </c>
      <c r="D29" s="97" t="str">
        <f>IF(Vloeronderhoud!$C29&gt;0,VLOOKUP(Vloeronderhoud!$C29,$A$8:$B$18,2,FALSE),"")</f>
        <v>Tapijtreinigen, sproei-extractiemethode</v>
      </c>
      <c r="E29" s="108" t="s">
        <v>99</v>
      </c>
      <c r="F29" s="109">
        <f>SUMIFS('Ruimtestaat'!$N:$N,'Ruimtestaat'!L:L,Vloeronderhoud!E29,'Ruimtestaat'!A:A,Vloeronderhoud!A29)</f>
        <v>20</v>
      </c>
      <c r="G29" s="91">
        <v>1</v>
      </c>
      <c r="H29" s="110">
        <f>VLOOKUP(OverzichtVloer20[[#This Row],[Code Taak]],InvulVloer19[],3,3)*F29*G29</f>
        <v>0</v>
      </c>
      <c r="I29" s="111">
        <f>OverzichtVloer20[[#This Row],[Kosten/jaar excl. BTW]]*1.21</f>
        <v>0</v>
      </c>
      <c r="M29" s="98"/>
    </row>
    <row r="30" spans="1:13" ht="14.25" customHeight="1">
      <c r="A30" s="105">
        <v>2</v>
      </c>
      <c r="B30" s="106" t="str">
        <f>VLOOKUP(OverzichtVloer20[[#This Row],[Code Locatie]],Locaties[],2,0)</f>
        <v>IKC  De Watersnip</v>
      </c>
      <c r="C30" s="105">
        <v>9</v>
      </c>
      <c r="D30" s="97" t="str">
        <f>IF(Vloeronderhoud!$C30&gt;0,VLOOKUP(Vloeronderhoud!$C30,$A$8:$B$18,2,FALSE),"")</f>
        <v>Machinaal schrobben en droogzuigen</v>
      </c>
      <c r="E30" s="108" t="s">
        <v>101</v>
      </c>
      <c r="F30" s="109">
        <f>SUMIFS('Ruimtestaat'!$N:$N,'Ruimtestaat'!L:L,Vloeronderhoud!E30,'Ruimtestaat'!A:A,Vloeronderhoud!A30)</f>
        <v>20</v>
      </c>
      <c r="G30" s="91">
        <v>1</v>
      </c>
      <c r="H30" s="110">
        <f>VLOOKUP(OverzichtVloer20[[#This Row],[Code Taak]],InvulVloer19[],3,3)*F30*G30</f>
        <v>0</v>
      </c>
      <c r="I30" s="111">
        <f>OverzichtVloer20[[#This Row],[Kosten/jaar excl. BTW]]*1.21</f>
        <v>0</v>
      </c>
      <c r="M30" s="98"/>
    </row>
    <row r="31" spans="1:13" ht="14.25" customHeight="1">
      <c r="A31" s="105">
        <v>2</v>
      </c>
      <c r="B31" s="106" t="str">
        <f>VLOOKUP(OverzichtVloer20[[#This Row],[Code Locatie]],Locaties[],2,0)</f>
        <v>IKC  De Watersnip</v>
      </c>
      <c r="C31" s="105">
        <v>9</v>
      </c>
      <c r="D31" s="97" t="str">
        <f>IF(Vloeronderhoud!$C31&gt;0,VLOOKUP(Vloeronderhoud!$C31,$A$8:$B$18,2,FALSE),"")</f>
        <v>Machinaal schrobben en droogzuigen</v>
      </c>
      <c r="E31" s="108" t="s">
        <v>102</v>
      </c>
      <c r="F31" s="109">
        <f>SUMIFS('Ruimtestaat'!$N:$N,'Ruimtestaat'!L:L,Vloeronderhoud!E31,'Ruimtestaat'!A:A,Vloeronderhoud!A31)</f>
        <v>118</v>
      </c>
      <c r="G31" s="91">
        <v>1</v>
      </c>
      <c r="H31" s="110">
        <f>VLOOKUP(OverzichtVloer20[[#This Row],[Code Taak]],InvulVloer19[],3,3)*F31*G31</f>
        <v>0</v>
      </c>
      <c r="I31" s="111">
        <f>OverzichtVloer20[[#This Row],[Kosten/jaar excl. BTW]]*1.21</f>
        <v>0</v>
      </c>
      <c r="M31" s="98"/>
    </row>
    <row r="32" spans="1:13" ht="14.25" customHeight="1">
      <c r="A32" s="105">
        <v>3</v>
      </c>
      <c r="B32" s="106" t="str">
        <f>VLOOKUP(OverzichtVloer20[[#This Row],[Code Locatie]],Locaties[],2,0)</f>
        <v>IKC De Saffier</v>
      </c>
      <c r="C32" s="105">
        <v>1</v>
      </c>
      <c r="D32" s="97" t="str">
        <f>IF(Vloeronderhoud!$C32&gt;0,VLOOKUP(Vloeronderhoud!$C32,$A$8:$B$18,2,FALSE),"")</f>
        <v>Sprayen/opblokken</v>
      </c>
      <c r="E32" s="108" t="s">
        <v>100</v>
      </c>
      <c r="F32" s="109">
        <f>SUMIFS('Ruimtestaat'!$N:$N,'Ruimtestaat'!L:L,Vloeronderhoud!E32,'Ruimtestaat'!A:A,Vloeronderhoud!A32)</f>
        <v>437</v>
      </c>
      <c r="G32" s="91">
        <v>1</v>
      </c>
      <c r="H32" s="110">
        <f>VLOOKUP(OverzichtVloer20[[#This Row],[Code Taak]],InvulVloer19[],3,3)*F32*G32</f>
        <v>0</v>
      </c>
      <c r="I32" s="111">
        <f>OverzichtVloer20[[#This Row],[Kosten/jaar excl. BTW]]*1.21</f>
        <v>0</v>
      </c>
      <c r="M32" s="98"/>
    </row>
    <row r="33" spans="1:13" ht="14.25" customHeight="1">
      <c r="A33" s="105">
        <v>3</v>
      </c>
      <c r="B33" s="106" t="str">
        <f>VLOOKUP(OverzichtVloer20[[#This Row],[Code Locatie]],Locaties[],2,0)</f>
        <v>IKC De Saffier</v>
      </c>
      <c r="C33" s="105">
        <v>2</v>
      </c>
      <c r="D33" s="97" t="str">
        <f>IF(Vloeronderhoud!$C33&gt;0,VLOOKUP(Vloeronderhoud!$C33,$A$8:$B$18,2,FALSE),"")</f>
        <v>Topstrippen en conserveren</v>
      </c>
      <c r="E33" s="108" t="s">
        <v>100</v>
      </c>
      <c r="F33" s="109">
        <f>SUMIFS('Ruimtestaat'!$N:$N,'Ruimtestaat'!L:L,Vloeronderhoud!E33,'Ruimtestaat'!A:A,Vloeronderhoud!A33)</f>
        <v>437</v>
      </c>
      <c r="G33" s="91">
        <v>1</v>
      </c>
      <c r="H33" s="110">
        <f>VLOOKUP(OverzichtVloer20[[#This Row],[Code Taak]],InvulVloer19[],3,3)*F33*G33</f>
        <v>0</v>
      </c>
      <c r="I33" s="111">
        <f>OverzichtVloer20[[#This Row],[Kosten/jaar excl. BTW]]*1.21</f>
        <v>0</v>
      </c>
      <c r="M33" s="98"/>
    </row>
    <row r="34" spans="1:13" ht="14.25" customHeight="1">
      <c r="A34" s="105">
        <v>3</v>
      </c>
      <c r="B34" s="106" t="str">
        <f>VLOOKUP(OverzichtVloer20[[#This Row],[Code Locatie]],Locaties[],2,0)</f>
        <v>IKC De Saffier</v>
      </c>
      <c r="C34" s="105">
        <v>3</v>
      </c>
      <c r="D34" s="97" t="str">
        <f>IF(Vloeronderhoud!$C34&gt;0,VLOOKUP(Vloeronderhoud!$C34,$A$8:$B$18,2,FALSE),"")</f>
        <v>Diepstrippen, sealen en conserveren</v>
      </c>
      <c r="E34" s="108" t="s">
        <v>100</v>
      </c>
      <c r="F34" s="109">
        <f>SUMIFS('Ruimtestaat'!$N:$N,'Ruimtestaat'!L:L,Vloeronderhoud!E34,'Ruimtestaat'!A:A,Vloeronderhoud!A34)</f>
        <v>437</v>
      </c>
      <c r="G34" s="91">
        <v>0.25</v>
      </c>
      <c r="H34" s="110">
        <f>VLOOKUP(OverzichtVloer20[[#This Row],[Code Taak]],InvulVloer19[],3,3)*F34*G34</f>
        <v>0</v>
      </c>
      <c r="I34" s="111">
        <f>OverzichtVloer20[[#This Row],[Kosten/jaar excl. BTW]]*1.21</f>
        <v>0</v>
      </c>
      <c r="M34" s="98"/>
    </row>
    <row r="35" spans="1:13" ht="14.25" customHeight="1">
      <c r="A35" s="105">
        <v>3</v>
      </c>
      <c r="B35" s="106" t="str">
        <f>VLOOKUP(OverzichtVloer20[[#This Row],[Code Locatie]],Locaties[],2,0)</f>
        <v>IKC De Saffier</v>
      </c>
      <c r="C35" s="105">
        <v>4</v>
      </c>
      <c r="D35" s="97" t="str">
        <f>IF(Vloeronderhoud!$C35&gt;0,VLOOKUP(Vloeronderhoud!$C35,$A$8:$B$18,2,FALSE),"")</f>
        <v>Tapijtreinigen, sproei-extractiemethode</v>
      </c>
      <c r="E35" s="108" t="s">
        <v>99</v>
      </c>
      <c r="F35" s="109">
        <f>SUMIFS('Ruimtestaat'!$N:$N,'Ruimtestaat'!L:L,Vloeronderhoud!E35,'Ruimtestaat'!A:A,Vloeronderhoud!A35)</f>
        <v>62</v>
      </c>
      <c r="G35" s="91">
        <v>1</v>
      </c>
      <c r="H35" s="110">
        <f>VLOOKUP(OverzichtVloer20[[#This Row],[Code Taak]],InvulVloer19[],3,3)*F35*G35</f>
        <v>0</v>
      </c>
      <c r="I35" s="111">
        <f>OverzichtVloer20[[#This Row],[Kosten/jaar excl. BTW]]*1.21</f>
        <v>0</v>
      </c>
      <c r="M35" s="98"/>
    </row>
    <row r="36" spans="1:13" ht="14.25" customHeight="1">
      <c r="A36" s="105">
        <v>3</v>
      </c>
      <c r="B36" s="106" t="str">
        <f>VLOOKUP(OverzichtVloer20[[#This Row],[Code Locatie]],Locaties[],2,0)</f>
        <v>IKC De Saffier</v>
      </c>
      <c r="C36" s="105">
        <v>9</v>
      </c>
      <c r="D36" s="97" t="str">
        <f>IF(Vloeronderhoud!$C36&gt;0,VLOOKUP(Vloeronderhoud!$C36,$A$8:$B$18,2,FALSE),"")</f>
        <v>Machinaal schrobben en droogzuigen</v>
      </c>
      <c r="E36" s="108" t="s">
        <v>102</v>
      </c>
      <c r="F36" s="109">
        <f>SUMIFS('Ruimtestaat'!$N:$N,'Ruimtestaat'!L:L,Vloeronderhoud!E36,'Ruimtestaat'!A:A,Vloeronderhoud!A36)</f>
        <v>20</v>
      </c>
      <c r="G36" s="91">
        <v>1</v>
      </c>
      <c r="H36" s="110">
        <f>VLOOKUP(OverzichtVloer20[[#This Row],[Code Taak]],InvulVloer19[],3,3)*F36*G36</f>
        <v>0</v>
      </c>
      <c r="I36" s="111">
        <f>OverzichtVloer20[[#This Row],[Kosten/jaar excl. BTW]]*1.21</f>
        <v>0</v>
      </c>
      <c r="M36" s="98"/>
    </row>
    <row r="37" spans="1:13" ht="14.25" customHeight="1">
      <c r="A37" s="105">
        <v>4</v>
      </c>
      <c r="B37" s="106" t="str">
        <f>VLOOKUP(OverzichtVloer20[[#This Row],[Code Locatie]],Locaties[],2,0)</f>
        <v>IKC De Waterlelie</v>
      </c>
      <c r="C37" s="105">
        <v>1</v>
      </c>
      <c r="D37" s="97" t="str">
        <f>IF(Vloeronderhoud!$C37&gt;0,VLOOKUP(Vloeronderhoud!$C37,$A$8:$B$18,2,FALSE),"")</f>
        <v>Sprayen/opblokken</v>
      </c>
      <c r="E37" s="108" t="s">
        <v>100</v>
      </c>
      <c r="F37" s="109">
        <f>SUMIFS('Ruimtestaat'!$N:$N,'Ruimtestaat'!L:L,Vloeronderhoud!E37,'Ruimtestaat'!A:A,Vloeronderhoud!A37)</f>
        <v>528.20000000000005</v>
      </c>
      <c r="G37" s="91">
        <v>1</v>
      </c>
      <c r="H37" s="110">
        <f>VLOOKUP(OverzichtVloer20[[#This Row],[Code Taak]],InvulVloer19[],3,3)*F37*G37</f>
        <v>0</v>
      </c>
      <c r="I37" s="111">
        <f>OverzichtVloer20[[#This Row],[Kosten/jaar excl. BTW]]*1.21</f>
        <v>0</v>
      </c>
      <c r="M37" s="98"/>
    </row>
    <row r="38" spans="1:13" ht="14.25" customHeight="1">
      <c r="A38" s="105">
        <v>4</v>
      </c>
      <c r="B38" s="106" t="str">
        <f>VLOOKUP(OverzichtVloer20[[#This Row],[Code Locatie]],Locaties[],2,0)</f>
        <v>IKC De Waterlelie</v>
      </c>
      <c r="C38" s="105">
        <v>2</v>
      </c>
      <c r="D38" s="97" t="str">
        <f>IF(Vloeronderhoud!$C38&gt;0,VLOOKUP(Vloeronderhoud!$C38,$A$8:$B$18,2,FALSE),"")</f>
        <v>Topstrippen en conserveren</v>
      </c>
      <c r="E38" s="108" t="s">
        <v>100</v>
      </c>
      <c r="F38" s="109">
        <f>SUMIFS('Ruimtestaat'!$N:$N,'Ruimtestaat'!L:L,Vloeronderhoud!E38,'Ruimtestaat'!A:A,Vloeronderhoud!A38)</f>
        <v>528.20000000000005</v>
      </c>
      <c r="G38" s="91">
        <v>1</v>
      </c>
      <c r="H38" s="110">
        <f>VLOOKUP(OverzichtVloer20[[#This Row],[Code Taak]],InvulVloer19[],3,3)*F38*G38</f>
        <v>0</v>
      </c>
      <c r="I38" s="111">
        <f>OverzichtVloer20[[#This Row],[Kosten/jaar excl. BTW]]*1.21</f>
        <v>0</v>
      </c>
      <c r="M38" s="98"/>
    </row>
    <row r="39" spans="1:13" ht="14.25" customHeight="1">
      <c r="A39" s="105">
        <v>4</v>
      </c>
      <c r="B39" s="106" t="str">
        <f>VLOOKUP(OverzichtVloer20[[#This Row],[Code Locatie]],Locaties[],2,0)</f>
        <v>IKC De Waterlelie</v>
      </c>
      <c r="C39" s="105">
        <v>3</v>
      </c>
      <c r="D39" s="97" t="str">
        <f>IF(Vloeronderhoud!$C39&gt;0,VLOOKUP(Vloeronderhoud!$C39,$A$8:$B$18,2,FALSE),"")</f>
        <v>Diepstrippen, sealen en conserveren</v>
      </c>
      <c r="E39" s="108" t="s">
        <v>100</v>
      </c>
      <c r="F39" s="109">
        <f>SUMIFS('Ruimtestaat'!$N:$N,'Ruimtestaat'!L:L,Vloeronderhoud!E39,'Ruimtestaat'!A:A,Vloeronderhoud!A39)</f>
        <v>528.20000000000005</v>
      </c>
      <c r="G39" s="91">
        <v>0.25</v>
      </c>
      <c r="H39" s="110">
        <f>VLOOKUP(OverzichtVloer20[[#This Row],[Code Taak]],InvulVloer19[],3,3)*F39*G39</f>
        <v>0</v>
      </c>
      <c r="I39" s="111">
        <f>OverzichtVloer20[[#This Row],[Kosten/jaar excl. BTW]]*1.21</f>
        <v>0</v>
      </c>
      <c r="M39" s="98"/>
    </row>
    <row r="40" spans="1:13" ht="14.25" customHeight="1">
      <c r="A40" s="105">
        <v>4</v>
      </c>
      <c r="B40" s="106" t="str">
        <f>VLOOKUP(OverzichtVloer20[[#This Row],[Code Locatie]],Locaties[],2,0)</f>
        <v>IKC De Waterlelie</v>
      </c>
      <c r="C40" s="105">
        <v>4</v>
      </c>
      <c r="D40" s="97" t="str">
        <f>IF(Vloeronderhoud!$C40&gt;0,VLOOKUP(Vloeronderhoud!$C40,$A$8:$B$18,2,FALSE),"")</f>
        <v>Tapijtreinigen, sproei-extractiemethode</v>
      </c>
      <c r="E40" s="108" t="s">
        <v>99</v>
      </c>
      <c r="F40" s="109">
        <f>SUMIFS('Ruimtestaat'!$N:$N,'Ruimtestaat'!L:L,Vloeronderhoud!E40,'Ruimtestaat'!A:A,Vloeronderhoud!A40)</f>
        <v>5.7</v>
      </c>
      <c r="G40" s="91">
        <v>1</v>
      </c>
      <c r="H40" s="110">
        <f>VLOOKUP(OverzichtVloer20[[#This Row],[Code Taak]],InvulVloer19[],3,3)*F40*G40</f>
        <v>0</v>
      </c>
      <c r="I40" s="111">
        <f>OverzichtVloer20[[#This Row],[Kosten/jaar excl. BTW]]*1.21</f>
        <v>0</v>
      </c>
      <c r="M40" s="98"/>
    </row>
    <row r="41" spans="1:13" ht="14.25" customHeight="1">
      <c r="A41" s="105">
        <v>5</v>
      </c>
      <c r="B41" s="106" t="str">
        <f>VLOOKUP(OverzichtVloer20[[#This Row],[Code Locatie]],Locaties[],2,0)</f>
        <v>IKC De Springplank</v>
      </c>
      <c r="C41" s="105">
        <v>1</v>
      </c>
      <c r="D41" s="97" t="str">
        <f>IF(Vloeronderhoud!$C41&gt;0,VLOOKUP(Vloeronderhoud!$C41,$A$8:$B$18,2,FALSE),"")</f>
        <v>Sprayen/opblokken</v>
      </c>
      <c r="E41" s="108" t="s">
        <v>100</v>
      </c>
      <c r="F41" s="109">
        <f>SUMIFS('Ruimtestaat'!$N:$N,'Ruimtestaat'!L:L,Vloeronderhoud!E41,'Ruimtestaat'!A:A,Vloeronderhoud!A41)</f>
        <v>549</v>
      </c>
      <c r="G41" s="91">
        <v>1</v>
      </c>
      <c r="H41" s="110">
        <f>VLOOKUP(OverzichtVloer20[[#This Row],[Code Taak]],InvulVloer19[],3,3)*F41*G41</f>
        <v>0</v>
      </c>
      <c r="I41" s="111">
        <f>OverzichtVloer20[[#This Row],[Kosten/jaar excl. BTW]]*1.21</f>
        <v>0</v>
      </c>
      <c r="M41" s="98"/>
    </row>
    <row r="42" spans="1:13" ht="14.25" customHeight="1">
      <c r="A42" s="105">
        <v>5</v>
      </c>
      <c r="B42" s="106" t="str">
        <f>VLOOKUP(OverzichtVloer20[[#This Row],[Code Locatie]],Locaties[],2,0)</f>
        <v>IKC De Springplank</v>
      </c>
      <c r="C42" s="105">
        <v>2</v>
      </c>
      <c r="D42" s="97" t="str">
        <f>IF(Vloeronderhoud!$C42&gt;0,VLOOKUP(Vloeronderhoud!$C42,$A$8:$B$18,2,FALSE),"")</f>
        <v>Topstrippen en conserveren</v>
      </c>
      <c r="E42" s="108" t="s">
        <v>100</v>
      </c>
      <c r="F42" s="109">
        <f>SUMIFS('Ruimtestaat'!$N:$N,'Ruimtestaat'!L:L,Vloeronderhoud!E42,'Ruimtestaat'!A:A,Vloeronderhoud!A42)</f>
        <v>549</v>
      </c>
      <c r="G42" s="91">
        <v>1</v>
      </c>
      <c r="H42" s="110">
        <f>VLOOKUP(OverzichtVloer20[[#This Row],[Code Taak]],InvulVloer19[],3,3)*F42*G42</f>
        <v>0</v>
      </c>
      <c r="I42" s="111">
        <f>OverzichtVloer20[[#This Row],[Kosten/jaar excl. BTW]]*1.21</f>
        <v>0</v>
      </c>
      <c r="M42" s="98"/>
    </row>
    <row r="43" spans="1:13" ht="14.25" customHeight="1">
      <c r="A43" s="105">
        <v>5</v>
      </c>
      <c r="B43" s="106" t="str">
        <f>VLOOKUP(OverzichtVloer20[[#This Row],[Code Locatie]],Locaties[],2,0)</f>
        <v>IKC De Springplank</v>
      </c>
      <c r="C43" s="105">
        <v>3</v>
      </c>
      <c r="D43" s="97" t="str">
        <f>IF(Vloeronderhoud!$C43&gt;0,VLOOKUP(Vloeronderhoud!$C43,$A$8:$B$18,2,FALSE),"")</f>
        <v>Diepstrippen, sealen en conserveren</v>
      </c>
      <c r="E43" s="108" t="s">
        <v>100</v>
      </c>
      <c r="F43" s="109">
        <f>SUMIFS('Ruimtestaat'!$N:$N,'Ruimtestaat'!L:L,Vloeronderhoud!E43,'Ruimtestaat'!A:A,Vloeronderhoud!A43)</f>
        <v>549</v>
      </c>
      <c r="G43" s="91">
        <v>0.25</v>
      </c>
      <c r="H43" s="110">
        <f>VLOOKUP(OverzichtVloer20[[#This Row],[Code Taak]],InvulVloer19[],3,3)*F43*G43</f>
        <v>0</v>
      </c>
      <c r="I43" s="111">
        <f>OverzichtVloer20[[#This Row],[Kosten/jaar excl. BTW]]*1.21</f>
        <v>0</v>
      </c>
      <c r="M43" s="98"/>
    </row>
    <row r="44" spans="1:13" ht="14.25" customHeight="1">
      <c r="A44" s="105">
        <v>5</v>
      </c>
      <c r="B44" s="106" t="str">
        <f>VLOOKUP(OverzichtVloer20[[#This Row],[Code Locatie]],Locaties[],2,0)</f>
        <v>IKC De Springplank</v>
      </c>
      <c r="C44" s="105">
        <v>4</v>
      </c>
      <c r="D44" s="97" t="str">
        <f>IF(Vloeronderhoud!$C44&gt;0,VLOOKUP(Vloeronderhoud!$C44,$A$8:$B$18,2,FALSE),"")</f>
        <v>Tapijtreinigen, sproei-extractiemethode</v>
      </c>
      <c r="E44" s="108" t="s">
        <v>99</v>
      </c>
      <c r="F44" s="109">
        <f>SUMIFS('Ruimtestaat'!$N:$N,'Ruimtestaat'!L:L,Vloeronderhoud!E44,'Ruimtestaat'!A:A,Vloeronderhoud!A44)</f>
        <v>72</v>
      </c>
      <c r="G44" s="91">
        <v>1</v>
      </c>
      <c r="H44" s="110">
        <f>VLOOKUP(OverzichtVloer20[[#This Row],[Code Taak]],InvulVloer19[],3,3)*F44*G44</f>
        <v>0</v>
      </c>
      <c r="I44" s="111">
        <f>OverzichtVloer20[[#This Row],[Kosten/jaar excl. BTW]]*1.21</f>
        <v>0</v>
      </c>
      <c r="M44" s="98"/>
    </row>
    <row r="45" spans="1:13" ht="14.25" customHeight="1">
      <c r="A45" s="105">
        <v>5</v>
      </c>
      <c r="B45" s="106" t="str">
        <f>VLOOKUP(OverzichtVloer20[[#This Row],[Code Locatie]],Locaties[],2,0)</f>
        <v>IKC De Springplank</v>
      </c>
      <c r="C45" s="105">
        <v>9</v>
      </c>
      <c r="D45" s="97" t="str">
        <f>IF(Vloeronderhoud!$C45&gt;0,VLOOKUP(Vloeronderhoud!$C45,$A$8:$B$18,2,FALSE),"")</f>
        <v>Machinaal schrobben en droogzuigen</v>
      </c>
      <c r="E45" s="108" t="s">
        <v>101</v>
      </c>
      <c r="F45" s="109">
        <f>SUMIFS('Ruimtestaat'!$N:$N,'Ruimtestaat'!L:L,Vloeronderhoud!E45,'Ruimtestaat'!A:A,Vloeronderhoud!A45)</f>
        <v>20</v>
      </c>
      <c r="G45" s="91">
        <v>1</v>
      </c>
      <c r="H45" s="110">
        <f>VLOOKUP(OverzichtVloer20[[#This Row],[Code Taak]],InvulVloer19[],3,3)*F45*G45</f>
        <v>0</v>
      </c>
      <c r="I45" s="111">
        <f>OverzichtVloer20[[#This Row],[Kosten/jaar excl. BTW]]*1.21</f>
        <v>0</v>
      </c>
      <c r="M45" s="98"/>
    </row>
    <row r="46" spans="1:13" ht="14.25" customHeight="1">
      <c r="A46" s="105">
        <v>5</v>
      </c>
      <c r="B46" s="106" t="str">
        <f>VLOOKUP(OverzichtVloer20[[#This Row],[Code Locatie]],Locaties[],2,0)</f>
        <v>IKC De Springplank</v>
      </c>
      <c r="C46" s="105">
        <v>9</v>
      </c>
      <c r="D46" s="97" t="str">
        <f>IF(Vloeronderhoud!$C46&gt;0,VLOOKUP(Vloeronderhoud!$C46,$A$8:$B$18,2,FALSE),"")</f>
        <v>Machinaal schrobben en droogzuigen</v>
      </c>
      <c r="E46" s="108" t="s">
        <v>102</v>
      </c>
      <c r="F46" s="109">
        <f>SUMIFS('Ruimtestaat'!$N:$N,'Ruimtestaat'!L:L,Vloeronderhoud!E46,'Ruimtestaat'!A:A,Vloeronderhoud!A46)</f>
        <v>93</v>
      </c>
      <c r="G46" s="91">
        <v>1</v>
      </c>
      <c r="H46" s="110">
        <f>VLOOKUP(OverzichtVloer20[[#This Row],[Code Taak]],InvulVloer19[],3,3)*F46*G46</f>
        <v>0</v>
      </c>
      <c r="I46" s="111">
        <f>OverzichtVloer20[[#This Row],[Kosten/jaar excl. BTW]]*1.21</f>
        <v>0</v>
      </c>
      <c r="M46" s="98"/>
    </row>
    <row r="47" spans="1:13" ht="15" customHeight="1">
      <c r="A47" s="105">
        <v>6</v>
      </c>
      <c r="B47" s="106" t="str">
        <f>VLOOKUP(OverzichtVloer20[[#This Row],[Code Locatie]],Locaties[],2,0)</f>
        <v>IKC Het Zwanenbos</v>
      </c>
      <c r="C47" s="105">
        <v>1</v>
      </c>
      <c r="D47" s="107" t="str">
        <f>IF(Vloeronderhoud!$C47&gt;0,VLOOKUP(Vloeronderhoud!$C47,$A$8:$B$18,2,FALSE),"")</f>
        <v>Sprayen/opblokken</v>
      </c>
      <c r="E47" s="108" t="s">
        <v>100</v>
      </c>
      <c r="F47" s="109">
        <f>SUMIFS('Ruimtestaat'!$N:$N,'Ruimtestaat'!L:L,Vloeronderhoud!E47,'Ruimtestaat'!A:A,Vloeronderhoud!A47)</f>
        <v>1269</v>
      </c>
      <c r="G47" s="91">
        <v>1</v>
      </c>
      <c r="H47" s="110">
        <f>VLOOKUP(OverzichtVloer20[[#This Row],[Code Taak]],InvulVloer19[],3,3)*F47*G47</f>
        <v>0</v>
      </c>
      <c r="I47" s="111">
        <f>OverzichtVloer20[[#This Row],[Kosten/jaar excl. BTW]]*1.21</f>
        <v>0</v>
      </c>
    </row>
    <row r="48" spans="1:13" ht="15" customHeight="1">
      <c r="A48" s="105">
        <v>6</v>
      </c>
      <c r="B48" s="106" t="str">
        <f>VLOOKUP(OverzichtVloer20[[#This Row],[Code Locatie]],Locaties[],2,0)</f>
        <v>IKC Het Zwanenbos</v>
      </c>
      <c r="C48" s="105">
        <v>2</v>
      </c>
      <c r="D48" s="107" t="str">
        <f>IF(Vloeronderhoud!$C48&gt;0,VLOOKUP(Vloeronderhoud!$C48,$A$8:$B$18,2,FALSE),"")</f>
        <v>Topstrippen en conserveren</v>
      </c>
      <c r="E48" s="108" t="s">
        <v>100</v>
      </c>
      <c r="F48" s="109">
        <f>SUMIFS('Ruimtestaat'!$N:$N,'Ruimtestaat'!L:L,Vloeronderhoud!E48,'Ruimtestaat'!A:A,Vloeronderhoud!A48)</f>
        <v>1269</v>
      </c>
      <c r="G48" s="91">
        <v>1</v>
      </c>
      <c r="H48" s="275">
        <f>VLOOKUP(OverzichtVloer20[[#This Row],[Code Taak]],InvulVloer19[],3,3)*F48*G48</f>
        <v>0</v>
      </c>
      <c r="I48" s="111">
        <f>OverzichtVloer20[[#This Row],[Kosten/jaar excl. BTW]]*1.21</f>
        <v>0</v>
      </c>
    </row>
    <row r="49" spans="1:9" ht="15" customHeight="1">
      <c r="A49" s="105">
        <v>6</v>
      </c>
      <c r="B49" s="106" t="str">
        <f>VLOOKUP(OverzichtVloer20[[#This Row],[Code Locatie]],Locaties[],2,0)</f>
        <v>IKC Het Zwanenbos</v>
      </c>
      <c r="C49" s="105">
        <v>3</v>
      </c>
      <c r="D49" s="107" t="str">
        <f>IF(Vloeronderhoud!$C49&gt;0,VLOOKUP(Vloeronderhoud!$C49,$A$8:$B$18,2,FALSE),"")</f>
        <v>Diepstrippen, sealen en conserveren</v>
      </c>
      <c r="E49" s="108" t="s">
        <v>100</v>
      </c>
      <c r="F49" s="109">
        <f>SUMIFS('Ruimtestaat'!$N:$N,'Ruimtestaat'!L:L,Vloeronderhoud!E49,'Ruimtestaat'!A:A,Vloeronderhoud!A49)</f>
        <v>1269</v>
      </c>
      <c r="G49" s="91">
        <v>0.25</v>
      </c>
      <c r="H49" s="110">
        <f>VLOOKUP(OverzichtVloer20[[#This Row],[Code Taak]],InvulVloer19[],3,3)*F49*G49</f>
        <v>0</v>
      </c>
      <c r="I49" s="111">
        <f>OverzichtVloer20[[#This Row],[Kosten/jaar excl. BTW]]*1.21</f>
        <v>0</v>
      </c>
    </row>
    <row r="50" spans="1:9" ht="15" customHeight="1">
      <c r="A50" s="105">
        <v>6</v>
      </c>
      <c r="B50" s="106" t="str">
        <f>VLOOKUP(OverzichtVloer20[[#This Row],[Code Locatie]],Locaties[],2,0)</f>
        <v>IKC Het Zwanenbos</v>
      </c>
      <c r="C50" s="105">
        <v>4</v>
      </c>
      <c r="D50" s="107" t="str">
        <f>IF(Vloeronderhoud!$C50&gt;0,VLOOKUP(Vloeronderhoud!$C50,$A$8:$B$18,2,FALSE),"")</f>
        <v>Tapijtreinigen, sproei-extractiemethode</v>
      </c>
      <c r="E50" s="108" t="s">
        <v>99</v>
      </c>
      <c r="F50" s="109">
        <f>SUMIFS('Ruimtestaat'!$N:$N,'Ruimtestaat'!L:L,Vloeronderhoud!E50,'Ruimtestaat'!A:A,Vloeronderhoud!A50)</f>
        <v>131</v>
      </c>
      <c r="G50" s="91">
        <v>1</v>
      </c>
      <c r="H50" s="110">
        <f>VLOOKUP(OverzichtVloer20[[#This Row],[Code Taak]],InvulVloer19[],3,3)*F50*G50</f>
        <v>0</v>
      </c>
      <c r="I50" s="111">
        <f>OverzichtVloer20[[#This Row],[Kosten/jaar excl. BTW]]*1.21</f>
        <v>0</v>
      </c>
    </row>
    <row r="51" spans="1:9" ht="15" customHeight="1">
      <c r="A51" s="105">
        <v>6</v>
      </c>
      <c r="B51" s="106" t="str">
        <f>VLOOKUP(OverzichtVloer20[[#This Row],[Code Locatie]],Locaties[],2,0)</f>
        <v>IKC Het Zwanenbos</v>
      </c>
      <c r="C51" s="105">
        <v>7</v>
      </c>
      <c r="D51" s="107" t="str">
        <f>IF(Vloeronderhoud!$C51&gt;0,VLOOKUP(Vloeronderhoud!$C51,$A$8:$B$18,2,FALSE),"")</f>
        <v>Olieen houten vloeren</v>
      </c>
      <c r="E51" s="108" t="s">
        <v>1309</v>
      </c>
      <c r="F51" s="109">
        <f>SUMIFS('Ruimtestaat'!$N:$N,'Ruimtestaat'!L:L,Vloeronderhoud!E51,'Ruimtestaat'!A:A,Vloeronderhoud!A51)</f>
        <v>14.4</v>
      </c>
      <c r="G51" s="91">
        <v>1</v>
      </c>
      <c r="H51" s="110">
        <f>VLOOKUP(OverzichtVloer20[[#This Row],[Code Taak]],InvulVloer19[],3,3)*F51*G51</f>
        <v>0</v>
      </c>
      <c r="I51" s="111">
        <f>OverzichtVloer20[[#This Row],[Kosten/jaar excl. BTW]]*1.21</f>
        <v>0</v>
      </c>
    </row>
    <row r="52" spans="1:9" ht="15" customHeight="1">
      <c r="A52" s="105">
        <v>6</v>
      </c>
      <c r="B52" s="106" t="str">
        <f>VLOOKUP(OverzichtVloer20[[#This Row],[Code Locatie]],Locaties[],2,0)</f>
        <v>IKC Het Zwanenbos</v>
      </c>
      <c r="C52" s="105">
        <v>9</v>
      </c>
      <c r="D52" s="107" t="str">
        <f>IF(Vloeronderhoud!$C52&gt;0,VLOOKUP(Vloeronderhoud!$C52,$A$8:$B$18,2,FALSE),"")</f>
        <v>Machinaal schrobben en droogzuigen</v>
      </c>
      <c r="E52" s="108" t="s">
        <v>102</v>
      </c>
      <c r="F52" s="109">
        <f>SUMIFS('Ruimtestaat'!$N:$N,'Ruimtestaat'!L:L,Vloeronderhoud!E52,'Ruimtestaat'!A:A,Vloeronderhoud!A52)</f>
        <v>99</v>
      </c>
      <c r="G52" s="91">
        <v>1</v>
      </c>
      <c r="H52" s="110">
        <f>VLOOKUP(OverzichtVloer20[[#This Row],[Code Taak]],InvulVloer19[],3,3)*F52*G52</f>
        <v>0</v>
      </c>
      <c r="I52" s="111">
        <f>OverzichtVloer20[[#This Row],[Kosten/jaar excl. BTW]]*1.21</f>
        <v>0</v>
      </c>
    </row>
    <row r="53" spans="1:9" ht="15" customHeight="1">
      <c r="A53" s="105">
        <v>7</v>
      </c>
      <c r="B53" s="106" t="str">
        <f>VLOOKUP(OverzichtVloer20[[#This Row],[Code Locatie]],Locaties[],2,0)</f>
        <v>IKC De Baanbreker</v>
      </c>
      <c r="C53" s="105">
        <v>1</v>
      </c>
      <c r="D53" s="107" t="str">
        <f>IF(Vloeronderhoud!$C53&gt;0,VLOOKUP(Vloeronderhoud!$C53,$A$8:$B$18,2,FALSE),"")</f>
        <v>Sprayen/opblokken</v>
      </c>
      <c r="E53" s="108" t="s">
        <v>100</v>
      </c>
      <c r="F53" s="109">
        <f>SUMIFS('Ruimtestaat'!$N:$N,'Ruimtestaat'!L:L,Vloeronderhoud!E53,'Ruimtestaat'!A:A,Vloeronderhoud!A53)</f>
        <v>991</v>
      </c>
      <c r="G53" s="91">
        <v>1</v>
      </c>
      <c r="H53" s="110">
        <f>VLOOKUP(OverzichtVloer20[[#This Row],[Code Taak]],InvulVloer19[],3,3)*F53*G53</f>
        <v>0</v>
      </c>
      <c r="I53" s="111">
        <f>OverzichtVloer20[[#This Row],[Kosten/jaar excl. BTW]]*1.21</f>
        <v>0</v>
      </c>
    </row>
    <row r="54" spans="1:9" ht="15" customHeight="1">
      <c r="A54" s="105">
        <v>7</v>
      </c>
      <c r="B54" s="106" t="str">
        <f>VLOOKUP(OverzichtVloer20[[#This Row],[Code Locatie]],Locaties[],2,0)</f>
        <v>IKC De Baanbreker</v>
      </c>
      <c r="C54" s="105">
        <v>2</v>
      </c>
      <c r="D54" s="107" t="str">
        <f>IF(Vloeronderhoud!$C54&gt;0,VLOOKUP(Vloeronderhoud!$C54,$A$8:$B$18,2,FALSE),"")</f>
        <v>Topstrippen en conserveren</v>
      </c>
      <c r="E54" s="108" t="s">
        <v>100</v>
      </c>
      <c r="F54" s="109">
        <f>SUMIFS('Ruimtestaat'!$N:$N,'Ruimtestaat'!L:L,Vloeronderhoud!E54,'Ruimtestaat'!A:A,Vloeronderhoud!A54)</f>
        <v>991</v>
      </c>
      <c r="G54" s="91">
        <v>1</v>
      </c>
      <c r="H54" s="110">
        <f>VLOOKUP(OverzichtVloer20[[#This Row],[Code Taak]],InvulVloer19[],3,3)*F54*G54</f>
        <v>0</v>
      </c>
      <c r="I54" s="111">
        <f>OverzichtVloer20[[#This Row],[Kosten/jaar excl. BTW]]*1.21</f>
        <v>0</v>
      </c>
    </row>
    <row r="55" spans="1:9" ht="15" customHeight="1">
      <c r="A55" s="105">
        <v>7</v>
      </c>
      <c r="B55" s="106" t="str">
        <f>VLOOKUP(OverzichtVloer20[[#This Row],[Code Locatie]],Locaties[],2,0)</f>
        <v>IKC De Baanbreker</v>
      </c>
      <c r="C55" s="105">
        <v>3</v>
      </c>
      <c r="D55" s="107" t="str">
        <f>IF(Vloeronderhoud!$C55&gt;0,VLOOKUP(Vloeronderhoud!$C55,$A$8:$B$18,2,FALSE),"")</f>
        <v>Diepstrippen, sealen en conserveren</v>
      </c>
      <c r="E55" s="108" t="s">
        <v>100</v>
      </c>
      <c r="F55" s="109">
        <f>SUMIFS('Ruimtestaat'!$N:$N,'Ruimtestaat'!L:L,Vloeronderhoud!E55,'Ruimtestaat'!A:A,Vloeronderhoud!A55)</f>
        <v>991</v>
      </c>
      <c r="G55" s="91">
        <v>0.25</v>
      </c>
      <c r="H55" s="110">
        <f>VLOOKUP(OverzichtVloer20[[#This Row],[Code Taak]],InvulVloer19[],3,3)*F55*G55</f>
        <v>0</v>
      </c>
      <c r="I55" s="111">
        <f>OverzichtVloer20[[#This Row],[Kosten/jaar excl. BTW]]*1.21</f>
        <v>0</v>
      </c>
    </row>
    <row r="56" spans="1:9" ht="15" customHeight="1">
      <c r="A56" s="105">
        <v>7</v>
      </c>
      <c r="B56" s="106" t="str">
        <f>VLOOKUP(OverzichtVloer20[[#This Row],[Code Locatie]],Locaties[],2,0)</f>
        <v>IKC De Baanbreker</v>
      </c>
      <c r="C56" s="105">
        <v>4</v>
      </c>
      <c r="D56" s="107" t="str">
        <f>IF(Vloeronderhoud!$C56&gt;0,VLOOKUP(Vloeronderhoud!$C56,$A$8:$B$18,2,FALSE),"")</f>
        <v>Tapijtreinigen, sproei-extractiemethode</v>
      </c>
      <c r="E56" s="108" t="s">
        <v>99</v>
      </c>
      <c r="F56" s="109">
        <f>SUMIFS('Ruimtestaat'!$N:$N,'Ruimtestaat'!L:L,Vloeronderhoud!E56,'Ruimtestaat'!A:A,Vloeronderhoud!A56)</f>
        <v>63</v>
      </c>
      <c r="G56" s="91">
        <v>1</v>
      </c>
      <c r="H56" s="110">
        <f>VLOOKUP(OverzichtVloer20[[#This Row],[Code Taak]],InvulVloer19[],3,3)*F56*G56</f>
        <v>0</v>
      </c>
      <c r="I56" s="111">
        <f>OverzichtVloer20[[#This Row],[Kosten/jaar excl. BTW]]*1.21</f>
        <v>0</v>
      </c>
    </row>
    <row r="57" spans="1:9" ht="15" customHeight="1">
      <c r="A57" s="105">
        <v>7</v>
      </c>
      <c r="B57" s="106" t="str">
        <f>VLOOKUP(OverzichtVloer20[[#This Row],[Code Locatie]],Locaties[],2,0)</f>
        <v>IKC De Baanbreker</v>
      </c>
      <c r="C57" s="105">
        <v>9</v>
      </c>
      <c r="D57" s="107" t="str">
        <f>IF(Vloeronderhoud!$C57&gt;0,VLOOKUP(Vloeronderhoud!$C57,$A$8:$B$18,2,FALSE),"")</f>
        <v>Machinaal schrobben en droogzuigen</v>
      </c>
      <c r="E57" s="108" t="s">
        <v>101</v>
      </c>
      <c r="F57" s="109">
        <f>SUMIFS('Ruimtestaat'!$N:$N,'Ruimtestaat'!L:L,Vloeronderhoud!E57,'Ruimtestaat'!A:A,Vloeronderhoud!A57)</f>
        <v>66.5</v>
      </c>
      <c r="G57" s="91">
        <v>1</v>
      </c>
      <c r="H57" s="110">
        <f>VLOOKUP(OverzichtVloer20[[#This Row],[Code Taak]],InvulVloer19[],3,3)*F57*G57</f>
        <v>0</v>
      </c>
      <c r="I57" s="111">
        <f>OverzichtVloer20[[#This Row],[Kosten/jaar excl. BTW]]*1.21</f>
        <v>0</v>
      </c>
    </row>
    <row r="58" spans="1:9" ht="15" customHeight="1">
      <c r="A58" s="105">
        <v>8</v>
      </c>
      <c r="B58" s="106" t="str">
        <f>VLOOKUP(OverzichtVloer20[[#This Row],[Code Locatie]],Locaties[],2,0)</f>
        <v>IKC De Trinoom</v>
      </c>
      <c r="C58" s="105">
        <v>1</v>
      </c>
      <c r="D58" s="107" t="str">
        <f>IF(Vloeronderhoud!$C58&gt;0,VLOOKUP(Vloeronderhoud!$C58,$A$8:$B$18,2,FALSE),"")</f>
        <v>Sprayen/opblokken</v>
      </c>
      <c r="E58" s="108" t="s">
        <v>100</v>
      </c>
      <c r="F58" s="109">
        <f>SUMIFS('Ruimtestaat'!$N:$N,'Ruimtestaat'!L:L,Vloeronderhoud!E58,'Ruimtestaat'!A:A,Vloeronderhoud!A58)</f>
        <v>1095</v>
      </c>
      <c r="G58" s="91">
        <v>1</v>
      </c>
      <c r="H58" s="110">
        <f>VLOOKUP(OverzichtVloer20[[#This Row],[Code Taak]],InvulVloer19[],3,3)*F58*G58</f>
        <v>0</v>
      </c>
      <c r="I58" s="111">
        <f>OverzichtVloer20[[#This Row],[Kosten/jaar excl. BTW]]*1.21</f>
        <v>0</v>
      </c>
    </row>
    <row r="59" spans="1:9" ht="15" customHeight="1">
      <c r="A59" s="105">
        <v>8</v>
      </c>
      <c r="B59" s="106" t="str">
        <f>VLOOKUP(OverzichtVloer20[[#This Row],[Code Locatie]],Locaties[],2,0)</f>
        <v>IKC De Trinoom</v>
      </c>
      <c r="C59" s="105">
        <v>2</v>
      </c>
      <c r="D59" s="107" t="str">
        <f>IF(Vloeronderhoud!$C59&gt;0,VLOOKUP(Vloeronderhoud!$C59,$A$8:$B$18,2,FALSE),"")</f>
        <v>Topstrippen en conserveren</v>
      </c>
      <c r="E59" s="108" t="s">
        <v>100</v>
      </c>
      <c r="F59" s="109">
        <f>SUMIFS('Ruimtestaat'!$N:$N,'Ruimtestaat'!L:L,Vloeronderhoud!E59,'Ruimtestaat'!A:A,Vloeronderhoud!A59)</f>
        <v>1095</v>
      </c>
      <c r="G59" s="91">
        <v>1</v>
      </c>
      <c r="H59" s="110">
        <f>VLOOKUP(OverzichtVloer20[[#This Row],[Code Taak]],InvulVloer19[],3,3)*F59*G59</f>
        <v>0</v>
      </c>
      <c r="I59" s="111">
        <f>OverzichtVloer20[[#This Row],[Kosten/jaar excl. BTW]]*1.21</f>
        <v>0</v>
      </c>
    </row>
    <row r="60" spans="1:9" ht="15" customHeight="1">
      <c r="A60" s="105">
        <v>8</v>
      </c>
      <c r="B60" s="106" t="str">
        <f>VLOOKUP(OverzichtVloer20[[#This Row],[Code Locatie]],Locaties[],2,0)</f>
        <v>IKC De Trinoom</v>
      </c>
      <c r="C60" s="105">
        <v>3</v>
      </c>
      <c r="D60" s="107" t="str">
        <f>IF(Vloeronderhoud!$C60&gt;0,VLOOKUP(Vloeronderhoud!$C60,$A$8:$B$18,2,FALSE),"")</f>
        <v>Diepstrippen, sealen en conserveren</v>
      </c>
      <c r="E60" s="108" t="s">
        <v>100</v>
      </c>
      <c r="F60" s="109">
        <f>SUMIFS('Ruimtestaat'!$N:$N,'Ruimtestaat'!L:L,Vloeronderhoud!E60,'Ruimtestaat'!A:A,Vloeronderhoud!A60)</f>
        <v>1095</v>
      </c>
      <c r="G60" s="91">
        <v>0.25</v>
      </c>
      <c r="H60" s="110">
        <f>VLOOKUP(OverzichtVloer20[[#This Row],[Code Taak]],InvulVloer19[],3,3)*F60*G60</f>
        <v>0</v>
      </c>
      <c r="I60" s="111">
        <f>OverzichtVloer20[[#This Row],[Kosten/jaar excl. BTW]]*1.21</f>
        <v>0</v>
      </c>
    </row>
    <row r="61" spans="1:9" ht="15" customHeight="1">
      <c r="A61" s="105">
        <v>8</v>
      </c>
      <c r="B61" s="106" t="str">
        <f>VLOOKUP(OverzichtVloer20[[#This Row],[Code Locatie]],Locaties[],2,0)</f>
        <v>IKC De Trinoom</v>
      </c>
      <c r="C61" s="105">
        <v>4</v>
      </c>
      <c r="D61" s="107" t="str">
        <f>IF(Vloeronderhoud!$C61&gt;0,VLOOKUP(Vloeronderhoud!$C61,$A$8:$B$18,2,FALSE),"")</f>
        <v>Tapijtreinigen, sproei-extractiemethode</v>
      </c>
      <c r="E61" s="108" t="s">
        <v>99</v>
      </c>
      <c r="F61" s="109">
        <f>SUMIFS('Ruimtestaat'!$N:$N,'Ruimtestaat'!L:L,Vloeronderhoud!E61,'Ruimtestaat'!A:A,Vloeronderhoud!A61)</f>
        <v>165</v>
      </c>
      <c r="G61" s="91">
        <v>1</v>
      </c>
      <c r="H61" s="110">
        <f>VLOOKUP(OverzichtVloer20[[#This Row],[Code Taak]],InvulVloer19[],3,3)*F61*G61</f>
        <v>0</v>
      </c>
      <c r="I61" s="111">
        <f>OverzichtVloer20[[#This Row],[Kosten/jaar excl. BTW]]*1.21</f>
        <v>0</v>
      </c>
    </row>
    <row r="62" spans="1:9" ht="15" customHeight="1">
      <c r="A62" s="105">
        <v>8</v>
      </c>
      <c r="B62" s="106" t="str">
        <f>VLOOKUP(OverzichtVloer20[[#This Row],[Code Locatie]],Locaties[],2,0)</f>
        <v>IKC De Trinoom</v>
      </c>
      <c r="C62" s="105">
        <v>9</v>
      </c>
      <c r="D62" s="107" t="str">
        <f>IF(Vloeronderhoud!$C62&gt;0,VLOOKUP(Vloeronderhoud!$C62,$A$8:$B$18,2,FALSE),"")</f>
        <v>Machinaal schrobben en droogzuigen</v>
      </c>
      <c r="E62" s="108" t="s">
        <v>101</v>
      </c>
      <c r="F62" s="109">
        <f>SUMIFS('Ruimtestaat'!$N:$N,'Ruimtestaat'!L:L,Vloeronderhoud!E62,'Ruimtestaat'!A:A,Vloeronderhoud!A62)</f>
        <v>22</v>
      </c>
      <c r="G62" s="91">
        <v>1</v>
      </c>
      <c r="H62" s="110">
        <f>VLOOKUP(OverzichtVloer20[[#This Row],[Code Taak]],InvulVloer19[],3,3)*F62*G62</f>
        <v>0</v>
      </c>
      <c r="I62" s="111">
        <f>OverzichtVloer20[[#This Row],[Kosten/jaar excl. BTW]]*1.21</f>
        <v>0</v>
      </c>
    </row>
    <row r="63" spans="1:9" ht="15" customHeight="1">
      <c r="A63" s="105">
        <v>9</v>
      </c>
      <c r="B63" s="106" t="str">
        <f>VLOOKUP(OverzichtVloer20[[#This Row],[Code Locatie]],Locaties[],2,0)</f>
        <v>IKC De Vijverburgh</v>
      </c>
      <c r="C63" s="105">
        <v>1</v>
      </c>
      <c r="D63" s="107" t="str">
        <f>IF(Vloeronderhoud!$C63&gt;0,VLOOKUP(Vloeronderhoud!$C63,$A$8:$B$18,2,FALSE),"")</f>
        <v>Sprayen/opblokken</v>
      </c>
      <c r="E63" s="108" t="s">
        <v>100</v>
      </c>
      <c r="F63" s="109">
        <f>SUMIFS('Ruimtestaat'!$N:$N,'Ruimtestaat'!L:L,Vloeronderhoud!E63,'Ruimtestaat'!A:A,Vloeronderhoud!A63)</f>
        <v>960</v>
      </c>
      <c r="G63" s="91">
        <v>1</v>
      </c>
      <c r="H63" s="110">
        <f>VLOOKUP(OverzichtVloer20[[#This Row],[Code Taak]],InvulVloer19[],3,3)*F63*G63</f>
        <v>0</v>
      </c>
      <c r="I63" s="111">
        <f>OverzichtVloer20[[#This Row],[Kosten/jaar excl. BTW]]*1.21</f>
        <v>0</v>
      </c>
    </row>
    <row r="64" spans="1:9" ht="15" customHeight="1">
      <c r="A64" s="105">
        <v>9</v>
      </c>
      <c r="B64" s="106" t="str">
        <f>VLOOKUP(OverzichtVloer20[[#This Row],[Code Locatie]],Locaties[],2,0)</f>
        <v>IKC De Vijverburgh</v>
      </c>
      <c r="C64" s="105">
        <v>2</v>
      </c>
      <c r="D64" s="107" t="str">
        <f>IF(Vloeronderhoud!$C64&gt;0,VLOOKUP(Vloeronderhoud!$C64,$A$8:$B$18,2,FALSE),"")</f>
        <v>Topstrippen en conserveren</v>
      </c>
      <c r="E64" s="108" t="s">
        <v>100</v>
      </c>
      <c r="F64" s="109">
        <f>SUMIFS('Ruimtestaat'!$N:$N,'Ruimtestaat'!L:L,Vloeronderhoud!E64,'Ruimtestaat'!A:A,Vloeronderhoud!A64)</f>
        <v>960</v>
      </c>
      <c r="G64" s="91">
        <v>1</v>
      </c>
      <c r="H64" s="110">
        <f>VLOOKUP(OverzichtVloer20[[#This Row],[Code Taak]],InvulVloer19[],3,3)*F64*G64</f>
        <v>0</v>
      </c>
      <c r="I64" s="111">
        <f>OverzichtVloer20[[#This Row],[Kosten/jaar excl. BTW]]*1.21</f>
        <v>0</v>
      </c>
    </row>
    <row r="65" spans="1:9" ht="15" customHeight="1">
      <c r="A65" s="105">
        <v>9</v>
      </c>
      <c r="B65" s="106" t="str">
        <f>VLOOKUP(OverzichtVloer20[[#This Row],[Code Locatie]],Locaties[],2,0)</f>
        <v>IKC De Vijverburgh</v>
      </c>
      <c r="C65" s="105">
        <v>3</v>
      </c>
      <c r="D65" s="107" t="str">
        <f>IF(Vloeronderhoud!$C65&gt;0,VLOOKUP(Vloeronderhoud!$C65,$A$8:$B$18,2,FALSE),"")</f>
        <v>Diepstrippen, sealen en conserveren</v>
      </c>
      <c r="E65" s="108" t="s">
        <v>100</v>
      </c>
      <c r="F65" s="109">
        <f>SUMIFS('Ruimtestaat'!$N:$N,'Ruimtestaat'!L:L,Vloeronderhoud!E65,'Ruimtestaat'!A:A,Vloeronderhoud!A65)</f>
        <v>960</v>
      </c>
      <c r="G65" s="91">
        <v>0.25</v>
      </c>
      <c r="H65" s="110">
        <f>VLOOKUP(OverzichtVloer20[[#This Row],[Code Taak]],InvulVloer19[],3,3)*F65*G65</f>
        <v>0</v>
      </c>
      <c r="I65" s="111">
        <f>OverzichtVloer20[[#This Row],[Kosten/jaar excl. BTW]]*1.21</f>
        <v>0</v>
      </c>
    </row>
    <row r="66" spans="1:9" ht="15" customHeight="1">
      <c r="A66" s="105">
        <v>9</v>
      </c>
      <c r="B66" s="106" t="str">
        <f>VLOOKUP(OverzichtVloer20[[#This Row],[Code Locatie]],Locaties[],2,0)</f>
        <v>IKC De Vijverburgh</v>
      </c>
      <c r="C66" s="105">
        <v>4</v>
      </c>
      <c r="D66" s="107" t="str">
        <f>IF(Vloeronderhoud!$C66&gt;0,VLOOKUP(Vloeronderhoud!$C66,$A$8:$B$18,2,FALSE),"")</f>
        <v>Tapijtreinigen, sproei-extractiemethode</v>
      </c>
      <c r="E66" s="108" t="s">
        <v>99</v>
      </c>
      <c r="F66" s="109">
        <f>SUMIFS('Ruimtestaat'!$N:$N,'Ruimtestaat'!L:L,Vloeronderhoud!E66,'Ruimtestaat'!A:A,Vloeronderhoud!A66)</f>
        <v>8</v>
      </c>
      <c r="G66" s="91">
        <v>1</v>
      </c>
      <c r="H66" s="110">
        <f>VLOOKUP(OverzichtVloer20[[#This Row],[Code Taak]],InvulVloer19[],3,3)*F66*G66</f>
        <v>0</v>
      </c>
      <c r="I66" s="111">
        <f>OverzichtVloer20[[#This Row],[Kosten/jaar excl. BTW]]*1.21</f>
        <v>0</v>
      </c>
    </row>
    <row r="67" spans="1:9" ht="15" customHeight="1">
      <c r="A67" s="105">
        <v>9</v>
      </c>
      <c r="B67" s="106" t="str">
        <f>VLOOKUP(OverzichtVloer20[[#This Row],[Code Locatie]],Locaties[],2,0)</f>
        <v>IKC De Vijverburgh</v>
      </c>
      <c r="C67" s="105">
        <v>7</v>
      </c>
      <c r="D67" s="107" t="str">
        <f>IF(Vloeronderhoud!$C67&gt;0,VLOOKUP(Vloeronderhoud!$C67,$A$8:$B$18,2,FALSE),"")</f>
        <v>Olieen houten vloeren</v>
      </c>
      <c r="E67" s="108" t="s">
        <v>1309</v>
      </c>
      <c r="F67" s="109">
        <f>SUMIFS('Ruimtestaat'!$N:$N,'Ruimtestaat'!L:L,Vloeronderhoud!E67,'Ruimtestaat'!A:A,Vloeronderhoud!A67)</f>
        <v>31</v>
      </c>
      <c r="G67" s="91">
        <v>1</v>
      </c>
      <c r="H67" s="110">
        <f>VLOOKUP(OverzichtVloer20[[#This Row],[Code Taak]],InvulVloer19[],3,3)*F67*G67</f>
        <v>0</v>
      </c>
      <c r="I67" s="111">
        <f>OverzichtVloer20[[#This Row],[Kosten/jaar excl. BTW]]*1.21</f>
        <v>0</v>
      </c>
    </row>
    <row r="68" spans="1:9" ht="15" customHeight="1">
      <c r="A68" s="105">
        <v>9</v>
      </c>
      <c r="B68" s="106" t="str">
        <f>VLOOKUP(OverzichtVloer20[[#This Row],[Code Locatie]],Locaties[],2,0)</f>
        <v>IKC De Vijverburgh</v>
      </c>
      <c r="C68" s="105">
        <v>9</v>
      </c>
      <c r="D68" s="107" t="str">
        <f>IF(Vloeronderhoud!$C68&gt;0,VLOOKUP(Vloeronderhoud!$C68,$A$8:$B$18,2,FALSE),"")</f>
        <v>Machinaal schrobben en droogzuigen</v>
      </c>
      <c r="E68" s="108" t="s">
        <v>101</v>
      </c>
      <c r="F68" s="109">
        <f>SUMIFS('Ruimtestaat'!$N:$N,'Ruimtestaat'!L:L,Vloeronderhoud!E68,'Ruimtestaat'!A:A,Vloeronderhoud!A68)</f>
        <v>39</v>
      </c>
      <c r="G68" s="91">
        <v>1</v>
      </c>
      <c r="H68" s="110">
        <f>VLOOKUP(OverzichtVloer20[[#This Row],[Code Taak]],InvulVloer19[],3,3)*F68*G68</f>
        <v>0</v>
      </c>
      <c r="I68" s="111">
        <f>OverzichtVloer20[[#This Row],[Kosten/jaar excl. BTW]]*1.21</f>
        <v>0</v>
      </c>
    </row>
    <row r="69" spans="1:9" ht="15" customHeight="1">
      <c r="A69" s="105">
        <v>9</v>
      </c>
      <c r="B69" s="106" t="str">
        <f>VLOOKUP(OverzichtVloer20[[#This Row],[Code Locatie]],Locaties[],2,0)</f>
        <v>IKC De Vijverburgh</v>
      </c>
      <c r="C69" s="105">
        <v>9</v>
      </c>
      <c r="D69" s="107" t="str">
        <f>IF(Vloeronderhoud!$C69&gt;0,VLOOKUP(Vloeronderhoud!$C69,$A$8:$B$18,2,FALSE),"")</f>
        <v>Machinaal schrobben en droogzuigen</v>
      </c>
      <c r="E69" s="108" t="s">
        <v>102</v>
      </c>
      <c r="F69" s="109">
        <f>SUMIFS('Ruimtestaat'!$N:$N,'Ruimtestaat'!L:L,Vloeronderhoud!E69,'Ruimtestaat'!A:A,Vloeronderhoud!A69)</f>
        <v>2</v>
      </c>
      <c r="G69" s="91">
        <v>1</v>
      </c>
      <c r="H69" s="110">
        <f>VLOOKUP(OverzichtVloer20[[#This Row],[Code Taak]],InvulVloer19[],3,3)*F69*G69</f>
        <v>0</v>
      </c>
      <c r="I69" s="111">
        <f>OverzichtVloer20[[#This Row],[Kosten/jaar excl. BTW]]*1.21</f>
        <v>0</v>
      </c>
    </row>
    <row r="70" spans="1:9" ht="15" customHeight="1">
      <c r="A70" s="105">
        <v>10</v>
      </c>
      <c r="B70" s="106" t="str">
        <f>VLOOKUP(OverzichtVloer20[[#This Row],[Code Locatie]],Locaties[],2,0)</f>
        <v xml:space="preserve">IKC De Edelsteen </v>
      </c>
      <c r="C70" s="105">
        <v>1</v>
      </c>
      <c r="D70" s="107" t="str">
        <f>IF(Vloeronderhoud!$C70&gt;0,VLOOKUP(Vloeronderhoud!$C70,$A$8:$B$18,2,FALSE),"")</f>
        <v>Sprayen/opblokken</v>
      </c>
      <c r="E70" s="108" t="s">
        <v>100</v>
      </c>
      <c r="F70" s="109">
        <f>SUMIFS('Ruimtestaat'!$N:$N,'Ruimtestaat'!L:L,Vloeronderhoud!E70,'Ruimtestaat'!A:A,Vloeronderhoud!A70)</f>
        <v>672</v>
      </c>
      <c r="G70" s="91">
        <v>1</v>
      </c>
      <c r="H70" s="110">
        <f>VLOOKUP(OverzichtVloer20[[#This Row],[Code Taak]],InvulVloer19[],3,3)*F70*G70</f>
        <v>0</v>
      </c>
      <c r="I70" s="111">
        <f>OverzichtVloer20[[#This Row],[Kosten/jaar excl. BTW]]*1.21</f>
        <v>0</v>
      </c>
    </row>
    <row r="71" spans="1:9" ht="15" customHeight="1">
      <c r="A71" s="105">
        <v>10</v>
      </c>
      <c r="B71" s="106" t="str">
        <f>VLOOKUP(OverzichtVloer20[[#This Row],[Code Locatie]],Locaties[],2,0)</f>
        <v xml:space="preserve">IKC De Edelsteen </v>
      </c>
      <c r="C71" s="105">
        <v>2</v>
      </c>
      <c r="D71" s="107" t="str">
        <f>IF(Vloeronderhoud!$C71&gt;0,VLOOKUP(Vloeronderhoud!$C71,$A$8:$B$18,2,FALSE),"")</f>
        <v>Topstrippen en conserveren</v>
      </c>
      <c r="E71" s="108" t="s">
        <v>100</v>
      </c>
      <c r="F71" s="109">
        <f>SUMIFS('Ruimtestaat'!$N:$N,'Ruimtestaat'!L:L,Vloeronderhoud!E71,'Ruimtestaat'!A:A,Vloeronderhoud!A71)</f>
        <v>672</v>
      </c>
      <c r="G71" s="91">
        <v>1</v>
      </c>
      <c r="H71" s="110">
        <f>VLOOKUP(OverzichtVloer20[[#This Row],[Code Taak]],InvulVloer19[],3,3)*F71*G71</f>
        <v>0</v>
      </c>
      <c r="I71" s="111">
        <f>OverzichtVloer20[[#This Row],[Kosten/jaar excl. BTW]]*1.21</f>
        <v>0</v>
      </c>
    </row>
    <row r="72" spans="1:9" ht="15" customHeight="1">
      <c r="A72" s="105">
        <v>10</v>
      </c>
      <c r="B72" s="106" t="str">
        <f>VLOOKUP(OverzichtVloer20[[#This Row],[Code Locatie]],Locaties[],2,0)</f>
        <v xml:space="preserve">IKC De Edelsteen </v>
      </c>
      <c r="C72" s="105">
        <v>3</v>
      </c>
      <c r="D72" s="107" t="str">
        <f>IF(Vloeronderhoud!$C72&gt;0,VLOOKUP(Vloeronderhoud!$C72,$A$8:$B$18,2,FALSE),"")</f>
        <v>Diepstrippen, sealen en conserveren</v>
      </c>
      <c r="E72" s="108" t="s">
        <v>100</v>
      </c>
      <c r="F72" s="109">
        <f>SUMIFS('Ruimtestaat'!$N:$N,'Ruimtestaat'!L:L,Vloeronderhoud!E72,'Ruimtestaat'!A:A,Vloeronderhoud!A72)</f>
        <v>672</v>
      </c>
      <c r="G72" s="91">
        <v>0.25</v>
      </c>
      <c r="H72" s="110">
        <f>VLOOKUP(OverzichtVloer20[[#This Row],[Code Taak]],InvulVloer19[],3,3)*F72*G72</f>
        <v>0</v>
      </c>
      <c r="I72" s="111">
        <f>OverzichtVloer20[[#This Row],[Kosten/jaar excl. BTW]]*1.21</f>
        <v>0</v>
      </c>
    </row>
    <row r="73" spans="1:9" ht="15" customHeight="1">
      <c r="A73" s="105">
        <v>10</v>
      </c>
      <c r="B73" s="106" t="str">
        <f>VLOOKUP(OverzichtVloer20[[#This Row],[Code Locatie]],Locaties[],2,0)</f>
        <v xml:space="preserve">IKC De Edelsteen </v>
      </c>
      <c r="C73" s="105">
        <v>4</v>
      </c>
      <c r="D73" s="107" t="str">
        <f>IF(Vloeronderhoud!$C73&gt;0,VLOOKUP(Vloeronderhoud!$C73,$A$8:$B$18,2,FALSE),"")</f>
        <v>Tapijtreinigen, sproei-extractiemethode</v>
      </c>
      <c r="E73" s="108" t="s">
        <v>99</v>
      </c>
      <c r="F73" s="109">
        <f>SUMIFS('Ruimtestaat'!$N:$N,'Ruimtestaat'!L:L,Vloeronderhoud!E73,'Ruimtestaat'!A:A,Vloeronderhoud!A73)</f>
        <v>63</v>
      </c>
      <c r="G73" s="91">
        <v>1</v>
      </c>
      <c r="H73" s="110">
        <f>VLOOKUP(OverzichtVloer20[[#This Row],[Code Taak]],InvulVloer19[],3,3)*F73*G73</f>
        <v>0</v>
      </c>
      <c r="I73" s="111">
        <f>OverzichtVloer20[[#This Row],[Kosten/jaar excl. BTW]]*1.21</f>
        <v>0</v>
      </c>
    </row>
    <row r="74" spans="1:9" ht="15" customHeight="1">
      <c r="A74" s="105">
        <v>10</v>
      </c>
      <c r="B74" s="106" t="str">
        <f>VLOOKUP(OverzichtVloer20[[#This Row],[Code Locatie]],Locaties[],2,0)</f>
        <v xml:space="preserve">IKC De Edelsteen </v>
      </c>
      <c r="C74" s="105">
        <v>9</v>
      </c>
      <c r="D74" s="107" t="str">
        <f>IF(Vloeronderhoud!$C74&gt;0,VLOOKUP(Vloeronderhoud!$C74,$A$8:$B$18,2,FALSE),"")</f>
        <v>Machinaal schrobben en droogzuigen</v>
      </c>
      <c r="E74" s="108" t="s">
        <v>102</v>
      </c>
      <c r="F74" s="109">
        <f>SUMIFS('Ruimtestaat'!$N:$N,'Ruimtestaat'!L:L,Vloeronderhoud!E74,'Ruimtestaat'!A:A,Vloeronderhoud!A74)</f>
        <v>35</v>
      </c>
      <c r="G74" s="91">
        <v>1</v>
      </c>
      <c r="H74" s="110">
        <f>VLOOKUP(OverzichtVloer20[[#This Row],[Code Taak]],InvulVloer19[],3,3)*F74*G74</f>
        <v>0</v>
      </c>
      <c r="I74" s="111">
        <f>OverzichtVloer20[[#This Row],[Kosten/jaar excl. BTW]]*1.21</f>
        <v>0</v>
      </c>
    </row>
    <row r="75" spans="1:9" ht="15" customHeight="1">
      <c r="A75" s="105">
        <v>11</v>
      </c>
      <c r="B75" s="106" t="str">
        <f>VLOOKUP(OverzichtVloer20[[#This Row],[Code Locatie]],Locaties[],2,0)</f>
        <v>IKC De Edelsteen (bijgebouw)</v>
      </c>
      <c r="C75" s="105">
        <v>9</v>
      </c>
      <c r="D75" s="107" t="str">
        <f>IF(Vloeronderhoud!$C75&gt;0,VLOOKUP(Vloeronderhoud!$C75,$A$8:$B$18,2,FALSE),"")</f>
        <v>Machinaal schrobben en droogzuigen</v>
      </c>
      <c r="E75" s="108" t="s">
        <v>102</v>
      </c>
      <c r="F75" s="109">
        <f>SUMIFS('Ruimtestaat'!$N:$N,'Ruimtestaat'!L:L,Vloeronderhoud!E75,'Ruimtestaat'!A:A,Vloeronderhoud!A75)</f>
        <v>171.44</v>
      </c>
      <c r="G75" s="91">
        <v>1</v>
      </c>
      <c r="H75" s="110">
        <f>VLOOKUP(OverzichtVloer20[[#This Row],[Code Taak]],InvulVloer19[],3,3)*F75*G75</f>
        <v>0</v>
      </c>
      <c r="I75" s="111">
        <f>OverzichtVloer20[[#This Row],[Kosten/jaar excl. BTW]]*1.21</f>
        <v>0</v>
      </c>
    </row>
    <row r="76" spans="1:9" ht="15" customHeight="1">
      <c r="A76" s="105">
        <v>12</v>
      </c>
      <c r="B76" s="106" t="str">
        <f>VLOOKUP(OverzichtVloer20[[#This Row],[Code Locatie]],Locaties[],2,0)</f>
        <v>IKC De Leerplaneet Loc. 2 (vh 't Plankier)</v>
      </c>
      <c r="C76" s="105">
        <v>1</v>
      </c>
      <c r="D76" s="107" t="str">
        <f>IF(Vloeronderhoud!$C76&gt;0,VLOOKUP(Vloeronderhoud!$C76,$A$8:$B$18,2,FALSE),"")</f>
        <v>Sprayen/opblokken</v>
      </c>
      <c r="E76" s="108" t="s">
        <v>100</v>
      </c>
      <c r="F76" s="109">
        <f>SUMIFS('Ruimtestaat'!$N:$N,'Ruimtestaat'!L:L,Vloeronderhoud!E76,'Ruimtestaat'!A:A,Vloeronderhoud!A76)</f>
        <v>476</v>
      </c>
      <c r="G76" s="91">
        <v>1</v>
      </c>
      <c r="H76" s="110">
        <f>VLOOKUP(OverzichtVloer20[[#This Row],[Code Taak]],InvulVloer19[],3,3)*F76*G76</f>
        <v>0</v>
      </c>
      <c r="I76" s="111">
        <f>OverzichtVloer20[[#This Row],[Kosten/jaar excl. BTW]]*1.21</f>
        <v>0</v>
      </c>
    </row>
    <row r="77" spans="1:9" ht="15" customHeight="1">
      <c r="A77" s="105">
        <v>12</v>
      </c>
      <c r="B77" s="106" t="str">
        <f>VLOOKUP(OverzichtVloer20[[#This Row],[Code Locatie]],Locaties[],2,0)</f>
        <v>IKC De Leerplaneet Loc. 2 (vh 't Plankier)</v>
      </c>
      <c r="C77" s="105">
        <v>2</v>
      </c>
      <c r="D77" s="107" t="str">
        <f>IF(Vloeronderhoud!$C77&gt;0,VLOOKUP(Vloeronderhoud!$C77,$A$8:$B$18,2,FALSE),"")</f>
        <v>Topstrippen en conserveren</v>
      </c>
      <c r="E77" s="108" t="s">
        <v>100</v>
      </c>
      <c r="F77" s="109">
        <f>SUMIFS('Ruimtestaat'!$N:$N,'Ruimtestaat'!L:L,Vloeronderhoud!E77,'Ruimtestaat'!A:A,Vloeronderhoud!A77)</f>
        <v>476</v>
      </c>
      <c r="G77" s="91">
        <v>1</v>
      </c>
      <c r="H77" s="110">
        <f>VLOOKUP(OverzichtVloer20[[#This Row],[Code Taak]],InvulVloer19[],3,3)*F77*G77</f>
        <v>0</v>
      </c>
      <c r="I77" s="111">
        <f>OverzichtVloer20[[#This Row],[Kosten/jaar excl. BTW]]*1.21</f>
        <v>0</v>
      </c>
    </row>
    <row r="78" spans="1:9" ht="15" customHeight="1">
      <c r="A78" s="105">
        <v>12</v>
      </c>
      <c r="B78" s="106" t="str">
        <f>VLOOKUP(OverzichtVloer20[[#This Row],[Code Locatie]],Locaties[],2,0)</f>
        <v>IKC De Leerplaneet Loc. 2 (vh 't Plankier)</v>
      </c>
      <c r="C78" s="105">
        <v>3</v>
      </c>
      <c r="D78" s="107" t="str">
        <f>IF(Vloeronderhoud!$C78&gt;0,VLOOKUP(Vloeronderhoud!$C78,$A$8:$B$18,2,FALSE),"")</f>
        <v>Diepstrippen, sealen en conserveren</v>
      </c>
      <c r="E78" s="108" t="s">
        <v>100</v>
      </c>
      <c r="F78" s="109">
        <f>SUMIFS('Ruimtestaat'!$N:$N,'Ruimtestaat'!L:L,Vloeronderhoud!E78,'Ruimtestaat'!A:A,Vloeronderhoud!A78)</f>
        <v>476</v>
      </c>
      <c r="G78" s="91">
        <v>0.25</v>
      </c>
      <c r="H78" s="110">
        <f>VLOOKUP(OverzichtVloer20[[#This Row],[Code Taak]],InvulVloer19[],3,3)*F78*G78</f>
        <v>0</v>
      </c>
      <c r="I78" s="111">
        <f>OverzichtVloer20[[#This Row],[Kosten/jaar excl. BTW]]*1.21</f>
        <v>0</v>
      </c>
    </row>
    <row r="79" spans="1:9" ht="15" customHeight="1">
      <c r="A79" s="105">
        <v>12</v>
      </c>
      <c r="B79" s="106" t="str">
        <f>VLOOKUP(OverzichtVloer20[[#This Row],[Code Locatie]],Locaties[],2,0)</f>
        <v>IKC De Leerplaneet Loc. 2 (vh 't Plankier)</v>
      </c>
      <c r="C79" s="105">
        <v>4</v>
      </c>
      <c r="D79" s="107" t="str">
        <f>IF(Vloeronderhoud!$C79&gt;0,VLOOKUP(Vloeronderhoud!$C79,$A$8:$B$18,2,FALSE),"")</f>
        <v>Tapijtreinigen, sproei-extractiemethode</v>
      </c>
      <c r="E79" s="108" t="s">
        <v>99</v>
      </c>
      <c r="F79" s="109">
        <f>SUMIFS('Ruimtestaat'!$N:$N,'Ruimtestaat'!L:L,Vloeronderhoud!E79,'Ruimtestaat'!A:A,Vloeronderhoud!A79)</f>
        <v>472</v>
      </c>
      <c r="G79" s="91">
        <v>1</v>
      </c>
      <c r="H79" s="110">
        <f>VLOOKUP(OverzichtVloer20[[#This Row],[Code Taak]],InvulVloer19[],3,3)*F79*G79</f>
        <v>0</v>
      </c>
      <c r="I79" s="111">
        <f>OverzichtVloer20[[#This Row],[Kosten/jaar excl. BTW]]*1.21</f>
        <v>0</v>
      </c>
    </row>
    <row r="80" spans="1:9" ht="15" customHeight="1">
      <c r="A80" s="105">
        <v>12</v>
      </c>
      <c r="B80" s="106" t="str">
        <f>VLOOKUP(OverzichtVloer20[[#This Row],[Code Locatie]],Locaties[],2,0)</f>
        <v>IKC De Leerplaneet Loc. 2 (vh 't Plankier)</v>
      </c>
      <c r="C80" s="105">
        <v>9</v>
      </c>
      <c r="D80" s="107" t="str">
        <f>IF(Vloeronderhoud!$C80&gt;0,VLOOKUP(Vloeronderhoud!$C80,$A$8:$B$18,2,FALSE),"")</f>
        <v>Machinaal schrobben en droogzuigen</v>
      </c>
      <c r="E80" s="108" t="s">
        <v>102</v>
      </c>
      <c r="F80" s="109">
        <f>SUMIFS('Ruimtestaat'!$N:$N,'Ruimtestaat'!L:L,Vloeronderhoud!E80,'Ruimtestaat'!A:A,Vloeronderhoud!A80)</f>
        <v>133</v>
      </c>
      <c r="G80" s="91">
        <v>1</v>
      </c>
      <c r="H80" s="110">
        <f>VLOOKUP(OverzichtVloer20[[#This Row],[Code Taak]],InvulVloer19[],3,3)*F80*G80</f>
        <v>0</v>
      </c>
      <c r="I80" s="111">
        <f>OverzichtVloer20[[#This Row],[Kosten/jaar excl. BTW]]*1.21</f>
        <v>0</v>
      </c>
    </row>
    <row r="81" spans="1:9" ht="15" customHeight="1">
      <c r="A81" s="105">
        <v>13</v>
      </c>
      <c r="B81" s="106" t="str">
        <f>VLOOKUP(OverzichtVloer20[[#This Row],[Code Locatie]],Locaties[],2,0)</f>
        <v>IKC Florence Nightingale</v>
      </c>
      <c r="C81" s="105">
        <v>1</v>
      </c>
      <c r="D81" s="107" t="str">
        <f>IF(Vloeronderhoud!$C81&gt;0,VLOOKUP(Vloeronderhoud!$C81,$A$8:$B$18,2,FALSE),"")</f>
        <v>Sprayen/opblokken</v>
      </c>
      <c r="E81" s="108" t="s">
        <v>100</v>
      </c>
      <c r="F81" s="109">
        <f>SUMIFS('Ruimtestaat'!$N:$N,'Ruimtestaat'!L:L,Vloeronderhoud!E81,'Ruimtestaat'!A:A,Vloeronderhoud!A81)</f>
        <v>1196.5</v>
      </c>
      <c r="G81" s="91">
        <v>1</v>
      </c>
      <c r="H81" s="110">
        <f>VLOOKUP(OverzichtVloer20[[#This Row],[Code Taak]],InvulVloer19[],3,3)*F81*G81</f>
        <v>0</v>
      </c>
      <c r="I81" s="111">
        <f>OverzichtVloer20[[#This Row],[Kosten/jaar excl. BTW]]*1.21</f>
        <v>0</v>
      </c>
    </row>
    <row r="82" spans="1:9" ht="15" customHeight="1">
      <c r="A82" s="105">
        <v>13</v>
      </c>
      <c r="B82" s="106" t="str">
        <f>VLOOKUP(OverzichtVloer20[[#This Row],[Code Locatie]],Locaties[],2,0)</f>
        <v>IKC Florence Nightingale</v>
      </c>
      <c r="C82" s="105">
        <v>2</v>
      </c>
      <c r="D82" s="107" t="str">
        <f>IF(Vloeronderhoud!$C82&gt;0,VLOOKUP(Vloeronderhoud!$C82,$A$8:$B$18,2,FALSE),"")</f>
        <v>Topstrippen en conserveren</v>
      </c>
      <c r="E82" s="108" t="s">
        <v>100</v>
      </c>
      <c r="F82" s="109">
        <f>SUMIFS('Ruimtestaat'!$N:$N,'Ruimtestaat'!L:L,Vloeronderhoud!E82,'Ruimtestaat'!A:A,Vloeronderhoud!A82)</f>
        <v>1196.5</v>
      </c>
      <c r="G82" s="91">
        <v>1</v>
      </c>
      <c r="H82" s="110">
        <f>VLOOKUP(OverzichtVloer20[[#This Row],[Code Taak]],InvulVloer19[],3,3)*F82*G82</f>
        <v>0</v>
      </c>
      <c r="I82" s="111">
        <f>OverzichtVloer20[[#This Row],[Kosten/jaar excl. BTW]]*1.21</f>
        <v>0</v>
      </c>
    </row>
    <row r="83" spans="1:9" ht="15" customHeight="1">
      <c r="A83" s="105">
        <v>13</v>
      </c>
      <c r="B83" s="106" t="str">
        <f>VLOOKUP(OverzichtVloer20[[#This Row],[Code Locatie]],Locaties[],2,0)</f>
        <v>IKC Florence Nightingale</v>
      </c>
      <c r="C83" s="105">
        <v>3</v>
      </c>
      <c r="D83" s="107" t="str">
        <f>IF(Vloeronderhoud!$C83&gt;0,VLOOKUP(Vloeronderhoud!$C83,$A$8:$B$18,2,FALSE),"")</f>
        <v>Diepstrippen, sealen en conserveren</v>
      </c>
      <c r="E83" s="108" t="s">
        <v>100</v>
      </c>
      <c r="F83" s="109">
        <f>SUMIFS('Ruimtestaat'!$N:$N,'Ruimtestaat'!L:L,Vloeronderhoud!E83,'Ruimtestaat'!A:A,Vloeronderhoud!A83)</f>
        <v>1196.5</v>
      </c>
      <c r="G83" s="91">
        <v>0.25</v>
      </c>
      <c r="H83" s="110">
        <f>VLOOKUP(OverzichtVloer20[[#This Row],[Code Taak]],InvulVloer19[],3,3)*F83*G83</f>
        <v>0</v>
      </c>
      <c r="I83" s="111">
        <f>OverzichtVloer20[[#This Row],[Kosten/jaar excl. BTW]]*1.21</f>
        <v>0</v>
      </c>
    </row>
    <row r="84" spans="1:9" ht="15" customHeight="1">
      <c r="A84" s="105">
        <v>13</v>
      </c>
      <c r="B84" s="106" t="str">
        <f>VLOOKUP(OverzichtVloer20[[#This Row],[Code Locatie]],Locaties[],2,0)</f>
        <v>IKC Florence Nightingale</v>
      </c>
      <c r="C84" s="105">
        <v>4</v>
      </c>
      <c r="D84" s="107" t="str">
        <f>IF(Vloeronderhoud!$C84&gt;0,VLOOKUP(Vloeronderhoud!$C84,$A$8:$B$18,2,FALSE),"")</f>
        <v>Tapijtreinigen, sproei-extractiemethode</v>
      </c>
      <c r="E84" s="108" t="s">
        <v>99</v>
      </c>
      <c r="F84" s="109">
        <f>SUMIFS('Ruimtestaat'!$N:$N,'Ruimtestaat'!L:L,Vloeronderhoud!E84,'Ruimtestaat'!A:A,Vloeronderhoud!A84)</f>
        <v>14</v>
      </c>
      <c r="G84" s="91">
        <v>1</v>
      </c>
      <c r="H84" s="110">
        <f>VLOOKUP(OverzichtVloer20[[#This Row],[Code Taak]],InvulVloer19[],3,3)*F84*G84</f>
        <v>0</v>
      </c>
      <c r="I84" s="111">
        <f>OverzichtVloer20[[#This Row],[Kosten/jaar excl. BTW]]*1.21</f>
        <v>0</v>
      </c>
    </row>
    <row r="85" spans="1:9" ht="15" customHeight="1">
      <c r="A85" s="105">
        <v>13</v>
      </c>
      <c r="B85" s="106" t="str">
        <f>VLOOKUP(OverzichtVloer20[[#This Row],[Code Locatie]],Locaties[],2,0)</f>
        <v>IKC Florence Nightingale</v>
      </c>
      <c r="C85" s="105">
        <v>9</v>
      </c>
      <c r="D85" s="107" t="str">
        <f>IF(Vloeronderhoud!$C85&gt;0,VLOOKUP(Vloeronderhoud!$C85,$A$8:$B$18,2,FALSE),"")</f>
        <v>Machinaal schrobben en droogzuigen</v>
      </c>
      <c r="E85" s="108" t="s">
        <v>101</v>
      </c>
      <c r="F85" s="109">
        <f>SUMIFS('Ruimtestaat'!$N:$N,'Ruimtestaat'!L:L,Vloeronderhoud!E85,'Ruimtestaat'!A:A,Vloeronderhoud!A85)</f>
        <v>97.5</v>
      </c>
      <c r="G85" s="91">
        <v>1</v>
      </c>
      <c r="H85" s="110">
        <f>VLOOKUP(OverzichtVloer20[[#This Row],[Code Taak]],InvulVloer19[],3,3)*F85*G85</f>
        <v>0</v>
      </c>
      <c r="I85" s="111">
        <f>OverzichtVloer20[[#This Row],[Kosten/jaar excl. BTW]]*1.21</f>
        <v>0</v>
      </c>
    </row>
    <row r="86" spans="1:9" ht="15" customHeight="1">
      <c r="A86" s="105">
        <v>14</v>
      </c>
      <c r="B86" s="106" t="str">
        <f>VLOOKUP(OverzichtVloer20[[#This Row],[Code Locatie]],Locaties[],2,0)</f>
        <v>IKC De Vuurtoren</v>
      </c>
      <c r="C86" s="105">
        <v>1</v>
      </c>
      <c r="D86" s="107" t="str">
        <f>IF(Vloeronderhoud!$C86&gt;0,VLOOKUP(Vloeronderhoud!$C86,$A$8:$B$18,2,FALSE),"")</f>
        <v>Sprayen/opblokken</v>
      </c>
      <c r="E86" s="108" t="s">
        <v>100</v>
      </c>
      <c r="F86" s="109">
        <f>SUMIFS('Ruimtestaat'!$N:$N,'Ruimtestaat'!L:L,Vloeronderhoud!E86,'Ruimtestaat'!A:A,Vloeronderhoud!A86)</f>
        <v>1163</v>
      </c>
      <c r="G86" s="91">
        <v>1</v>
      </c>
      <c r="H86" s="110">
        <f>VLOOKUP(OverzichtVloer20[[#This Row],[Code Taak]],InvulVloer19[],3,3)*F86*G86</f>
        <v>0</v>
      </c>
      <c r="I86" s="111">
        <f>OverzichtVloer20[[#This Row],[Kosten/jaar excl. BTW]]*1.21</f>
        <v>0</v>
      </c>
    </row>
    <row r="87" spans="1:9" ht="15" customHeight="1">
      <c r="A87" s="105">
        <v>14</v>
      </c>
      <c r="B87" s="106" t="str">
        <f>VLOOKUP(OverzichtVloer20[[#This Row],[Code Locatie]],Locaties[],2,0)</f>
        <v>IKC De Vuurtoren</v>
      </c>
      <c r="C87" s="105">
        <v>2</v>
      </c>
      <c r="D87" s="107" t="str">
        <f>IF(Vloeronderhoud!$C87&gt;0,VLOOKUP(Vloeronderhoud!$C87,$A$8:$B$18,2,FALSE),"")</f>
        <v>Topstrippen en conserveren</v>
      </c>
      <c r="E87" s="108" t="s">
        <v>100</v>
      </c>
      <c r="F87" s="109">
        <f>SUMIFS('Ruimtestaat'!$N:$N,'Ruimtestaat'!L:L,Vloeronderhoud!E87,'Ruimtestaat'!A:A,Vloeronderhoud!A87)</f>
        <v>1163</v>
      </c>
      <c r="G87" s="91">
        <v>1</v>
      </c>
      <c r="H87" s="110">
        <f>VLOOKUP(OverzichtVloer20[[#This Row],[Code Taak]],InvulVloer19[],3,3)*F87*G87</f>
        <v>0</v>
      </c>
      <c r="I87" s="111">
        <f>OverzichtVloer20[[#This Row],[Kosten/jaar excl. BTW]]*1.21</f>
        <v>0</v>
      </c>
    </row>
    <row r="88" spans="1:9" ht="15" customHeight="1">
      <c r="A88" s="105">
        <v>14</v>
      </c>
      <c r="B88" s="106" t="str">
        <f>VLOOKUP(OverzichtVloer20[[#This Row],[Code Locatie]],Locaties[],2,0)</f>
        <v>IKC De Vuurtoren</v>
      </c>
      <c r="C88" s="105">
        <v>3</v>
      </c>
      <c r="D88" s="107" t="str">
        <f>IF(Vloeronderhoud!$C88&gt;0,VLOOKUP(Vloeronderhoud!$C88,$A$8:$B$18,2,FALSE),"")</f>
        <v>Diepstrippen, sealen en conserveren</v>
      </c>
      <c r="E88" s="108" t="s">
        <v>100</v>
      </c>
      <c r="F88" s="109">
        <f>SUMIFS('Ruimtestaat'!$N:$N,'Ruimtestaat'!L:L,Vloeronderhoud!E88,'Ruimtestaat'!A:A,Vloeronderhoud!A88)</f>
        <v>1163</v>
      </c>
      <c r="G88" s="91">
        <v>0.25</v>
      </c>
      <c r="H88" s="110">
        <f>VLOOKUP(OverzichtVloer20[[#This Row],[Code Taak]],InvulVloer19[],3,3)*F88*G88</f>
        <v>0</v>
      </c>
      <c r="I88" s="111">
        <f>OverzichtVloer20[[#This Row],[Kosten/jaar excl. BTW]]*1.21</f>
        <v>0</v>
      </c>
    </row>
    <row r="89" spans="1:9" ht="15" customHeight="1">
      <c r="A89" s="105">
        <v>14</v>
      </c>
      <c r="B89" s="106" t="str">
        <f>VLOOKUP(OverzichtVloer20[[#This Row],[Code Locatie]],Locaties[],2,0)</f>
        <v>IKC De Vuurtoren</v>
      </c>
      <c r="C89" s="105">
        <v>4</v>
      </c>
      <c r="D89" s="107" t="str">
        <f>IF(Vloeronderhoud!$C89&gt;0,VLOOKUP(Vloeronderhoud!$C89,$A$8:$B$18,2,FALSE),"")</f>
        <v>Tapijtreinigen, sproei-extractiemethode</v>
      </c>
      <c r="E89" s="108" t="s">
        <v>99</v>
      </c>
      <c r="F89" s="109">
        <f>SUMIFS('Ruimtestaat'!$N:$N,'Ruimtestaat'!L:L,Vloeronderhoud!E89,'Ruimtestaat'!A:A,Vloeronderhoud!A89)</f>
        <v>87</v>
      </c>
      <c r="G89" s="91">
        <v>1</v>
      </c>
      <c r="H89" s="110">
        <f>VLOOKUP(OverzichtVloer20[[#This Row],[Code Taak]],InvulVloer19[],3,3)*F89*G89</f>
        <v>0</v>
      </c>
      <c r="I89" s="111">
        <f>OverzichtVloer20[[#This Row],[Kosten/jaar excl. BTW]]*1.21</f>
        <v>0</v>
      </c>
    </row>
    <row r="90" spans="1:9" ht="15" customHeight="1">
      <c r="A90" s="105">
        <v>14</v>
      </c>
      <c r="B90" s="106" t="str">
        <f>VLOOKUP(OverzichtVloer20[[#This Row],[Code Locatie]],Locaties[],2,0)</f>
        <v>IKC De Vuurtoren</v>
      </c>
      <c r="C90" s="105">
        <v>9</v>
      </c>
      <c r="D90" s="107" t="str">
        <f>IF(Vloeronderhoud!$C90&gt;0,VLOOKUP(Vloeronderhoud!$C90,$A$8:$B$18,2,FALSE),"")</f>
        <v>Machinaal schrobben en droogzuigen</v>
      </c>
      <c r="E90" s="108" t="s">
        <v>101</v>
      </c>
      <c r="F90" s="109">
        <f>SUMIFS('Ruimtestaat'!$N:$N,'Ruimtestaat'!L:L,Vloeronderhoud!E90,'Ruimtestaat'!A:A,Vloeronderhoud!A90)</f>
        <v>205</v>
      </c>
      <c r="G90" s="91">
        <v>1</v>
      </c>
      <c r="H90" s="110">
        <f>VLOOKUP(OverzichtVloer20[[#This Row],[Code Taak]],InvulVloer19[],3,3)*F90*G90</f>
        <v>0</v>
      </c>
      <c r="I90" s="111">
        <f>OverzichtVloer20[[#This Row],[Kosten/jaar excl. BTW]]*1.21</f>
        <v>0</v>
      </c>
    </row>
    <row r="91" spans="1:9" ht="15" customHeight="1">
      <c r="A91" s="105">
        <v>15</v>
      </c>
      <c r="B91" s="106" t="str">
        <f>VLOOKUP(OverzichtVloer20[[#This Row],[Code Locatie]],Locaties[],2,0)</f>
        <v>IKC  Da Vinci</v>
      </c>
      <c r="C91" s="105">
        <v>1</v>
      </c>
      <c r="D91" s="107" t="str">
        <f>IF(Vloeronderhoud!$C91&gt;0,VLOOKUP(Vloeronderhoud!$C91,$A$8:$B$18,2,FALSE),"")</f>
        <v>Sprayen/opblokken</v>
      </c>
      <c r="E91" s="108" t="s">
        <v>100</v>
      </c>
      <c r="F91" s="109">
        <f>SUMIFS('Ruimtestaat'!$N:$N,'Ruimtestaat'!L:L,Vloeronderhoud!E91,'Ruimtestaat'!A:A,Vloeronderhoud!A91)</f>
        <v>1868</v>
      </c>
      <c r="G91" s="91">
        <v>1</v>
      </c>
      <c r="H91" s="110">
        <f>VLOOKUP(OverzichtVloer20[[#This Row],[Code Taak]],InvulVloer19[],3,3)*F91*G91</f>
        <v>0</v>
      </c>
      <c r="I91" s="111">
        <f>OverzichtVloer20[[#This Row],[Kosten/jaar excl. BTW]]*1.21</f>
        <v>0</v>
      </c>
    </row>
    <row r="92" spans="1:9" ht="15" customHeight="1">
      <c r="A92" s="105">
        <v>15</v>
      </c>
      <c r="B92" s="106" t="str">
        <f>VLOOKUP(OverzichtVloer20[[#This Row],[Code Locatie]],Locaties[],2,0)</f>
        <v>IKC  Da Vinci</v>
      </c>
      <c r="C92" s="105">
        <v>2</v>
      </c>
      <c r="D92" s="107" t="str">
        <f>IF(Vloeronderhoud!$C92&gt;0,VLOOKUP(Vloeronderhoud!$C92,$A$8:$B$18,2,FALSE),"")</f>
        <v>Topstrippen en conserveren</v>
      </c>
      <c r="E92" s="108" t="s">
        <v>100</v>
      </c>
      <c r="F92" s="109">
        <f>SUMIFS('Ruimtestaat'!$N:$N,'Ruimtestaat'!L:L,Vloeronderhoud!E92,'Ruimtestaat'!A:A,Vloeronderhoud!A92)</f>
        <v>1868</v>
      </c>
      <c r="G92" s="91">
        <v>1</v>
      </c>
      <c r="H92" s="110">
        <f>VLOOKUP(OverzichtVloer20[[#This Row],[Code Taak]],InvulVloer19[],3,3)*F92*G92</f>
        <v>0</v>
      </c>
      <c r="I92" s="111">
        <f>OverzichtVloer20[[#This Row],[Kosten/jaar excl. BTW]]*1.21</f>
        <v>0</v>
      </c>
    </row>
    <row r="93" spans="1:9" ht="15" customHeight="1">
      <c r="A93" s="105">
        <v>15</v>
      </c>
      <c r="B93" s="106" t="str">
        <f>VLOOKUP(OverzichtVloer20[[#This Row],[Code Locatie]],Locaties[],2,0)</f>
        <v>IKC  Da Vinci</v>
      </c>
      <c r="C93" s="105">
        <v>3</v>
      </c>
      <c r="D93" s="107" t="str">
        <f>IF(Vloeronderhoud!$C93&gt;0,VLOOKUP(Vloeronderhoud!$C93,$A$8:$B$18,2,FALSE),"")</f>
        <v>Diepstrippen, sealen en conserveren</v>
      </c>
      <c r="E93" s="108" t="s">
        <v>100</v>
      </c>
      <c r="F93" s="109">
        <f>SUMIFS('Ruimtestaat'!$N:$N,'Ruimtestaat'!L:L,Vloeronderhoud!E93,'Ruimtestaat'!A:A,Vloeronderhoud!A93)</f>
        <v>1868</v>
      </c>
      <c r="G93" s="91">
        <v>0.25</v>
      </c>
      <c r="H93" s="110">
        <f>VLOOKUP(OverzichtVloer20[[#This Row],[Code Taak]],InvulVloer19[],3,3)*F93*G93</f>
        <v>0</v>
      </c>
      <c r="I93" s="111">
        <f>OverzichtVloer20[[#This Row],[Kosten/jaar excl. BTW]]*1.21</f>
        <v>0</v>
      </c>
    </row>
    <row r="94" spans="1:9" ht="15" customHeight="1">
      <c r="A94" s="105">
        <v>15</v>
      </c>
      <c r="B94" s="106" t="str">
        <f>VLOOKUP(OverzichtVloer20[[#This Row],[Code Locatie]],Locaties[],2,0)</f>
        <v>IKC  Da Vinci</v>
      </c>
      <c r="C94" s="105">
        <v>4</v>
      </c>
      <c r="D94" s="107" t="str">
        <f>IF(Vloeronderhoud!$C94&gt;0,VLOOKUP(Vloeronderhoud!$C94,$A$8:$B$18,2,FALSE),"")</f>
        <v>Tapijtreinigen, sproei-extractiemethode</v>
      </c>
      <c r="E94" s="108" t="s">
        <v>99</v>
      </c>
      <c r="F94" s="109">
        <f>SUMIFS('Ruimtestaat'!$N:$N,'Ruimtestaat'!L:L,Vloeronderhoud!E94,'Ruimtestaat'!A:A,Vloeronderhoud!A94)</f>
        <v>32</v>
      </c>
      <c r="G94" s="91">
        <v>1</v>
      </c>
      <c r="H94" s="110">
        <f>VLOOKUP(OverzichtVloer20[[#This Row],[Code Taak]],InvulVloer19[],3,3)*F94*G94</f>
        <v>0</v>
      </c>
      <c r="I94" s="111">
        <f>OverzichtVloer20[[#This Row],[Kosten/jaar excl. BTW]]*1.21</f>
        <v>0</v>
      </c>
    </row>
    <row r="95" spans="1:9" ht="15" customHeight="1">
      <c r="A95" s="105">
        <v>15</v>
      </c>
      <c r="B95" s="106" t="str">
        <f>VLOOKUP(OverzichtVloer20[[#This Row],[Code Locatie]],Locaties[],2,0)</f>
        <v>IKC  Da Vinci</v>
      </c>
      <c r="C95" s="105">
        <v>9</v>
      </c>
      <c r="D95" s="107" t="str">
        <f>IF(Vloeronderhoud!$C95&gt;0,VLOOKUP(Vloeronderhoud!$C95,$A$8:$B$18,2,FALSE),"")</f>
        <v>Machinaal schrobben en droogzuigen</v>
      </c>
      <c r="E95" s="108" t="s">
        <v>101</v>
      </c>
      <c r="F95" s="109">
        <f>SUMIFS('Ruimtestaat'!$N:$N,'Ruimtestaat'!L:L,Vloeronderhoud!E95,'Ruimtestaat'!A:A,Vloeronderhoud!A95)</f>
        <v>312</v>
      </c>
      <c r="G95" s="91">
        <v>1</v>
      </c>
      <c r="H95" s="110">
        <f>VLOOKUP(OverzichtVloer20[[#This Row],[Code Taak]],InvulVloer19[],3,3)*F95*G95</f>
        <v>0</v>
      </c>
      <c r="I95" s="111">
        <f>OverzichtVloer20[[#This Row],[Kosten/jaar excl. BTW]]*1.21</f>
        <v>0</v>
      </c>
    </row>
    <row r="96" spans="1:9" ht="15" customHeight="1">
      <c r="A96" s="105">
        <v>16</v>
      </c>
      <c r="B96" s="106" t="str">
        <f>VLOOKUP(OverzichtVloer20[[#This Row],[Code Locatie]],Locaties[],2,0)</f>
        <v>IKC de Tjalk Kadelaan</v>
      </c>
      <c r="C96" s="105">
        <v>1</v>
      </c>
      <c r="D96" s="107" t="str">
        <f>IF(Vloeronderhoud!$C96&gt;0,VLOOKUP(Vloeronderhoud!$C96,$A$8:$B$18,2,FALSE),"")</f>
        <v>Sprayen/opblokken</v>
      </c>
      <c r="E96" s="108" t="s">
        <v>100</v>
      </c>
      <c r="F96" s="109">
        <f>SUMIFS('Ruimtestaat'!$N:$N,'Ruimtestaat'!L:L,Vloeronderhoud!E96,'Ruimtestaat'!A:A,Vloeronderhoud!A96)</f>
        <v>127.78</v>
      </c>
      <c r="G96" s="91">
        <v>1</v>
      </c>
      <c r="H96" s="110">
        <f>VLOOKUP(OverzichtVloer20[[#This Row],[Code Taak]],InvulVloer19[],3,3)*F96*G96</f>
        <v>0</v>
      </c>
      <c r="I96" s="111">
        <f>OverzichtVloer20[[#This Row],[Kosten/jaar excl. BTW]]*1.21</f>
        <v>0</v>
      </c>
    </row>
    <row r="97" spans="1:9" ht="15" customHeight="1">
      <c r="A97" s="105">
        <v>16</v>
      </c>
      <c r="B97" s="106" t="str">
        <f>VLOOKUP(OverzichtVloer20[[#This Row],[Code Locatie]],Locaties[],2,0)</f>
        <v>IKC de Tjalk Kadelaan</v>
      </c>
      <c r="C97" s="105">
        <v>2</v>
      </c>
      <c r="D97" s="107" t="str">
        <f>IF(Vloeronderhoud!$C97&gt;0,VLOOKUP(Vloeronderhoud!$C97,$A$8:$B$18,2,FALSE),"")</f>
        <v>Topstrippen en conserveren</v>
      </c>
      <c r="E97" s="108" t="s">
        <v>100</v>
      </c>
      <c r="F97" s="109">
        <f>SUMIFS('Ruimtestaat'!$N:$N,'Ruimtestaat'!L:L,Vloeronderhoud!E97,'Ruimtestaat'!A:A,Vloeronderhoud!A97)</f>
        <v>127.78</v>
      </c>
      <c r="G97" s="91">
        <v>1</v>
      </c>
      <c r="H97" s="110">
        <f>VLOOKUP(OverzichtVloer20[[#This Row],[Code Taak]],InvulVloer19[],3,3)*F97*G97</f>
        <v>0</v>
      </c>
      <c r="I97" s="111">
        <f>OverzichtVloer20[[#This Row],[Kosten/jaar excl. BTW]]*1.21</f>
        <v>0</v>
      </c>
    </row>
    <row r="98" spans="1:9" ht="15" customHeight="1">
      <c r="A98" s="105">
        <v>16</v>
      </c>
      <c r="B98" s="106" t="str">
        <f>VLOOKUP(OverzichtVloer20[[#This Row],[Code Locatie]],Locaties[],2,0)</f>
        <v>IKC de Tjalk Kadelaan</v>
      </c>
      <c r="C98" s="105">
        <v>3</v>
      </c>
      <c r="D98" s="107" t="str">
        <f>IF(Vloeronderhoud!$C98&gt;0,VLOOKUP(Vloeronderhoud!$C98,$A$8:$B$18,2,FALSE),"")</f>
        <v>Diepstrippen, sealen en conserveren</v>
      </c>
      <c r="E98" s="108" t="s">
        <v>100</v>
      </c>
      <c r="F98" s="109">
        <f>SUMIFS('Ruimtestaat'!$N:$N,'Ruimtestaat'!L:L,Vloeronderhoud!E98,'Ruimtestaat'!A:A,Vloeronderhoud!A98)</f>
        <v>127.78</v>
      </c>
      <c r="G98" s="91">
        <v>0.25</v>
      </c>
      <c r="H98" s="110">
        <f>VLOOKUP(OverzichtVloer20[[#This Row],[Code Taak]],InvulVloer19[],3,3)*F98*G98</f>
        <v>0</v>
      </c>
      <c r="I98" s="111">
        <f>OverzichtVloer20[[#This Row],[Kosten/jaar excl. BTW]]*1.21</f>
        <v>0</v>
      </c>
    </row>
    <row r="99" spans="1:9" ht="15" customHeight="1">
      <c r="A99" s="105">
        <v>16</v>
      </c>
      <c r="B99" s="106" t="str">
        <f>VLOOKUP(OverzichtVloer20[[#This Row],[Code Locatie]],Locaties[],2,0)</f>
        <v>IKC de Tjalk Kadelaan</v>
      </c>
      <c r="C99" s="105">
        <v>4</v>
      </c>
      <c r="D99" s="107" t="str">
        <f>IF(Vloeronderhoud!$C99&gt;0,VLOOKUP(Vloeronderhoud!$C99,$A$8:$B$18,2,FALSE),"")</f>
        <v>Tapijtreinigen, sproei-extractiemethode</v>
      </c>
      <c r="E99" s="108" t="s">
        <v>99</v>
      </c>
      <c r="F99" s="109">
        <f>SUMIFS('Ruimtestaat'!$N:$N,'Ruimtestaat'!L:L,Vloeronderhoud!E99,'Ruimtestaat'!A:A,Vloeronderhoud!A99)</f>
        <v>5.5</v>
      </c>
      <c r="G99" s="91">
        <v>1</v>
      </c>
      <c r="H99" s="110">
        <f>VLOOKUP(OverzichtVloer20[[#This Row],[Code Taak]],InvulVloer19[],3,3)*F99*G99</f>
        <v>0</v>
      </c>
      <c r="I99" s="111">
        <f>OverzichtVloer20[[#This Row],[Kosten/jaar excl. BTW]]*1.21</f>
        <v>0</v>
      </c>
    </row>
    <row r="100" spans="1:9" ht="15" customHeight="1">
      <c r="A100" s="105">
        <v>16</v>
      </c>
      <c r="B100" s="106" t="str">
        <f>VLOOKUP(OverzichtVloer20[[#This Row],[Code Locatie]],Locaties[],2,0)</f>
        <v>IKC de Tjalk Kadelaan</v>
      </c>
      <c r="C100" s="105">
        <v>9</v>
      </c>
      <c r="D100" s="107" t="str">
        <f>IF(Vloeronderhoud!$C100&gt;0,VLOOKUP(Vloeronderhoud!$C100,$A$8:$B$18,2,FALSE),"")</f>
        <v>Machinaal schrobben en droogzuigen</v>
      </c>
      <c r="E100" s="108" t="s">
        <v>101</v>
      </c>
      <c r="F100" s="109">
        <f>SUMIFS('Ruimtestaat'!$N:$N,'Ruimtestaat'!L:L,Vloeronderhoud!E100,'Ruimtestaat'!A:A,Vloeronderhoud!A100)</f>
        <v>3</v>
      </c>
      <c r="G100" s="91">
        <v>1</v>
      </c>
      <c r="H100" s="110">
        <f>VLOOKUP(OverzichtVloer20[[#This Row],[Code Taak]],InvulVloer19[],3,3)*F100*G100</f>
        <v>0</v>
      </c>
      <c r="I100" s="111">
        <f>OverzichtVloer20[[#This Row],[Kosten/jaar excl. BTW]]*1.21</f>
        <v>0</v>
      </c>
    </row>
    <row r="101" spans="1:9" ht="15" customHeight="1">
      <c r="A101" s="105">
        <v>17</v>
      </c>
      <c r="B101" s="106" t="str">
        <f>VLOOKUP(OverzichtVloer20[[#This Row],[Code Locatie]],Locaties[],2,0)</f>
        <v>IKC de Tjalk Kadelaan 208 (bijgebouw)</v>
      </c>
      <c r="C101" s="105">
        <v>9</v>
      </c>
      <c r="D101" s="107" t="str">
        <f>IF(Vloeronderhoud!$C101&gt;0,VLOOKUP(Vloeronderhoud!$C101,$A$8:$B$18,2,FALSE),"")</f>
        <v>Machinaal schrobben en droogzuigen</v>
      </c>
      <c r="E101" s="108" t="s">
        <v>101</v>
      </c>
      <c r="F101" s="109">
        <f>SUMIFS('Ruimtestaat'!$N:$N,'Ruimtestaat'!L:L,Vloeronderhoud!E101,'Ruimtestaat'!A:A,Vloeronderhoud!A101)</f>
        <v>2120.6799999999998</v>
      </c>
      <c r="G101" s="91">
        <v>1</v>
      </c>
      <c r="H101" s="110">
        <f>VLOOKUP(OverzichtVloer20[[#This Row],[Code Taak]],InvulVloer19[],3,3)*F101*G101</f>
        <v>0</v>
      </c>
      <c r="I101" s="111">
        <f>OverzichtVloer20[[#This Row],[Kosten/jaar excl. BTW]]*1.21</f>
        <v>0</v>
      </c>
    </row>
    <row r="102" spans="1:9" ht="15" customHeight="1">
      <c r="A102" s="105">
        <v>18</v>
      </c>
      <c r="B102" s="106" t="str">
        <f>VLOOKUP(OverzichtVloer20[[#This Row],[Code Locatie]],Locaties[],2,0)</f>
        <v>IKC De Triangel</v>
      </c>
      <c r="C102" s="105">
        <v>1</v>
      </c>
      <c r="D102" s="107" t="str">
        <f>IF(Vloeronderhoud!$C102&gt;0,VLOOKUP(Vloeronderhoud!$C102,$A$8:$B$18,2,FALSE),"")</f>
        <v>Sprayen/opblokken</v>
      </c>
      <c r="E102" s="108" t="s">
        <v>100</v>
      </c>
      <c r="F102" s="109">
        <f>SUMIFS('Ruimtestaat'!$N:$N,'Ruimtestaat'!L:L,Vloeronderhoud!E102,'Ruimtestaat'!A:A,Vloeronderhoud!A102)</f>
        <v>970.50000000000011</v>
      </c>
      <c r="G102" s="91">
        <v>1</v>
      </c>
      <c r="H102" s="110">
        <f>VLOOKUP(OverzichtVloer20[[#This Row],[Code Taak]],InvulVloer19[],3,3)*F102*G102</f>
        <v>0</v>
      </c>
      <c r="I102" s="111">
        <f>OverzichtVloer20[[#This Row],[Kosten/jaar excl. BTW]]*1.21</f>
        <v>0</v>
      </c>
    </row>
    <row r="103" spans="1:9" ht="15" customHeight="1">
      <c r="A103" s="105">
        <v>18</v>
      </c>
      <c r="B103" s="106" t="str">
        <f>VLOOKUP(OverzichtVloer20[[#This Row],[Code Locatie]],Locaties[],2,0)</f>
        <v>IKC De Triangel</v>
      </c>
      <c r="C103" s="105">
        <v>2</v>
      </c>
      <c r="D103" s="107" t="str">
        <f>IF(Vloeronderhoud!$C103&gt;0,VLOOKUP(Vloeronderhoud!$C103,$A$8:$B$18,2,FALSE),"")</f>
        <v>Topstrippen en conserveren</v>
      </c>
      <c r="E103" s="108" t="s">
        <v>100</v>
      </c>
      <c r="F103" s="109">
        <f>SUMIFS('Ruimtestaat'!$N:$N,'Ruimtestaat'!L:L,Vloeronderhoud!E103,'Ruimtestaat'!A:A,Vloeronderhoud!A103)</f>
        <v>970.50000000000011</v>
      </c>
      <c r="G103" s="91">
        <v>1</v>
      </c>
      <c r="H103" s="110">
        <f>VLOOKUP(OverzichtVloer20[[#This Row],[Code Taak]],InvulVloer19[],3,3)*F103*G103</f>
        <v>0</v>
      </c>
      <c r="I103" s="111">
        <f>OverzichtVloer20[[#This Row],[Kosten/jaar excl. BTW]]*1.21</f>
        <v>0</v>
      </c>
    </row>
    <row r="104" spans="1:9" ht="15" customHeight="1">
      <c r="A104" s="105">
        <v>18</v>
      </c>
      <c r="B104" s="106" t="str">
        <f>VLOOKUP(OverzichtVloer20[[#This Row],[Code Locatie]],Locaties[],2,0)</f>
        <v>IKC De Triangel</v>
      </c>
      <c r="C104" s="105">
        <v>3</v>
      </c>
      <c r="D104" s="107" t="str">
        <f>IF(Vloeronderhoud!$C104&gt;0,VLOOKUP(Vloeronderhoud!$C104,$A$8:$B$18,2,FALSE),"")</f>
        <v>Diepstrippen, sealen en conserveren</v>
      </c>
      <c r="E104" s="108" t="s">
        <v>100</v>
      </c>
      <c r="F104" s="109">
        <f>SUMIFS('Ruimtestaat'!$N:$N,'Ruimtestaat'!L:L,Vloeronderhoud!E104,'Ruimtestaat'!A:A,Vloeronderhoud!A104)</f>
        <v>970.50000000000011</v>
      </c>
      <c r="G104" s="91">
        <v>0.25</v>
      </c>
      <c r="H104" s="110">
        <f>VLOOKUP(OverzichtVloer20[[#This Row],[Code Taak]],InvulVloer19[],3,3)*F104*G104</f>
        <v>0</v>
      </c>
      <c r="I104" s="111">
        <f>OverzichtVloer20[[#This Row],[Kosten/jaar excl. BTW]]*1.21</f>
        <v>0</v>
      </c>
    </row>
    <row r="105" spans="1:9" ht="15" customHeight="1">
      <c r="A105" s="105">
        <v>18</v>
      </c>
      <c r="B105" s="106" t="str">
        <f>VLOOKUP(OverzichtVloer20[[#This Row],[Code Locatie]],Locaties[],2,0)</f>
        <v>IKC De Triangel</v>
      </c>
      <c r="C105" s="105">
        <v>9</v>
      </c>
      <c r="D105" s="107" t="str">
        <f>IF(Vloeronderhoud!$C105&gt;0,VLOOKUP(Vloeronderhoud!$C105,$A$8:$B$18,2,FALSE),"")</f>
        <v>Machinaal schrobben en droogzuigen</v>
      </c>
      <c r="E105" s="108" t="s">
        <v>101</v>
      </c>
      <c r="F105" s="109">
        <f>SUMIFS('Ruimtestaat'!$N:$N,'Ruimtestaat'!L:L,Vloeronderhoud!E105,'Ruimtestaat'!A:A,Vloeronderhoud!A105)</f>
        <v>40.9</v>
      </c>
      <c r="G105" s="91">
        <v>1</v>
      </c>
      <c r="H105" s="110">
        <f>VLOOKUP(OverzichtVloer20[[#This Row],[Code Taak]],InvulVloer19[],3,3)*F105*G105</f>
        <v>0</v>
      </c>
      <c r="I105" s="111">
        <f>OverzichtVloer20[[#This Row],[Kosten/jaar excl. BTW]]*1.21</f>
        <v>0</v>
      </c>
    </row>
    <row r="106" spans="1:9" ht="15" customHeight="1">
      <c r="A106" s="105">
        <v>19</v>
      </c>
      <c r="B106" s="106" t="str">
        <f>VLOOKUP(OverzichtVloer20[[#This Row],[Code Locatie]],Locaties[],2,0)</f>
        <v>IKC de Leerplaneet (vhKlimboom)</v>
      </c>
      <c r="C106" s="105">
        <v>1</v>
      </c>
      <c r="D106" s="107" t="str">
        <f>IF(Vloeronderhoud!$C106&gt;0,VLOOKUP(Vloeronderhoud!$C106,$A$8:$B$18,2,FALSE),"")</f>
        <v>Sprayen/opblokken</v>
      </c>
      <c r="E106" s="108" t="s">
        <v>100</v>
      </c>
      <c r="F106" s="109">
        <f>SUMIFS('Ruimtestaat'!$N:$N,'Ruimtestaat'!L:L,Vloeronderhoud!E106,'Ruimtestaat'!A:A,Vloeronderhoud!A106)</f>
        <v>27.25</v>
      </c>
      <c r="G106" s="91">
        <v>1</v>
      </c>
      <c r="H106" s="110">
        <f>VLOOKUP(OverzichtVloer20[[#This Row],[Code Taak]],InvulVloer19[],3,3)*F106*G106</f>
        <v>0</v>
      </c>
      <c r="I106" s="111">
        <f>OverzichtVloer20[[#This Row],[Kosten/jaar excl. BTW]]*1.21</f>
        <v>0</v>
      </c>
    </row>
    <row r="107" spans="1:9" ht="15" customHeight="1">
      <c r="A107" s="105">
        <v>19</v>
      </c>
      <c r="B107" s="106" t="str">
        <f>VLOOKUP(OverzichtVloer20[[#This Row],[Code Locatie]],Locaties[],2,0)</f>
        <v>IKC de Leerplaneet (vhKlimboom)</v>
      </c>
      <c r="C107" s="105">
        <v>2</v>
      </c>
      <c r="D107" s="107" t="str">
        <f>IF(Vloeronderhoud!$C107&gt;0,VLOOKUP(Vloeronderhoud!$C107,$A$8:$B$18,2,FALSE),"")</f>
        <v>Topstrippen en conserveren</v>
      </c>
      <c r="E107" s="108" t="s">
        <v>100</v>
      </c>
      <c r="F107" s="109">
        <f>SUMIFS('Ruimtestaat'!$N:$N,'Ruimtestaat'!L:L,Vloeronderhoud!E107,'Ruimtestaat'!A:A,Vloeronderhoud!A107)</f>
        <v>27.25</v>
      </c>
      <c r="G107" s="91">
        <v>1</v>
      </c>
      <c r="H107" s="110">
        <f>VLOOKUP(OverzichtVloer20[[#This Row],[Code Taak]],InvulVloer19[],3,3)*F107*G107</f>
        <v>0</v>
      </c>
      <c r="I107" s="111">
        <f>OverzichtVloer20[[#This Row],[Kosten/jaar excl. BTW]]*1.21</f>
        <v>0</v>
      </c>
    </row>
    <row r="108" spans="1:9" ht="15" customHeight="1">
      <c r="A108" s="105">
        <v>19</v>
      </c>
      <c r="B108" s="106" t="str">
        <f>VLOOKUP(OverzichtVloer20[[#This Row],[Code Locatie]],Locaties[],2,0)</f>
        <v>IKC de Leerplaneet (vhKlimboom)</v>
      </c>
      <c r="C108" s="105">
        <v>3</v>
      </c>
      <c r="D108" s="107" t="str">
        <f>IF(Vloeronderhoud!$C108&gt;0,VLOOKUP(Vloeronderhoud!$C108,$A$8:$B$18,2,FALSE),"")</f>
        <v>Diepstrippen, sealen en conserveren</v>
      </c>
      <c r="E108" s="108" t="s">
        <v>100</v>
      </c>
      <c r="F108" s="109">
        <f>SUMIFS('Ruimtestaat'!$N:$N,'Ruimtestaat'!L:L,Vloeronderhoud!E108,'Ruimtestaat'!A:A,Vloeronderhoud!A108)</f>
        <v>27.25</v>
      </c>
      <c r="G108" s="91">
        <v>0.25</v>
      </c>
      <c r="H108" s="110">
        <f>VLOOKUP(OverzichtVloer20[[#This Row],[Code Taak]],InvulVloer19[],3,3)*F108*G108</f>
        <v>0</v>
      </c>
      <c r="I108" s="111">
        <f>OverzichtVloer20[[#This Row],[Kosten/jaar excl. BTW]]*1.21</f>
        <v>0</v>
      </c>
    </row>
    <row r="109" spans="1:9" ht="15" customHeight="1">
      <c r="A109" s="105">
        <v>19</v>
      </c>
      <c r="B109" s="106" t="str">
        <f>VLOOKUP(OverzichtVloer20[[#This Row],[Code Locatie]],Locaties[],2,0)</f>
        <v>IKC de Leerplaneet (vhKlimboom)</v>
      </c>
      <c r="C109" s="105">
        <v>4</v>
      </c>
      <c r="D109" s="107" t="str">
        <f>IF(Vloeronderhoud!$C109&gt;0,VLOOKUP(Vloeronderhoud!$C109,$A$8:$B$18,2,FALSE),"")</f>
        <v>Tapijtreinigen, sproei-extractiemethode</v>
      </c>
      <c r="E109" s="108" t="s">
        <v>99</v>
      </c>
      <c r="F109" s="109">
        <f>SUMIFS('Ruimtestaat'!$N:$N,'Ruimtestaat'!L:L,Vloeronderhoud!E109,'Ruimtestaat'!A:A,Vloeronderhoud!A109)</f>
        <v>48.5</v>
      </c>
      <c r="G109" s="91">
        <v>1</v>
      </c>
      <c r="H109" s="110">
        <f>VLOOKUP(OverzichtVloer20[[#This Row],[Code Taak]],InvulVloer19[],3,3)*F109*G109</f>
        <v>0</v>
      </c>
      <c r="I109" s="111">
        <f>OverzichtVloer20[[#This Row],[Kosten/jaar excl. BTW]]*1.21</f>
        <v>0</v>
      </c>
    </row>
    <row r="110" spans="1:9" ht="15" customHeight="1">
      <c r="A110" s="105">
        <v>19</v>
      </c>
      <c r="B110" s="106" t="str">
        <f>VLOOKUP(OverzichtVloer20[[#This Row],[Code Locatie]],Locaties[],2,0)</f>
        <v>IKC de Leerplaneet (vhKlimboom)</v>
      </c>
      <c r="C110" s="105">
        <v>9</v>
      </c>
      <c r="D110" s="107" t="str">
        <f>IF(Vloeronderhoud!$C110&gt;0,VLOOKUP(Vloeronderhoud!$C110,$A$8:$B$18,2,FALSE),"")</f>
        <v>Machinaal schrobben en droogzuigen</v>
      </c>
      <c r="E110" s="108" t="s">
        <v>101</v>
      </c>
      <c r="F110" s="109">
        <f>SUMIFS('Ruimtestaat'!$N:$N,'Ruimtestaat'!L:L,Vloeronderhoud!E110,'Ruimtestaat'!A:A,Vloeronderhoud!A110)</f>
        <v>1126.5000000000005</v>
      </c>
      <c r="G110" s="91">
        <v>1</v>
      </c>
      <c r="H110" s="110">
        <f>VLOOKUP(OverzichtVloer20[[#This Row],[Code Taak]],InvulVloer19[],3,3)*F110*G110</f>
        <v>0</v>
      </c>
      <c r="I110" s="111">
        <f>OverzichtVloer20[[#This Row],[Kosten/jaar excl. BTW]]*1.21</f>
        <v>0</v>
      </c>
    </row>
    <row r="111" spans="1:9" ht="15" customHeight="1">
      <c r="A111" s="105">
        <v>20</v>
      </c>
      <c r="B111" s="106" t="str">
        <f>VLOOKUP(OverzichtVloer20[[#This Row],[Code Locatie]],Locaties[],2,0)</f>
        <v>IKC de Saffier (extra lokaal gemeente)</v>
      </c>
      <c r="C111" s="105">
        <v>1</v>
      </c>
      <c r="D111" s="107" t="str">
        <f>IF(Vloeronderhoud!$C111&gt;0,VLOOKUP(Vloeronderhoud!$C111,$A$8:$B$18,2,FALSE),"")</f>
        <v>Sprayen/opblokken</v>
      </c>
      <c r="E111" s="108" t="s">
        <v>100</v>
      </c>
      <c r="F111" s="109">
        <f>SUMIFS('Ruimtestaat'!$N:$N,'Ruimtestaat'!L:L,Vloeronderhoud!E111,'Ruimtestaat'!A:A,Vloeronderhoud!A111)</f>
        <v>123</v>
      </c>
      <c r="G111" s="91">
        <v>1</v>
      </c>
      <c r="H111" s="110">
        <f>VLOOKUP(OverzichtVloer20[[#This Row],[Code Taak]],InvulVloer19[],3,3)*F111*G111</f>
        <v>0</v>
      </c>
      <c r="I111" s="111">
        <f>OverzichtVloer20[[#This Row],[Kosten/jaar excl. BTW]]*1.21</f>
        <v>0</v>
      </c>
    </row>
    <row r="112" spans="1:9" ht="15" customHeight="1">
      <c r="A112" s="105">
        <v>20</v>
      </c>
      <c r="B112" s="106" t="str">
        <f>VLOOKUP(OverzichtVloer20[[#This Row],[Code Locatie]],Locaties[],2,0)</f>
        <v>IKC de Saffier (extra lokaal gemeente)</v>
      </c>
      <c r="C112" s="105">
        <v>2</v>
      </c>
      <c r="D112" s="107" t="str">
        <f>IF(Vloeronderhoud!$C112&gt;0,VLOOKUP(Vloeronderhoud!$C112,$A$8:$B$18,2,FALSE),"")</f>
        <v>Topstrippen en conserveren</v>
      </c>
      <c r="E112" s="108" t="s">
        <v>100</v>
      </c>
      <c r="F112" s="109">
        <f>SUMIFS('Ruimtestaat'!$N:$N,'Ruimtestaat'!L:L,Vloeronderhoud!E112,'Ruimtestaat'!A:A,Vloeronderhoud!A112)</f>
        <v>123</v>
      </c>
      <c r="G112" s="91">
        <v>1</v>
      </c>
      <c r="H112" s="110">
        <f>VLOOKUP(OverzichtVloer20[[#This Row],[Code Taak]],InvulVloer19[],3,3)*F112*G112</f>
        <v>0</v>
      </c>
      <c r="I112" s="111">
        <f>OverzichtVloer20[[#This Row],[Kosten/jaar excl. BTW]]*1.21</f>
        <v>0</v>
      </c>
    </row>
    <row r="113" spans="1:9" ht="15" customHeight="1">
      <c r="A113" s="105">
        <v>20</v>
      </c>
      <c r="B113" s="106" t="str">
        <f>VLOOKUP(OverzichtVloer20[[#This Row],[Code Locatie]],Locaties[],2,0)</f>
        <v>IKC de Saffier (extra lokaal gemeente)</v>
      </c>
      <c r="C113" s="105">
        <v>3</v>
      </c>
      <c r="D113" s="107" t="str">
        <f>IF(Vloeronderhoud!$C113&gt;0,VLOOKUP(Vloeronderhoud!$C113,$A$8:$B$18,2,FALSE),"")</f>
        <v>Diepstrippen, sealen en conserveren</v>
      </c>
      <c r="E113" s="108" t="s">
        <v>100</v>
      </c>
      <c r="F113" s="109">
        <f>SUMIFS('Ruimtestaat'!$N:$N,'Ruimtestaat'!L:L,Vloeronderhoud!E113,'Ruimtestaat'!A:A,Vloeronderhoud!A113)</f>
        <v>123</v>
      </c>
      <c r="G113" s="91">
        <v>0.25</v>
      </c>
      <c r="H113" s="110">
        <f>VLOOKUP(OverzichtVloer20[[#This Row],[Code Taak]],InvulVloer19[],3,3)*F113*G113</f>
        <v>0</v>
      </c>
      <c r="I113" s="111">
        <f>OverzichtVloer20[[#This Row],[Kosten/jaar excl. BTW]]*1.21</f>
        <v>0</v>
      </c>
    </row>
    <row r="114" spans="1:9" ht="15" customHeight="1">
      <c r="A114" s="105">
        <v>20</v>
      </c>
      <c r="B114" s="106" t="str">
        <f>VLOOKUP(OverzichtVloer20[[#This Row],[Code Locatie]],Locaties[],2,0)</f>
        <v>IKC de Saffier (extra lokaal gemeente)</v>
      </c>
      <c r="C114" s="105">
        <v>9</v>
      </c>
      <c r="D114" s="107" t="str">
        <f>IF(Vloeronderhoud!$C114&gt;0,VLOOKUP(Vloeronderhoud!$C114,$A$8:$B$18,2,FALSE),"")</f>
        <v>Machinaal schrobben en droogzuigen</v>
      </c>
      <c r="E114" s="108" t="s">
        <v>101</v>
      </c>
      <c r="F114" s="109">
        <f>SUMIFS('Ruimtestaat'!$N:$N,'Ruimtestaat'!L:L,Vloeronderhoud!E114,'Ruimtestaat'!A:A,Vloeronderhoud!A114)</f>
        <v>28</v>
      </c>
      <c r="G114" s="91">
        <v>1</v>
      </c>
      <c r="H114" s="110">
        <f>VLOOKUP(OverzichtVloer20[[#This Row],[Code Taak]],InvulVloer19[],3,3)*F114*G114</f>
        <v>0</v>
      </c>
      <c r="I114" s="111">
        <f>OverzichtVloer20[[#This Row],[Kosten/jaar excl. BTW]]*1.21</f>
        <v>0</v>
      </c>
    </row>
    <row r="115" spans="1:9" ht="15" customHeight="1">
      <c r="A115" s="105">
        <v>20</v>
      </c>
      <c r="B115" s="106" t="str">
        <f>VLOOKUP(OverzichtVloer20[[#This Row],[Code Locatie]],Locaties[],2,0)</f>
        <v>IKC de Saffier (extra lokaal gemeente)</v>
      </c>
      <c r="C115" s="105">
        <v>9</v>
      </c>
      <c r="D115" s="107" t="str">
        <f>IF(Vloeronderhoud!$C115&gt;0,VLOOKUP(Vloeronderhoud!$C115,$A$8:$B$18,2,FALSE),"")</f>
        <v>Machinaal schrobben en droogzuigen</v>
      </c>
      <c r="E115" s="108" t="s">
        <v>102</v>
      </c>
      <c r="F115" s="109">
        <f>SUMIFS('Ruimtestaat'!$N:$N,'Ruimtestaat'!L:L,Vloeronderhoud!E115,'Ruimtestaat'!A:A,Vloeronderhoud!A115)</f>
        <v>279.8</v>
      </c>
      <c r="G115" s="91">
        <v>1</v>
      </c>
      <c r="H115" s="110">
        <f>VLOOKUP(OverzichtVloer20[[#This Row],[Code Taak]],InvulVloer19[],3,3)*F115*G115</f>
        <v>0</v>
      </c>
      <c r="I115" s="111">
        <f>OverzichtVloer20[[#This Row],[Kosten/jaar excl. BTW]]*1.21</f>
        <v>0</v>
      </c>
    </row>
    <row r="116" spans="1:9" ht="15" customHeight="1">
      <c r="A116" s="105">
        <v>21</v>
      </c>
      <c r="B116" s="106" t="str">
        <f>VLOOKUP(OverzichtVloer20[[#This Row],[Code Locatie]],Locaties[],2,0)</f>
        <v>IKC De  Leerplaneet (bijgebouw)</v>
      </c>
      <c r="C116" s="105">
        <v>1</v>
      </c>
      <c r="D116" s="107" t="str">
        <f>IF(Vloeronderhoud!$C116&gt;0,VLOOKUP(Vloeronderhoud!$C116,$A$8:$B$18,2,FALSE),"")</f>
        <v>Sprayen/opblokken</v>
      </c>
      <c r="E116" s="108" t="s">
        <v>100</v>
      </c>
      <c r="F116" s="109">
        <f>SUMIFS('Ruimtestaat'!$N:$N,'Ruimtestaat'!L:L,Vloeronderhoud!E116,'Ruimtestaat'!A:A,Vloeronderhoud!A116)</f>
        <v>68</v>
      </c>
      <c r="G116" s="91">
        <v>1</v>
      </c>
      <c r="H116" s="110">
        <f>VLOOKUP(OverzichtVloer20[[#This Row],[Code Taak]],InvulVloer19[],3,3)*F116*G116</f>
        <v>0</v>
      </c>
      <c r="I116" s="111">
        <f>OverzichtVloer20[[#This Row],[Kosten/jaar excl. BTW]]*1.21</f>
        <v>0</v>
      </c>
    </row>
    <row r="117" spans="1:9" ht="15" customHeight="1">
      <c r="A117" s="105">
        <v>21</v>
      </c>
      <c r="B117" s="106" t="str">
        <f>VLOOKUP(OverzichtVloer20[[#This Row],[Code Locatie]],Locaties[],2,0)</f>
        <v>IKC De  Leerplaneet (bijgebouw)</v>
      </c>
      <c r="C117" s="105">
        <v>2</v>
      </c>
      <c r="D117" s="107" t="str">
        <f>IF(Vloeronderhoud!$C117&gt;0,VLOOKUP(Vloeronderhoud!$C117,$A$8:$B$18,2,FALSE),"")</f>
        <v>Topstrippen en conserveren</v>
      </c>
      <c r="E117" s="108" t="s">
        <v>100</v>
      </c>
      <c r="F117" s="109">
        <f>SUMIFS('Ruimtestaat'!$N:$N,'Ruimtestaat'!L:L,Vloeronderhoud!E117,'Ruimtestaat'!A:A,Vloeronderhoud!A117)</f>
        <v>68</v>
      </c>
      <c r="G117" s="91">
        <v>1</v>
      </c>
      <c r="H117" s="110">
        <f>VLOOKUP(OverzichtVloer20[[#This Row],[Code Taak]],InvulVloer19[],3,3)*F117*G117</f>
        <v>0</v>
      </c>
      <c r="I117" s="111">
        <f>OverzichtVloer20[[#This Row],[Kosten/jaar excl. BTW]]*1.21</f>
        <v>0</v>
      </c>
    </row>
    <row r="118" spans="1:9" ht="15" customHeight="1">
      <c r="A118" s="105">
        <v>21</v>
      </c>
      <c r="B118" s="106" t="str">
        <f>VLOOKUP(OverzichtVloer20[[#This Row],[Code Locatie]],Locaties[],2,0)</f>
        <v>IKC De  Leerplaneet (bijgebouw)</v>
      </c>
      <c r="C118" s="105">
        <v>3</v>
      </c>
      <c r="D118" s="107" t="str">
        <f>IF(Vloeronderhoud!$C118&gt;0,VLOOKUP(Vloeronderhoud!$C118,$A$8:$B$18,2,FALSE),"")</f>
        <v>Diepstrippen, sealen en conserveren</v>
      </c>
      <c r="E118" s="108" t="s">
        <v>100</v>
      </c>
      <c r="F118" s="109">
        <f>SUMIFS('Ruimtestaat'!$N:$N,'Ruimtestaat'!L:L,Vloeronderhoud!E118,'Ruimtestaat'!A:A,Vloeronderhoud!A118)</f>
        <v>68</v>
      </c>
      <c r="G118" s="91">
        <v>0.25</v>
      </c>
      <c r="H118" s="110">
        <f>VLOOKUP(OverzichtVloer20[[#This Row],[Code Taak]],InvulVloer19[],3,3)*F118*G118</f>
        <v>0</v>
      </c>
      <c r="I118" s="111">
        <f>OverzichtVloer20[[#This Row],[Kosten/jaar excl. BTW]]*1.21</f>
        <v>0</v>
      </c>
    </row>
    <row r="119" spans="1:9" ht="15" customHeight="1">
      <c r="A119" s="105">
        <v>21</v>
      </c>
      <c r="B119" s="106" t="str">
        <f>VLOOKUP(OverzichtVloer20[[#This Row],[Code Locatie]],Locaties[],2,0)</f>
        <v>IKC De  Leerplaneet (bijgebouw)</v>
      </c>
      <c r="C119" s="105">
        <v>9</v>
      </c>
      <c r="D119" s="107" t="str">
        <f>IF(Vloeronderhoud!$C119&gt;0,VLOOKUP(Vloeronderhoud!$C119,$A$8:$B$18,2,FALSE),"")</f>
        <v>Machinaal schrobben en droogzuigen</v>
      </c>
      <c r="E119" s="108" t="s">
        <v>101</v>
      </c>
      <c r="F119" s="109">
        <f>SUMIFS('Ruimtestaat'!$N:$N,'Ruimtestaat'!L:L,Vloeronderhoud!E119,'Ruimtestaat'!A:A,Vloeronderhoud!A119)</f>
        <v>12</v>
      </c>
      <c r="G119" s="91">
        <v>1</v>
      </c>
      <c r="H119" s="110">
        <f>VLOOKUP(OverzichtVloer20[[#This Row],[Code Taak]],InvulVloer19[],3,3)*F119*G119</f>
        <v>0</v>
      </c>
      <c r="I119" s="111">
        <f>OverzichtVloer20[[#This Row],[Kosten/jaar excl. BTW]]*1.21</f>
        <v>0</v>
      </c>
    </row>
    <row r="120" spans="1:9" ht="15" customHeight="1">
      <c r="A120" s="105">
        <v>22</v>
      </c>
      <c r="B120" s="106" t="str">
        <f>VLOOKUP(OverzichtVloer20[[#This Row],[Code Locatie]],Locaties[],2,0)</f>
        <v>IKC Da Vinci</v>
      </c>
      <c r="C120" s="105">
        <v>1</v>
      </c>
      <c r="D120" s="107" t="str">
        <f>IF(Vloeronderhoud!$C120&gt;0,VLOOKUP(Vloeronderhoud!$C120,$A$8:$B$18,2,FALSE),"")</f>
        <v>Sprayen/opblokken</v>
      </c>
      <c r="E120" s="108" t="s">
        <v>100</v>
      </c>
      <c r="F120" s="109">
        <f>SUMIFS('Ruimtestaat'!$N:$N,'Ruimtestaat'!L:L,Vloeronderhoud!E120,'Ruimtestaat'!A:A,Vloeronderhoud!A120)</f>
        <v>320</v>
      </c>
      <c r="G120" s="91">
        <v>1</v>
      </c>
      <c r="H120" s="110">
        <f>VLOOKUP(OverzichtVloer20[[#This Row],[Code Taak]],InvulVloer19[],3,3)*F120*G120</f>
        <v>0</v>
      </c>
      <c r="I120" s="111">
        <f>OverzichtVloer20[[#This Row],[Kosten/jaar excl. BTW]]*1.21</f>
        <v>0</v>
      </c>
    </row>
    <row r="121" spans="1:9" ht="15" customHeight="1">
      <c r="A121" s="105">
        <v>22</v>
      </c>
      <c r="B121" s="106" t="str">
        <f>VLOOKUP(OverzichtVloer20[[#This Row],[Code Locatie]],Locaties[],2,0)</f>
        <v>IKC Da Vinci</v>
      </c>
      <c r="C121" s="105">
        <v>2</v>
      </c>
      <c r="D121" s="107" t="str">
        <f>IF(Vloeronderhoud!$C121&gt;0,VLOOKUP(Vloeronderhoud!$C121,$A$8:$B$18,2,FALSE),"")</f>
        <v>Topstrippen en conserveren</v>
      </c>
      <c r="E121" s="108" t="s">
        <v>100</v>
      </c>
      <c r="F121" s="109">
        <f>SUMIFS('Ruimtestaat'!$N:$N,'Ruimtestaat'!L:L,Vloeronderhoud!E121,'Ruimtestaat'!A:A,Vloeronderhoud!A121)</f>
        <v>320</v>
      </c>
      <c r="G121" s="91">
        <v>1</v>
      </c>
      <c r="H121" s="110">
        <f>VLOOKUP(OverzichtVloer20[[#This Row],[Code Taak]],InvulVloer19[],3,3)*F121*G121</f>
        <v>0</v>
      </c>
      <c r="I121" s="111">
        <f>OverzichtVloer20[[#This Row],[Kosten/jaar excl. BTW]]*1.21</f>
        <v>0</v>
      </c>
    </row>
    <row r="122" spans="1:9" ht="15" customHeight="1">
      <c r="A122" s="105">
        <v>22</v>
      </c>
      <c r="B122" s="106" t="str">
        <f>VLOOKUP(OverzichtVloer20[[#This Row],[Code Locatie]],Locaties[],2,0)</f>
        <v>IKC Da Vinci</v>
      </c>
      <c r="C122" s="105">
        <v>3</v>
      </c>
      <c r="D122" s="107" t="str">
        <f>IF(Vloeronderhoud!$C122&gt;0,VLOOKUP(Vloeronderhoud!$C122,$A$8:$B$18,2,FALSE),"")</f>
        <v>Diepstrippen, sealen en conserveren</v>
      </c>
      <c r="E122" s="108" t="s">
        <v>100</v>
      </c>
      <c r="F122" s="109">
        <f>SUMIFS('Ruimtestaat'!$N:$N,'Ruimtestaat'!L:L,Vloeronderhoud!E122,'Ruimtestaat'!A:A,Vloeronderhoud!A122)</f>
        <v>320</v>
      </c>
      <c r="G122" s="91">
        <v>0.25</v>
      </c>
      <c r="H122" s="110">
        <f>VLOOKUP(OverzichtVloer20[[#This Row],[Code Taak]],InvulVloer19[],3,3)*F122*G122</f>
        <v>0</v>
      </c>
      <c r="I122" s="111">
        <f>OverzichtVloer20[[#This Row],[Kosten/jaar excl. BTW]]*1.21</f>
        <v>0</v>
      </c>
    </row>
    <row r="123" spans="1:9" ht="15" customHeight="1">
      <c r="A123" s="105">
        <v>22</v>
      </c>
      <c r="B123" s="106" t="str">
        <f>VLOOKUP(OverzichtVloer20[[#This Row],[Code Locatie]],Locaties[],2,0)</f>
        <v>IKC Da Vinci</v>
      </c>
      <c r="C123" s="105">
        <v>9</v>
      </c>
      <c r="D123" s="107" t="str">
        <f>IF(Vloeronderhoud!$C123&gt;0,VLOOKUP(Vloeronderhoud!$C123,$A$8:$B$18,2,FALSE),"")</f>
        <v>Machinaal schrobben en droogzuigen</v>
      </c>
      <c r="E123" s="108" t="s">
        <v>101</v>
      </c>
      <c r="F123" s="109">
        <f>SUMIFS('Ruimtestaat'!$N:$N,'Ruimtestaat'!L:L,Vloeronderhoud!E123,'Ruimtestaat'!A:A,Vloeronderhoud!A123)</f>
        <v>38</v>
      </c>
      <c r="G123" s="91">
        <v>1</v>
      </c>
      <c r="H123" s="110">
        <f>VLOOKUP(OverzichtVloer20[[#This Row],[Code Taak]],InvulVloer19[],3,3)*F123*G123</f>
        <v>0</v>
      </c>
      <c r="I123" s="111">
        <f>OverzichtVloer20[[#This Row],[Kosten/jaar excl. BTW]]*1.21</f>
        <v>0</v>
      </c>
    </row>
    <row r="124" spans="1:9" ht="15" customHeight="1">
      <c r="A124" s="105">
        <v>23</v>
      </c>
      <c r="B124" s="106" t="str">
        <f>VLOOKUP(OverzichtVloer20[[#This Row],[Code Locatie]],Locaties[],2,0)</f>
        <v>IKC De Waterlelie (bijgebouw)</v>
      </c>
      <c r="C124" s="105">
        <v>9</v>
      </c>
      <c r="D124" s="107" t="str">
        <f>IF(Vloeronderhoud!$C124&gt;0,VLOOKUP(Vloeronderhoud!$C124,$A$8:$B$18,2,FALSE),"")</f>
        <v>Machinaal schrobben en droogzuigen</v>
      </c>
      <c r="E124" s="108" t="s">
        <v>101</v>
      </c>
      <c r="F124" s="109">
        <f>SUMIFS('Ruimtestaat'!$N:$N,'Ruimtestaat'!L:L,Vloeronderhoud!E124,'Ruimtestaat'!A:A,Vloeronderhoud!A124)</f>
        <v>17.2</v>
      </c>
      <c r="G124" s="91">
        <v>1</v>
      </c>
      <c r="H124" s="110">
        <f>VLOOKUP(OverzichtVloer20[[#This Row],[Code Taak]],InvulVloer19[],3,3)*F124*G124</f>
        <v>0</v>
      </c>
      <c r="I124" s="111">
        <f>OverzichtVloer20[[#This Row],[Kosten/jaar excl. BTW]]*1.21</f>
        <v>0</v>
      </c>
    </row>
    <row r="125" spans="1:9" ht="15" customHeight="1">
      <c r="A125" s="105">
        <v>23</v>
      </c>
      <c r="B125" s="106" t="str">
        <f>VLOOKUP(OverzichtVloer20[[#This Row],[Code Locatie]],Locaties[],2,0)</f>
        <v>IKC De Waterlelie (bijgebouw)</v>
      </c>
      <c r="C125" s="105">
        <v>9</v>
      </c>
      <c r="D125" s="107" t="str">
        <f>IF(Vloeronderhoud!$C125&gt;0,VLOOKUP(Vloeronderhoud!$C125,$A$8:$B$18,2,FALSE),"")</f>
        <v>Machinaal schrobben en droogzuigen</v>
      </c>
      <c r="E125" s="108" t="s">
        <v>102</v>
      </c>
      <c r="F125" s="109">
        <f>SUMIFS('Ruimtestaat'!$N:$N,'Ruimtestaat'!L:L,Vloeronderhoud!E125,'Ruimtestaat'!A:A,Vloeronderhoud!A125)</f>
        <v>135.69999999999999</v>
      </c>
      <c r="G125" s="91">
        <v>1</v>
      </c>
      <c r="H125" s="110">
        <f>VLOOKUP(OverzichtVloer20[[#This Row],[Code Taak]],InvulVloer19[],3,3)*F125*G125</f>
        <v>0</v>
      </c>
      <c r="I125" s="111">
        <f>OverzichtVloer20[[#This Row],[Kosten/jaar excl. BTW]]*1.21</f>
        <v>0</v>
      </c>
    </row>
    <row r="126" spans="1:9" ht="15" customHeight="1">
      <c r="A126" s="105">
        <v>24</v>
      </c>
      <c r="B126" s="106" t="str">
        <f>VLOOKUP(OverzichtVloer20[[#This Row],[Code Locatie]],Locaties[],2,0)</f>
        <v>IKC De Gaerde</v>
      </c>
      <c r="C126" s="105">
        <v>1</v>
      </c>
      <c r="D126" s="107" t="str">
        <f>IF(Vloeronderhoud!$C126&gt;0,VLOOKUP(Vloeronderhoud!$C126,$A$8:$B$18,2,FALSE),"")</f>
        <v>Sprayen/opblokken</v>
      </c>
      <c r="E126" s="108" t="s">
        <v>100</v>
      </c>
      <c r="F126" s="109">
        <f>SUMIFS('Ruimtestaat'!$N:$N,'Ruimtestaat'!L:L,Vloeronderhoud!E126,'Ruimtestaat'!A:A,Vloeronderhoud!A126)</f>
        <v>807.3</v>
      </c>
      <c r="G126" s="91">
        <v>1</v>
      </c>
      <c r="H126" s="110">
        <f>VLOOKUP(OverzichtVloer20[[#This Row],[Code Taak]],InvulVloer19[],3,3)*F126*G126</f>
        <v>0</v>
      </c>
      <c r="I126" s="111">
        <f>OverzichtVloer20[[#This Row],[Kosten/jaar excl. BTW]]*1.21</f>
        <v>0</v>
      </c>
    </row>
    <row r="127" spans="1:9" ht="15" customHeight="1">
      <c r="A127" s="105">
        <v>24</v>
      </c>
      <c r="B127" s="106" t="str">
        <f>VLOOKUP(OverzichtVloer20[[#This Row],[Code Locatie]],Locaties[],2,0)</f>
        <v>IKC De Gaerde</v>
      </c>
      <c r="C127" s="105">
        <v>2</v>
      </c>
      <c r="D127" s="107" t="str">
        <f>IF(Vloeronderhoud!$C127&gt;0,VLOOKUP(Vloeronderhoud!$C127,$A$8:$B$18,2,FALSE),"")</f>
        <v>Topstrippen en conserveren</v>
      </c>
      <c r="E127" s="108" t="s">
        <v>100</v>
      </c>
      <c r="F127" s="109">
        <f>SUMIFS('Ruimtestaat'!$N:$N,'Ruimtestaat'!L:L,Vloeronderhoud!E127,'Ruimtestaat'!A:A,Vloeronderhoud!A127)</f>
        <v>807.3</v>
      </c>
      <c r="G127" s="91">
        <v>1</v>
      </c>
      <c r="H127" s="110">
        <f>VLOOKUP(OverzichtVloer20[[#This Row],[Code Taak]],InvulVloer19[],3,3)*F127*G127</f>
        <v>0</v>
      </c>
      <c r="I127" s="111">
        <f>OverzichtVloer20[[#This Row],[Kosten/jaar excl. BTW]]*1.21</f>
        <v>0</v>
      </c>
    </row>
    <row r="128" spans="1:9" ht="15" customHeight="1">
      <c r="A128" s="105">
        <v>24</v>
      </c>
      <c r="B128" s="106" t="str">
        <f>VLOOKUP(OverzichtVloer20[[#This Row],[Code Locatie]],Locaties[],2,0)</f>
        <v>IKC De Gaerde</v>
      </c>
      <c r="C128" s="105">
        <v>3</v>
      </c>
      <c r="D128" s="107" t="str">
        <f>IF(Vloeronderhoud!$C128&gt;0,VLOOKUP(Vloeronderhoud!$C128,$A$8:$B$18,2,FALSE),"")</f>
        <v>Diepstrippen, sealen en conserveren</v>
      </c>
      <c r="E128" s="108" t="s">
        <v>100</v>
      </c>
      <c r="F128" s="109">
        <f>SUMIFS('Ruimtestaat'!$N:$N,'Ruimtestaat'!L:L,Vloeronderhoud!E128,'Ruimtestaat'!A:A,Vloeronderhoud!A128)</f>
        <v>807.3</v>
      </c>
      <c r="G128" s="91">
        <v>0.25</v>
      </c>
      <c r="H128" s="110">
        <f>VLOOKUP(OverzichtVloer20[[#This Row],[Code Taak]],InvulVloer19[],3,3)*F128*G128</f>
        <v>0</v>
      </c>
      <c r="I128" s="111">
        <f>OverzichtVloer20[[#This Row],[Kosten/jaar excl. BTW]]*1.21</f>
        <v>0</v>
      </c>
    </row>
    <row r="129" spans="1:9" ht="15" customHeight="1">
      <c r="A129" s="105">
        <v>24</v>
      </c>
      <c r="B129" s="106" t="str">
        <f>VLOOKUP(OverzichtVloer20[[#This Row],[Code Locatie]],Locaties[],2,0)</f>
        <v>IKC De Gaerde</v>
      </c>
      <c r="C129" s="105">
        <v>9</v>
      </c>
      <c r="D129" s="107" t="str">
        <f>IF(Vloeronderhoud!$C129&gt;0,VLOOKUP(Vloeronderhoud!$C129,$A$8:$B$18,2,FALSE),"")</f>
        <v>Machinaal schrobben en droogzuigen</v>
      </c>
      <c r="E129" s="108" t="s">
        <v>101</v>
      </c>
      <c r="F129" s="109">
        <f>SUMIFS('Ruimtestaat'!$N:$N,'Ruimtestaat'!L:L,Vloeronderhoud!E129,'Ruimtestaat'!A:A,Vloeronderhoud!A129)</f>
        <v>19.100000000000001</v>
      </c>
      <c r="G129" s="91">
        <v>1</v>
      </c>
      <c r="H129" s="110">
        <f>VLOOKUP(OverzichtVloer20[[#This Row],[Code Taak]],InvulVloer19[],3,3)*F129*G129</f>
        <v>0</v>
      </c>
      <c r="I129" s="111">
        <f>OverzichtVloer20[[#This Row],[Kosten/jaar excl. BTW]]*1.21</f>
        <v>0</v>
      </c>
    </row>
    <row r="130" spans="1:9" ht="15" customHeight="1">
      <c r="A130" s="105">
        <v>25</v>
      </c>
      <c r="B130" s="106" t="str">
        <f>VLOOKUP(OverzichtVloer20[[#This Row],[Code Locatie]],Locaties[],2,0)</f>
        <v>IKC De Piramide</v>
      </c>
      <c r="C130" s="105">
        <v>1</v>
      </c>
      <c r="D130" s="107" t="str">
        <f>IF(Vloeronderhoud!$C130&gt;0,VLOOKUP(Vloeronderhoud!$C130,$A$8:$B$18,2,FALSE),"")</f>
        <v>Sprayen/opblokken</v>
      </c>
      <c r="E130" s="108" t="s">
        <v>100</v>
      </c>
      <c r="F130" s="109">
        <f>SUMIFS('Ruimtestaat'!$N:$N,'Ruimtestaat'!L:L,Vloeronderhoud!E130,'Ruimtestaat'!A:A,Vloeronderhoud!A130)</f>
        <v>126</v>
      </c>
      <c r="G130" s="91">
        <v>1</v>
      </c>
      <c r="H130" s="110">
        <f>VLOOKUP(OverzichtVloer20[[#This Row],[Code Taak]],InvulVloer19[],3,3)*F130*G130</f>
        <v>0</v>
      </c>
      <c r="I130" s="111">
        <f>OverzichtVloer20[[#This Row],[Kosten/jaar excl. BTW]]*1.21</f>
        <v>0</v>
      </c>
    </row>
    <row r="131" spans="1:9" ht="15" customHeight="1">
      <c r="A131" s="105">
        <v>25</v>
      </c>
      <c r="B131" s="106" t="str">
        <f>VLOOKUP(OverzichtVloer20[[#This Row],[Code Locatie]],Locaties[],2,0)</f>
        <v>IKC De Piramide</v>
      </c>
      <c r="C131" s="105">
        <v>2</v>
      </c>
      <c r="D131" s="107" t="str">
        <f>IF(Vloeronderhoud!$C131&gt;0,VLOOKUP(Vloeronderhoud!$C131,$A$8:$B$18,2,FALSE),"")</f>
        <v>Topstrippen en conserveren</v>
      </c>
      <c r="E131" s="108" t="s">
        <v>100</v>
      </c>
      <c r="F131" s="109">
        <f>SUMIFS('Ruimtestaat'!$N:$N,'Ruimtestaat'!L:L,Vloeronderhoud!E131,'Ruimtestaat'!A:A,Vloeronderhoud!A131)</f>
        <v>126</v>
      </c>
      <c r="G131" s="91">
        <v>1</v>
      </c>
      <c r="H131" s="110">
        <f>VLOOKUP(OverzichtVloer20[[#This Row],[Code Taak]],InvulVloer19[],3,3)*F131*G131</f>
        <v>0</v>
      </c>
      <c r="I131" s="111">
        <f>OverzichtVloer20[[#This Row],[Kosten/jaar excl. BTW]]*1.21</f>
        <v>0</v>
      </c>
    </row>
    <row r="132" spans="1:9" ht="15" customHeight="1">
      <c r="A132" s="105">
        <v>25</v>
      </c>
      <c r="B132" s="106" t="str">
        <f>VLOOKUP(OverzichtVloer20[[#This Row],[Code Locatie]],Locaties[],2,0)</f>
        <v>IKC De Piramide</v>
      </c>
      <c r="C132" s="105">
        <v>3</v>
      </c>
      <c r="D132" s="107" t="str">
        <f>IF(Vloeronderhoud!$C132&gt;0,VLOOKUP(Vloeronderhoud!$C132,$A$8:$B$18,2,FALSE),"")</f>
        <v>Diepstrippen, sealen en conserveren</v>
      </c>
      <c r="E132" s="108" t="s">
        <v>100</v>
      </c>
      <c r="F132" s="109">
        <f>SUMIFS('Ruimtestaat'!$N:$N,'Ruimtestaat'!L:L,Vloeronderhoud!E132,'Ruimtestaat'!A:A,Vloeronderhoud!A132)</f>
        <v>126</v>
      </c>
      <c r="G132" s="91">
        <v>0.25</v>
      </c>
      <c r="H132" s="110">
        <f>VLOOKUP(OverzichtVloer20[[#This Row],[Code Taak]],InvulVloer19[],3,3)*F132*G132</f>
        <v>0</v>
      </c>
      <c r="I132" s="111">
        <f>OverzichtVloer20[[#This Row],[Kosten/jaar excl. BTW]]*1.21</f>
        <v>0</v>
      </c>
    </row>
    <row r="133" spans="1:9" ht="15" customHeight="1">
      <c r="A133" s="105">
        <v>25</v>
      </c>
      <c r="B133" s="106" t="str">
        <f>VLOOKUP(OverzichtVloer20[[#This Row],[Code Locatie]],Locaties[],2,0)</f>
        <v>IKC De Piramide</v>
      </c>
      <c r="C133" s="105">
        <v>4</v>
      </c>
      <c r="D133" s="107" t="str">
        <f>IF(Vloeronderhoud!$C133&gt;0,VLOOKUP(Vloeronderhoud!$C133,$A$8:$B$18,2,FALSE),"")</f>
        <v>Tapijtreinigen, sproei-extractiemethode</v>
      </c>
      <c r="E133" s="108" t="s">
        <v>99</v>
      </c>
      <c r="F133" s="109">
        <f>SUMIFS('Ruimtestaat'!$N:$N,'Ruimtestaat'!L:L,Vloeronderhoud!E133,'Ruimtestaat'!A:A,Vloeronderhoud!A133)</f>
        <v>114</v>
      </c>
      <c r="G133" s="91">
        <v>1</v>
      </c>
      <c r="H133" s="110">
        <f>VLOOKUP(OverzichtVloer20[[#This Row],[Code Taak]],InvulVloer19[],3,3)*F133*G133</f>
        <v>0</v>
      </c>
      <c r="I133" s="111">
        <f>OverzichtVloer20[[#This Row],[Kosten/jaar excl. BTW]]*1.21</f>
        <v>0</v>
      </c>
    </row>
    <row r="134" spans="1:9" ht="15" customHeight="1">
      <c r="A134" s="105">
        <v>25</v>
      </c>
      <c r="B134" s="106" t="str">
        <f>VLOOKUP(OverzichtVloer20[[#This Row],[Code Locatie]],Locaties[],2,0)</f>
        <v>IKC De Piramide</v>
      </c>
      <c r="C134" s="105">
        <v>9</v>
      </c>
      <c r="D134" s="107" t="str">
        <f>IF(Vloeronderhoud!$C134&gt;0,VLOOKUP(Vloeronderhoud!$C134,$A$8:$B$18,2,FALSE),"")</f>
        <v>Machinaal schrobben en droogzuigen</v>
      </c>
      <c r="E134" s="108" t="s">
        <v>101</v>
      </c>
      <c r="F134" s="109">
        <f>SUMIFS('Ruimtestaat'!$N:$N,'Ruimtestaat'!L:L,Vloeronderhoud!E134,'Ruimtestaat'!A:A,Vloeronderhoud!A134)</f>
        <v>1505</v>
      </c>
      <c r="G134" s="91">
        <v>1</v>
      </c>
      <c r="H134" s="110">
        <f>VLOOKUP(OverzichtVloer20[[#This Row],[Code Taak]],InvulVloer19[],3,3)*F134*G134</f>
        <v>0</v>
      </c>
      <c r="I134" s="111">
        <f>OverzichtVloer20[[#This Row],[Kosten/jaar excl. BTW]]*1.21</f>
        <v>0</v>
      </c>
    </row>
    <row r="135" spans="1:9" ht="15" customHeight="1">
      <c r="A135" s="112"/>
      <c r="B135" s="113" t="s">
        <v>32</v>
      </c>
      <c r="C135" s="112"/>
      <c r="D135" s="114"/>
      <c r="E135" s="112"/>
      <c r="F135" s="115"/>
      <c r="G135" s="112"/>
      <c r="H135" s="116">
        <f>SUBTOTAL(109,OverzichtVloer20[Kosten/jaar excl. BTW])</f>
        <v>0</v>
      </c>
      <c r="I135" s="116">
        <f>SUBTOTAL(109,OverzichtVloer20[Kosten/jaar incl BTW])</f>
        <v>0</v>
      </c>
    </row>
  </sheetData>
  <sheetProtection algorithmName="SHA-512" hashValue="LogcEiAiL/a1GhLK62Yx85iQNQLz779j1hLhOwu99Pia0w2gb29wysMabkNv/qtmFRYY9O3XdSehU9rDBSr/Vw==" saltValue="GZ21Du2sFUCeU5pgZJt7iA==" spinCount="100000" sheet="1" objects="1" scenarios="1" sort="0"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44"/>
  <sheetViews>
    <sheetView showGridLines="0" view="pageBreakPreview" zoomScaleNormal="100" zoomScaleSheetLayoutView="100" workbookViewId="0">
      <selection activeCell="E31" sqref="E31"/>
    </sheetView>
  </sheetViews>
  <sheetFormatPr defaultColWidth="9.140625" defaultRowHeight="15" customHeight="1"/>
  <cols>
    <col min="1" max="1" width="11.5703125" style="30" customWidth="1"/>
    <col min="2" max="2" width="47.42578125" style="28" bestFit="1" customWidth="1"/>
    <col min="3" max="3" width="12.5703125" style="28" customWidth="1"/>
    <col min="4" max="4" width="52.140625" style="30" bestFit="1" customWidth="1"/>
    <col min="5" max="5" width="19" style="28" customWidth="1"/>
    <col min="6" max="6" width="17.7109375" style="28" bestFit="1" customWidth="1"/>
    <col min="7" max="7" width="18.85546875" style="28" customWidth="1"/>
    <col min="8" max="8" width="17.5703125" style="28" customWidth="1"/>
    <col min="9" max="9" width="17.7109375" style="28" bestFit="1" customWidth="1"/>
    <col min="10" max="16384" width="9.140625" style="28"/>
  </cols>
  <sheetData>
    <row r="1" spans="1:9" s="26" customFormat="1" ht="26.25" customHeight="1">
      <c r="A1" s="303" t="s">
        <v>39</v>
      </c>
      <c r="B1" s="303"/>
      <c r="C1" s="303"/>
      <c r="D1" s="303"/>
      <c r="E1" s="303"/>
      <c r="F1" s="303"/>
      <c r="G1" s="303"/>
      <c r="H1" s="303"/>
    </row>
    <row r="2" spans="1:9" s="26" customFormat="1" ht="15" customHeight="1">
      <c r="A2" s="301" t="s">
        <v>198</v>
      </c>
      <c r="B2" s="306"/>
      <c r="C2" s="306"/>
      <c r="D2" s="306"/>
      <c r="E2" s="306"/>
      <c r="F2" s="306"/>
      <c r="G2" s="306"/>
      <c r="H2" s="307"/>
    </row>
    <row r="3" spans="1:9" ht="15" customHeight="1">
      <c r="B3" s="30"/>
      <c r="D3" s="88"/>
      <c r="E3" s="89"/>
    </row>
    <row r="4" spans="1:9" ht="15" customHeight="1">
      <c r="A4" s="28" t="s">
        <v>166</v>
      </c>
      <c r="B4" s="30"/>
      <c r="D4" s="88"/>
      <c r="E4" s="88"/>
    </row>
    <row r="5" spans="1:9" ht="15" customHeight="1">
      <c r="A5" s="28" t="s">
        <v>220</v>
      </c>
      <c r="B5" s="30"/>
      <c r="D5" s="28"/>
    </row>
    <row r="6" spans="1:9" ht="15" customHeight="1">
      <c r="A6" s="28" t="s">
        <v>183</v>
      </c>
      <c r="B6" s="94"/>
      <c r="C6" s="94"/>
      <c r="D6" s="97"/>
      <c r="E6" s="97"/>
      <c r="F6" s="95"/>
      <c r="G6" s="95"/>
    </row>
    <row r="7" spans="1:9" ht="15" customHeight="1">
      <c r="A7" s="28"/>
      <c r="B7" s="94"/>
      <c r="C7" s="94"/>
      <c r="D7" s="97"/>
      <c r="E7" s="305" t="s">
        <v>242</v>
      </c>
      <c r="F7" s="305"/>
      <c r="G7" s="305"/>
      <c r="H7" s="305"/>
      <c r="I7" s="305"/>
    </row>
    <row r="8" spans="1:9" s="29" customFormat="1" ht="26.25" customHeight="1">
      <c r="A8" s="248" t="s">
        <v>197</v>
      </c>
      <c r="B8" s="249" t="s">
        <v>136</v>
      </c>
      <c r="C8" s="250" t="s">
        <v>165</v>
      </c>
      <c r="D8" s="248" t="s">
        <v>141</v>
      </c>
      <c r="E8" s="248" t="s">
        <v>1300</v>
      </c>
      <c r="F8" s="248" t="s">
        <v>1577</v>
      </c>
      <c r="G8" s="248" t="s">
        <v>1613</v>
      </c>
      <c r="H8" s="248" t="s">
        <v>1612</v>
      </c>
      <c r="I8" s="248" t="s">
        <v>2155</v>
      </c>
    </row>
    <row r="9" spans="1:9" ht="15" customHeight="1">
      <c r="A9" s="105">
        <v>1</v>
      </c>
      <c r="B9" s="119" t="s">
        <v>212</v>
      </c>
      <c r="C9" s="463">
        <v>0</v>
      </c>
      <c r="D9" s="106" t="s">
        <v>139</v>
      </c>
      <c r="E9" s="100" t="e">
        <f>(InvulGlas[[#This Row],[Prijs excl. BTW]]*Tariefsopbouw!$I$37)+InvulGlas[[#This Row],[Prijs excl. BTW]]</f>
        <v>#DIV/0!</v>
      </c>
      <c r="F9" s="100" t="e">
        <f>E9*Tariefsopbouw!$K$37+Glasbewassing!E9</f>
        <v>#DIV/0!</v>
      </c>
      <c r="G9" s="100" t="e">
        <f>F9*Tariefsopbouw!$M$37+Glasbewassing!F9</f>
        <v>#DIV/0!</v>
      </c>
      <c r="H9" s="100" t="e">
        <f>G9*Tariefsopbouw!$O$37+Glasbewassing!G9</f>
        <v>#DIV/0!</v>
      </c>
      <c r="I9" s="100" t="e">
        <f>H9*Tariefsopbouw!$Q$37+Glasbewassing!H9</f>
        <v>#DIV/0!</v>
      </c>
    </row>
    <row r="10" spans="1:9" ht="15" customHeight="1">
      <c r="A10" s="105">
        <v>2</v>
      </c>
      <c r="B10" s="119" t="s">
        <v>138</v>
      </c>
      <c r="C10" s="463">
        <v>0</v>
      </c>
      <c r="D10" s="106" t="s">
        <v>139</v>
      </c>
      <c r="E10" s="100" t="e">
        <f>(InvulGlas[[#This Row],[Prijs excl. BTW]]*Tariefsopbouw!$I$37)+InvulGlas[[#This Row],[Prijs excl. BTW]]</f>
        <v>#DIV/0!</v>
      </c>
      <c r="F10" s="100" t="e">
        <f>E10*Tariefsopbouw!$K$37+Glasbewassing!E10</f>
        <v>#DIV/0!</v>
      </c>
      <c r="G10" s="100" t="e">
        <f>F10*Tariefsopbouw!$M$37+Glasbewassing!F10</f>
        <v>#DIV/0!</v>
      </c>
      <c r="H10" s="100" t="e">
        <f>G10*Tariefsopbouw!$O$37+Glasbewassing!G10</f>
        <v>#DIV/0!</v>
      </c>
      <c r="I10" s="100" t="e">
        <f>H10*Tariefsopbouw!$Q$37+Glasbewassing!H10</f>
        <v>#DIV/0!</v>
      </c>
    </row>
    <row r="11" spans="1:9" ht="15" customHeight="1">
      <c r="A11" s="105">
        <v>3</v>
      </c>
      <c r="B11" s="119" t="s">
        <v>140</v>
      </c>
      <c r="C11" s="463">
        <v>0</v>
      </c>
      <c r="D11" s="106" t="s">
        <v>139</v>
      </c>
      <c r="E11" s="100" t="e">
        <f>(InvulGlas[[#This Row],[Prijs excl. BTW]]*Tariefsopbouw!$I$37)+InvulGlas[[#This Row],[Prijs excl. BTW]]</f>
        <v>#DIV/0!</v>
      </c>
      <c r="F11" s="100" t="e">
        <f>E11*Tariefsopbouw!$K$37+Glasbewassing!E11</f>
        <v>#DIV/0!</v>
      </c>
      <c r="G11" s="100" t="e">
        <f>F11*Tariefsopbouw!$M$37+Glasbewassing!F11</f>
        <v>#DIV/0!</v>
      </c>
      <c r="H11" s="100" t="e">
        <f>G11*Tariefsopbouw!$O$37+Glasbewassing!G11</f>
        <v>#DIV/0!</v>
      </c>
      <c r="I11" s="100" t="e">
        <f>H11*Tariefsopbouw!$Q$37+Glasbewassing!H11</f>
        <v>#DIV/0!</v>
      </c>
    </row>
    <row r="12" spans="1:9" ht="15" customHeight="1">
      <c r="A12" s="105">
        <v>4</v>
      </c>
      <c r="B12" s="119" t="s">
        <v>1263</v>
      </c>
      <c r="C12" s="463">
        <v>0</v>
      </c>
      <c r="D12" s="106" t="s">
        <v>139</v>
      </c>
      <c r="E12" s="100" t="e">
        <f>(InvulGlas[[#This Row],[Prijs excl. BTW]]*Tariefsopbouw!$I$37)+InvulGlas[[#This Row],[Prijs excl. BTW]]</f>
        <v>#DIV/0!</v>
      </c>
      <c r="F12" s="100" t="e">
        <f>E12*Tariefsopbouw!$K$37+Glasbewassing!E12</f>
        <v>#DIV/0!</v>
      </c>
      <c r="G12" s="100" t="e">
        <f>F12*Tariefsopbouw!$M$37+Glasbewassing!F12</f>
        <v>#DIV/0!</v>
      </c>
      <c r="H12" s="100" t="e">
        <f>G12*Tariefsopbouw!$O$37+Glasbewassing!G12</f>
        <v>#DIV/0!</v>
      </c>
      <c r="I12" s="100" t="e">
        <f>H12*Tariefsopbouw!$Q$37+Glasbewassing!H12</f>
        <v>#DIV/0!</v>
      </c>
    </row>
    <row r="13" spans="1:9" ht="15" customHeight="1">
      <c r="A13" s="105">
        <v>5</v>
      </c>
      <c r="B13" s="119" t="s">
        <v>211</v>
      </c>
      <c r="C13" s="463">
        <v>0</v>
      </c>
      <c r="D13" s="106" t="s">
        <v>139</v>
      </c>
      <c r="E13" s="100" t="e">
        <f>(InvulGlas[[#This Row],[Prijs excl. BTW]]*Tariefsopbouw!$I$37)+InvulGlas[[#This Row],[Prijs excl. BTW]]</f>
        <v>#DIV/0!</v>
      </c>
      <c r="F13" s="100" t="e">
        <f>E13*Tariefsopbouw!$K$37+Glasbewassing!E13</f>
        <v>#DIV/0!</v>
      </c>
      <c r="G13" s="100" t="e">
        <f>F13*Tariefsopbouw!$M$37+Glasbewassing!F13</f>
        <v>#DIV/0!</v>
      </c>
      <c r="H13" s="100" t="e">
        <f>G13*Tariefsopbouw!$O$37+Glasbewassing!G13</f>
        <v>#DIV/0!</v>
      </c>
      <c r="I13" s="100" t="e">
        <f>H13*Tariefsopbouw!$Q$37+Glasbewassing!H13</f>
        <v>#DIV/0!</v>
      </c>
    </row>
    <row r="14" spans="1:9" ht="15" customHeight="1">
      <c r="A14" s="105">
        <v>6</v>
      </c>
      <c r="B14" s="119" t="s">
        <v>2117</v>
      </c>
      <c r="C14" s="463">
        <v>0</v>
      </c>
      <c r="D14" s="106" t="s">
        <v>139</v>
      </c>
      <c r="E14" s="100" t="e">
        <f>(InvulGlas[[#This Row],[Prijs excl. BTW]]*Tariefsopbouw!$I$37)+InvulGlas[[#This Row],[Prijs excl. BTW]]</f>
        <v>#DIV/0!</v>
      </c>
      <c r="F14" s="100" t="e">
        <f>E14*Tariefsopbouw!$K$37+Glasbewassing!E14</f>
        <v>#DIV/0!</v>
      </c>
      <c r="G14" s="100" t="e">
        <f>F14*Tariefsopbouw!$M$37+Glasbewassing!F14</f>
        <v>#DIV/0!</v>
      </c>
      <c r="H14" s="100" t="e">
        <f>G14*Tariefsopbouw!$O$37+Glasbewassing!G14</f>
        <v>#DIV/0!</v>
      </c>
      <c r="I14" s="100" t="e">
        <f>H14*Tariefsopbouw!$Q$37+Glasbewassing!H14</f>
        <v>#DIV/0!</v>
      </c>
    </row>
    <row r="15" spans="1:9" ht="15" customHeight="1">
      <c r="A15" s="105">
        <v>7</v>
      </c>
      <c r="B15" s="119" t="s">
        <v>1264</v>
      </c>
      <c r="C15" s="463">
        <v>0</v>
      </c>
      <c r="D15" s="106" t="s">
        <v>139</v>
      </c>
      <c r="E15" s="100" t="e">
        <f>(InvulGlas[[#This Row],[Prijs excl. BTW]]*Tariefsopbouw!$I$37)+InvulGlas[[#This Row],[Prijs excl. BTW]]</f>
        <v>#DIV/0!</v>
      </c>
      <c r="F15" s="100" t="e">
        <f>E15*Tariefsopbouw!$K$37+Glasbewassing!E15</f>
        <v>#DIV/0!</v>
      </c>
      <c r="G15" s="100" t="e">
        <f>F15*Tariefsopbouw!$M$37+Glasbewassing!F15</f>
        <v>#DIV/0!</v>
      </c>
      <c r="H15" s="100" t="e">
        <f>G15*Tariefsopbouw!$O$37+Glasbewassing!G15</f>
        <v>#DIV/0!</v>
      </c>
      <c r="I15" s="100" t="e">
        <f>H15*Tariefsopbouw!$Q$37+Glasbewassing!H15</f>
        <v>#DIV/0!</v>
      </c>
    </row>
    <row r="16" spans="1:9" ht="15" customHeight="1">
      <c r="A16" s="105" t="s">
        <v>147</v>
      </c>
      <c r="B16" s="119" t="s">
        <v>143</v>
      </c>
      <c r="C16" s="463">
        <v>0</v>
      </c>
      <c r="D16" s="106" t="s">
        <v>1583</v>
      </c>
      <c r="E16" s="100" t="e">
        <f>(InvulGlas[[#This Row],[Prijs excl. BTW]]*Tariefsopbouw!$I$37)+InvulGlas[[#This Row],[Prijs excl. BTW]]</f>
        <v>#DIV/0!</v>
      </c>
      <c r="F16" s="100" t="e">
        <f>E16*Tariefsopbouw!$K$37+Glasbewassing!E16</f>
        <v>#DIV/0!</v>
      </c>
      <c r="G16" s="100" t="e">
        <f>F16*Tariefsopbouw!$M$37+Glasbewassing!F16</f>
        <v>#DIV/0!</v>
      </c>
      <c r="H16" s="100" t="e">
        <f>G16*Tariefsopbouw!$O$37+Glasbewassing!G16</f>
        <v>#DIV/0!</v>
      </c>
      <c r="I16" s="100" t="e">
        <f>H16*Tariefsopbouw!$Q$37+Glasbewassing!H16</f>
        <v>#DIV/0!</v>
      </c>
    </row>
    <row r="17" spans="1:9" ht="15" customHeight="1">
      <c r="A17" s="105" t="s">
        <v>148</v>
      </c>
      <c r="B17" s="119" t="s">
        <v>144</v>
      </c>
      <c r="C17" s="463">
        <v>0</v>
      </c>
      <c r="D17" s="106" t="s">
        <v>1583</v>
      </c>
      <c r="E17" s="100" t="e">
        <f>(InvulGlas[[#This Row],[Prijs excl. BTW]]*Tariefsopbouw!$I$37)+InvulGlas[[#This Row],[Prijs excl. BTW]]</f>
        <v>#DIV/0!</v>
      </c>
      <c r="F17" s="100" t="e">
        <f>E17*Tariefsopbouw!$K$37+Glasbewassing!E17</f>
        <v>#DIV/0!</v>
      </c>
      <c r="G17" s="100" t="e">
        <f>F17*Tariefsopbouw!$M$37+Glasbewassing!F17</f>
        <v>#DIV/0!</v>
      </c>
      <c r="H17" s="100" t="e">
        <f>G17*Tariefsopbouw!$O$37+Glasbewassing!G17</f>
        <v>#DIV/0!</v>
      </c>
      <c r="I17" s="100" t="e">
        <f>H17*Tariefsopbouw!$Q$37+Glasbewassing!H17</f>
        <v>#DIV/0!</v>
      </c>
    </row>
    <row r="18" spans="1:9" ht="15" customHeight="1">
      <c r="A18" s="105" t="s">
        <v>149</v>
      </c>
      <c r="B18" s="119" t="s">
        <v>145</v>
      </c>
      <c r="C18" s="463">
        <v>0</v>
      </c>
      <c r="D18" s="106" t="s">
        <v>1583</v>
      </c>
      <c r="E18" s="100" t="e">
        <f>(InvulGlas[[#This Row],[Prijs excl. BTW]]*Tariefsopbouw!$I$37)+InvulGlas[[#This Row],[Prijs excl. BTW]]</f>
        <v>#DIV/0!</v>
      </c>
      <c r="F18" s="100" t="e">
        <f>E18*Tariefsopbouw!$K$37+Glasbewassing!E18</f>
        <v>#DIV/0!</v>
      </c>
      <c r="G18" s="100" t="e">
        <f>F18*Tariefsopbouw!$M$37+Glasbewassing!F18</f>
        <v>#DIV/0!</v>
      </c>
      <c r="H18" s="100" t="e">
        <f>G18*Tariefsopbouw!$O$37+Glasbewassing!G18</f>
        <v>#DIV/0!</v>
      </c>
      <c r="I18" s="100" t="e">
        <f>H18*Tariefsopbouw!$Q$37+Glasbewassing!H18</f>
        <v>#DIV/0!</v>
      </c>
    </row>
    <row r="19" spans="1:9" ht="15" customHeight="1">
      <c r="A19" s="105" t="s">
        <v>226</v>
      </c>
      <c r="B19" s="119" t="s">
        <v>227</v>
      </c>
      <c r="C19" s="463">
        <v>0</v>
      </c>
      <c r="D19" s="106" t="s">
        <v>1583</v>
      </c>
      <c r="E19" s="100" t="e">
        <f>(InvulGlas[[#This Row],[Prijs excl. BTW]]*Tariefsopbouw!$I$37)+InvulGlas[[#This Row],[Prijs excl. BTW]]</f>
        <v>#DIV/0!</v>
      </c>
      <c r="F19" s="100" t="e">
        <f>E19*Tariefsopbouw!$K$37+Glasbewassing!E19</f>
        <v>#DIV/0!</v>
      </c>
      <c r="G19" s="100" t="e">
        <f>F19*Tariefsopbouw!$M$37+Glasbewassing!F19</f>
        <v>#DIV/0!</v>
      </c>
      <c r="H19" s="100" t="e">
        <f>G19*Tariefsopbouw!$O$37+Glasbewassing!G19</f>
        <v>#DIV/0!</v>
      </c>
      <c r="I19" s="100" t="e">
        <f>H19*Tariefsopbouw!$Q$37+Glasbewassing!H19</f>
        <v>#DIV/0!</v>
      </c>
    </row>
    <row r="20" spans="1:9" ht="15" customHeight="1">
      <c r="C20" s="91"/>
      <c r="D20" s="91"/>
    </row>
    <row r="21" spans="1:9" s="120" customFormat="1" ht="26.25" customHeight="1">
      <c r="A21" s="248" t="s">
        <v>195</v>
      </c>
      <c r="B21" s="249" t="s">
        <v>135</v>
      </c>
      <c r="C21" s="250" t="s">
        <v>197</v>
      </c>
      <c r="D21" s="248" t="s">
        <v>136</v>
      </c>
      <c r="E21" s="248" t="s">
        <v>146</v>
      </c>
      <c r="F21" s="248" t="s">
        <v>117</v>
      </c>
      <c r="G21" s="248" t="s">
        <v>137</v>
      </c>
      <c r="H21" s="248" t="s">
        <v>1257</v>
      </c>
      <c r="I21" s="248" t="s">
        <v>1578</v>
      </c>
    </row>
    <row r="22" spans="1:9" ht="15" customHeight="1">
      <c r="A22" s="105">
        <v>1</v>
      </c>
      <c r="B22" s="87" t="str">
        <f>VLOOKUP(OverzichtGlas[[#This Row],[Code Locatie]],Totalisatie!$A$7:$B$31,2,FALSE)</f>
        <v>Hoofdkantoor OPOZ</v>
      </c>
      <c r="C22" s="105">
        <v>1</v>
      </c>
      <c r="D22" s="107" t="str">
        <f>IF(Glasbewassing!$C22&gt;0,VLOOKUP(Glasbewassing!$C22,$A$8:$B$19,2,FALSE),"Hier vult u de inzet van eventuele hoogwerkers in")</f>
        <v>Gevelglas binnenzijde</v>
      </c>
      <c r="E22" s="49">
        <v>16</v>
      </c>
      <c r="F22" s="108">
        <v>2</v>
      </c>
      <c r="G22" s="110">
        <f>IF(C22&gt;0,VLOOKUP(OverzichtGlas[[#This Row],[Code taak]],InvulGlas[],3,0)*E22*F22,0)</f>
        <v>0</v>
      </c>
      <c r="H22" s="110">
        <f>OverzichtGlas[[#This Row],[Kosten/jaar excl. BTW]]*1.21</f>
        <v>0</v>
      </c>
      <c r="I22" s="105"/>
    </row>
    <row r="23" spans="1:9" ht="15" customHeight="1">
      <c r="A23" s="105">
        <v>1</v>
      </c>
      <c r="B23" s="87" t="str">
        <f>VLOOKUP(OverzichtGlas[[#This Row],[Code Locatie]],Totalisatie!$A$7:$B$31,2,FALSE)</f>
        <v>Hoofdkantoor OPOZ</v>
      </c>
      <c r="C23" s="105">
        <v>2</v>
      </c>
      <c r="D23" s="107" t="str">
        <f>IF(Glasbewassing!$C23&gt;0,VLOOKUP(Glasbewassing!$C23,$A$8:$B$19,2,FALSE),"Hier vult u de inzet van eventuele hoogwerkers in")</f>
        <v>Gevelglas buitenzijde</v>
      </c>
      <c r="E23" s="49">
        <v>16</v>
      </c>
      <c r="F23" s="108">
        <v>2</v>
      </c>
      <c r="G23" s="110">
        <f>IF(C23&gt;0,VLOOKUP(OverzichtGlas[[#This Row],[Code taak]],InvulGlas[],3,0)*E23*F23,0)</f>
        <v>0</v>
      </c>
      <c r="H23" s="110">
        <f>OverzichtGlas[[#This Row],[Kosten/jaar excl. BTW]]*1.21</f>
        <v>0</v>
      </c>
      <c r="I23" s="105"/>
    </row>
    <row r="24" spans="1:9" ht="15" customHeight="1">
      <c r="A24" s="105">
        <v>1</v>
      </c>
      <c r="B24" s="87" t="str">
        <f>VLOOKUP(OverzichtGlas[[#This Row],[Code Locatie]],Totalisatie!$A$7:$B$31,2,FALSE)</f>
        <v>Hoofdkantoor OPOZ</v>
      </c>
      <c r="C24" s="105">
        <v>3</v>
      </c>
      <c r="D24" s="107" t="str">
        <f>IF(Glasbewassing!$C24&gt;0,VLOOKUP(Glasbewassing!$C24,$A$8:$B$19,2,FALSE),"Hier vult u de inzet van eventuele hoogwerkers in")</f>
        <v>Separatieglas (enkel gemeten, dubbel te wassen)</v>
      </c>
      <c r="E24" s="49">
        <v>7.5</v>
      </c>
      <c r="F24" s="108">
        <v>2</v>
      </c>
      <c r="G24" s="110">
        <f>IF(C24&gt;0,VLOOKUP(OverzichtGlas[[#This Row],[Code taak]],InvulGlas[],3,0)*E24*F24,0)</f>
        <v>0</v>
      </c>
      <c r="H24" s="110">
        <f>OverzichtGlas[[#This Row],[Kosten/jaar excl. BTW]]*1.21</f>
        <v>0</v>
      </c>
      <c r="I24" s="105"/>
    </row>
    <row r="25" spans="1:9" ht="15" customHeight="1">
      <c r="A25" s="105">
        <v>1</v>
      </c>
      <c r="B25" s="87" t="str">
        <f>VLOOKUP(OverzichtGlas[[#This Row],[Code Locatie]],Totalisatie!$A$7:$B$31,2,FALSE)</f>
        <v>Hoofdkantoor OPOZ</v>
      </c>
      <c r="C25" s="464"/>
      <c r="D25" s="97" t="str">
        <f>IF(Glasbewassing!$C25&gt;0,VLOOKUP(Glasbewassing!$C25,$A$8:$B$19,2,FALSE),"Hier vult u de inzet van eventuele hoogwerkers in")</f>
        <v>Hier vult u de inzet van eventuele hoogwerkers in</v>
      </c>
      <c r="E25" s="465"/>
      <c r="F25" s="108"/>
      <c r="G25" s="110">
        <f>IF(C25&gt;0,VLOOKUP(OverzichtGlas[[#This Row],[Code taak]],InvulGlas[],3,0)*E25*F25,0)</f>
        <v>0</v>
      </c>
      <c r="H25" s="110">
        <f>OverzichtGlas[[#This Row],[Kosten/jaar excl. BTW]]*1.21</f>
        <v>0</v>
      </c>
      <c r="I25" s="105"/>
    </row>
    <row r="26" spans="1:9" ht="15" customHeight="1">
      <c r="A26" s="105">
        <v>1</v>
      </c>
      <c r="B26" s="87" t="str">
        <f>VLOOKUP(OverzichtGlas[[#This Row],[Code Locatie]],Totalisatie!$A$7:$B$31,2,FALSE)</f>
        <v>Hoofdkantoor OPOZ</v>
      </c>
      <c r="C26" s="464"/>
      <c r="D26" s="97" t="str">
        <f>IF(Glasbewassing!$C26&gt;0,VLOOKUP(Glasbewassing!$C26,$A$8:$B$19,2,FALSE),"Hier vult u de inzet van eventuele hoogwerkers in")</f>
        <v>Hier vult u de inzet van eventuele hoogwerkers in</v>
      </c>
      <c r="E26" s="465"/>
      <c r="F26" s="108"/>
      <c r="G26" s="110">
        <f>IF(C26&gt;0,VLOOKUP(OverzichtGlas[[#This Row],[Code taak]],InvulGlas[],3,0)*E26*F26,0)</f>
        <v>0</v>
      </c>
      <c r="H26" s="110">
        <f>OverzichtGlas[[#This Row],[Kosten/jaar excl. BTW]]*1.21</f>
        <v>0</v>
      </c>
      <c r="I26" s="105"/>
    </row>
    <row r="27" spans="1:9" ht="15" customHeight="1">
      <c r="A27" s="105">
        <v>2</v>
      </c>
      <c r="B27" s="106" t="str">
        <f>VLOOKUP(OverzichtGlas[[#This Row],[Code Locatie]],Totalisatie!$A$7:$B$31,2,FALSE)</f>
        <v>IKC  De Watersnip</v>
      </c>
      <c r="C27" s="105">
        <v>1</v>
      </c>
      <c r="D27" s="107" t="str">
        <f>IF(Glasbewassing!$C27&gt;0,VLOOKUP(Glasbewassing!$C27,$A$8:$B$19,2,FALSE),"Hier vult u de inzet van eventuele hoogwerkers in")</f>
        <v>Gevelglas binnenzijde</v>
      </c>
      <c r="E27" s="49">
        <v>217</v>
      </c>
      <c r="F27" s="108">
        <v>2</v>
      </c>
      <c r="G27" s="110">
        <f>IF(C27&gt;0,VLOOKUP(OverzichtGlas[[#This Row],[Code taak]],InvulGlas[],3,0)*E27*F27,0)</f>
        <v>0</v>
      </c>
      <c r="H27" s="110">
        <f>OverzichtGlas[[#This Row],[Kosten/jaar excl. BTW]]*1.21</f>
        <v>0</v>
      </c>
      <c r="I27" s="105"/>
    </row>
    <row r="28" spans="1:9" ht="15" customHeight="1">
      <c r="A28" s="105">
        <v>2</v>
      </c>
      <c r="B28" s="106" t="str">
        <f>VLOOKUP(OverzichtGlas[[#This Row],[Code Locatie]],Totalisatie!$A$7:$B$31,2,FALSE)</f>
        <v>IKC  De Watersnip</v>
      </c>
      <c r="C28" s="105">
        <v>2</v>
      </c>
      <c r="D28" s="107" t="str">
        <f>IF(Glasbewassing!$C28&gt;0,VLOOKUP(Glasbewassing!$C28,$A$8:$B$19,2,FALSE),"Hier vult u de inzet van eventuele hoogwerkers in")</f>
        <v>Gevelglas buitenzijde</v>
      </c>
      <c r="E28" s="49">
        <v>217</v>
      </c>
      <c r="F28" s="108">
        <v>2</v>
      </c>
      <c r="G28" s="110">
        <f>IF(C28&gt;0,VLOOKUP(OverzichtGlas[[#This Row],[Code taak]],InvulGlas[],3,0)*E28*F28,0)</f>
        <v>0</v>
      </c>
      <c r="H28" s="110">
        <f>OverzichtGlas[[#This Row],[Kosten/jaar excl. BTW]]*1.21</f>
        <v>0</v>
      </c>
      <c r="I28" s="105"/>
    </row>
    <row r="29" spans="1:9" ht="15" customHeight="1">
      <c r="A29" s="105">
        <v>2</v>
      </c>
      <c r="B29" s="106" t="str">
        <f>VLOOKUP(OverzichtGlas[[#This Row],[Code Locatie]],Totalisatie!$A$7:$B$31,2,FALSE)</f>
        <v>IKC  De Watersnip</v>
      </c>
      <c r="C29" s="105">
        <v>3</v>
      </c>
      <c r="D29" s="107" t="str">
        <f>IF(Glasbewassing!$C29&gt;0,VLOOKUP(Glasbewassing!$C29,$A$8:$B$19,2,FALSE),"Hier vult u de inzet van eventuele hoogwerkers in")</f>
        <v>Separatieglas (enkel gemeten, dubbel te wassen)</v>
      </c>
      <c r="E29" s="49">
        <v>115.5</v>
      </c>
      <c r="F29" s="108">
        <v>2</v>
      </c>
      <c r="G29" s="110">
        <f>IF(C29&gt;0,VLOOKUP(OverzichtGlas[[#This Row],[Code taak]],InvulGlas[],3,0)*E29*F29,0)</f>
        <v>0</v>
      </c>
      <c r="H29" s="110">
        <f>OverzichtGlas[[#This Row],[Kosten/jaar excl. BTW]]*1.21</f>
        <v>0</v>
      </c>
      <c r="I29" s="105"/>
    </row>
    <row r="30" spans="1:9" ht="15" customHeight="1">
      <c r="A30" s="105">
        <v>2</v>
      </c>
      <c r="B30" s="106" t="str">
        <f>VLOOKUP(OverzichtGlas[[#This Row],[Code Locatie]],Totalisatie!$A$7:$B$31,2,FALSE)</f>
        <v>IKC  De Watersnip</v>
      </c>
      <c r="C30" s="105">
        <v>5</v>
      </c>
      <c r="D30" s="107" t="str">
        <f>IF(Glasbewassing!$C30&gt;0,VLOOKUP(Glasbewassing!$C30,$A$8:$B$19,2,FALSE),"Hier vult u de inzet van eventuele hoogwerkers in")</f>
        <v>Lichtkoepels (enkel gemeten, dubbel te wassen)</v>
      </c>
      <c r="E30" s="49">
        <v>45</v>
      </c>
      <c r="F30" s="108">
        <v>1</v>
      </c>
      <c r="G30" s="110">
        <f>IF(C30&gt;0,VLOOKUP(OverzichtGlas[[#This Row],[Code taak]],InvulGlas[],3,0)*E30*F30,0)</f>
        <v>0</v>
      </c>
      <c r="H30" s="110">
        <f>OverzichtGlas[[#This Row],[Kosten/jaar excl. BTW]]*1.21</f>
        <v>0</v>
      </c>
      <c r="I30" s="105"/>
    </row>
    <row r="31" spans="1:9" ht="15" customHeight="1">
      <c r="A31" s="105">
        <v>2</v>
      </c>
      <c r="B31" s="106" t="str">
        <f>VLOOKUP(OverzichtGlas[[#This Row],[Code Locatie]],Totalisatie!$A$7:$B$31,2,FALSE)</f>
        <v>IKC  De Watersnip</v>
      </c>
      <c r="C31" s="464"/>
      <c r="D31" s="107" t="str">
        <f>IF(Glasbewassing!$C31&gt;0,VLOOKUP(Glasbewassing!$C31,$A$8:$B$19,2,FALSE),"Hier vult u de inzet van eventuele hoogwerkers in")</f>
        <v>Hier vult u de inzet van eventuele hoogwerkers in</v>
      </c>
      <c r="E31" s="465"/>
      <c r="F31" s="108"/>
      <c r="G31" s="110">
        <f>IF(C31&gt;0,VLOOKUP(OverzichtGlas[[#This Row],[Code taak]],InvulGlas[],3,0)*E31*F31,0)</f>
        <v>0</v>
      </c>
      <c r="H31" s="110">
        <f>OverzichtGlas[[#This Row],[Kosten/jaar excl. BTW]]*1.21</f>
        <v>0</v>
      </c>
      <c r="I31" s="105"/>
    </row>
    <row r="32" spans="1:9" ht="15" customHeight="1">
      <c r="A32" s="105">
        <v>2</v>
      </c>
      <c r="B32" s="106" t="str">
        <f>VLOOKUP(OverzichtGlas[[#This Row],[Code Locatie]],Totalisatie!$A$7:$B$31,2,FALSE)</f>
        <v>IKC  De Watersnip</v>
      </c>
      <c r="C32" s="464"/>
      <c r="D32" s="107" t="str">
        <f>IF(Glasbewassing!$C32&gt;0,VLOOKUP(Glasbewassing!$C32,$A$8:$B$19,2,FALSE),"Hier vult u de inzet van eventuele hoogwerkers in")</f>
        <v>Hier vult u de inzet van eventuele hoogwerkers in</v>
      </c>
      <c r="E32" s="465"/>
      <c r="F32" s="108"/>
      <c r="G32" s="110">
        <f>IF(C32&gt;0,VLOOKUP(OverzichtGlas[[#This Row],[Code taak]],InvulGlas[],3,0)*E32*F32,0)</f>
        <v>0</v>
      </c>
      <c r="H32" s="110">
        <f>OverzichtGlas[[#This Row],[Kosten/jaar excl. BTW]]*1.21</f>
        <v>0</v>
      </c>
      <c r="I32" s="105"/>
    </row>
    <row r="33" spans="1:9" ht="15" customHeight="1">
      <c r="A33" s="105">
        <v>3</v>
      </c>
      <c r="B33" s="106" t="str">
        <f>VLOOKUP(OverzichtGlas[[#This Row],[Code Locatie]],Totalisatie!$A$7:$B$31,2,FALSE)</f>
        <v>IKC De Saffier</v>
      </c>
      <c r="C33" s="105">
        <v>1</v>
      </c>
      <c r="D33" s="107" t="str">
        <f>IF(Glasbewassing!$C33&gt;0,VLOOKUP(Glasbewassing!$C33,$A$8:$B$19,2,FALSE),"Hier vult u de inzet van eventuele hoogwerkers in")</f>
        <v>Gevelglas binnenzijde</v>
      </c>
      <c r="E33" s="49">
        <v>117</v>
      </c>
      <c r="F33" s="108">
        <v>2</v>
      </c>
      <c r="G33" s="110">
        <f>IF(C33&gt;0,VLOOKUP(OverzichtGlas[[#This Row],[Code taak]],InvulGlas[],3,0)*E33*F33,0)</f>
        <v>0</v>
      </c>
      <c r="H33" s="110">
        <f>OverzichtGlas[[#This Row],[Kosten/jaar excl. BTW]]*1.21</f>
        <v>0</v>
      </c>
      <c r="I33" s="105"/>
    </row>
    <row r="34" spans="1:9" ht="15" customHeight="1">
      <c r="A34" s="105">
        <v>3</v>
      </c>
      <c r="B34" s="106" t="str">
        <f>VLOOKUP(OverzichtGlas[[#This Row],[Code Locatie]],Totalisatie!$A$7:$B$31,2,FALSE)</f>
        <v>IKC De Saffier</v>
      </c>
      <c r="C34" s="105">
        <v>2</v>
      </c>
      <c r="D34" s="107" t="str">
        <f>IF(Glasbewassing!$C34&gt;0,VLOOKUP(Glasbewassing!$C34,$A$8:$B$19,2,FALSE),"Hier vult u de inzet van eventuele hoogwerkers in")</f>
        <v>Gevelglas buitenzijde</v>
      </c>
      <c r="E34" s="49">
        <v>117</v>
      </c>
      <c r="F34" s="108">
        <v>2</v>
      </c>
      <c r="G34" s="110">
        <f>IF(C34&gt;0,VLOOKUP(OverzichtGlas[[#This Row],[Code taak]],InvulGlas[],3,0)*E34*F34,0)</f>
        <v>0</v>
      </c>
      <c r="H34" s="110">
        <f>OverzichtGlas[[#This Row],[Kosten/jaar excl. BTW]]*1.21</f>
        <v>0</v>
      </c>
      <c r="I34" s="105"/>
    </row>
    <row r="35" spans="1:9" ht="15" customHeight="1">
      <c r="A35" s="105">
        <v>3</v>
      </c>
      <c r="B35" s="106" t="str">
        <f>VLOOKUP(OverzichtGlas[[#This Row],[Code Locatie]],Totalisatie!$A$7:$B$31,2,FALSE)</f>
        <v>IKC De Saffier</v>
      </c>
      <c r="C35" s="105">
        <v>3</v>
      </c>
      <c r="D35" s="107" t="str">
        <f>IF(Glasbewassing!$C35&gt;0,VLOOKUP(Glasbewassing!$C35,$A$8:$B$19,2,FALSE),"Hier vult u de inzet van eventuele hoogwerkers in")</f>
        <v>Separatieglas (enkel gemeten, dubbel te wassen)</v>
      </c>
      <c r="E35" s="49">
        <v>54</v>
      </c>
      <c r="F35" s="108">
        <v>2</v>
      </c>
      <c r="G35" s="110">
        <f>IF(C35&gt;0,VLOOKUP(OverzichtGlas[[#This Row],[Code taak]],InvulGlas[],3,0)*E35*F35,0)</f>
        <v>0</v>
      </c>
      <c r="H35" s="110">
        <f>OverzichtGlas[[#This Row],[Kosten/jaar excl. BTW]]*1.21</f>
        <v>0</v>
      </c>
      <c r="I35" s="105"/>
    </row>
    <row r="36" spans="1:9" ht="15" customHeight="1">
      <c r="A36" s="105">
        <v>3</v>
      </c>
      <c r="B36" s="106" t="str">
        <f>VLOOKUP(OverzichtGlas[[#This Row],[Code Locatie]],Totalisatie!$A$7:$B$31,2,FALSE)</f>
        <v>IKC De Saffier</v>
      </c>
      <c r="C36" s="464"/>
      <c r="D36" s="107" t="str">
        <f>IF(Glasbewassing!$C36&gt;0,VLOOKUP(Glasbewassing!$C36,$A$8:$B$19,2,FALSE),"Hier vult u de inzet van eventuele hoogwerkers in")</f>
        <v>Hier vult u de inzet van eventuele hoogwerkers in</v>
      </c>
      <c r="E36" s="465"/>
      <c r="F36" s="108"/>
      <c r="G36" s="110">
        <f>IF(C36&gt;0,VLOOKUP(OverzichtGlas[[#This Row],[Code taak]],InvulGlas[],3,0)*E36*F36,0)</f>
        <v>0</v>
      </c>
      <c r="H36" s="110">
        <f>OverzichtGlas[[#This Row],[Kosten/jaar excl. BTW]]*1.21</f>
        <v>0</v>
      </c>
      <c r="I36" s="105"/>
    </row>
    <row r="37" spans="1:9" ht="15" customHeight="1">
      <c r="A37" s="105">
        <v>3</v>
      </c>
      <c r="B37" s="106" t="str">
        <f>VLOOKUP(OverzichtGlas[[#This Row],[Code Locatie]],Totalisatie!$A$7:$B$31,2,FALSE)</f>
        <v>IKC De Saffier</v>
      </c>
      <c r="C37" s="464"/>
      <c r="D37" s="107" t="str">
        <f>IF(Glasbewassing!$C37&gt;0,VLOOKUP(Glasbewassing!$C37,$A$8:$B$19,2,FALSE),"Hier vult u de inzet van eventuele hoogwerkers in")</f>
        <v>Hier vult u de inzet van eventuele hoogwerkers in</v>
      </c>
      <c r="E37" s="465"/>
      <c r="F37" s="108"/>
      <c r="G37" s="110">
        <f>IF(C37&gt;0,VLOOKUP(OverzichtGlas[[#This Row],[Code taak]],InvulGlas[],3,0)*E37*F37,0)</f>
        <v>0</v>
      </c>
      <c r="H37" s="110">
        <f>OverzichtGlas[[#This Row],[Kosten/jaar excl. BTW]]*1.21</f>
        <v>0</v>
      </c>
      <c r="I37" s="105"/>
    </row>
    <row r="38" spans="1:9" ht="15" customHeight="1">
      <c r="A38" s="105">
        <v>4</v>
      </c>
      <c r="B38" s="106" t="str">
        <f>VLOOKUP(OverzichtGlas[[#This Row],[Code Locatie]],Totalisatie!$A$7:$B$31,2,FALSE)</f>
        <v>IKC De Waterlelie</v>
      </c>
      <c r="C38" s="105">
        <v>1</v>
      </c>
      <c r="D38" s="107" t="str">
        <f>IF(Glasbewassing!$C38&gt;0,VLOOKUP(Glasbewassing!$C38,$A$8:$B$19,2,FALSE),"Hier vult u de inzet van eventuele hoogwerkers in")</f>
        <v>Gevelglas binnenzijde</v>
      </c>
      <c r="E38" s="49">
        <v>110</v>
      </c>
      <c r="F38" s="108">
        <v>2</v>
      </c>
      <c r="G38" s="110">
        <f>IF(C38&gt;0,VLOOKUP(OverzichtGlas[[#This Row],[Code taak]],InvulGlas[],3,0)*E38*F38,0)</f>
        <v>0</v>
      </c>
      <c r="H38" s="110">
        <f>OverzichtGlas[[#This Row],[Kosten/jaar excl. BTW]]*1.21</f>
        <v>0</v>
      </c>
      <c r="I38" s="105"/>
    </row>
    <row r="39" spans="1:9" ht="15" customHeight="1">
      <c r="A39" s="105">
        <v>4</v>
      </c>
      <c r="B39" s="106" t="str">
        <f>VLOOKUP(OverzichtGlas[[#This Row],[Code Locatie]],Totalisatie!$A$7:$B$31,2,FALSE)</f>
        <v>IKC De Waterlelie</v>
      </c>
      <c r="C39" s="105">
        <v>2</v>
      </c>
      <c r="D39" s="107" t="str">
        <f>IF(Glasbewassing!$C39&gt;0,VLOOKUP(Glasbewassing!$C39,$A$8:$B$19,2,FALSE),"Hier vult u de inzet van eventuele hoogwerkers in")</f>
        <v>Gevelglas buitenzijde</v>
      </c>
      <c r="E39" s="49">
        <v>110</v>
      </c>
      <c r="F39" s="108">
        <v>2</v>
      </c>
      <c r="G39" s="110">
        <f>IF(C39&gt;0,VLOOKUP(OverzichtGlas[[#This Row],[Code taak]],InvulGlas[],3,0)*E39*F39,0)</f>
        <v>0</v>
      </c>
      <c r="H39" s="110">
        <f>OverzichtGlas[[#This Row],[Kosten/jaar excl. BTW]]*1.21</f>
        <v>0</v>
      </c>
      <c r="I39" s="105"/>
    </row>
    <row r="40" spans="1:9" ht="15" customHeight="1">
      <c r="A40" s="105">
        <v>4</v>
      </c>
      <c r="B40" s="106" t="str">
        <f>VLOOKUP(OverzichtGlas[[#This Row],[Code Locatie]],Totalisatie!$A$7:$B$31,2,FALSE)</f>
        <v>IKC De Waterlelie</v>
      </c>
      <c r="C40" s="105">
        <v>3</v>
      </c>
      <c r="D40" s="107" t="str">
        <f>IF(Glasbewassing!$C40&gt;0,VLOOKUP(Glasbewassing!$C40,$A$8:$B$19,2,FALSE),"Hier vult u de inzet van eventuele hoogwerkers in")</f>
        <v>Separatieglas (enkel gemeten, dubbel te wassen)</v>
      </c>
      <c r="E40" s="49">
        <v>30</v>
      </c>
      <c r="F40" s="108">
        <v>2</v>
      </c>
      <c r="G40" s="110">
        <f>IF(C40&gt;0,VLOOKUP(OverzichtGlas[[#This Row],[Code taak]],InvulGlas[],3,0)*E40*F40,0)</f>
        <v>0</v>
      </c>
      <c r="H40" s="110">
        <f>OverzichtGlas[[#This Row],[Kosten/jaar excl. BTW]]*1.21</f>
        <v>0</v>
      </c>
      <c r="I40" s="105"/>
    </row>
    <row r="41" spans="1:9" ht="15" customHeight="1">
      <c r="A41" s="105">
        <v>4</v>
      </c>
      <c r="B41" s="106" t="str">
        <f>VLOOKUP(OverzichtGlas[[#This Row],[Code Locatie]],Totalisatie!$A$7:$B$31,2,FALSE)</f>
        <v>IKC De Waterlelie</v>
      </c>
      <c r="C41" s="464"/>
      <c r="D41" s="107" t="str">
        <f>IF(Glasbewassing!$C41&gt;0,VLOOKUP(Glasbewassing!$C41,$A$8:$B$19,2,FALSE),"Hier vult u de inzet van eventuele hoogwerkers in")</f>
        <v>Hier vult u de inzet van eventuele hoogwerkers in</v>
      </c>
      <c r="E41" s="465"/>
      <c r="F41" s="108"/>
      <c r="G41" s="110">
        <f>IF(C41&gt;0,VLOOKUP(OverzichtGlas[[#This Row],[Code taak]],InvulGlas[],3,0)*E41*F41,0)</f>
        <v>0</v>
      </c>
      <c r="H41" s="110">
        <f>OverzichtGlas[[#This Row],[Kosten/jaar excl. BTW]]*1.21</f>
        <v>0</v>
      </c>
      <c r="I41" s="105"/>
    </row>
    <row r="42" spans="1:9" ht="15" customHeight="1">
      <c r="A42" s="105">
        <v>4</v>
      </c>
      <c r="B42" s="106" t="str">
        <f>VLOOKUP(OverzichtGlas[[#This Row],[Code Locatie]],Totalisatie!$A$7:$B$31,2,FALSE)</f>
        <v>IKC De Waterlelie</v>
      </c>
      <c r="C42" s="464"/>
      <c r="D42" s="107" t="str">
        <f>IF(Glasbewassing!$C42&gt;0,VLOOKUP(Glasbewassing!$C42,$A$8:$B$19,2,FALSE),"Hier vult u de inzet van eventuele hoogwerkers in")</f>
        <v>Hier vult u de inzet van eventuele hoogwerkers in</v>
      </c>
      <c r="E42" s="465"/>
      <c r="F42" s="108"/>
      <c r="G42" s="110">
        <f>IF(C42&gt;0,VLOOKUP(OverzichtGlas[[#This Row],[Code taak]],InvulGlas[],3,0)*E42*F42,0)</f>
        <v>0</v>
      </c>
      <c r="H42" s="110">
        <f>OverzichtGlas[[#This Row],[Kosten/jaar excl. BTW]]*1.21</f>
        <v>0</v>
      </c>
      <c r="I42" s="105"/>
    </row>
    <row r="43" spans="1:9" ht="15" customHeight="1">
      <c r="A43" s="105">
        <v>5</v>
      </c>
      <c r="B43" s="106" t="str">
        <f>VLOOKUP(OverzichtGlas[[#This Row],[Code Locatie]],Totalisatie!$A$7:$B$31,2,FALSE)</f>
        <v>IKC De Springplank</v>
      </c>
      <c r="C43" s="105">
        <v>1</v>
      </c>
      <c r="D43" s="107" t="str">
        <f>IF(Glasbewassing!$C43&gt;0,VLOOKUP(Glasbewassing!$C43,$A$8:$B$19,2,FALSE),"Hier vult u de inzet van eventuele hoogwerkers in")</f>
        <v>Gevelglas binnenzijde</v>
      </c>
      <c r="E43" s="49">
        <v>231</v>
      </c>
      <c r="F43" s="108">
        <v>2</v>
      </c>
      <c r="G43" s="110">
        <f>IF(C43&gt;0,VLOOKUP(OverzichtGlas[[#This Row],[Code taak]],InvulGlas[],3,0)*E43*F43,0)</f>
        <v>0</v>
      </c>
      <c r="H43" s="110">
        <f>OverzichtGlas[[#This Row],[Kosten/jaar excl. BTW]]*1.21</f>
        <v>0</v>
      </c>
      <c r="I43" s="105"/>
    </row>
    <row r="44" spans="1:9" ht="15" customHeight="1">
      <c r="A44" s="105">
        <v>5</v>
      </c>
      <c r="B44" s="106" t="str">
        <f>VLOOKUP(OverzichtGlas[[#This Row],[Code Locatie]],Totalisatie!$A$7:$B$31,2,FALSE)</f>
        <v>IKC De Springplank</v>
      </c>
      <c r="C44" s="105">
        <v>2</v>
      </c>
      <c r="D44" s="107" t="str">
        <f>IF(Glasbewassing!$C44&gt;0,VLOOKUP(Glasbewassing!$C44,$A$8:$B$19,2,FALSE),"Hier vult u de inzet van eventuele hoogwerkers in")</f>
        <v>Gevelglas buitenzijde</v>
      </c>
      <c r="E44" s="49">
        <v>231</v>
      </c>
      <c r="F44" s="108">
        <v>2</v>
      </c>
      <c r="G44" s="110">
        <f>IF(C44&gt;0,VLOOKUP(OverzichtGlas[[#This Row],[Code taak]],InvulGlas[],3,0)*E44*F44,0)</f>
        <v>0</v>
      </c>
      <c r="H44" s="110">
        <f>OverzichtGlas[[#This Row],[Kosten/jaar excl. BTW]]*1.21</f>
        <v>0</v>
      </c>
      <c r="I44" s="105"/>
    </row>
    <row r="45" spans="1:9" ht="15" customHeight="1">
      <c r="A45" s="105">
        <v>5</v>
      </c>
      <c r="B45" s="106" t="str">
        <f>VLOOKUP(OverzichtGlas[[#This Row],[Code Locatie]],Totalisatie!$A$7:$B$31,2,FALSE)</f>
        <v>IKC De Springplank</v>
      </c>
      <c r="C45" s="105">
        <v>3</v>
      </c>
      <c r="D45" s="107" t="str">
        <f>IF(Glasbewassing!$C45&gt;0,VLOOKUP(Glasbewassing!$C45,$A$8:$B$19,2,FALSE),"Hier vult u de inzet van eventuele hoogwerkers in")</f>
        <v>Separatieglas (enkel gemeten, dubbel te wassen)</v>
      </c>
      <c r="E45" s="49">
        <v>50</v>
      </c>
      <c r="F45" s="108">
        <v>2</v>
      </c>
      <c r="G45" s="110">
        <f>IF(C45&gt;0,VLOOKUP(OverzichtGlas[[#This Row],[Code taak]],InvulGlas[],3,0)*E45*F45,0)</f>
        <v>0</v>
      </c>
      <c r="H45" s="110">
        <f>OverzichtGlas[[#This Row],[Kosten/jaar excl. BTW]]*1.21</f>
        <v>0</v>
      </c>
      <c r="I45" s="105"/>
    </row>
    <row r="46" spans="1:9" ht="15" customHeight="1">
      <c r="A46" s="105">
        <v>5</v>
      </c>
      <c r="B46" s="106" t="str">
        <f>VLOOKUP(OverzichtGlas[[#This Row],[Code Locatie]],Totalisatie!$A$7:$B$31,2,FALSE)</f>
        <v>IKC De Springplank</v>
      </c>
      <c r="C46" s="105">
        <v>6</v>
      </c>
      <c r="D46" s="107" t="str">
        <f>IF(Glasbewassing!$C46&gt;0,VLOOKUP(Glasbewassing!$C46,$A$8:$B$19,2,FALSE),"Hier vult u de inzet van eventuele hoogwerkers in")</f>
        <v>Dakglas (enkel gemeten, dubbel te wassen)</v>
      </c>
      <c r="E46" s="49">
        <v>16</v>
      </c>
      <c r="F46" s="108">
        <v>1</v>
      </c>
      <c r="G46" s="110">
        <f>IF(C46&gt;0,VLOOKUP(OverzichtGlas[[#This Row],[Code taak]],InvulGlas[],3,0)*E46*F46,0)</f>
        <v>0</v>
      </c>
      <c r="H46" s="110">
        <f>OverzichtGlas[[#This Row],[Kosten/jaar excl. BTW]]*1.21</f>
        <v>0</v>
      </c>
      <c r="I46" s="105"/>
    </row>
    <row r="47" spans="1:9" ht="15" customHeight="1">
      <c r="A47" s="105">
        <v>5</v>
      </c>
      <c r="B47" s="106" t="str">
        <f>VLOOKUP(OverzichtGlas[[#This Row],[Code Locatie]],Totalisatie!$A$7:$B$31,2,FALSE)</f>
        <v>IKC De Springplank</v>
      </c>
      <c r="C47" s="464"/>
      <c r="D47" s="107" t="str">
        <f>IF(Glasbewassing!$C47&gt;0,VLOOKUP(Glasbewassing!$C47,$A$8:$B$19,2,FALSE),"Hier vult u de inzet van eventuele hoogwerkers in")</f>
        <v>Hier vult u de inzet van eventuele hoogwerkers in</v>
      </c>
      <c r="E47" s="465"/>
      <c r="F47" s="108"/>
      <c r="G47" s="110">
        <f>IF(C47&gt;0,VLOOKUP(OverzichtGlas[[#This Row],[Code taak]],InvulGlas[],3,0)*E47*F47,0)</f>
        <v>0</v>
      </c>
      <c r="H47" s="110">
        <f>OverzichtGlas[[#This Row],[Kosten/jaar excl. BTW]]*1.21</f>
        <v>0</v>
      </c>
      <c r="I47" s="105"/>
    </row>
    <row r="48" spans="1:9" ht="15" customHeight="1">
      <c r="A48" s="105">
        <v>5</v>
      </c>
      <c r="B48" s="106" t="str">
        <f>VLOOKUP(OverzichtGlas[[#This Row],[Code Locatie]],Totalisatie!$A$7:$B$31,2,FALSE)</f>
        <v>IKC De Springplank</v>
      </c>
      <c r="C48" s="464"/>
      <c r="D48" s="107" t="str">
        <f>IF(Glasbewassing!$C48&gt;0,VLOOKUP(Glasbewassing!$C48,$A$8:$B$19,2,FALSE),"Hier vult u de inzet van eventuele hoogwerkers in")</f>
        <v>Hier vult u de inzet van eventuele hoogwerkers in</v>
      </c>
      <c r="E48" s="465"/>
      <c r="F48" s="108"/>
      <c r="G48" s="110">
        <f>IF(C48&gt;0,VLOOKUP(OverzichtGlas[[#This Row],[Code taak]],InvulGlas[],3,0)*E48*F48,0)</f>
        <v>0</v>
      </c>
      <c r="H48" s="110">
        <f>OverzichtGlas[[#This Row],[Kosten/jaar excl. BTW]]*1.21</f>
        <v>0</v>
      </c>
      <c r="I48" s="105"/>
    </row>
    <row r="49" spans="1:9" ht="15" customHeight="1">
      <c r="A49" s="105">
        <v>6</v>
      </c>
      <c r="B49" s="106" t="str">
        <f>VLOOKUP(OverzichtGlas[[#This Row],[Code Locatie]],Totalisatie!$A$7:$B$31,2,FALSE)</f>
        <v>IKC Het Zwanenbos</v>
      </c>
      <c r="C49" s="105">
        <v>1</v>
      </c>
      <c r="D49" s="107" t="str">
        <f>IF(Glasbewassing!$C49&gt;0,VLOOKUP(Glasbewassing!$C49,$A$8:$B$19,2,FALSE),"Hier vult u de inzet van eventuele hoogwerkers in")</f>
        <v>Gevelglas binnenzijde</v>
      </c>
      <c r="E49" s="49">
        <v>411</v>
      </c>
      <c r="F49" s="108">
        <v>2</v>
      </c>
      <c r="G49" s="110">
        <f>IF(C49&gt;0,VLOOKUP(OverzichtGlas[[#This Row],[Code taak]],InvulGlas[],3,0)*E49*F49,0)</f>
        <v>0</v>
      </c>
      <c r="H49" s="110">
        <f>OverzichtGlas[[#This Row],[Kosten/jaar excl. BTW]]*1.21</f>
        <v>0</v>
      </c>
      <c r="I49" s="105"/>
    </row>
    <row r="50" spans="1:9" ht="15" customHeight="1">
      <c r="A50" s="105">
        <v>6</v>
      </c>
      <c r="B50" s="106" t="str">
        <f>VLOOKUP(OverzichtGlas[[#This Row],[Code Locatie]],Totalisatie!$A$7:$B$31,2,FALSE)</f>
        <v>IKC Het Zwanenbos</v>
      </c>
      <c r="C50" s="105">
        <v>2</v>
      </c>
      <c r="D50" s="107" t="str">
        <f>IF(Glasbewassing!$C50&gt;0,VLOOKUP(Glasbewassing!$C50,$A$8:$B$19,2,FALSE),"Hier vult u de inzet van eventuele hoogwerkers in")</f>
        <v>Gevelglas buitenzijde</v>
      </c>
      <c r="E50" s="49">
        <v>411</v>
      </c>
      <c r="F50" s="108">
        <v>2</v>
      </c>
      <c r="G50" s="110">
        <f>IF(C50&gt;0,VLOOKUP(OverzichtGlas[[#This Row],[Code taak]],InvulGlas[],3,0)*E50*F50,0)</f>
        <v>0</v>
      </c>
      <c r="H50" s="110">
        <f>OverzichtGlas[[#This Row],[Kosten/jaar excl. BTW]]*1.21</f>
        <v>0</v>
      </c>
      <c r="I50" s="105"/>
    </row>
    <row r="51" spans="1:9" ht="15" customHeight="1">
      <c r="A51" s="105">
        <v>6</v>
      </c>
      <c r="B51" s="106" t="str">
        <f>VLOOKUP(OverzichtGlas[[#This Row],[Code Locatie]],Totalisatie!$A$7:$B$31,2,FALSE)</f>
        <v>IKC Het Zwanenbos</v>
      </c>
      <c r="C51" s="105">
        <v>3</v>
      </c>
      <c r="D51" s="107" t="str">
        <f>IF(Glasbewassing!$C51&gt;0,VLOOKUP(Glasbewassing!$C51,$A$8:$B$19,2,FALSE),"Hier vult u de inzet van eventuele hoogwerkers in")</f>
        <v>Separatieglas (enkel gemeten, dubbel te wassen)</v>
      </c>
      <c r="E51" s="49">
        <v>34.5</v>
      </c>
      <c r="F51" s="108">
        <v>2</v>
      </c>
      <c r="G51" s="110">
        <f>IF(C51&gt;0,VLOOKUP(OverzichtGlas[[#This Row],[Code taak]],InvulGlas[],3,0)*E51*F51,0)</f>
        <v>0</v>
      </c>
      <c r="H51" s="110">
        <f>OverzichtGlas[[#This Row],[Kosten/jaar excl. BTW]]*1.21</f>
        <v>0</v>
      </c>
      <c r="I51" s="105"/>
    </row>
    <row r="52" spans="1:9" ht="15" customHeight="1">
      <c r="A52" s="105">
        <v>6</v>
      </c>
      <c r="B52" s="106" t="str">
        <f>VLOOKUP(OverzichtGlas[[#This Row],[Code Locatie]],Totalisatie!$A$7:$B$31,2,FALSE)</f>
        <v>IKC Het Zwanenbos</v>
      </c>
      <c r="C52" s="105">
        <v>6</v>
      </c>
      <c r="D52" s="107" t="str">
        <f>IF(Glasbewassing!$C52&gt;0,VLOOKUP(Glasbewassing!$C52,$A$8:$B$19,2,FALSE),"Hier vult u de inzet van eventuele hoogwerkers in")</f>
        <v>Dakglas (enkel gemeten, dubbel te wassen)</v>
      </c>
      <c r="E52" s="49">
        <v>11</v>
      </c>
      <c r="F52" s="108">
        <v>1</v>
      </c>
      <c r="G52" s="110">
        <f>IF(C52&gt;0,VLOOKUP(OverzichtGlas[[#This Row],[Code taak]],InvulGlas[],3,0)*E52*F52,0)</f>
        <v>0</v>
      </c>
      <c r="H52" s="110">
        <f>OverzichtGlas[[#This Row],[Kosten/jaar excl. BTW]]*1.21</f>
        <v>0</v>
      </c>
      <c r="I52" s="105"/>
    </row>
    <row r="53" spans="1:9" ht="15" customHeight="1">
      <c r="A53" s="105">
        <v>6</v>
      </c>
      <c r="B53" s="106" t="str">
        <f>VLOOKUP(OverzichtGlas[[#This Row],[Code Locatie]],Totalisatie!$A$7:$B$31,2,FALSE)</f>
        <v>IKC Het Zwanenbos</v>
      </c>
      <c r="C53" s="464"/>
      <c r="D53" s="107" t="str">
        <f>IF(Glasbewassing!$C53&gt;0,VLOOKUP(Glasbewassing!$C53,$A$8:$B$19,2,FALSE),"Hier vult u de inzet van eventuele hoogwerkers in")</f>
        <v>Hier vult u de inzet van eventuele hoogwerkers in</v>
      </c>
      <c r="E53" s="465"/>
      <c r="F53" s="108"/>
      <c r="G53" s="110">
        <f>IF(C53&gt;0,VLOOKUP(OverzichtGlas[[#This Row],[Code taak]],InvulGlas[],3,0)*E53*F53,0)</f>
        <v>0</v>
      </c>
      <c r="H53" s="110">
        <f>OverzichtGlas[[#This Row],[Kosten/jaar excl. BTW]]*1.21</f>
        <v>0</v>
      </c>
      <c r="I53" s="105"/>
    </row>
    <row r="54" spans="1:9" ht="15" customHeight="1">
      <c r="A54" s="105">
        <v>6</v>
      </c>
      <c r="B54" s="106" t="str">
        <f>VLOOKUP(OverzichtGlas[[#This Row],[Code Locatie]],Totalisatie!$A$7:$B$31,2,FALSE)</f>
        <v>IKC Het Zwanenbos</v>
      </c>
      <c r="C54" s="464"/>
      <c r="D54" s="107" t="str">
        <f>IF(Glasbewassing!$C54&gt;0,VLOOKUP(Glasbewassing!$C54,$A$8:$B$19,2,FALSE),"Hier vult u de inzet van eventuele hoogwerkers in")</f>
        <v>Hier vult u de inzet van eventuele hoogwerkers in</v>
      </c>
      <c r="E54" s="465"/>
      <c r="F54" s="108"/>
      <c r="G54" s="110">
        <f>IF(C54&gt;0,VLOOKUP(OverzichtGlas[[#This Row],[Code taak]],InvulGlas[],3,0)*E54*F54,0)</f>
        <v>0</v>
      </c>
      <c r="H54" s="110">
        <f>OverzichtGlas[[#This Row],[Kosten/jaar excl. BTW]]*1.21</f>
        <v>0</v>
      </c>
      <c r="I54" s="105"/>
    </row>
    <row r="55" spans="1:9" ht="15" customHeight="1">
      <c r="A55" s="105">
        <v>7</v>
      </c>
      <c r="B55" s="106" t="str">
        <f>VLOOKUP(OverzichtGlas[[#This Row],[Code Locatie]],Totalisatie!$A$7:$B$31,2,FALSE)</f>
        <v>IKC De Baanbreker</v>
      </c>
      <c r="C55" s="105">
        <v>1</v>
      </c>
      <c r="D55" s="107" t="str">
        <f>IF(Glasbewassing!$C55&gt;0,VLOOKUP(Glasbewassing!$C55,$A$8:$B$19,2,FALSE),"Hier vult u de inzet van eventuele hoogwerkers in")</f>
        <v>Gevelglas binnenzijde</v>
      </c>
      <c r="E55" s="49">
        <v>266</v>
      </c>
      <c r="F55" s="108">
        <v>2</v>
      </c>
      <c r="G55" s="110">
        <f>IF(C55&gt;0,VLOOKUP(OverzichtGlas[[#This Row],[Code taak]],InvulGlas[],3,0)*E55*F55,0)</f>
        <v>0</v>
      </c>
      <c r="H55" s="110">
        <f>OverzichtGlas[[#This Row],[Kosten/jaar excl. BTW]]*1.21</f>
        <v>0</v>
      </c>
      <c r="I55" s="105"/>
    </row>
    <row r="56" spans="1:9" ht="15" customHeight="1">
      <c r="A56" s="105">
        <v>7</v>
      </c>
      <c r="B56" s="106" t="str">
        <f>VLOOKUP(OverzichtGlas[[#This Row],[Code Locatie]],Totalisatie!$A$7:$B$31,2,FALSE)</f>
        <v>IKC De Baanbreker</v>
      </c>
      <c r="C56" s="105">
        <v>2</v>
      </c>
      <c r="D56" s="107" t="str">
        <f>IF(Glasbewassing!$C56&gt;0,VLOOKUP(Glasbewassing!$C56,$A$8:$B$19,2,FALSE),"Hier vult u de inzet van eventuele hoogwerkers in")</f>
        <v>Gevelglas buitenzijde</v>
      </c>
      <c r="E56" s="49">
        <v>266</v>
      </c>
      <c r="F56" s="108">
        <v>2</v>
      </c>
      <c r="G56" s="110">
        <f>IF(C56&gt;0,VLOOKUP(OverzichtGlas[[#This Row],[Code taak]],InvulGlas[],3,0)*E56*F56,0)</f>
        <v>0</v>
      </c>
      <c r="H56" s="110">
        <f>OverzichtGlas[[#This Row],[Kosten/jaar excl. BTW]]*1.21</f>
        <v>0</v>
      </c>
      <c r="I56" s="105"/>
    </row>
    <row r="57" spans="1:9" ht="15" customHeight="1">
      <c r="A57" s="105">
        <v>7</v>
      </c>
      <c r="B57" s="106" t="str">
        <f>VLOOKUP(OverzichtGlas[[#This Row],[Code Locatie]],Totalisatie!$A$7:$B$31,2,FALSE)</f>
        <v>IKC De Baanbreker</v>
      </c>
      <c r="C57" s="105">
        <v>3</v>
      </c>
      <c r="D57" s="107" t="str">
        <f>IF(Glasbewassing!$C57&gt;0,VLOOKUP(Glasbewassing!$C57,$A$8:$B$19,2,FALSE),"Hier vult u de inzet van eventuele hoogwerkers in")</f>
        <v>Separatieglas (enkel gemeten, dubbel te wassen)</v>
      </c>
      <c r="E57" s="49">
        <v>57.5</v>
      </c>
      <c r="F57" s="108">
        <v>2</v>
      </c>
      <c r="G57" s="110">
        <f>IF(C57&gt;0,VLOOKUP(OverzichtGlas[[#This Row],[Code taak]],InvulGlas[],3,0)*E57*F57,0)</f>
        <v>0</v>
      </c>
      <c r="H57" s="110">
        <f>OverzichtGlas[[#This Row],[Kosten/jaar excl. BTW]]*1.21</f>
        <v>0</v>
      </c>
      <c r="I57" s="105"/>
    </row>
    <row r="58" spans="1:9" ht="15" customHeight="1">
      <c r="A58" s="105">
        <v>7</v>
      </c>
      <c r="B58" s="106" t="str">
        <f>VLOOKUP(OverzichtGlas[[#This Row],[Code Locatie]],Totalisatie!$A$7:$B$31,2,FALSE)</f>
        <v>IKC De Baanbreker</v>
      </c>
      <c r="C58" s="464"/>
      <c r="D58" s="107" t="str">
        <f>IF(Glasbewassing!$C58&gt;0,VLOOKUP(Glasbewassing!$C58,$A$8:$B$19,2,FALSE),"Hier vult u de inzet van eventuele hoogwerkers in")</f>
        <v>Hier vult u de inzet van eventuele hoogwerkers in</v>
      </c>
      <c r="E58" s="465"/>
      <c r="F58" s="108"/>
      <c r="G58" s="110">
        <f>IF(C58&gt;0,VLOOKUP(OverzichtGlas[[#This Row],[Code taak]],InvulGlas[],3,0)*E58*F58,0)</f>
        <v>0</v>
      </c>
      <c r="H58" s="110">
        <f>OverzichtGlas[[#This Row],[Kosten/jaar excl. BTW]]*1.21</f>
        <v>0</v>
      </c>
      <c r="I58" s="105"/>
    </row>
    <row r="59" spans="1:9" ht="15" customHeight="1">
      <c r="A59" s="105">
        <v>7</v>
      </c>
      <c r="B59" s="106" t="str">
        <f>VLOOKUP(OverzichtGlas[[#This Row],[Code Locatie]],Totalisatie!$A$7:$B$31,2,FALSE)</f>
        <v>IKC De Baanbreker</v>
      </c>
      <c r="C59" s="464"/>
      <c r="D59" s="107" t="str">
        <f>IF(Glasbewassing!$C59&gt;0,VLOOKUP(Glasbewassing!$C59,$A$8:$B$19,2,FALSE),"Hier vult u de inzet van eventuele hoogwerkers in")</f>
        <v>Hier vult u de inzet van eventuele hoogwerkers in</v>
      </c>
      <c r="E59" s="465"/>
      <c r="F59" s="108"/>
      <c r="G59" s="110">
        <f>IF(C59&gt;0,VLOOKUP(OverzichtGlas[[#This Row],[Code taak]],InvulGlas[],3,0)*E59*F59,0)</f>
        <v>0</v>
      </c>
      <c r="H59" s="110">
        <f>OverzichtGlas[[#This Row],[Kosten/jaar excl. BTW]]*1.21</f>
        <v>0</v>
      </c>
      <c r="I59" s="105"/>
    </row>
    <row r="60" spans="1:9" ht="15" customHeight="1">
      <c r="A60" s="105">
        <v>8</v>
      </c>
      <c r="B60" s="106" t="str">
        <f>VLOOKUP(OverzichtGlas[[#This Row],[Code Locatie]],Totalisatie!$A$7:$B$31,2,FALSE)</f>
        <v>IKC De Trinoom</v>
      </c>
      <c r="C60" s="105">
        <v>1</v>
      </c>
      <c r="D60" s="107" t="str">
        <f>IF(Glasbewassing!$C60&gt;0,VLOOKUP(Glasbewassing!$C60,$A$8:$B$19,2,FALSE),"Hier vult u de inzet van eventuele hoogwerkers in")</f>
        <v>Gevelglas binnenzijde</v>
      </c>
      <c r="E60" s="49">
        <v>194</v>
      </c>
      <c r="F60" s="108">
        <v>2</v>
      </c>
      <c r="G60" s="110">
        <f>IF(C60&gt;0,VLOOKUP(OverzichtGlas[[#This Row],[Code taak]],InvulGlas[],3,0)*E60*F60,0)</f>
        <v>0</v>
      </c>
      <c r="H60" s="110">
        <f>OverzichtGlas[[#This Row],[Kosten/jaar excl. BTW]]*1.21</f>
        <v>0</v>
      </c>
      <c r="I60" s="105"/>
    </row>
    <row r="61" spans="1:9" ht="15" customHeight="1">
      <c r="A61" s="105">
        <v>8</v>
      </c>
      <c r="B61" s="106" t="str">
        <f>VLOOKUP(OverzichtGlas[[#This Row],[Code Locatie]],Totalisatie!$A$7:$B$31,2,FALSE)</f>
        <v>IKC De Trinoom</v>
      </c>
      <c r="C61" s="105">
        <v>2</v>
      </c>
      <c r="D61" s="107" t="str">
        <f>IF(Glasbewassing!$C61&gt;0,VLOOKUP(Glasbewassing!$C61,$A$8:$B$19,2,FALSE),"Hier vult u de inzet van eventuele hoogwerkers in")</f>
        <v>Gevelglas buitenzijde</v>
      </c>
      <c r="E61" s="49">
        <v>194</v>
      </c>
      <c r="F61" s="108">
        <v>2</v>
      </c>
      <c r="G61" s="110">
        <f>IF(C61&gt;0,VLOOKUP(OverzichtGlas[[#This Row],[Code taak]],InvulGlas[],3,0)*E61*F61,0)</f>
        <v>0</v>
      </c>
      <c r="H61" s="110">
        <f>OverzichtGlas[[#This Row],[Kosten/jaar excl. BTW]]*1.21</f>
        <v>0</v>
      </c>
      <c r="I61" s="105"/>
    </row>
    <row r="62" spans="1:9" ht="15" customHeight="1">
      <c r="A62" s="105">
        <v>8</v>
      </c>
      <c r="B62" s="106" t="str">
        <f>VLOOKUP(OverzichtGlas[[#This Row],[Code Locatie]],Totalisatie!$A$7:$B$31,2,FALSE)</f>
        <v>IKC De Trinoom</v>
      </c>
      <c r="C62" s="105">
        <v>3</v>
      </c>
      <c r="D62" s="107" t="str">
        <f>IF(Glasbewassing!$C62&gt;0,VLOOKUP(Glasbewassing!$C62,$A$8:$B$19,2,FALSE),"Hier vult u de inzet van eventuele hoogwerkers in")</f>
        <v>Separatieglas (enkel gemeten, dubbel te wassen)</v>
      </c>
      <c r="E62" s="49">
        <v>26</v>
      </c>
      <c r="F62" s="108">
        <v>2</v>
      </c>
      <c r="G62" s="110">
        <f>IF(C62&gt;0,VLOOKUP(OverzichtGlas[[#This Row],[Code taak]],InvulGlas[],3,0)*E62*F62,0)</f>
        <v>0</v>
      </c>
      <c r="H62" s="110">
        <f>OverzichtGlas[[#This Row],[Kosten/jaar excl. BTW]]*1.21</f>
        <v>0</v>
      </c>
      <c r="I62" s="105"/>
    </row>
    <row r="63" spans="1:9" ht="15" customHeight="1">
      <c r="A63" s="105">
        <v>8</v>
      </c>
      <c r="B63" s="106" t="str">
        <f>VLOOKUP(OverzichtGlas[[#This Row],[Code Locatie]],Totalisatie!$A$7:$B$31,2,FALSE)</f>
        <v>IKC De Trinoom</v>
      </c>
      <c r="C63" s="464"/>
      <c r="D63" s="107" t="str">
        <f>IF(Glasbewassing!$C63&gt;0,VLOOKUP(Glasbewassing!$C63,$A$8:$B$19,2,FALSE),"Hier vult u de inzet van eventuele hoogwerkers in")</f>
        <v>Hier vult u de inzet van eventuele hoogwerkers in</v>
      </c>
      <c r="E63" s="465"/>
      <c r="F63" s="108"/>
      <c r="G63" s="110">
        <f>IF(C63&gt;0,VLOOKUP(OverzichtGlas[[#This Row],[Code taak]],InvulGlas[],3,0)*E63*F63,0)</f>
        <v>0</v>
      </c>
      <c r="H63" s="110">
        <f>OverzichtGlas[[#This Row],[Kosten/jaar excl. BTW]]*1.21</f>
        <v>0</v>
      </c>
      <c r="I63" s="105"/>
    </row>
    <row r="64" spans="1:9" ht="15" customHeight="1">
      <c r="A64" s="105">
        <v>8</v>
      </c>
      <c r="B64" s="106" t="str">
        <f>VLOOKUP(OverzichtGlas[[#This Row],[Code Locatie]],Totalisatie!$A$7:$B$31,2,FALSE)</f>
        <v>IKC De Trinoom</v>
      </c>
      <c r="C64" s="464"/>
      <c r="D64" s="107" t="str">
        <f>IF(Glasbewassing!$C64&gt;0,VLOOKUP(Glasbewassing!$C64,$A$8:$B$19,2,FALSE),"Hier vult u de inzet van eventuele hoogwerkers in")</f>
        <v>Hier vult u de inzet van eventuele hoogwerkers in</v>
      </c>
      <c r="E64" s="465"/>
      <c r="F64" s="108"/>
      <c r="G64" s="110">
        <f>IF(C64&gt;0,VLOOKUP(OverzichtGlas[[#This Row],[Code taak]],InvulGlas[],3,0)*E64*F64,0)</f>
        <v>0</v>
      </c>
      <c r="H64" s="110">
        <f>OverzichtGlas[[#This Row],[Kosten/jaar excl. BTW]]*1.21</f>
        <v>0</v>
      </c>
      <c r="I64" s="105"/>
    </row>
    <row r="65" spans="1:9" ht="15" customHeight="1">
      <c r="A65" s="105">
        <v>9</v>
      </c>
      <c r="B65" s="106" t="str">
        <f>VLOOKUP(OverzichtGlas[[#This Row],[Code Locatie]],Totalisatie!$A$7:$B$31,2,FALSE)</f>
        <v>IKC De Vijverburgh</v>
      </c>
      <c r="C65" s="105">
        <v>1</v>
      </c>
      <c r="D65" s="107" t="str">
        <f>IF(Glasbewassing!$C65&gt;0,VLOOKUP(Glasbewassing!$C65,$A$8:$B$19,2,FALSE),"Hier vult u de inzet van eventuele hoogwerkers in")</f>
        <v>Gevelglas binnenzijde</v>
      </c>
      <c r="E65" s="49">
        <v>231</v>
      </c>
      <c r="F65" s="108">
        <v>2</v>
      </c>
      <c r="G65" s="110">
        <f>IF(C65&gt;0,VLOOKUP(OverzichtGlas[[#This Row],[Code taak]],InvulGlas[],3,0)*E65*F65,0)</f>
        <v>0</v>
      </c>
      <c r="H65" s="110">
        <f>OverzichtGlas[[#This Row],[Kosten/jaar excl. BTW]]*1.21</f>
        <v>0</v>
      </c>
      <c r="I65" s="105"/>
    </row>
    <row r="66" spans="1:9" ht="15" customHeight="1">
      <c r="A66" s="105">
        <v>9</v>
      </c>
      <c r="B66" s="106" t="str">
        <f>VLOOKUP(OverzichtGlas[[#This Row],[Code Locatie]],Totalisatie!$A$7:$B$31,2,FALSE)</f>
        <v>IKC De Vijverburgh</v>
      </c>
      <c r="C66" s="105">
        <v>2</v>
      </c>
      <c r="D66" s="107" t="str">
        <f>IF(Glasbewassing!$C66&gt;0,VLOOKUP(Glasbewassing!$C66,$A$8:$B$19,2,FALSE),"Hier vult u de inzet van eventuele hoogwerkers in")</f>
        <v>Gevelglas buitenzijde</v>
      </c>
      <c r="E66" s="49">
        <v>231</v>
      </c>
      <c r="F66" s="108">
        <v>2</v>
      </c>
      <c r="G66" s="110">
        <f>IF(C66&gt;0,VLOOKUP(OverzichtGlas[[#This Row],[Code taak]],InvulGlas[],3,0)*E66*F66,0)</f>
        <v>0</v>
      </c>
      <c r="H66" s="110">
        <f>OverzichtGlas[[#This Row],[Kosten/jaar excl. BTW]]*1.21</f>
        <v>0</v>
      </c>
      <c r="I66" s="105"/>
    </row>
    <row r="67" spans="1:9" ht="15" customHeight="1">
      <c r="A67" s="105">
        <v>9</v>
      </c>
      <c r="B67" s="106" t="str">
        <f>VLOOKUP(OverzichtGlas[[#This Row],[Code Locatie]],Totalisatie!$A$7:$B$31,2,FALSE)</f>
        <v>IKC De Vijverburgh</v>
      </c>
      <c r="C67" s="105">
        <v>3</v>
      </c>
      <c r="D67" s="107" t="str">
        <f>IF(Glasbewassing!$C67&gt;0,VLOOKUP(Glasbewassing!$C67,$A$8:$B$19,2,FALSE),"Hier vult u de inzet van eventuele hoogwerkers in")</f>
        <v>Separatieglas (enkel gemeten, dubbel te wassen)</v>
      </c>
      <c r="E67" s="49">
        <v>46</v>
      </c>
      <c r="F67" s="108">
        <v>2</v>
      </c>
      <c r="G67" s="110">
        <f>IF(C67&gt;0,VLOOKUP(OverzichtGlas[[#This Row],[Code taak]],InvulGlas[],3,0)*E67*F67,0)</f>
        <v>0</v>
      </c>
      <c r="H67" s="110">
        <f>OverzichtGlas[[#This Row],[Kosten/jaar excl. BTW]]*1.21</f>
        <v>0</v>
      </c>
      <c r="I67" s="105"/>
    </row>
    <row r="68" spans="1:9" ht="15" customHeight="1">
      <c r="A68" s="105">
        <v>9</v>
      </c>
      <c r="B68" s="106" t="str">
        <f>VLOOKUP(OverzichtGlas[[#This Row],[Code Locatie]],Totalisatie!$A$7:$B$31,2,FALSE)</f>
        <v>IKC De Vijverburgh</v>
      </c>
      <c r="C68" s="464"/>
      <c r="D68" s="107" t="str">
        <f>IF(Glasbewassing!$C68&gt;0,VLOOKUP(Glasbewassing!$C68,$A$8:$B$19,2,FALSE),"Hier vult u de inzet van eventuele hoogwerkers in")</f>
        <v>Hier vult u de inzet van eventuele hoogwerkers in</v>
      </c>
      <c r="E68" s="465"/>
      <c r="F68" s="108"/>
      <c r="G68" s="110">
        <f>IF(C68&gt;0,VLOOKUP(OverzichtGlas[[#This Row],[Code taak]],InvulGlas[],3,0)*E68*F68,0)</f>
        <v>0</v>
      </c>
      <c r="H68" s="110">
        <f>OverzichtGlas[[#This Row],[Kosten/jaar excl. BTW]]*1.21</f>
        <v>0</v>
      </c>
      <c r="I68" s="105"/>
    </row>
    <row r="69" spans="1:9" ht="15" customHeight="1">
      <c r="A69" s="105">
        <v>9</v>
      </c>
      <c r="B69" s="106" t="str">
        <f>VLOOKUP(OverzichtGlas[[#This Row],[Code Locatie]],Totalisatie!$A$7:$B$31,2,FALSE)</f>
        <v>IKC De Vijverburgh</v>
      </c>
      <c r="C69" s="464"/>
      <c r="D69" s="107" t="str">
        <f>IF(Glasbewassing!$C69&gt;0,VLOOKUP(Glasbewassing!$C69,$A$8:$B$19,2,FALSE),"Hier vult u de inzet van eventuele hoogwerkers in")</f>
        <v>Hier vult u de inzet van eventuele hoogwerkers in</v>
      </c>
      <c r="E69" s="465"/>
      <c r="F69" s="108"/>
      <c r="G69" s="110">
        <f>IF(C69&gt;0,VLOOKUP(OverzichtGlas[[#This Row],[Code taak]],InvulGlas[],3,0)*E69*F69,0)</f>
        <v>0</v>
      </c>
      <c r="H69" s="110">
        <f>OverzichtGlas[[#This Row],[Kosten/jaar excl. BTW]]*1.21</f>
        <v>0</v>
      </c>
      <c r="I69" s="105"/>
    </row>
    <row r="70" spans="1:9" ht="15" customHeight="1">
      <c r="A70" s="105">
        <v>10</v>
      </c>
      <c r="B70" s="106" t="str">
        <f>VLOOKUP(OverzichtGlas[[#This Row],[Code Locatie]],Totalisatie!$A$7:$B$31,2,FALSE)</f>
        <v xml:space="preserve">IKC De Edelsteen </v>
      </c>
      <c r="C70" s="105">
        <v>1</v>
      </c>
      <c r="D70" s="107" t="str">
        <f>IF(Glasbewassing!$C70&gt;0,VLOOKUP(Glasbewassing!$C70,$A$8:$B$19,2,FALSE),"Hier vult u de inzet van eventuele hoogwerkers in")</f>
        <v>Gevelglas binnenzijde</v>
      </c>
      <c r="E70" s="49">
        <v>129</v>
      </c>
      <c r="F70" s="108">
        <v>2</v>
      </c>
      <c r="G70" s="110">
        <f>IF(C70&gt;0,VLOOKUP(OverzichtGlas[[#This Row],[Code taak]],InvulGlas[],3,0)*E70*F70,0)</f>
        <v>0</v>
      </c>
      <c r="H70" s="110">
        <f>OverzichtGlas[[#This Row],[Kosten/jaar excl. BTW]]*1.21</f>
        <v>0</v>
      </c>
      <c r="I70" s="105"/>
    </row>
    <row r="71" spans="1:9" ht="15" customHeight="1">
      <c r="A71" s="105">
        <v>10</v>
      </c>
      <c r="B71" s="106" t="str">
        <f>VLOOKUP(OverzichtGlas[[#This Row],[Code Locatie]],Totalisatie!$A$7:$B$31,2,FALSE)</f>
        <v xml:space="preserve">IKC De Edelsteen </v>
      </c>
      <c r="C71" s="105">
        <v>2</v>
      </c>
      <c r="D71" s="107" t="str">
        <f>IF(Glasbewassing!$C71&gt;0,VLOOKUP(Glasbewassing!$C71,$A$8:$B$19,2,FALSE),"Hier vult u de inzet van eventuele hoogwerkers in")</f>
        <v>Gevelglas buitenzijde</v>
      </c>
      <c r="E71" s="49">
        <v>129</v>
      </c>
      <c r="F71" s="108">
        <v>2</v>
      </c>
      <c r="G71" s="110">
        <f>IF(C71&gt;0,VLOOKUP(OverzichtGlas[[#This Row],[Code taak]],InvulGlas[],3,0)*E71*F71,0)</f>
        <v>0</v>
      </c>
      <c r="H71" s="110">
        <f>OverzichtGlas[[#This Row],[Kosten/jaar excl. BTW]]*1.21</f>
        <v>0</v>
      </c>
      <c r="I71" s="105"/>
    </row>
    <row r="72" spans="1:9" ht="15" customHeight="1">
      <c r="A72" s="105">
        <v>10</v>
      </c>
      <c r="B72" s="106" t="str">
        <f>VLOOKUP(OverzichtGlas[[#This Row],[Code Locatie]],Totalisatie!$A$7:$B$31,2,FALSE)</f>
        <v xml:space="preserve">IKC De Edelsteen </v>
      </c>
      <c r="C72" s="105">
        <v>3</v>
      </c>
      <c r="D72" s="107" t="str">
        <f>IF(Glasbewassing!$C72&gt;0,VLOOKUP(Glasbewassing!$C72,$A$8:$B$19,2,FALSE),"Hier vult u de inzet van eventuele hoogwerkers in")</f>
        <v>Separatieglas (enkel gemeten, dubbel te wassen)</v>
      </c>
      <c r="E72" s="49">
        <v>38</v>
      </c>
      <c r="F72" s="108">
        <v>2</v>
      </c>
      <c r="G72" s="110">
        <f>IF(C72&gt;0,VLOOKUP(OverzichtGlas[[#This Row],[Code taak]],InvulGlas[],3,0)*E72*F72,0)</f>
        <v>0</v>
      </c>
      <c r="H72" s="110">
        <f>OverzichtGlas[[#This Row],[Kosten/jaar excl. BTW]]*1.21</f>
        <v>0</v>
      </c>
      <c r="I72" s="105"/>
    </row>
    <row r="73" spans="1:9" ht="15" customHeight="1">
      <c r="A73" s="105">
        <v>10</v>
      </c>
      <c r="B73" s="106" t="str">
        <f>VLOOKUP(OverzichtGlas[[#This Row],[Code Locatie]],Totalisatie!$A$7:$B$31,2,FALSE)</f>
        <v xml:space="preserve">IKC De Edelsteen </v>
      </c>
      <c r="C73" s="464"/>
      <c r="D73" s="107" t="str">
        <f>IF(Glasbewassing!$C73&gt;0,VLOOKUP(Glasbewassing!$C73,$A$8:$B$19,2,FALSE),"Hier vult u de inzet van eventuele hoogwerkers in")</f>
        <v>Hier vult u de inzet van eventuele hoogwerkers in</v>
      </c>
      <c r="E73" s="465"/>
      <c r="F73" s="108"/>
      <c r="G73" s="110">
        <f>IF(C73&gt;0,VLOOKUP(OverzichtGlas[[#This Row],[Code taak]],InvulGlas[],3,0)*E73*F73,0)</f>
        <v>0</v>
      </c>
      <c r="H73" s="110">
        <f>OverzichtGlas[[#This Row],[Kosten/jaar excl. BTW]]*1.21</f>
        <v>0</v>
      </c>
      <c r="I73" s="105"/>
    </row>
    <row r="74" spans="1:9" ht="15" customHeight="1">
      <c r="A74" s="105">
        <v>10</v>
      </c>
      <c r="B74" s="106" t="str">
        <f>VLOOKUP(OverzichtGlas[[#This Row],[Code Locatie]],Totalisatie!$A$7:$B$31,2,FALSE)</f>
        <v xml:space="preserve">IKC De Edelsteen </v>
      </c>
      <c r="C74" s="464"/>
      <c r="D74" s="107" t="str">
        <f>IF(Glasbewassing!$C74&gt;0,VLOOKUP(Glasbewassing!$C74,$A$8:$B$19,2,FALSE),"Hier vult u de inzet van eventuele hoogwerkers in")</f>
        <v>Hier vult u de inzet van eventuele hoogwerkers in</v>
      </c>
      <c r="E74" s="465"/>
      <c r="F74" s="108"/>
      <c r="G74" s="110">
        <f>IF(C74&gt;0,VLOOKUP(OverzichtGlas[[#This Row],[Code taak]],InvulGlas[],3,0)*E74*F74,0)</f>
        <v>0</v>
      </c>
      <c r="H74" s="110">
        <f>OverzichtGlas[[#This Row],[Kosten/jaar excl. BTW]]*1.21</f>
        <v>0</v>
      </c>
      <c r="I74" s="105"/>
    </row>
    <row r="75" spans="1:9" ht="15" customHeight="1">
      <c r="A75" s="105">
        <v>11</v>
      </c>
      <c r="B75" s="106" t="str">
        <f>VLOOKUP(OverzichtGlas[[#This Row],[Code Locatie]],Totalisatie!$A$7:$B$31,2,FALSE)</f>
        <v>IKC De Edelsteen (bijgebouw)</v>
      </c>
      <c r="C75" s="105">
        <v>1</v>
      </c>
      <c r="D75" s="107" t="str">
        <f>IF(Glasbewassing!$C75&gt;0,VLOOKUP(Glasbewassing!$C75,$A$8:$B$19,2,FALSE),"Hier vult u de inzet van eventuele hoogwerkers in")</f>
        <v>Gevelglas binnenzijde</v>
      </c>
      <c r="E75" s="49">
        <v>209.3</v>
      </c>
      <c r="F75" s="108">
        <v>2</v>
      </c>
      <c r="G75" s="110">
        <f>IF(C75&gt;0,VLOOKUP(OverzichtGlas[[#This Row],[Code taak]],InvulGlas[],3,0)*E75*F75,0)</f>
        <v>0</v>
      </c>
      <c r="H75" s="110">
        <f>OverzichtGlas[[#This Row],[Kosten/jaar excl. BTW]]*1.21</f>
        <v>0</v>
      </c>
      <c r="I75" s="105"/>
    </row>
    <row r="76" spans="1:9" ht="15" customHeight="1">
      <c r="A76" s="105">
        <v>11</v>
      </c>
      <c r="B76" s="106" t="str">
        <f>VLOOKUP(OverzichtGlas[[#This Row],[Code Locatie]],Totalisatie!$A$7:$B$31,2,FALSE)</f>
        <v>IKC De Edelsteen (bijgebouw)</v>
      </c>
      <c r="C76" s="105">
        <v>2</v>
      </c>
      <c r="D76" s="107" t="str">
        <f>IF(Glasbewassing!$C76&gt;0,VLOOKUP(Glasbewassing!$C76,$A$8:$B$19,2,FALSE),"Hier vult u de inzet van eventuele hoogwerkers in")</f>
        <v>Gevelglas buitenzijde</v>
      </c>
      <c r="E76" s="49">
        <v>209.3</v>
      </c>
      <c r="F76" s="108">
        <v>2</v>
      </c>
      <c r="G76" s="110">
        <f>IF(C76&gt;0,VLOOKUP(OverzichtGlas[[#This Row],[Code taak]],InvulGlas[],3,0)*E76*F76,0)</f>
        <v>0</v>
      </c>
      <c r="H76" s="110">
        <f>OverzichtGlas[[#This Row],[Kosten/jaar excl. BTW]]*1.21</f>
        <v>0</v>
      </c>
      <c r="I76" s="105"/>
    </row>
    <row r="77" spans="1:9" ht="15" customHeight="1">
      <c r="A77" s="105">
        <v>11</v>
      </c>
      <c r="B77" s="106" t="str">
        <f>VLOOKUP(OverzichtGlas[[#This Row],[Code Locatie]],Totalisatie!$A$7:$B$31,2,FALSE)</f>
        <v>IKC De Edelsteen (bijgebouw)</v>
      </c>
      <c r="C77" s="105">
        <v>3</v>
      </c>
      <c r="D77" s="107" t="str">
        <f>IF(Glasbewassing!$C77&gt;0,VLOOKUP(Glasbewassing!$C77,$A$8:$B$19,2,FALSE),"Hier vult u de inzet van eventuele hoogwerkers in")</f>
        <v>Separatieglas (enkel gemeten, dubbel te wassen)</v>
      </c>
      <c r="E77" s="49">
        <v>82.8</v>
      </c>
      <c r="F77" s="108">
        <v>2</v>
      </c>
      <c r="G77" s="110">
        <f>IF(C77&gt;0,VLOOKUP(OverzichtGlas[[#This Row],[Code taak]],InvulGlas[],3,0)*E77*F77,0)</f>
        <v>0</v>
      </c>
      <c r="H77" s="110">
        <f>OverzichtGlas[[#This Row],[Kosten/jaar excl. BTW]]*1.21</f>
        <v>0</v>
      </c>
      <c r="I77" s="105"/>
    </row>
    <row r="78" spans="1:9" ht="15" customHeight="1">
      <c r="A78" s="105">
        <v>11</v>
      </c>
      <c r="B78" s="106" t="str">
        <f>VLOOKUP(OverzichtGlas[[#This Row],[Code Locatie]],Totalisatie!$A$7:$B$31,2,FALSE)</f>
        <v>IKC De Edelsteen (bijgebouw)</v>
      </c>
      <c r="C78" s="464"/>
      <c r="D78" s="107" t="str">
        <f>IF(Glasbewassing!$C78&gt;0,VLOOKUP(Glasbewassing!$C78,$A$8:$B$19,2,FALSE),"Hier vult u de inzet van eventuele hoogwerkers in")</f>
        <v>Hier vult u de inzet van eventuele hoogwerkers in</v>
      </c>
      <c r="E78" s="465"/>
      <c r="F78" s="108"/>
      <c r="G78" s="110">
        <f>IF(C78&gt;0,VLOOKUP(OverzichtGlas[[#This Row],[Code taak]],InvulGlas[],3,0)*E78*F78,0)</f>
        <v>0</v>
      </c>
      <c r="H78" s="110">
        <f>OverzichtGlas[[#This Row],[Kosten/jaar excl. BTW]]*1.21</f>
        <v>0</v>
      </c>
      <c r="I78" s="105"/>
    </row>
    <row r="79" spans="1:9" ht="15" customHeight="1">
      <c r="A79" s="105">
        <v>11</v>
      </c>
      <c r="B79" s="106" t="str">
        <f>VLOOKUP(OverzichtGlas[[#This Row],[Code Locatie]],Totalisatie!$A$7:$B$31,2,FALSE)</f>
        <v>IKC De Edelsteen (bijgebouw)</v>
      </c>
      <c r="C79" s="464"/>
      <c r="D79" s="107" t="str">
        <f>IF(Glasbewassing!$C79&gt;0,VLOOKUP(Glasbewassing!$C79,$A$8:$B$19,2,FALSE),"Hier vult u de inzet van eventuele hoogwerkers in")</f>
        <v>Hier vult u de inzet van eventuele hoogwerkers in</v>
      </c>
      <c r="E79" s="465"/>
      <c r="F79" s="108"/>
      <c r="G79" s="110">
        <f>IF(C79&gt;0,VLOOKUP(OverzichtGlas[[#This Row],[Code taak]],InvulGlas[],3,0)*E79*F79,0)</f>
        <v>0</v>
      </c>
      <c r="H79" s="110">
        <f>OverzichtGlas[[#This Row],[Kosten/jaar excl. BTW]]*1.21</f>
        <v>0</v>
      </c>
      <c r="I79" s="105"/>
    </row>
    <row r="80" spans="1:9" ht="15" customHeight="1">
      <c r="A80" s="105">
        <v>12</v>
      </c>
      <c r="B80" s="106" t="str">
        <f>VLOOKUP(OverzichtGlas[[#This Row],[Code Locatie]],Totalisatie!$A$7:$B$31,2,FALSE)</f>
        <v>IKC De Leerplaneet Loc. 2 (vh 't Plankier)</v>
      </c>
      <c r="C80" s="105">
        <v>1</v>
      </c>
      <c r="D80" s="107" t="str">
        <f>IF(Glasbewassing!$C80&gt;0,VLOOKUP(Glasbewassing!$C80,$A$8:$B$19,2,FALSE),"Hier vult u de inzet van eventuele hoogwerkers in")</f>
        <v>Gevelglas binnenzijde</v>
      </c>
      <c r="E80" s="49">
        <v>211</v>
      </c>
      <c r="F80" s="108">
        <v>2</v>
      </c>
      <c r="G80" s="110">
        <f>IF(C80&gt;0,VLOOKUP(OverzichtGlas[[#This Row],[Code taak]],InvulGlas[],3,0)*E80*F80,0)</f>
        <v>0</v>
      </c>
      <c r="H80" s="110">
        <f>OverzichtGlas[[#This Row],[Kosten/jaar excl. BTW]]*1.21</f>
        <v>0</v>
      </c>
      <c r="I80" s="105"/>
    </row>
    <row r="81" spans="1:9" ht="15" customHeight="1">
      <c r="A81" s="105">
        <v>12</v>
      </c>
      <c r="B81" s="106" t="str">
        <f>VLOOKUP(OverzichtGlas[[#This Row],[Code Locatie]],Totalisatie!$A$7:$B$31,2,FALSE)</f>
        <v>IKC De Leerplaneet Loc. 2 (vh 't Plankier)</v>
      </c>
      <c r="C81" s="105">
        <v>2</v>
      </c>
      <c r="D81" s="107" t="str">
        <f>IF(Glasbewassing!$C81&gt;0,VLOOKUP(Glasbewassing!$C81,$A$8:$B$19,2,FALSE),"Hier vult u de inzet van eventuele hoogwerkers in")</f>
        <v>Gevelglas buitenzijde</v>
      </c>
      <c r="E81" s="49">
        <v>211</v>
      </c>
      <c r="F81" s="108">
        <v>2</v>
      </c>
      <c r="G81" s="110">
        <f>IF(C81&gt;0,VLOOKUP(OverzichtGlas[[#This Row],[Code taak]],InvulGlas[],3,0)*E81*F81,0)</f>
        <v>0</v>
      </c>
      <c r="H81" s="110">
        <f>OverzichtGlas[[#This Row],[Kosten/jaar excl. BTW]]*1.21</f>
        <v>0</v>
      </c>
      <c r="I81" s="105"/>
    </row>
    <row r="82" spans="1:9" ht="15" customHeight="1">
      <c r="A82" s="105">
        <v>12</v>
      </c>
      <c r="B82" s="106" t="str">
        <f>VLOOKUP(OverzichtGlas[[#This Row],[Code Locatie]],Totalisatie!$A$7:$B$31,2,FALSE)</f>
        <v>IKC De Leerplaneet Loc. 2 (vh 't Plankier)</v>
      </c>
      <c r="C82" s="105">
        <v>3</v>
      </c>
      <c r="D82" s="107" t="str">
        <f>IF(Glasbewassing!$C82&gt;0,VLOOKUP(Glasbewassing!$C82,$A$8:$B$19,2,FALSE),"Hier vult u de inzet van eventuele hoogwerkers in")</f>
        <v>Separatieglas (enkel gemeten, dubbel te wassen)</v>
      </c>
      <c r="E82" s="49">
        <v>14.5</v>
      </c>
      <c r="F82" s="108">
        <v>2</v>
      </c>
      <c r="G82" s="110">
        <f>IF(C82&gt;0,VLOOKUP(OverzichtGlas[[#This Row],[Code taak]],InvulGlas[],3,0)*E82*F82,0)</f>
        <v>0</v>
      </c>
      <c r="H82" s="110">
        <f>OverzichtGlas[[#This Row],[Kosten/jaar excl. BTW]]*1.21</f>
        <v>0</v>
      </c>
      <c r="I82" s="105"/>
    </row>
    <row r="83" spans="1:9" ht="15" customHeight="1">
      <c r="A83" s="105">
        <v>12</v>
      </c>
      <c r="B83" s="106" t="str">
        <f>VLOOKUP(OverzichtGlas[[#This Row],[Code Locatie]],Totalisatie!$A$7:$B$31,2,FALSE)</f>
        <v>IKC De Leerplaneet Loc. 2 (vh 't Plankier)</v>
      </c>
      <c r="C83" s="105">
        <v>6</v>
      </c>
      <c r="D83" s="107" t="str">
        <f>IF(Glasbewassing!$C83&gt;0,VLOOKUP(Glasbewassing!$C83,$A$8:$B$19,2,FALSE),"Hier vult u de inzet van eventuele hoogwerkers in")</f>
        <v>Dakglas (enkel gemeten, dubbel te wassen)</v>
      </c>
      <c r="E83" s="49">
        <v>92</v>
      </c>
      <c r="F83" s="108">
        <v>1</v>
      </c>
      <c r="G83" s="110">
        <f>IF(C83&gt;0,VLOOKUP(OverzichtGlas[[#This Row],[Code taak]],InvulGlas[],3,0)*E83*F83,0)</f>
        <v>0</v>
      </c>
      <c r="H83" s="110">
        <f>OverzichtGlas[[#This Row],[Kosten/jaar excl. BTW]]*1.21</f>
        <v>0</v>
      </c>
      <c r="I83" s="105"/>
    </row>
    <row r="84" spans="1:9" ht="15" customHeight="1">
      <c r="A84" s="105">
        <v>12</v>
      </c>
      <c r="B84" s="106" t="str">
        <f>VLOOKUP(OverzichtGlas[[#This Row],[Code Locatie]],Totalisatie!$A$7:$B$31,2,FALSE)</f>
        <v>IKC De Leerplaneet Loc. 2 (vh 't Plankier)</v>
      </c>
      <c r="C84" s="464"/>
      <c r="D84" s="107" t="str">
        <f>IF(Glasbewassing!$C84&gt;0,VLOOKUP(Glasbewassing!$C84,$A$8:$B$19,2,FALSE),"Hier vult u de inzet van eventuele hoogwerkers in")</f>
        <v>Hier vult u de inzet van eventuele hoogwerkers in</v>
      </c>
      <c r="E84" s="465"/>
      <c r="F84" s="108"/>
      <c r="G84" s="110">
        <f>IF(C84&gt;0,VLOOKUP(OverzichtGlas[[#This Row],[Code taak]],InvulGlas[],3,0)*E84*F84,0)</f>
        <v>0</v>
      </c>
      <c r="H84" s="110">
        <f>OverzichtGlas[[#This Row],[Kosten/jaar excl. BTW]]*1.21</f>
        <v>0</v>
      </c>
      <c r="I84" s="105"/>
    </row>
    <row r="85" spans="1:9" ht="15" customHeight="1">
      <c r="A85" s="105">
        <v>12</v>
      </c>
      <c r="B85" s="106" t="str">
        <f>VLOOKUP(OverzichtGlas[[#This Row],[Code Locatie]],Totalisatie!$A$7:$B$31,2,FALSE)</f>
        <v>IKC De Leerplaneet Loc. 2 (vh 't Plankier)</v>
      </c>
      <c r="C85" s="464"/>
      <c r="D85" s="107" t="str">
        <f>IF(Glasbewassing!$C85&gt;0,VLOOKUP(Glasbewassing!$C85,$A$8:$B$19,2,FALSE),"Hier vult u de inzet van eventuele hoogwerkers in")</f>
        <v>Hier vult u de inzet van eventuele hoogwerkers in</v>
      </c>
      <c r="E85" s="465"/>
      <c r="F85" s="108"/>
      <c r="G85" s="110">
        <f>IF(C85&gt;0,VLOOKUP(OverzichtGlas[[#This Row],[Code taak]],InvulGlas[],3,0)*E85*F85,0)</f>
        <v>0</v>
      </c>
      <c r="H85" s="110">
        <f>OverzichtGlas[[#This Row],[Kosten/jaar excl. BTW]]*1.21</f>
        <v>0</v>
      </c>
      <c r="I85" s="105"/>
    </row>
    <row r="86" spans="1:9" ht="15" customHeight="1">
      <c r="A86" s="105">
        <v>13</v>
      </c>
      <c r="B86" s="106" t="str">
        <f>VLOOKUP(OverzichtGlas[[#This Row],[Code Locatie]],Totalisatie!$A$7:$B$31,2,FALSE)</f>
        <v>IKC Florence Nightingale</v>
      </c>
      <c r="C86" s="105">
        <v>1</v>
      </c>
      <c r="D86" s="107" t="str">
        <f>IF(Glasbewassing!$C86&gt;0,VLOOKUP(Glasbewassing!$C86,$A$8:$B$19,2,FALSE),"Hier vult u de inzet van eventuele hoogwerkers in")</f>
        <v>Gevelglas binnenzijde</v>
      </c>
      <c r="E86" s="49">
        <v>134</v>
      </c>
      <c r="F86" s="108">
        <v>2</v>
      </c>
      <c r="G86" s="110">
        <f>IF(C86&gt;0,VLOOKUP(OverzichtGlas[[#This Row],[Code taak]],InvulGlas[],3,0)*E86*F86,0)</f>
        <v>0</v>
      </c>
      <c r="H86" s="110">
        <f>OverzichtGlas[[#This Row],[Kosten/jaar excl. BTW]]*1.21</f>
        <v>0</v>
      </c>
      <c r="I86" s="105"/>
    </row>
    <row r="87" spans="1:9" ht="15" customHeight="1">
      <c r="A87" s="105">
        <v>13</v>
      </c>
      <c r="B87" s="106" t="str">
        <f>VLOOKUP(OverzichtGlas[[#This Row],[Code Locatie]],Totalisatie!$A$7:$B$31,2,FALSE)</f>
        <v>IKC Florence Nightingale</v>
      </c>
      <c r="C87" s="105">
        <v>2</v>
      </c>
      <c r="D87" s="107" t="str">
        <f>IF(Glasbewassing!$C87&gt;0,VLOOKUP(Glasbewassing!$C87,$A$8:$B$19,2,FALSE),"Hier vult u de inzet van eventuele hoogwerkers in")</f>
        <v>Gevelglas buitenzijde</v>
      </c>
      <c r="E87" s="49">
        <v>134</v>
      </c>
      <c r="F87" s="108">
        <v>2</v>
      </c>
      <c r="G87" s="110">
        <f>IF(C87&gt;0,VLOOKUP(OverzichtGlas[[#This Row],[Code taak]],InvulGlas[],3,0)*E87*F87,0)</f>
        <v>0</v>
      </c>
      <c r="H87" s="110">
        <f>OverzichtGlas[[#This Row],[Kosten/jaar excl. BTW]]*1.21</f>
        <v>0</v>
      </c>
      <c r="I87" s="105"/>
    </row>
    <row r="88" spans="1:9" ht="15" customHeight="1">
      <c r="A88" s="105">
        <v>13</v>
      </c>
      <c r="B88" s="106" t="str">
        <f>VLOOKUP(OverzichtGlas[[#This Row],[Code Locatie]],Totalisatie!$A$7:$B$31,2,FALSE)</f>
        <v>IKC Florence Nightingale</v>
      </c>
      <c r="C88" s="105">
        <v>3</v>
      </c>
      <c r="D88" s="107" t="str">
        <f>IF(Glasbewassing!$C88&gt;0,VLOOKUP(Glasbewassing!$C88,$A$8:$B$19,2,FALSE),"Hier vult u de inzet van eventuele hoogwerkers in")</f>
        <v>Separatieglas (enkel gemeten, dubbel te wassen)</v>
      </c>
      <c r="E88" s="49">
        <v>35</v>
      </c>
      <c r="F88" s="108">
        <v>2</v>
      </c>
      <c r="G88" s="110">
        <f>IF(C88&gt;0,VLOOKUP(OverzichtGlas[[#This Row],[Code taak]],InvulGlas[],3,0)*E88*F88,0)</f>
        <v>0</v>
      </c>
      <c r="H88" s="110">
        <f>OverzichtGlas[[#This Row],[Kosten/jaar excl. BTW]]*1.21</f>
        <v>0</v>
      </c>
      <c r="I88" s="105"/>
    </row>
    <row r="89" spans="1:9" ht="15" customHeight="1">
      <c r="A89" s="105">
        <v>13</v>
      </c>
      <c r="B89" s="106" t="str">
        <f>VLOOKUP(OverzichtGlas[[#This Row],[Code Locatie]],Totalisatie!$A$7:$B$31,2,FALSE)</f>
        <v>IKC Florence Nightingale</v>
      </c>
      <c r="C89" s="105">
        <v>5</v>
      </c>
      <c r="D89" s="107" t="str">
        <f>IF(Glasbewassing!$C89&gt;0,VLOOKUP(Glasbewassing!$C89,$A$8:$B$19,2,FALSE),"Hier vult u de inzet van eventuele hoogwerkers in")</f>
        <v>Lichtkoepels (enkel gemeten, dubbel te wassen)</v>
      </c>
      <c r="E89" s="49">
        <v>9</v>
      </c>
      <c r="F89" s="108">
        <v>1</v>
      </c>
      <c r="G89" s="110">
        <f>IF(C89&gt;0,VLOOKUP(OverzichtGlas[[#This Row],[Code taak]],InvulGlas[],3,0)*E89*F89,0)</f>
        <v>0</v>
      </c>
      <c r="H89" s="110">
        <f>OverzichtGlas[[#This Row],[Kosten/jaar excl. BTW]]*1.21</f>
        <v>0</v>
      </c>
      <c r="I89" s="105"/>
    </row>
    <row r="90" spans="1:9" ht="15" customHeight="1">
      <c r="A90" s="105">
        <v>13</v>
      </c>
      <c r="B90" s="106" t="str">
        <f>VLOOKUP(OverzichtGlas[[#This Row],[Code Locatie]],Totalisatie!$A$7:$B$31,2,FALSE)</f>
        <v>IKC Florence Nightingale</v>
      </c>
      <c r="C90" s="464"/>
      <c r="D90" s="107" t="str">
        <f>IF(Glasbewassing!$C90&gt;0,VLOOKUP(Glasbewassing!$C90,$A$8:$B$19,2,FALSE),"Hier vult u de inzet van eventuele hoogwerkers in")</f>
        <v>Hier vult u de inzet van eventuele hoogwerkers in</v>
      </c>
      <c r="E90" s="465"/>
      <c r="F90" s="108"/>
      <c r="G90" s="110">
        <f>IF(C90&gt;0,VLOOKUP(OverzichtGlas[[#This Row],[Code taak]],InvulGlas[],3,0)*E90*F90,0)</f>
        <v>0</v>
      </c>
      <c r="H90" s="110">
        <f>OverzichtGlas[[#This Row],[Kosten/jaar excl. BTW]]*1.21</f>
        <v>0</v>
      </c>
      <c r="I90" s="105"/>
    </row>
    <row r="91" spans="1:9" ht="15" customHeight="1">
      <c r="A91" s="105">
        <v>13</v>
      </c>
      <c r="B91" s="106" t="str">
        <f>VLOOKUP(OverzichtGlas[[#This Row],[Code Locatie]],Totalisatie!$A$7:$B$31,2,FALSE)</f>
        <v>IKC Florence Nightingale</v>
      </c>
      <c r="C91" s="464"/>
      <c r="D91" s="107" t="str">
        <f>IF(Glasbewassing!$C91&gt;0,VLOOKUP(Glasbewassing!$C91,$A$8:$B$19,2,FALSE),"Hier vult u de inzet van eventuele hoogwerkers in")</f>
        <v>Hier vult u de inzet van eventuele hoogwerkers in</v>
      </c>
      <c r="E91" s="465"/>
      <c r="F91" s="108"/>
      <c r="G91" s="110">
        <f>IF(C91&gt;0,VLOOKUP(OverzichtGlas[[#This Row],[Code taak]],InvulGlas[],3,0)*E91*F91,0)</f>
        <v>0</v>
      </c>
      <c r="H91" s="110">
        <f>OverzichtGlas[[#This Row],[Kosten/jaar excl. BTW]]*1.21</f>
        <v>0</v>
      </c>
      <c r="I91" s="105"/>
    </row>
    <row r="92" spans="1:9" ht="15" customHeight="1">
      <c r="A92" s="105">
        <v>14</v>
      </c>
      <c r="B92" s="106" t="str">
        <f>VLOOKUP(OverzichtGlas[[#This Row],[Code Locatie]],Totalisatie!$A$7:$B$31,2,FALSE)</f>
        <v>IKC De Vuurtoren</v>
      </c>
      <c r="C92" s="105">
        <v>1</v>
      </c>
      <c r="D92" s="107" t="str">
        <f>IF(Glasbewassing!$C92&gt;0,VLOOKUP(Glasbewassing!$C92,$A$8:$B$19,2,FALSE),"Hier vult u de inzet van eventuele hoogwerkers in")</f>
        <v>Gevelglas binnenzijde</v>
      </c>
      <c r="E92" s="49">
        <v>172.79</v>
      </c>
      <c r="F92" s="108">
        <v>2</v>
      </c>
      <c r="G92" s="110">
        <f>IF(C92&gt;0,VLOOKUP(OverzichtGlas[[#This Row],[Code taak]],InvulGlas[],3,0)*E92*F92,0)</f>
        <v>0</v>
      </c>
      <c r="H92" s="110">
        <f>OverzichtGlas[[#This Row],[Kosten/jaar excl. BTW]]*1.21</f>
        <v>0</v>
      </c>
      <c r="I92" s="105"/>
    </row>
    <row r="93" spans="1:9" ht="15" customHeight="1">
      <c r="A93" s="105">
        <v>14</v>
      </c>
      <c r="B93" s="106" t="str">
        <f>VLOOKUP(OverzichtGlas[[#This Row],[Code Locatie]],Totalisatie!$A$7:$B$31,2,FALSE)</f>
        <v>IKC De Vuurtoren</v>
      </c>
      <c r="C93" s="105">
        <v>2</v>
      </c>
      <c r="D93" s="107" t="str">
        <f>IF(Glasbewassing!$C93&gt;0,VLOOKUP(Glasbewassing!$C93,$A$8:$B$19,2,FALSE),"Hier vult u de inzet van eventuele hoogwerkers in")</f>
        <v>Gevelglas buitenzijde</v>
      </c>
      <c r="E93" s="49">
        <v>177.11</v>
      </c>
      <c r="F93" s="108">
        <v>2</v>
      </c>
      <c r="G93" s="110">
        <f>IF(C93&gt;0,VLOOKUP(OverzichtGlas[[#This Row],[Code taak]],InvulGlas[],3,0)*E93*F93,0)</f>
        <v>0</v>
      </c>
      <c r="H93" s="110">
        <f>OverzichtGlas[[#This Row],[Kosten/jaar excl. BTW]]*1.21</f>
        <v>0</v>
      </c>
      <c r="I93" s="105"/>
    </row>
    <row r="94" spans="1:9" ht="15" customHeight="1">
      <c r="A94" s="105">
        <v>14</v>
      </c>
      <c r="B94" s="106" t="str">
        <f>VLOOKUP(OverzichtGlas[[#This Row],[Code Locatie]],Totalisatie!$A$7:$B$31,2,FALSE)</f>
        <v>IKC De Vuurtoren</v>
      </c>
      <c r="C94" s="105">
        <v>3</v>
      </c>
      <c r="D94" s="107" t="str">
        <f>IF(Glasbewassing!$C94&gt;0,VLOOKUP(Glasbewassing!$C94,$A$8:$B$19,2,FALSE),"Hier vult u de inzet van eventuele hoogwerkers in")</f>
        <v>Separatieglas (enkel gemeten, dubbel te wassen)</v>
      </c>
      <c r="E94" s="49">
        <v>10.15</v>
      </c>
      <c r="F94" s="108">
        <v>2</v>
      </c>
      <c r="G94" s="110">
        <f>IF(C94&gt;0,VLOOKUP(OverzichtGlas[[#This Row],[Code taak]],InvulGlas[],3,0)*E94*F94,0)</f>
        <v>0</v>
      </c>
      <c r="H94" s="110">
        <f>OverzichtGlas[[#This Row],[Kosten/jaar excl. BTW]]*1.21</f>
        <v>0</v>
      </c>
      <c r="I94" s="105"/>
    </row>
    <row r="95" spans="1:9" ht="15" customHeight="1">
      <c r="A95" s="105">
        <v>14</v>
      </c>
      <c r="B95" s="106" t="str">
        <f>VLOOKUP(OverzichtGlas[[#This Row],[Code Locatie]],Totalisatie!$A$7:$B$31,2,FALSE)</f>
        <v>IKC De Vuurtoren</v>
      </c>
      <c r="C95" s="464"/>
      <c r="D95" s="107" t="str">
        <f>IF(Glasbewassing!$C95&gt;0,VLOOKUP(Glasbewassing!$C95,$A$8:$B$19,2,FALSE),"Hier vult u de inzet van eventuele hoogwerkers in")</f>
        <v>Hier vult u de inzet van eventuele hoogwerkers in</v>
      </c>
      <c r="E95" s="465"/>
      <c r="F95" s="108"/>
      <c r="G95" s="110">
        <f>IF(C95&gt;0,VLOOKUP(OverzichtGlas[[#This Row],[Code taak]],InvulGlas[],3,0)*E95*F95,0)</f>
        <v>0</v>
      </c>
      <c r="H95" s="110">
        <f>OverzichtGlas[[#This Row],[Kosten/jaar excl. BTW]]*1.21</f>
        <v>0</v>
      </c>
      <c r="I95" s="105"/>
    </row>
    <row r="96" spans="1:9" ht="15" customHeight="1">
      <c r="A96" s="105">
        <v>14</v>
      </c>
      <c r="B96" s="106" t="str">
        <f>VLOOKUP(OverzichtGlas[[#This Row],[Code Locatie]],Totalisatie!$A$7:$B$31,2,FALSE)</f>
        <v>IKC De Vuurtoren</v>
      </c>
      <c r="C96" s="464"/>
      <c r="D96" s="107" t="str">
        <f>IF(Glasbewassing!$C96&gt;0,VLOOKUP(Glasbewassing!$C96,$A$8:$B$19,2,FALSE),"Hier vult u de inzet van eventuele hoogwerkers in")</f>
        <v>Hier vult u de inzet van eventuele hoogwerkers in</v>
      </c>
      <c r="E96" s="465"/>
      <c r="F96" s="108"/>
      <c r="G96" s="110">
        <f>IF(C96&gt;0,VLOOKUP(OverzichtGlas[[#This Row],[Code taak]],InvulGlas[],3,0)*E96*F96,0)</f>
        <v>0</v>
      </c>
      <c r="H96" s="110">
        <f>OverzichtGlas[[#This Row],[Kosten/jaar excl. BTW]]*1.21</f>
        <v>0</v>
      </c>
      <c r="I96" s="105"/>
    </row>
    <row r="97" spans="1:9" ht="15" customHeight="1">
      <c r="A97" s="105">
        <v>15</v>
      </c>
      <c r="B97" s="106" t="str">
        <f>VLOOKUP(OverzichtGlas[[#This Row],[Code Locatie]],Totalisatie!$A$7:$B$31,2,FALSE)</f>
        <v>IKC  Da Vinci</v>
      </c>
      <c r="C97" s="105">
        <v>1</v>
      </c>
      <c r="D97" s="107" t="str">
        <f>IF(Glasbewassing!$C97&gt;0,VLOOKUP(Glasbewassing!$C97,$A$8:$B$19,2,FALSE),"Hier vult u de inzet van eventuele hoogwerkers in")</f>
        <v>Gevelglas binnenzijde</v>
      </c>
      <c r="E97" s="49">
        <v>173</v>
      </c>
      <c r="F97" s="108">
        <v>2</v>
      </c>
      <c r="G97" s="110">
        <f>IF(C97&gt;0,VLOOKUP(OverzichtGlas[[#This Row],[Code taak]],InvulGlas[],3,0)*E97*F97,0)</f>
        <v>0</v>
      </c>
      <c r="H97" s="110">
        <f>OverzichtGlas[[#This Row],[Kosten/jaar excl. BTW]]*1.21</f>
        <v>0</v>
      </c>
      <c r="I97" s="105"/>
    </row>
    <row r="98" spans="1:9" ht="15" customHeight="1">
      <c r="A98" s="105">
        <v>15</v>
      </c>
      <c r="B98" s="106" t="str">
        <f>VLOOKUP(OverzichtGlas[[#This Row],[Code Locatie]],Totalisatie!$A$7:$B$31,2,FALSE)</f>
        <v>IKC  Da Vinci</v>
      </c>
      <c r="C98" s="105">
        <v>2</v>
      </c>
      <c r="D98" s="107" t="str">
        <f>IF(Glasbewassing!$C98&gt;0,VLOOKUP(Glasbewassing!$C98,$A$8:$B$19,2,FALSE),"Hier vult u de inzet van eventuele hoogwerkers in")</f>
        <v>Gevelglas buitenzijde</v>
      </c>
      <c r="E98" s="49">
        <v>173</v>
      </c>
      <c r="F98" s="108">
        <v>2</v>
      </c>
      <c r="G98" s="110">
        <f>IF(C98&gt;0,VLOOKUP(OverzichtGlas[[#This Row],[Code taak]],InvulGlas[],3,0)*E98*F98,0)</f>
        <v>0</v>
      </c>
      <c r="H98" s="110">
        <f>OverzichtGlas[[#This Row],[Kosten/jaar excl. BTW]]*1.21</f>
        <v>0</v>
      </c>
      <c r="I98" s="105"/>
    </row>
    <row r="99" spans="1:9" ht="15" customHeight="1">
      <c r="A99" s="105">
        <v>15</v>
      </c>
      <c r="B99" s="106" t="str">
        <f>VLOOKUP(OverzichtGlas[[#This Row],[Code Locatie]],Totalisatie!$A$7:$B$31,2,FALSE)</f>
        <v>IKC  Da Vinci</v>
      </c>
      <c r="C99" s="105">
        <v>3</v>
      </c>
      <c r="D99" s="107" t="str">
        <f>IF(Glasbewassing!$C99&gt;0,VLOOKUP(Glasbewassing!$C99,$A$8:$B$19,2,FALSE),"Hier vult u de inzet van eventuele hoogwerkers in")</f>
        <v>Separatieglas (enkel gemeten, dubbel te wassen)</v>
      </c>
      <c r="E99" s="49">
        <v>15</v>
      </c>
      <c r="F99" s="108">
        <v>2</v>
      </c>
      <c r="G99" s="110">
        <f>IF(C99&gt;0,VLOOKUP(OverzichtGlas[[#This Row],[Code taak]],InvulGlas[],3,0)*E99*F99,0)</f>
        <v>0</v>
      </c>
      <c r="H99" s="110">
        <f>OverzichtGlas[[#This Row],[Kosten/jaar excl. BTW]]*1.21</f>
        <v>0</v>
      </c>
      <c r="I99" s="105"/>
    </row>
    <row r="100" spans="1:9" ht="15" customHeight="1">
      <c r="A100" s="105">
        <v>15</v>
      </c>
      <c r="B100" s="106" t="str">
        <f>VLOOKUP(OverzichtGlas[[#This Row],[Code Locatie]],Totalisatie!$A$7:$B$31,2,FALSE)</f>
        <v>IKC  Da Vinci</v>
      </c>
      <c r="C100" s="464"/>
      <c r="D100" s="107" t="str">
        <f>IF(Glasbewassing!$C100&gt;0,VLOOKUP(Glasbewassing!$C100,$A$8:$B$19,2,FALSE),"Hier vult u de inzet van eventuele hoogwerkers in")</f>
        <v>Hier vult u de inzet van eventuele hoogwerkers in</v>
      </c>
      <c r="E100" s="465"/>
      <c r="F100" s="108"/>
      <c r="G100" s="110">
        <f>IF(C100&gt;0,VLOOKUP(OverzichtGlas[[#This Row],[Code taak]],InvulGlas[],3,0)*E100*F100,0)</f>
        <v>0</v>
      </c>
      <c r="H100" s="110">
        <f>OverzichtGlas[[#This Row],[Kosten/jaar excl. BTW]]*1.21</f>
        <v>0</v>
      </c>
      <c r="I100" s="105"/>
    </row>
    <row r="101" spans="1:9" ht="15" customHeight="1">
      <c r="A101" s="105">
        <v>15</v>
      </c>
      <c r="B101" s="106" t="str">
        <f>VLOOKUP(OverzichtGlas[[#This Row],[Code Locatie]],Totalisatie!$A$7:$B$31,2,FALSE)</f>
        <v>IKC  Da Vinci</v>
      </c>
      <c r="C101" s="464"/>
      <c r="D101" s="107" t="str">
        <f>IF(Glasbewassing!$C101&gt;0,VLOOKUP(Glasbewassing!$C101,$A$8:$B$19,2,FALSE),"Hier vult u de inzet van eventuele hoogwerkers in")</f>
        <v>Hier vult u de inzet van eventuele hoogwerkers in</v>
      </c>
      <c r="E101" s="465"/>
      <c r="F101" s="108"/>
      <c r="G101" s="110">
        <f>IF(C101&gt;0,VLOOKUP(OverzichtGlas[[#This Row],[Code taak]],InvulGlas[],3,0)*E101*F101,0)</f>
        <v>0</v>
      </c>
      <c r="H101" s="110">
        <f>OverzichtGlas[[#This Row],[Kosten/jaar excl. BTW]]*1.21</f>
        <v>0</v>
      </c>
      <c r="I101" s="105"/>
    </row>
    <row r="102" spans="1:9" ht="15" customHeight="1">
      <c r="A102" s="105">
        <v>16</v>
      </c>
      <c r="B102" s="106" t="str">
        <f>VLOOKUP(OverzichtGlas[[#This Row],[Code Locatie]],Totalisatie!$A$7:$B$31,2,FALSE)</f>
        <v>IKC de Tjalk Kadelaan</v>
      </c>
      <c r="C102" s="105">
        <v>1</v>
      </c>
      <c r="D102" s="107" t="str">
        <f>IF(Glasbewassing!$C102&gt;0,VLOOKUP(Glasbewassing!$C102,$A$8:$B$19,2,FALSE),"Hier vult u de inzet van eventuele hoogwerkers in")</f>
        <v>Gevelglas binnenzijde</v>
      </c>
      <c r="E102" s="49">
        <v>61</v>
      </c>
      <c r="F102" s="108">
        <v>2</v>
      </c>
      <c r="G102" s="110">
        <f>IF(C102&gt;0,VLOOKUP(OverzichtGlas[[#This Row],[Code taak]],InvulGlas[],3,0)*E102*F102,0)</f>
        <v>0</v>
      </c>
      <c r="H102" s="110">
        <f>OverzichtGlas[[#This Row],[Kosten/jaar excl. BTW]]*1.21</f>
        <v>0</v>
      </c>
      <c r="I102" s="105"/>
    </row>
    <row r="103" spans="1:9" ht="15" customHeight="1">
      <c r="A103" s="105">
        <v>16</v>
      </c>
      <c r="B103" s="106" t="str">
        <f>VLOOKUP(OverzichtGlas[[#This Row],[Code Locatie]],Totalisatie!$A$7:$B$31,2,FALSE)</f>
        <v>IKC de Tjalk Kadelaan</v>
      </c>
      <c r="C103" s="105">
        <v>2</v>
      </c>
      <c r="D103" s="107" t="str">
        <f>IF(Glasbewassing!$C103&gt;0,VLOOKUP(Glasbewassing!$C103,$A$8:$B$19,2,FALSE),"Hier vult u de inzet van eventuele hoogwerkers in")</f>
        <v>Gevelglas buitenzijde</v>
      </c>
      <c r="E103" s="49">
        <v>61</v>
      </c>
      <c r="F103" s="108">
        <v>2</v>
      </c>
      <c r="G103" s="110">
        <f>IF(C103&gt;0,VLOOKUP(OverzichtGlas[[#This Row],[Code taak]],InvulGlas[],3,0)*E103*F103,0)</f>
        <v>0</v>
      </c>
      <c r="H103" s="110">
        <f>OverzichtGlas[[#This Row],[Kosten/jaar excl. BTW]]*1.21</f>
        <v>0</v>
      </c>
      <c r="I103" s="105"/>
    </row>
    <row r="104" spans="1:9" ht="15" customHeight="1">
      <c r="A104" s="105">
        <v>16</v>
      </c>
      <c r="B104" s="106" t="str">
        <f>VLOOKUP(OverzichtGlas[[#This Row],[Code Locatie]],Totalisatie!$A$7:$B$31,2,FALSE)</f>
        <v>IKC de Tjalk Kadelaan</v>
      </c>
      <c r="C104" s="105">
        <v>3</v>
      </c>
      <c r="D104" s="107" t="str">
        <f>IF(Glasbewassing!$C104&gt;0,VLOOKUP(Glasbewassing!$C104,$A$8:$B$19,2,FALSE),"Hier vult u de inzet van eventuele hoogwerkers in")</f>
        <v>Separatieglas (enkel gemeten, dubbel te wassen)</v>
      </c>
      <c r="E104" s="49">
        <v>4</v>
      </c>
      <c r="F104" s="108">
        <v>2</v>
      </c>
      <c r="G104" s="110">
        <f>IF(C104&gt;0,VLOOKUP(OverzichtGlas[[#This Row],[Code taak]],InvulGlas[],3,0)*E104*F104,0)</f>
        <v>0</v>
      </c>
      <c r="H104" s="110">
        <f>OverzichtGlas[[#This Row],[Kosten/jaar excl. BTW]]*1.21</f>
        <v>0</v>
      </c>
      <c r="I104" s="105"/>
    </row>
    <row r="105" spans="1:9" ht="15" customHeight="1">
      <c r="A105" s="105">
        <v>16</v>
      </c>
      <c r="B105" s="106" t="str">
        <f>VLOOKUP(OverzichtGlas[[#This Row],[Code Locatie]],Totalisatie!$A$7:$B$31,2,FALSE)</f>
        <v>IKC de Tjalk Kadelaan</v>
      </c>
      <c r="C105" s="464"/>
      <c r="D105" s="107" t="str">
        <f>IF(Glasbewassing!$C105&gt;0,VLOOKUP(Glasbewassing!$C105,$A$8:$B$19,2,FALSE),"Hier vult u de inzet van eventuele hoogwerkers in")</f>
        <v>Hier vult u de inzet van eventuele hoogwerkers in</v>
      </c>
      <c r="E105" s="465"/>
      <c r="F105" s="108"/>
      <c r="G105" s="110">
        <f>IF(C105&gt;0,VLOOKUP(OverzichtGlas[[#This Row],[Code taak]],InvulGlas[],3,0)*E105*F105,0)</f>
        <v>0</v>
      </c>
      <c r="H105" s="110">
        <f>OverzichtGlas[[#This Row],[Kosten/jaar excl. BTW]]*1.21</f>
        <v>0</v>
      </c>
      <c r="I105" s="105"/>
    </row>
    <row r="106" spans="1:9" ht="15" customHeight="1">
      <c r="A106" s="105">
        <v>16</v>
      </c>
      <c r="B106" s="106" t="str">
        <f>VLOOKUP(OverzichtGlas[[#This Row],[Code Locatie]],Totalisatie!$A$7:$B$31,2,FALSE)</f>
        <v>IKC de Tjalk Kadelaan</v>
      </c>
      <c r="C106" s="464"/>
      <c r="D106" s="107" t="str">
        <f>IF(Glasbewassing!$C106&gt;0,VLOOKUP(Glasbewassing!$C106,$A$8:$B$19,2,FALSE),"Hier vult u de inzet van eventuele hoogwerkers in")</f>
        <v>Hier vult u de inzet van eventuele hoogwerkers in</v>
      </c>
      <c r="E106" s="465"/>
      <c r="F106" s="108"/>
      <c r="G106" s="110">
        <f>IF(C106&gt;0,VLOOKUP(OverzichtGlas[[#This Row],[Code taak]],InvulGlas[],3,0)*E106*F106,0)</f>
        <v>0</v>
      </c>
      <c r="H106" s="110">
        <f>OverzichtGlas[[#This Row],[Kosten/jaar excl. BTW]]*1.21</f>
        <v>0</v>
      </c>
      <c r="I106" s="105"/>
    </row>
    <row r="107" spans="1:9" ht="15" customHeight="1">
      <c r="A107" s="105">
        <v>17</v>
      </c>
      <c r="B107" s="106" t="str">
        <f>VLOOKUP(OverzichtGlas[[#This Row],[Code Locatie]],Totalisatie!$A$7:$B$31,2,FALSE)</f>
        <v>IKC de Tjalk Kadelaan 208 (bijgebouw)</v>
      </c>
      <c r="C107" s="105">
        <v>1</v>
      </c>
      <c r="D107" s="107" t="str">
        <f>IF(Glasbewassing!$C107&gt;0,VLOOKUP(Glasbewassing!$C107,$A$8:$B$19,2,FALSE),"Hier vult u de inzet van eventuele hoogwerkers in")</f>
        <v>Gevelglas binnenzijde</v>
      </c>
      <c r="E107" s="49">
        <v>363.2</v>
      </c>
      <c r="F107" s="108">
        <v>2</v>
      </c>
      <c r="G107" s="110">
        <f>IF(C107&gt;0,VLOOKUP(OverzichtGlas[[#This Row],[Code taak]],InvulGlas[],3,0)*E107*F107,0)</f>
        <v>0</v>
      </c>
      <c r="H107" s="110">
        <f>OverzichtGlas[[#This Row],[Kosten/jaar excl. BTW]]*1.21</f>
        <v>0</v>
      </c>
      <c r="I107" s="105"/>
    </row>
    <row r="108" spans="1:9" ht="15" customHeight="1">
      <c r="A108" s="105">
        <v>17</v>
      </c>
      <c r="B108" s="106" t="str">
        <f>VLOOKUP(OverzichtGlas[[#This Row],[Code Locatie]],Totalisatie!$A$7:$B$31,2,FALSE)</f>
        <v>IKC de Tjalk Kadelaan 208 (bijgebouw)</v>
      </c>
      <c r="C108" s="105">
        <v>2</v>
      </c>
      <c r="D108" s="107" t="str">
        <f>IF(Glasbewassing!$C108&gt;0,VLOOKUP(Glasbewassing!$C108,$A$8:$B$19,2,FALSE),"Hier vult u de inzet van eventuele hoogwerkers in")</f>
        <v>Gevelglas buitenzijde</v>
      </c>
      <c r="E108" s="49">
        <v>326.89999999999998</v>
      </c>
      <c r="F108" s="108">
        <v>2</v>
      </c>
      <c r="G108" s="110">
        <f>IF(C108&gt;0,VLOOKUP(OverzichtGlas[[#This Row],[Code taak]],InvulGlas[],3,0)*E108*F108,0)</f>
        <v>0</v>
      </c>
      <c r="H108" s="110">
        <f>OverzichtGlas[[#This Row],[Kosten/jaar excl. BTW]]*1.21</f>
        <v>0</v>
      </c>
      <c r="I108" s="105"/>
    </row>
    <row r="109" spans="1:9" ht="15" customHeight="1">
      <c r="A109" s="105">
        <v>17</v>
      </c>
      <c r="B109" s="106" t="str">
        <f>VLOOKUP(OverzichtGlas[[#This Row],[Code Locatie]],Totalisatie!$A$7:$B$31,2,FALSE)</f>
        <v>IKC de Tjalk Kadelaan 208 (bijgebouw)</v>
      </c>
      <c r="C109" s="105">
        <v>3</v>
      </c>
      <c r="D109" s="107" t="str">
        <f>IF(Glasbewassing!$C109&gt;0,VLOOKUP(Glasbewassing!$C109,$A$8:$B$19,2,FALSE),"Hier vult u de inzet van eventuele hoogwerkers in")</f>
        <v>Separatieglas (enkel gemeten, dubbel te wassen)</v>
      </c>
      <c r="E109" s="49">
        <v>211.3</v>
      </c>
      <c r="F109" s="108">
        <v>2</v>
      </c>
      <c r="G109" s="110">
        <f>IF(C109&gt;0,VLOOKUP(OverzichtGlas[[#This Row],[Code taak]],InvulGlas[],3,0)*E109*F109,0)</f>
        <v>0</v>
      </c>
      <c r="H109" s="110">
        <f>OverzichtGlas[[#This Row],[Kosten/jaar excl. BTW]]*1.21</f>
        <v>0</v>
      </c>
      <c r="I109" s="105"/>
    </row>
    <row r="110" spans="1:9" ht="15" customHeight="1">
      <c r="A110" s="105">
        <v>17</v>
      </c>
      <c r="B110" s="106" t="str">
        <f>VLOOKUP(OverzichtGlas[[#This Row],[Code Locatie]],Totalisatie!$A$7:$B$31,2,FALSE)</f>
        <v>IKC de Tjalk Kadelaan 208 (bijgebouw)</v>
      </c>
      <c r="C110" s="464"/>
      <c r="D110" s="107" t="str">
        <f>IF(Glasbewassing!$C110&gt;0,VLOOKUP(Glasbewassing!$C110,$A$8:$B$19,2,FALSE),"Hier vult u de inzet van eventuele hoogwerkers in")</f>
        <v>Hier vult u de inzet van eventuele hoogwerkers in</v>
      </c>
      <c r="E110" s="465"/>
      <c r="F110" s="108"/>
      <c r="G110" s="110">
        <f>IF(C110&gt;0,VLOOKUP(OverzichtGlas[[#This Row],[Code taak]],InvulGlas[],3,0)*E110*F110,0)</f>
        <v>0</v>
      </c>
      <c r="H110" s="110">
        <f>OverzichtGlas[[#This Row],[Kosten/jaar excl. BTW]]*1.21</f>
        <v>0</v>
      </c>
      <c r="I110" s="105"/>
    </row>
    <row r="111" spans="1:9" ht="15" customHeight="1">
      <c r="A111" s="105">
        <v>17</v>
      </c>
      <c r="B111" s="106" t="str">
        <f>VLOOKUP(OverzichtGlas[[#This Row],[Code Locatie]],Totalisatie!$A$7:$B$31,2,FALSE)</f>
        <v>IKC de Tjalk Kadelaan 208 (bijgebouw)</v>
      </c>
      <c r="C111" s="464"/>
      <c r="D111" s="107" t="str">
        <f>IF(Glasbewassing!$C111&gt;0,VLOOKUP(Glasbewassing!$C111,$A$8:$B$19,2,FALSE),"Hier vult u de inzet van eventuele hoogwerkers in")</f>
        <v>Hier vult u de inzet van eventuele hoogwerkers in</v>
      </c>
      <c r="E111" s="465"/>
      <c r="F111" s="108"/>
      <c r="G111" s="110">
        <f>IF(C111&gt;0,VLOOKUP(OverzichtGlas[[#This Row],[Code taak]],InvulGlas[],3,0)*E111*F111,0)</f>
        <v>0</v>
      </c>
      <c r="H111" s="110">
        <f>OverzichtGlas[[#This Row],[Kosten/jaar excl. BTW]]*1.21</f>
        <v>0</v>
      </c>
      <c r="I111" s="105"/>
    </row>
    <row r="112" spans="1:9" ht="15" customHeight="1">
      <c r="A112" s="105">
        <v>18</v>
      </c>
      <c r="B112" s="106" t="str">
        <f>VLOOKUP(OverzichtGlas[[#This Row],[Code Locatie]],Totalisatie!$A$7:$B$31,2,FALSE)</f>
        <v>IKC De Triangel</v>
      </c>
      <c r="C112" s="105">
        <v>1</v>
      </c>
      <c r="D112" s="107" t="str">
        <f>IF(Glasbewassing!$C112&gt;0,VLOOKUP(Glasbewassing!$C112,$A$8:$B$19,2,FALSE),"Hier vult u de inzet van eventuele hoogwerkers in")</f>
        <v>Gevelglas binnenzijde</v>
      </c>
      <c r="E112" s="49">
        <v>163</v>
      </c>
      <c r="F112" s="108">
        <v>2</v>
      </c>
      <c r="G112" s="110">
        <f>IF(C112&gt;0,VLOOKUP(OverzichtGlas[[#This Row],[Code taak]],InvulGlas[],3,0)*E112*F112,0)</f>
        <v>0</v>
      </c>
      <c r="H112" s="110">
        <f>OverzichtGlas[[#This Row],[Kosten/jaar excl. BTW]]*1.21</f>
        <v>0</v>
      </c>
      <c r="I112" s="105"/>
    </row>
    <row r="113" spans="1:9" ht="15" customHeight="1">
      <c r="A113" s="105">
        <v>18</v>
      </c>
      <c r="B113" s="106" t="str">
        <f>VLOOKUP(OverzichtGlas[[#This Row],[Code Locatie]],Totalisatie!$A$7:$B$31,2,FALSE)</f>
        <v>IKC De Triangel</v>
      </c>
      <c r="C113" s="105">
        <v>2</v>
      </c>
      <c r="D113" s="107" t="str">
        <f>IF(Glasbewassing!$C113&gt;0,VLOOKUP(Glasbewassing!$C113,$A$8:$B$19,2,FALSE),"Hier vult u de inzet van eventuele hoogwerkers in")</f>
        <v>Gevelglas buitenzijde</v>
      </c>
      <c r="E113" s="49">
        <v>163</v>
      </c>
      <c r="F113" s="108">
        <v>2</v>
      </c>
      <c r="G113" s="110">
        <f>IF(C113&gt;0,VLOOKUP(OverzichtGlas[[#This Row],[Code taak]],InvulGlas[],3,0)*E113*F113,0)</f>
        <v>0</v>
      </c>
      <c r="H113" s="110">
        <f>OverzichtGlas[[#This Row],[Kosten/jaar excl. BTW]]*1.21</f>
        <v>0</v>
      </c>
      <c r="I113" s="105"/>
    </row>
    <row r="114" spans="1:9" ht="15" customHeight="1">
      <c r="A114" s="105">
        <v>18</v>
      </c>
      <c r="B114" s="106" t="str">
        <f>VLOOKUP(OverzichtGlas[[#This Row],[Code Locatie]],Totalisatie!$A$7:$B$31,2,FALSE)</f>
        <v>IKC De Triangel</v>
      </c>
      <c r="C114" s="105">
        <v>3</v>
      </c>
      <c r="D114" s="107" t="str">
        <f>IF(Glasbewassing!$C114&gt;0,VLOOKUP(Glasbewassing!$C114,$A$8:$B$19,2,FALSE),"Hier vult u de inzet van eventuele hoogwerkers in")</f>
        <v>Separatieglas (enkel gemeten, dubbel te wassen)</v>
      </c>
      <c r="E114" s="49">
        <v>167.5</v>
      </c>
      <c r="F114" s="108">
        <v>2</v>
      </c>
      <c r="G114" s="110">
        <f>IF(C114&gt;0,VLOOKUP(OverzichtGlas[[#This Row],[Code taak]],InvulGlas[],3,0)*E114*F114,0)</f>
        <v>0</v>
      </c>
      <c r="H114" s="110">
        <f>OverzichtGlas[[#This Row],[Kosten/jaar excl. BTW]]*1.21</f>
        <v>0</v>
      </c>
      <c r="I114" s="105"/>
    </row>
    <row r="115" spans="1:9" ht="15" customHeight="1">
      <c r="A115" s="105">
        <v>18</v>
      </c>
      <c r="B115" s="106" t="str">
        <f>VLOOKUP(OverzichtGlas[[#This Row],[Code Locatie]],Totalisatie!$A$7:$B$31,2,FALSE)</f>
        <v>IKC De Triangel</v>
      </c>
      <c r="C115" s="105">
        <v>5</v>
      </c>
      <c r="D115" s="107" t="str">
        <f>IF(Glasbewassing!$C115&gt;0,VLOOKUP(Glasbewassing!$C115,$A$8:$B$19,2,FALSE),"Hier vult u de inzet van eventuele hoogwerkers in")</f>
        <v>Lichtkoepels (enkel gemeten, dubbel te wassen)</v>
      </c>
      <c r="E115" s="49">
        <v>9.5</v>
      </c>
      <c r="F115" s="108">
        <v>1</v>
      </c>
      <c r="G115" s="110">
        <f>IF(C115&gt;0,VLOOKUP(OverzichtGlas[[#This Row],[Code taak]],InvulGlas[],3,0)*E115*F115,0)</f>
        <v>0</v>
      </c>
      <c r="H115" s="110">
        <f>OverzichtGlas[[#This Row],[Kosten/jaar excl. BTW]]*1.21</f>
        <v>0</v>
      </c>
      <c r="I115" s="105"/>
    </row>
    <row r="116" spans="1:9" ht="15" customHeight="1">
      <c r="A116" s="105">
        <v>18</v>
      </c>
      <c r="B116" s="106" t="str">
        <f>VLOOKUP(OverzichtGlas[[#This Row],[Code Locatie]],Totalisatie!$A$7:$B$31,2,FALSE)</f>
        <v>IKC De Triangel</v>
      </c>
      <c r="C116" s="105">
        <v>6</v>
      </c>
      <c r="D116" s="107" t="str">
        <f>IF(Glasbewassing!$C116&gt;0,VLOOKUP(Glasbewassing!$C116,$A$8:$B$19,2,FALSE),"Hier vult u de inzet van eventuele hoogwerkers in")</f>
        <v>Dakglas (enkel gemeten, dubbel te wassen)</v>
      </c>
      <c r="E116" s="49">
        <v>40</v>
      </c>
      <c r="F116" s="108">
        <v>1</v>
      </c>
      <c r="G116" s="110">
        <f>IF(C116&gt;0,VLOOKUP(OverzichtGlas[[#This Row],[Code taak]],InvulGlas[],3,0)*E116*F116,0)</f>
        <v>0</v>
      </c>
      <c r="H116" s="110">
        <f>OverzichtGlas[[#This Row],[Kosten/jaar excl. BTW]]*1.21</f>
        <v>0</v>
      </c>
      <c r="I116" s="105"/>
    </row>
    <row r="117" spans="1:9" ht="15" customHeight="1">
      <c r="A117" s="105">
        <v>18</v>
      </c>
      <c r="B117" s="106" t="str">
        <f>VLOOKUP(OverzichtGlas[[#This Row],[Code Locatie]],Totalisatie!$A$7:$B$31,2,FALSE)</f>
        <v>IKC De Triangel</v>
      </c>
      <c r="C117" s="464"/>
      <c r="D117" s="107" t="str">
        <f>IF(Glasbewassing!$C117&gt;0,VLOOKUP(Glasbewassing!$C117,$A$8:$B$19,2,FALSE),"Hier vult u de inzet van eventuele hoogwerkers in")</f>
        <v>Hier vult u de inzet van eventuele hoogwerkers in</v>
      </c>
      <c r="E117" s="465"/>
      <c r="F117" s="108"/>
      <c r="G117" s="110">
        <f>IF(C117&gt;0,VLOOKUP(OverzichtGlas[[#This Row],[Code taak]],InvulGlas[],3,0)*E117*F117,0)</f>
        <v>0</v>
      </c>
      <c r="H117" s="110">
        <f>OverzichtGlas[[#This Row],[Kosten/jaar excl. BTW]]*1.21</f>
        <v>0</v>
      </c>
      <c r="I117" s="105"/>
    </row>
    <row r="118" spans="1:9" ht="15" customHeight="1">
      <c r="A118" s="105">
        <v>18</v>
      </c>
      <c r="B118" s="106" t="str">
        <f>VLOOKUP(OverzichtGlas[[#This Row],[Code Locatie]],Totalisatie!$A$7:$B$31,2,FALSE)</f>
        <v>IKC De Triangel</v>
      </c>
      <c r="C118" s="464"/>
      <c r="D118" s="107" t="str">
        <f>IF(Glasbewassing!$C118&gt;0,VLOOKUP(Glasbewassing!$C118,$A$8:$B$19,2,FALSE),"Hier vult u de inzet van eventuele hoogwerkers in")</f>
        <v>Hier vult u de inzet van eventuele hoogwerkers in</v>
      </c>
      <c r="E118" s="465"/>
      <c r="F118" s="108"/>
      <c r="G118" s="110">
        <f>IF(C118&gt;0,VLOOKUP(OverzichtGlas[[#This Row],[Code taak]],InvulGlas[],3,0)*E118*F118,0)</f>
        <v>0</v>
      </c>
      <c r="H118" s="110">
        <f>OverzichtGlas[[#This Row],[Kosten/jaar excl. BTW]]*1.21</f>
        <v>0</v>
      </c>
      <c r="I118" s="105"/>
    </row>
    <row r="119" spans="1:9" ht="15" customHeight="1">
      <c r="A119" s="105">
        <v>19</v>
      </c>
      <c r="B119" s="106" t="str">
        <f>VLOOKUP(OverzichtGlas[[#This Row],[Code Locatie]],Totalisatie!$A$7:$B$31,2,FALSE)</f>
        <v>IKC de Leerplaneet (vhKlimboom)</v>
      </c>
      <c r="C119" s="105">
        <v>1</v>
      </c>
      <c r="D119" s="107" t="str">
        <f>IF(Glasbewassing!$C119&gt;0,VLOOKUP(Glasbewassing!$C119,$A$8:$B$19,2,FALSE),"Hier vult u de inzet van eventuele hoogwerkers in")</f>
        <v>Gevelglas binnenzijde</v>
      </c>
      <c r="E119" s="49">
        <v>231</v>
      </c>
      <c r="F119" s="108">
        <v>2</v>
      </c>
      <c r="G119" s="110">
        <f>IF(C119&gt;0,VLOOKUP(OverzichtGlas[[#This Row],[Code taak]],InvulGlas[],3,0)*E119*F119,0)</f>
        <v>0</v>
      </c>
      <c r="H119" s="110">
        <f>OverzichtGlas[[#This Row],[Kosten/jaar excl. BTW]]*1.21</f>
        <v>0</v>
      </c>
      <c r="I119" s="105"/>
    </row>
    <row r="120" spans="1:9" ht="15" customHeight="1">
      <c r="A120" s="105">
        <v>19</v>
      </c>
      <c r="B120" s="106" t="str">
        <f>VLOOKUP(OverzichtGlas[[#This Row],[Code Locatie]],Totalisatie!$A$7:$B$31,2,FALSE)</f>
        <v>IKC de Leerplaneet (vhKlimboom)</v>
      </c>
      <c r="C120" s="105">
        <v>2</v>
      </c>
      <c r="D120" s="107" t="str">
        <f>IF(Glasbewassing!$C120&gt;0,VLOOKUP(Glasbewassing!$C120,$A$8:$B$19,2,FALSE),"Hier vult u de inzet van eventuele hoogwerkers in")</f>
        <v>Gevelglas buitenzijde</v>
      </c>
      <c r="E120" s="49">
        <v>231</v>
      </c>
      <c r="F120" s="108">
        <v>2</v>
      </c>
      <c r="G120" s="110">
        <f>IF(C120&gt;0,VLOOKUP(OverzichtGlas[[#This Row],[Code taak]],InvulGlas[],3,0)*E120*F120,0)</f>
        <v>0</v>
      </c>
      <c r="H120" s="110">
        <f>OverzichtGlas[[#This Row],[Kosten/jaar excl. BTW]]*1.21</f>
        <v>0</v>
      </c>
      <c r="I120" s="105"/>
    </row>
    <row r="121" spans="1:9" ht="15" customHeight="1">
      <c r="A121" s="105">
        <v>19</v>
      </c>
      <c r="B121" s="106" t="str">
        <f>VLOOKUP(OverzichtGlas[[#This Row],[Code Locatie]],Totalisatie!$A$7:$B$31,2,FALSE)</f>
        <v>IKC de Leerplaneet (vhKlimboom)</v>
      </c>
      <c r="C121" s="105">
        <v>3</v>
      </c>
      <c r="D121" s="107" t="str">
        <f>IF(Glasbewassing!$C121&gt;0,VLOOKUP(Glasbewassing!$C121,$A$8:$B$19,2,FALSE),"Hier vult u de inzet van eventuele hoogwerkers in")</f>
        <v>Separatieglas (enkel gemeten, dubbel te wassen)</v>
      </c>
      <c r="E121" s="49">
        <v>46</v>
      </c>
      <c r="F121" s="108">
        <v>2</v>
      </c>
      <c r="G121" s="110">
        <f>IF(C121&gt;0,VLOOKUP(OverzichtGlas[[#This Row],[Code taak]],InvulGlas[],3,0)*E121*F121,0)</f>
        <v>0</v>
      </c>
      <c r="H121" s="110">
        <f>OverzichtGlas[[#This Row],[Kosten/jaar excl. BTW]]*1.21</f>
        <v>0</v>
      </c>
      <c r="I121" s="105"/>
    </row>
    <row r="122" spans="1:9" ht="15" customHeight="1">
      <c r="A122" s="105">
        <v>19</v>
      </c>
      <c r="B122" s="106" t="str">
        <f>VLOOKUP(OverzichtGlas[[#This Row],[Code Locatie]],Totalisatie!$A$7:$B$31,2,FALSE)</f>
        <v>IKC de Leerplaneet (vhKlimboom)</v>
      </c>
      <c r="C122" s="464"/>
      <c r="D122" s="107" t="str">
        <f>IF(Glasbewassing!$C122&gt;0,VLOOKUP(Glasbewassing!$C122,$A$8:$B$19,2,FALSE),"Hier vult u de inzet van eventuele hoogwerkers in")</f>
        <v>Hier vult u de inzet van eventuele hoogwerkers in</v>
      </c>
      <c r="E122" s="465"/>
      <c r="F122" s="108"/>
      <c r="G122" s="110">
        <f>IF(C122&gt;0,VLOOKUP(OverzichtGlas[[#This Row],[Code taak]],InvulGlas[],3,0)*E122*F122,0)</f>
        <v>0</v>
      </c>
      <c r="H122" s="110">
        <f>OverzichtGlas[[#This Row],[Kosten/jaar excl. BTW]]*1.21</f>
        <v>0</v>
      </c>
      <c r="I122" s="105"/>
    </row>
    <row r="123" spans="1:9" ht="15" customHeight="1">
      <c r="A123" s="105">
        <v>19</v>
      </c>
      <c r="B123" s="106" t="str">
        <f>VLOOKUP(OverzichtGlas[[#This Row],[Code Locatie]],Totalisatie!$A$7:$B$31,2,FALSE)</f>
        <v>IKC de Leerplaneet (vhKlimboom)</v>
      </c>
      <c r="C123" s="464"/>
      <c r="D123" s="107" t="str">
        <f>IF(Glasbewassing!$C123&gt;0,VLOOKUP(Glasbewassing!$C123,$A$8:$B$19,2,FALSE),"Hier vult u de inzet van eventuele hoogwerkers in")</f>
        <v>Hier vult u de inzet van eventuele hoogwerkers in</v>
      </c>
      <c r="E123" s="465"/>
      <c r="F123" s="108"/>
      <c r="G123" s="110">
        <f>IF(C123&gt;0,VLOOKUP(OverzichtGlas[[#This Row],[Code taak]],InvulGlas[],3,0)*E123*F123,0)</f>
        <v>0</v>
      </c>
      <c r="H123" s="110">
        <f>OverzichtGlas[[#This Row],[Kosten/jaar excl. BTW]]*1.21</f>
        <v>0</v>
      </c>
      <c r="I123" s="105"/>
    </row>
    <row r="124" spans="1:9" ht="15" customHeight="1">
      <c r="A124" s="105">
        <v>21</v>
      </c>
      <c r="B124" s="106" t="str">
        <f>VLOOKUP(OverzichtGlas[[#This Row],[Code Locatie]],Totalisatie!$A$7:$B$31,2,FALSE)</f>
        <v>IKC De  Leerplaneet (bijgebouw)</v>
      </c>
      <c r="C124" s="105">
        <v>1</v>
      </c>
      <c r="D124" s="107" t="str">
        <f>IF(Glasbewassing!$C124&gt;0,VLOOKUP(Glasbewassing!$C124,$A$8:$B$19,2,FALSE),"Hier vult u de inzet van eventuele hoogwerkers in")</f>
        <v>Gevelglas binnenzijde</v>
      </c>
      <c r="E124" s="49">
        <v>231</v>
      </c>
      <c r="F124" s="108">
        <v>2</v>
      </c>
      <c r="G124" s="110">
        <f>IF(C124&gt;0,VLOOKUP(OverzichtGlas[[#This Row],[Code taak]],InvulGlas[],3,0)*E124*F124,0)</f>
        <v>0</v>
      </c>
      <c r="H124" s="110">
        <f>OverzichtGlas[[#This Row],[Kosten/jaar excl. BTW]]*1.21</f>
        <v>0</v>
      </c>
      <c r="I124" s="105"/>
    </row>
    <row r="125" spans="1:9" ht="15" customHeight="1">
      <c r="A125" s="105">
        <v>21</v>
      </c>
      <c r="B125" s="106" t="str">
        <f>VLOOKUP(OverzichtGlas[[#This Row],[Code Locatie]],Totalisatie!$A$7:$B$31,2,FALSE)</f>
        <v>IKC De  Leerplaneet (bijgebouw)</v>
      </c>
      <c r="C125" s="105">
        <v>2</v>
      </c>
      <c r="D125" s="107" t="str">
        <f>IF(Glasbewassing!$C125&gt;0,VLOOKUP(Glasbewassing!$C125,$A$8:$B$19,2,FALSE),"Hier vult u de inzet van eventuele hoogwerkers in")</f>
        <v>Gevelglas buitenzijde</v>
      </c>
      <c r="E125" s="49">
        <v>231</v>
      </c>
      <c r="F125" s="108">
        <v>2</v>
      </c>
      <c r="G125" s="110">
        <f>IF(C125&gt;0,VLOOKUP(OverzichtGlas[[#This Row],[Code taak]],InvulGlas[],3,0)*E125*F125,0)</f>
        <v>0</v>
      </c>
      <c r="H125" s="110">
        <f>OverzichtGlas[[#This Row],[Kosten/jaar excl. BTW]]*1.21</f>
        <v>0</v>
      </c>
      <c r="I125" s="105"/>
    </row>
    <row r="126" spans="1:9" ht="15" customHeight="1">
      <c r="A126" s="105">
        <v>21</v>
      </c>
      <c r="B126" s="106" t="str">
        <f>VLOOKUP(OverzichtGlas[[#This Row],[Code Locatie]],Totalisatie!$A$7:$B$31,2,FALSE)</f>
        <v>IKC De  Leerplaneet (bijgebouw)</v>
      </c>
      <c r="C126" s="105">
        <v>3</v>
      </c>
      <c r="D126" s="107" t="str">
        <f>IF(Glasbewassing!$C126&gt;0,VLOOKUP(Glasbewassing!$C126,$A$8:$B$19,2,FALSE),"Hier vult u de inzet van eventuele hoogwerkers in")</f>
        <v>Separatieglas (enkel gemeten, dubbel te wassen)</v>
      </c>
      <c r="E126" s="49">
        <v>46</v>
      </c>
      <c r="F126" s="108">
        <v>2</v>
      </c>
      <c r="G126" s="110">
        <f>IF(C126&gt;0,VLOOKUP(OverzichtGlas[[#This Row],[Code taak]],InvulGlas[],3,0)*E126*F126,0)</f>
        <v>0</v>
      </c>
      <c r="H126" s="110">
        <f>OverzichtGlas[[#This Row],[Kosten/jaar excl. BTW]]*1.21</f>
        <v>0</v>
      </c>
      <c r="I126" s="105"/>
    </row>
    <row r="127" spans="1:9" ht="15" customHeight="1">
      <c r="A127" s="105">
        <v>21</v>
      </c>
      <c r="B127" s="106" t="str">
        <f>VLOOKUP(OverzichtGlas[[#This Row],[Code Locatie]],Totalisatie!$A$7:$B$31,2,FALSE)</f>
        <v>IKC De  Leerplaneet (bijgebouw)</v>
      </c>
      <c r="C127" s="464"/>
      <c r="D127" s="107" t="str">
        <f>IF(Glasbewassing!$C127&gt;0,VLOOKUP(Glasbewassing!$C127,$A$8:$B$19,2,FALSE),"Hier vult u de inzet van eventuele hoogwerkers in")</f>
        <v>Hier vult u de inzet van eventuele hoogwerkers in</v>
      </c>
      <c r="E127" s="465"/>
      <c r="F127" s="108"/>
      <c r="G127" s="110">
        <f>IF(C127&gt;0,VLOOKUP(OverzichtGlas[[#This Row],[Code taak]],InvulGlas[],3,0)*E127*F127,0)</f>
        <v>0</v>
      </c>
      <c r="H127" s="110">
        <f>OverzichtGlas[[#This Row],[Kosten/jaar excl. BTW]]*1.21</f>
        <v>0</v>
      </c>
      <c r="I127" s="105"/>
    </row>
    <row r="128" spans="1:9" ht="15" customHeight="1">
      <c r="A128" s="105">
        <v>21</v>
      </c>
      <c r="B128" s="106" t="str">
        <f>VLOOKUP(OverzichtGlas[[#This Row],[Code Locatie]],Totalisatie!$A$7:$B$31,2,FALSE)</f>
        <v>IKC De  Leerplaneet (bijgebouw)</v>
      </c>
      <c r="C128" s="464"/>
      <c r="D128" s="107" t="str">
        <f>IF(Glasbewassing!$C128&gt;0,VLOOKUP(Glasbewassing!$C128,$A$8:$B$19,2,FALSE),"Hier vult u de inzet van eventuele hoogwerkers in")</f>
        <v>Hier vult u de inzet van eventuele hoogwerkers in</v>
      </c>
      <c r="E128" s="465"/>
      <c r="F128" s="108"/>
      <c r="G128" s="110">
        <f>IF(C128&gt;0,VLOOKUP(OverzichtGlas[[#This Row],[Code taak]],InvulGlas[],3,0)*E128*F128,0)</f>
        <v>0</v>
      </c>
      <c r="H128" s="110">
        <f>OverzichtGlas[[#This Row],[Kosten/jaar excl. BTW]]*1.21</f>
        <v>0</v>
      </c>
      <c r="I128" s="105"/>
    </row>
    <row r="129" spans="1:9" ht="15" customHeight="1">
      <c r="A129" s="105">
        <v>23</v>
      </c>
      <c r="B129" s="106" t="str">
        <f>VLOOKUP(OverzichtGlas[[#This Row],[Code Locatie]],Totalisatie!$A$7:$B$31,2,FALSE)</f>
        <v>IKC De Waterlelie (bijgebouw)</v>
      </c>
      <c r="C129" s="105">
        <v>1</v>
      </c>
      <c r="D129" s="107" t="str">
        <f>IF(Glasbewassing!$C129&gt;0,VLOOKUP(Glasbewassing!$C129,$A$8:$B$19,2,FALSE),"Hier vult u de inzet van eventuele hoogwerkers in")</f>
        <v>Gevelglas binnenzijde</v>
      </c>
      <c r="E129" s="49">
        <v>50.5</v>
      </c>
      <c r="F129" s="108">
        <v>2</v>
      </c>
      <c r="G129" s="110">
        <f>IF(C129&gt;0,VLOOKUP(OverzichtGlas[[#This Row],[Code taak]],InvulGlas[],3,0)*E129*F129,0)</f>
        <v>0</v>
      </c>
      <c r="H129" s="110">
        <f>OverzichtGlas[[#This Row],[Kosten/jaar excl. BTW]]*1.21</f>
        <v>0</v>
      </c>
      <c r="I129" s="105"/>
    </row>
    <row r="130" spans="1:9" ht="15" customHeight="1">
      <c r="A130" s="105">
        <v>23</v>
      </c>
      <c r="B130" s="106" t="str">
        <f>VLOOKUP(OverzichtGlas[[#This Row],[Code Locatie]],Totalisatie!$A$7:$B$31,2,FALSE)</f>
        <v>IKC De Waterlelie (bijgebouw)</v>
      </c>
      <c r="C130" s="105">
        <v>2</v>
      </c>
      <c r="D130" s="107" t="str">
        <f>IF(Glasbewassing!$C130&gt;0,VLOOKUP(Glasbewassing!$C130,$A$8:$B$19,2,FALSE),"Hier vult u de inzet van eventuele hoogwerkers in")</f>
        <v>Gevelglas buitenzijde</v>
      </c>
      <c r="E130" s="49">
        <v>50.5</v>
      </c>
      <c r="F130" s="108">
        <v>2</v>
      </c>
      <c r="G130" s="110">
        <f>IF(C130&gt;0,VLOOKUP(OverzichtGlas[[#This Row],[Code taak]],InvulGlas[],3,0)*E130*F130,0)</f>
        <v>0</v>
      </c>
      <c r="H130" s="110">
        <f>OverzichtGlas[[#This Row],[Kosten/jaar excl. BTW]]*1.21</f>
        <v>0</v>
      </c>
      <c r="I130" s="105"/>
    </row>
    <row r="131" spans="1:9" ht="15" customHeight="1">
      <c r="A131" s="105">
        <v>23</v>
      </c>
      <c r="B131" s="106" t="str">
        <f>VLOOKUP(OverzichtGlas[[#This Row],[Code Locatie]],Totalisatie!$A$7:$B$31,2,FALSE)</f>
        <v>IKC De Waterlelie (bijgebouw)</v>
      </c>
      <c r="C131" s="105">
        <v>3</v>
      </c>
      <c r="D131" s="107" t="str">
        <f>IF(Glasbewassing!$C131&gt;0,VLOOKUP(Glasbewassing!$C131,$A$8:$B$19,2,FALSE),"Hier vult u de inzet van eventuele hoogwerkers in")</f>
        <v>Separatieglas (enkel gemeten, dubbel te wassen)</v>
      </c>
      <c r="E131" s="49">
        <v>26</v>
      </c>
      <c r="F131" s="108">
        <v>2</v>
      </c>
      <c r="G131" s="110">
        <f>IF(C131&gt;0,VLOOKUP(OverzichtGlas[[#This Row],[Code taak]],InvulGlas[],3,0)*E131*F131,0)</f>
        <v>0</v>
      </c>
      <c r="H131" s="110">
        <f>OverzichtGlas[[#This Row],[Kosten/jaar excl. BTW]]*1.21</f>
        <v>0</v>
      </c>
      <c r="I131" s="105"/>
    </row>
    <row r="132" spans="1:9" ht="15" customHeight="1">
      <c r="A132" s="105">
        <v>23</v>
      </c>
      <c r="B132" s="106" t="str">
        <f>VLOOKUP(OverzichtGlas[[#This Row],[Code Locatie]],Totalisatie!$A$7:$B$31,2,FALSE)</f>
        <v>IKC De Waterlelie (bijgebouw)</v>
      </c>
      <c r="C132" s="464"/>
      <c r="D132" s="107" t="str">
        <f>IF(Glasbewassing!$C132&gt;0,VLOOKUP(Glasbewassing!$C132,$A$8:$B$19,2,FALSE),"Hier vult u de inzet van eventuele hoogwerkers in")</f>
        <v>Hier vult u de inzet van eventuele hoogwerkers in</v>
      </c>
      <c r="E132" s="465"/>
      <c r="F132" s="108"/>
      <c r="G132" s="110">
        <f>IF(C132&gt;0,VLOOKUP(OverzichtGlas[[#This Row],[Code taak]],InvulGlas[],3,0)*E132*F132,0)</f>
        <v>0</v>
      </c>
      <c r="H132" s="110">
        <f>OverzichtGlas[[#This Row],[Kosten/jaar excl. BTW]]*1.21</f>
        <v>0</v>
      </c>
      <c r="I132" s="105"/>
    </row>
    <row r="133" spans="1:9" ht="15" customHeight="1">
      <c r="A133" s="105">
        <v>23</v>
      </c>
      <c r="B133" s="106" t="str">
        <f>VLOOKUP(OverzichtGlas[[#This Row],[Code Locatie]],Totalisatie!$A$7:$B$31,2,FALSE)</f>
        <v>IKC De Waterlelie (bijgebouw)</v>
      </c>
      <c r="C133" s="464"/>
      <c r="D133" s="107" t="str">
        <f>IF(Glasbewassing!$C133&gt;0,VLOOKUP(Glasbewassing!$C133,$A$8:$B$19,2,FALSE),"Hier vult u de inzet van eventuele hoogwerkers in")</f>
        <v>Hier vult u de inzet van eventuele hoogwerkers in</v>
      </c>
      <c r="E133" s="465"/>
      <c r="F133" s="108"/>
      <c r="G133" s="110">
        <f>IF(C133&gt;0,VLOOKUP(OverzichtGlas[[#This Row],[Code taak]],InvulGlas[],3,0)*E133*F133,0)</f>
        <v>0</v>
      </c>
      <c r="H133" s="110">
        <f>OverzichtGlas[[#This Row],[Kosten/jaar excl. BTW]]*1.21</f>
        <v>0</v>
      </c>
      <c r="I133" s="105"/>
    </row>
    <row r="134" spans="1:9" ht="15" customHeight="1">
      <c r="A134" s="105">
        <v>24</v>
      </c>
      <c r="B134" s="106" t="str">
        <f>VLOOKUP(OverzichtGlas[[#This Row],[Code Locatie]],Totalisatie!$A$7:$B$31,2,FALSE)</f>
        <v>IKC De Gaerde</v>
      </c>
      <c r="C134" s="105">
        <v>1</v>
      </c>
      <c r="D134" s="107" t="str">
        <f>IF(Glasbewassing!$C134&gt;0,VLOOKUP(Glasbewassing!$C134,$A$8:$B$19,2,FALSE),"Hier vult u de inzet van eventuele hoogwerkers in")</f>
        <v>Gevelglas binnenzijde</v>
      </c>
      <c r="E134" s="49">
        <v>155.84</v>
      </c>
      <c r="F134" s="108">
        <v>2</v>
      </c>
      <c r="G134" s="110">
        <f>IF(C134&gt;0,VLOOKUP(OverzichtGlas[[#This Row],[Code taak]],InvulGlas[],3,0)*E134*F134,0)</f>
        <v>0</v>
      </c>
      <c r="H134" s="110">
        <f>OverzichtGlas[[#This Row],[Kosten/jaar excl. BTW]]*1.21</f>
        <v>0</v>
      </c>
      <c r="I134" s="105"/>
    </row>
    <row r="135" spans="1:9" ht="15" customHeight="1">
      <c r="A135" s="105">
        <v>24</v>
      </c>
      <c r="B135" s="106" t="str">
        <f>VLOOKUP(OverzichtGlas[[#This Row],[Code Locatie]],Totalisatie!$A$7:$B$31,2,FALSE)</f>
        <v>IKC De Gaerde</v>
      </c>
      <c r="C135" s="105">
        <v>2</v>
      </c>
      <c r="D135" s="107" t="str">
        <f>IF(Glasbewassing!$C135&gt;0,VLOOKUP(Glasbewassing!$C135,$A$8:$B$19,2,FALSE),"Hier vult u de inzet van eventuele hoogwerkers in")</f>
        <v>Gevelglas buitenzijde</v>
      </c>
      <c r="E135" s="49">
        <v>155.84</v>
      </c>
      <c r="F135" s="108">
        <v>2</v>
      </c>
      <c r="G135" s="110">
        <f>IF(C135&gt;0,VLOOKUP(OverzichtGlas[[#This Row],[Code taak]],InvulGlas[],3,0)*E135*F135,0)</f>
        <v>0</v>
      </c>
      <c r="H135" s="110">
        <f>OverzichtGlas[[#This Row],[Kosten/jaar excl. BTW]]*1.21</f>
        <v>0</v>
      </c>
      <c r="I135" s="105"/>
    </row>
    <row r="136" spans="1:9" ht="15" customHeight="1">
      <c r="A136" s="105">
        <v>24</v>
      </c>
      <c r="B136" s="106" t="str">
        <f>VLOOKUP(OverzichtGlas[[#This Row],[Code Locatie]],Totalisatie!$A$7:$B$31,2,FALSE)</f>
        <v>IKC De Gaerde</v>
      </c>
      <c r="C136" s="105">
        <v>3</v>
      </c>
      <c r="D136" s="107" t="str">
        <f>IF(Glasbewassing!$C136&gt;0,VLOOKUP(Glasbewassing!$C136,$A$8:$B$19,2,FALSE),"Hier vult u de inzet van eventuele hoogwerkers in")</f>
        <v>Separatieglas (enkel gemeten, dubbel te wassen)</v>
      </c>
      <c r="E136" s="49">
        <v>180.39</v>
      </c>
      <c r="F136" s="108">
        <v>2</v>
      </c>
      <c r="G136" s="110">
        <f>IF(C136&gt;0,VLOOKUP(OverzichtGlas[[#This Row],[Code taak]],InvulGlas[],3,0)*E136*F136,0)</f>
        <v>0</v>
      </c>
      <c r="H136" s="110">
        <f>OverzichtGlas[[#This Row],[Kosten/jaar excl. BTW]]*1.21</f>
        <v>0</v>
      </c>
      <c r="I136" s="105"/>
    </row>
    <row r="137" spans="1:9" ht="15" customHeight="1">
      <c r="A137" s="105">
        <v>24</v>
      </c>
      <c r="B137" s="106" t="str">
        <f>VLOOKUP(OverzichtGlas[[#This Row],[Code Locatie]],Totalisatie!$A$7:$B$31,2,FALSE)</f>
        <v>IKC De Gaerde</v>
      </c>
      <c r="C137" s="464"/>
      <c r="D137" s="107" t="str">
        <f>IF(Glasbewassing!$C137&gt;0,VLOOKUP(Glasbewassing!$C137,$A$8:$B$19,2,FALSE),"Hier vult u de inzet van eventuele hoogwerkers in")</f>
        <v>Hier vult u de inzet van eventuele hoogwerkers in</v>
      </c>
      <c r="E137" s="465"/>
      <c r="F137" s="108"/>
      <c r="G137" s="110">
        <f>IF(C137&gt;0,VLOOKUP(OverzichtGlas[[#This Row],[Code taak]],InvulGlas[],3,0)*E137*F137,0)</f>
        <v>0</v>
      </c>
      <c r="H137" s="110">
        <f>OverzichtGlas[[#This Row],[Kosten/jaar excl. BTW]]*1.21</f>
        <v>0</v>
      </c>
      <c r="I137" s="105"/>
    </row>
    <row r="138" spans="1:9" ht="15" customHeight="1">
      <c r="A138" s="105">
        <v>24</v>
      </c>
      <c r="B138" s="106" t="str">
        <f>VLOOKUP(OverzichtGlas[[#This Row],[Code Locatie]],Totalisatie!$A$7:$B$31,2,FALSE)</f>
        <v>IKC De Gaerde</v>
      </c>
      <c r="C138" s="464"/>
      <c r="D138" s="107" t="str">
        <f>IF(Glasbewassing!$C138&gt;0,VLOOKUP(Glasbewassing!$C138,$A$8:$B$19,2,FALSE),"Hier vult u de inzet van eventuele hoogwerkers in")</f>
        <v>Hier vult u de inzet van eventuele hoogwerkers in</v>
      </c>
      <c r="E138" s="465"/>
      <c r="F138" s="108"/>
      <c r="G138" s="110">
        <f>IF(C138&gt;0,VLOOKUP(OverzichtGlas[[#This Row],[Code taak]],InvulGlas[],3,0)*E138*F138,0)</f>
        <v>0</v>
      </c>
      <c r="H138" s="110">
        <f>OverzichtGlas[[#This Row],[Kosten/jaar excl. BTW]]*1.21</f>
        <v>0</v>
      </c>
      <c r="I138" s="105"/>
    </row>
    <row r="139" spans="1:9" ht="15" customHeight="1">
      <c r="A139" s="105">
        <v>25</v>
      </c>
      <c r="B139" s="106" t="str">
        <f>VLOOKUP(OverzichtGlas[[#This Row],[Code Locatie]],Totalisatie!$A$7:$B$31,2,FALSE)</f>
        <v>IKC De Piramide</v>
      </c>
      <c r="C139" s="105">
        <v>1</v>
      </c>
      <c r="D139" s="107" t="str">
        <f>IF(Glasbewassing!$C139&gt;0,VLOOKUP(Glasbewassing!$C139,$A$8:$B$19,2,FALSE),"Hier vult u de inzet van eventuele hoogwerkers in")</f>
        <v>Gevelglas binnenzijde</v>
      </c>
      <c r="E139" s="49">
        <v>993</v>
      </c>
      <c r="F139" s="108">
        <v>2</v>
      </c>
      <c r="G139" s="110">
        <f>IF(C139&gt;0,VLOOKUP(OverzichtGlas[[#This Row],[Code taak]],InvulGlas[],3,0)*E139*F139,0)</f>
        <v>0</v>
      </c>
      <c r="H139" s="110">
        <f>OverzichtGlas[[#This Row],[Kosten/jaar excl. BTW]]*1.21</f>
        <v>0</v>
      </c>
      <c r="I139" s="105"/>
    </row>
    <row r="140" spans="1:9" ht="15" customHeight="1">
      <c r="A140" s="105">
        <v>25</v>
      </c>
      <c r="B140" s="106" t="str">
        <f>VLOOKUP(OverzichtGlas[[#This Row],[Code Locatie]],Totalisatie!$A$7:$B$31,2,FALSE)</f>
        <v>IKC De Piramide</v>
      </c>
      <c r="C140" s="105">
        <v>2</v>
      </c>
      <c r="D140" s="107" t="str">
        <f>IF(Glasbewassing!$C140&gt;0,VLOOKUP(Glasbewassing!$C140,$A$8:$B$19,2,FALSE),"Hier vult u de inzet van eventuele hoogwerkers in")</f>
        <v>Gevelglas buitenzijde</v>
      </c>
      <c r="E140" s="49">
        <v>993</v>
      </c>
      <c r="F140" s="108">
        <v>2</v>
      </c>
      <c r="G140" s="110">
        <f>IF(C140&gt;0,VLOOKUP(OverzichtGlas[[#This Row],[Code taak]],InvulGlas[],3,0)*E140*F140,0)</f>
        <v>0</v>
      </c>
      <c r="H140" s="110">
        <f>OverzichtGlas[[#This Row],[Kosten/jaar excl. BTW]]*1.21</f>
        <v>0</v>
      </c>
      <c r="I140" s="105"/>
    </row>
    <row r="141" spans="1:9" ht="15" customHeight="1">
      <c r="A141" s="105">
        <v>25</v>
      </c>
      <c r="B141" s="106" t="str">
        <f>VLOOKUP(OverzichtGlas[[#This Row],[Code Locatie]],Totalisatie!$A$7:$B$31,2,FALSE)</f>
        <v>IKC De Piramide</v>
      </c>
      <c r="C141" s="105">
        <v>3</v>
      </c>
      <c r="D141" s="107" t="str">
        <f>IF(Glasbewassing!$C141&gt;0,VLOOKUP(Glasbewassing!$C141,$A$8:$B$19,2,FALSE),"Hier vult u de inzet van eventuele hoogwerkers in")</f>
        <v>Separatieglas (enkel gemeten, dubbel te wassen)</v>
      </c>
      <c r="E141" s="49">
        <v>262.5</v>
      </c>
      <c r="F141" s="108">
        <v>2</v>
      </c>
      <c r="G141" s="110">
        <f>IF(C141&gt;0,VLOOKUP(OverzichtGlas[[#This Row],[Code taak]],InvulGlas[],3,0)*E141*F141,0)</f>
        <v>0</v>
      </c>
      <c r="H141" s="110">
        <f>OverzichtGlas[[#This Row],[Kosten/jaar excl. BTW]]*1.21</f>
        <v>0</v>
      </c>
      <c r="I141" s="105"/>
    </row>
    <row r="142" spans="1:9" ht="15" customHeight="1">
      <c r="A142" s="105">
        <v>25</v>
      </c>
      <c r="B142" s="106" t="str">
        <f>VLOOKUP(OverzichtGlas[[#This Row],[Code Locatie]],Totalisatie!$A$7:$B$31,2,FALSE)</f>
        <v>IKC De Piramide</v>
      </c>
      <c r="C142" s="464"/>
      <c r="D142" s="107" t="str">
        <f>IF(Glasbewassing!$C142&gt;0,VLOOKUP(Glasbewassing!$C142,$A$8:$B$19,2,FALSE),"Hier vult u de inzet van eventuele hoogwerkers in")</f>
        <v>Hier vult u de inzet van eventuele hoogwerkers in</v>
      </c>
      <c r="E142" s="465"/>
      <c r="F142" s="108"/>
      <c r="G142" s="110">
        <f>IF(C142&gt;0,VLOOKUP(OverzichtGlas[[#This Row],[Code taak]],InvulGlas[],3,0)*E142*F142,0)</f>
        <v>0</v>
      </c>
      <c r="H142" s="110">
        <f>OverzichtGlas[[#This Row],[Kosten/jaar excl. BTW]]*1.21</f>
        <v>0</v>
      </c>
      <c r="I142" s="105"/>
    </row>
    <row r="143" spans="1:9" ht="15" customHeight="1">
      <c r="A143" s="105">
        <v>25</v>
      </c>
      <c r="B143" s="106" t="str">
        <f>VLOOKUP(OverzichtGlas[[#This Row],[Code Locatie]],Totalisatie!$A$7:$B$31,2,FALSE)</f>
        <v>IKC De Piramide</v>
      </c>
      <c r="C143" s="464"/>
      <c r="D143" s="107" t="str">
        <f>IF(Glasbewassing!$C143&gt;0,VLOOKUP(Glasbewassing!$C143,$A$8:$B$19,2,FALSE),"Hier vult u de inzet van eventuele hoogwerkers in")</f>
        <v>Hier vult u de inzet van eventuele hoogwerkers in</v>
      </c>
      <c r="E143" s="465"/>
      <c r="F143" s="108"/>
      <c r="G143" s="110">
        <f>IF(C143&gt;0,VLOOKUP(OverzichtGlas[[#This Row],[Code taak]],InvulGlas[],3,0)*E143*F143,0)</f>
        <v>0</v>
      </c>
      <c r="H143" s="110">
        <f>OverzichtGlas[[#This Row],[Kosten/jaar excl. BTW]]*1.21</f>
        <v>0</v>
      </c>
      <c r="I143" s="105"/>
    </row>
    <row r="144" spans="1:9" ht="15" customHeight="1">
      <c r="A144" s="121" t="s">
        <v>32</v>
      </c>
      <c r="B144" s="122"/>
      <c r="C144" s="121"/>
      <c r="D144" s="123"/>
      <c r="E144" s="121"/>
      <c r="F144" s="121"/>
      <c r="G144" s="124">
        <f>SUBTOTAL(109,OverzichtGlas[Kosten/jaar excl. BTW])</f>
        <v>0</v>
      </c>
      <c r="H144" s="124">
        <f>SUBTOTAL(109,OverzichtGlas[Kosten/jaar incl. BTW])</f>
        <v>0</v>
      </c>
      <c r="I144" s="121"/>
    </row>
  </sheetData>
  <sheetProtection algorithmName="SHA-512" hashValue="+1b2cDwTLH0knR5SV52SKfoiZt5s7lttbMfKQpH8gsfs2Yif41GimakTcOoFQcl7ZViSIT735HU6xyfuoKLo9A==" saltValue="9997Gywvcp9o7vdRO0pFDQ==" spinCount="100000" sheet="1" objects="1" scenarios="1" sort="0"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6"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3B04097B-CE9C-42DA-AFB7-47B9CDAE5F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29</vt:i4>
      </vt:variant>
    </vt:vector>
  </HeadingPairs>
  <TitlesOfParts>
    <vt:vector size="42"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Dieptereiniging keuken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Elke Ambergen - Kienhuis | Inkada Inkoop &amp; Advies</cp:lastModifiedBy>
  <cp:lastPrinted>2021-12-20T08:38:13Z</cp:lastPrinted>
  <dcterms:created xsi:type="dcterms:W3CDTF">1999-03-23T11:24:21Z</dcterms:created>
  <dcterms:modified xsi:type="dcterms:W3CDTF">2026-04-28T10:49:00Z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